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defaultThemeVersion="124226"/>
  <bookViews>
    <workbookView xWindow="120" yWindow="75" windowWidth="19095" windowHeight="11760"/>
  </bookViews>
  <sheets>
    <sheet name="instruction" sheetId="13" r:id="rId1"/>
    <sheet name="School Profile"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With Photo" sheetId="4" r:id="rId11"/>
    <sheet name="Simple Marksheet" sheetId="19" r:id="rId12"/>
    <sheet name="Marksheet After Supp. Result" sheetId="18" r:id="rId13"/>
  </sheets>
  <externalReferences>
    <externalReference r:id="rId14"/>
  </externalReferences>
  <definedNames>
    <definedName name="MKPIC">INDEX('Student DATA Entry'!$O$4:$O$203,MATCH('Marksheet With Photo'!$O$6,'Student DATA Entry'!$B$4:$B$203,0))</definedName>
    <definedName name="PIC">INDEX('Student DATA Entry'!$O$4:$O$203,MATCH('Marksheet After Supp. Result'!$O$6,'Student DATA Entry'!$B$4:$B$203,0))</definedName>
    <definedName name="Picture">INDEX('School Profile'!$L$24,MATCH('School Profile'!$K$23,'School Profile'!$K$24,0))</definedName>
    <definedName name="_xlnm.Print_Area" localSheetId="5">'Green Sheet'!$A$1:$W$220</definedName>
    <definedName name="_xlnm.Print_Area" localSheetId="12">'Marksheet After Supp. Result'!$B$1:$V$30</definedName>
    <definedName name="_xlnm.Print_Area" localSheetId="10">'Marksheet With Photo'!$B$1:$U$30</definedName>
    <definedName name="_xlnm.Print_Area" localSheetId="9">'Result Subject-wise'!$A$1:$V$217</definedName>
    <definedName name="_xlnm.Print_Area" localSheetId="11">'Simple Marksheet'!$B$1:$AF$29,'Simple Marksheet'!$B$31:$AF$59,'Simple Marksheet'!$B$61:$AF$89,'Simple Marksheet'!$B$91:$AF$119,'Simple Marksheet'!$B$121:$AF$149,'Simple Marksheet'!$B$151:$AF$179,'Simple Marksheet'!$B$181:$AF$209,'Simple Marksheet'!$B$211:$AF$239,'Simple Marksheet'!$B$241:$AF$269,'Simple Marksheet'!$B$271:$AF$299,'Simple Marksheet'!$AH$1:$AL$12</definedName>
    <definedName name="_xlnm.Print_Area" localSheetId="4">'Statement of Marks'!$A$2:$IC$218</definedName>
    <definedName name="_xlnm.Print_Area" localSheetId="7">'Teacher &amp; Cat. Wise Result'!$A$1:$O$18,'Teacher &amp; Cat. Wise Result'!$A$20:$O$39</definedName>
    <definedName name="rolln">'Student DATA Entry'!$B$4:$B$203</definedName>
    <definedName name="section">#REF!</definedName>
    <definedName name="Sub_1">'School Profile'!$L$30:$L$36</definedName>
    <definedName name="Sub_2">'School Profile'!$M$30:$M$36</definedName>
    <definedName name="subject5">'Green Sheet'!$AJ$8:$AJ$19</definedName>
  </definedNames>
  <calcPr calcId="124519"/>
</workbook>
</file>

<file path=xl/calcChain.xml><?xml version="1.0" encoding="utf-8"?>
<calcChain xmlns="http://schemas.openxmlformats.org/spreadsheetml/2006/main">
  <c r="AG304" i="18"/>
  <c r="AG271"/>
  <c r="AG238"/>
  <c r="AG205"/>
  <c r="AG172"/>
  <c r="AG139"/>
  <c r="AG106"/>
  <c r="AG73"/>
  <c r="AG40"/>
  <c r="AG7"/>
  <c r="AI304"/>
  <c r="AI271"/>
  <c r="AI238"/>
  <c r="AI205"/>
  <c r="AI172"/>
  <c r="AI139"/>
  <c r="AI106"/>
  <c r="AI73"/>
  <c r="AI40"/>
  <c r="AI7"/>
  <c r="BC277" i="19"/>
  <c r="AX277"/>
  <c r="BC247"/>
  <c r="AX247"/>
  <c r="BC217"/>
  <c r="AX217"/>
  <c r="BC187"/>
  <c r="AX187"/>
  <c r="BC157"/>
  <c r="AX157"/>
  <c r="BC127"/>
  <c r="AX127"/>
  <c r="BC97"/>
  <c r="AX97"/>
  <c r="BC67"/>
  <c r="AX67"/>
  <c r="BC37"/>
  <c r="AX37"/>
  <c r="BC7"/>
  <c r="AX7"/>
  <c r="BA277"/>
  <c r="AV277"/>
  <c r="BA247"/>
  <c r="AV247"/>
  <c r="BA217"/>
  <c r="AV217"/>
  <c r="BA187"/>
  <c r="AV187"/>
  <c r="BA157"/>
  <c r="AV157"/>
  <c r="BA127"/>
  <c r="AV127"/>
  <c r="BA97"/>
  <c r="AV97"/>
  <c r="BA67"/>
  <c r="AV67"/>
  <c r="BA37"/>
  <c r="AV37"/>
  <c r="BA7"/>
  <c r="AV7"/>
  <c r="AI7" i="4"/>
  <c r="AG7"/>
  <c r="G28" i="18"/>
  <c r="B28"/>
  <c r="HR217" i="9"/>
  <c r="S214" i="15"/>
  <c r="J38" i="6"/>
  <c r="J17"/>
  <c r="P205" i="11"/>
  <c r="V214" i="12"/>
  <c r="O29" i="18"/>
  <c r="O29" i="4"/>
  <c r="N2" i="11"/>
  <c r="I3" i="8"/>
  <c r="G21" i="7" l="1"/>
  <c r="G20"/>
  <c r="G18"/>
  <c r="AH7" i="19"/>
  <c r="C245"/>
  <c r="S275"/>
  <c r="C275"/>
  <c r="S245"/>
  <c r="S215"/>
  <c r="C215"/>
  <c r="S185"/>
  <c r="C185"/>
  <c r="S155"/>
  <c r="C155"/>
  <c r="S125"/>
  <c r="C125"/>
  <c r="S95"/>
  <c r="C95"/>
  <c r="S65"/>
  <c r="C65"/>
  <c r="S35"/>
  <c r="C35"/>
  <c r="P5" i="4"/>
  <c r="BK8" i="9"/>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108"/>
  <c r="BK109"/>
  <c r="BK110"/>
  <c r="BK111"/>
  <c r="BK112"/>
  <c r="BK113"/>
  <c r="BK114"/>
  <c r="BK115"/>
  <c r="BK116"/>
  <c r="BK117"/>
  <c r="BK118"/>
  <c r="BK119"/>
  <c r="BK120"/>
  <c r="BK121"/>
  <c r="BK122"/>
  <c r="BK123"/>
  <c r="BK124"/>
  <c r="BK125"/>
  <c r="BK126"/>
  <c r="BK127"/>
  <c r="BK128"/>
  <c r="BK129"/>
  <c r="BK130"/>
  <c r="BK131"/>
  <c r="BK132"/>
  <c r="BK133"/>
  <c r="BK134"/>
  <c r="BK135"/>
  <c r="BK136"/>
  <c r="BK137"/>
  <c r="BK138"/>
  <c r="BK139"/>
  <c r="BK140"/>
  <c r="BK141"/>
  <c r="BK142"/>
  <c r="BK143"/>
  <c r="BK144"/>
  <c r="BK145"/>
  <c r="BK146"/>
  <c r="BK147"/>
  <c r="BK148"/>
  <c r="BK149"/>
  <c r="BK150"/>
  <c r="BK151"/>
  <c r="BK152"/>
  <c r="BK153"/>
  <c r="BK154"/>
  <c r="BK155"/>
  <c r="BK156"/>
  <c r="BK157"/>
  <c r="BK158"/>
  <c r="BK159"/>
  <c r="BK160"/>
  <c r="BK161"/>
  <c r="BK162"/>
  <c r="BK163"/>
  <c r="BK164"/>
  <c r="BK165"/>
  <c r="BK166"/>
  <c r="BK167"/>
  <c r="BK168"/>
  <c r="BK169"/>
  <c r="BK170"/>
  <c r="BK171"/>
  <c r="BK172"/>
  <c r="BK173"/>
  <c r="BK174"/>
  <c r="BK175"/>
  <c r="BK176"/>
  <c r="BK177"/>
  <c r="BK178"/>
  <c r="BK179"/>
  <c r="BK180"/>
  <c r="BK181"/>
  <c r="BK182"/>
  <c r="BK183"/>
  <c r="BK184"/>
  <c r="BK185"/>
  <c r="BK186"/>
  <c r="BK187"/>
  <c r="BK188"/>
  <c r="BK189"/>
  <c r="BK190"/>
  <c r="BK191"/>
  <c r="BK192"/>
  <c r="BK193"/>
  <c r="BK194"/>
  <c r="BK195"/>
  <c r="BK196"/>
  <c r="BK197"/>
  <c r="BK198"/>
  <c r="BK199"/>
  <c r="BK200"/>
  <c r="BK201"/>
  <c r="BK202"/>
  <c r="BK203"/>
  <c r="BK204"/>
  <c r="BK205"/>
  <c r="BK206"/>
  <c r="BK7"/>
  <c r="BK6"/>
  <c r="F219" i="20"/>
  <c r="F220"/>
  <c r="I3"/>
  <c r="F3"/>
  <c r="FW4" i="9"/>
  <c r="FV4"/>
  <c r="FU4"/>
  <c r="H209" i="20"/>
  <c r="I207"/>
  <c r="H207"/>
  <c r="G207"/>
  <c r="F207"/>
  <c r="E207"/>
  <c r="D207"/>
  <c r="C207"/>
  <c r="B207"/>
  <c r="S207" s="1"/>
  <c r="I206"/>
  <c r="H206"/>
  <c r="G206"/>
  <c r="F206"/>
  <c r="E206"/>
  <c r="D206"/>
  <c r="C206"/>
  <c r="B206"/>
  <c r="S206" s="1"/>
  <c r="I205"/>
  <c r="H205"/>
  <c r="G205"/>
  <c r="F205"/>
  <c r="E205"/>
  <c r="D205"/>
  <c r="C205"/>
  <c r="B205"/>
  <c r="S205" s="1"/>
  <c r="I204"/>
  <c r="H204"/>
  <c r="G204"/>
  <c r="F204"/>
  <c r="E204"/>
  <c r="D204"/>
  <c r="C204"/>
  <c r="B204"/>
  <c r="S204" s="1"/>
  <c r="I203"/>
  <c r="H203"/>
  <c r="G203"/>
  <c r="F203"/>
  <c r="E203"/>
  <c r="D203"/>
  <c r="C203"/>
  <c r="B203"/>
  <c r="S203" s="1"/>
  <c r="I202"/>
  <c r="H202"/>
  <c r="G202"/>
  <c r="F202"/>
  <c r="E202"/>
  <c r="D202"/>
  <c r="C202"/>
  <c r="B202"/>
  <c r="S202" s="1"/>
  <c r="I201"/>
  <c r="H201"/>
  <c r="G201"/>
  <c r="F201"/>
  <c r="E201"/>
  <c r="D201"/>
  <c r="C201"/>
  <c r="B201"/>
  <c r="S201" s="1"/>
  <c r="I200"/>
  <c r="H200"/>
  <c r="G200"/>
  <c r="F200"/>
  <c r="E200"/>
  <c r="D200"/>
  <c r="C200"/>
  <c r="B200"/>
  <c r="S200" s="1"/>
  <c r="I199"/>
  <c r="H199"/>
  <c r="G199"/>
  <c r="F199"/>
  <c r="E199"/>
  <c r="D199"/>
  <c r="C199"/>
  <c r="B199"/>
  <c r="S199" s="1"/>
  <c r="I198"/>
  <c r="H198"/>
  <c r="G198"/>
  <c r="F198"/>
  <c r="E198"/>
  <c r="D198"/>
  <c r="C198"/>
  <c r="B198"/>
  <c r="S198" s="1"/>
  <c r="I197"/>
  <c r="H197"/>
  <c r="G197"/>
  <c r="F197"/>
  <c r="E197"/>
  <c r="D197"/>
  <c r="C197"/>
  <c r="B197"/>
  <c r="S197" s="1"/>
  <c r="I196"/>
  <c r="H196"/>
  <c r="G196"/>
  <c r="F196"/>
  <c r="E196"/>
  <c r="D196"/>
  <c r="C196"/>
  <c r="B196"/>
  <c r="S196" s="1"/>
  <c r="I195"/>
  <c r="H195"/>
  <c r="G195"/>
  <c r="F195"/>
  <c r="E195"/>
  <c r="D195"/>
  <c r="C195"/>
  <c r="B195"/>
  <c r="S195" s="1"/>
  <c r="I194"/>
  <c r="H194"/>
  <c r="G194"/>
  <c r="F194"/>
  <c r="E194"/>
  <c r="D194"/>
  <c r="C194"/>
  <c r="B194"/>
  <c r="S194" s="1"/>
  <c r="I193"/>
  <c r="H193"/>
  <c r="G193"/>
  <c r="F193"/>
  <c r="E193"/>
  <c r="D193"/>
  <c r="C193"/>
  <c r="B193"/>
  <c r="S193" s="1"/>
  <c r="I192"/>
  <c r="H192"/>
  <c r="G192"/>
  <c r="F192"/>
  <c r="E192"/>
  <c r="D192"/>
  <c r="C192"/>
  <c r="B192"/>
  <c r="S192" s="1"/>
  <c r="I191"/>
  <c r="H191"/>
  <c r="G191"/>
  <c r="F191"/>
  <c r="E191"/>
  <c r="D191"/>
  <c r="C191"/>
  <c r="B191"/>
  <c r="S191" s="1"/>
  <c r="I190"/>
  <c r="H190"/>
  <c r="G190"/>
  <c r="F190"/>
  <c r="E190"/>
  <c r="D190"/>
  <c r="C190"/>
  <c r="B190"/>
  <c r="S190" s="1"/>
  <c r="I189"/>
  <c r="H189"/>
  <c r="G189"/>
  <c r="F189"/>
  <c r="E189"/>
  <c r="D189"/>
  <c r="C189"/>
  <c r="B189"/>
  <c r="S189" s="1"/>
  <c r="I188"/>
  <c r="H188"/>
  <c r="G188"/>
  <c r="F188"/>
  <c r="E188"/>
  <c r="D188"/>
  <c r="C188"/>
  <c r="B188"/>
  <c r="S188" s="1"/>
  <c r="I187"/>
  <c r="H187"/>
  <c r="G187"/>
  <c r="F187"/>
  <c r="E187"/>
  <c r="D187"/>
  <c r="C187"/>
  <c r="B187"/>
  <c r="S187" s="1"/>
  <c r="I186"/>
  <c r="H186"/>
  <c r="G186"/>
  <c r="F186"/>
  <c r="E186"/>
  <c r="D186"/>
  <c r="C186"/>
  <c r="B186"/>
  <c r="S186" s="1"/>
  <c r="I185"/>
  <c r="H185"/>
  <c r="G185"/>
  <c r="F185"/>
  <c r="E185"/>
  <c r="D185"/>
  <c r="C185"/>
  <c r="B185"/>
  <c r="S185" s="1"/>
  <c r="I184"/>
  <c r="H184"/>
  <c r="G184"/>
  <c r="F184"/>
  <c r="E184"/>
  <c r="D184"/>
  <c r="C184"/>
  <c r="B184"/>
  <c r="S184" s="1"/>
  <c r="I183"/>
  <c r="H183"/>
  <c r="G183"/>
  <c r="F183"/>
  <c r="E183"/>
  <c r="D183"/>
  <c r="C183"/>
  <c r="B183"/>
  <c r="S183" s="1"/>
  <c r="I182"/>
  <c r="H182"/>
  <c r="G182"/>
  <c r="F182"/>
  <c r="E182"/>
  <c r="D182"/>
  <c r="C182"/>
  <c r="B182"/>
  <c r="S182" s="1"/>
  <c r="I181"/>
  <c r="H181"/>
  <c r="G181"/>
  <c r="F181"/>
  <c r="E181"/>
  <c r="D181"/>
  <c r="C181"/>
  <c r="B181"/>
  <c r="S181" s="1"/>
  <c r="I180"/>
  <c r="H180"/>
  <c r="G180"/>
  <c r="F180"/>
  <c r="E180"/>
  <c r="D180"/>
  <c r="C180"/>
  <c r="B180"/>
  <c r="S180" s="1"/>
  <c r="I179"/>
  <c r="H179"/>
  <c r="G179"/>
  <c r="F179"/>
  <c r="E179"/>
  <c r="D179"/>
  <c r="C179"/>
  <c r="B179"/>
  <c r="S179" s="1"/>
  <c r="I178"/>
  <c r="H178"/>
  <c r="G178"/>
  <c r="F178"/>
  <c r="E178"/>
  <c r="D178"/>
  <c r="C178"/>
  <c r="B178"/>
  <c r="S178" s="1"/>
  <c r="I177"/>
  <c r="H177"/>
  <c r="G177"/>
  <c r="F177"/>
  <c r="E177"/>
  <c r="D177"/>
  <c r="C177"/>
  <c r="B177"/>
  <c r="S177" s="1"/>
  <c r="I176"/>
  <c r="H176"/>
  <c r="G176"/>
  <c r="F176"/>
  <c r="E176"/>
  <c r="D176"/>
  <c r="C176"/>
  <c r="B176"/>
  <c r="S176" s="1"/>
  <c r="I175"/>
  <c r="H175"/>
  <c r="G175"/>
  <c r="F175"/>
  <c r="E175"/>
  <c r="D175"/>
  <c r="C175"/>
  <c r="B175"/>
  <c r="S175" s="1"/>
  <c r="I174"/>
  <c r="H174"/>
  <c r="G174"/>
  <c r="F174"/>
  <c r="E174"/>
  <c r="D174"/>
  <c r="C174"/>
  <c r="B174"/>
  <c r="S174" s="1"/>
  <c r="I173"/>
  <c r="H173"/>
  <c r="G173"/>
  <c r="F173"/>
  <c r="E173"/>
  <c r="D173"/>
  <c r="C173"/>
  <c r="B173"/>
  <c r="S173" s="1"/>
  <c r="I172"/>
  <c r="H172"/>
  <c r="G172"/>
  <c r="F172"/>
  <c r="E172"/>
  <c r="D172"/>
  <c r="C172"/>
  <c r="B172"/>
  <c r="S172" s="1"/>
  <c r="I171"/>
  <c r="H171"/>
  <c r="G171"/>
  <c r="F171"/>
  <c r="E171"/>
  <c r="D171"/>
  <c r="C171"/>
  <c r="B171"/>
  <c r="S171" s="1"/>
  <c r="I170"/>
  <c r="H170"/>
  <c r="G170"/>
  <c r="F170"/>
  <c r="E170"/>
  <c r="D170"/>
  <c r="C170"/>
  <c r="B170"/>
  <c r="S170" s="1"/>
  <c r="I169"/>
  <c r="H169"/>
  <c r="G169"/>
  <c r="F169"/>
  <c r="E169"/>
  <c r="D169"/>
  <c r="C169"/>
  <c r="B169"/>
  <c r="S169" s="1"/>
  <c r="I168"/>
  <c r="H168"/>
  <c r="G168"/>
  <c r="F168"/>
  <c r="E168"/>
  <c r="D168"/>
  <c r="C168"/>
  <c r="B168"/>
  <c r="S168" s="1"/>
  <c r="I167"/>
  <c r="H167"/>
  <c r="G167"/>
  <c r="F167"/>
  <c r="E167"/>
  <c r="D167"/>
  <c r="C167"/>
  <c r="B167"/>
  <c r="S167" s="1"/>
  <c r="I166"/>
  <c r="H166"/>
  <c r="G166"/>
  <c r="F166"/>
  <c r="E166"/>
  <c r="D166"/>
  <c r="C166"/>
  <c r="B166"/>
  <c r="S166" s="1"/>
  <c r="I165"/>
  <c r="H165"/>
  <c r="G165"/>
  <c r="F165"/>
  <c r="E165"/>
  <c r="D165"/>
  <c r="C165"/>
  <c r="B165"/>
  <c r="S165" s="1"/>
  <c r="I164"/>
  <c r="H164"/>
  <c r="G164"/>
  <c r="F164"/>
  <c r="E164"/>
  <c r="D164"/>
  <c r="C164"/>
  <c r="B164"/>
  <c r="S164" s="1"/>
  <c r="I163"/>
  <c r="H163"/>
  <c r="G163"/>
  <c r="F163"/>
  <c r="E163"/>
  <c r="D163"/>
  <c r="C163"/>
  <c r="B163"/>
  <c r="S163" s="1"/>
  <c r="I162"/>
  <c r="H162"/>
  <c r="G162"/>
  <c r="F162"/>
  <c r="E162"/>
  <c r="D162"/>
  <c r="C162"/>
  <c r="B162"/>
  <c r="S162" s="1"/>
  <c r="I161"/>
  <c r="H161"/>
  <c r="G161"/>
  <c r="F161"/>
  <c r="E161"/>
  <c r="D161"/>
  <c r="C161"/>
  <c r="B161"/>
  <c r="S161" s="1"/>
  <c r="I160"/>
  <c r="H160"/>
  <c r="G160"/>
  <c r="F160"/>
  <c r="E160"/>
  <c r="D160"/>
  <c r="C160"/>
  <c r="B160"/>
  <c r="S160" s="1"/>
  <c r="I159"/>
  <c r="H159"/>
  <c r="G159"/>
  <c r="F159"/>
  <c r="E159"/>
  <c r="D159"/>
  <c r="C159"/>
  <c r="B159"/>
  <c r="S159" s="1"/>
  <c r="I158"/>
  <c r="H158"/>
  <c r="G158"/>
  <c r="F158"/>
  <c r="E158"/>
  <c r="D158"/>
  <c r="C158"/>
  <c r="B158"/>
  <c r="S158" s="1"/>
  <c r="I157"/>
  <c r="H157"/>
  <c r="G157"/>
  <c r="F157"/>
  <c r="E157"/>
  <c r="D157"/>
  <c r="C157"/>
  <c r="B157"/>
  <c r="S157" s="1"/>
  <c r="I156"/>
  <c r="H156"/>
  <c r="G156"/>
  <c r="F156"/>
  <c r="E156"/>
  <c r="D156"/>
  <c r="C156"/>
  <c r="B156"/>
  <c r="S156" s="1"/>
  <c r="I155"/>
  <c r="H155"/>
  <c r="G155"/>
  <c r="F155"/>
  <c r="E155"/>
  <c r="D155"/>
  <c r="C155"/>
  <c r="B155"/>
  <c r="S155" s="1"/>
  <c r="I154"/>
  <c r="H154"/>
  <c r="G154"/>
  <c r="F154"/>
  <c r="E154"/>
  <c r="D154"/>
  <c r="C154"/>
  <c r="B154"/>
  <c r="S154" s="1"/>
  <c r="I153"/>
  <c r="H153"/>
  <c r="G153"/>
  <c r="F153"/>
  <c r="E153"/>
  <c r="D153"/>
  <c r="C153"/>
  <c r="B153"/>
  <c r="S153" s="1"/>
  <c r="I152"/>
  <c r="H152"/>
  <c r="G152"/>
  <c r="F152"/>
  <c r="E152"/>
  <c r="D152"/>
  <c r="C152"/>
  <c r="B152"/>
  <c r="S152" s="1"/>
  <c r="I151"/>
  <c r="H151"/>
  <c r="G151"/>
  <c r="F151"/>
  <c r="E151"/>
  <c r="D151"/>
  <c r="C151"/>
  <c r="B151"/>
  <c r="S151" s="1"/>
  <c r="I150"/>
  <c r="H150"/>
  <c r="G150"/>
  <c r="F150"/>
  <c r="E150"/>
  <c r="D150"/>
  <c r="C150"/>
  <c r="B150"/>
  <c r="S150" s="1"/>
  <c r="I149"/>
  <c r="H149"/>
  <c r="G149"/>
  <c r="F149"/>
  <c r="E149"/>
  <c r="D149"/>
  <c r="C149"/>
  <c r="B149"/>
  <c r="S149" s="1"/>
  <c r="I148"/>
  <c r="H148"/>
  <c r="G148"/>
  <c r="F148"/>
  <c r="E148"/>
  <c r="D148"/>
  <c r="C148"/>
  <c r="B148"/>
  <c r="S148" s="1"/>
  <c r="I147"/>
  <c r="H147"/>
  <c r="G147"/>
  <c r="F147"/>
  <c r="E147"/>
  <c r="D147"/>
  <c r="C147"/>
  <c r="B147"/>
  <c r="S147" s="1"/>
  <c r="I146"/>
  <c r="H146"/>
  <c r="G146"/>
  <c r="F146"/>
  <c r="E146"/>
  <c r="D146"/>
  <c r="C146"/>
  <c r="B146"/>
  <c r="S146" s="1"/>
  <c r="I145"/>
  <c r="H145"/>
  <c r="G145"/>
  <c r="F145"/>
  <c r="E145"/>
  <c r="D145"/>
  <c r="C145"/>
  <c r="B145"/>
  <c r="S145" s="1"/>
  <c r="I144"/>
  <c r="H144"/>
  <c r="G144"/>
  <c r="F144"/>
  <c r="E144"/>
  <c r="D144"/>
  <c r="C144"/>
  <c r="B144"/>
  <c r="S144" s="1"/>
  <c r="I143"/>
  <c r="H143"/>
  <c r="G143"/>
  <c r="F143"/>
  <c r="E143"/>
  <c r="D143"/>
  <c r="C143"/>
  <c r="B143"/>
  <c r="S143" s="1"/>
  <c r="I142"/>
  <c r="H142"/>
  <c r="G142"/>
  <c r="F142"/>
  <c r="E142"/>
  <c r="D142"/>
  <c r="C142"/>
  <c r="B142"/>
  <c r="S142" s="1"/>
  <c r="I141"/>
  <c r="H141"/>
  <c r="G141"/>
  <c r="F141"/>
  <c r="E141"/>
  <c r="D141"/>
  <c r="C141"/>
  <c r="B141"/>
  <c r="S141" s="1"/>
  <c r="I140"/>
  <c r="H140"/>
  <c r="G140"/>
  <c r="F140"/>
  <c r="E140"/>
  <c r="D140"/>
  <c r="C140"/>
  <c r="B140"/>
  <c r="S140" s="1"/>
  <c r="I139"/>
  <c r="H139"/>
  <c r="G139"/>
  <c r="F139"/>
  <c r="E139"/>
  <c r="D139"/>
  <c r="C139"/>
  <c r="B139"/>
  <c r="S139" s="1"/>
  <c r="I138"/>
  <c r="H138"/>
  <c r="G138"/>
  <c r="F138"/>
  <c r="E138"/>
  <c r="D138"/>
  <c r="C138"/>
  <c r="B138"/>
  <c r="S138" s="1"/>
  <c r="I137"/>
  <c r="H137"/>
  <c r="G137"/>
  <c r="F137"/>
  <c r="E137"/>
  <c r="D137"/>
  <c r="C137"/>
  <c r="B137"/>
  <c r="S137" s="1"/>
  <c r="I136"/>
  <c r="H136"/>
  <c r="G136"/>
  <c r="F136"/>
  <c r="E136"/>
  <c r="D136"/>
  <c r="C136"/>
  <c r="B136"/>
  <c r="S136" s="1"/>
  <c r="I135"/>
  <c r="H135"/>
  <c r="G135"/>
  <c r="F135"/>
  <c r="E135"/>
  <c r="D135"/>
  <c r="C135"/>
  <c r="B135"/>
  <c r="S135" s="1"/>
  <c r="I134"/>
  <c r="H134"/>
  <c r="G134"/>
  <c r="F134"/>
  <c r="E134"/>
  <c r="D134"/>
  <c r="C134"/>
  <c r="B134"/>
  <c r="S134" s="1"/>
  <c r="I133"/>
  <c r="H133"/>
  <c r="G133"/>
  <c r="F133"/>
  <c r="E133"/>
  <c r="D133"/>
  <c r="C133"/>
  <c r="B133"/>
  <c r="S133" s="1"/>
  <c r="I132"/>
  <c r="H132"/>
  <c r="G132"/>
  <c r="F132"/>
  <c r="E132"/>
  <c r="D132"/>
  <c r="C132"/>
  <c r="B132"/>
  <c r="S132" s="1"/>
  <c r="I131"/>
  <c r="H131"/>
  <c r="G131"/>
  <c r="F131"/>
  <c r="E131"/>
  <c r="D131"/>
  <c r="C131"/>
  <c r="B131"/>
  <c r="S131" s="1"/>
  <c r="I130"/>
  <c r="H130"/>
  <c r="G130"/>
  <c r="F130"/>
  <c r="E130"/>
  <c r="D130"/>
  <c r="C130"/>
  <c r="B130"/>
  <c r="S130" s="1"/>
  <c r="I129"/>
  <c r="H129"/>
  <c r="G129"/>
  <c r="F129"/>
  <c r="E129"/>
  <c r="D129"/>
  <c r="C129"/>
  <c r="B129"/>
  <c r="S129" s="1"/>
  <c r="I128"/>
  <c r="H128"/>
  <c r="G128"/>
  <c r="F128"/>
  <c r="E128"/>
  <c r="D128"/>
  <c r="C128"/>
  <c r="B128"/>
  <c r="S128" s="1"/>
  <c r="I127"/>
  <c r="H127"/>
  <c r="G127"/>
  <c r="F127"/>
  <c r="E127"/>
  <c r="D127"/>
  <c r="C127"/>
  <c r="B127"/>
  <c r="S127" s="1"/>
  <c r="I126"/>
  <c r="H126"/>
  <c r="G126"/>
  <c r="F126"/>
  <c r="E126"/>
  <c r="D126"/>
  <c r="C126"/>
  <c r="B126"/>
  <c r="S126" s="1"/>
  <c r="I125"/>
  <c r="H125"/>
  <c r="G125"/>
  <c r="F125"/>
  <c r="E125"/>
  <c r="D125"/>
  <c r="C125"/>
  <c r="B125"/>
  <c r="I124"/>
  <c r="H124"/>
  <c r="G124"/>
  <c r="F124"/>
  <c r="E124"/>
  <c r="D124"/>
  <c r="C124"/>
  <c r="B124"/>
  <c r="S124" s="1"/>
  <c r="I123"/>
  <c r="H123"/>
  <c r="G123"/>
  <c r="F123"/>
  <c r="E123"/>
  <c r="D123"/>
  <c r="C123"/>
  <c r="B123"/>
  <c r="S123" s="1"/>
  <c r="I122"/>
  <c r="H122"/>
  <c r="G122"/>
  <c r="F122"/>
  <c r="E122"/>
  <c r="D122"/>
  <c r="C122"/>
  <c r="B122"/>
  <c r="S122" s="1"/>
  <c r="I121"/>
  <c r="H121"/>
  <c r="G121"/>
  <c r="F121"/>
  <c r="E121"/>
  <c r="D121"/>
  <c r="C121"/>
  <c r="B121"/>
  <c r="S121" s="1"/>
  <c r="I120"/>
  <c r="H120"/>
  <c r="G120"/>
  <c r="F120"/>
  <c r="E120"/>
  <c r="D120"/>
  <c r="C120"/>
  <c r="B120"/>
  <c r="S120" s="1"/>
  <c r="I119"/>
  <c r="H119"/>
  <c r="G119"/>
  <c r="F119"/>
  <c r="E119"/>
  <c r="D119"/>
  <c r="C119"/>
  <c r="B119"/>
  <c r="S119" s="1"/>
  <c r="I118"/>
  <c r="H118"/>
  <c r="G118"/>
  <c r="F118"/>
  <c r="E118"/>
  <c r="D118"/>
  <c r="C118"/>
  <c r="B118"/>
  <c r="S118" s="1"/>
  <c r="I117"/>
  <c r="H117"/>
  <c r="G117"/>
  <c r="F117"/>
  <c r="E117"/>
  <c r="D117"/>
  <c r="C117"/>
  <c r="B117"/>
  <c r="S117" s="1"/>
  <c r="I116"/>
  <c r="H116"/>
  <c r="G116"/>
  <c r="F116"/>
  <c r="E116"/>
  <c r="D116"/>
  <c r="C116"/>
  <c r="B116"/>
  <c r="S116" s="1"/>
  <c r="I115"/>
  <c r="H115"/>
  <c r="G115"/>
  <c r="F115"/>
  <c r="E115"/>
  <c r="D115"/>
  <c r="C115"/>
  <c r="B115"/>
  <c r="S115" s="1"/>
  <c r="I114"/>
  <c r="H114"/>
  <c r="G114"/>
  <c r="F114"/>
  <c r="E114"/>
  <c r="D114"/>
  <c r="C114"/>
  <c r="B114"/>
  <c r="S114" s="1"/>
  <c r="I113"/>
  <c r="H113"/>
  <c r="G113"/>
  <c r="F113"/>
  <c r="E113"/>
  <c r="D113"/>
  <c r="C113"/>
  <c r="B113"/>
  <c r="S113" s="1"/>
  <c r="I112"/>
  <c r="H112"/>
  <c r="G112"/>
  <c r="F112"/>
  <c r="E112"/>
  <c r="D112"/>
  <c r="C112"/>
  <c r="B112"/>
  <c r="S112" s="1"/>
  <c r="I111"/>
  <c r="H111"/>
  <c r="G111"/>
  <c r="F111"/>
  <c r="E111"/>
  <c r="D111"/>
  <c r="C111"/>
  <c r="B111"/>
  <c r="S111" s="1"/>
  <c r="I110"/>
  <c r="H110"/>
  <c r="G110"/>
  <c r="F110"/>
  <c r="E110"/>
  <c r="D110"/>
  <c r="C110"/>
  <c r="B110"/>
  <c r="S110" s="1"/>
  <c r="I109"/>
  <c r="H109"/>
  <c r="G109"/>
  <c r="F109"/>
  <c r="E109"/>
  <c r="D109"/>
  <c r="C109"/>
  <c r="B109"/>
  <c r="S109" s="1"/>
  <c r="I108"/>
  <c r="H108"/>
  <c r="G108"/>
  <c r="F108"/>
  <c r="E108"/>
  <c r="D108"/>
  <c r="C108"/>
  <c r="B108"/>
  <c r="S108" s="1"/>
  <c r="I107"/>
  <c r="H107"/>
  <c r="G107"/>
  <c r="F107"/>
  <c r="E107"/>
  <c r="D107"/>
  <c r="C107"/>
  <c r="B107"/>
  <c r="S107" s="1"/>
  <c r="I106"/>
  <c r="H106"/>
  <c r="G106"/>
  <c r="F106"/>
  <c r="E106"/>
  <c r="D106"/>
  <c r="C106"/>
  <c r="B106"/>
  <c r="S106" s="1"/>
  <c r="I105"/>
  <c r="H105"/>
  <c r="G105"/>
  <c r="F105"/>
  <c r="E105"/>
  <c r="D105"/>
  <c r="C105"/>
  <c r="B105"/>
  <c r="S105" s="1"/>
  <c r="I104"/>
  <c r="H104"/>
  <c r="G104"/>
  <c r="F104"/>
  <c r="E104"/>
  <c r="D104"/>
  <c r="C104"/>
  <c r="B104"/>
  <c r="S104" s="1"/>
  <c r="I103"/>
  <c r="H103"/>
  <c r="G103"/>
  <c r="F103"/>
  <c r="E103"/>
  <c r="D103"/>
  <c r="C103"/>
  <c r="B103"/>
  <c r="S103" s="1"/>
  <c r="I102"/>
  <c r="H102"/>
  <c r="G102"/>
  <c r="F102"/>
  <c r="E102"/>
  <c r="D102"/>
  <c r="C102"/>
  <c r="B102"/>
  <c r="S102" s="1"/>
  <c r="I101"/>
  <c r="H101"/>
  <c r="G101"/>
  <c r="F101"/>
  <c r="E101"/>
  <c r="D101"/>
  <c r="C101"/>
  <c r="B101"/>
  <c r="S101" s="1"/>
  <c r="I100"/>
  <c r="H100"/>
  <c r="G100"/>
  <c r="F100"/>
  <c r="E100"/>
  <c r="D100"/>
  <c r="C100"/>
  <c r="B100"/>
  <c r="S100" s="1"/>
  <c r="I99"/>
  <c r="H99"/>
  <c r="G99"/>
  <c r="F99"/>
  <c r="E99"/>
  <c r="D99"/>
  <c r="C99"/>
  <c r="B99"/>
  <c r="S99" s="1"/>
  <c r="I98"/>
  <c r="H98"/>
  <c r="G98"/>
  <c r="F98"/>
  <c r="E98"/>
  <c r="D98"/>
  <c r="C98"/>
  <c r="B98"/>
  <c r="S98" s="1"/>
  <c r="I97"/>
  <c r="H97"/>
  <c r="G97"/>
  <c r="F97"/>
  <c r="E97"/>
  <c r="D97"/>
  <c r="C97"/>
  <c r="B97"/>
  <c r="S97" s="1"/>
  <c r="I96"/>
  <c r="H96"/>
  <c r="G96"/>
  <c r="F96"/>
  <c r="E96"/>
  <c r="D96"/>
  <c r="C96"/>
  <c r="B96"/>
  <c r="S96" s="1"/>
  <c r="I95"/>
  <c r="H95"/>
  <c r="G95"/>
  <c r="F95"/>
  <c r="E95"/>
  <c r="D95"/>
  <c r="C95"/>
  <c r="B95"/>
  <c r="S95" s="1"/>
  <c r="I94"/>
  <c r="H94"/>
  <c r="G94"/>
  <c r="F94"/>
  <c r="E94"/>
  <c r="D94"/>
  <c r="C94"/>
  <c r="B94"/>
  <c r="S94" s="1"/>
  <c r="I93"/>
  <c r="H93"/>
  <c r="G93"/>
  <c r="F93"/>
  <c r="E93"/>
  <c r="D93"/>
  <c r="C93"/>
  <c r="B93"/>
  <c r="S93" s="1"/>
  <c r="I92"/>
  <c r="H92"/>
  <c r="G92"/>
  <c r="F92"/>
  <c r="E92"/>
  <c r="D92"/>
  <c r="C92"/>
  <c r="B92"/>
  <c r="S92" s="1"/>
  <c r="I91"/>
  <c r="H91"/>
  <c r="G91"/>
  <c r="F91"/>
  <c r="E91"/>
  <c r="D91"/>
  <c r="C91"/>
  <c r="B91"/>
  <c r="S91" s="1"/>
  <c r="I90"/>
  <c r="H90"/>
  <c r="G90"/>
  <c r="F90"/>
  <c r="E90"/>
  <c r="D90"/>
  <c r="C90"/>
  <c r="B90"/>
  <c r="S90" s="1"/>
  <c r="I89"/>
  <c r="H89"/>
  <c r="G89"/>
  <c r="F89"/>
  <c r="E89"/>
  <c r="D89"/>
  <c r="C89"/>
  <c r="B89"/>
  <c r="S89" s="1"/>
  <c r="I88"/>
  <c r="H88"/>
  <c r="G88"/>
  <c r="F88"/>
  <c r="E88"/>
  <c r="D88"/>
  <c r="C88"/>
  <c r="B88"/>
  <c r="S88" s="1"/>
  <c r="I87"/>
  <c r="H87"/>
  <c r="G87"/>
  <c r="F87"/>
  <c r="E87"/>
  <c r="D87"/>
  <c r="C87"/>
  <c r="B87"/>
  <c r="S87" s="1"/>
  <c r="I86"/>
  <c r="H86"/>
  <c r="G86"/>
  <c r="F86"/>
  <c r="E86"/>
  <c r="D86"/>
  <c r="C86"/>
  <c r="B86"/>
  <c r="S86" s="1"/>
  <c r="I85"/>
  <c r="H85"/>
  <c r="G85"/>
  <c r="F85"/>
  <c r="E85"/>
  <c r="D85"/>
  <c r="C85"/>
  <c r="B85"/>
  <c r="I84"/>
  <c r="H84"/>
  <c r="G84"/>
  <c r="F84"/>
  <c r="E84"/>
  <c r="D84"/>
  <c r="C84"/>
  <c r="B84"/>
  <c r="S84" s="1"/>
  <c r="I83"/>
  <c r="H83"/>
  <c r="G83"/>
  <c r="F83"/>
  <c r="E83"/>
  <c r="D83"/>
  <c r="C83"/>
  <c r="B83"/>
  <c r="S83" s="1"/>
  <c r="I82"/>
  <c r="H82"/>
  <c r="G82"/>
  <c r="F82"/>
  <c r="E82"/>
  <c r="D82"/>
  <c r="C82"/>
  <c r="B82"/>
  <c r="S82" s="1"/>
  <c r="I81"/>
  <c r="H81"/>
  <c r="G81"/>
  <c r="F81"/>
  <c r="E81"/>
  <c r="D81"/>
  <c r="C81"/>
  <c r="B81"/>
  <c r="S81" s="1"/>
  <c r="I80"/>
  <c r="H80"/>
  <c r="G80"/>
  <c r="F80"/>
  <c r="E80"/>
  <c r="D80"/>
  <c r="C80"/>
  <c r="B80"/>
  <c r="S80" s="1"/>
  <c r="I79"/>
  <c r="H79"/>
  <c r="G79"/>
  <c r="F79"/>
  <c r="E79"/>
  <c r="D79"/>
  <c r="C79"/>
  <c r="B79"/>
  <c r="S79" s="1"/>
  <c r="I78"/>
  <c r="H78"/>
  <c r="G78"/>
  <c r="F78"/>
  <c r="E78"/>
  <c r="D78"/>
  <c r="C78"/>
  <c r="B78"/>
  <c r="S78" s="1"/>
  <c r="I77"/>
  <c r="H77"/>
  <c r="G77"/>
  <c r="F77"/>
  <c r="E77"/>
  <c r="D77"/>
  <c r="C77"/>
  <c r="B77"/>
  <c r="I76"/>
  <c r="H76"/>
  <c r="G76"/>
  <c r="F76"/>
  <c r="E76"/>
  <c r="D76"/>
  <c r="C76"/>
  <c r="B76"/>
  <c r="S76" s="1"/>
  <c r="I75"/>
  <c r="H75"/>
  <c r="G75"/>
  <c r="F75"/>
  <c r="E75"/>
  <c r="D75"/>
  <c r="C75"/>
  <c r="B75"/>
  <c r="S75" s="1"/>
  <c r="I74"/>
  <c r="H74"/>
  <c r="G74"/>
  <c r="F74"/>
  <c r="E74"/>
  <c r="D74"/>
  <c r="C74"/>
  <c r="B74"/>
  <c r="S74" s="1"/>
  <c r="I73"/>
  <c r="H73"/>
  <c r="G73"/>
  <c r="F73"/>
  <c r="E73"/>
  <c r="D73"/>
  <c r="C73"/>
  <c r="B73"/>
  <c r="S73" s="1"/>
  <c r="I72"/>
  <c r="H72"/>
  <c r="G72"/>
  <c r="F72"/>
  <c r="E72"/>
  <c r="D72"/>
  <c r="C72"/>
  <c r="B72"/>
  <c r="S72" s="1"/>
  <c r="I71"/>
  <c r="H71"/>
  <c r="G71"/>
  <c r="F71"/>
  <c r="E71"/>
  <c r="D71"/>
  <c r="C71"/>
  <c r="B71"/>
  <c r="S71" s="1"/>
  <c r="I70"/>
  <c r="H70"/>
  <c r="G70"/>
  <c r="F70"/>
  <c r="E70"/>
  <c r="D70"/>
  <c r="C70"/>
  <c r="B70"/>
  <c r="S70" s="1"/>
  <c r="I69"/>
  <c r="H69"/>
  <c r="G69"/>
  <c r="F69"/>
  <c r="E69"/>
  <c r="D69"/>
  <c r="C69"/>
  <c r="B69"/>
  <c r="S69" s="1"/>
  <c r="I68"/>
  <c r="H68"/>
  <c r="G68"/>
  <c r="F68"/>
  <c r="E68"/>
  <c r="D68"/>
  <c r="C68"/>
  <c r="B68"/>
  <c r="S68" s="1"/>
  <c r="I67"/>
  <c r="H67"/>
  <c r="G67"/>
  <c r="F67"/>
  <c r="E67"/>
  <c r="D67"/>
  <c r="C67"/>
  <c r="B67"/>
  <c r="S67" s="1"/>
  <c r="I66"/>
  <c r="H66"/>
  <c r="G66"/>
  <c r="F66"/>
  <c r="E66"/>
  <c r="D66"/>
  <c r="C66"/>
  <c r="B66"/>
  <c r="S66" s="1"/>
  <c r="I65"/>
  <c r="H65"/>
  <c r="G65"/>
  <c r="F65"/>
  <c r="E65"/>
  <c r="D65"/>
  <c r="C65"/>
  <c r="B65"/>
  <c r="S65" s="1"/>
  <c r="I64"/>
  <c r="H64"/>
  <c r="G64"/>
  <c r="F64"/>
  <c r="E64"/>
  <c r="D64"/>
  <c r="C64"/>
  <c r="B64"/>
  <c r="S64" s="1"/>
  <c r="I63"/>
  <c r="H63"/>
  <c r="G63"/>
  <c r="F63"/>
  <c r="E63"/>
  <c r="D63"/>
  <c r="C63"/>
  <c r="B63"/>
  <c r="S63" s="1"/>
  <c r="I62"/>
  <c r="H62"/>
  <c r="G62"/>
  <c r="F62"/>
  <c r="E62"/>
  <c r="D62"/>
  <c r="C62"/>
  <c r="B62"/>
  <c r="S62" s="1"/>
  <c r="I61"/>
  <c r="H61"/>
  <c r="G61"/>
  <c r="F61"/>
  <c r="E61"/>
  <c r="D61"/>
  <c r="C61"/>
  <c r="B61"/>
  <c r="S61" s="1"/>
  <c r="I60"/>
  <c r="H60"/>
  <c r="G60"/>
  <c r="F60"/>
  <c r="E60"/>
  <c r="D60"/>
  <c r="C60"/>
  <c r="B60"/>
  <c r="S60" s="1"/>
  <c r="I59"/>
  <c r="H59"/>
  <c r="G59"/>
  <c r="F59"/>
  <c r="E59"/>
  <c r="D59"/>
  <c r="C59"/>
  <c r="B59"/>
  <c r="S59" s="1"/>
  <c r="I58"/>
  <c r="H58"/>
  <c r="G58"/>
  <c r="F58"/>
  <c r="E58"/>
  <c r="D58"/>
  <c r="C58"/>
  <c r="B58"/>
  <c r="S58" s="1"/>
  <c r="I57"/>
  <c r="H57"/>
  <c r="G57"/>
  <c r="F57"/>
  <c r="E57"/>
  <c r="D57"/>
  <c r="C57"/>
  <c r="B57"/>
  <c r="S57" s="1"/>
  <c r="I56"/>
  <c r="H56"/>
  <c r="G56"/>
  <c r="F56"/>
  <c r="E56"/>
  <c r="D56"/>
  <c r="C56"/>
  <c r="B56"/>
  <c r="S56" s="1"/>
  <c r="I55"/>
  <c r="H55"/>
  <c r="G55"/>
  <c r="F55"/>
  <c r="E55"/>
  <c r="D55"/>
  <c r="C55"/>
  <c r="B55"/>
  <c r="S55" s="1"/>
  <c r="I54"/>
  <c r="H54"/>
  <c r="G54"/>
  <c r="F54"/>
  <c r="E54"/>
  <c r="D54"/>
  <c r="C54"/>
  <c r="B54"/>
  <c r="S54" s="1"/>
  <c r="I53"/>
  <c r="H53"/>
  <c r="G53"/>
  <c r="F53"/>
  <c r="E53"/>
  <c r="D53"/>
  <c r="C53"/>
  <c r="B53"/>
  <c r="S53" s="1"/>
  <c r="I52"/>
  <c r="H52"/>
  <c r="G52"/>
  <c r="F52"/>
  <c r="E52"/>
  <c r="D52"/>
  <c r="C52"/>
  <c r="B52"/>
  <c r="S52" s="1"/>
  <c r="I51"/>
  <c r="H51"/>
  <c r="G51"/>
  <c r="F51"/>
  <c r="E51"/>
  <c r="D51"/>
  <c r="C51"/>
  <c r="B51"/>
  <c r="S51" s="1"/>
  <c r="I50"/>
  <c r="H50"/>
  <c r="G50"/>
  <c r="F50"/>
  <c r="E50"/>
  <c r="D50"/>
  <c r="C50"/>
  <c r="B50"/>
  <c r="S50" s="1"/>
  <c r="I49"/>
  <c r="H49"/>
  <c r="G49"/>
  <c r="F49"/>
  <c r="E49"/>
  <c r="D49"/>
  <c r="C49"/>
  <c r="B49"/>
  <c r="S49" s="1"/>
  <c r="I48"/>
  <c r="H48"/>
  <c r="G48"/>
  <c r="F48"/>
  <c r="E48"/>
  <c r="D48"/>
  <c r="C48"/>
  <c r="B48"/>
  <c r="S48" s="1"/>
  <c r="I47"/>
  <c r="H47"/>
  <c r="G47"/>
  <c r="F47"/>
  <c r="E47"/>
  <c r="D47"/>
  <c r="C47"/>
  <c r="B47"/>
  <c r="S47" s="1"/>
  <c r="I46"/>
  <c r="H46"/>
  <c r="G46"/>
  <c r="F46"/>
  <c r="E46"/>
  <c r="D46"/>
  <c r="C46"/>
  <c r="B46"/>
  <c r="S46" s="1"/>
  <c r="I45"/>
  <c r="H45"/>
  <c r="G45"/>
  <c r="F45"/>
  <c r="E45"/>
  <c r="D45"/>
  <c r="C45"/>
  <c r="B45"/>
  <c r="S45" s="1"/>
  <c r="I44"/>
  <c r="H44"/>
  <c r="G44"/>
  <c r="F44"/>
  <c r="E44"/>
  <c r="D44"/>
  <c r="C44"/>
  <c r="B44"/>
  <c r="S44" s="1"/>
  <c r="I43"/>
  <c r="H43"/>
  <c r="G43"/>
  <c r="F43"/>
  <c r="E43"/>
  <c r="D43"/>
  <c r="C43"/>
  <c r="B43"/>
  <c r="S43" s="1"/>
  <c r="I42"/>
  <c r="H42"/>
  <c r="G42"/>
  <c r="F42"/>
  <c r="E42"/>
  <c r="D42"/>
  <c r="C42"/>
  <c r="B42"/>
  <c r="S42" s="1"/>
  <c r="I41"/>
  <c r="H41"/>
  <c r="G41"/>
  <c r="F41"/>
  <c r="E41"/>
  <c r="D41"/>
  <c r="C41"/>
  <c r="B41"/>
  <c r="S41" s="1"/>
  <c r="I40"/>
  <c r="H40"/>
  <c r="G40"/>
  <c r="F40"/>
  <c r="E40"/>
  <c r="D40"/>
  <c r="C40"/>
  <c r="B40"/>
  <c r="S40" s="1"/>
  <c r="I39"/>
  <c r="H39"/>
  <c r="G39"/>
  <c r="F39"/>
  <c r="E39"/>
  <c r="D39"/>
  <c r="C39"/>
  <c r="B39"/>
  <c r="S39" s="1"/>
  <c r="I38"/>
  <c r="H38"/>
  <c r="G38"/>
  <c r="F38"/>
  <c r="E38"/>
  <c r="D38"/>
  <c r="C38"/>
  <c r="B38"/>
  <c r="I37"/>
  <c r="H37"/>
  <c r="G37"/>
  <c r="F37"/>
  <c r="E37"/>
  <c r="D37"/>
  <c r="C37"/>
  <c r="B37"/>
  <c r="I36"/>
  <c r="H36"/>
  <c r="G36"/>
  <c r="F36"/>
  <c r="E36"/>
  <c r="D36"/>
  <c r="C36"/>
  <c r="B36"/>
  <c r="I35"/>
  <c r="H35"/>
  <c r="G35"/>
  <c r="F35"/>
  <c r="E35"/>
  <c r="D35"/>
  <c r="C35"/>
  <c r="B35"/>
  <c r="I34"/>
  <c r="H34"/>
  <c r="G34"/>
  <c r="F34"/>
  <c r="E34"/>
  <c r="D34"/>
  <c r="C34"/>
  <c r="B34"/>
  <c r="I33"/>
  <c r="H33"/>
  <c r="G33"/>
  <c r="F33"/>
  <c r="E33"/>
  <c r="D33"/>
  <c r="C33"/>
  <c r="B33"/>
  <c r="I32"/>
  <c r="H32"/>
  <c r="G32"/>
  <c r="F32"/>
  <c r="E32"/>
  <c r="D32"/>
  <c r="C32"/>
  <c r="B32"/>
  <c r="I31"/>
  <c r="H31"/>
  <c r="G31"/>
  <c r="F31"/>
  <c r="E31"/>
  <c r="D31"/>
  <c r="C31"/>
  <c r="B31"/>
  <c r="I30"/>
  <c r="H30"/>
  <c r="G30"/>
  <c r="F30"/>
  <c r="E30"/>
  <c r="D30"/>
  <c r="C30"/>
  <c r="B30"/>
  <c r="I29"/>
  <c r="H29"/>
  <c r="G29"/>
  <c r="F29"/>
  <c r="E29"/>
  <c r="D29"/>
  <c r="C29"/>
  <c r="B29"/>
  <c r="I28"/>
  <c r="H28"/>
  <c r="G28"/>
  <c r="F28"/>
  <c r="E28"/>
  <c r="D28"/>
  <c r="C28"/>
  <c r="B28"/>
  <c r="I27"/>
  <c r="H27"/>
  <c r="G27"/>
  <c r="F27"/>
  <c r="E27"/>
  <c r="D27"/>
  <c r="C27"/>
  <c r="B27"/>
  <c r="I26"/>
  <c r="H26"/>
  <c r="G26"/>
  <c r="F26"/>
  <c r="E26"/>
  <c r="D26"/>
  <c r="C26"/>
  <c r="B26"/>
  <c r="I25"/>
  <c r="H25"/>
  <c r="G25"/>
  <c r="F25"/>
  <c r="E25"/>
  <c r="D25"/>
  <c r="C25"/>
  <c r="B25"/>
  <c r="I24"/>
  <c r="H24"/>
  <c r="G24"/>
  <c r="F24"/>
  <c r="E24"/>
  <c r="D24"/>
  <c r="C24"/>
  <c r="B24"/>
  <c r="I23"/>
  <c r="H23"/>
  <c r="G23"/>
  <c r="F23"/>
  <c r="E23"/>
  <c r="D23"/>
  <c r="C23"/>
  <c r="B23"/>
  <c r="I22"/>
  <c r="H22"/>
  <c r="G22"/>
  <c r="F22"/>
  <c r="E22"/>
  <c r="D22"/>
  <c r="C22"/>
  <c r="B22"/>
  <c r="I21"/>
  <c r="H21"/>
  <c r="G21"/>
  <c r="F21"/>
  <c r="E21"/>
  <c r="D21"/>
  <c r="C21"/>
  <c r="B21"/>
  <c r="I20"/>
  <c r="H20"/>
  <c r="G20"/>
  <c r="F20"/>
  <c r="E20"/>
  <c r="D20"/>
  <c r="C20"/>
  <c r="B20"/>
  <c r="I19"/>
  <c r="H19"/>
  <c r="G19"/>
  <c r="F19"/>
  <c r="E19"/>
  <c r="D19"/>
  <c r="C19"/>
  <c r="B19"/>
  <c r="I18"/>
  <c r="H18"/>
  <c r="G18"/>
  <c r="F18"/>
  <c r="E18"/>
  <c r="D18"/>
  <c r="C18"/>
  <c r="B18"/>
  <c r="I17"/>
  <c r="H17"/>
  <c r="G17"/>
  <c r="F17"/>
  <c r="E17"/>
  <c r="D17"/>
  <c r="C17"/>
  <c r="B17"/>
  <c r="I16"/>
  <c r="H16"/>
  <c r="G16"/>
  <c r="F16"/>
  <c r="E16"/>
  <c r="D16"/>
  <c r="C16"/>
  <c r="B16"/>
  <c r="I15"/>
  <c r="H15"/>
  <c r="G15"/>
  <c r="F15"/>
  <c r="E15"/>
  <c r="D15"/>
  <c r="C15"/>
  <c r="B15"/>
  <c r="I14"/>
  <c r="H14"/>
  <c r="G14"/>
  <c r="F14"/>
  <c r="E14"/>
  <c r="D14"/>
  <c r="C14"/>
  <c r="B14"/>
  <c r="I13"/>
  <c r="H13"/>
  <c r="G13"/>
  <c r="F13"/>
  <c r="E13"/>
  <c r="D13"/>
  <c r="C13"/>
  <c r="B13"/>
  <c r="I12"/>
  <c r="H12"/>
  <c r="G12"/>
  <c r="F12"/>
  <c r="E12"/>
  <c r="D12"/>
  <c r="C12"/>
  <c r="B12"/>
  <c r="I11"/>
  <c r="H11"/>
  <c r="G11"/>
  <c r="F11"/>
  <c r="E11"/>
  <c r="D11"/>
  <c r="C11"/>
  <c r="B11"/>
  <c r="I10"/>
  <c r="H10"/>
  <c r="G10"/>
  <c r="F10"/>
  <c r="E10"/>
  <c r="D10"/>
  <c r="C10"/>
  <c r="B10"/>
  <c r="I9"/>
  <c r="H9"/>
  <c r="G9"/>
  <c r="F9"/>
  <c r="E9"/>
  <c r="D9"/>
  <c r="C9"/>
  <c r="B9"/>
  <c r="I8"/>
  <c r="H8"/>
  <c r="G8"/>
  <c r="F8"/>
  <c r="E8"/>
  <c r="D8"/>
  <c r="C8"/>
  <c r="B8"/>
  <c r="F218"/>
  <c r="F217"/>
  <c r="F216"/>
  <c r="F215"/>
  <c r="F214"/>
  <c r="F213"/>
  <c r="F212"/>
  <c r="F211"/>
  <c r="F210"/>
  <c r="F209"/>
  <c r="X7" i="9"/>
  <c r="W8"/>
  <c r="W9"/>
  <c r="W10"/>
  <c r="W11"/>
  <c r="W12"/>
  <c r="W13"/>
  <c r="W14"/>
  <c r="W15"/>
  <c r="W16"/>
  <c r="W17"/>
  <c r="W18"/>
  <c r="W19"/>
  <c r="W20"/>
  <c r="W21"/>
  <c r="W22"/>
  <c r="W23"/>
  <c r="W24"/>
  <c r="W25"/>
  <c r="W26"/>
  <c r="W27"/>
  <c r="W28"/>
  <c r="W29"/>
  <c r="W30"/>
  <c r="W31"/>
  <c r="W32"/>
  <c r="W33"/>
  <c r="W34"/>
  <c r="W35"/>
  <c r="W36"/>
  <c r="W3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W106"/>
  <c r="W107"/>
  <c r="W108"/>
  <c r="W109"/>
  <c r="W110"/>
  <c r="W111"/>
  <c r="W112"/>
  <c r="W113"/>
  <c r="W114"/>
  <c r="W115"/>
  <c r="W116"/>
  <c r="W117"/>
  <c r="W118"/>
  <c r="W119"/>
  <c r="W120"/>
  <c r="W121"/>
  <c r="W122"/>
  <c r="W123"/>
  <c r="W124"/>
  <c r="W125"/>
  <c r="W126"/>
  <c r="W127"/>
  <c r="W128"/>
  <c r="W129"/>
  <c r="W130"/>
  <c r="W131"/>
  <c r="W132"/>
  <c r="W133"/>
  <c r="W134"/>
  <c r="W135"/>
  <c r="W136"/>
  <c r="W137"/>
  <c r="W138"/>
  <c r="W139"/>
  <c r="W140"/>
  <c r="W141"/>
  <c r="W142"/>
  <c r="W143"/>
  <c r="W144"/>
  <c r="W145"/>
  <c r="W146"/>
  <c r="W147"/>
  <c r="W148"/>
  <c r="W149"/>
  <c r="W150"/>
  <c r="W151"/>
  <c r="W152"/>
  <c r="W153"/>
  <c r="W154"/>
  <c r="W155"/>
  <c r="W156"/>
  <c r="W157"/>
  <c r="W158"/>
  <c r="W159"/>
  <c r="W160"/>
  <c r="W161"/>
  <c r="W162"/>
  <c r="W163"/>
  <c r="W164"/>
  <c r="W165"/>
  <c r="W166"/>
  <c r="W167"/>
  <c r="W168"/>
  <c r="W169"/>
  <c r="W170"/>
  <c r="W171"/>
  <c r="W172"/>
  <c r="W173"/>
  <c r="W174"/>
  <c r="W175"/>
  <c r="W176"/>
  <c r="W177"/>
  <c r="W178"/>
  <c r="W179"/>
  <c r="W180"/>
  <c r="W181"/>
  <c r="W182"/>
  <c r="W183"/>
  <c r="W184"/>
  <c r="W185"/>
  <c r="W186"/>
  <c r="W187"/>
  <c r="W188"/>
  <c r="W189"/>
  <c r="W190"/>
  <c r="W191"/>
  <c r="W192"/>
  <c r="W193"/>
  <c r="W194"/>
  <c r="W195"/>
  <c r="W196"/>
  <c r="W197"/>
  <c r="W198"/>
  <c r="W199"/>
  <c r="W200"/>
  <c r="W201"/>
  <c r="W202"/>
  <c r="W203"/>
  <c r="W204"/>
  <c r="W205"/>
  <c r="W206"/>
  <c r="W7"/>
  <c r="V7"/>
  <c r="U7"/>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37"/>
  <c r="T37"/>
  <c r="S38"/>
  <c r="T38"/>
  <c r="S39"/>
  <c r="T39"/>
  <c r="S40"/>
  <c r="T40"/>
  <c r="S41"/>
  <c r="T41"/>
  <c r="S42"/>
  <c r="T42"/>
  <c r="S43"/>
  <c r="T43"/>
  <c r="S44"/>
  <c r="T44"/>
  <c r="S45"/>
  <c r="T45"/>
  <c r="S46"/>
  <c r="T46"/>
  <c r="S47"/>
  <c r="T47"/>
  <c r="S48"/>
  <c r="T48"/>
  <c r="S49"/>
  <c r="T49"/>
  <c r="S50"/>
  <c r="T50"/>
  <c r="S51"/>
  <c r="T51"/>
  <c r="S52"/>
  <c r="T52"/>
  <c r="S53"/>
  <c r="T53"/>
  <c r="S54"/>
  <c r="T54"/>
  <c r="S55"/>
  <c r="T55"/>
  <c r="S56"/>
  <c r="T56"/>
  <c r="S57"/>
  <c r="T57"/>
  <c r="S58"/>
  <c r="T58"/>
  <c r="S59"/>
  <c r="T59"/>
  <c r="S60"/>
  <c r="T60"/>
  <c r="S61"/>
  <c r="T61"/>
  <c r="S62"/>
  <c r="T62"/>
  <c r="S63"/>
  <c r="T63"/>
  <c r="S64"/>
  <c r="T64"/>
  <c r="S65"/>
  <c r="T65"/>
  <c r="S66"/>
  <c r="T66"/>
  <c r="S67"/>
  <c r="T67"/>
  <c r="S68"/>
  <c r="T68"/>
  <c r="S69"/>
  <c r="T69"/>
  <c r="S70"/>
  <c r="T70"/>
  <c r="S71"/>
  <c r="T71"/>
  <c r="S72"/>
  <c r="T72"/>
  <c r="S73"/>
  <c r="T73"/>
  <c r="S74"/>
  <c r="T74"/>
  <c r="S75"/>
  <c r="T75"/>
  <c r="S76"/>
  <c r="T76"/>
  <c r="S77"/>
  <c r="T77"/>
  <c r="S78"/>
  <c r="T78"/>
  <c r="S79"/>
  <c r="T79"/>
  <c r="S80"/>
  <c r="T80"/>
  <c r="S81"/>
  <c r="T81"/>
  <c r="S82"/>
  <c r="T82"/>
  <c r="S83"/>
  <c r="T83"/>
  <c r="S84"/>
  <c r="T84"/>
  <c r="S85"/>
  <c r="T85"/>
  <c r="S86"/>
  <c r="T86"/>
  <c r="S87"/>
  <c r="T87"/>
  <c r="S88"/>
  <c r="T88"/>
  <c r="S89"/>
  <c r="T89"/>
  <c r="S90"/>
  <c r="T90"/>
  <c r="S91"/>
  <c r="T91"/>
  <c r="S92"/>
  <c r="T92"/>
  <c r="S93"/>
  <c r="T93"/>
  <c r="S94"/>
  <c r="T94"/>
  <c r="S95"/>
  <c r="T95"/>
  <c r="S96"/>
  <c r="T96"/>
  <c r="S97"/>
  <c r="T97"/>
  <c r="S98"/>
  <c r="T98"/>
  <c r="S99"/>
  <c r="T99"/>
  <c r="S100"/>
  <c r="T100"/>
  <c r="S101"/>
  <c r="T101"/>
  <c r="S102"/>
  <c r="T102"/>
  <c r="S103"/>
  <c r="T103"/>
  <c r="S104"/>
  <c r="T104"/>
  <c r="S105"/>
  <c r="T105"/>
  <c r="S106"/>
  <c r="T106"/>
  <c r="S107"/>
  <c r="T107"/>
  <c r="S108"/>
  <c r="T108"/>
  <c r="S109"/>
  <c r="T109"/>
  <c r="S110"/>
  <c r="T110"/>
  <c r="S111"/>
  <c r="T111"/>
  <c r="S112"/>
  <c r="T112"/>
  <c r="S113"/>
  <c r="T113"/>
  <c r="S114"/>
  <c r="T114"/>
  <c r="S115"/>
  <c r="T115"/>
  <c r="S116"/>
  <c r="T116"/>
  <c r="S117"/>
  <c r="T117"/>
  <c r="S118"/>
  <c r="T118"/>
  <c r="S119"/>
  <c r="T119"/>
  <c r="S120"/>
  <c r="T120"/>
  <c r="S121"/>
  <c r="T121"/>
  <c r="S122"/>
  <c r="T122"/>
  <c r="S123"/>
  <c r="T123"/>
  <c r="S124"/>
  <c r="T124"/>
  <c r="S125"/>
  <c r="T125"/>
  <c r="S126"/>
  <c r="T126"/>
  <c r="S127"/>
  <c r="T127"/>
  <c r="S128"/>
  <c r="T128"/>
  <c r="S129"/>
  <c r="T129"/>
  <c r="S130"/>
  <c r="T130"/>
  <c r="S131"/>
  <c r="T131"/>
  <c r="S132"/>
  <c r="T132"/>
  <c r="S133"/>
  <c r="T133"/>
  <c r="S134"/>
  <c r="T134"/>
  <c r="S135"/>
  <c r="T135"/>
  <c r="S136"/>
  <c r="T136"/>
  <c r="S137"/>
  <c r="T137"/>
  <c r="S138"/>
  <c r="T138"/>
  <c r="S139"/>
  <c r="T139"/>
  <c r="S140"/>
  <c r="T140"/>
  <c r="S141"/>
  <c r="T141"/>
  <c r="S142"/>
  <c r="T142"/>
  <c r="S143"/>
  <c r="T143"/>
  <c r="S144"/>
  <c r="T144"/>
  <c r="S145"/>
  <c r="T145"/>
  <c r="S146"/>
  <c r="T146"/>
  <c r="S147"/>
  <c r="T147"/>
  <c r="S148"/>
  <c r="T148"/>
  <c r="S149"/>
  <c r="T149"/>
  <c r="S150"/>
  <c r="T150"/>
  <c r="S151"/>
  <c r="T151"/>
  <c r="S152"/>
  <c r="T152"/>
  <c r="S153"/>
  <c r="T153"/>
  <c r="S154"/>
  <c r="T154"/>
  <c r="S155"/>
  <c r="T155"/>
  <c r="S156"/>
  <c r="T156"/>
  <c r="S157"/>
  <c r="T157"/>
  <c r="S158"/>
  <c r="T158"/>
  <c r="S159"/>
  <c r="T159"/>
  <c r="S160"/>
  <c r="T160"/>
  <c r="S161"/>
  <c r="T161"/>
  <c r="S162"/>
  <c r="T162"/>
  <c r="S163"/>
  <c r="T163"/>
  <c r="S164"/>
  <c r="T164"/>
  <c r="S165"/>
  <c r="T165"/>
  <c r="S166"/>
  <c r="T166"/>
  <c r="S167"/>
  <c r="T167"/>
  <c r="S168"/>
  <c r="T168"/>
  <c r="S169"/>
  <c r="T169"/>
  <c r="S170"/>
  <c r="T170"/>
  <c r="S171"/>
  <c r="T171"/>
  <c r="S172"/>
  <c r="T172"/>
  <c r="S173"/>
  <c r="T173"/>
  <c r="S174"/>
  <c r="T174"/>
  <c r="S175"/>
  <c r="T175"/>
  <c r="S176"/>
  <c r="T176"/>
  <c r="S177"/>
  <c r="T177"/>
  <c r="S178"/>
  <c r="T178"/>
  <c r="S179"/>
  <c r="T179"/>
  <c r="S180"/>
  <c r="T180"/>
  <c r="S181"/>
  <c r="T181"/>
  <c r="S182"/>
  <c r="T182"/>
  <c r="S183"/>
  <c r="T183"/>
  <c r="S184"/>
  <c r="T184"/>
  <c r="S185"/>
  <c r="T185"/>
  <c r="S186"/>
  <c r="T186"/>
  <c r="S187"/>
  <c r="T187"/>
  <c r="S188"/>
  <c r="T188"/>
  <c r="S189"/>
  <c r="T189"/>
  <c r="S190"/>
  <c r="T190"/>
  <c r="S191"/>
  <c r="T191"/>
  <c r="S192"/>
  <c r="T192"/>
  <c r="S193"/>
  <c r="T193"/>
  <c r="S194"/>
  <c r="T194"/>
  <c r="S195"/>
  <c r="T195"/>
  <c r="S196"/>
  <c r="T196"/>
  <c r="S197"/>
  <c r="T197"/>
  <c r="S198"/>
  <c r="T198"/>
  <c r="S199"/>
  <c r="T199"/>
  <c r="S200"/>
  <c r="T200"/>
  <c r="S201"/>
  <c r="T201"/>
  <c r="S202"/>
  <c r="T202"/>
  <c r="S203"/>
  <c r="T203"/>
  <c r="S204"/>
  <c r="T204"/>
  <c r="S205"/>
  <c r="T205"/>
  <c r="S206"/>
  <c r="T206"/>
  <c r="S7"/>
  <c r="T7"/>
  <c r="A9" i="20"/>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8"/>
  <c r="W5"/>
  <c r="Q5"/>
  <c r="I5"/>
  <c r="H5"/>
  <c r="G5"/>
  <c r="F5"/>
  <c r="E5"/>
  <c r="D5"/>
  <c r="C5"/>
  <c r="B5"/>
  <c r="A5"/>
  <c r="B3"/>
  <c r="A1"/>
  <c r="D3"/>
  <c r="U205" l="1"/>
  <c r="U201"/>
  <c r="V201" s="1"/>
  <c r="U197"/>
  <c r="U193"/>
  <c r="U189"/>
  <c r="U185"/>
  <c r="V185" s="1"/>
  <c r="U181"/>
  <c r="U177"/>
  <c r="U173"/>
  <c r="U169"/>
  <c r="V169" s="1"/>
  <c r="U165"/>
  <c r="U161"/>
  <c r="U157"/>
  <c r="U153"/>
  <c r="U149"/>
  <c r="U145"/>
  <c r="U141"/>
  <c r="U137"/>
  <c r="U133"/>
  <c r="U129"/>
  <c r="U125"/>
  <c r="U121"/>
  <c r="V121" s="1"/>
  <c r="U117"/>
  <c r="U113"/>
  <c r="U109"/>
  <c r="V109" s="1"/>
  <c r="U105"/>
  <c r="U101"/>
  <c r="U97"/>
  <c r="U93"/>
  <c r="U89"/>
  <c r="V89" s="1"/>
  <c r="U85"/>
  <c r="U81"/>
  <c r="U77"/>
  <c r="V77" s="1"/>
  <c r="U73"/>
  <c r="U69"/>
  <c r="U65"/>
  <c r="U61"/>
  <c r="V61" s="1"/>
  <c r="U57"/>
  <c r="V57" s="1"/>
  <c r="U53"/>
  <c r="U49"/>
  <c r="U45"/>
  <c r="V45" s="1"/>
  <c r="U41"/>
  <c r="S125"/>
  <c r="S85"/>
  <c r="S77"/>
  <c r="U206"/>
  <c r="U202"/>
  <c r="U198"/>
  <c r="U194"/>
  <c r="V194" s="1"/>
  <c r="U190"/>
  <c r="U186"/>
  <c r="U182"/>
  <c r="U178"/>
  <c r="V178" s="1"/>
  <c r="U174"/>
  <c r="U170"/>
  <c r="U166"/>
  <c r="U162"/>
  <c r="V162" s="1"/>
  <c r="U158"/>
  <c r="V158" s="1"/>
  <c r="U154"/>
  <c r="U150"/>
  <c r="U146"/>
  <c r="V146" s="1"/>
  <c r="U142"/>
  <c r="V142" s="1"/>
  <c r="U138"/>
  <c r="U134"/>
  <c r="U130"/>
  <c r="V130" s="1"/>
  <c r="U126"/>
  <c r="V126" s="1"/>
  <c r="U122"/>
  <c r="U118"/>
  <c r="V118" s="1"/>
  <c r="U114"/>
  <c r="U110"/>
  <c r="V110" s="1"/>
  <c r="U106"/>
  <c r="U102"/>
  <c r="V102" s="1"/>
  <c r="U98"/>
  <c r="V98" s="1"/>
  <c r="U94"/>
  <c r="V94" s="1"/>
  <c r="U90"/>
  <c r="V90" s="1"/>
  <c r="U86"/>
  <c r="U82"/>
  <c r="U78"/>
  <c r="U74"/>
  <c r="U70"/>
  <c r="U66"/>
  <c r="U62"/>
  <c r="U58"/>
  <c r="U54"/>
  <c r="U50"/>
  <c r="U46"/>
  <c r="U42"/>
  <c r="V53"/>
  <c r="V69"/>
  <c r="V93"/>
  <c r="V97"/>
  <c r="V101"/>
  <c r="V105"/>
  <c r="V106"/>
  <c r="V113"/>
  <c r="V114"/>
  <c r="V117"/>
  <c r="V122"/>
  <c r="V165"/>
  <c r="V166"/>
  <c r="V170"/>
  <c r="V173"/>
  <c r="V174"/>
  <c r="V177"/>
  <c r="V181"/>
  <c r="V182"/>
  <c r="V186"/>
  <c r="V189"/>
  <c r="V190"/>
  <c r="V193"/>
  <c r="V197"/>
  <c r="V198"/>
  <c r="V202"/>
  <c r="V205"/>
  <c r="V206"/>
  <c r="U207"/>
  <c r="U203"/>
  <c r="U199"/>
  <c r="V199" s="1"/>
  <c r="U195"/>
  <c r="V195" s="1"/>
  <c r="U191"/>
  <c r="U187"/>
  <c r="U183"/>
  <c r="V183" s="1"/>
  <c r="U179"/>
  <c r="V179" s="1"/>
  <c r="U175"/>
  <c r="U171"/>
  <c r="U167"/>
  <c r="V167" s="1"/>
  <c r="U163"/>
  <c r="V163" s="1"/>
  <c r="U159"/>
  <c r="U155"/>
  <c r="U151"/>
  <c r="V151" s="1"/>
  <c r="U147"/>
  <c r="V147" s="1"/>
  <c r="U143"/>
  <c r="U139"/>
  <c r="U135"/>
  <c r="V135" s="1"/>
  <c r="U131"/>
  <c r="V131" s="1"/>
  <c r="U127"/>
  <c r="U123"/>
  <c r="U119"/>
  <c r="V119" s="1"/>
  <c r="U115"/>
  <c r="V115" s="1"/>
  <c r="U111"/>
  <c r="U107"/>
  <c r="U103"/>
  <c r="V103" s="1"/>
  <c r="U99"/>
  <c r="V99" s="1"/>
  <c r="U95"/>
  <c r="U91"/>
  <c r="U87"/>
  <c r="V87" s="1"/>
  <c r="U83"/>
  <c r="V83" s="1"/>
  <c r="U79"/>
  <c r="U75"/>
  <c r="U71"/>
  <c r="V71" s="1"/>
  <c r="U67"/>
  <c r="V67" s="1"/>
  <c r="U63"/>
  <c r="U59"/>
  <c r="U55"/>
  <c r="V55" s="1"/>
  <c r="U51"/>
  <c r="V51" s="1"/>
  <c r="U47"/>
  <c r="U43"/>
  <c r="U39"/>
  <c r="V39" s="1"/>
  <c r="U204"/>
  <c r="V204" s="1"/>
  <c r="U200"/>
  <c r="U196"/>
  <c r="U192"/>
  <c r="V192" s="1"/>
  <c r="U188"/>
  <c r="V188" s="1"/>
  <c r="U184"/>
  <c r="U180"/>
  <c r="U176"/>
  <c r="V176" s="1"/>
  <c r="U172"/>
  <c r="V172" s="1"/>
  <c r="U168"/>
  <c r="U164"/>
  <c r="U160"/>
  <c r="V160" s="1"/>
  <c r="U156"/>
  <c r="V156" s="1"/>
  <c r="U152"/>
  <c r="U148"/>
  <c r="U144"/>
  <c r="V144" s="1"/>
  <c r="U140"/>
  <c r="V140" s="1"/>
  <c r="U136"/>
  <c r="U132"/>
  <c r="U128"/>
  <c r="V128" s="1"/>
  <c r="U124"/>
  <c r="V124" s="1"/>
  <c r="U120"/>
  <c r="U116"/>
  <c r="U112"/>
  <c r="V112" s="1"/>
  <c r="U108"/>
  <c r="V108" s="1"/>
  <c r="U104"/>
  <c r="U100"/>
  <c r="U96"/>
  <c r="V96" s="1"/>
  <c r="U92"/>
  <c r="V92" s="1"/>
  <c r="U88"/>
  <c r="U84"/>
  <c r="U80"/>
  <c r="V80" s="1"/>
  <c r="U76"/>
  <c r="V76" s="1"/>
  <c r="U72"/>
  <c r="U68"/>
  <c r="U64"/>
  <c r="V64" s="1"/>
  <c r="U60"/>
  <c r="V60" s="1"/>
  <c r="U56"/>
  <c r="U52"/>
  <c r="U48"/>
  <c r="V48" s="1"/>
  <c r="U44"/>
  <c r="V44" s="1"/>
  <c r="U40"/>
  <c r="V161"/>
  <c r="V157"/>
  <c r="V153"/>
  <c r="V149"/>
  <c r="V145"/>
  <c r="V141"/>
  <c r="V137"/>
  <c r="V133"/>
  <c r="V129"/>
  <c r="V125"/>
  <c r="V85"/>
  <c r="V81"/>
  <c r="V73"/>
  <c r="V65"/>
  <c r="V49"/>
  <c r="V41"/>
  <c r="V154"/>
  <c r="V150"/>
  <c r="V138"/>
  <c r="V134"/>
  <c r="V86"/>
  <c r="V82"/>
  <c r="V78"/>
  <c r="V74"/>
  <c r="V70"/>
  <c r="V66"/>
  <c r="V62"/>
  <c r="V58"/>
  <c r="V54"/>
  <c r="V50"/>
  <c r="V46"/>
  <c r="V42"/>
  <c r="V207"/>
  <c r="V203"/>
  <c r="V191"/>
  <c r="V187"/>
  <c r="V175"/>
  <c r="V171"/>
  <c r="V159"/>
  <c r="V155"/>
  <c r="V143"/>
  <c r="V139"/>
  <c r="V127"/>
  <c r="V123"/>
  <c r="V111"/>
  <c r="V107"/>
  <c r="V95"/>
  <c r="V91"/>
  <c r="V79"/>
  <c r="V75"/>
  <c r="V63"/>
  <c r="V59"/>
  <c r="V47"/>
  <c r="V43"/>
  <c r="V200"/>
  <c r="V196"/>
  <c r="V184"/>
  <c r="V180"/>
  <c r="V168"/>
  <c r="V164"/>
  <c r="V152"/>
  <c r="V148"/>
  <c r="V136"/>
  <c r="V132"/>
  <c r="V120"/>
  <c r="V116"/>
  <c r="V104"/>
  <c r="V100"/>
  <c r="V88"/>
  <c r="V84"/>
  <c r="V72"/>
  <c r="V68"/>
  <c r="V56"/>
  <c r="V52"/>
  <c r="V40"/>
  <c r="AB296" i="19" l="1"/>
  <c r="W296"/>
  <c r="R296"/>
  <c r="L296"/>
  <c r="G296"/>
  <c r="B296"/>
  <c r="AB266"/>
  <c r="W266"/>
  <c r="R266"/>
  <c r="L266"/>
  <c r="G266"/>
  <c r="B266"/>
  <c r="AB236"/>
  <c r="W236"/>
  <c r="R236"/>
  <c r="L236"/>
  <c r="G236"/>
  <c r="B236"/>
  <c r="AB206"/>
  <c r="W206"/>
  <c r="R206"/>
  <c r="L206"/>
  <c r="G206"/>
  <c r="B206"/>
  <c r="AB176"/>
  <c r="W176"/>
  <c r="R176"/>
  <c r="L176"/>
  <c r="G176"/>
  <c r="B176"/>
  <c r="AB146"/>
  <c r="W146"/>
  <c r="R146"/>
  <c r="L146"/>
  <c r="G146"/>
  <c r="B146"/>
  <c r="AB116"/>
  <c r="W116"/>
  <c r="R116"/>
  <c r="L116"/>
  <c r="G116"/>
  <c r="B116"/>
  <c r="AB86"/>
  <c r="W86"/>
  <c r="R86"/>
  <c r="L86"/>
  <c r="G86"/>
  <c r="B86"/>
  <c r="AB56"/>
  <c r="W56"/>
  <c r="R56"/>
  <c r="L56"/>
  <c r="G56"/>
  <c r="B56"/>
  <c r="AB26"/>
  <c r="W26"/>
  <c r="R26"/>
  <c r="L26"/>
  <c r="HO4" i="9"/>
  <c r="G26" i="19"/>
  <c r="HR4" i="9"/>
  <c r="B26" i="19"/>
  <c r="HS2" i="9"/>
  <c r="AN10" i="19"/>
  <c r="L8" s="1"/>
  <c r="G5" i="7"/>
  <c r="AH303" i="18"/>
  <c r="AH306" s="1"/>
  <c r="AG303"/>
  <c r="AG306" s="1"/>
  <c r="AH302"/>
  <c r="AI303" s="1"/>
  <c r="AH270"/>
  <c r="AH273" s="1"/>
  <c r="AG270"/>
  <c r="AG273" s="1"/>
  <c r="AH269"/>
  <c r="AI270" s="1"/>
  <c r="AH237"/>
  <c r="AH240" s="1"/>
  <c r="AG237"/>
  <c r="AG240" s="1"/>
  <c r="AH236"/>
  <c r="AI237" s="1"/>
  <c r="AH204"/>
  <c r="AH207" s="1"/>
  <c r="AG204"/>
  <c r="AG207" s="1"/>
  <c r="AH203"/>
  <c r="AI204" s="1"/>
  <c r="AH171"/>
  <c r="AH174" s="1"/>
  <c r="AG171"/>
  <c r="AG174" s="1"/>
  <c r="AH170"/>
  <c r="AI171" s="1"/>
  <c r="AH138"/>
  <c r="AH141" s="1"/>
  <c r="AG138"/>
  <c r="AG141" s="1"/>
  <c r="AH137"/>
  <c r="AI138" s="1"/>
  <c r="AH105"/>
  <c r="AH108" s="1"/>
  <c r="AG105"/>
  <c r="AG108" s="1"/>
  <c r="AH104"/>
  <c r="AI105" s="1"/>
  <c r="AH72"/>
  <c r="AH75" s="1"/>
  <c r="AG72"/>
  <c r="AG75" s="1"/>
  <c r="AH71"/>
  <c r="AI72" s="1"/>
  <c r="AH39"/>
  <c r="AH42" s="1"/>
  <c r="AG39"/>
  <c r="AG42" s="1"/>
  <c r="AH38"/>
  <c r="AI39" s="1"/>
  <c r="K28" i="19" l="1"/>
  <c r="E5"/>
  <c r="AB8"/>
  <c r="AI108" i="18"/>
  <c r="AI240"/>
  <c r="AI141"/>
  <c r="AI273"/>
  <c r="AI42"/>
  <c r="AH43" s="1"/>
  <c r="AI174"/>
  <c r="AH175" s="1"/>
  <c r="AI306"/>
  <c r="AH307" s="1"/>
  <c r="AH109"/>
  <c r="AH241"/>
  <c r="AI75"/>
  <c r="AH76" s="1"/>
  <c r="AI207"/>
  <c r="AH208" s="1"/>
  <c r="AH142"/>
  <c r="AH274"/>
  <c r="AH40"/>
  <c r="AH73"/>
  <c r="AH106"/>
  <c r="AH139"/>
  <c r="AH172"/>
  <c r="AH205"/>
  <c r="AH238"/>
  <c r="AH271"/>
  <c r="AH304"/>
  <c r="AA28" i="19" l="1"/>
  <c r="U5"/>
  <c r="L38"/>
  <c r="AH74" i="18"/>
  <c r="AH305"/>
  <c r="AH41"/>
  <c r="AH272"/>
  <c r="AH107"/>
  <c r="AH206"/>
  <c r="AH173"/>
  <c r="AH140"/>
  <c r="AH239"/>
  <c r="K58" i="19" l="1"/>
  <c r="E35"/>
  <c r="AB38"/>
  <c r="B6" i="15"/>
  <c r="C6"/>
  <c r="D6"/>
  <c r="E6"/>
  <c r="F6"/>
  <c r="G6"/>
  <c r="B7"/>
  <c r="C7"/>
  <c r="D7"/>
  <c r="E7"/>
  <c r="F7"/>
  <c r="G7"/>
  <c r="B8"/>
  <c r="C8"/>
  <c r="D8"/>
  <c r="E8"/>
  <c r="F8"/>
  <c r="G8"/>
  <c r="B9"/>
  <c r="C9"/>
  <c r="D9"/>
  <c r="E9"/>
  <c r="F9"/>
  <c r="G9"/>
  <c r="B10"/>
  <c r="C10"/>
  <c r="D10"/>
  <c r="E10"/>
  <c r="F10"/>
  <c r="G10"/>
  <c r="B11"/>
  <c r="C11"/>
  <c r="D11"/>
  <c r="E11"/>
  <c r="F11"/>
  <c r="G11"/>
  <c r="B12"/>
  <c r="C12"/>
  <c r="D12"/>
  <c r="E12"/>
  <c r="F12"/>
  <c r="G12"/>
  <c r="B13"/>
  <c r="C13"/>
  <c r="D13"/>
  <c r="E13"/>
  <c r="F13"/>
  <c r="G13"/>
  <c r="B14"/>
  <c r="C14"/>
  <c r="D14"/>
  <c r="E14"/>
  <c r="F14"/>
  <c r="G14"/>
  <c r="B15"/>
  <c r="C15"/>
  <c r="D15"/>
  <c r="E15"/>
  <c r="F15"/>
  <c r="G15"/>
  <c r="B16"/>
  <c r="C16"/>
  <c r="D16"/>
  <c r="E16"/>
  <c r="F16"/>
  <c r="G16"/>
  <c r="B17"/>
  <c r="C17"/>
  <c r="D17"/>
  <c r="E17"/>
  <c r="F17"/>
  <c r="G17"/>
  <c r="B18"/>
  <c r="C18"/>
  <c r="D18"/>
  <c r="E18"/>
  <c r="F18"/>
  <c r="G18"/>
  <c r="B19"/>
  <c r="C19"/>
  <c r="D19"/>
  <c r="E19"/>
  <c r="F19"/>
  <c r="G19"/>
  <c r="B20"/>
  <c r="C20"/>
  <c r="D20"/>
  <c r="E20"/>
  <c r="F20"/>
  <c r="G20"/>
  <c r="B21"/>
  <c r="C21"/>
  <c r="D21"/>
  <c r="E21"/>
  <c r="F21"/>
  <c r="G21"/>
  <c r="B22"/>
  <c r="C22"/>
  <c r="D22"/>
  <c r="E22"/>
  <c r="F22"/>
  <c r="G22"/>
  <c r="B23"/>
  <c r="C23"/>
  <c r="D23"/>
  <c r="E23"/>
  <c r="F23"/>
  <c r="G23"/>
  <c r="B24"/>
  <c r="C24"/>
  <c r="D24"/>
  <c r="E24"/>
  <c r="F24"/>
  <c r="G24"/>
  <c r="B25"/>
  <c r="C25"/>
  <c r="D25"/>
  <c r="E25"/>
  <c r="F25"/>
  <c r="G25"/>
  <c r="B26"/>
  <c r="C26"/>
  <c r="D26"/>
  <c r="E26"/>
  <c r="F26"/>
  <c r="G26"/>
  <c r="B27"/>
  <c r="C27"/>
  <c r="D27"/>
  <c r="E27"/>
  <c r="F27"/>
  <c r="G27"/>
  <c r="B28"/>
  <c r="C28"/>
  <c r="D28"/>
  <c r="E28"/>
  <c r="F28"/>
  <c r="G28"/>
  <c r="B29"/>
  <c r="C29"/>
  <c r="D29"/>
  <c r="E29"/>
  <c r="F29"/>
  <c r="G29"/>
  <c r="B30"/>
  <c r="C30"/>
  <c r="D30"/>
  <c r="E30"/>
  <c r="F30"/>
  <c r="G30"/>
  <c r="B31"/>
  <c r="C31"/>
  <c r="D31"/>
  <c r="E31"/>
  <c r="F31"/>
  <c r="G31"/>
  <c r="B32"/>
  <c r="C32"/>
  <c r="D32"/>
  <c r="E32"/>
  <c r="F32"/>
  <c r="G32"/>
  <c r="B33"/>
  <c r="C33"/>
  <c r="D33"/>
  <c r="E33"/>
  <c r="F33"/>
  <c r="G33"/>
  <c r="B34"/>
  <c r="C34"/>
  <c r="D34"/>
  <c r="E34"/>
  <c r="F34"/>
  <c r="G34"/>
  <c r="B35"/>
  <c r="C35"/>
  <c r="D35"/>
  <c r="E35"/>
  <c r="F35"/>
  <c r="G35"/>
  <c r="B36"/>
  <c r="C36"/>
  <c r="D36"/>
  <c r="E36"/>
  <c r="F36"/>
  <c r="G36"/>
  <c r="B37"/>
  <c r="C37"/>
  <c r="D37"/>
  <c r="E37"/>
  <c r="F37"/>
  <c r="G37"/>
  <c r="B38"/>
  <c r="C38"/>
  <c r="D38"/>
  <c r="E38"/>
  <c r="F38"/>
  <c r="G38"/>
  <c r="B39"/>
  <c r="C39"/>
  <c r="D39"/>
  <c r="E39"/>
  <c r="F39"/>
  <c r="G39"/>
  <c r="B40"/>
  <c r="C40"/>
  <c r="D40"/>
  <c r="E40"/>
  <c r="F40"/>
  <c r="G40"/>
  <c r="B41"/>
  <c r="C41"/>
  <c r="D41"/>
  <c r="E41"/>
  <c r="F41"/>
  <c r="G41"/>
  <c r="B42"/>
  <c r="C42"/>
  <c r="D42"/>
  <c r="E42"/>
  <c r="F42"/>
  <c r="G42"/>
  <c r="B43"/>
  <c r="C43"/>
  <c r="D43"/>
  <c r="E43"/>
  <c r="F43"/>
  <c r="G43"/>
  <c r="B44"/>
  <c r="C44"/>
  <c r="D44"/>
  <c r="E44"/>
  <c r="F44"/>
  <c r="G44"/>
  <c r="B45"/>
  <c r="C45"/>
  <c r="D45"/>
  <c r="E45"/>
  <c r="F45"/>
  <c r="G45"/>
  <c r="B46"/>
  <c r="C46"/>
  <c r="D46"/>
  <c r="E46"/>
  <c r="F46"/>
  <c r="G46"/>
  <c r="B47"/>
  <c r="C47"/>
  <c r="D47"/>
  <c r="E47"/>
  <c r="F47"/>
  <c r="G47"/>
  <c r="B48"/>
  <c r="C48"/>
  <c r="D48"/>
  <c r="E48"/>
  <c r="F48"/>
  <c r="G48"/>
  <c r="B49"/>
  <c r="C49"/>
  <c r="D49"/>
  <c r="E49"/>
  <c r="F49"/>
  <c r="G49"/>
  <c r="B50"/>
  <c r="C50"/>
  <c r="D50"/>
  <c r="E50"/>
  <c r="F50"/>
  <c r="G50"/>
  <c r="B51"/>
  <c r="C51"/>
  <c r="D51"/>
  <c r="E51"/>
  <c r="F51"/>
  <c r="G51"/>
  <c r="B52"/>
  <c r="C52"/>
  <c r="D52"/>
  <c r="E52"/>
  <c r="F52"/>
  <c r="G52"/>
  <c r="B53"/>
  <c r="C53"/>
  <c r="D53"/>
  <c r="E53"/>
  <c r="F53"/>
  <c r="G53"/>
  <c r="B54"/>
  <c r="C54"/>
  <c r="D54"/>
  <c r="E54"/>
  <c r="F54"/>
  <c r="G54"/>
  <c r="B55"/>
  <c r="C55"/>
  <c r="D55"/>
  <c r="E55"/>
  <c r="F55"/>
  <c r="G55"/>
  <c r="B56"/>
  <c r="C56"/>
  <c r="D56"/>
  <c r="E56"/>
  <c r="F56"/>
  <c r="G56"/>
  <c r="B57"/>
  <c r="C57"/>
  <c r="D57"/>
  <c r="E57"/>
  <c r="F57"/>
  <c r="G57"/>
  <c r="B58"/>
  <c r="C58"/>
  <c r="D58"/>
  <c r="E58"/>
  <c r="F58"/>
  <c r="G58"/>
  <c r="B59"/>
  <c r="C59"/>
  <c r="D59"/>
  <c r="E59"/>
  <c r="F59"/>
  <c r="G59"/>
  <c r="B60"/>
  <c r="C60"/>
  <c r="D60"/>
  <c r="E60"/>
  <c r="F60"/>
  <c r="G60"/>
  <c r="B61"/>
  <c r="C61"/>
  <c r="D61"/>
  <c r="E61"/>
  <c r="F61"/>
  <c r="G61"/>
  <c r="B62"/>
  <c r="C62"/>
  <c r="D62"/>
  <c r="E62"/>
  <c r="F62"/>
  <c r="G62"/>
  <c r="B63"/>
  <c r="C63"/>
  <c r="D63"/>
  <c r="E63"/>
  <c r="F63"/>
  <c r="G63"/>
  <c r="B64"/>
  <c r="C64"/>
  <c r="D64"/>
  <c r="E64"/>
  <c r="F64"/>
  <c r="G64"/>
  <c r="B65"/>
  <c r="C65"/>
  <c r="D65"/>
  <c r="E65"/>
  <c r="F65"/>
  <c r="G65"/>
  <c r="B66"/>
  <c r="C66"/>
  <c r="D66"/>
  <c r="E66"/>
  <c r="F66"/>
  <c r="G66"/>
  <c r="B67"/>
  <c r="C67"/>
  <c r="D67"/>
  <c r="E67"/>
  <c r="F67"/>
  <c r="G67"/>
  <c r="B68"/>
  <c r="C68"/>
  <c r="D68"/>
  <c r="E68"/>
  <c r="F68"/>
  <c r="G68"/>
  <c r="B69"/>
  <c r="C69"/>
  <c r="D69"/>
  <c r="E69"/>
  <c r="F69"/>
  <c r="G69"/>
  <c r="B70"/>
  <c r="C70"/>
  <c r="D70"/>
  <c r="E70"/>
  <c r="F70"/>
  <c r="G70"/>
  <c r="B71"/>
  <c r="C71"/>
  <c r="D71"/>
  <c r="E71"/>
  <c r="F71"/>
  <c r="G71"/>
  <c r="B72"/>
  <c r="C72"/>
  <c r="D72"/>
  <c r="E72"/>
  <c r="F72"/>
  <c r="G72"/>
  <c r="B73"/>
  <c r="C73"/>
  <c r="D73"/>
  <c r="E73"/>
  <c r="F73"/>
  <c r="G73"/>
  <c r="B74"/>
  <c r="C74"/>
  <c r="D74"/>
  <c r="E74"/>
  <c r="F74"/>
  <c r="G74"/>
  <c r="B75"/>
  <c r="C75"/>
  <c r="D75"/>
  <c r="E75"/>
  <c r="F75"/>
  <c r="G75"/>
  <c r="B76"/>
  <c r="C76"/>
  <c r="D76"/>
  <c r="E76"/>
  <c r="F76"/>
  <c r="G76"/>
  <c r="B77"/>
  <c r="C77"/>
  <c r="D77"/>
  <c r="E77"/>
  <c r="F77"/>
  <c r="G77"/>
  <c r="B78"/>
  <c r="C78"/>
  <c r="D78"/>
  <c r="E78"/>
  <c r="F78"/>
  <c r="G78"/>
  <c r="B79"/>
  <c r="C79"/>
  <c r="D79"/>
  <c r="E79"/>
  <c r="F79"/>
  <c r="G79"/>
  <c r="B80"/>
  <c r="C80"/>
  <c r="D80"/>
  <c r="E80"/>
  <c r="F80"/>
  <c r="G80"/>
  <c r="B81"/>
  <c r="C81"/>
  <c r="D81"/>
  <c r="E81"/>
  <c r="F81"/>
  <c r="G81"/>
  <c r="B82"/>
  <c r="C82"/>
  <c r="D82"/>
  <c r="E82"/>
  <c r="F82"/>
  <c r="G82"/>
  <c r="B83"/>
  <c r="C83"/>
  <c r="D83"/>
  <c r="E83"/>
  <c r="F83"/>
  <c r="G83"/>
  <c r="B84"/>
  <c r="C84"/>
  <c r="D84"/>
  <c r="E84"/>
  <c r="F84"/>
  <c r="G84"/>
  <c r="B85"/>
  <c r="C85"/>
  <c r="D85"/>
  <c r="E85"/>
  <c r="F85"/>
  <c r="G85"/>
  <c r="B86"/>
  <c r="C86"/>
  <c r="D86"/>
  <c r="E86"/>
  <c r="F86"/>
  <c r="G86"/>
  <c r="B87"/>
  <c r="C87"/>
  <c r="D87"/>
  <c r="E87"/>
  <c r="F87"/>
  <c r="G87"/>
  <c r="B88"/>
  <c r="C88"/>
  <c r="D88"/>
  <c r="E88"/>
  <c r="F88"/>
  <c r="G88"/>
  <c r="B89"/>
  <c r="C89"/>
  <c r="D89"/>
  <c r="E89"/>
  <c r="F89"/>
  <c r="G89"/>
  <c r="B90"/>
  <c r="C90"/>
  <c r="D90"/>
  <c r="E90"/>
  <c r="F90"/>
  <c r="G90"/>
  <c r="B91"/>
  <c r="C91"/>
  <c r="D91"/>
  <c r="E91"/>
  <c r="F91"/>
  <c r="G91"/>
  <c r="B92"/>
  <c r="C92"/>
  <c r="D92"/>
  <c r="E92"/>
  <c r="F92"/>
  <c r="G92"/>
  <c r="B93"/>
  <c r="C93"/>
  <c r="D93"/>
  <c r="E93"/>
  <c r="F93"/>
  <c r="G93"/>
  <c r="B94"/>
  <c r="C94"/>
  <c r="D94"/>
  <c r="E94"/>
  <c r="F94"/>
  <c r="G94"/>
  <c r="B95"/>
  <c r="C95"/>
  <c r="D95"/>
  <c r="E95"/>
  <c r="F95"/>
  <c r="G95"/>
  <c r="B96"/>
  <c r="C96"/>
  <c r="D96"/>
  <c r="E96"/>
  <c r="F96"/>
  <c r="G96"/>
  <c r="B97"/>
  <c r="C97"/>
  <c r="D97"/>
  <c r="E97"/>
  <c r="F97"/>
  <c r="G97"/>
  <c r="B98"/>
  <c r="C98"/>
  <c r="D98"/>
  <c r="E98"/>
  <c r="F98"/>
  <c r="G98"/>
  <c r="B99"/>
  <c r="C99"/>
  <c r="D99"/>
  <c r="E99"/>
  <c r="F99"/>
  <c r="G99"/>
  <c r="B100"/>
  <c r="C100"/>
  <c r="D100"/>
  <c r="E100"/>
  <c r="F100"/>
  <c r="G100"/>
  <c r="B101"/>
  <c r="C101"/>
  <c r="D101"/>
  <c r="E101"/>
  <c r="F101"/>
  <c r="G101"/>
  <c r="B102"/>
  <c r="C102"/>
  <c r="D102"/>
  <c r="E102"/>
  <c r="F102"/>
  <c r="G102"/>
  <c r="B103"/>
  <c r="C103"/>
  <c r="D103"/>
  <c r="E103"/>
  <c r="F103"/>
  <c r="G103"/>
  <c r="B104"/>
  <c r="C104"/>
  <c r="D104"/>
  <c r="E104"/>
  <c r="F104"/>
  <c r="G104"/>
  <c r="B105"/>
  <c r="C105"/>
  <c r="D105"/>
  <c r="E105"/>
  <c r="F105"/>
  <c r="G105"/>
  <c r="B106"/>
  <c r="C106"/>
  <c r="D106"/>
  <c r="E106"/>
  <c r="F106"/>
  <c r="G106"/>
  <c r="B107"/>
  <c r="C107"/>
  <c r="D107"/>
  <c r="E107"/>
  <c r="F107"/>
  <c r="G107"/>
  <c r="B108"/>
  <c r="C108"/>
  <c r="D108"/>
  <c r="E108"/>
  <c r="F108"/>
  <c r="G108"/>
  <c r="B109"/>
  <c r="C109"/>
  <c r="D109"/>
  <c r="E109"/>
  <c r="F109"/>
  <c r="G109"/>
  <c r="B110"/>
  <c r="C110"/>
  <c r="D110"/>
  <c r="E110"/>
  <c r="F110"/>
  <c r="G110"/>
  <c r="B111"/>
  <c r="C111"/>
  <c r="D111"/>
  <c r="E111"/>
  <c r="F111"/>
  <c r="G111"/>
  <c r="B112"/>
  <c r="C112"/>
  <c r="D112"/>
  <c r="E112"/>
  <c r="F112"/>
  <c r="G112"/>
  <c r="B113"/>
  <c r="C113"/>
  <c r="D113"/>
  <c r="E113"/>
  <c r="F113"/>
  <c r="G113"/>
  <c r="B114"/>
  <c r="C114"/>
  <c r="D114"/>
  <c r="E114"/>
  <c r="F114"/>
  <c r="G114"/>
  <c r="B115"/>
  <c r="C115"/>
  <c r="D115"/>
  <c r="E115"/>
  <c r="F115"/>
  <c r="G115"/>
  <c r="B116"/>
  <c r="C116"/>
  <c r="D116"/>
  <c r="E116"/>
  <c r="F116"/>
  <c r="G116"/>
  <c r="B117"/>
  <c r="C117"/>
  <c r="D117"/>
  <c r="E117"/>
  <c r="F117"/>
  <c r="G117"/>
  <c r="B118"/>
  <c r="C118"/>
  <c r="D118"/>
  <c r="E118"/>
  <c r="F118"/>
  <c r="G118"/>
  <c r="B119"/>
  <c r="C119"/>
  <c r="D119"/>
  <c r="E119"/>
  <c r="F119"/>
  <c r="G119"/>
  <c r="B120"/>
  <c r="C120"/>
  <c r="D120"/>
  <c r="E120"/>
  <c r="F120"/>
  <c r="G120"/>
  <c r="B121"/>
  <c r="C121"/>
  <c r="D121"/>
  <c r="E121"/>
  <c r="F121"/>
  <c r="G121"/>
  <c r="B122"/>
  <c r="C122"/>
  <c r="D122"/>
  <c r="E122"/>
  <c r="F122"/>
  <c r="G122"/>
  <c r="B123"/>
  <c r="C123"/>
  <c r="D123"/>
  <c r="E123"/>
  <c r="F123"/>
  <c r="G123"/>
  <c r="B124"/>
  <c r="C124"/>
  <c r="D124"/>
  <c r="E124"/>
  <c r="F124"/>
  <c r="G124"/>
  <c r="B125"/>
  <c r="C125"/>
  <c r="D125"/>
  <c r="E125"/>
  <c r="F125"/>
  <c r="G125"/>
  <c r="B126"/>
  <c r="C126"/>
  <c r="D126"/>
  <c r="E126"/>
  <c r="F126"/>
  <c r="G126"/>
  <c r="B127"/>
  <c r="C127"/>
  <c r="D127"/>
  <c r="E127"/>
  <c r="F127"/>
  <c r="G127"/>
  <c r="B128"/>
  <c r="C128"/>
  <c r="D128"/>
  <c r="E128"/>
  <c r="F128"/>
  <c r="G128"/>
  <c r="B129"/>
  <c r="C129"/>
  <c r="D129"/>
  <c r="E129"/>
  <c r="F129"/>
  <c r="G129"/>
  <c r="B130"/>
  <c r="C130"/>
  <c r="D130"/>
  <c r="E130"/>
  <c r="F130"/>
  <c r="G130"/>
  <c r="B131"/>
  <c r="C131"/>
  <c r="D131"/>
  <c r="E131"/>
  <c r="F131"/>
  <c r="G131"/>
  <c r="B132"/>
  <c r="C132"/>
  <c r="D132"/>
  <c r="E132"/>
  <c r="F132"/>
  <c r="G132"/>
  <c r="B133"/>
  <c r="C133"/>
  <c r="D133"/>
  <c r="E133"/>
  <c r="F133"/>
  <c r="G133"/>
  <c r="B134"/>
  <c r="C134"/>
  <c r="D134"/>
  <c r="E134"/>
  <c r="F134"/>
  <c r="G134"/>
  <c r="B135"/>
  <c r="C135"/>
  <c r="D135"/>
  <c r="E135"/>
  <c r="F135"/>
  <c r="G135"/>
  <c r="B136"/>
  <c r="C136"/>
  <c r="D136"/>
  <c r="E136"/>
  <c r="F136"/>
  <c r="G136"/>
  <c r="B137"/>
  <c r="C137"/>
  <c r="D137"/>
  <c r="E137"/>
  <c r="F137"/>
  <c r="G137"/>
  <c r="B138"/>
  <c r="C138"/>
  <c r="D138"/>
  <c r="E138"/>
  <c r="F138"/>
  <c r="G138"/>
  <c r="B139"/>
  <c r="C139"/>
  <c r="D139"/>
  <c r="E139"/>
  <c r="F139"/>
  <c r="G139"/>
  <c r="B140"/>
  <c r="C140"/>
  <c r="D140"/>
  <c r="E140"/>
  <c r="F140"/>
  <c r="G140"/>
  <c r="B141"/>
  <c r="C141"/>
  <c r="D141"/>
  <c r="E141"/>
  <c r="F141"/>
  <c r="G141"/>
  <c r="B142"/>
  <c r="C142"/>
  <c r="D142"/>
  <c r="E142"/>
  <c r="F142"/>
  <c r="G142"/>
  <c r="B143"/>
  <c r="C143"/>
  <c r="D143"/>
  <c r="E143"/>
  <c r="F143"/>
  <c r="G143"/>
  <c r="B144"/>
  <c r="C144"/>
  <c r="D144"/>
  <c r="E144"/>
  <c r="F144"/>
  <c r="G144"/>
  <c r="B145"/>
  <c r="C145"/>
  <c r="D145"/>
  <c r="E145"/>
  <c r="F145"/>
  <c r="G145"/>
  <c r="B146"/>
  <c r="C146"/>
  <c r="D146"/>
  <c r="E146"/>
  <c r="F146"/>
  <c r="G146"/>
  <c r="B147"/>
  <c r="C147"/>
  <c r="D147"/>
  <c r="E147"/>
  <c r="F147"/>
  <c r="G147"/>
  <c r="B148"/>
  <c r="C148"/>
  <c r="D148"/>
  <c r="E148"/>
  <c r="F148"/>
  <c r="G148"/>
  <c r="B149"/>
  <c r="C149"/>
  <c r="D149"/>
  <c r="E149"/>
  <c r="F149"/>
  <c r="G149"/>
  <c r="B150"/>
  <c r="C150"/>
  <c r="D150"/>
  <c r="E150"/>
  <c r="F150"/>
  <c r="G150"/>
  <c r="B151"/>
  <c r="C151"/>
  <c r="D151"/>
  <c r="E151"/>
  <c r="F151"/>
  <c r="G151"/>
  <c r="B152"/>
  <c r="C152"/>
  <c r="D152"/>
  <c r="E152"/>
  <c r="F152"/>
  <c r="G152"/>
  <c r="B153"/>
  <c r="C153"/>
  <c r="D153"/>
  <c r="E153"/>
  <c r="F153"/>
  <c r="G153"/>
  <c r="B154"/>
  <c r="C154"/>
  <c r="D154"/>
  <c r="E154"/>
  <c r="F154"/>
  <c r="G154"/>
  <c r="B155"/>
  <c r="C155"/>
  <c r="D155"/>
  <c r="E155"/>
  <c r="F155"/>
  <c r="G155"/>
  <c r="B156"/>
  <c r="C156"/>
  <c r="D156"/>
  <c r="E156"/>
  <c r="F156"/>
  <c r="G156"/>
  <c r="B157"/>
  <c r="C157"/>
  <c r="D157"/>
  <c r="E157"/>
  <c r="F157"/>
  <c r="G157"/>
  <c r="B158"/>
  <c r="C158"/>
  <c r="D158"/>
  <c r="E158"/>
  <c r="F158"/>
  <c r="G158"/>
  <c r="B159"/>
  <c r="C159"/>
  <c r="D159"/>
  <c r="E159"/>
  <c r="F159"/>
  <c r="G159"/>
  <c r="B160"/>
  <c r="C160"/>
  <c r="D160"/>
  <c r="E160"/>
  <c r="F160"/>
  <c r="G160"/>
  <c r="B161"/>
  <c r="C161"/>
  <c r="D161"/>
  <c r="E161"/>
  <c r="F161"/>
  <c r="G161"/>
  <c r="B162"/>
  <c r="C162"/>
  <c r="D162"/>
  <c r="E162"/>
  <c r="F162"/>
  <c r="G162"/>
  <c r="B163"/>
  <c r="C163"/>
  <c r="D163"/>
  <c r="E163"/>
  <c r="F163"/>
  <c r="G163"/>
  <c r="B164"/>
  <c r="C164"/>
  <c r="D164"/>
  <c r="E164"/>
  <c r="F164"/>
  <c r="G164"/>
  <c r="B165"/>
  <c r="C165"/>
  <c r="D165"/>
  <c r="E165"/>
  <c r="F165"/>
  <c r="G165"/>
  <c r="B166"/>
  <c r="C166"/>
  <c r="D166"/>
  <c r="E166"/>
  <c r="F166"/>
  <c r="G166"/>
  <c r="B167"/>
  <c r="C167"/>
  <c r="D167"/>
  <c r="E167"/>
  <c r="F167"/>
  <c r="G167"/>
  <c r="B168"/>
  <c r="C168"/>
  <c r="D168"/>
  <c r="E168"/>
  <c r="F168"/>
  <c r="G168"/>
  <c r="B169"/>
  <c r="C169"/>
  <c r="D169"/>
  <c r="E169"/>
  <c r="F169"/>
  <c r="G169"/>
  <c r="B170"/>
  <c r="C170"/>
  <c r="D170"/>
  <c r="E170"/>
  <c r="F170"/>
  <c r="G170"/>
  <c r="B171"/>
  <c r="C171"/>
  <c r="D171"/>
  <c r="E171"/>
  <c r="F171"/>
  <c r="G171"/>
  <c r="B172"/>
  <c r="C172"/>
  <c r="D172"/>
  <c r="E172"/>
  <c r="F172"/>
  <c r="G172"/>
  <c r="B173"/>
  <c r="C173"/>
  <c r="D173"/>
  <c r="E173"/>
  <c r="F173"/>
  <c r="G173"/>
  <c r="B174"/>
  <c r="C174"/>
  <c r="D174"/>
  <c r="E174"/>
  <c r="F174"/>
  <c r="G174"/>
  <c r="B175"/>
  <c r="C175"/>
  <c r="D175"/>
  <c r="E175"/>
  <c r="F175"/>
  <c r="G175"/>
  <c r="B176"/>
  <c r="C176"/>
  <c r="D176"/>
  <c r="E176"/>
  <c r="F176"/>
  <c r="G176"/>
  <c r="B177"/>
  <c r="C177"/>
  <c r="D177"/>
  <c r="E177"/>
  <c r="F177"/>
  <c r="G177"/>
  <c r="B178"/>
  <c r="C178"/>
  <c r="D178"/>
  <c r="E178"/>
  <c r="F178"/>
  <c r="G178"/>
  <c r="B179"/>
  <c r="C179"/>
  <c r="D179"/>
  <c r="E179"/>
  <c r="F179"/>
  <c r="G179"/>
  <c r="B180"/>
  <c r="C180"/>
  <c r="D180"/>
  <c r="E180"/>
  <c r="F180"/>
  <c r="G180"/>
  <c r="B181"/>
  <c r="C181"/>
  <c r="D181"/>
  <c r="E181"/>
  <c r="F181"/>
  <c r="G181"/>
  <c r="B182"/>
  <c r="C182"/>
  <c r="D182"/>
  <c r="E182"/>
  <c r="F182"/>
  <c r="G182"/>
  <c r="B183"/>
  <c r="C183"/>
  <c r="D183"/>
  <c r="E183"/>
  <c r="F183"/>
  <c r="G183"/>
  <c r="B184"/>
  <c r="C184"/>
  <c r="D184"/>
  <c r="E184"/>
  <c r="F184"/>
  <c r="G184"/>
  <c r="B185"/>
  <c r="C185"/>
  <c r="D185"/>
  <c r="E185"/>
  <c r="F185"/>
  <c r="G185"/>
  <c r="B186"/>
  <c r="C186"/>
  <c r="D186"/>
  <c r="E186"/>
  <c r="F186"/>
  <c r="G186"/>
  <c r="B187"/>
  <c r="C187"/>
  <c r="D187"/>
  <c r="E187"/>
  <c r="F187"/>
  <c r="G187"/>
  <c r="B188"/>
  <c r="C188"/>
  <c r="D188"/>
  <c r="E188"/>
  <c r="F188"/>
  <c r="G188"/>
  <c r="B189"/>
  <c r="C189"/>
  <c r="D189"/>
  <c r="E189"/>
  <c r="F189"/>
  <c r="G189"/>
  <c r="B190"/>
  <c r="C190"/>
  <c r="D190"/>
  <c r="E190"/>
  <c r="F190"/>
  <c r="G190"/>
  <c r="B191"/>
  <c r="C191"/>
  <c r="D191"/>
  <c r="E191"/>
  <c r="F191"/>
  <c r="G191"/>
  <c r="B192"/>
  <c r="C192"/>
  <c r="D192"/>
  <c r="E192"/>
  <c r="F192"/>
  <c r="G192"/>
  <c r="B193"/>
  <c r="C193"/>
  <c r="D193"/>
  <c r="E193"/>
  <c r="F193"/>
  <c r="G193"/>
  <c r="B194"/>
  <c r="C194"/>
  <c r="D194"/>
  <c r="E194"/>
  <c r="F194"/>
  <c r="G194"/>
  <c r="B195"/>
  <c r="C195"/>
  <c r="D195"/>
  <c r="E195"/>
  <c r="F195"/>
  <c r="G195"/>
  <c r="B196"/>
  <c r="C196"/>
  <c r="D196"/>
  <c r="E196"/>
  <c r="F196"/>
  <c r="G196"/>
  <c r="B197"/>
  <c r="C197"/>
  <c r="D197"/>
  <c r="E197"/>
  <c r="F197"/>
  <c r="G197"/>
  <c r="B198"/>
  <c r="C198"/>
  <c r="D198"/>
  <c r="E198"/>
  <c r="F198"/>
  <c r="G198"/>
  <c r="B199"/>
  <c r="C199"/>
  <c r="D199"/>
  <c r="E199"/>
  <c r="F199"/>
  <c r="G199"/>
  <c r="B200"/>
  <c r="C200"/>
  <c r="D200"/>
  <c r="E200"/>
  <c r="F200"/>
  <c r="G200"/>
  <c r="B201"/>
  <c r="C201"/>
  <c r="D201"/>
  <c r="E201"/>
  <c r="F201"/>
  <c r="G201"/>
  <c r="B202"/>
  <c r="C202"/>
  <c r="D202"/>
  <c r="E202"/>
  <c r="F202"/>
  <c r="G202"/>
  <c r="B203"/>
  <c r="C203"/>
  <c r="D203"/>
  <c r="E203"/>
  <c r="F203"/>
  <c r="G203"/>
  <c r="B204"/>
  <c r="C204"/>
  <c r="D204"/>
  <c r="E204"/>
  <c r="F204"/>
  <c r="G204"/>
  <c r="B8" i="9"/>
  <c r="C8"/>
  <c r="D8"/>
  <c r="E8"/>
  <c r="F8"/>
  <c r="G8"/>
  <c r="H8"/>
  <c r="I8"/>
  <c r="J8"/>
  <c r="B9"/>
  <c r="C9"/>
  <c r="D9"/>
  <c r="E9"/>
  <c r="F9"/>
  <c r="G9"/>
  <c r="H9"/>
  <c r="I9"/>
  <c r="J9"/>
  <c r="B10"/>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V12" i="18"/>
  <c r="R11"/>
  <c r="U12"/>
  <c r="Y3" i="15"/>
  <c r="T12" i="18"/>
  <c r="W3" i="15"/>
  <c r="X3"/>
  <c r="R12" i="18"/>
  <c r="T11" i="4"/>
  <c r="S28" i="18"/>
  <c r="S28" i="4"/>
  <c r="Q22" i="18"/>
  <c r="Q2" i="11"/>
  <c r="Q22" i="4"/>
  <c r="P2" i="11"/>
  <c r="Q11" i="18"/>
  <c r="Q28"/>
  <c r="Q28" i="4"/>
  <c r="N28" i="18"/>
  <c r="N28" i="4"/>
  <c r="I28" i="18"/>
  <c r="I28" i="4"/>
  <c r="B28"/>
  <c r="O30" i="18"/>
  <c r="O30" i="4"/>
  <c r="H30" i="18"/>
  <c r="H29"/>
  <c r="B30"/>
  <c r="B29"/>
  <c r="U27"/>
  <c r="V26"/>
  <c r="R26"/>
  <c r="U26"/>
  <c r="Q27"/>
  <c r="M27"/>
  <c r="I27"/>
  <c r="D27"/>
  <c r="S26"/>
  <c r="Q26"/>
  <c r="O26"/>
  <c r="N26"/>
  <c r="M26"/>
  <c r="K26"/>
  <c r="J26"/>
  <c r="I26"/>
  <c r="G26"/>
  <c r="F26"/>
  <c r="D26"/>
  <c r="B26"/>
  <c r="T27" i="4"/>
  <c r="Q27"/>
  <c r="M27"/>
  <c r="I27"/>
  <c r="D27"/>
  <c r="M19"/>
  <c r="O19" s="1"/>
  <c r="U26"/>
  <c r="R26"/>
  <c r="T26"/>
  <c r="Q26"/>
  <c r="S26"/>
  <c r="O26"/>
  <c r="N26"/>
  <c r="M26"/>
  <c r="K26"/>
  <c r="J26"/>
  <c r="F26"/>
  <c r="I26"/>
  <c r="D26"/>
  <c r="G26"/>
  <c r="B26"/>
  <c r="GG4" i="9"/>
  <c r="B22" i="4"/>
  <c r="B23"/>
  <c r="B23" i="18"/>
  <c r="B24"/>
  <c r="B24" i="4"/>
  <c r="L2" i="11"/>
  <c r="B22" i="18"/>
  <c r="K2" i="11"/>
  <c r="B20" i="18"/>
  <c r="P14"/>
  <c r="F14"/>
  <c r="E14"/>
  <c r="P19"/>
  <c r="M19"/>
  <c r="O19" s="1"/>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M14"/>
  <c r="I14"/>
  <c r="H14"/>
  <c r="G14"/>
  <c r="O7"/>
  <c r="F8"/>
  <c r="F7"/>
  <c r="F6"/>
  <c r="AN11" i="19"/>
  <c r="AA299"/>
  <c r="W299"/>
  <c r="R299"/>
  <c r="K299"/>
  <c r="G299"/>
  <c r="B299"/>
  <c r="AE294"/>
  <c r="Y294"/>
  <c r="O294"/>
  <c r="I294"/>
  <c r="AB291"/>
  <c r="L291"/>
  <c r="R289"/>
  <c r="B289"/>
  <c r="AD281"/>
  <c r="AC281"/>
  <c r="AB281"/>
  <c r="Z281"/>
  <c r="Y281"/>
  <c r="X281"/>
  <c r="W281"/>
  <c r="V281"/>
  <c r="U281"/>
  <c r="T281"/>
  <c r="N281"/>
  <c r="M281"/>
  <c r="L281"/>
  <c r="J281"/>
  <c r="I281"/>
  <c r="H281"/>
  <c r="G281"/>
  <c r="F281"/>
  <c r="E281"/>
  <c r="D281"/>
  <c r="AF280"/>
  <c r="AE280"/>
  <c r="AB280"/>
  <c r="AA280"/>
  <c r="X280"/>
  <c r="T280"/>
  <c r="R280"/>
  <c r="P280"/>
  <c r="O280"/>
  <c r="L280"/>
  <c r="K280"/>
  <c r="H280"/>
  <c r="D280"/>
  <c r="B280"/>
  <c r="Y278"/>
  <c r="R278"/>
  <c r="I278"/>
  <c r="B278"/>
  <c r="Y277"/>
  <c r="R277"/>
  <c r="I277"/>
  <c r="B277"/>
  <c r="Y276"/>
  <c r="R276"/>
  <c r="I276"/>
  <c r="B276"/>
  <c r="Y275"/>
  <c r="R275"/>
  <c r="I275"/>
  <c r="B275"/>
  <c r="R273"/>
  <c r="B273"/>
  <c r="T272"/>
  <c r="D272"/>
  <c r="T271"/>
  <c r="D271"/>
  <c r="AA269"/>
  <c r="W269"/>
  <c r="R269"/>
  <c r="K269"/>
  <c r="G269"/>
  <c r="B269"/>
  <c r="AE264"/>
  <c r="Y264"/>
  <c r="O264"/>
  <c r="I264"/>
  <c r="AB261"/>
  <c r="L261"/>
  <c r="R259"/>
  <c r="B259"/>
  <c r="AD251"/>
  <c r="AC251"/>
  <c r="AB251"/>
  <c r="Z251"/>
  <c r="Y251"/>
  <c r="X251"/>
  <c r="W251"/>
  <c r="V251"/>
  <c r="U251"/>
  <c r="T251"/>
  <c r="N251"/>
  <c r="M251"/>
  <c r="L251"/>
  <c r="J251"/>
  <c r="I251"/>
  <c r="H251"/>
  <c r="G251"/>
  <c r="F251"/>
  <c r="E251"/>
  <c r="D251"/>
  <c r="AF250"/>
  <c r="AE250"/>
  <c r="AB250"/>
  <c r="AA250"/>
  <c r="X250"/>
  <c r="T250"/>
  <c r="R250"/>
  <c r="P250"/>
  <c r="O250"/>
  <c r="L250"/>
  <c r="K250"/>
  <c r="H250"/>
  <c r="D250"/>
  <c r="B250"/>
  <c r="Y248"/>
  <c r="R248"/>
  <c r="I248"/>
  <c r="B248"/>
  <c r="Y247"/>
  <c r="R247"/>
  <c r="I247"/>
  <c r="B247"/>
  <c r="Y246"/>
  <c r="R246"/>
  <c r="I246"/>
  <c r="B246"/>
  <c r="Y245"/>
  <c r="R245"/>
  <c r="I245"/>
  <c r="B245"/>
  <c r="R243"/>
  <c r="B243"/>
  <c r="T242"/>
  <c r="D242"/>
  <c r="T241"/>
  <c r="D241"/>
  <c r="AA239"/>
  <c r="W239"/>
  <c r="R239"/>
  <c r="K239"/>
  <c r="G239"/>
  <c r="B239"/>
  <c r="AE234"/>
  <c r="Y234"/>
  <c r="O234"/>
  <c r="I234"/>
  <c r="AB231"/>
  <c r="L231"/>
  <c r="R229"/>
  <c r="B229"/>
  <c r="AD221"/>
  <c r="AC221"/>
  <c r="AB221"/>
  <c r="Z221"/>
  <c r="Y221"/>
  <c r="X221"/>
  <c r="W221"/>
  <c r="V221"/>
  <c r="U221"/>
  <c r="T221"/>
  <c r="N221"/>
  <c r="M221"/>
  <c r="L221"/>
  <c r="J221"/>
  <c r="I221"/>
  <c r="H221"/>
  <c r="G221"/>
  <c r="F221"/>
  <c r="E221"/>
  <c r="D221"/>
  <c r="AF220"/>
  <c r="AE220"/>
  <c r="AB220"/>
  <c r="AA220"/>
  <c r="X220"/>
  <c r="T220"/>
  <c r="R220"/>
  <c r="P220"/>
  <c r="O220"/>
  <c r="L220"/>
  <c r="K220"/>
  <c r="H220"/>
  <c r="D220"/>
  <c r="B220"/>
  <c r="Y218"/>
  <c r="R218"/>
  <c r="I218"/>
  <c r="B218"/>
  <c r="Y217"/>
  <c r="R217"/>
  <c r="I217"/>
  <c r="B217"/>
  <c r="Y216"/>
  <c r="R216"/>
  <c r="I216"/>
  <c r="B216"/>
  <c r="Y215"/>
  <c r="R215"/>
  <c r="I215"/>
  <c r="B215"/>
  <c r="R213"/>
  <c r="B213"/>
  <c r="T212"/>
  <c r="D212"/>
  <c r="T211"/>
  <c r="D211"/>
  <c r="M8" i="18"/>
  <c r="M7"/>
  <c r="M6"/>
  <c r="M5"/>
  <c r="O12"/>
  <c r="N12"/>
  <c r="M12"/>
  <c r="K12"/>
  <c r="J12"/>
  <c r="I12"/>
  <c r="H12"/>
  <c r="G12"/>
  <c r="F12"/>
  <c r="E12"/>
  <c r="P11"/>
  <c r="M11"/>
  <c r="L11"/>
  <c r="I11"/>
  <c r="E11"/>
  <c r="B11"/>
  <c r="O8"/>
  <c r="AH5" s="1"/>
  <c r="O8" i="4"/>
  <c r="AH5" s="1"/>
  <c r="O5" i="18"/>
  <c r="P5"/>
  <c r="L9"/>
  <c r="F7" i="4"/>
  <c r="F5" i="18"/>
  <c r="B8"/>
  <c r="B7"/>
  <c r="B6"/>
  <c r="B5"/>
  <c r="I4"/>
  <c r="D3"/>
  <c r="B3" i="4"/>
  <c r="E2" i="18"/>
  <c r="I1"/>
  <c r="AA209" i="19"/>
  <c r="W209"/>
  <c r="R209"/>
  <c r="K209"/>
  <c r="G209"/>
  <c r="B209"/>
  <c r="AE204"/>
  <c r="Y204"/>
  <c r="O204"/>
  <c r="I204"/>
  <c r="AB201"/>
  <c r="L201"/>
  <c r="R199"/>
  <c r="B199"/>
  <c r="AD191"/>
  <c r="AC191"/>
  <c r="AB191"/>
  <c r="Z191"/>
  <c r="Y191"/>
  <c r="X191"/>
  <c r="W191"/>
  <c r="V191"/>
  <c r="U191"/>
  <c r="T191"/>
  <c r="N191"/>
  <c r="M191"/>
  <c r="L191"/>
  <c r="J191"/>
  <c r="I191"/>
  <c r="H191"/>
  <c r="G191"/>
  <c r="F191"/>
  <c r="E191"/>
  <c r="D191"/>
  <c r="AF190"/>
  <c r="AE190"/>
  <c r="AB190"/>
  <c r="AA190"/>
  <c r="X190"/>
  <c r="T190"/>
  <c r="R190"/>
  <c r="P190"/>
  <c r="O190"/>
  <c r="L190"/>
  <c r="K190"/>
  <c r="H190"/>
  <c r="D190"/>
  <c r="B190"/>
  <c r="Y188"/>
  <c r="R188"/>
  <c r="I188"/>
  <c r="B188"/>
  <c r="Y187"/>
  <c r="R187"/>
  <c r="I187"/>
  <c r="B187"/>
  <c r="Y186"/>
  <c r="R186"/>
  <c r="I186"/>
  <c r="B186"/>
  <c r="Y185"/>
  <c r="R185"/>
  <c r="I185"/>
  <c r="B185"/>
  <c r="R183"/>
  <c r="B183"/>
  <c r="T182"/>
  <c r="D182"/>
  <c r="T181"/>
  <c r="D181"/>
  <c r="AA179"/>
  <c r="W179"/>
  <c r="R179"/>
  <c r="K179"/>
  <c r="G179"/>
  <c r="B179"/>
  <c r="AE174"/>
  <c r="Y174"/>
  <c r="O174"/>
  <c r="I174"/>
  <c r="AB171"/>
  <c r="L171"/>
  <c r="R169"/>
  <c r="B169"/>
  <c r="AD161"/>
  <c r="AC161"/>
  <c r="AB161"/>
  <c r="Z161"/>
  <c r="Y161"/>
  <c r="X161"/>
  <c r="W161"/>
  <c r="V161"/>
  <c r="U161"/>
  <c r="T161"/>
  <c r="N161"/>
  <c r="M161"/>
  <c r="L161"/>
  <c r="J161"/>
  <c r="I161"/>
  <c r="H161"/>
  <c r="G161"/>
  <c r="F161"/>
  <c r="E161"/>
  <c r="D161"/>
  <c r="AF160"/>
  <c r="AE160"/>
  <c r="AB160"/>
  <c r="AA160"/>
  <c r="X160"/>
  <c r="T160"/>
  <c r="R160"/>
  <c r="P160"/>
  <c r="O160"/>
  <c r="L160"/>
  <c r="K160"/>
  <c r="H160"/>
  <c r="D160"/>
  <c r="B160"/>
  <c r="Y158"/>
  <c r="R158"/>
  <c r="I158"/>
  <c r="B158"/>
  <c r="Y157"/>
  <c r="R157"/>
  <c r="I157"/>
  <c r="B157"/>
  <c r="Y156"/>
  <c r="R156"/>
  <c r="I156"/>
  <c r="B156"/>
  <c r="Y155"/>
  <c r="R155"/>
  <c r="I155"/>
  <c r="B155"/>
  <c r="R153"/>
  <c r="B153"/>
  <c r="T152"/>
  <c r="D152"/>
  <c r="T151"/>
  <c r="D151"/>
  <c r="AA149"/>
  <c r="W149"/>
  <c r="R149"/>
  <c r="K149"/>
  <c r="G149"/>
  <c r="B149"/>
  <c r="AE144"/>
  <c r="Y144"/>
  <c r="O144"/>
  <c r="I144"/>
  <c r="AB141"/>
  <c r="L141"/>
  <c r="R139"/>
  <c r="B139"/>
  <c r="AD131"/>
  <c r="AC131"/>
  <c r="AB131"/>
  <c r="Z131"/>
  <c r="Y131"/>
  <c r="X131"/>
  <c r="W131"/>
  <c r="V131"/>
  <c r="U131"/>
  <c r="T131"/>
  <c r="N131"/>
  <c r="M131"/>
  <c r="L131"/>
  <c r="J131"/>
  <c r="I131"/>
  <c r="H131"/>
  <c r="G131"/>
  <c r="F131"/>
  <c r="E131"/>
  <c r="D131"/>
  <c r="AF130"/>
  <c r="AE130"/>
  <c r="AB130"/>
  <c r="AA130"/>
  <c r="X130"/>
  <c r="T130"/>
  <c r="R130"/>
  <c r="P130"/>
  <c r="O130"/>
  <c r="L130"/>
  <c r="K130"/>
  <c r="H130"/>
  <c r="D130"/>
  <c r="B130"/>
  <c r="Y128"/>
  <c r="R128"/>
  <c r="I128"/>
  <c r="B128"/>
  <c r="Y127"/>
  <c r="R127"/>
  <c r="I127"/>
  <c r="B127"/>
  <c r="Y126"/>
  <c r="R126"/>
  <c r="I126"/>
  <c r="B126"/>
  <c r="Y125"/>
  <c r="R125"/>
  <c r="I125"/>
  <c r="B125"/>
  <c r="R123"/>
  <c r="B123"/>
  <c r="T122"/>
  <c r="D122"/>
  <c r="T121"/>
  <c r="D121"/>
  <c r="AA119"/>
  <c r="W119"/>
  <c r="R119"/>
  <c r="K119"/>
  <c r="G119"/>
  <c r="B119"/>
  <c r="AE114"/>
  <c r="Y114"/>
  <c r="O114"/>
  <c r="I114"/>
  <c r="AB111"/>
  <c r="L111"/>
  <c r="R109"/>
  <c r="B109"/>
  <c r="AD101"/>
  <c r="AC101"/>
  <c r="AB101"/>
  <c r="Z101"/>
  <c r="Y101"/>
  <c r="X101"/>
  <c r="W101"/>
  <c r="V101"/>
  <c r="U101"/>
  <c r="T101"/>
  <c r="N101"/>
  <c r="M101"/>
  <c r="L101"/>
  <c r="J101"/>
  <c r="I101"/>
  <c r="H101"/>
  <c r="G101"/>
  <c r="F101"/>
  <c r="E101"/>
  <c r="D101"/>
  <c r="AF100"/>
  <c r="AE100"/>
  <c r="AB100"/>
  <c r="AA100"/>
  <c r="X100"/>
  <c r="T100"/>
  <c r="R100"/>
  <c r="P100"/>
  <c r="O100"/>
  <c r="L100"/>
  <c r="K100"/>
  <c r="H100"/>
  <c r="D100"/>
  <c r="B100"/>
  <c r="Y98"/>
  <c r="R98"/>
  <c r="I98"/>
  <c r="B98"/>
  <c r="Y97"/>
  <c r="R97"/>
  <c r="I97"/>
  <c r="B97"/>
  <c r="Y96"/>
  <c r="R96"/>
  <c r="I96"/>
  <c r="B96"/>
  <c r="Y95"/>
  <c r="R95"/>
  <c r="I95"/>
  <c r="B95"/>
  <c r="R93"/>
  <c r="B93"/>
  <c r="T92"/>
  <c r="D92"/>
  <c r="T91"/>
  <c r="D91"/>
  <c r="AA89"/>
  <c r="W89"/>
  <c r="R89"/>
  <c r="K89"/>
  <c r="G89"/>
  <c r="B89"/>
  <c r="AE84"/>
  <c r="Y84"/>
  <c r="O84"/>
  <c r="I84"/>
  <c r="AB81"/>
  <c r="L81"/>
  <c r="R79"/>
  <c r="B79"/>
  <c r="AD71"/>
  <c r="AC71"/>
  <c r="AB71"/>
  <c r="Z71"/>
  <c r="Y71"/>
  <c r="X71"/>
  <c r="W71"/>
  <c r="V71"/>
  <c r="U71"/>
  <c r="T71"/>
  <c r="N71"/>
  <c r="M71"/>
  <c r="L71"/>
  <c r="J71"/>
  <c r="I71"/>
  <c r="H71"/>
  <c r="G71"/>
  <c r="F71"/>
  <c r="E71"/>
  <c r="D71"/>
  <c r="AF70"/>
  <c r="AE70"/>
  <c r="AB70"/>
  <c r="AA70"/>
  <c r="X70"/>
  <c r="T70"/>
  <c r="R70"/>
  <c r="P70"/>
  <c r="O70"/>
  <c r="L70"/>
  <c r="K70"/>
  <c r="H70"/>
  <c r="D70"/>
  <c r="B70"/>
  <c r="Y68"/>
  <c r="R68"/>
  <c r="I68"/>
  <c r="B68"/>
  <c r="Y67"/>
  <c r="R67"/>
  <c r="I67"/>
  <c r="B67"/>
  <c r="Y66"/>
  <c r="R66"/>
  <c r="I66"/>
  <c r="B66"/>
  <c r="Y65"/>
  <c r="R65"/>
  <c r="I65"/>
  <c r="B65"/>
  <c r="R63"/>
  <c r="B63"/>
  <c r="T62"/>
  <c r="D62"/>
  <c r="T61"/>
  <c r="D61"/>
  <c r="AA59"/>
  <c r="W59"/>
  <c r="R59"/>
  <c r="K59"/>
  <c r="G59"/>
  <c r="B59"/>
  <c r="AE54"/>
  <c r="Y54"/>
  <c r="AB51"/>
  <c r="R49"/>
  <c r="AD41"/>
  <c r="AC41"/>
  <c r="AB41"/>
  <c r="Z41"/>
  <c r="Y41"/>
  <c r="X41"/>
  <c r="W41"/>
  <c r="V41"/>
  <c r="U41"/>
  <c r="T41"/>
  <c r="AF40"/>
  <c r="AE40"/>
  <c r="AB40"/>
  <c r="AA40"/>
  <c r="X40"/>
  <c r="T40"/>
  <c r="R40"/>
  <c r="O54"/>
  <c r="I54"/>
  <c r="L51"/>
  <c r="B49"/>
  <c r="N41"/>
  <c r="M41"/>
  <c r="L41"/>
  <c r="J41"/>
  <c r="I41"/>
  <c r="H41"/>
  <c r="G41"/>
  <c r="F41"/>
  <c r="E41"/>
  <c r="D41"/>
  <c r="P40"/>
  <c r="O40"/>
  <c r="L40"/>
  <c r="K40"/>
  <c r="H40"/>
  <c r="D40"/>
  <c r="B40"/>
  <c r="Y38"/>
  <c r="R38"/>
  <c r="Y37"/>
  <c r="R37"/>
  <c r="Y36"/>
  <c r="R36"/>
  <c r="Y35"/>
  <c r="R35"/>
  <c r="R33"/>
  <c r="T32"/>
  <c r="T31"/>
  <c r="I38"/>
  <c r="B38"/>
  <c r="I37"/>
  <c r="B37"/>
  <c r="I36"/>
  <c r="B36"/>
  <c r="I35"/>
  <c r="B35"/>
  <c r="B33"/>
  <c r="D32"/>
  <c r="D31"/>
  <c r="B3"/>
  <c r="AA29"/>
  <c r="W29"/>
  <c r="R29"/>
  <c r="K29"/>
  <c r="G29"/>
  <c r="B29"/>
  <c r="B30" i="4"/>
  <c r="B29"/>
  <c r="AE24" i="19"/>
  <c r="Y24"/>
  <c r="AB21"/>
  <c r="L21"/>
  <c r="O24"/>
  <c r="F28" i="4"/>
  <c r="I24" i="19"/>
  <c r="R19"/>
  <c r="B19"/>
  <c r="B20" i="4"/>
  <c r="AD11" i="19"/>
  <c r="AC11"/>
  <c r="AB11"/>
  <c r="Z11"/>
  <c r="Y11"/>
  <c r="X11"/>
  <c r="W11"/>
  <c r="V11"/>
  <c r="U11"/>
  <c r="T11"/>
  <c r="AF10"/>
  <c r="AE10"/>
  <c r="AB10"/>
  <c r="AA10"/>
  <c r="X10"/>
  <c r="T10"/>
  <c r="P10"/>
  <c r="N11"/>
  <c r="M11"/>
  <c r="L11"/>
  <c r="J11"/>
  <c r="I11"/>
  <c r="H11"/>
  <c r="G11"/>
  <c r="F11"/>
  <c r="E11"/>
  <c r="D11"/>
  <c r="O10"/>
  <c r="L10"/>
  <c r="K10"/>
  <c r="H10"/>
  <c r="D10"/>
  <c r="R10"/>
  <c r="B10"/>
  <c r="B11" i="4"/>
  <c r="Y8" i="19"/>
  <c r="I8"/>
  <c r="R8"/>
  <c r="S5"/>
  <c r="C5"/>
  <c r="Y7"/>
  <c r="R7"/>
  <c r="Y6"/>
  <c r="R6"/>
  <c r="Y5"/>
  <c r="R5"/>
  <c r="F6" i="4"/>
  <c r="M6"/>
  <c r="F5"/>
  <c r="I7" i="19"/>
  <c r="L9" i="4"/>
  <c r="I6" i="19"/>
  <c r="M8" i="4"/>
  <c r="I5" i="19"/>
  <c r="M7" i="4"/>
  <c r="B5" i="19"/>
  <c r="M5" i="4"/>
  <c r="B8" i="19"/>
  <c r="B8" i="4"/>
  <c r="B7" i="19"/>
  <c r="B7" i="4"/>
  <c r="B6" i="19"/>
  <c r="B6" i="4"/>
  <c r="K2" i="12"/>
  <c r="P211" i="11"/>
  <c r="H30" i="4"/>
  <c r="J211" i="11"/>
  <c r="H29" i="4"/>
  <c r="J207" i="11"/>
  <c r="HX4" i="9"/>
  <c r="I4" i="12"/>
  <c r="GL4" i="9"/>
  <c r="GK4"/>
  <c r="U3" i="12"/>
  <c r="B215"/>
  <c r="P19" i="4"/>
  <c r="I19"/>
  <c r="K19" s="1"/>
  <c r="H19"/>
  <c r="G19"/>
  <c r="F19"/>
  <c r="E19"/>
  <c r="P18"/>
  <c r="M18"/>
  <c r="O18" s="1"/>
  <c r="I18"/>
  <c r="K18" s="1"/>
  <c r="H18"/>
  <c r="G18"/>
  <c r="F18"/>
  <c r="E18"/>
  <c r="P17"/>
  <c r="M17"/>
  <c r="O17" s="1"/>
  <c r="I17"/>
  <c r="K17" s="1"/>
  <c r="H17"/>
  <c r="G17"/>
  <c r="F17"/>
  <c r="E17"/>
  <c r="P16"/>
  <c r="M16"/>
  <c r="O16" s="1"/>
  <c r="I16"/>
  <c r="K16" s="1"/>
  <c r="H16"/>
  <c r="G16"/>
  <c r="F16"/>
  <c r="E16"/>
  <c r="P15"/>
  <c r="M15"/>
  <c r="O15" s="1"/>
  <c r="I15"/>
  <c r="K15" s="1"/>
  <c r="H15"/>
  <c r="G15"/>
  <c r="F15"/>
  <c r="E15"/>
  <c r="P14"/>
  <c r="M14"/>
  <c r="I14"/>
  <c r="H14"/>
  <c r="G14"/>
  <c r="F8"/>
  <c r="O7"/>
  <c r="F14"/>
  <c r="E14"/>
  <c r="R11"/>
  <c r="Q11"/>
  <c r="P11"/>
  <c r="O12"/>
  <c r="N12"/>
  <c r="M12"/>
  <c r="M11"/>
  <c r="L11"/>
  <c r="I11"/>
  <c r="E11"/>
  <c r="K12"/>
  <c r="J12"/>
  <c r="I12"/>
  <c r="H12"/>
  <c r="G12"/>
  <c r="F12"/>
  <c r="E12"/>
  <c r="O5"/>
  <c r="B5"/>
  <c r="G2" i="12"/>
  <c r="G4" i="8"/>
  <c r="H4" i="4"/>
  <c r="T2" i="19"/>
  <c r="D2"/>
  <c r="E2" i="4"/>
  <c r="R3" i="19"/>
  <c r="T1"/>
  <c r="D1"/>
  <c r="I1" i="4"/>
  <c r="A1" i="12"/>
  <c r="AA58" i="19" l="1"/>
  <c r="U35"/>
  <c r="O14" i="18"/>
  <c r="O14" i="4"/>
  <c r="O23" s="1"/>
  <c r="K14" i="18"/>
  <c r="K14" i="4"/>
  <c r="K23" s="1"/>
  <c r="AG6" i="18"/>
  <c r="AH6"/>
  <c r="AI6"/>
  <c r="H23" i="4"/>
  <c r="AG6"/>
  <c r="AH6"/>
  <c r="AI6"/>
  <c r="G23" i="18"/>
  <c r="O23"/>
  <c r="H23"/>
  <c r="F23"/>
  <c r="E23"/>
  <c r="K23"/>
  <c r="P23"/>
  <c r="L16"/>
  <c r="L14"/>
  <c r="L15"/>
  <c r="L17"/>
  <c r="L19"/>
  <c r="L18"/>
  <c r="O45" i="19"/>
  <c r="E23" i="4"/>
  <c r="P23"/>
  <c r="G23"/>
  <c r="F23"/>
  <c r="L17"/>
  <c r="L18"/>
  <c r="L15"/>
  <c r="L16"/>
  <c r="L19"/>
  <c r="L14" l="1"/>
  <c r="L23" s="1"/>
  <c r="G44" i="19"/>
  <c r="D44"/>
  <c r="F44"/>
  <c r="AG9" i="18"/>
  <c r="AH9"/>
  <c r="AH7"/>
  <c r="AI9"/>
  <c r="H46" i="19"/>
  <c r="J46" s="1"/>
  <c r="AH7" i="4"/>
  <c r="AH9"/>
  <c r="AI9"/>
  <c r="AG9"/>
  <c r="O44" i="19"/>
  <c r="D47"/>
  <c r="C37"/>
  <c r="L44"/>
  <c r="N44" s="1"/>
  <c r="G47"/>
  <c r="H43"/>
  <c r="J43" s="1"/>
  <c r="E46"/>
  <c r="G48"/>
  <c r="G43"/>
  <c r="D46"/>
  <c r="E48"/>
  <c r="M54"/>
  <c r="D43"/>
  <c r="F45"/>
  <c r="H47"/>
  <c r="J47" s="1"/>
  <c r="C38"/>
  <c r="E45"/>
  <c r="E44"/>
  <c r="L47"/>
  <c r="N47" s="1"/>
  <c r="L23" i="18"/>
  <c r="F53" i="19"/>
  <c r="C36"/>
  <c r="O43"/>
  <c r="L45"/>
  <c r="N45" s="1"/>
  <c r="O48"/>
  <c r="G46"/>
  <c r="K46" s="1"/>
  <c r="L35"/>
  <c r="F48"/>
  <c r="H45"/>
  <c r="J45" s="1"/>
  <c r="F54"/>
  <c r="F34"/>
  <c r="L43"/>
  <c r="N43" s="1"/>
  <c r="G45"/>
  <c r="E47"/>
  <c r="B58"/>
  <c r="O47"/>
  <c r="F43"/>
  <c r="D45"/>
  <c r="F47"/>
  <c r="E43"/>
  <c r="L46"/>
  <c r="N46" s="1"/>
  <c r="H48"/>
  <c r="J48" s="1"/>
  <c r="N52"/>
  <c r="N53"/>
  <c r="O46"/>
  <c r="L48"/>
  <c r="N48" s="1"/>
  <c r="F52"/>
  <c r="G58"/>
  <c r="L36"/>
  <c r="AW35" s="1"/>
  <c r="H44"/>
  <c r="J44" s="1"/>
  <c r="F46"/>
  <c r="D48"/>
  <c r="V54"/>
  <c r="V52"/>
  <c r="AB48"/>
  <c r="AD48" s="1"/>
  <c r="U48"/>
  <c r="AB47"/>
  <c r="AD47" s="1"/>
  <c r="AB46"/>
  <c r="AD46" s="1"/>
  <c r="U46"/>
  <c r="AB45"/>
  <c r="AD45" s="1"/>
  <c r="AB44"/>
  <c r="AD44" s="1"/>
  <c r="U44"/>
  <c r="AB43"/>
  <c r="AD43" s="1"/>
  <c r="S38"/>
  <c r="S37"/>
  <c r="S36"/>
  <c r="AD53"/>
  <c r="V48"/>
  <c r="AE47"/>
  <c r="V47"/>
  <c r="V46"/>
  <c r="AE45"/>
  <c r="V45"/>
  <c r="V44"/>
  <c r="AE43"/>
  <c r="V43"/>
  <c r="R58"/>
  <c r="V53"/>
  <c r="W47"/>
  <c r="W46"/>
  <c r="W45"/>
  <c r="W44"/>
  <c r="W43"/>
  <c r="AB36"/>
  <c r="BB35" s="1"/>
  <c r="V34"/>
  <c r="W58"/>
  <c r="AC54"/>
  <c r="AD52"/>
  <c r="X48"/>
  <c r="Z48" s="1"/>
  <c r="X47"/>
  <c r="Z47" s="1"/>
  <c r="T47"/>
  <c r="X46"/>
  <c r="Z46" s="1"/>
  <c r="X45"/>
  <c r="Z45" s="1"/>
  <c r="T45"/>
  <c r="X44"/>
  <c r="Z44" s="1"/>
  <c r="X43"/>
  <c r="Z43" s="1"/>
  <c r="T43"/>
  <c r="N23"/>
  <c r="N22"/>
  <c r="L18"/>
  <c r="N18" s="1"/>
  <c r="G18"/>
  <c r="O17"/>
  <c r="E17"/>
  <c r="L16"/>
  <c r="N16" s="1"/>
  <c r="G16"/>
  <c r="O15"/>
  <c r="E15"/>
  <c r="L14"/>
  <c r="N14" s="1"/>
  <c r="G14"/>
  <c r="O13"/>
  <c r="E13"/>
  <c r="H18"/>
  <c r="J18" s="1"/>
  <c r="D18"/>
  <c r="F17"/>
  <c r="H16"/>
  <c r="J16" s="1"/>
  <c r="D16"/>
  <c r="F15"/>
  <c r="H14"/>
  <c r="J14" s="1"/>
  <c r="D14"/>
  <c r="F13"/>
  <c r="D25"/>
  <c r="F24"/>
  <c r="F23"/>
  <c r="F22"/>
  <c r="O18"/>
  <c r="E18"/>
  <c r="L17"/>
  <c r="N17" s="1"/>
  <c r="G17"/>
  <c r="O16"/>
  <c r="E16"/>
  <c r="L15"/>
  <c r="N15" s="1"/>
  <c r="G15"/>
  <c r="O14"/>
  <c r="E14"/>
  <c r="L13"/>
  <c r="N13" s="1"/>
  <c r="G13"/>
  <c r="H25"/>
  <c r="M24"/>
  <c r="F18"/>
  <c r="H17"/>
  <c r="J17" s="1"/>
  <c r="D17"/>
  <c r="F16"/>
  <c r="H15"/>
  <c r="J15" s="1"/>
  <c r="D15"/>
  <c r="F14"/>
  <c r="H13"/>
  <c r="J13" s="1"/>
  <c r="D13"/>
  <c r="L6"/>
  <c r="AW5" s="1"/>
  <c r="C8"/>
  <c r="C7"/>
  <c r="F4"/>
  <c r="C6"/>
  <c r="L5"/>
  <c r="G28"/>
  <c r="B28"/>
  <c r="H205" i="12"/>
  <c r="K1"/>
  <c r="B205"/>
  <c r="B206"/>
  <c r="V216"/>
  <c r="V212"/>
  <c r="V213"/>
  <c r="V209"/>
  <c r="V211"/>
  <c r="J209" i="11"/>
  <c r="V206" i="12"/>
  <c r="V208"/>
  <c r="H216"/>
  <c r="I216" i="15"/>
  <c r="H215" i="12"/>
  <c r="I215" i="15"/>
  <c r="H213" i="12"/>
  <c r="B214"/>
  <c r="H214"/>
  <c r="B213"/>
  <c r="H212"/>
  <c r="B212"/>
  <c r="H211"/>
  <c r="B211"/>
  <c r="H210"/>
  <c r="B210"/>
  <c r="H209"/>
  <c r="B209"/>
  <c r="H208"/>
  <c r="B208"/>
  <c r="H207"/>
  <c r="I207" i="15"/>
  <c r="H206" i="12"/>
  <c r="B207"/>
  <c r="F215"/>
  <c r="B215" i="15"/>
  <c r="B214"/>
  <c r="B213"/>
  <c r="B212"/>
  <c r="B211"/>
  <c r="B210"/>
  <c r="B209"/>
  <c r="B208"/>
  <c r="B207"/>
  <c r="E206" i="12"/>
  <c r="B206" i="15"/>
  <c r="A6" i="12"/>
  <c r="B6"/>
  <c r="C6"/>
  <c r="D6"/>
  <c r="E6"/>
  <c r="F6"/>
  <c r="G6"/>
  <c r="A7"/>
  <c r="B7"/>
  <c r="C7"/>
  <c r="D7"/>
  <c r="E7"/>
  <c r="G7"/>
  <c r="A8"/>
  <c r="B8"/>
  <c r="C8"/>
  <c r="D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C198"/>
  <c r="D198"/>
  <c r="E198"/>
  <c r="F198"/>
  <c r="G198"/>
  <c r="A199"/>
  <c r="B199"/>
  <c r="C199"/>
  <c r="D199"/>
  <c r="E199"/>
  <c r="F199"/>
  <c r="G199"/>
  <c r="A200"/>
  <c r="B200"/>
  <c r="C200"/>
  <c r="D200"/>
  <c r="E200"/>
  <c r="F200"/>
  <c r="G200"/>
  <c r="A201"/>
  <c r="B201"/>
  <c r="C201"/>
  <c r="D201"/>
  <c r="E201"/>
  <c r="F201"/>
  <c r="G201"/>
  <c r="A202"/>
  <c r="B202"/>
  <c r="C202"/>
  <c r="D202"/>
  <c r="E202"/>
  <c r="F202"/>
  <c r="G202"/>
  <c r="A203"/>
  <c r="B203"/>
  <c r="C203"/>
  <c r="D203"/>
  <c r="E203"/>
  <c r="F203"/>
  <c r="G203"/>
  <c r="A204"/>
  <c r="B204"/>
  <c r="C204"/>
  <c r="D204"/>
  <c r="E204"/>
  <c r="F204"/>
  <c r="G204"/>
  <c r="Q3" i="15"/>
  <c r="V2" i="12"/>
  <c r="HS4" i="9"/>
  <c r="R2" i="15"/>
  <c r="J4" i="12"/>
  <c r="M2" i="11"/>
  <c r="H4" i="12"/>
  <c r="J3" i="11"/>
  <c r="H2"/>
  <c r="C2" i="12"/>
  <c r="B2" i="11"/>
  <c r="A2" i="12"/>
  <c r="A2" i="11"/>
  <c r="E206" i="15"/>
  <c r="O1" i="11"/>
  <c r="A1"/>
  <c r="J205"/>
  <c r="BM216"/>
  <c r="BM215"/>
  <c r="A35" i="6" s="1"/>
  <c r="BM214" i="11"/>
  <c r="A34" i="6" s="1"/>
  <c r="BM213" i="11"/>
  <c r="A33" i="6" s="1"/>
  <c r="BM212" i="11"/>
  <c r="A32" i="6" s="1"/>
  <c r="BM211" i="11"/>
  <c r="A31" i="6" s="1"/>
  <c r="BM210" i="11"/>
  <c r="A30" i="6" s="1"/>
  <c r="BM209" i="11"/>
  <c r="A29" i="6" s="1"/>
  <c r="BM208" i="11"/>
  <c r="A28" i="6" s="1"/>
  <c r="BM207" i="11"/>
  <c r="A27" i="6" s="1"/>
  <c r="I213" i="15"/>
  <c r="I214"/>
  <c r="J39" i="6"/>
  <c r="M211" i="11"/>
  <c r="M209"/>
  <c r="M207"/>
  <c r="M205"/>
  <c r="HR209" i="9"/>
  <c r="HP209"/>
  <c r="D212" i="11"/>
  <c r="D211"/>
  <c r="D210"/>
  <c r="D209"/>
  <c r="D208"/>
  <c r="D207"/>
  <c r="D206"/>
  <c r="AH8" i="18" l="1"/>
  <c r="K44" i="19"/>
  <c r="AV6"/>
  <c r="AX6"/>
  <c r="AW6"/>
  <c r="BA36"/>
  <c r="BB36"/>
  <c r="BC36"/>
  <c r="AX36"/>
  <c r="AV36"/>
  <c r="AW36"/>
  <c r="K47"/>
  <c r="AH10" i="18"/>
  <c r="O9" s="1"/>
  <c r="K43" i="19"/>
  <c r="AH10" i="4"/>
  <c r="K48" i="19"/>
  <c r="AH8" i="4"/>
  <c r="O9" s="1"/>
  <c r="K18" i="19"/>
  <c r="K16"/>
  <c r="K45"/>
  <c r="K14"/>
  <c r="T44"/>
  <c r="T46"/>
  <c r="T48"/>
  <c r="AB35"/>
  <c r="W48"/>
  <c r="AA48" s="1"/>
  <c r="L68"/>
  <c r="AE44"/>
  <c r="AE46"/>
  <c r="AE48"/>
  <c r="U43"/>
  <c r="U45"/>
  <c r="U47"/>
  <c r="AA44"/>
  <c r="AA47"/>
  <c r="AA43"/>
  <c r="AA46"/>
  <c r="AA45"/>
  <c r="F84"/>
  <c r="F83"/>
  <c r="F82"/>
  <c r="O78"/>
  <c r="F78"/>
  <c r="H77"/>
  <c r="J77" s="1"/>
  <c r="D77"/>
  <c r="O76"/>
  <c r="F76"/>
  <c r="L75"/>
  <c r="N75" s="1"/>
  <c r="E75"/>
  <c r="G74"/>
  <c r="H73"/>
  <c r="J73" s="1"/>
  <c r="D73"/>
  <c r="C68"/>
  <c r="L66"/>
  <c r="AW65" s="1"/>
  <c r="L65"/>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B88"/>
  <c r="G78"/>
  <c r="L77"/>
  <c r="N77" s="1"/>
  <c r="E77"/>
  <c r="G76"/>
  <c r="O75"/>
  <c r="F75"/>
  <c r="H74"/>
  <c r="J74" s="1"/>
  <c r="D74"/>
  <c r="L73"/>
  <c r="N73" s="1"/>
  <c r="E73"/>
  <c r="G88"/>
  <c r="H78"/>
  <c r="J78" s="1"/>
  <c r="D78"/>
  <c r="O77"/>
  <c r="F77"/>
  <c r="H76"/>
  <c r="J76" s="1"/>
  <c r="D76"/>
  <c r="G75"/>
  <c r="L74"/>
  <c r="N74" s="1"/>
  <c r="E74"/>
  <c r="O73"/>
  <c r="F73"/>
  <c r="C67"/>
  <c r="C66"/>
  <c r="AB68"/>
  <c r="M84"/>
  <c r="N83"/>
  <c r="N82"/>
  <c r="L78"/>
  <c r="N78" s="1"/>
  <c r="E78"/>
  <c r="G77"/>
  <c r="L76"/>
  <c r="N76" s="1"/>
  <c r="E76"/>
  <c r="H75"/>
  <c r="J75" s="1"/>
  <c r="D75"/>
  <c r="O74"/>
  <c r="F74"/>
  <c r="G73"/>
  <c r="F64"/>
  <c r="K15"/>
  <c r="K13"/>
  <c r="K17"/>
  <c r="R28"/>
  <c r="W28"/>
  <c r="AD23"/>
  <c r="U18"/>
  <c r="AB17"/>
  <c r="AD17" s="1"/>
  <c r="U17"/>
  <c r="X16"/>
  <c r="Z16" s="1"/>
  <c r="T16"/>
  <c r="W15"/>
  <c r="AE14"/>
  <c r="W14"/>
  <c r="AE13"/>
  <c r="W13"/>
  <c r="V23"/>
  <c r="AB18"/>
  <c r="AD18" s="1"/>
  <c r="V18"/>
  <c r="V17"/>
  <c r="AB16"/>
  <c r="AD16" s="1"/>
  <c r="U16"/>
  <c r="X15"/>
  <c r="Z15" s="1"/>
  <c r="T15"/>
  <c r="X14"/>
  <c r="Z14" s="1"/>
  <c r="T14"/>
  <c r="X13"/>
  <c r="Z13" s="1"/>
  <c r="T13"/>
  <c r="AC24"/>
  <c r="AD22"/>
  <c r="AE18"/>
  <c r="W18"/>
  <c r="AE17"/>
  <c r="W17"/>
  <c r="AE16"/>
  <c r="V16"/>
  <c r="AB15"/>
  <c r="AD15" s="1"/>
  <c r="U15"/>
  <c r="U14"/>
  <c r="AB13"/>
  <c r="AD13" s="1"/>
  <c r="U13"/>
  <c r="V24"/>
  <c r="V22"/>
  <c r="X18"/>
  <c r="Z18" s="1"/>
  <c r="T18"/>
  <c r="X17"/>
  <c r="Z17" s="1"/>
  <c r="T17"/>
  <c r="W16"/>
  <c r="AE15"/>
  <c r="V15"/>
  <c r="AB14"/>
  <c r="AD14" s="1"/>
  <c r="V14"/>
  <c r="V13"/>
  <c r="S6"/>
  <c r="S7"/>
  <c r="S8"/>
  <c r="AB6"/>
  <c r="BB5" s="1"/>
  <c r="V4"/>
  <c r="AB5"/>
  <c r="A5" i="11"/>
  <c r="B5"/>
  <c r="C5"/>
  <c r="D5"/>
  <c r="E5"/>
  <c r="F5"/>
  <c r="G5"/>
  <c r="H5"/>
  <c r="I5"/>
  <c r="A6"/>
  <c r="B6"/>
  <c r="C6"/>
  <c r="D6"/>
  <c r="E6"/>
  <c r="G6"/>
  <c r="H6"/>
  <c r="I6"/>
  <c r="A7"/>
  <c r="B7"/>
  <c r="C7"/>
  <c r="D7"/>
  <c r="E7"/>
  <c r="F7"/>
  <c r="G7"/>
  <c r="H7"/>
  <c r="I7"/>
  <c r="A8"/>
  <c r="B8"/>
  <c r="C8"/>
  <c r="D8"/>
  <c r="E8"/>
  <c r="F8"/>
  <c r="G8"/>
  <c r="H8"/>
  <c r="I8"/>
  <c r="A9"/>
  <c r="B9"/>
  <c r="C9"/>
  <c r="D9"/>
  <c r="E9"/>
  <c r="F9"/>
  <c r="G9"/>
  <c r="H9"/>
  <c r="I9"/>
  <c r="A10"/>
  <c r="B10"/>
  <c r="C10"/>
  <c r="D10"/>
  <c r="E10"/>
  <c r="F10"/>
  <c r="G10"/>
  <c r="H10"/>
  <c r="I10"/>
  <c r="A11"/>
  <c r="B11"/>
  <c r="C11"/>
  <c r="D11"/>
  <c r="E11"/>
  <c r="F11"/>
  <c r="G11"/>
  <c r="H11"/>
  <c r="I11"/>
  <c r="A12"/>
  <c r="B12"/>
  <c r="C12"/>
  <c r="D12"/>
  <c r="E12"/>
  <c r="F12"/>
  <c r="G12"/>
  <c r="H12"/>
  <c r="I12"/>
  <c r="A13"/>
  <c r="B13"/>
  <c r="C13"/>
  <c r="D13"/>
  <c r="E13"/>
  <c r="F13"/>
  <c r="G13"/>
  <c r="H13"/>
  <c r="I13"/>
  <c r="A14"/>
  <c r="B14"/>
  <c r="C14"/>
  <c r="D14"/>
  <c r="E14"/>
  <c r="F14"/>
  <c r="G14"/>
  <c r="H14"/>
  <c r="I14"/>
  <c r="A15"/>
  <c r="B15"/>
  <c r="C15"/>
  <c r="D15"/>
  <c r="E15"/>
  <c r="F15"/>
  <c r="G15"/>
  <c r="H15"/>
  <c r="I15"/>
  <c r="A16"/>
  <c r="B16"/>
  <c r="C16"/>
  <c r="D16"/>
  <c r="E16"/>
  <c r="F16"/>
  <c r="G16"/>
  <c r="H16"/>
  <c r="I16"/>
  <c r="A17"/>
  <c r="B17"/>
  <c r="C17"/>
  <c r="D17"/>
  <c r="E17"/>
  <c r="F17"/>
  <c r="G17"/>
  <c r="H17"/>
  <c r="I17"/>
  <c r="A18"/>
  <c r="B18"/>
  <c r="C18"/>
  <c r="D18"/>
  <c r="E18"/>
  <c r="F18"/>
  <c r="G18"/>
  <c r="H18"/>
  <c r="I18"/>
  <c r="A19"/>
  <c r="B19"/>
  <c r="C19"/>
  <c r="D19"/>
  <c r="E19"/>
  <c r="F19"/>
  <c r="G19"/>
  <c r="H19"/>
  <c r="I19"/>
  <c r="A20"/>
  <c r="B20"/>
  <c r="C20"/>
  <c r="D20"/>
  <c r="E20"/>
  <c r="F20"/>
  <c r="G20"/>
  <c r="H20"/>
  <c r="I20"/>
  <c r="A21"/>
  <c r="B21"/>
  <c r="C21"/>
  <c r="D21"/>
  <c r="E21"/>
  <c r="F21"/>
  <c r="G21"/>
  <c r="H21"/>
  <c r="I21"/>
  <c r="A22"/>
  <c r="B22"/>
  <c r="C22"/>
  <c r="D22"/>
  <c r="E22"/>
  <c r="F22"/>
  <c r="G22"/>
  <c r="H22"/>
  <c r="I22"/>
  <c r="A23"/>
  <c r="B23"/>
  <c r="C23"/>
  <c r="D23"/>
  <c r="E23"/>
  <c r="F23"/>
  <c r="G23"/>
  <c r="H23"/>
  <c r="I23"/>
  <c r="A24"/>
  <c r="B24"/>
  <c r="C24"/>
  <c r="D24"/>
  <c r="E24"/>
  <c r="F24"/>
  <c r="G24"/>
  <c r="H24"/>
  <c r="I24"/>
  <c r="A25"/>
  <c r="B25"/>
  <c r="C25"/>
  <c r="D25"/>
  <c r="E25"/>
  <c r="F25"/>
  <c r="G25"/>
  <c r="H25"/>
  <c r="I25"/>
  <c r="A26"/>
  <c r="B26"/>
  <c r="C26"/>
  <c r="D26"/>
  <c r="E26"/>
  <c r="F26"/>
  <c r="G26"/>
  <c r="H26"/>
  <c r="I26"/>
  <c r="A27"/>
  <c r="B27"/>
  <c r="C27"/>
  <c r="D27"/>
  <c r="E27"/>
  <c r="F27"/>
  <c r="G27"/>
  <c r="H27"/>
  <c r="I27"/>
  <c r="A28"/>
  <c r="B28"/>
  <c r="C28"/>
  <c r="D28"/>
  <c r="E28"/>
  <c r="F28"/>
  <c r="G28"/>
  <c r="H28"/>
  <c r="I28"/>
  <c r="A29"/>
  <c r="B29"/>
  <c r="C29"/>
  <c r="D29"/>
  <c r="E29"/>
  <c r="F29"/>
  <c r="G29"/>
  <c r="H29"/>
  <c r="I29"/>
  <c r="A30"/>
  <c r="B30"/>
  <c r="C30"/>
  <c r="D30"/>
  <c r="E30"/>
  <c r="F30"/>
  <c r="G30"/>
  <c r="H30"/>
  <c r="I30"/>
  <c r="A31"/>
  <c r="B31"/>
  <c r="C31"/>
  <c r="D31"/>
  <c r="E31"/>
  <c r="F31"/>
  <c r="G31"/>
  <c r="H31"/>
  <c r="I31"/>
  <c r="A32"/>
  <c r="B32"/>
  <c r="C32"/>
  <c r="D32"/>
  <c r="E32"/>
  <c r="F32"/>
  <c r="G32"/>
  <c r="H32"/>
  <c r="I32"/>
  <c r="A33"/>
  <c r="B33"/>
  <c r="C33"/>
  <c r="D33"/>
  <c r="E33"/>
  <c r="F33"/>
  <c r="G33"/>
  <c r="H33"/>
  <c r="I33"/>
  <c r="A34"/>
  <c r="B34"/>
  <c r="C34"/>
  <c r="D34"/>
  <c r="E34"/>
  <c r="F34"/>
  <c r="G34"/>
  <c r="H34"/>
  <c r="I34"/>
  <c r="A35"/>
  <c r="B35"/>
  <c r="C35"/>
  <c r="D35"/>
  <c r="E35"/>
  <c r="F35"/>
  <c r="G35"/>
  <c r="H35"/>
  <c r="I35"/>
  <c r="A36"/>
  <c r="B36"/>
  <c r="C36"/>
  <c r="D36"/>
  <c r="E36"/>
  <c r="F36"/>
  <c r="G36"/>
  <c r="H36"/>
  <c r="I36"/>
  <c r="A37"/>
  <c r="B37"/>
  <c r="C37"/>
  <c r="D37"/>
  <c r="E37"/>
  <c r="F37"/>
  <c r="G37"/>
  <c r="H37"/>
  <c r="I37"/>
  <c r="A38"/>
  <c r="B38"/>
  <c r="C38"/>
  <c r="D38"/>
  <c r="E38"/>
  <c r="F38"/>
  <c r="G38"/>
  <c r="H38"/>
  <c r="I38"/>
  <c r="A39"/>
  <c r="B39"/>
  <c r="C39"/>
  <c r="D39"/>
  <c r="E39"/>
  <c r="F39"/>
  <c r="G39"/>
  <c r="H39"/>
  <c r="I39"/>
  <c r="A40"/>
  <c r="B40"/>
  <c r="C40"/>
  <c r="D40"/>
  <c r="E40"/>
  <c r="F40"/>
  <c r="G40"/>
  <c r="H40"/>
  <c r="I40"/>
  <c r="A41"/>
  <c r="B41"/>
  <c r="C41"/>
  <c r="D41"/>
  <c r="E41"/>
  <c r="F41"/>
  <c r="G41"/>
  <c r="H41"/>
  <c r="I41"/>
  <c r="A42"/>
  <c r="B42"/>
  <c r="C42"/>
  <c r="D42"/>
  <c r="E42"/>
  <c r="F42"/>
  <c r="G42"/>
  <c r="H42"/>
  <c r="I42"/>
  <c r="A43"/>
  <c r="B43"/>
  <c r="C43"/>
  <c r="D43"/>
  <c r="E43"/>
  <c r="F43"/>
  <c r="G43"/>
  <c r="H43"/>
  <c r="I43"/>
  <c r="A44"/>
  <c r="B44"/>
  <c r="C44"/>
  <c r="D44"/>
  <c r="E44"/>
  <c r="F44"/>
  <c r="G44"/>
  <c r="H44"/>
  <c r="I44"/>
  <c r="A45"/>
  <c r="B45"/>
  <c r="C45"/>
  <c r="D45"/>
  <c r="E45"/>
  <c r="F45"/>
  <c r="G45"/>
  <c r="H45"/>
  <c r="I45"/>
  <c r="A46"/>
  <c r="B46"/>
  <c r="C46"/>
  <c r="D46"/>
  <c r="E46"/>
  <c r="F46"/>
  <c r="G46"/>
  <c r="H46"/>
  <c r="I46"/>
  <c r="A47"/>
  <c r="B47"/>
  <c r="C47"/>
  <c r="D47"/>
  <c r="E47"/>
  <c r="F47"/>
  <c r="G47"/>
  <c r="H47"/>
  <c r="I47"/>
  <c r="A48"/>
  <c r="B48"/>
  <c r="C48"/>
  <c r="D48"/>
  <c r="E48"/>
  <c r="F48"/>
  <c r="G48"/>
  <c r="H48"/>
  <c r="I48"/>
  <c r="A49"/>
  <c r="B49"/>
  <c r="C49"/>
  <c r="D49"/>
  <c r="E49"/>
  <c r="F49"/>
  <c r="G49"/>
  <c r="H49"/>
  <c r="I49"/>
  <c r="A50"/>
  <c r="B50"/>
  <c r="C50"/>
  <c r="D50"/>
  <c r="E50"/>
  <c r="F50"/>
  <c r="G50"/>
  <c r="H50"/>
  <c r="I50"/>
  <c r="A51"/>
  <c r="B51"/>
  <c r="C51"/>
  <c r="D51"/>
  <c r="E51"/>
  <c r="F51"/>
  <c r="G51"/>
  <c r="H51"/>
  <c r="I51"/>
  <c r="A52"/>
  <c r="B52"/>
  <c r="C52"/>
  <c r="D52"/>
  <c r="E52"/>
  <c r="F52"/>
  <c r="G52"/>
  <c r="H52"/>
  <c r="I52"/>
  <c r="A53"/>
  <c r="B53"/>
  <c r="C53"/>
  <c r="D53"/>
  <c r="E53"/>
  <c r="F53"/>
  <c r="G53"/>
  <c r="H53"/>
  <c r="I53"/>
  <c r="A54"/>
  <c r="B54"/>
  <c r="C54"/>
  <c r="D54"/>
  <c r="E54"/>
  <c r="F54"/>
  <c r="G54"/>
  <c r="H54"/>
  <c r="I54"/>
  <c r="A55"/>
  <c r="B55"/>
  <c r="C55"/>
  <c r="D55"/>
  <c r="E55"/>
  <c r="F55"/>
  <c r="G55"/>
  <c r="H55"/>
  <c r="I55"/>
  <c r="A56"/>
  <c r="B56"/>
  <c r="C56"/>
  <c r="D56"/>
  <c r="E56"/>
  <c r="F56"/>
  <c r="G56"/>
  <c r="H56"/>
  <c r="I56"/>
  <c r="A57"/>
  <c r="B57"/>
  <c r="C57"/>
  <c r="D57"/>
  <c r="E57"/>
  <c r="F57"/>
  <c r="G57"/>
  <c r="H57"/>
  <c r="I57"/>
  <c r="A58"/>
  <c r="B58"/>
  <c r="C58"/>
  <c r="D58"/>
  <c r="E58"/>
  <c r="F58"/>
  <c r="G58"/>
  <c r="H58"/>
  <c r="I58"/>
  <c r="A59"/>
  <c r="B59"/>
  <c r="C59"/>
  <c r="D59"/>
  <c r="E59"/>
  <c r="F59"/>
  <c r="G59"/>
  <c r="H59"/>
  <c r="I59"/>
  <c r="A60"/>
  <c r="B60"/>
  <c r="C60"/>
  <c r="D60"/>
  <c r="E60"/>
  <c r="F60"/>
  <c r="G60"/>
  <c r="H60"/>
  <c r="I60"/>
  <c r="A61"/>
  <c r="B61"/>
  <c r="C61"/>
  <c r="D61"/>
  <c r="E61"/>
  <c r="F61"/>
  <c r="G61"/>
  <c r="H61"/>
  <c r="I61"/>
  <c r="A62"/>
  <c r="B62"/>
  <c r="C62"/>
  <c r="D62"/>
  <c r="E62"/>
  <c r="F62"/>
  <c r="G62"/>
  <c r="H62"/>
  <c r="I62"/>
  <c r="A63"/>
  <c r="B63"/>
  <c r="C63"/>
  <c r="D63"/>
  <c r="E63"/>
  <c r="F63"/>
  <c r="G63"/>
  <c r="H63"/>
  <c r="I63"/>
  <c r="A64"/>
  <c r="B64"/>
  <c r="C64"/>
  <c r="D64"/>
  <c r="E64"/>
  <c r="F64"/>
  <c r="G64"/>
  <c r="H64"/>
  <c r="I64"/>
  <c r="A65"/>
  <c r="B65"/>
  <c r="C65"/>
  <c r="D65"/>
  <c r="E65"/>
  <c r="F65"/>
  <c r="G65"/>
  <c r="H65"/>
  <c r="I65"/>
  <c r="A66"/>
  <c r="B66"/>
  <c r="C66"/>
  <c r="D66"/>
  <c r="E66"/>
  <c r="F66"/>
  <c r="G66"/>
  <c r="H66"/>
  <c r="I66"/>
  <c r="A67"/>
  <c r="B67"/>
  <c r="C67"/>
  <c r="D67"/>
  <c r="E67"/>
  <c r="F67"/>
  <c r="G67"/>
  <c r="H67"/>
  <c r="I67"/>
  <c r="A68"/>
  <c r="B68"/>
  <c r="C68"/>
  <c r="D68"/>
  <c r="E68"/>
  <c r="F68"/>
  <c r="G68"/>
  <c r="H68"/>
  <c r="I68"/>
  <c r="A69"/>
  <c r="B69"/>
  <c r="C69"/>
  <c r="D69"/>
  <c r="E69"/>
  <c r="F69"/>
  <c r="G69"/>
  <c r="H69"/>
  <c r="I69"/>
  <c r="A70"/>
  <c r="B70"/>
  <c r="C70"/>
  <c r="D70"/>
  <c r="E70"/>
  <c r="F70"/>
  <c r="G70"/>
  <c r="H70"/>
  <c r="I70"/>
  <c r="A71"/>
  <c r="B71"/>
  <c r="C71"/>
  <c r="D71"/>
  <c r="E71"/>
  <c r="F71"/>
  <c r="G71"/>
  <c r="H71"/>
  <c r="I71"/>
  <c r="A72"/>
  <c r="B72"/>
  <c r="C72"/>
  <c r="D72"/>
  <c r="E72"/>
  <c r="F72"/>
  <c r="G72"/>
  <c r="H72"/>
  <c r="I72"/>
  <c r="A73"/>
  <c r="B73"/>
  <c r="C73"/>
  <c r="D73"/>
  <c r="E73"/>
  <c r="F73"/>
  <c r="G73"/>
  <c r="H73"/>
  <c r="I73"/>
  <c r="A74"/>
  <c r="B74"/>
  <c r="C74"/>
  <c r="D74"/>
  <c r="E74"/>
  <c r="F74"/>
  <c r="G74"/>
  <c r="H74"/>
  <c r="I74"/>
  <c r="A75"/>
  <c r="B75"/>
  <c r="C75"/>
  <c r="D75"/>
  <c r="E75"/>
  <c r="F75"/>
  <c r="G75"/>
  <c r="H75"/>
  <c r="I75"/>
  <c r="A76"/>
  <c r="B76"/>
  <c r="C76"/>
  <c r="D76"/>
  <c r="E76"/>
  <c r="F76"/>
  <c r="G76"/>
  <c r="H76"/>
  <c r="I76"/>
  <c r="A77"/>
  <c r="B77"/>
  <c r="C77"/>
  <c r="D77"/>
  <c r="E77"/>
  <c r="F77"/>
  <c r="G77"/>
  <c r="H77"/>
  <c r="I77"/>
  <c r="A78"/>
  <c r="B78"/>
  <c r="C78"/>
  <c r="D78"/>
  <c r="E78"/>
  <c r="F78"/>
  <c r="G78"/>
  <c r="H78"/>
  <c r="I78"/>
  <c r="A79"/>
  <c r="B79"/>
  <c r="C79"/>
  <c r="D79"/>
  <c r="E79"/>
  <c r="F79"/>
  <c r="G79"/>
  <c r="H79"/>
  <c r="I79"/>
  <c r="A80"/>
  <c r="B80"/>
  <c r="C80"/>
  <c r="D80"/>
  <c r="E80"/>
  <c r="F80"/>
  <c r="G80"/>
  <c r="H80"/>
  <c r="I80"/>
  <c r="A81"/>
  <c r="B81"/>
  <c r="C81"/>
  <c r="D81"/>
  <c r="E81"/>
  <c r="F81"/>
  <c r="G81"/>
  <c r="H81"/>
  <c r="I81"/>
  <c r="A82"/>
  <c r="B82"/>
  <c r="C82"/>
  <c r="D82"/>
  <c r="E82"/>
  <c r="F82"/>
  <c r="G82"/>
  <c r="H82"/>
  <c r="I82"/>
  <c r="A83"/>
  <c r="B83"/>
  <c r="C83"/>
  <c r="D83"/>
  <c r="E83"/>
  <c r="F83"/>
  <c r="G83"/>
  <c r="H83"/>
  <c r="I83"/>
  <c r="A84"/>
  <c r="B84"/>
  <c r="C84"/>
  <c r="D84"/>
  <c r="E84"/>
  <c r="F84"/>
  <c r="G84"/>
  <c r="H84"/>
  <c r="I84"/>
  <c r="A85"/>
  <c r="B85"/>
  <c r="C85"/>
  <c r="D85"/>
  <c r="E85"/>
  <c r="F85"/>
  <c r="G85"/>
  <c r="H85"/>
  <c r="I85"/>
  <c r="A86"/>
  <c r="B86"/>
  <c r="C86"/>
  <c r="D86"/>
  <c r="E86"/>
  <c r="F86"/>
  <c r="G86"/>
  <c r="H86"/>
  <c r="I86"/>
  <c r="A87"/>
  <c r="B87"/>
  <c r="C87"/>
  <c r="D87"/>
  <c r="E87"/>
  <c r="F87"/>
  <c r="G87"/>
  <c r="H87"/>
  <c r="I87"/>
  <c r="A88"/>
  <c r="B88"/>
  <c r="C88"/>
  <c r="D88"/>
  <c r="E88"/>
  <c r="F88"/>
  <c r="G88"/>
  <c r="H88"/>
  <c r="I88"/>
  <c r="A89"/>
  <c r="B89"/>
  <c r="C89"/>
  <c r="D89"/>
  <c r="E89"/>
  <c r="F89"/>
  <c r="G89"/>
  <c r="H89"/>
  <c r="I89"/>
  <c r="A90"/>
  <c r="B90"/>
  <c r="C90"/>
  <c r="D90"/>
  <c r="E90"/>
  <c r="F90"/>
  <c r="G90"/>
  <c r="H90"/>
  <c r="I90"/>
  <c r="A91"/>
  <c r="B91"/>
  <c r="C91"/>
  <c r="D91"/>
  <c r="E91"/>
  <c r="F91"/>
  <c r="G91"/>
  <c r="H91"/>
  <c r="I91"/>
  <c r="A92"/>
  <c r="B92"/>
  <c r="C92"/>
  <c r="D92"/>
  <c r="E92"/>
  <c r="F92"/>
  <c r="G92"/>
  <c r="H92"/>
  <c r="I92"/>
  <c r="A93"/>
  <c r="B93"/>
  <c r="C93"/>
  <c r="D93"/>
  <c r="E93"/>
  <c r="F93"/>
  <c r="G93"/>
  <c r="H93"/>
  <c r="I93"/>
  <c r="A94"/>
  <c r="B94"/>
  <c r="C94"/>
  <c r="D94"/>
  <c r="E94"/>
  <c r="F94"/>
  <c r="G94"/>
  <c r="H94"/>
  <c r="I94"/>
  <c r="A95"/>
  <c r="B95"/>
  <c r="C95"/>
  <c r="D95"/>
  <c r="E95"/>
  <c r="F95"/>
  <c r="G95"/>
  <c r="H95"/>
  <c r="I95"/>
  <c r="A96"/>
  <c r="B96"/>
  <c r="C96"/>
  <c r="D96"/>
  <c r="E96"/>
  <c r="F96"/>
  <c r="G96"/>
  <c r="H96"/>
  <c r="I96"/>
  <c r="A97"/>
  <c r="B97"/>
  <c r="C97"/>
  <c r="D97"/>
  <c r="E97"/>
  <c r="F97"/>
  <c r="G97"/>
  <c r="H97"/>
  <c r="I97"/>
  <c r="A98"/>
  <c r="B98"/>
  <c r="C98"/>
  <c r="D98"/>
  <c r="E98"/>
  <c r="F98"/>
  <c r="G98"/>
  <c r="H98"/>
  <c r="I98"/>
  <c r="A99"/>
  <c r="B99"/>
  <c r="C99"/>
  <c r="D99"/>
  <c r="E99"/>
  <c r="F99"/>
  <c r="G99"/>
  <c r="H99"/>
  <c r="I99"/>
  <c r="A100"/>
  <c r="B100"/>
  <c r="C100"/>
  <c r="D100"/>
  <c r="E100"/>
  <c r="F100"/>
  <c r="G100"/>
  <c r="H100"/>
  <c r="I100"/>
  <c r="A101"/>
  <c r="B101"/>
  <c r="C101"/>
  <c r="D101"/>
  <c r="E101"/>
  <c r="F101"/>
  <c r="G101"/>
  <c r="H101"/>
  <c r="I101"/>
  <c r="A102"/>
  <c r="B102"/>
  <c r="C102"/>
  <c r="D102"/>
  <c r="E102"/>
  <c r="F102"/>
  <c r="G102"/>
  <c r="H102"/>
  <c r="I102"/>
  <c r="A103"/>
  <c r="B103"/>
  <c r="C103"/>
  <c r="D103"/>
  <c r="E103"/>
  <c r="F103"/>
  <c r="G103"/>
  <c r="H103"/>
  <c r="I103"/>
  <c r="A104"/>
  <c r="B104"/>
  <c r="C104"/>
  <c r="D104"/>
  <c r="E104"/>
  <c r="F104"/>
  <c r="G104"/>
  <c r="H104"/>
  <c r="I104"/>
  <c r="A105"/>
  <c r="B105"/>
  <c r="C105"/>
  <c r="D105"/>
  <c r="E105"/>
  <c r="F105"/>
  <c r="G105"/>
  <c r="H105"/>
  <c r="I105"/>
  <c r="A106"/>
  <c r="B106"/>
  <c r="C106"/>
  <c r="D106"/>
  <c r="E106"/>
  <c r="F106"/>
  <c r="G106"/>
  <c r="H106"/>
  <c r="I106"/>
  <c r="A107"/>
  <c r="B107"/>
  <c r="C107"/>
  <c r="D107"/>
  <c r="E107"/>
  <c r="F107"/>
  <c r="G107"/>
  <c r="H107"/>
  <c r="I107"/>
  <c r="A108"/>
  <c r="B108"/>
  <c r="C108"/>
  <c r="D108"/>
  <c r="E108"/>
  <c r="F108"/>
  <c r="G108"/>
  <c r="H108"/>
  <c r="I108"/>
  <c r="A109"/>
  <c r="B109"/>
  <c r="C109"/>
  <c r="D109"/>
  <c r="E109"/>
  <c r="F109"/>
  <c r="G109"/>
  <c r="H109"/>
  <c r="I109"/>
  <c r="A110"/>
  <c r="B110"/>
  <c r="C110"/>
  <c r="D110"/>
  <c r="E110"/>
  <c r="F110"/>
  <c r="G110"/>
  <c r="H110"/>
  <c r="I110"/>
  <c r="A111"/>
  <c r="B111"/>
  <c r="C111"/>
  <c r="D111"/>
  <c r="E111"/>
  <c r="F111"/>
  <c r="G111"/>
  <c r="H111"/>
  <c r="I111"/>
  <c r="A112"/>
  <c r="B112"/>
  <c r="C112"/>
  <c r="D112"/>
  <c r="E112"/>
  <c r="F112"/>
  <c r="G112"/>
  <c r="H112"/>
  <c r="I112"/>
  <c r="A113"/>
  <c r="B113"/>
  <c r="C113"/>
  <c r="D113"/>
  <c r="E113"/>
  <c r="F113"/>
  <c r="G113"/>
  <c r="H113"/>
  <c r="I113"/>
  <c r="A114"/>
  <c r="B114"/>
  <c r="C114"/>
  <c r="D114"/>
  <c r="E114"/>
  <c r="F114"/>
  <c r="G114"/>
  <c r="H114"/>
  <c r="I114"/>
  <c r="A115"/>
  <c r="B115"/>
  <c r="C115"/>
  <c r="D115"/>
  <c r="E115"/>
  <c r="F115"/>
  <c r="G115"/>
  <c r="H115"/>
  <c r="I115"/>
  <c r="A116"/>
  <c r="B116"/>
  <c r="C116"/>
  <c r="D116"/>
  <c r="E116"/>
  <c r="F116"/>
  <c r="G116"/>
  <c r="H116"/>
  <c r="I116"/>
  <c r="A117"/>
  <c r="B117"/>
  <c r="C117"/>
  <c r="D117"/>
  <c r="E117"/>
  <c r="F117"/>
  <c r="G117"/>
  <c r="H117"/>
  <c r="I117"/>
  <c r="A118"/>
  <c r="B118"/>
  <c r="C118"/>
  <c r="D118"/>
  <c r="E118"/>
  <c r="F118"/>
  <c r="G118"/>
  <c r="H118"/>
  <c r="I118"/>
  <c r="A119"/>
  <c r="B119"/>
  <c r="C119"/>
  <c r="D119"/>
  <c r="E119"/>
  <c r="F119"/>
  <c r="G119"/>
  <c r="H119"/>
  <c r="I119"/>
  <c r="A120"/>
  <c r="B120"/>
  <c r="C120"/>
  <c r="D120"/>
  <c r="E120"/>
  <c r="F120"/>
  <c r="G120"/>
  <c r="H120"/>
  <c r="I120"/>
  <c r="A121"/>
  <c r="B121"/>
  <c r="C121"/>
  <c r="D121"/>
  <c r="E121"/>
  <c r="F121"/>
  <c r="G121"/>
  <c r="H121"/>
  <c r="I121"/>
  <c r="A122"/>
  <c r="B122"/>
  <c r="C122"/>
  <c r="D122"/>
  <c r="E122"/>
  <c r="F122"/>
  <c r="G122"/>
  <c r="H122"/>
  <c r="I122"/>
  <c r="A123"/>
  <c r="B123"/>
  <c r="C123"/>
  <c r="D123"/>
  <c r="E123"/>
  <c r="F123"/>
  <c r="G123"/>
  <c r="H123"/>
  <c r="I123"/>
  <c r="A124"/>
  <c r="B124"/>
  <c r="C124"/>
  <c r="D124"/>
  <c r="E124"/>
  <c r="F124"/>
  <c r="G124"/>
  <c r="H124"/>
  <c r="I124"/>
  <c r="A125"/>
  <c r="B125"/>
  <c r="C125"/>
  <c r="D125"/>
  <c r="E125"/>
  <c r="F125"/>
  <c r="G125"/>
  <c r="H125"/>
  <c r="I125"/>
  <c r="A126"/>
  <c r="B126"/>
  <c r="C126"/>
  <c r="D126"/>
  <c r="E126"/>
  <c r="F126"/>
  <c r="G126"/>
  <c r="H126"/>
  <c r="I126"/>
  <c r="A127"/>
  <c r="B127"/>
  <c r="C127"/>
  <c r="D127"/>
  <c r="E127"/>
  <c r="F127"/>
  <c r="G127"/>
  <c r="H127"/>
  <c r="I127"/>
  <c r="A128"/>
  <c r="B128"/>
  <c r="C128"/>
  <c r="D128"/>
  <c r="E128"/>
  <c r="F128"/>
  <c r="G128"/>
  <c r="H128"/>
  <c r="I128"/>
  <c r="A129"/>
  <c r="B129"/>
  <c r="C129"/>
  <c r="D129"/>
  <c r="E129"/>
  <c r="F129"/>
  <c r="G129"/>
  <c r="H129"/>
  <c r="I129"/>
  <c r="A130"/>
  <c r="B130"/>
  <c r="C130"/>
  <c r="D130"/>
  <c r="E130"/>
  <c r="F130"/>
  <c r="G130"/>
  <c r="H130"/>
  <c r="I130"/>
  <c r="A131"/>
  <c r="B131"/>
  <c r="C131"/>
  <c r="D131"/>
  <c r="E131"/>
  <c r="F131"/>
  <c r="G131"/>
  <c r="H131"/>
  <c r="I131"/>
  <c r="A132"/>
  <c r="B132"/>
  <c r="C132"/>
  <c r="D132"/>
  <c r="E132"/>
  <c r="F132"/>
  <c r="G132"/>
  <c r="H132"/>
  <c r="I132"/>
  <c r="A133"/>
  <c r="B133"/>
  <c r="C133"/>
  <c r="D133"/>
  <c r="E133"/>
  <c r="F133"/>
  <c r="G133"/>
  <c r="H133"/>
  <c r="I133"/>
  <c r="A134"/>
  <c r="B134"/>
  <c r="C134"/>
  <c r="D134"/>
  <c r="E134"/>
  <c r="F134"/>
  <c r="G134"/>
  <c r="H134"/>
  <c r="I134"/>
  <c r="A135"/>
  <c r="B135"/>
  <c r="C135"/>
  <c r="D135"/>
  <c r="E135"/>
  <c r="F135"/>
  <c r="G135"/>
  <c r="H135"/>
  <c r="I135"/>
  <c r="A136"/>
  <c r="B136"/>
  <c r="C136"/>
  <c r="D136"/>
  <c r="E136"/>
  <c r="F136"/>
  <c r="G136"/>
  <c r="H136"/>
  <c r="I136"/>
  <c r="A137"/>
  <c r="B137"/>
  <c r="C137"/>
  <c r="D137"/>
  <c r="E137"/>
  <c r="F137"/>
  <c r="G137"/>
  <c r="H137"/>
  <c r="I137"/>
  <c r="A138"/>
  <c r="B138"/>
  <c r="C138"/>
  <c r="D138"/>
  <c r="E138"/>
  <c r="F138"/>
  <c r="G138"/>
  <c r="H138"/>
  <c r="I138"/>
  <c r="A139"/>
  <c r="B139"/>
  <c r="C139"/>
  <c r="D139"/>
  <c r="E139"/>
  <c r="F139"/>
  <c r="G139"/>
  <c r="H139"/>
  <c r="I139"/>
  <c r="A140"/>
  <c r="B140"/>
  <c r="C140"/>
  <c r="D140"/>
  <c r="E140"/>
  <c r="F140"/>
  <c r="G140"/>
  <c r="H140"/>
  <c r="I140"/>
  <c r="A141"/>
  <c r="B141"/>
  <c r="C141"/>
  <c r="D141"/>
  <c r="E141"/>
  <c r="F141"/>
  <c r="G141"/>
  <c r="H141"/>
  <c r="I141"/>
  <c r="A142"/>
  <c r="B142"/>
  <c r="C142"/>
  <c r="D142"/>
  <c r="E142"/>
  <c r="F142"/>
  <c r="G142"/>
  <c r="H142"/>
  <c r="I142"/>
  <c r="A143"/>
  <c r="B143"/>
  <c r="C143"/>
  <c r="D143"/>
  <c r="E143"/>
  <c r="F143"/>
  <c r="G143"/>
  <c r="H143"/>
  <c r="I143"/>
  <c r="A144"/>
  <c r="B144"/>
  <c r="C144"/>
  <c r="D144"/>
  <c r="E144"/>
  <c r="F144"/>
  <c r="G144"/>
  <c r="H144"/>
  <c r="I144"/>
  <c r="A145"/>
  <c r="B145"/>
  <c r="C145"/>
  <c r="D145"/>
  <c r="E145"/>
  <c r="F145"/>
  <c r="G145"/>
  <c r="H145"/>
  <c r="I145"/>
  <c r="A146"/>
  <c r="B146"/>
  <c r="C146"/>
  <c r="D146"/>
  <c r="E146"/>
  <c r="F146"/>
  <c r="G146"/>
  <c r="H146"/>
  <c r="I146"/>
  <c r="A147"/>
  <c r="B147"/>
  <c r="C147"/>
  <c r="D147"/>
  <c r="E147"/>
  <c r="F147"/>
  <c r="G147"/>
  <c r="H147"/>
  <c r="I147"/>
  <c r="A148"/>
  <c r="B148"/>
  <c r="C148"/>
  <c r="D148"/>
  <c r="E148"/>
  <c r="F148"/>
  <c r="G148"/>
  <c r="H148"/>
  <c r="I148"/>
  <c r="A149"/>
  <c r="B149"/>
  <c r="C149"/>
  <c r="D149"/>
  <c r="E149"/>
  <c r="F149"/>
  <c r="G149"/>
  <c r="H149"/>
  <c r="I149"/>
  <c r="A150"/>
  <c r="B150"/>
  <c r="C150"/>
  <c r="D150"/>
  <c r="E150"/>
  <c r="F150"/>
  <c r="G150"/>
  <c r="H150"/>
  <c r="I150"/>
  <c r="A151"/>
  <c r="B151"/>
  <c r="C151"/>
  <c r="D151"/>
  <c r="E151"/>
  <c r="F151"/>
  <c r="G151"/>
  <c r="H151"/>
  <c r="I151"/>
  <c r="A152"/>
  <c r="B152"/>
  <c r="C152"/>
  <c r="D152"/>
  <c r="E152"/>
  <c r="F152"/>
  <c r="G152"/>
  <c r="H152"/>
  <c r="I152"/>
  <c r="A153"/>
  <c r="B153"/>
  <c r="C153"/>
  <c r="D153"/>
  <c r="E153"/>
  <c r="F153"/>
  <c r="G153"/>
  <c r="H153"/>
  <c r="I153"/>
  <c r="A154"/>
  <c r="B154"/>
  <c r="C154"/>
  <c r="D154"/>
  <c r="E154"/>
  <c r="F154"/>
  <c r="G154"/>
  <c r="H154"/>
  <c r="I154"/>
  <c r="A155"/>
  <c r="B155"/>
  <c r="C155"/>
  <c r="D155"/>
  <c r="E155"/>
  <c r="F155"/>
  <c r="G155"/>
  <c r="H155"/>
  <c r="I155"/>
  <c r="A156"/>
  <c r="B156"/>
  <c r="C156"/>
  <c r="D156"/>
  <c r="E156"/>
  <c r="F156"/>
  <c r="G156"/>
  <c r="H156"/>
  <c r="I156"/>
  <c r="A157"/>
  <c r="B157"/>
  <c r="C157"/>
  <c r="D157"/>
  <c r="E157"/>
  <c r="F157"/>
  <c r="G157"/>
  <c r="H157"/>
  <c r="I157"/>
  <c r="A158"/>
  <c r="B158"/>
  <c r="C158"/>
  <c r="D158"/>
  <c r="E158"/>
  <c r="F158"/>
  <c r="G158"/>
  <c r="H158"/>
  <c r="I158"/>
  <c r="A159"/>
  <c r="B159"/>
  <c r="C159"/>
  <c r="D159"/>
  <c r="E159"/>
  <c r="F159"/>
  <c r="G159"/>
  <c r="H159"/>
  <c r="I159"/>
  <c r="A160"/>
  <c r="B160"/>
  <c r="C160"/>
  <c r="D160"/>
  <c r="E160"/>
  <c r="F160"/>
  <c r="G160"/>
  <c r="H160"/>
  <c r="I160"/>
  <c r="A161"/>
  <c r="B161"/>
  <c r="C161"/>
  <c r="D161"/>
  <c r="E161"/>
  <c r="F161"/>
  <c r="G161"/>
  <c r="H161"/>
  <c r="I161"/>
  <c r="A162"/>
  <c r="B162"/>
  <c r="C162"/>
  <c r="D162"/>
  <c r="E162"/>
  <c r="F162"/>
  <c r="G162"/>
  <c r="H162"/>
  <c r="I162"/>
  <c r="A163"/>
  <c r="B163"/>
  <c r="C163"/>
  <c r="D163"/>
  <c r="E163"/>
  <c r="F163"/>
  <c r="G163"/>
  <c r="H163"/>
  <c r="I163"/>
  <c r="A164"/>
  <c r="B164"/>
  <c r="C164"/>
  <c r="D164"/>
  <c r="E164"/>
  <c r="F164"/>
  <c r="G164"/>
  <c r="H164"/>
  <c r="I164"/>
  <c r="A165"/>
  <c r="B165"/>
  <c r="C165"/>
  <c r="D165"/>
  <c r="E165"/>
  <c r="F165"/>
  <c r="G165"/>
  <c r="H165"/>
  <c r="I165"/>
  <c r="A166"/>
  <c r="B166"/>
  <c r="C166"/>
  <c r="D166"/>
  <c r="E166"/>
  <c r="F166"/>
  <c r="G166"/>
  <c r="H166"/>
  <c r="I166"/>
  <c r="A167"/>
  <c r="B167"/>
  <c r="C167"/>
  <c r="D167"/>
  <c r="E167"/>
  <c r="F167"/>
  <c r="G167"/>
  <c r="H167"/>
  <c r="I167"/>
  <c r="A168"/>
  <c r="B168"/>
  <c r="C168"/>
  <c r="D168"/>
  <c r="E168"/>
  <c r="F168"/>
  <c r="G168"/>
  <c r="H168"/>
  <c r="I168"/>
  <c r="A169"/>
  <c r="B169"/>
  <c r="C169"/>
  <c r="D169"/>
  <c r="E169"/>
  <c r="F169"/>
  <c r="G169"/>
  <c r="H169"/>
  <c r="I169"/>
  <c r="A170"/>
  <c r="B170"/>
  <c r="C170"/>
  <c r="D170"/>
  <c r="E170"/>
  <c r="F170"/>
  <c r="G170"/>
  <c r="H170"/>
  <c r="I170"/>
  <c r="A171"/>
  <c r="B171"/>
  <c r="C171"/>
  <c r="D171"/>
  <c r="E171"/>
  <c r="F171"/>
  <c r="G171"/>
  <c r="H171"/>
  <c r="I171"/>
  <c r="A172"/>
  <c r="B172"/>
  <c r="C172"/>
  <c r="D172"/>
  <c r="E172"/>
  <c r="F172"/>
  <c r="G172"/>
  <c r="H172"/>
  <c r="I172"/>
  <c r="A173"/>
  <c r="B173"/>
  <c r="C173"/>
  <c r="D173"/>
  <c r="E173"/>
  <c r="F173"/>
  <c r="G173"/>
  <c r="H173"/>
  <c r="I173"/>
  <c r="A174"/>
  <c r="B174"/>
  <c r="C174"/>
  <c r="D174"/>
  <c r="E174"/>
  <c r="F174"/>
  <c r="G174"/>
  <c r="H174"/>
  <c r="I174"/>
  <c r="A175"/>
  <c r="B175"/>
  <c r="C175"/>
  <c r="D175"/>
  <c r="E175"/>
  <c r="F175"/>
  <c r="G175"/>
  <c r="H175"/>
  <c r="I175"/>
  <c r="A176"/>
  <c r="B176"/>
  <c r="C176"/>
  <c r="D176"/>
  <c r="E176"/>
  <c r="F176"/>
  <c r="G176"/>
  <c r="H176"/>
  <c r="I176"/>
  <c r="A177"/>
  <c r="B177"/>
  <c r="C177"/>
  <c r="D177"/>
  <c r="E177"/>
  <c r="F177"/>
  <c r="G177"/>
  <c r="H177"/>
  <c r="I177"/>
  <c r="A178"/>
  <c r="B178"/>
  <c r="C178"/>
  <c r="D178"/>
  <c r="E178"/>
  <c r="F178"/>
  <c r="G178"/>
  <c r="H178"/>
  <c r="I178"/>
  <c r="A179"/>
  <c r="B179"/>
  <c r="C179"/>
  <c r="D179"/>
  <c r="E179"/>
  <c r="F179"/>
  <c r="G179"/>
  <c r="H179"/>
  <c r="I179"/>
  <c r="A180"/>
  <c r="B180"/>
  <c r="C180"/>
  <c r="D180"/>
  <c r="E180"/>
  <c r="F180"/>
  <c r="G180"/>
  <c r="H180"/>
  <c r="I180"/>
  <c r="A181"/>
  <c r="B181"/>
  <c r="C181"/>
  <c r="D181"/>
  <c r="E181"/>
  <c r="F181"/>
  <c r="G181"/>
  <c r="H181"/>
  <c r="I181"/>
  <c r="A182"/>
  <c r="B182"/>
  <c r="C182"/>
  <c r="D182"/>
  <c r="E182"/>
  <c r="F182"/>
  <c r="G182"/>
  <c r="H182"/>
  <c r="I182"/>
  <c r="A183"/>
  <c r="B183"/>
  <c r="C183"/>
  <c r="D183"/>
  <c r="E183"/>
  <c r="F183"/>
  <c r="G183"/>
  <c r="H183"/>
  <c r="I183"/>
  <c r="A184"/>
  <c r="B184"/>
  <c r="C184"/>
  <c r="D184"/>
  <c r="E184"/>
  <c r="F184"/>
  <c r="G184"/>
  <c r="H184"/>
  <c r="I184"/>
  <c r="A185"/>
  <c r="B185"/>
  <c r="C185"/>
  <c r="D185"/>
  <c r="E185"/>
  <c r="F185"/>
  <c r="G185"/>
  <c r="H185"/>
  <c r="I185"/>
  <c r="A186"/>
  <c r="B186"/>
  <c r="C186"/>
  <c r="D186"/>
  <c r="E186"/>
  <c r="F186"/>
  <c r="G186"/>
  <c r="H186"/>
  <c r="I186"/>
  <c r="A187"/>
  <c r="B187"/>
  <c r="C187"/>
  <c r="D187"/>
  <c r="E187"/>
  <c r="F187"/>
  <c r="G187"/>
  <c r="H187"/>
  <c r="I187"/>
  <c r="A188"/>
  <c r="B188"/>
  <c r="C188"/>
  <c r="D188"/>
  <c r="E188"/>
  <c r="F188"/>
  <c r="G188"/>
  <c r="H188"/>
  <c r="I188"/>
  <c r="A189"/>
  <c r="B189"/>
  <c r="C189"/>
  <c r="D189"/>
  <c r="E189"/>
  <c r="F189"/>
  <c r="G189"/>
  <c r="H189"/>
  <c r="I189"/>
  <c r="A190"/>
  <c r="B190"/>
  <c r="C190"/>
  <c r="D190"/>
  <c r="E190"/>
  <c r="F190"/>
  <c r="G190"/>
  <c r="H190"/>
  <c r="I190"/>
  <c r="A191"/>
  <c r="B191"/>
  <c r="C191"/>
  <c r="D191"/>
  <c r="E191"/>
  <c r="F191"/>
  <c r="G191"/>
  <c r="H191"/>
  <c r="I191"/>
  <c r="A192"/>
  <c r="B192"/>
  <c r="C192"/>
  <c r="D192"/>
  <c r="E192"/>
  <c r="F192"/>
  <c r="G192"/>
  <c r="H192"/>
  <c r="I192"/>
  <c r="A193"/>
  <c r="B193"/>
  <c r="C193"/>
  <c r="D193"/>
  <c r="E193"/>
  <c r="F193"/>
  <c r="G193"/>
  <c r="H193"/>
  <c r="I193"/>
  <c r="A194"/>
  <c r="B194"/>
  <c r="C194"/>
  <c r="D194"/>
  <c r="E194"/>
  <c r="F194"/>
  <c r="G194"/>
  <c r="H194"/>
  <c r="I194"/>
  <c r="A195"/>
  <c r="B195"/>
  <c r="C195"/>
  <c r="D195"/>
  <c r="E195"/>
  <c r="F195"/>
  <c r="G195"/>
  <c r="H195"/>
  <c r="I195"/>
  <c r="A196"/>
  <c r="B196"/>
  <c r="C196"/>
  <c r="D196"/>
  <c r="E196"/>
  <c r="F196"/>
  <c r="G196"/>
  <c r="H196"/>
  <c r="I196"/>
  <c r="A197"/>
  <c r="B197"/>
  <c r="C197"/>
  <c r="D197"/>
  <c r="E197"/>
  <c r="F197"/>
  <c r="G197"/>
  <c r="H197"/>
  <c r="I197"/>
  <c r="A198"/>
  <c r="B198"/>
  <c r="C198"/>
  <c r="D198"/>
  <c r="E198"/>
  <c r="F198"/>
  <c r="G198"/>
  <c r="H198"/>
  <c r="I198"/>
  <c r="A199"/>
  <c r="B199"/>
  <c r="C199"/>
  <c r="D199"/>
  <c r="E199"/>
  <c r="F199"/>
  <c r="G199"/>
  <c r="H199"/>
  <c r="I199"/>
  <c r="A200"/>
  <c r="B200"/>
  <c r="C200"/>
  <c r="D200"/>
  <c r="E200"/>
  <c r="F200"/>
  <c r="G200"/>
  <c r="H200"/>
  <c r="I200"/>
  <c r="A201"/>
  <c r="B201"/>
  <c r="C201"/>
  <c r="D201"/>
  <c r="E201"/>
  <c r="F201"/>
  <c r="G201"/>
  <c r="H201"/>
  <c r="I201"/>
  <c r="A202"/>
  <c r="B202"/>
  <c r="C202"/>
  <c r="D202"/>
  <c r="E202"/>
  <c r="F202"/>
  <c r="G202"/>
  <c r="H202"/>
  <c r="I202"/>
  <c r="A203"/>
  <c r="B203"/>
  <c r="C203"/>
  <c r="D203"/>
  <c r="E203"/>
  <c r="F203"/>
  <c r="G203"/>
  <c r="H203"/>
  <c r="I203"/>
  <c r="S2"/>
  <c r="GM4" i="9"/>
  <c r="R2" i="11"/>
  <c r="HZ4" i="9"/>
  <c r="AQ2" i="15"/>
  <c r="O2" i="11"/>
  <c r="AQ3" i="15"/>
  <c r="J2" i="6"/>
  <c r="I3" i="15"/>
  <c r="I25" i="6"/>
  <c r="G25"/>
  <c r="A23"/>
  <c r="AA88" i="19" l="1"/>
  <c r="U65"/>
  <c r="K88"/>
  <c r="E65"/>
  <c r="AX66"/>
  <c r="AV66"/>
  <c r="AW66"/>
  <c r="AW37"/>
  <c r="AW39"/>
  <c r="BB39"/>
  <c r="BB37"/>
  <c r="AV9"/>
  <c r="BC39"/>
  <c r="AX9"/>
  <c r="AX39"/>
  <c r="AW7"/>
  <c r="AW9"/>
  <c r="BA6"/>
  <c r="BC6"/>
  <c r="BB6"/>
  <c r="AV39"/>
  <c r="BA39"/>
  <c r="K74"/>
  <c r="AA16"/>
  <c r="AA15"/>
  <c r="K76"/>
  <c r="K78"/>
  <c r="K77"/>
  <c r="K73"/>
  <c r="K75"/>
  <c r="L98"/>
  <c r="R88"/>
  <c r="AE78"/>
  <c r="V78"/>
  <c r="X77"/>
  <c r="Z77" s="1"/>
  <c r="T77"/>
  <c r="AE76"/>
  <c r="V76"/>
  <c r="U75"/>
  <c r="W74"/>
  <c r="X73"/>
  <c r="Z73" s="1"/>
  <c r="T73"/>
  <c r="AB66"/>
  <c r="BB65" s="1"/>
  <c r="AB65"/>
  <c r="V64"/>
  <c r="W88"/>
  <c r="AD83"/>
  <c r="AD82"/>
  <c r="W78"/>
  <c r="AB77"/>
  <c r="AD77" s="1"/>
  <c r="U77"/>
  <c r="W76"/>
  <c r="AB75"/>
  <c r="AD75" s="1"/>
  <c r="V75"/>
  <c r="X74"/>
  <c r="Z74" s="1"/>
  <c r="T74"/>
  <c r="U73"/>
  <c r="S67"/>
  <c r="AC84"/>
  <c r="V83"/>
  <c r="V82"/>
  <c r="X78"/>
  <c r="Z78" s="1"/>
  <c r="AA78" s="1"/>
  <c r="T78"/>
  <c r="AE77"/>
  <c r="V77"/>
  <c r="X76"/>
  <c r="Z76" s="1"/>
  <c r="T76"/>
  <c r="AE75"/>
  <c r="W75"/>
  <c r="AB74"/>
  <c r="AD74" s="1"/>
  <c r="U74"/>
  <c r="AB73"/>
  <c r="AD73" s="1"/>
  <c r="V73"/>
  <c r="S66"/>
  <c r="V84"/>
  <c r="AB78"/>
  <c r="AD78" s="1"/>
  <c r="U78"/>
  <c r="W77"/>
  <c r="AB76"/>
  <c r="AD76" s="1"/>
  <c r="U76"/>
  <c r="X75"/>
  <c r="Z75" s="1"/>
  <c r="T75"/>
  <c r="AE74"/>
  <c r="V74"/>
  <c r="AE73"/>
  <c r="W73"/>
  <c r="S68"/>
  <c r="AA14"/>
  <c r="AA18"/>
  <c r="AA13"/>
  <c r="AA17"/>
  <c r="A31"/>
  <c r="DJ6" i="9"/>
  <c r="CQ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Q105"/>
  <c r="CQ106"/>
  <c r="CQ107"/>
  <c r="CQ108"/>
  <c r="CQ109"/>
  <c r="CQ110"/>
  <c r="CQ111"/>
  <c r="CQ112"/>
  <c r="CQ113"/>
  <c r="CQ114"/>
  <c r="CQ115"/>
  <c r="CQ116"/>
  <c r="CQ117"/>
  <c r="CQ118"/>
  <c r="CQ119"/>
  <c r="CQ120"/>
  <c r="CQ121"/>
  <c r="CQ122"/>
  <c r="CQ123"/>
  <c r="CQ124"/>
  <c r="CQ125"/>
  <c r="CQ126"/>
  <c r="CQ127"/>
  <c r="CQ128"/>
  <c r="CQ129"/>
  <c r="CQ130"/>
  <c r="CQ131"/>
  <c r="CQ132"/>
  <c r="CQ133"/>
  <c r="CQ134"/>
  <c r="CQ135"/>
  <c r="CQ136"/>
  <c r="CQ137"/>
  <c r="CQ138"/>
  <c r="CQ139"/>
  <c r="CQ140"/>
  <c r="CQ141"/>
  <c r="CQ142"/>
  <c r="CQ143"/>
  <c r="CQ144"/>
  <c r="CQ145"/>
  <c r="CQ146"/>
  <c r="CQ147"/>
  <c r="CQ148"/>
  <c r="CQ149"/>
  <c r="CQ150"/>
  <c r="CQ151"/>
  <c r="CQ152"/>
  <c r="CQ153"/>
  <c r="CQ154"/>
  <c r="CQ155"/>
  <c r="CQ156"/>
  <c r="CQ157"/>
  <c r="CQ158"/>
  <c r="CQ159"/>
  <c r="CQ160"/>
  <c r="CQ161"/>
  <c r="CQ162"/>
  <c r="CQ163"/>
  <c r="CQ164"/>
  <c r="CQ165"/>
  <c r="CQ166"/>
  <c r="CQ167"/>
  <c r="CQ168"/>
  <c r="CQ169"/>
  <c r="CQ170"/>
  <c r="CQ171"/>
  <c r="CQ172"/>
  <c r="CQ173"/>
  <c r="CQ174"/>
  <c r="CQ175"/>
  <c r="CQ176"/>
  <c r="CQ177"/>
  <c r="CQ178"/>
  <c r="CQ179"/>
  <c r="CQ180"/>
  <c r="CQ181"/>
  <c r="CQ182"/>
  <c r="CQ183"/>
  <c r="CQ184"/>
  <c r="CQ185"/>
  <c r="CQ186"/>
  <c r="CQ187"/>
  <c r="CQ188"/>
  <c r="CQ189"/>
  <c r="CQ190"/>
  <c r="CQ191"/>
  <c r="CQ192"/>
  <c r="CQ193"/>
  <c r="CQ194"/>
  <c r="CQ195"/>
  <c r="CQ196"/>
  <c r="CQ197"/>
  <c r="CQ198"/>
  <c r="CQ199"/>
  <c r="CQ200"/>
  <c r="CQ201"/>
  <c r="CQ202"/>
  <c r="CQ203"/>
  <c r="CQ204"/>
  <c r="CQ205"/>
  <c r="CQ206"/>
  <c r="CQ6"/>
  <c r="CB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111"/>
  <c r="CB112"/>
  <c r="CB113"/>
  <c r="CB114"/>
  <c r="CB115"/>
  <c r="CB116"/>
  <c r="CB117"/>
  <c r="CB118"/>
  <c r="CB119"/>
  <c r="CB120"/>
  <c r="CB121"/>
  <c r="CB122"/>
  <c r="CB123"/>
  <c r="CB124"/>
  <c r="CB125"/>
  <c r="CB126"/>
  <c r="CB127"/>
  <c r="CB128"/>
  <c r="CB129"/>
  <c r="CB130"/>
  <c r="CB131"/>
  <c r="CB132"/>
  <c r="CB133"/>
  <c r="CB134"/>
  <c r="CB135"/>
  <c r="CB136"/>
  <c r="CB137"/>
  <c r="CB138"/>
  <c r="CB139"/>
  <c r="CB140"/>
  <c r="CB141"/>
  <c r="CB142"/>
  <c r="CB143"/>
  <c r="CB144"/>
  <c r="CB145"/>
  <c r="CB146"/>
  <c r="CB147"/>
  <c r="CB148"/>
  <c r="CB149"/>
  <c r="CB150"/>
  <c r="CB151"/>
  <c r="CB152"/>
  <c r="CB153"/>
  <c r="CB154"/>
  <c r="CB155"/>
  <c r="CB156"/>
  <c r="CB157"/>
  <c r="CB158"/>
  <c r="CB159"/>
  <c r="CB160"/>
  <c r="CB161"/>
  <c r="CB162"/>
  <c r="CB163"/>
  <c r="CB164"/>
  <c r="CB165"/>
  <c r="CB166"/>
  <c r="CB167"/>
  <c r="CB168"/>
  <c r="CB169"/>
  <c r="CB170"/>
  <c r="CB171"/>
  <c r="CB172"/>
  <c r="CB173"/>
  <c r="CB174"/>
  <c r="CB175"/>
  <c r="CB176"/>
  <c r="CB177"/>
  <c r="CB178"/>
  <c r="CB179"/>
  <c r="CB180"/>
  <c r="CB181"/>
  <c r="CB182"/>
  <c r="CB183"/>
  <c r="CB184"/>
  <c r="CB185"/>
  <c r="CB186"/>
  <c r="CB187"/>
  <c r="CB188"/>
  <c r="CB189"/>
  <c r="CB190"/>
  <c r="CB191"/>
  <c r="CB192"/>
  <c r="CB193"/>
  <c r="CB194"/>
  <c r="CB195"/>
  <c r="CB196"/>
  <c r="CB197"/>
  <c r="CB198"/>
  <c r="CB199"/>
  <c r="CB200"/>
  <c r="CB201"/>
  <c r="CB202"/>
  <c r="CB203"/>
  <c r="CB204"/>
  <c r="CB205"/>
  <c r="CB206"/>
  <c r="CB6"/>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N103"/>
  <c r="BN104"/>
  <c r="BN105"/>
  <c r="BN106"/>
  <c r="BN107"/>
  <c r="BN108"/>
  <c r="BN109"/>
  <c r="BN110"/>
  <c r="BN111"/>
  <c r="BN112"/>
  <c r="BN113"/>
  <c r="BN114"/>
  <c r="BN115"/>
  <c r="BN116"/>
  <c r="BN117"/>
  <c r="BN118"/>
  <c r="BN119"/>
  <c r="BN120"/>
  <c r="BN121"/>
  <c r="BN122"/>
  <c r="BN123"/>
  <c r="BN124"/>
  <c r="BN125"/>
  <c r="BN126"/>
  <c r="BN127"/>
  <c r="BN128"/>
  <c r="BN129"/>
  <c r="BN130"/>
  <c r="BN131"/>
  <c r="BN132"/>
  <c r="BN133"/>
  <c r="BN134"/>
  <c r="BN135"/>
  <c r="BN136"/>
  <c r="BN137"/>
  <c r="BN138"/>
  <c r="BN139"/>
  <c r="BN140"/>
  <c r="BN141"/>
  <c r="BN142"/>
  <c r="BN143"/>
  <c r="BN144"/>
  <c r="BN145"/>
  <c r="BN146"/>
  <c r="BN147"/>
  <c r="BN148"/>
  <c r="BN149"/>
  <c r="BN150"/>
  <c r="BN151"/>
  <c r="BN152"/>
  <c r="BN153"/>
  <c r="BN154"/>
  <c r="BN155"/>
  <c r="BN156"/>
  <c r="BN157"/>
  <c r="BN158"/>
  <c r="BN159"/>
  <c r="BN160"/>
  <c r="BN161"/>
  <c r="BN162"/>
  <c r="BN163"/>
  <c r="BN164"/>
  <c r="BN165"/>
  <c r="BN166"/>
  <c r="BN167"/>
  <c r="BN168"/>
  <c r="BN169"/>
  <c r="BN170"/>
  <c r="BN171"/>
  <c r="BN172"/>
  <c r="BN173"/>
  <c r="BN174"/>
  <c r="BN175"/>
  <c r="BN176"/>
  <c r="BN177"/>
  <c r="BN178"/>
  <c r="BN179"/>
  <c r="BN180"/>
  <c r="BN181"/>
  <c r="BN182"/>
  <c r="BN183"/>
  <c r="BN184"/>
  <c r="BN185"/>
  <c r="BN186"/>
  <c r="BN187"/>
  <c r="BN188"/>
  <c r="BN189"/>
  <c r="BN190"/>
  <c r="BN191"/>
  <c r="BN192"/>
  <c r="BN193"/>
  <c r="BN194"/>
  <c r="BN195"/>
  <c r="BN196"/>
  <c r="BN197"/>
  <c r="BN198"/>
  <c r="BN199"/>
  <c r="BN200"/>
  <c r="BN201"/>
  <c r="BN202"/>
  <c r="BN203"/>
  <c r="BN204"/>
  <c r="BN205"/>
  <c r="BN206"/>
  <c r="BN6"/>
  <c r="AZ7"/>
  <c r="AZ38"/>
  <c r="AZ39"/>
  <c r="AZ40"/>
  <c r="AZ41"/>
  <c r="AZ42"/>
  <c r="AZ43"/>
  <c r="AZ44"/>
  <c r="AZ45"/>
  <c r="AZ46"/>
  <c r="AZ47"/>
  <c r="AZ48"/>
  <c r="AZ49"/>
  <c r="AZ50"/>
  <c r="AZ51"/>
  <c r="AZ52"/>
  <c r="AZ53"/>
  <c r="AZ54"/>
  <c r="AZ55"/>
  <c r="AZ56"/>
  <c r="AZ57"/>
  <c r="AZ58"/>
  <c r="AZ59"/>
  <c r="AZ60"/>
  <c r="AZ61"/>
  <c r="AZ62"/>
  <c r="AZ63"/>
  <c r="AZ64"/>
  <c r="AZ65"/>
  <c r="AZ66"/>
  <c r="AZ67"/>
  <c r="AZ68"/>
  <c r="AZ69"/>
  <c r="AZ70"/>
  <c r="AZ71"/>
  <c r="AZ72"/>
  <c r="AZ73"/>
  <c r="AZ74"/>
  <c r="AZ75"/>
  <c r="AZ76"/>
  <c r="AZ77"/>
  <c r="AZ78"/>
  <c r="AZ79"/>
  <c r="AZ80"/>
  <c r="AZ81"/>
  <c r="AZ82"/>
  <c r="AZ83"/>
  <c r="AZ84"/>
  <c r="AZ85"/>
  <c r="AZ86"/>
  <c r="AZ87"/>
  <c r="AZ88"/>
  <c r="AZ89"/>
  <c r="AZ90"/>
  <c r="AZ91"/>
  <c r="AZ92"/>
  <c r="AZ93"/>
  <c r="AZ94"/>
  <c r="AZ95"/>
  <c r="AZ96"/>
  <c r="AZ97"/>
  <c r="AZ98"/>
  <c r="AZ99"/>
  <c r="AZ100"/>
  <c r="AZ101"/>
  <c r="AZ102"/>
  <c r="AZ103"/>
  <c r="AZ104"/>
  <c r="AZ105"/>
  <c r="AZ106"/>
  <c r="AZ107"/>
  <c r="AZ108"/>
  <c r="AZ109"/>
  <c r="AZ110"/>
  <c r="AZ111"/>
  <c r="AZ112"/>
  <c r="AZ113"/>
  <c r="AZ114"/>
  <c r="AZ115"/>
  <c r="AZ116"/>
  <c r="AZ117"/>
  <c r="AZ118"/>
  <c r="AZ119"/>
  <c r="AZ120"/>
  <c r="AZ121"/>
  <c r="AZ122"/>
  <c r="AZ123"/>
  <c r="AZ124"/>
  <c r="AZ125"/>
  <c r="AZ126"/>
  <c r="AZ127"/>
  <c r="AZ128"/>
  <c r="AZ129"/>
  <c r="AZ130"/>
  <c r="AZ131"/>
  <c r="AZ132"/>
  <c r="AZ133"/>
  <c r="AZ134"/>
  <c r="AZ135"/>
  <c r="AZ136"/>
  <c r="AZ137"/>
  <c r="AZ138"/>
  <c r="AZ139"/>
  <c r="AZ140"/>
  <c r="AZ141"/>
  <c r="AZ142"/>
  <c r="AZ143"/>
  <c r="AZ144"/>
  <c r="AZ145"/>
  <c r="AZ146"/>
  <c r="AZ147"/>
  <c r="AZ148"/>
  <c r="AZ149"/>
  <c r="AZ150"/>
  <c r="AZ151"/>
  <c r="AZ152"/>
  <c r="AZ153"/>
  <c r="AZ154"/>
  <c r="AZ155"/>
  <c r="AZ156"/>
  <c r="AZ157"/>
  <c r="AZ158"/>
  <c r="AZ159"/>
  <c r="AZ160"/>
  <c r="AZ161"/>
  <c r="AZ162"/>
  <c r="AZ163"/>
  <c r="AZ164"/>
  <c r="AZ165"/>
  <c r="AZ166"/>
  <c r="AZ167"/>
  <c r="AZ168"/>
  <c r="AZ169"/>
  <c r="AZ170"/>
  <c r="AZ171"/>
  <c r="AZ172"/>
  <c r="AZ173"/>
  <c r="AZ174"/>
  <c r="AZ175"/>
  <c r="AZ176"/>
  <c r="AZ177"/>
  <c r="AZ178"/>
  <c r="AZ179"/>
  <c r="AZ180"/>
  <c r="AZ181"/>
  <c r="AZ182"/>
  <c r="AZ183"/>
  <c r="AZ184"/>
  <c r="AZ185"/>
  <c r="AZ186"/>
  <c r="AZ187"/>
  <c r="AZ188"/>
  <c r="AZ189"/>
  <c r="AZ190"/>
  <c r="AZ191"/>
  <c r="AZ192"/>
  <c r="AZ193"/>
  <c r="AZ194"/>
  <c r="AZ195"/>
  <c r="AZ196"/>
  <c r="AZ197"/>
  <c r="AZ198"/>
  <c r="AZ199"/>
  <c r="AZ200"/>
  <c r="AZ201"/>
  <c r="AZ202"/>
  <c r="AZ203"/>
  <c r="AZ204"/>
  <c r="AZ205"/>
  <c r="AZ206"/>
  <c r="AZ6"/>
  <c r="AK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6"/>
  <c r="W6"/>
  <c r="A36" i="6"/>
  <c r="A26"/>
  <c r="A38"/>
  <c r="J18"/>
  <c r="A39"/>
  <c r="A18"/>
  <c r="N25"/>
  <c r="L25"/>
  <c r="H2"/>
  <c r="F2"/>
  <c r="A25"/>
  <c r="A1"/>
  <c r="A17"/>
  <c r="F2" i="15"/>
  <c r="K118" i="19" l="1"/>
  <c r="E95"/>
  <c r="AW10"/>
  <c r="AX69"/>
  <c r="AW40"/>
  <c r="BA66"/>
  <c r="BB66"/>
  <c r="BC66"/>
  <c r="BA9"/>
  <c r="AV69"/>
  <c r="BB40"/>
  <c r="BC9"/>
  <c r="AW67"/>
  <c r="AW69"/>
  <c r="BB38"/>
  <c r="AB37" s="1"/>
  <c r="BB7"/>
  <c r="BB9"/>
  <c r="AW8"/>
  <c r="L7" s="1"/>
  <c r="AW38"/>
  <c r="L37" s="1"/>
  <c r="AA76"/>
  <c r="AA77"/>
  <c r="AA73"/>
  <c r="AA75"/>
  <c r="AA74"/>
  <c r="G118"/>
  <c r="L108"/>
  <c r="N108" s="1"/>
  <c r="E108"/>
  <c r="G107"/>
  <c r="L106"/>
  <c r="N106" s="1"/>
  <c r="E106"/>
  <c r="G105"/>
  <c r="L104"/>
  <c r="N104" s="1"/>
  <c r="E104"/>
  <c r="O103"/>
  <c r="F103"/>
  <c r="C97"/>
  <c r="C96"/>
  <c r="AB98"/>
  <c r="M114"/>
  <c r="N113"/>
  <c r="N112"/>
  <c r="O108"/>
  <c r="F108"/>
  <c r="H107"/>
  <c r="J107" s="1"/>
  <c r="D107"/>
  <c r="O106"/>
  <c r="F106"/>
  <c r="H105"/>
  <c r="J105" s="1"/>
  <c r="D105"/>
  <c r="O104"/>
  <c r="F104"/>
  <c r="G103"/>
  <c r="F94"/>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F114"/>
  <c r="F113"/>
  <c r="F112"/>
  <c r="G108"/>
  <c r="L107"/>
  <c r="N107" s="1"/>
  <c r="E107"/>
  <c r="G106"/>
  <c r="L105"/>
  <c r="N105" s="1"/>
  <c r="E105"/>
  <c r="G104"/>
  <c r="H103"/>
  <c r="J103" s="1"/>
  <c r="D103"/>
  <c r="C98"/>
  <c r="L96"/>
  <c r="AW95" s="1"/>
  <c r="L95"/>
  <c r="B118"/>
  <c r="H108"/>
  <c r="J108" s="1"/>
  <c r="D108"/>
  <c r="O107"/>
  <c r="F107"/>
  <c r="H106"/>
  <c r="J106" s="1"/>
  <c r="D106"/>
  <c r="O105"/>
  <c r="F105"/>
  <c r="H104"/>
  <c r="J104" s="1"/>
  <c r="D104"/>
  <c r="L103"/>
  <c r="N103" s="1"/>
  <c r="E103"/>
  <c r="A32"/>
  <c r="A33" s="1"/>
  <c r="A34" s="1"/>
  <c r="A35" s="1"/>
  <c r="A36" s="1"/>
  <c r="A37" s="1"/>
  <c r="A38" s="1"/>
  <c r="A39" s="1"/>
  <c r="A40" s="1"/>
  <c r="A41" s="1"/>
  <c r="A42" s="1"/>
  <c r="A43" s="1"/>
  <c r="A44" s="1"/>
  <c r="A45" s="1"/>
  <c r="A46" s="1"/>
  <c r="A47" s="1"/>
  <c r="A48" s="1"/>
  <c r="A49" s="1"/>
  <c r="A50" s="1"/>
  <c r="A51" s="1"/>
  <c r="A52" s="1"/>
  <c r="A53" s="1"/>
  <c r="A54" s="1"/>
  <c r="A55" s="1"/>
  <c r="A56" s="1"/>
  <c r="A57" s="1"/>
  <c r="A58" s="1"/>
  <c r="A59" s="1"/>
  <c r="N9" i="6"/>
  <c r="N10"/>
  <c r="N11"/>
  <c r="N8"/>
  <c r="N7"/>
  <c r="CS8" i="9"/>
  <c r="R20" i="19" s="1"/>
  <c r="CT8" i="9"/>
  <c r="T20" i="19" s="1"/>
  <c r="CU8" i="9"/>
  <c r="CV8"/>
  <c r="V20" i="19" s="1"/>
  <c r="CX8" i="9"/>
  <c r="X20" i="19" s="1"/>
  <c r="CY8" i="9"/>
  <c r="Y20" i="19" s="1"/>
  <c r="DB8" i="9"/>
  <c r="AB20" i="19" s="1"/>
  <c r="DC8" i="9"/>
  <c r="AC20" i="19" s="1"/>
  <c r="CS9" i="9"/>
  <c r="B50" i="19" s="1"/>
  <c r="CT9" i="9"/>
  <c r="D50" i="19" s="1"/>
  <c r="CU9" i="9"/>
  <c r="E50" i="19" s="1"/>
  <c r="CV9" i="9"/>
  <c r="F50" i="19" s="1"/>
  <c r="CX9" i="9"/>
  <c r="H50" i="19" s="1"/>
  <c r="CY9" i="9"/>
  <c r="I50" i="19" s="1"/>
  <c r="DB9" i="9"/>
  <c r="DC9"/>
  <c r="M50" i="19" s="1"/>
  <c r="CS10" i="9"/>
  <c r="R50" i="19" s="1"/>
  <c r="CT10" i="9"/>
  <c r="T50" i="19" s="1"/>
  <c r="CU10" i="9"/>
  <c r="U50" i="19" s="1"/>
  <c r="CV10" i="9"/>
  <c r="V50" i="19" s="1"/>
  <c r="CX10" i="9"/>
  <c r="X50" i="19" s="1"/>
  <c r="CY10" i="9"/>
  <c r="Y50" i="19" s="1"/>
  <c r="DB10" i="9"/>
  <c r="AB50" i="19" s="1"/>
  <c r="DC10" i="9"/>
  <c r="AC50" i="19" s="1"/>
  <c r="CS11" i="9"/>
  <c r="B80" i="19" s="1"/>
  <c r="CT11" i="9"/>
  <c r="D80" i="19" s="1"/>
  <c r="CU11" i="9"/>
  <c r="E80" i="19" s="1"/>
  <c r="CV11" i="9"/>
  <c r="F80" i="19" s="1"/>
  <c r="CX11" i="9"/>
  <c r="CY11"/>
  <c r="I80" i="19" s="1"/>
  <c r="DB11" i="9"/>
  <c r="L80" i="19" s="1"/>
  <c r="DC11" i="9"/>
  <c r="M80" i="19" s="1"/>
  <c r="CS12" i="9"/>
  <c r="R80" i="19" s="1"/>
  <c r="CT12" i="9"/>
  <c r="T80" i="19" s="1"/>
  <c r="CU12" i="9"/>
  <c r="U80" i="19" s="1"/>
  <c r="CV12" i="9"/>
  <c r="V80" i="19" s="1"/>
  <c r="CX12" i="9"/>
  <c r="X80" i="19" s="1"/>
  <c r="CY12" i="9"/>
  <c r="Y80" i="19" s="1"/>
  <c r="DB12" i="9"/>
  <c r="AB80" i="19" s="1"/>
  <c r="DC12" i="9"/>
  <c r="CS13"/>
  <c r="CT13"/>
  <c r="CU13"/>
  <c r="E110" i="19" s="1"/>
  <c r="CV13" i="9"/>
  <c r="F110" i="19" s="1"/>
  <c r="CX13" i="9"/>
  <c r="CY13"/>
  <c r="I110" i="19" s="1"/>
  <c r="DB13" i="9"/>
  <c r="L110" i="19" s="1"/>
  <c r="DC13" i="9"/>
  <c r="CS14"/>
  <c r="CT14"/>
  <c r="CU14"/>
  <c r="CV14"/>
  <c r="CX14"/>
  <c r="CY14"/>
  <c r="DB14"/>
  <c r="DC14"/>
  <c r="CS15"/>
  <c r="CT15"/>
  <c r="CU15"/>
  <c r="CV15"/>
  <c r="CX15"/>
  <c r="CY15"/>
  <c r="DB15"/>
  <c r="DC15"/>
  <c r="CS16"/>
  <c r="CT16"/>
  <c r="CU16"/>
  <c r="CV16"/>
  <c r="CX16"/>
  <c r="CY16"/>
  <c r="DB16"/>
  <c r="DC16"/>
  <c r="CS17"/>
  <c r="CT17"/>
  <c r="CU17"/>
  <c r="CV17"/>
  <c r="CX17"/>
  <c r="CY17"/>
  <c r="DB17"/>
  <c r="DC17"/>
  <c r="CS18"/>
  <c r="CT18"/>
  <c r="CU18"/>
  <c r="CV18"/>
  <c r="CX18"/>
  <c r="CY18"/>
  <c r="DB18"/>
  <c r="DC18"/>
  <c r="CS19"/>
  <c r="CT19"/>
  <c r="CU19"/>
  <c r="CV19"/>
  <c r="CX19"/>
  <c r="CY19"/>
  <c r="DB19"/>
  <c r="DC19"/>
  <c r="CS20"/>
  <c r="CT20"/>
  <c r="CU20"/>
  <c r="CV20"/>
  <c r="CX20"/>
  <c r="CY20"/>
  <c r="CZ20" s="1"/>
  <c r="DB20"/>
  <c r="DC20"/>
  <c r="CS21"/>
  <c r="CT21"/>
  <c r="CU21"/>
  <c r="CV21"/>
  <c r="CX21"/>
  <c r="CY21"/>
  <c r="DB21"/>
  <c r="DC21"/>
  <c r="CS22"/>
  <c r="CT22"/>
  <c r="CW22" s="1"/>
  <c r="CU22"/>
  <c r="CV22"/>
  <c r="CX22"/>
  <c r="CY22"/>
  <c r="DB22"/>
  <c r="DD22" s="1"/>
  <c r="DJ22" s="1"/>
  <c r="DC22"/>
  <c r="CS23"/>
  <c r="CT23"/>
  <c r="CU23"/>
  <c r="CV23"/>
  <c r="CX23"/>
  <c r="CY23"/>
  <c r="DB23"/>
  <c r="DD23" s="1"/>
  <c r="DJ23" s="1"/>
  <c r="DC23"/>
  <c r="CS24"/>
  <c r="CT24"/>
  <c r="CU24"/>
  <c r="CV24"/>
  <c r="CX24"/>
  <c r="CY24"/>
  <c r="DB24"/>
  <c r="DC24"/>
  <c r="CS25"/>
  <c r="CT25"/>
  <c r="CU25"/>
  <c r="CV25"/>
  <c r="CX25"/>
  <c r="CY25"/>
  <c r="DB25"/>
  <c r="DC25"/>
  <c r="CS26"/>
  <c r="CT26"/>
  <c r="CU26"/>
  <c r="CV26"/>
  <c r="CX26"/>
  <c r="CY26"/>
  <c r="DB26"/>
  <c r="DC26"/>
  <c r="CS27"/>
  <c r="CT27"/>
  <c r="CU27"/>
  <c r="CV27"/>
  <c r="CX27"/>
  <c r="CY27"/>
  <c r="DB27"/>
  <c r="DC27"/>
  <c r="CS28"/>
  <c r="CT28"/>
  <c r="CU28"/>
  <c r="CV28"/>
  <c r="CX28"/>
  <c r="CY28"/>
  <c r="DB28"/>
  <c r="DC28"/>
  <c r="CS29"/>
  <c r="CT29"/>
  <c r="CU29"/>
  <c r="CV29"/>
  <c r="CX29"/>
  <c r="CY29"/>
  <c r="DB29"/>
  <c r="DC29"/>
  <c r="CS30"/>
  <c r="CT30"/>
  <c r="CU30"/>
  <c r="CV30"/>
  <c r="CX30"/>
  <c r="CY30"/>
  <c r="DB30"/>
  <c r="DC30"/>
  <c r="CS31"/>
  <c r="CT31"/>
  <c r="CU31"/>
  <c r="CV31"/>
  <c r="CX31"/>
  <c r="CY31"/>
  <c r="DB31"/>
  <c r="DD31" s="1"/>
  <c r="DC31"/>
  <c r="CS32"/>
  <c r="CT32"/>
  <c r="CU32"/>
  <c r="CV32"/>
  <c r="CX32"/>
  <c r="CY32"/>
  <c r="DB32"/>
  <c r="DC32"/>
  <c r="CS33"/>
  <c r="CT33"/>
  <c r="CU33"/>
  <c r="CV33"/>
  <c r="CX33"/>
  <c r="CY33"/>
  <c r="DB33"/>
  <c r="DC33"/>
  <c r="CS34"/>
  <c r="CT34"/>
  <c r="CU34"/>
  <c r="CV34"/>
  <c r="CX34"/>
  <c r="CY34"/>
  <c r="DB34"/>
  <c r="DC34"/>
  <c r="CS35"/>
  <c r="CT35"/>
  <c r="CU35"/>
  <c r="CV35"/>
  <c r="CX35"/>
  <c r="CY35"/>
  <c r="DB35"/>
  <c r="DD35" s="1"/>
  <c r="DC35"/>
  <c r="CS36"/>
  <c r="CT36"/>
  <c r="CU36"/>
  <c r="CV36"/>
  <c r="CX36"/>
  <c r="CY36"/>
  <c r="DB36"/>
  <c r="DC36"/>
  <c r="CS37"/>
  <c r="CT37"/>
  <c r="CU37"/>
  <c r="CV37"/>
  <c r="CX37"/>
  <c r="CY37"/>
  <c r="DB37"/>
  <c r="DD37" s="1"/>
  <c r="DC37"/>
  <c r="CS38"/>
  <c r="CT38"/>
  <c r="CU38"/>
  <c r="CV38"/>
  <c r="CX38"/>
  <c r="CY38"/>
  <c r="DB38"/>
  <c r="DC38"/>
  <c r="CS39"/>
  <c r="CT39"/>
  <c r="CU39"/>
  <c r="CV39"/>
  <c r="CX39"/>
  <c r="CY39"/>
  <c r="DB39"/>
  <c r="DD39" s="1"/>
  <c r="DJ39" s="1"/>
  <c r="DC39"/>
  <c r="CS40"/>
  <c r="CT40"/>
  <c r="CU40"/>
  <c r="CV40"/>
  <c r="CX40"/>
  <c r="CY40"/>
  <c r="DB40"/>
  <c r="DC40"/>
  <c r="CS41"/>
  <c r="CT41"/>
  <c r="CU41"/>
  <c r="CV41"/>
  <c r="CX41"/>
  <c r="CY41"/>
  <c r="DB41"/>
  <c r="DC41"/>
  <c r="CS42"/>
  <c r="CT42"/>
  <c r="CU42"/>
  <c r="CV42"/>
  <c r="CX42"/>
  <c r="CY42"/>
  <c r="DB42"/>
  <c r="DC42"/>
  <c r="CS43"/>
  <c r="CT43"/>
  <c r="CU43"/>
  <c r="CV43"/>
  <c r="CX43"/>
  <c r="CY43"/>
  <c r="DB43"/>
  <c r="DC43"/>
  <c r="CS44"/>
  <c r="CT44"/>
  <c r="CU44"/>
  <c r="CV44"/>
  <c r="CX44"/>
  <c r="CY44"/>
  <c r="DB44"/>
  <c r="DC44"/>
  <c r="CS45"/>
  <c r="CT45"/>
  <c r="CU45"/>
  <c r="CV45"/>
  <c r="CX45"/>
  <c r="CY45"/>
  <c r="DB45"/>
  <c r="DC45"/>
  <c r="CS46"/>
  <c r="CT46"/>
  <c r="CU46"/>
  <c r="CV46"/>
  <c r="CX46"/>
  <c r="CY46"/>
  <c r="DB46"/>
  <c r="DC46"/>
  <c r="CS47"/>
  <c r="CT47"/>
  <c r="CU47"/>
  <c r="CV47"/>
  <c r="CX47"/>
  <c r="CY47"/>
  <c r="DB47"/>
  <c r="DC47"/>
  <c r="CS48"/>
  <c r="CT48"/>
  <c r="CU48"/>
  <c r="CV48"/>
  <c r="CX48"/>
  <c r="CY48"/>
  <c r="DB48"/>
  <c r="DC48"/>
  <c r="CS49"/>
  <c r="CT49"/>
  <c r="CU49"/>
  <c r="CV49"/>
  <c r="CX49"/>
  <c r="CY49"/>
  <c r="DB49"/>
  <c r="DC49"/>
  <c r="CS50"/>
  <c r="CT50"/>
  <c r="CU50"/>
  <c r="CV50"/>
  <c r="CX50"/>
  <c r="CY50"/>
  <c r="DB50"/>
  <c r="DC50"/>
  <c r="CS51"/>
  <c r="CT51"/>
  <c r="CU51"/>
  <c r="CV51"/>
  <c r="CX51"/>
  <c r="CY51"/>
  <c r="DB51"/>
  <c r="DC51"/>
  <c r="CS52"/>
  <c r="CT52"/>
  <c r="CU52"/>
  <c r="CV52"/>
  <c r="CX52"/>
  <c r="CY52"/>
  <c r="DB52"/>
  <c r="DC52"/>
  <c r="CS53"/>
  <c r="CT53"/>
  <c r="CU53"/>
  <c r="CV53"/>
  <c r="CX53"/>
  <c r="CY53"/>
  <c r="DB53"/>
  <c r="DC53"/>
  <c r="CS54"/>
  <c r="CT54"/>
  <c r="CU54"/>
  <c r="CV54"/>
  <c r="CX54"/>
  <c r="CY54"/>
  <c r="DB54"/>
  <c r="DC54"/>
  <c r="CS55"/>
  <c r="CT55"/>
  <c r="CU55"/>
  <c r="CV55"/>
  <c r="CX55"/>
  <c r="CY55"/>
  <c r="DB55"/>
  <c r="DC55"/>
  <c r="CS56"/>
  <c r="CT56"/>
  <c r="CU56"/>
  <c r="CV56"/>
  <c r="CX56"/>
  <c r="CY56"/>
  <c r="DB56"/>
  <c r="DC56"/>
  <c r="CS57"/>
  <c r="CT57"/>
  <c r="CU57"/>
  <c r="CV57"/>
  <c r="CX57"/>
  <c r="CY57"/>
  <c r="DB57"/>
  <c r="DC57"/>
  <c r="CS58"/>
  <c r="CT58"/>
  <c r="CU58"/>
  <c r="CV58"/>
  <c r="CX58"/>
  <c r="CY58"/>
  <c r="DB58"/>
  <c r="DC58"/>
  <c r="CS59"/>
  <c r="CT59"/>
  <c r="CU59"/>
  <c r="CV59"/>
  <c r="CX59"/>
  <c r="CY59"/>
  <c r="DB59"/>
  <c r="DC59"/>
  <c r="CS60"/>
  <c r="CT60"/>
  <c r="CU60"/>
  <c r="CV60"/>
  <c r="CX60"/>
  <c r="CY60"/>
  <c r="DB60"/>
  <c r="DC60"/>
  <c r="CS61"/>
  <c r="CT61"/>
  <c r="CU61"/>
  <c r="CV61"/>
  <c r="CX61"/>
  <c r="CY61"/>
  <c r="DB61"/>
  <c r="DC61"/>
  <c r="CS62"/>
  <c r="CT62"/>
  <c r="CU62"/>
  <c r="CV62"/>
  <c r="CX62"/>
  <c r="CY62"/>
  <c r="DB62"/>
  <c r="DC62"/>
  <c r="CS63"/>
  <c r="CT63"/>
  <c r="CU63"/>
  <c r="CV63"/>
  <c r="CX63"/>
  <c r="CY63"/>
  <c r="DB63"/>
  <c r="DC63"/>
  <c r="CS64"/>
  <c r="CT64"/>
  <c r="CU64"/>
  <c r="CV64"/>
  <c r="CX64"/>
  <c r="CY64"/>
  <c r="DB64"/>
  <c r="DC64"/>
  <c r="CS65"/>
  <c r="CT65"/>
  <c r="CU65"/>
  <c r="CV65"/>
  <c r="CX65"/>
  <c r="CY65"/>
  <c r="DB65"/>
  <c r="DC65"/>
  <c r="CS66"/>
  <c r="CT66"/>
  <c r="CU66"/>
  <c r="CV66"/>
  <c r="CX66"/>
  <c r="CY66"/>
  <c r="DB66"/>
  <c r="DC66"/>
  <c r="CS67"/>
  <c r="CT67"/>
  <c r="CU67"/>
  <c r="CV67"/>
  <c r="CX67"/>
  <c r="CY67"/>
  <c r="DB67"/>
  <c r="DC67"/>
  <c r="CS68"/>
  <c r="CT68"/>
  <c r="CU68"/>
  <c r="CV68"/>
  <c r="CX68"/>
  <c r="CY68"/>
  <c r="DB68"/>
  <c r="DC68"/>
  <c r="CS69"/>
  <c r="CT69"/>
  <c r="CU69"/>
  <c r="CV69"/>
  <c r="CX69"/>
  <c r="CY69"/>
  <c r="DB69"/>
  <c r="DC69"/>
  <c r="CS70"/>
  <c r="CT70"/>
  <c r="CU70"/>
  <c r="CV70"/>
  <c r="CX70"/>
  <c r="CY70"/>
  <c r="DB70"/>
  <c r="DC70"/>
  <c r="CS71"/>
  <c r="CT71"/>
  <c r="CU71"/>
  <c r="CV71"/>
  <c r="CX71"/>
  <c r="CY71"/>
  <c r="DB71"/>
  <c r="DC71"/>
  <c r="CS72"/>
  <c r="CT72"/>
  <c r="CU72"/>
  <c r="CV72"/>
  <c r="CX72"/>
  <c r="CY72"/>
  <c r="DB72"/>
  <c r="DC72"/>
  <c r="CS73"/>
  <c r="CT73"/>
  <c r="CU73"/>
  <c r="CV73"/>
  <c r="CX73"/>
  <c r="CY73"/>
  <c r="DB73"/>
  <c r="DC73"/>
  <c r="CS74"/>
  <c r="CT74"/>
  <c r="CU74"/>
  <c r="CV74"/>
  <c r="CX74"/>
  <c r="CY74"/>
  <c r="DB74"/>
  <c r="DC74"/>
  <c r="CS75"/>
  <c r="CT75"/>
  <c r="CU75"/>
  <c r="CV75"/>
  <c r="CX75"/>
  <c r="CY75"/>
  <c r="DB75"/>
  <c r="DC75"/>
  <c r="CS76"/>
  <c r="CT76"/>
  <c r="CU76"/>
  <c r="CV76"/>
  <c r="CX76"/>
  <c r="CY76"/>
  <c r="DB76"/>
  <c r="DC76"/>
  <c r="CS77"/>
  <c r="CT77"/>
  <c r="CU77"/>
  <c r="CV77"/>
  <c r="CX77"/>
  <c r="CY77"/>
  <c r="DB77"/>
  <c r="DC77"/>
  <c r="CS78"/>
  <c r="CT78"/>
  <c r="CU78"/>
  <c r="CV78"/>
  <c r="CX78"/>
  <c r="CY78"/>
  <c r="DB78"/>
  <c r="DC78"/>
  <c r="CS79"/>
  <c r="CT79"/>
  <c r="CU79"/>
  <c r="CV79"/>
  <c r="CX79"/>
  <c r="CY79"/>
  <c r="DB79"/>
  <c r="DC79"/>
  <c r="CS80"/>
  <c r="CT80"/>
  <c r="CU80"/>
  <c r="CV80"/>
  <c r="CX80"/>
  <c r="CY80"/>
  <c r="DB80"/>
  <c r="DC80"/>
  <c r="CS81"/>
  <c r="CT81"/>
  <c r="CU81"/>
  <c r="CV81"/>
  <c r="CX81"/>
  <c r="CY81"/>
  <c r="DB81"/>
  <c r="DC81"/>
  <c r="CS82"/>
  <c r="CT82"/>
  <c r="CU82"/>
  <c r="CV82"/>
  <c r="CX82"/>
  <c r="CY82"/>
  <c r="DB82"/>
  <c r="DC82"/>
  <c r="CS83"/>
  <c r="CT83"/>
  <c r="CU83"/>
  <c r="CV83"/>
  <c r="CX83"/>
  <c r="CY83"/>
  <c r="DB83"/>
  <c r="DC83"/>
  <c r="CS84"/>
  <c r="CT84"/>
  <c r="CU84"/>
  <c r="CV84"/>
  <c r="CX84"/>
  <c r="CY84"/>
  <c r="DB84"/>
  <c r="DC84"/>
  <c r="CS85"/>
  <c r="CT85"/>
  <c r="CU85"/>
  <c r="CV85"/>
  <c r="CX85"/>
  <c r="CY85"/>
  <c r="DB85"/>
  <c r="DC85"/>
  <c r="CS86"/>
  <c r="CT86"/>
  <c r="CU86"/>
  <c r="CV86"/>
  <c r="CX86"/>
  <c r="CY86"/>
  <c r="DB86"/>
  <c r="DC86"/>
  <c r="CS87"/>
  <c r="CT87"/>
  <c r="CU87"/>
  <c r="CV87"/>
  <c r="CX87"/>
  <c r="CY87"/>
  <c r="DB87"/>
  <c r="DC87"/>
  <c r="CS88"/>
  <c r="CT88"/>
  <c r="CU88"/>
  <c r="CV88"/>
  <c r="CX88"/>
  <c r="CY88"/>
  <c r="DB88"/>
  <c r="DC88"/>
  <c r="CS89"/>
  <c r="CT89"/>
  <c r="CU89"/>
  <c r="CV89"/>
  <c r="CX89"/>
  <c r="CY89"/>
  <c r="DB89"/>
  <c r="DC89"/>
  <c r="CS90"/>
  <c r="CT90"/>
  <c r="CU90"/>
  <c r="CV90"/>
  <c r="CX90"/>
  <c r="CY90"/>
  <c r="DB90"/>
  <c r="DC90"/>
  <c r="CS91"/>
  <c r="CT91"/>
  <c r="CU91"/>
  <c r="CV91"/>
  <c r="CX91"/>
  <c r="CY91"/>
  <c r="DB91"/>
  <c r="DC91"/>
  <c r="CS92"/>
  <c r="CT92"/>
  <c r="CU92"/>
  <c r="CV92"/>
  <c r="CX92"/>
  <c r="CY92"/>
  <c r="DB92"/>
  <c r="DC92"/>
  <c r="CS93"/>
  <c r="CT93"/>
  <c r="CU93"/>
  <c r="CV93"/>
  <c r="CX93"/>
  <c r="CY93"/>
  <c r="DB93"/>
  <c r="DC93"/>
  <c r="CS94"/>
  <c r="CT94"/>
  <c r="CU94"/>
  <c r="CV94"/>
  <c r="CX94"/>
  <c r="CY94"/>
  <c r="DB94"/>
  <c r="DC94"/>
  <c r="CS95"/>
  <c r="CT95"/>
  <c r="CU95"/>
  <c r="CV95"/>
  <c r="CX95"/>
  <c r="CY95"/>
  <c r="DB95"/>
  <c r="DC95"/>
  <c r="CS96"/>
  <c r="CT96"/>
  <c r="CU96"/>
  <c r="CV96"/>
  <c r="CX96"/>
  <c r="CY96"/>
  <c r="DB96"/>
  <c r="DC96"/>
  <c r="CS97"/>
  <c r="CT97"/>
  <c r="CU97"/>
  <c r="CV97"/>
  <c r="CX97"/>
  <c r="CY97"/>
  <c r="DB97"/>
  <c r="DC97"/>
  <c r="CS98"/>
  <c r="CT98"/>
  <c r="CU98"/>
  <c r="CV98"/>
  <c r="CX98"/>
  <c r="CZ98" s="1"/>
  <c r="CY98"/>
  <c r="DB98"/>
  <c r="DC98"/>
  <c r="CS99"/>
  <c r="CT99"/>
  <c r="CU99"/>
  <c r="CV99"/>
  <c r="CX99"/>
  <c r="CZ99" s="1"/>
  <c r="CY99"/>
  <c r="DB99"/>
  <c r="DC99"/>
  <c r="CS100"/>
  <c r="CT100"/>
  <c r="CU100"/>
  <c r="CV100"/>
  <c r="CX100"/>
  <c r="CY100"/>
  <c r="DB100"/>
  <c r="DC100"/>
  <c r="CS101"/>
  <c r="CT101"/>
  <c r="CU101"/>
  <c r="CV101"/>
  <c r="CX101"/>
  <c r="CY101"/>
  <c r="DB101"/>
  <c r="DC101"/>
  <c r="CS102"/>
  <c r="CT102"/>
  <c r="CU102"/>
  <c r="CV102"/>
  <c r="CX102"/>
  <c r="CY102"/>
  <c r="DB102"/>
  <c r="DC102"/>
  <c r="CS103"/>
  <c r="CT103"/>
  <c r="CU103"/>
  <c r="CV103"/>
  <c r="CX103"/>
  <c r="CY103"/>
  <c r="DB103"/>
  <c r="DC103"/>
  <c r="CS104"/>
  <c r="CT104"/>
  <c r="CU104"/>
  <c r="CV104"/>
  <c r="CX104"/>
  <c r="CY104"/>
  <c r="DB104"/>
  <c r="DC104"/>
  <c r="CS105"/>
  <c r="CT105"/>
  <c r="CU105"/>
  <c r="CV105"/>
  <c r="CX105"/>
  <c r="CY105"/>
  <c r="DB105"/>
  <c r="DC105"/>
  <c r="CS106"/>
  <c r="CT106"/>
  <c r="CU106"/>
  <c r="CV106"/>
  <c r="CX106"/>
  <c r="CY106"/>
  <c r="DB106"/>
  <c r="DC106"/>
  <c r="CS107"/>
  <c r="CT107"/>
  <c r="CU107"/>
  <c r="CV107"/>
  <c r="CX107"/>
  <c r="CY107"/>
  <c r="DB107"/>
  <c r="DC107"/>
  <c r="CS108"/>
  <c r="CT108"/>
  <c r="CU108"/>
  <c r="CV108"/>
  <c r="CX108"/>
  <c r="CY108"/>
  <c r="DB108"/>
  <c r="DC108"/>
  <c r="CS109"/>
  <c r="CT109"/>
  <c r="CU109"/>
  <c r="CV109"/>
  <c r="CX109"/>
  <c r="CY109"/>
  <c r="DB109"/>
  <c r="DC109"/>
  <c r="CS110"/>
  <c r="CT110"/>
  <c r="CU110"/>
  <c r="CV110"/>
  <c r="CX110"/>
  <c r="CY110"/>
  <c r="DB110"/>
  <c r="DC110"/>
  <c r="CS111"/>
  <c r="CT111"/>
  <c r="CU111"/>
  <c r="CV111"/>
  <c r="CX111"/>
  <c r="CY111"/>
  <c r="DB111"/>
  <c r="DC111"/>
  <c r="CS112"/>
  <c r="CT112"/>
  <c r="CU112"/>
  <c r="CV112"/>
  <c r="CX112"/>
  <c r="CY112"/>
  <c r="DB112"/>
  <c r="DC112"/>
  <c r="CS113"/>
  <c r="CT113"/>
  <c r="CU113"/>
  <c r="CV113"/>
  <c r="CX113"/>
  <c r="CY113"/>
  <c r="DB113"/>
  <c r="DC113"/>
  <c r="CS114"/>
  <c r="CT114"/>
  <c r="CU114"/>
  <c r="CV114"/>
  <c r="CX114"/>
  <c r="CY114"/>
  <c r="DB114"/>
  <c r="DC114"/>
  <c r="CS115"/>
  <c r="CT115"/>
  <c r="CU115"/>
  <c r="CV115"/>
  <c r="CX115"/>
  <c r="CY115"/>
  <c r="DB115"/>
  <c r="DC115"/>
  <c r="CS116"/>
  <c r="CT116"/>
  <c r="CU116"/>
  <c r="CV116"/>
  <c r="CX116"/>
  <c r="CY116"/>
  <c r="DB116"/>
  <c r="DC116"/>
  <c r="CS117"/>
  <c r="CT117"/>
  <c r="CU117"/>
  <c r="CV117"/>
  <c r="CX117"/>
  <c r="CY117"/>
  <c r="DB117"/>
  <c r="DC117"/>
  <c r="CS118"/>
  <c r="CT118"/>
  <c r="CU118"/>
  <c r="CV118"/>
  <c r="CX118"/>
  <c r="CY118"/>
  <c r="DB118"/>
  <c r="DC118"/>
  <c r="CS119"/>
  <c r="CT119"/>
  <c r="CU119"/>
  <c r="CV119"/>
  <c r="CX119"/>
  <c r="CY119"/>
  <c r="DB119"/>
  <c r="DC119"/>
  <c r="CS120"/>
  <c r="CT120"/>
  <c r="CU120"/>
  <c r="CV120"/>
  <c r="CX120"/>
  <c r="CY120"/>
  <c r="DB120"/>
  <c r="DC120"/>
  <c r="CS121"/>
  <c r="CT121"/>
  <c r="CU121"/>
  <c r="CV121"/>
  <c r="CX121"/>
  <c r="CY121"/>
  <c r="DB121"/>
  <c r="DC121"/>
  <c r="CS122"/>
  <c r="CT122"/>
  <c r="CU122"/>
  <c r="CV122"/>
  <c r="CX122"/>
  <c r="CY122"/>
  <c r="DB122"/>
  <c r="DC122"/>
  <c r="CS123"/>
  <c r="CT123"/>
  <c r="CU123"/>
  <c r="CV123"/>
  <c r="CX123"/>
  <c r="CY123"/>
  <c r="DB123"/>
  <c r="DC123"/>
  <c r="CS124"/>
  <c r="CT124"/>
  <c r="CU124"/>
  <c r="CV124"/>
  <c r="CX124"/>
  <c r="CY124"/>
  <c r="DB124"/>
  <c r="DC124"/>
  <c r="CS125"/>
  <c r="CT125"/>
  <c r="CU125"/>
  <c r="CV125"/>
  <c r="CX125"/>
  <c r="CY125"/>
  <c r="DB125"/>
  <c r="DC125"/>
  <c r="CS126"/>
  <c r="CT126"/>
  <c r="CU126"/>
  <c r="CV126"/>
  <c r="CX126"/>
  <c r="CY126"/>
  <c r="DB126"/>
  <c r="DC126"/>
  <c r="CS127"/>
  <c r="CT127"/>
  <c r="CU127"/>
  <c r="CV127"/>
  <c r="CX127"/>
  <c r="CY127"/>
  <c r="DB127"/>
  <c r="DC127"/>
  <c r="CS128"/>
  <c r="CT128"/>
  <c r="CU128"/>
  <c r="CV128"/>
  <c r="CX128"/>
  <c r="CY128"/>
  <c r="DB128"/>
  <c r="DC128"/>
  <c r="CS129"/>
  <c r="CT129"/>
  <c r="CU129"/>
  <c r="CV129"/>
  <c r="CX129"/>
  <c r="CY129"/>
  <c r="DB129"/>
  <c r="DC129"/>
  <c r="CS130"/>
  <c r="CT130"/>
  <c r="CU130"/>
  <c r="CV130"/>
  <c r="CX130"/>
  <c r="CY130"/>
  <c r="DB130"/>
  <c r="DC130"/>
  <c r="CS131"/>
  <c r="CT131"/>
  <c r="CU131"/>
  <c r="CV131"/>
  <c r="CX131"/>
  <c r="CY131"/>
  <c r="DB131"/>
  <c r="DC131"/>
  <c r="CS132"/>
  <c r="CT132"/>
  <c r="CU132"/>
  <c r="CV132"/>
  <c r="CX132"/>
  <c r="CY132"/>
  <c r="DB132"/>
  <c r="DC132"/>
  <c r="CS133"/>
  <c r="CT133"/>
  <c r="CU133"/>
  <c r="CV133"/>
  <c r="CX133"/>
  <c r="CY133"/>
  <c r="DB133"/>
  <c r="DC133"/>
  <c r="CS134"/>
  <c r="CT134"/>
  <c r="CU134"/>
  <c r="CV134"/>
  <c r="CX134"/>
  <c r="CY134"/>
  <c r="DB134"/>
  <c r="DC134"/>
  <c r="CS135"/>
  <c r="CT135"/>
  <c r="CU135"/>
  <c r="CV135"/>
  <c r="CX135"/>
  <c r="CY135"/>
  <c r="DB135"/>
  <c r="DC135"/>
  <c r="CS136"/>
  <c r="CT136"/>
  <c r="CU136"/>
  <c r="CV136"/>
  <c r="CX136"/>
  <c r="CY136"/>
  <c r="DB136"/>
  <c r="DC136"/>
  <c r="CS137"/>
  <c r="CT137"/>
  <c r="CU137"/>
  <c r="CV137"/>
  <c r="CX137"/>
  <c r="CY137"/>
  <c r="DB137"/>
  <c r="DC137"/>
  <c r="CS138"/>
  <c r="CT138"/>
  <c r="CU138"/>
  <c r="CV138"/>
  <c r="CX138"/>
  <c r="CY138"/>
  <c r="DB138"/>
  <c r="DC138"/>
  <c r="CS139"/>
  <c r="CT139"/>
  <c r="CU139"/>
  <c r="CV139"/>
  <c r="CX139"/>
  <c r="CY139"/>
  <c r="DB139"/>
  <c r="DC139"/>
  <c r="CS140"/>
  <c r="CT140"/>
  <c r="CU140"/>
  <c r="CV140"/>
  <c r="CX140"/>
  <c r="CY140"/>
  <c r="DB140"/>
  <c r="DC140"/>
  <c r="CS141"/>
  <c r="CT141"/>
  <c r="CU141"/>
  <c r="CV141"/>
  <c r="CX141"/>
  <c r="CY141"/>
  <c r="DB141"/>
  <c r="DC141"/>
  <c r="CS142"/>
  <c r="CT142"/>
  <c r="CU142"/>
  <c r="CV142"/>
  <c r="CX142"/>
  <c r="CY142"/>
  <c r="DB142"/>
  <c r="DC142"/>
  <c r="CS143"/>
  <c r="CT143"/>
  <c r="CU143"/>
  <c r="CV143"/>
  <c r="CX143"/>
  <c r="CZ143" s="1"/>
  <c r="CY143"/>
  <c r="DB143"/>
  <c r="DC143"/>
  <c r="CS144"/>
  <c r="CT144"/>
  <c r="CU144"/>
  <c r="CV144"/>
  <c r="CX144"/>
  <c r="CY144"/>
  <c r="DB144"/>
  <c r="DC144"/>
  <c r="CS145"/>
  <c r="CT145"/>
  <c r="CU145"/>
  <c r="CV145"/>
  <c r="CX145"/>
  <c r="CY145"/>
  <c r="DB145"/>
  <c r="DC145"/>
  <c r="CS146"/>
  <c r="CT146"/>
  <c r="CU146"/>
  <c r="CV146"/>
  <c r="CX146"/>
  <c r="CZ146" s="1"/>
  <c r="CY146"/>
  <c r="DB146"/>
  <c r="DC146"/>
  <c r="CS147"/>
  <c r="CT147"/>
  <c r="CU147"/>
  <c r="CV147"/>
  <c r="CX147"/>
  <c r="CZ147" s="1"/>
  <c r="CY147"/>
  <c r="DB147"/>
  <c r="DC147"/>
  <c r="CS148"/>
  <c r="CT148"/>
  <c r="CU148"/>
  <c r="CV148"/>
  <c r="CX148"/>
  <c r="CY148"/>
  <c r="DB148"/>
  <c r="DC148"/>
  <c r="CS149"/>
  <c r="CT149"/>
  <c r="CU149"/>
  <c r="CV149"/>
  <c r="CX149"/>
  <c r="CY149"/>
  <c r="DB149"/>
  <c r="DC149"/>
  <c r="CS150"/>
  <c r="CT150"/>
  <c r="CU150"/>
  <c r="CV150"/>
  <c r="CX150"/>
  <c r="CY150"/>
  <c r="DB150"/>
  <c r="DC150"/>
  <c r="CS151"/>
  <c r="CT151"/>
  <c r="CU151"/>
  <c r="CV151"/>
  <c r="CX151"/>
  <c r="CY151"/>
  <c r="DB151"/>
  <c r="DC151"/>
  <c r="CS152"/>
  <c r="CT152"/>
  <c r="CU152"/>
  <c r="CV152"/>
  <c r="CX152"/>
  <c r="CY152"/>
  <c r="DB152"/>
  <c r="DC152"/>
  <c r="CS153"/>
  <c r="CT153"/>
  <c r="CU153"/>
  <c r="CV153"/>
  <c r="CX153"/>
  <c r="CY153"/>
  <c r="DB153"/>
  <c r="DC153"/>
  <c r="CS154"/>
  <c r="CT154"/>
  <c r="CU154"/>
  <c r="CV154"/>
  <c r="CX154"/>
  <c r="CY154"/>
  <c r="DB154"/>
  <c r="DC154"/>
  <c r="CS155"/>
  <c r="CT155"/>
  <c r="CU155"/>
  <c r="CV155"/>
  <c r="CX155"/>
  <c r="CY155"/>
  <c r="DB155"/>
  <c r="DC155"/>
  <c r="DD155" s="1"/>
  <c r="DJ155" s="1"/>
  <c r="CS156"/>
  <c r="CT156"/>
  <c r="CU156"/>
  <c r="CV156"/>
  <c r="CX156"/>
  <c r="CY156"/>
  <c r="DB156"/>
  <c r="DC156"/>
  <c r="CS157"/>
  <c r="CT157"/>
  <c r="CU157"/>
  <c r="CV157"/>
  <c r="CX157"/>
  <c r="CY157"/>
  <c r="DB157"/>
  <c r="DC157"/>
  <c r="CS158"/>
  <c r="CT158"/>
  <c r="CU158"/>
  <c r="CV158"/>
  <c r="CX158"/>
  <c r="CY158"/>
  <c r="DB158"/>
  <c r="DC158"/>
  <c r="CS159"/>
  <c r="CT159"/>
  <c r="CU159"/>
  <c r="CV159"/>
  <c r="CX159"/>
  <c r="CY159"/>
  <c r="DB159"/>
  <c r="DC159"/>
  <c r="CS160"/>
  <c r="CT160"/>
  <c r="CU160"/>
  <c r="CV160"/>
  <c r="CX160"/>
  <c r="CY160"/>
  <c r="DB160"/>
  <c r="DC160"/>
  <c r="CS161"/>
  <c r="CT161"/>
  <c r="CU161"/>
  <c r="CV161"/>
  <c r="CX161"/>
  <c r="CY161"/>
  <c r="DB161"/>
  <c r="DC161"/>
  <c r="CS162"/>
  <c r="CT162"/>
  <c r="CU162"/>
  <c r="CV162"/>
  <c r="CX162"/>
  <c r="CY162"/>
  <c r="DB162"/>
  <c r="DC162"/>
  <c r="CS163"/>
  <c r="CT163"/>
  <c r="CU163"/>
  <c r="CV163"/>
  <c r="CX163"/>
  <c r="CY163"/>
  <c r="DB163"/>
  <c r="DC163"/>
  <c r="CS164"/>
  <c r="CT164"/>
  <c r="CU164"/>
  <c r="CV164"/>
  <c r="CX164"/>
  <c r="CY164"/>
  <c r="DB164"/>
  <c r="DC164"/>
  <c r="CS165"/>
  <c r="CT165"/>
  <c r="CU165"/>
  <c r="CV165"/>
  <c r="CX165"/>
  <c r="CY165"/>
  <c r="DB165"/>
  <c r="DC165"/>
  <c r="CS166"/>
  <c r="CT166"/>
  <c r="CU166"/>
  <c r="CV166"/>
  <c r="CX166"/>
  <c r="CY166"/>
  <c r="DB166"/>
  <c r="DC166"/>
  <c r="CS167"/>
  <c r="CT167"/>
  <c r="CU167"/>
  <c r="CV167"/>
  <c r="CX167"/>
  <c r="CY167"/>
  <c r="DB167"/>
  <c r="DC167"/>
  <c r="CS168"/>
  <c r="CT168"/>
  <c r="CU168"/>
  <c r="CV168"/>
  <c r="CX168"/>
  <c r="CY168"/>
  <c r="DB168"/>
  <c r="DC168"/>
  <c r="CS169"/>
  <c r="CT169"/>
  <c r="CU169"/>
  <c r="CV169"/>
  <c r="CX169"/>
  <c r="CY169"/>
  <c r="DB169"/>
  <c r="DC169"/>
  <c r="CS170"/>
  <c r="CT170"/>
  <c r="CU170"/>
  <c r="CV170"/>
  <c r="CX170"/>
  <c r="CY170"/>
  <c r="DB170"/>
  <c r="DC170"/>
  <c r="CS171"/>
  <c r="CT171"/>
  <c r="CU171"/>
  <c r="CV171"/>
  <c r="CX171"/>
  <c r="CY171"/>
  <c r="DB171"/>
  <c r="DC171"/>
  <c r="CS172"/>
  <c r="CT172"/>
  <c r="CU172"/>
  <c r="CV172"/>
  <c r="CX172"/>
  <c r="CY172"/>
  <c r="DB172"/>
  <c r="DC172"/>
  <c r="CS173"/>
  <c r="CT173"/>
  <c r="CU173"/>
  <c r="CV173"/>
  <c r="CX173"/>
  <c r="CY173"/>
  <c r="DB173"/>
  <c r="DC173"/>
  <c r="CS174"/>
  <c r="CT174"/>
  <c r="CU174"/>
  <c r="CV174"/>
  <c r="CX174"/>
  <c r="CY174"/>
  <c r="DB174"/>
  <c r="DC174"/>
  <c r="CS175"/>
  <c r="CT175"/>
  <c r="CU175"/>
  <c r="CV175"/>
  <c r="CX175"/>
  <c r="CY175"/>
  <c r="DB175"/>
  <c r="DC175"/>
  <c r="CS176"/>
  <c r="CT176"/>
  <c r="CU176"/>
  <c r="CV176"/>
  <c r="CX176"/>
  <c r="CY176"/>
  <c r="DB176"/>
  <c r="DC176"/>
  <c r="CS177"/>
  <c r="CT177"/>
  <c r="CU177"/>
  <c r="CV177"/>
  <c r="CX177"/>
  <c r="CY177"/>
  <c r="DB177"/>
  <c r="DC177"/>
  <c r="CS178"/>
  <c r="CT178"/>
  <c r="CU178"/>
  <c r="CV178"/>
  <c r="CX178"/>
  <c r="CY178"/>
  <c r="DB178"/>
  <c r="DC178"/>
  <c r="CS179"/>
  <c r="CT179"/>
  <c r="CU179"/>
  <c r="CV179"/>
  <c r="CX179"/>
  <c r="CZ179" s="1"/>
  <c r="CY179"/>
  <c r="DB179"/>
  <c r="DC179"/>
  <c r="CS180"/>
  <c r="CT180"/>
  <c r="CU180"/>
  <c r="CV180"/>
  <c r="CX180"/>
  <c r="CY180"/>
  <c r="DB180"/>
  <c r="DC180"/>
  <c r="CS181"/>
  <c r="CT181"/>
  <c r="CU181"/>
  <c r="CV181"/>
  <c r="CX181"/>
  <c r="CY181"/>
  <c r="DB181"/>
  <c r="DC181"/>
  <c r="CS182"/>
  <c r="CT182"/>
  <c r="CU182"/>
  <c r="CV182"/>
  <c r="CX182"/>
  <c r="CZ182" s="1"/>
  <c r="CY182"/>
  <c r="DB182"/>
  <c r="DC182"/>
  <c r="CS183"/>
  <c r="CT183"/>
  <c r="CU183"/>
  <c r="CV183"/>
  <c r="CX183"/>
  <c r="CZ183" s="1"/>
  <c r="CY183"/>
  <c r="DB183"/>
  <c r="DC183"/>
  <c r="CS184"/>
  <c r="CT184"/>
  <c r="CU184"/>
  <c r="CV184"/>
  <c r="CX184"/>
  <c r="CZ184" s="1"/>
  <c r="CY184"/>
  <c r="DB184"/>
  <c r="DC184"/>
  <c r="CS185"/>
  <c r="CT185"/>
  <c r="CU185"/>
  <c r="CV185"/>
  <c r="CX185"/>
  <c r="CZ185" s="1"/>
  <c r="CY185"/>
  <c r="DB185"/>
  <c r="DC185"/>
  <c r="CS186"/>
  <c r="CT186"/>
  <c r="CU186"/>
  <c r="CV186"/>
  <c r="CX186"/>
  <c r="CY186"/>
  <c r="DB186"/>
  <c r="DC186"/>
  <c r="CS187"/>
  <c r="CT187"/>
  <c r="CU187"/>
  <c r="CV187"/>
  <c r="CX187"/>
  <c r="CY187"/>
  <c r="DB187"/>
  <c r="DC187"/>
  <c r="CS188"/>
  <c r="CT188"/>
  <c r="CU188"/>
  <c r="CV188"/>
  <c r="CX188"/>
  <c r="CY188"/>
  <c r="DB188"/>
  <c r="DC188"/>
  <c r="CS189"/>
  <c r="CT189"/>
  <c r="CU189"/>
  <c r="CV189"/>
  <c r="CX189"/>
  <c r="CY189"/>
  <c r="DB189"/>
  <c r="DC189"/>
  <c r="CS190"/>
  <c r="CT190"/>
  <c r="CU190"/>
  <c r="CV190"/>
  <c r="CX190"/>
  <c r="CY190"/>
  <c r="DB190"/>
  <c r="DC190"/>
  <c r="CS191"/>
  <c r="CT191"/>
  <c r="CU191"/>
  <c r="CV191"/>
  <c r="CX191"/>
  <c r="CZ191" s="1"/>
  <c r="CY191"/>
  <c r="DB191"/>
  <c r="DC191"/>
  <c r="CS192"/>
  <c r="CT192"/>
  <c r="CU192"/>
  <c r="CV192"/>
  <c r="CX192"/>
  <c r="CZ192" s="1"/>
  <c r="CY192"/>
  <c r="DB192"/>
  <c r="DC192"/>
  <c r="CS193"/>
  <c r="CT193"/>
  <c r="CU193"/>
  <c r="CV193"/>
  <c r="CX193"/>
  <c r="CZ193" s="1"/>
  <c r="CY193"/>
  <c r="DB193"/>
  <c r="DC193"/>
  <c r="CS194"/>
  <c r="CT194"/>
  <c r="CU194"/>
  <c r="CV194"/>
  <c r="CX194"/>
  <c r="CY194"/>
  <c r="DB194"/>
  <c r="DC194"/>
  <c r="CS195"/>
  <c r="CT195"/>
  <c r="CU195"/>
  <c r="CV195"/>
  <c r="CX195"/>
  <c r="CY195"/>
  <c r="DB195"/>
  <c r="DC195"/>
  <c r="CS196"/>
  <c r="CT196"/>
  <c r="CU196"/>
  <c r="CV196"/>
  <c r="CX196"/>
  <c r="CY196"/>
  <c r="DB196"/>
  <c r="DC196"/>
  <c r="CS197"/>
  <c r="CT197"/>
  <c r="CU197"/>
  <c r="CV197"/>
  <c r="CX197"/>
  <c r="CY197"/>
  <c r="DB197"/>
  <c r="DC197"/>
  <c r="CS198"/>
  <c r="CT198"/>
  <c r="CU198"/>
  <c r="CV198"/>
  <c r="CX198"/>
  <c r="CY198"/>
  <c r="DB198"/>
  <c r="DC198"/>
  <c r="CS199"/>
  <c r="CT199"/>
  <c r="CU199"/>
  <c r="CV199"/>
  <c r="CX199"/>
  <c r="CY199"/>
  <c r="DB199"/>
  <c r="DC199"/>
  <c r="CS200"/>
  <c r="CT200"/>
  <c r="CU200"/>
  <c r="CV200"/>
  <c r="CX200"/>
  <c r="CY200"/>
  <c r="DB200"/>
  <c r="DC200"/>
  <c r="CS201"/>
  <c r="CT201"/>
  <c r="CU201"/>
  <c r="CV201"/>
  <c r="CX201"/>
  <c r="CY201"/>
  <c r="DB201"/>
  <c r="DC201"/>
  <c r="CS202"/>
  <c r="CT202"/>
  <c r="CU202"/>
  <c r="CV202"/>
  <c r="CX202"/>
  <c r="CY202"/>
  <c r="DB202"/>
  <c r="DC202"/>
  <c r="CS203"/>
  <c r="CT203"/>
  <c r="CU203"/>
  <c r="CV203"/>
  <c r="CX203"/>
  <c r="CY203"/>
  <c r="DB203"/>
  <c r="DC203"/>
  <c r="CS204"/>
  <c r="CT204"/>
  <c r="CU204"/>
  <c r="CV204"/>
  <c r="CX204"/>
  <c r="CY204"/>
  <c r="DB204"/>
  <c r="DC204"/>
  <c r="CS205"/>
  <c r="CT205"/>
  <c r="CU205"/>
  <c r="CV205"/>
  <c r="CX205"/>
  <c r="CZ205" s="1"/>
  <c r="CY205"/>
  <c r="DB205"/>
  <c r="DC205"/>
  <c r="CS206"/>
  <c r="CT206"/>
  <c r="CU206"/>
  <c r="CV206"/>
  <c r="CX206"/>
  <c r="CZ206" s="1"/>
  <c r="CY206"/>
  <c r="DB206"/>
  <c r="DC206"/>
  <c r="DC7"/>
  <c r="M20" i="19" s="1"/>
  <c r="DB7" i="9"/>
  <c r="L20" i="19" s="1"/>
  <c r="CY7" i="9"/>
  <c r="I20" i="19" s="1"/>
  <c r="CX7" i="9"/>
  <c r="H20" i="19" s="1"/>
  <c r="CV7" i="9"/>
  <c r="F20" i="19" s="1"/>
  <c r="CU7" i="9"/>
  <c r="E20" i="19" s="1"/>
  <c r="CS7" i="9"/>
  <c r="CT7"/>
  <c r="D20" i="19" s="1"/>
  <c r="O4" i="6"/>
  <c r="HY218" i="9"/>
  <c r="N4" i="6"/>
  <c r="HY217" i="9"/>
  <c r="M4" i="6"/>
  <c r="L4"/>
  <c r="K4"/>
  <c r="J4"/>
  <c r="I4"/>
  <c r="HP4" i="9"/>
  <c r="H4" i="6"/>
  <c r="I210" i="15"/>
  <c r="G4" i="6"/>
  <c r="I209" i="15"/>
  <c r="F4" i="6"/>
  <c r="I208" i="15"/>
  <c r="E4" i="6"/>
  <c r="AR3" i="15"/>
  <c r="D4" i="6"/>
  <c r="C4"/>
  <c r="I206" i="15"/>
  <c r="B4" i="6"/>
  <c r="A4"/>
  <c r="A2"/>
  <c r="AA118" i="19" l="1"/>
  <c r="U95"/>
  <c r="AW68"/>
  <c r="CW18" i="9"/>
  <c r="DD144"/>
  <c r="DJ144" s="1"/>
  <c r="DD111"/>
  <c r="DJ111" s="1"/>
  <c r="DD92"/>
  <c r="DJ92" s="1"/>
  <c r="DD75"/>
  <c r="DJ75" s="1"/>
  <c r="DD55"/>
  <c r="DJ55" s="1"/>
  <c r="CW51"/>
  <c r="DD44"/>
  <c r="DJ44" s="1"/>
  <c r="DD40"/>
  <c r="DJ40" s="1"/>
  <c r="CW17"/>
  <c r="B20" i="19"/>
  <c r="BB10"/>
  <c r="BB69"/>
  <c r="BB67"/>
  <c r="BC69"/>
  <c r="AX96"/>
  <c r="AV96"/>
  <c r="AW96"/>
  <c r="AW70"/>
  <c r="L67" s="1"/>
  <c r="BA69"/>
  <c r="BB8"/>
  <c r="K108"/>
  <c r="K104"/>
  <c r="K106"/>
  <c r="K103"/>
  <c r="CZ171" i="9"/>
  <c r="CW194"/>
  <c r="DD167"/>
  <c r="DJ167" s="1"/>
  <c r="CW158"/>
  <c r="DD156"/>
  <c r="DJ156" s="1"/>
  <c r="CZ151"/>
  <c r="CZ150"/>
  <c r="CZ81"/>
  <c r="CZ61"/>
  <c r="CZ60"/>
  <c r="CZ59"/>
  <c r="CZ16"/>
  <c r="CZ178"/>
  <c r="CZ175"/>
  <c r="CZ161"/>
  <c r="CZ159"/>
  <c r="CZ139"/>
  <c r="CZ136"/>
  <c r="CW130"/>
  <c r="CZ115"/>
  <c r="CW107"/>
  <c r="CW106"/>
  <c r="CW102"/>
  <c r="CZ79"/>
  <c r="CZ72"/>
  <c r="CW67"/>
  <c r="CZ63"/>
  <c r="CZ48"/>
  <c r="CZ43"/>
  <c r="CZ40"/>
  <c r="CW36"/>
  <c r="CW30"/>
  <c r="CZ203"/>
  <c r="DD142"/>
  <c r="DJ142" s="1"/>
  <c r="DD139"/>
  <c r="DJ139" s="1"/>
  <c r="DD127"/>
  <c r="DJ127" s="1"/>
  <c r="DD123"/>
  <c r="DJ123" s="1"/>
  <c r="DD122"/>
  <c r="DJ122" s="1"/>
  <c r="DD121"/>
  <c r="DJ121" s="1"/>
  <c r="DD120"/>
  <c r="DJ120" s="1"/>
  <c r="CW120"/>
  <c r="DD119"/>
  <c r="DJ119" s="1"/>
  <c r="DD117"/>
  <c r="DJ117" s="1"/>
  <c r="DD116"/>
  <c r="DJ116" s="1"/>
  <c r="DD115"/>
  <c r="DJ115" s="1"/>
  <c r="CW114"/>
  <c r="DD95"/>
  <c r="DJ95" s="1"/>
  <c r="CW82"/>
  <c r="DD79"/>
  <c r="DJ79" s="1"/>
  <c r="CW62"/>
  <c r="DD11"/>
  <c r="DJ11" s="1"/>
  <c r="DD206"/>
  <c r="DJ206" s="1"/>
  <c r="DD203"/>
  <c r="DJ203" s="1"/>
  <c r="CZ39"/>
  <c r="CZ35"/>
  <c r="CZ34"/>
  <c r="CZ31"/>
  <c r="CZ15"/>
  <c r="DD110"/>
  <c r="DJ110" s="1"/>
  <c r="DD107"/>
  <c r="DJ107" s="1"/>
  <c r="DD106"/>
  <c r="DJ106" s="1"/>
  <c r="DD96"/>
  <c r="DJ96" s="1"/>
  <c r="CZ95"/>
  <c r="CZ91"/>
  <c r="CZ87"/>
  <c r="CZ86"/>
  <c r="CZ83"/>
  <c r="DD78"/>
  <c r="DJ78" s="1"/>
  <c r="DD67"/>
  <c r="DJ67" s="1"/>
  <c r="DD64"/>
  <c r="DJ64" s="1"/>
  <c r="DD63"/>
  <c r="DJ63" s="1"/>
  <c r="DD59"/>
  <c r="DJ59" s="1"/>
  <c r="CZ47"/>
  <c r="CZ46"/>
  <c r="K105" i="19"/>
  <c r="K107"/>
  <c r="DD199" i="9"/>
  <c r="DJ199" s="1"/>
  <c r="CZ173"/>
  <c r="CZ172"/>
  <c r="CW146"/>
  <c r="CW145"/>
  <c r="CW71"/>
  <c r="CW63"/>
  <c r="CW46"/>
  <c r="DD21"/>
  <c r="DJ21" s="1"/>
  <c r="CW14"/>
  <c r="CZ204"/>
  <c r="CW178"/>
  <c r="CW171"/>
  <c r="DA171" s="1"/>
  <c r="CW167"/>
  <c r="CW166"/>
  <c r="CW165"/>
  <c r="CZ164"/>
  <c r="DD154"/>
  <c r="DJ154" s="1"/>
  <c r="DD153"/>
  <c r="DJ153" s="1"/>
  <c r="CW152"/>
  <c r="DD149"/>
  <c r="DJ149" s="1"/>
  <c r="DD147"/>
  <c r="DJ147" s="1"/>
  <c r="DD135"/>
  <c r="DJ135" s="1"/>
  <c r="CZ123"/>
  <c r="CZ119"/>
  <c r="CZ113"/>
  <c r="CZ111"/>
  <c r="CZ109"/>
  <c r="CZ108"/>
  <c r="CW98"/>
  <c r="DD91"/>
  <c r="DJ91" s="1"/>
  <c r="DD90"/>
  <c r="DJ90" s="1"/>
  <c r="DD89"/>
  <c r="DJ89" s="1"/>
  <c r="CW88"/>
  <c r="DD87"/>
  <c r="DJ87" s="1"/>
  <c r="DD85"/>
  <c r="DJ85" s="1"/>
  <c r="DD83"/>
  <c r="DJ83" s="1"/>
  <c r="CZ68"/>
  <c r="CZ67"/>
  <c r="DD58"/>
  <c r="DJ58" s="1"/>
  <c r="DD43"/>
  <c r="DJ43" s="1"/>
  <c r="DD27"/>
  <c r="DD24"/>
  <c r="DD193"/>
  <c r="DJ193" s="1"/>
  <c r="DD192"/>
  <c r="DJ192" s="1"/>
  <c r="DD191"/>
  <c r="DJ191" s="1"/>
  <c r="DD187"/>
  <c r="DJ187" s="1"/>
  <c r="DD186"/>
  <c r="DJ186" s="1"/>
  <c r="CW186"/>
  <c r="DD185"/>
  <c r="DJ185" s="1"/>
  <c r="DD184"/>
  <c r="DJ184" s="1"/>
  <c r="CW184"/>
  <c r="DA184" s="1"/>
  <c r="DD182"/>
  <c r="DJ182" s="1"/>
  <c r="DD181"/>
  <c r="DJ181" s="1"/>
  <c r="DD180"/>
  <c r="DJ180" s="1"/>
  <c r="DD179"/>
  <c r="DJ179" s="1"/>
  <c r="DD174"/>
  <c r="DJ174" s="1"/>
  <c r="DD171"/>
  <c r="DJ171" s="1"/>
  <c r="CW162"/>
  <c r="DD159"/>
  <c r="DJ159" s="1"/>
  <c r="CZ141"/>
  <c r="CZ131"/>
  <c r="CZ130"/>
  <c r="CZ127"/>
  <c r="CW101"/>
  <c r="DA67"/>
  <c r="CZ29"/>
  <c r="CZ27"/>
  <c r="N80" i="19"/>
  <c r="AD50"/>
  <c r="AD20"/>
  <c r="N20"/>
  <c r="I21" i="4"/>
  <c r="I21" i="18"/>
  <c r="B21" i="4"/>
  <c r="B21" i="18"/>
  <c r="H110" i="19"/>
  <c r="J21" i="4"/>
  <c r="J23" s="1"/>
  <c r="J21" i="18"/>
  <c r="J23" s="1"/>
  <c r="E21"/>
  <c r="E21" i="4"/>
  <c r="DD9" i="9"/>
  <c r="L50" i="19"/>
  <c r="N50" s="1"/>
  <c r="CW8" i="9"/>
  <c r="W20" i="19" s="1"/>
  <c r="U20"/>
  <c r="D110"/>
  <c r="M21" i="18"/>
  <c r="M21" i="4"/>
  <c r="F21" i="18"/>
  <c r="F21" i="4"/>
  <c r="N21"/>
  <c r="N23" s="1"/>
  <c r="N21" i="18"/>
  <c r="N23" s="1"/>
  <c r="G21" i="4"/>
  <c r="G21" i="18"/>
  <c r="DD12" i="9"/>
  <c r="AC80" i="19"/>
  <c r="AD80" s="1"/>
  <c r="CZ11" i="9"/>
  <c r="J80" i="19" s="1"/>
  <c r="H80"/>
  <c r="M110"/>
  <c r="N110" s="1"/>
  <c r="B110"/>
  <c r="AC114"/>
  <c r="V113"/>
  <c r="V112"/>
  <c r="AB110"/>
  <c r="W110"/>
  <c r="R110"/>
  <c r="X108"/>
  <c r="Z108" s="1"/>
  <c r="T108"/>
  <c r="W107"/>
  <c r="AB106"/>
  <c r="AD106" s="1"/>
  <c r="U106"/>
  <c r="W105"/>
  <c r="AB104"/>
  <c r="AD104" s="1"/>
  <c r="U104"/>
  <c r="AB103"/>
  <c r="AD103" s="1"/>
  <c r="V103"/>
  <c r="S96"/>
  <c r="V114"/>
  <c r="AC110"/>
  <c r="X110"/>
  <c r="T110"/>
  <c r="AB108"/>
  <c r="AD108" s="1"/>
  <c r="U108"/>
  <c r="X107"/>
  <c r="Z107" s="1"/>
  <c r="T107"/>
  <c r="AE106"/>
  <c r="V106"/>
  <c r="X105"/>
  <c r="Z105" s="1"/>
  <c r="T105"/>
  <c r="AE104"/>
  <c r="V104"/>
  <c r="AE103"/>
  <c r="W103"/>
  <c r="S98"/>
  <c r="L128"/>
  <c r="R118"/>
  <c r="Y110"/>
  <c r="U110"/>
  <c r="AE108"/>
  <c r="V108"/>
  <c r="AB107"/>
  <c r="AD107" s="1"/>
  <c r="U107"/>
  <c r="W106"/>
  <c r="AB105"/>
  <c r="AD105" s="1"/>
  <c r="U105"/>
  <c r="W104"/>
  <c r="X103"/>
  <c r="Z103" s="1"/>
  <c r="T103"/>
  <c r="AB96"/>
  <c r="BB95" s="1"/>
  <c r="AB95"/>
  <c r="V94"/>
  <c r="W118"/>
  <c r="AD113"/>
  <c r="AD112"/>
  <c r="V110"/>
  <c r="W108"/>
  <c r="AE107"/>
  <c r="V107"/>
  <c r="X106"/>
  <c r="Z106" s="1"/>
  <c r="T106"/>
  <c r="AE105"/>
  <c r="V105"/>
  <c r="X104"/>
  <c r="Z104" s="1"/>
  <c r="T104"/>
  <c r="U103"/>
  <c r="S97"/>
  <c r="DD7" i="9"/>
  <c r="DD202"/>
  <c r="DJ202" s="1"/>
  <c r="CW202"/>
  <c r="DD201"/>
  <c r="DJ201" s="1"/>
  <c r="DD200"/>
  <c r="DJ200" s="1"/>
  <c r="CW200"/>
  <c r="DD198"/>
  <c r="DJ198" s="1"/>
  <c r="DD197"/>
  <c r="DJ197" s="1"/>
  <c r="DD196"/>
  <c r="DJ196" s="1"/>
  <c r="DD195"/>
  <c r="DJ195" s="1"/>
  <c r="CZ190"/>
  <c r="CZ189"/>
  <c r="CZ188"/>
  <c r="CZ187"/>
  <c r="CW187"/>
  <c r="CW183"/>
  <c r="CW182"/>
  <c r="DA182" s="1"/>
  <c r="DE182" s="1"/>
  <c r="CW181"/>
  <c r="DD177"/>
  <c r="DJ177" s="1"/>
  <c r="DD176"/>
  <c r="DJ176" s="1"/>
  <c r="DD175"/>
  <c r="DJ175" s="1"/>
  <c r="CW174"/>
  <c r="CZ169"/>
  <c r="CZ168"/>
  <c r="CZ167"/>
  <c r="DA167" s="1"/>
  <c r="DE167" s="1"/>
  <c r="CZ166"/>
  <c r="CZ163"/>
  <c r="CZ162"/>
  <c r="CW161"/>
  <c r="DD158"/>
  <c r="DJ158" s="1"/>
  <c r="DD151"/>
  <c r="DJ151" s="1"/>
  <c r="CW147"/>
  <c r="CZ145"/>
  <c r="DD138"/>
  <c r="DJ138" s="1"/>
  <c r="DD137"/>
  <c r="DJ137" s="1"/>
  <c r="CW136"/>
  <c r="DD133"/>
  <c r="DJ133" s="1"/>
  <c r="DD132"/>
  <c r="DJ132" s="1"/>
  <c r="DD131"/>
  <c r="DJ131" s="1"/>
  <c r="CZ129"/>
  <c r="CZ128"/>
  <c r="DD126"/>
  <c r="DJ126" s="1"/>
  <c r="CW126"/>
  <c r="CZ114"/>
  <c r="CZ107"/>
  <c r="CZ103"/>
  <c r="CZ102"/>
  <c r="CZ93"/>
  <c r="CW91"/>
  <c r="DA91" s="1"/>
  <c r="DE91" s="1"/>
  <c r="CW90"/>
  <c r="CZ88"/>
  <c r="DA88" s="1"/>
  <c r="CW86"/>
  <c r="CW85"/>
  <c r="CZ84"/>
  <c r="DD80"/>
  <c r="DJ80" s="1"/>
  <c r="CW78"/>
  <c r="CZ76"/>
  <c r="DD73"/>
  <c r="DJ73" s="1"/>
  <c r="CW72"/>
  <c r="DD71"/>
  <c r="DJ71" s="1"/>
  <c r="DD69"/>
  <c r="DJ69" s="1"/>
  <c r="DD68"/>
  <c r="DJ68" s="1"/>
  <c r="CZ66"/>
  <c r="CZ65"/>
  <c r="CZ64"/>
  <c r="CW58"/>
  <c r="CZ56"/>
  <c r="DD54"/>
  <c r="DJ54" s="1"/>
  <c r="DD53"/>
  <c r="DJ53" s="1"/>
  <c r="DD52"/>
  <c r="DJ52" s="1"/>
  <c r="CW52"/>
  <c r="DD51"/>
  <c r="DJ51" s="1"/>
  <c r="DD49"/>
  <c r="DJ49" s="1"/>
  <c r="DD48"/>
  <c r="DJ48" s="1"/>
  <c r="DD47"/>
  <c r="DJ47" s="1"/>
  <c r="CW47"/>
  <c r="CZ45"/>
  <c r="DD42"/>
  <c r="DJ42" s="1"/>
  <c r="CW35"/>
  <c r="DD32"/>
  <c r="CZ23"/>
  <c r="CZ19"/>
  <c r="CZ18"/>
  <c r="DA63"/>
  <c r="DE63" s="1"/>
  <c r="CW7"/>
  <c r="CZ7"/>
  <c r="J20" i="19" s="1"/>
  <c r="CW206" i="9"/>
  <c r="CZ201"/>
  <c r="CZ200"/>
  <c r="CZ199"/>
  <c r="CZ198"/>
  <c r="CZ195"/>
  <c r="CZ194"/>
  <c r="DA194" s="1"/>
  <c r="CW193"/>
  <c r="DD190"/>
  <c r="DJ190" s="1"/>
  <c r="DD183"/>
  <c r="DJ183" s="1"/>
  <c r="CZ177"/>
  <c r="CZ176"/>
  <c r="DD170"/>
  <c r="DJ170" s="1"/>
  <c r="CW170"/>
  <c r="DD169"/>
  <c r="DJ169" s="1"/>
  <c r="DD168"/>
  <c r="DJ168" s="1"/>
  <c r="CW168"/>
  <c r="DA168" s="1"/>
  <c r="DD165"/>
  <c r="DJ165" s="1"/>
  <c r="DD163"/>
  <c r="DJ163" s="1"/>
  <c r="DD160"/>
  <c r="DJ160" s="1"/>
  <c r="CZ157"/>
  <c r="CZ155"/>
  <c r="CW154"/>
  <c r="CZ152"/>
  <c r="CW150"/>
  <c r="CW149"/>
  <c r="CZ148"/>
  <c r="DD143"/>
  <c r="DJ143" s="1"/>
  <c r="CW142"/>
  <c r="DD140"/>
  <c r="DJ140" s="1"/>
  <c r="CZ135"/>
  <c r="CZ134"/>
  <c r="CZ125"/>
  <c r="CZ124"/>
  <c r="CW123"/>
  <c r="CW122"/>
  <c r="CW118"/>
  <c r="CW117"/>
  <c r="DD105"/>
  <c r="DJ105" s="1"/>
  <c r="DD104"/>
  <c r="DJ104" s="1"/>
  <c r="CW104"/>
  <c r="DD103"/>
  <c r="DJ103" s="1"/>
  <c r="DD101"/>
  <c r="DJ101" s="1"/>
  <c r="DD100"/>
  <c r="DJ100" s="1"/>
  <c r="DD99"/>
  <c r="DJ99" s="1"/>
  <c r="CZ97"/>
  <c r="DD94"/>
  <c r="DJ94" s="1"/>
  <c r="CW94"/>
  <c r="CZ82"/>
  <c r="DD76"/>
  <c r="DJ76" s="1"/>
  <c r="CZ75"/>
  <c r="CZ71"/>
  <c r="CZ70"/>
  <c r="DD56"/>
  <c r="DJ56" s="1"/>
  <c r="CZ55"/>
  <c r="CZ51"/>
  <c r="CZ50"/>
  <c r="CW38"/>
  <c r="CZ36"/>
  <c r="CW34"/>
  <c r="CW33"/>
  <c r="CZ32"/>
  <c r="DD28"/>
  <c r="CZ24"/>
  <c r="CW20"/>
  <c r="DA20" s="1"/>
  <c r="DD19"/>
  <c r="DD17"/>
  <c r="DD15"/>
  <c r="CW15"/>
  <c r="DA15" s="1"/>
  <c r="CZ13"/>
  <c r="CW10"/>
  <c r="W50" i="19" s="1"/>
  <c r="CZ8" i="9"/>
  <c r="Z20" i="19" s="1"/>
  <c r="CW203" i="9"/>
  <c r="CW199"/>
  <c r="DA199" s="1"/>
  <c r="DE199" s="1"/>
  <c r="CW198"/>
  <c r="DA198" s="1"/>
  <c r="DE198" s="1"/>
  <c r="CW197"/>
  <c r="CW190"/>
  <c r="CW177"/>
  <c r="DA177" s="1"/>
  <c r="DE177" s="1"/>
  <c r="CW138"/>
  <c r="CW135"/>
  <c r="CW134"/>
  <c r="CW133"/>
  <c r="CW110"/>
  <c r="CW75"/>
  <c r="CW74"/>
  <c r="CW70"/>
  <c r="DA70" s="1"/>
  <c r="CW69"/>
  <c r="CW54"/>
  <c r="CW50"/>
  <c r="CW49"/>
  <c r="CW42"/>
  <c r="DA36"/>
  <c r="CW31"/>
  <c r="DD26"/>
  <c r="CW26"/>
  <c r="CW19"/>
  <c r="CW205"/>
  <c r="DA205" s="1"/>
  <c r="CW195"/>
  <c r="DA195" s="1"/>
  <c r="DE195" s="1"/>
  <c r="CW192"/>
  <c r="CW189"/>
  <c r="DA189" s="1"/>
  <c r="CW179"/>
  <c r="DA179" s="1"/>
  <c r="DE179" s="1"/>
  <c r="CW176"/>
  <c r="CZ174"/>
  <c r="DA174" s="1"/>
  <c r="CW173"/>
  <c r="DA173" s="1"/>
  <c r="DD166"/>
  <c r="DJ166" s="1"/>
  <c r="DD164"/>
  <c r="DJ164" s="1"/>
  <c r="CW163"/>
  <c r="DA163" s="1"/>
  <c r="DE163" s="1"/>
  <c r="DD161"/>
  <c r="DJ161" s="1"/>
  <c r="CW160"/>
  <c r="CZ158"/>
  <c r="DA158" s="1"/>
  <c r="DE158" s="1"/>
  <c r="CW157"/>
  <c r="DA157" s="1"/>
  <c r="CZ156"/>
  <c r="CW155"/>
  <c r="CZ153"/>
  <c r="DD150"/>
  <c r="DJ150" s="1"/>
  <c r="DD148"/>
  <c r="DJ148" s="1"/>
  <c r="DD145"/>
  <c r="DJ145" s="1"/>
  <c r="CW144"/>
  <c r="CZ142"/>
  <c r="DA142" s="1"/>
  <c r="CW141"/>
  <c r="CZ140"/>
  <c r="CW139"/>
  <c r="DA139" s="1"/>
  <c r="DE139" s="1"/>
  <c r="CZ137"/>
  <c r="DD134"/>
  <c r="DJ134" s="1"/>
  <c r="CW131"/>
  <c r="DA131" s="1"/>
  <c r="DE131" s="1"/>
  <c r="DD129"/>
  <c r="DJ129" s="1"/>
  <c r="DD128"/>
  <c r="DJ128" s="1"/>
  <c r="CW128"/>
  <c r="CZ126"/>
  <c r="DA126" s="1"/>
  <c r="CW125"/>
  <c r="DA125" s="1"/>
  <c r="CZ121"/>
  <c r="CZ120"/>
  <c r="DD118"/>
  <c r="DJ118" s="1"/>
  <c r="CW115"/>
  <c r="DA115" s="1"/>
  <c r="DE115" s="1"/>
  <c r="DD113"/>
  <c r="DJ113" s="1"/>
  <c r="DD112"/>
  <c r="DJ112" s="1"/>
  <c r="CW112"/>
  <c r="CZ110"/>
  <c r="DA110" s="1"/>
  <c r="DE110" s="1"/>
  <c r="CW109"/>
  <c r="DA109" s="1"/>
  <c r="CZ105"/>
  <c r="CZ104"/>
  <c r="DD102"/>
  <c r="DJ102" s="1"/>
  <c r="CW99"/>
  <c r="DA99" s="1"/>
  <c r="DE99" s="1"/>
  <c r="DD97"/>
  <c r="DJ97" s="1"/>
  <c r="CW96"/>
  <c r="CZ94"/>
  <c r="DA94" s="1"/>
  <c r="CW93"/>
  <c r="DA93" s="1"/>
  <c r="CZ92"/>
  <c r="CZ89"/>
  <c r="DD86"/>
  <c r="DJ86" s="1"/>
  <c r="DD84"/>
  <c r="DJ84" s="1"/>
  <c r="CW83"/>
  <c r="DA83" s="1"/>
  <c r="DD81"/>
  <c r="DJ81" s="1"/>
  <c r="CW80"/>
  <c r="CZ78"/>
  <c r="DA78" s="1"/>
  <c r="CW77"/>
  <c r="CZ73"/>
  <c r="DD70"/>
  <c r="DJ70" s="1"/>
  <c r="DD66"/>
  <c r="DJ66" s="1"/>
  <c r="DD65"/>
  <c r="DJ65" s="1"/>
  <c r="DD61"/>
  <c r="DJ61" s="1"/>
  <c r="DD60"/>
  <c r="DJ60" s="1"/>
  <c r="CW60"/>
  <c r="CZ58"/>
  <c r="DA58" s="1"/>
  <c r="CW57"/>
  <c r="CW55"/>
  <c r="DA55" s="1"/>
  <c r="DE55" s="1"/>
  <c r="CZ53"/>
  <c r="CZ52"/>
  <c r="DD50"/>
  <c r="DJ50" s="1"/>
  <c r="DD45"/>
  <c r="DJ45" s="1"/>
  <c r="CW44"/>
  <c r="CZ42"/>
  <c r="DA42" s="1"/>
  <c r="CW41"/>
  <c r="CW39"/>
  <c r="DA39" s="1"/>
  <c r="DE39" s="1"/>
  <c r="CZ37"/>
  <c r="DD34"/>
  <c r="DD29"/>
  <c r="CW28"/>
  <c r="CZ26"/>
  <c r="DA26" s="1"/>
  <c r="CW25"/>
  <c r="CW23"/>
  <c r="CZ21"/>
  <c r="DD18"/>
  <c r="DD16"/>
  <c r="DD13"/>
  <c r="CW12"/>
  <c r="W80" i="19" s="1"/>
  <c r="CZ10" i="9"/>
  <c r="CW9"/>
  <c r="G50" i="19" s="1"/>
  <c r="DD205" i="9"/>
  <c r="DJ205" s="1"/>
  <c r="DD204"/>
  <c r="DJ204" s="1"/>
  <c r="CW204"/>
  <c r="DA204" s="1"/>
  <c r="CZ202"/>
  <c r="CW201"/>
  <c r="DA201" s="1"/>
  <c r="DE201" s="1"/>
  <c r="CZ197"/>
  <c r="CZ196"/>
  <c r="DD194"/>
  <c r="DJ194" s="1"/>
  <c r="CW191"/>
  <c r="DA191" s="1"/>
  <c r="DE191" s="1"/>
  <c r="DD189"/>
  <c r="DJ189" s="1"/>
  <c r="DD188"/>
  <c r="DJ188" s="1"/>
  <c r="CW188"/>
  <c r="CZ186"/>
  <c r="CW185"/>
  <c r="DA185" s="1"/>
  <c r="DE185" s="1"/>
  <c r="CZ181"/>
  <c r="CZ180"/>
  <c r="DD178"/>
  <c r="DJ178" s="1"/>
  <c r="CW175"/>
  <c r="DA175" s="1"/>
  <c r="DD173"/>
  <c r="DJ173" s="1"/>
  <c r="DD172"/>
  <c r="DJ172" s="1"/>
  <c r="CW172"/>
  <c r="DA172" s="1"/>
  <c r="CZ170"/>
  <c r="CW169"/>
  <c r="DA169" s="1"/>
  <c r="DE169" s="1"/>
  <c r="CZ165"/>
  <c r="DD162"/>
  <c r="DJ162" s="1"/>
  <c r="DD157"/>
  <c r="DJ157" s="1"/>
  <c r="CW156"/>
  <c r="DA156" s="1"/>
  <c r="DE156" s="1"/>
  <c r="CZ154"/>
  <c r="DA154" s="1"/>
  <c r="DE154" s="1"/>
  <c r="CW153"/>
  <c r="DA153" s="1"/>
  <c r="DE153" s="1"/>
  <c r="CW151"/>
  <c r="DA151" s="1"/>
  <c r="DE151" s="1"/>
  <c r="CZ149"/>
  <c r="DD146"/>
  <c r="DJ146" s="1"/>
  <c r="DD141"/>
  <c r="DJ141" s="1"/>
  <c r="CW140"/>
  <c r="DA140" s="1"/>
  <c r="CZ138"/>
  <c r="DA138" s="1"/>
  <c r="DE138" s="1"/>
  <c r="CW137"/>
  <c r="DA137" s="1"/>
  <c r="DE137" s="1"/>
  <c r="CZ133"/>
  <c r="CZ132"/>
  <c r="DD130"/>
  <c r="DJ130" s="1"/>
  <c r="CW127"/>
  <c r="DA127" s="1"/>
  <c r="DE127" s="1"/>
  <c r="DD125"/>
  <c r="DJ125" s="1"/>
  <c r="DD124"/>
  <c r="DJ124" s="1"/>
  <c r="CW124"/>
  <c r="CZ122"/>
  <c r="DA122" s="1"/>
  <c r="DE122" s="1"/>
  <c r="CW121"/>
  <c r="DA121" s="1"/>
  <c r="DE121" s="1"/>
  <c r="CZ117"/>
  <c r="CZ116"/>
  <c r="DD114"/>
  <c r="DJ114" s="1"/>
  <c r="CW111"/>
  <c r="DA111" s="1"/>
  <c r="DE111" s="1"/>
  <c r="DD109"/>
  <c r="DJ109" s="1"/>
  <c r="DD108"/>
  <c r="DJ108" s="1"/>
  <c r="CW108"/>
  <c r="CZ106"/>
  <c r="DA106" s="1"/>
  <c r="DE106" s="1"/>
  <c r="CW105"/>
  <c r="CZ101"/>
  <c r="CZ100"/>
  <c r="DD98"/>
  <c r="DJ98" s="1"/>
  <c r="CW95"/>
  <c r="DA95" s="1"/>
  <c r="DE95" s="1"/>
  <c r="DD93"/>
  <c r="DJ93" s="1"/>
  <c r="CW92"/>
  <c r="CZ90"/>
  <c r="DA90" s="1"/>
  <c r="DE90" s="1"/>
  <c r="CW89"/>
  <c r="DA89" s="1"/>
  <c r="CZ85"/>
  <c r="DD82"/>
  <c r="DJ82" s="1"/>
  <c r="CW79"/>
  <c r="DA79" s="1"/>
  <c r="DE79" s="1"/>
  <c r="DD77"/>
  <c r="DJ77" s="1"/>
  <c r="CW76"/>
  <c r="CZ74"/>
  <c r="DA74" s="1"/>
  <c r="CW73"/>
  <c r="DA73" s="1"/>
  <c r="DE73" s="1"/>
  <c r="DA71"/>
  <c r="DE71" s="1"/>
  <c r="CZ69"/>
  <c r="CW68"/>
  <c r="DA68" s="1"/>
  <c r="DE68" s="1"/>
  <c r="DD62"/>
  <c r="DJ62" s="1"/>
  <c r="DD57"/>
  <c r="DJ57" s="1"/>
  <c r="CW56"/>
  <c r="DA56" s="1"/>
  <c r="CZ54"/>
  <c r="DA54" s="1"/>
  <c r="DE54" s="1"/>
  <c r="CW53"/>
  <c r="DA53" s="1"/>
  <c r="DA51"/>
  <c r="DE51" s="1"/>
  <c r="CZ49"/>
  <c r="DD46"/>
  <c r="DJ46" s="1"/>
  <c r="DD41"/>
  <c r="DJ41" s="1"/>
  <c r="CW40"/>
  <c r="DA40" s="1"/>
  <c r="DE40" s="1"/>
  <c r="CZ38"/>
  <c r="CW37"/>
  <c r="DA37" s="1"/>
  <c r="DA35"/>
  <c r="DE35" s="1"/>
  <c r="CZ33"/>
  <c r="DA33" s="1"/>
  <c r="DD30"/>
  <c r="DD25"/>
  <c r="CW24"/>
  <c r="DA24" s="1"/>
  <c r="DE24" s="1"/>
  <c r="CZ22"/>
  <c r="DA22" s="1"/>
  <c r="DE22" s="1"/>
  <c r="CW21"/>
  <c r="DA19"/>
  <c r="CZ17"/>
  <c r="DD14"/>
  <c r="DA166"/>
  <c r="DE166" s="1"/>
  <c r="DA150"/>
  <c r="DE150" s="1"/>
  <c r="DA147"/>
  <c r="DE147" s="1"/>
  <c r="DA134"/>
  <c r="DE134" s="1"/>
  <c r="DA123"/>
  <c r="DE123" s="1"/>
  <c r="DA104"/>
  <c r="DA102"/>
  <c r="DE102" s="1"/>
  <c r="DA86"/>
  <c r="DA75"/>
  <c r="DE75" s="1"/>
  <c r="DA69"/>
  <c r="DA52"/>
  <c r="DE52" s="1"/>
  <c r="DA50"/>
  <c r="DE50" s="1"/>
  <c r="DA34"/>
  <c r="DE34" s="1"/>
  <c r="DA18"/>
  <c r="DE18" s="1"/>
  <c r="DA17"/>
  <c r="DE17" s="1"/>
  <c r="DE15"/>
  <c r="DD10"/>
  <c r="DJ10" s="1"/>
  <c r="DD8"/>
  <c r="DA187"/>
  <c r="DE187" s="1"/>
  <c r="CW196"/>
  <c r="DA183"/>
  <c r="CW180"/>
  <c r="DA180" s="1"/>
  <c r="DE180" s="1"/>
  <c r="CW164"/>
  <c r="DA162"/>
  <c r="DE162" s="1"/>
  <c r="CZ160"/>
  <c r="CW159"/>
  <c r="DA159" s="1"/>
  <c r="DE159" s="1"/>
  <c r="DD152"/>
  <c r="DJ152" s="1"/>
  <c r="CW148"/>
  <c r="DA148" s="1"/>
  <c r="DE148" s="1"/>
  <c r="DA146"/>
  <c r="CZ144"/>
  <c r="CW143"/>
  <c r="DA143" s="1"/>
  <c r="DE143" s="1"/>
  <c r="DD136"/>
  <c r="DJ136" s="1"/>
  <c r="DA135"/>
  <c r="DE135" s="1"/>
  <c r="CW132"/>
  <c r="DA130"/>
  <c r="CW129"/>
  <c r="DA129" s="1"/>
  <c r="DE129" s="1"/>
  <c r="CW119"/>
  <c r="CZ118"/>
  <c r="DA118" s="1"/>
  <c r="DE118" s="1"/>
  <c r="CW116"/>
  <c r="DA114"/>
  <c r="DE114" s="1"/>
  <c r="CW113"/>
  <c r="CZ112"/>
  <c r="CW103"/>
  <c r="DA103" s="1"/>
  <c r="CW100"/>
  <c r="DA100" s="1"/>
  <c r="DE100" s="1"/>
  <c r="DA98"/>
  <c r="CW97"/>
  <c r="DA97" s="1"/>
  <c r="DE97" s="1"/>
  <c r="CZ96"/>
  <c r="DD88"/>
  <c r="CW87"/>
  <c r="CW84"/>
  <c r="DA82"/>
  <c r="CW81"/>
  <c r="CZ80"/>
  <c r="CZ77"/>
  <c r="DD74"/>
  <c r="DJ74" s="1"/>
  <c r="DD72"/>
  <c r="CW66"/>
  <c r="CW65"/>
  <c r="CW64"/>
  <c r="CZ62"/>
  <c r="DA62" s="1"/>
  <c r="DE62" s="1"/>
  <c r="CW61"/>
  <c r="CW59"/>
  <c r="DA59" s="1"/>
  <c r="DE59" s="1"/>
  <c r="CZ57"/>
  <c r="CW48"/>
  <c r="DA48" s="1"/>
  <c r="DE48" s="1"/>
  <c r="DA46"/>
  <c r="CW45"/>
  <c r="CZ44"/>
  <c r="CW43"/>
  <c r="DA43" s="1"/>
  <c r="DE43" s="1"/>
  <c r="CZ41"/>
  <c r="DD38"/>
  <c r="DJ38" s="1"/>
  <c r="DD36"/>
  <c r="DD33"/>
  <c r="CW32"/>
  <c r="CZ30"/>
  <c r="DA30" s="1"/>
  <c r="CW29"/>
  <c r="CZ28"/>
  <c r="CW27"/>
  <c r="DA27" s="1"/>
  <c r="DE27" s="1"/>
  <c r="CZ25"/>
  <c r="DD20"/>
  <c r="CW16"/>
  <c r="DA16" s="1"/>
  <c r="DE16" s="1"/>
  <c r="CZ14"/>
  <c r="DA14" s="1"/>
  <c r="CW13"/>
  <c r="CZ12"/>
  <c r="Z80" i="19" s="1"/>
  <c r="CW11" i="9"/>
  <c r="CZ9"/>
  <c r="J50" i="19" s="1"/>
  <c r="DA197" i="9"/>
  <c r="DE197" s="1"/>
  <c r="DA206"/>
  <c r="DE206" s="1"/>
  <c r="DA196"/>
  <c r="DE196" s="1"/>
  <c r="DA193"/>
  <c r="DE193" s="1"/>
  <c r="DA190"/>
  <c r="DE190" s="1"/>
  <c r="DA161"/>
  <c r="DE161" s="1"/>
  <c r="DE146"/>
  <c r="DA132"/>
  <c r="DE132" s="1"/>
  <c r="DE130"/>
  <c r="DA116"/>
  <c r="DE116" s="1"/>
  <c r="DA113"/>
  <c r="DE113" s="1"/>
  <c r="DE98"/>
  <c r="DA84"/>
  <c r="DE84" s="1"/>
  <c r="DE82"/>
  <c r="DA81"/>
  <c r="DE81" s="1"/>
  <c r="DA66"/>
  <c r="DE66" s="1"/>
  <c r="DA65"/>
  <c r="DE65" s="1"/>
  <c r="DA61"/>
  <c r="DE61" s="1"/>
  <c r="DE46"/>
  <c r="DA45"/>
  <c r="DE45" s="1"/>
  <c r="DA29"/>
  <c r="DE29" s="1"/>
  <c r="DE14"/>
  <c r="AE110" i="19" s="1"/>
  <c r="DA202" i="9"/>
  <c r="DE202" s="1"/>
  <c r="DA192"/>
  <c r="DE189"/>
  <c r="DA176"/>
  <c r="DE176" s="1"/>
  <c r="DE173"/>
  <c r="DE157"/>
  <c r="DE142"/>
  <c r="DE126"/>
  <c r="DE109"/>
  <c r="DE94"/>
  <c r="DE93"/>
  <c r="DE78"/>
  <c r="DA60"/>
  <c r="DE58"/>
  <c r="DE42"/>
  <c r="DE172"/>
  <c r="DE53"/>
  <c r="DE37"/>
  <c r="DE184"/>
  <c r="DA181"/>
  <c r="DE181" s="1"/>
  <c r="DE168"/>
  <c r="DA165"/>
  <c r="DA152"/>
  <c r="DE152" s="1"/>
  <c r="DA149"/>
  <c r="DE149" s="1"/>
  <c r="DA136"/>
  <c r="DA117"/>
  <c r="DE117" s="1"/>
  <c r="DE104"/>
  <c r="A2" i="15"/>
  <c r="A1"/>
  <c r="G217" i="9"/>
  <c r="HS216"/>
  <c r="I212" i="15"/>
  <c r="I211"/>
  <c r="S212"/>
  <c r="S209"/>
  <c r="S206"/>
  <c r="R214"/>
  <c r="HP217" i="9"/>
  <c r="R212" i="15"/>
  <c r="HP215" i="9"/>
  <c r="R209" i="15"/>
  <c r="HP213" i="9"/>
  <c r="R206" i="15"/>
  <c r="HP211" i="9"/>
  <c r="HY208"/>
  <c r="G206" i="15"/>
  <c r="F206"/>
  <c r="G215"/>
  <c r="HP208" i="9"/>
  <c r="HY213"/>
  <c r="HY214"/>
  <c r="S1" i="15"/>
  <c r="AS3"/>
  <c r="HV4" i="9"/>
  <c r="HW4"/>
  <c r="AP2" i="15"/>
  <c r="AO2"/>
  <c r="AN3"/>
  <c r="Z2"/>
  <c r="M3"/>
  <c r="AM3"/>
  <c r="AL3"/>
  <c r="AK3"/>
  <c r="AJ3"/>
  <c r="AI3"/>
  <c r="AH3"/>
  <c r="AG3"/>
  <c r="AF3"/>
  <c r="AE3"/>
  <c r="AD3"/>
  <c r="AC3"/>
  <c r="AB3"/>
  <c r="AA3"/>
  <c r="Z3"/>
  <c r="V3"/>
  <c r="U3"/>
  <c r="T3"/>
  <c r="S2"/>
  <c r="R4"/>
  <c r="AL2"/>
  <c r="CS3" i="9"/>
  <c r="G9" i="7"/>
  <c r="K2" i="15"/>
  <c r="H3"/>
  <c r="J3"/>
  <c r="IA4" i="9"/>
  <c r="A5" i="15"/>
  <c r="C2"/>
  <c r="A3" i="9"/>
  <c r="G3"/>
  <c r="G2" i="15"/>
  <c r="F2" i="9"/>
  <c r="HY207"/>
  <c r="HY2"/>
  <c r="HY216"/>
  <c r="HY215"/>
  <c r="HY212"/>
  <c r="HY211"/>
  <c r="HY210"/>
  <c r="HY209"/>
  <c r="HS218"/>
  <c r="HS217"/>
  <c r="HS215"/>
  <c r="HS212"/>
  <c r="HS214"/>
  <c r="HS213"/>
  <c r="HS211"/>
  <c r="HS210"/>
  <c r="HS209"/>
  <c r="HS208"/>
  <c r="HP207"/>
  <c r="HR215"/>
  <c r="HR213"/>
  <c r="HR211"/>
  <c r="HR208"/>
  <c r="G209"/>
  <c r="K148" i="19" l="1"/>
  <c r="E125"/>
  <c r="AA107"/>
  <c r="DE30" i="9"/>
  <c r="H2" i="12"/>
  <c r="J2" i="11"/>
  <c r="M2" i="6"/>
  <c r="AB7" i="19"/>
  <c r="CZ208" i="9"/>
  <c r="AJ14" i="20"/>
  <c r="AX99" i="19"/>
  <c r="BA96"/>
  <c r="BC96"/>
  <c r="BB96"/>
  <c r="AV99"/>
  <c r="AW97"/>
  <c r="AW99"/>
  <c r="BB70"/>
  <c r="BB68"/>
  <c r="N22" i="18"/>
  <c r="J22"/>
  <c r="F22"/>
  <c r="F24" s="1"/>
  <c r="G22"/>
  <c r="M22"/>
  <c r="E22"/>
  <c r="I22"/>
  <c r="AA104" i="19"/>
  <c r="S108"/>
  <c r="AD110"/>
  <c r="DA101" i="9"/>
  <c r="DE101" s="1"/>
  <c r="DA186"/>
  <c r="DE186" s="1"/>
  <c r="DA164"/>
  <c r="DE164" s="1"/>
  <c r="DE171"/>
  <c r="DA145"/>
  <c r="DE145" s="1"/>
  <c r="DA120"/>
  <c r="DE120" s="1"/>
  <c r="DA203"/>
  <c r="DE203" s="1"/>
  <c r="DA107"/>
  <c r="DE107" s="1"/>
  <c r="DA178"/>
  <c r="DE178" s="1"/>
  <c r="DE125"/>
  <c r="DE26"/>
  <c r="DA49"/>
  <c r="DE49" s="1"/>
  <c r="DE70"/>
  <c r="DA133"/>
  <c r="DE133" s="1"/>
  <c r="DA13"/>
  <c r="DE13" s="1"/>
  <c r="DA32"/>
  <c r="DE32" s="1"/>
  <c r="DA64"/>
  <c r="DE64" s="1"/>
  <c r="DA85"/>
  <c r="DE85" s="1"/>
  <c r="DA128"/>
  <c r="DE128" s="1"/>
  <c r="DE136"/>
  <c r="DE89"/>
  <c r="DE174"/>
  <c r="DE192"/>
  <c r="DA87"/>
  <c r="DE87" s="1"/>
  <c r="DA119"/>
  <c r="DE119" s="1"/>
  <c r="DA105"/>
  <c r="DE105" s="1"/>
  <c r="DE140"/>
  <c r="DA170"/>
  <c r="DE170" s="1"/>
  <c r="DE175"/>
  <c r="DE67"/>
  <c r="DE165"/>
  <c r="DE69"/>
  <c r="DE86"/>
  <c r="DA21"/>
  <c r="DE21" s="1"/>
  <c r="DA38"/>
  <c r="DE56"/>
  <c r="DA76"/>
  <c r="DE76" s="1"/>
  <c r="DA124"/>
  <c r="DE124" s="1"/>
  <c r="DE83"/>
  <c r="DA141"/>
  <c r="DE141" s="1"/>
  <c r="DA72"/>
  <c r="DE60"/>
  <c r="DE205"/>
  <c r="DE103"/>
  <c r="DE183"/>
  <c r="DE19"/>
  <c r="DA92"/>
  <c r="DE92" s="1"/>
  <c r="DA108"/>
  <c r="DE108" s="1"/>
  <c r="DA188"/>
  <c r="DE188" s="1"/>
  <c r="DA23"/>
  <c r="DE23" s="1"/>
  <c r="DA155"/>
  <c r="DE155" s="1"/>
  <c r="DA31"/>
  <c r="DE31" s="1"/>
  <c r="DA47"/>
  <c r="DE47" s="1"/>
  <c r="AA103" i="19"/>
  <c r="AA105"/>
  <c r="DA8" i="9"/>
  <c r="DE8" s="1"/>
  <c r="AE20" i="19" s="1"/>
  <c r="AE21" s="1"/>
  <c r="DE194" i="9"/>
  <c r="AA106" i="19"/>
  <c r="DA10" i="9"/>
  <c r="DE10" s="1"/>
  <c r="AE50" i="19" s="1"/>
  <c r="AE51" s="1"/>
  <c r="Z50"/>
  <c r="AA50" s="1"/>
  <c r="Z110"/>
  <c r="AA110" s="1"/>
  <c r="P21" i="18"/>
  <c r="D21" s="1"/>
  <c r="O110" i="19"/>
  <c r="O111" s="1"/>
  <c r="H21" i="18"/>
  <c r="H22" s="1"/>
  <c r="H21" i="4"/>
  <c r="G110" i="19"/>
  <c r="K50"/>
  <c r="O21" i="18"/>
  <c r="O22" s="1"/>
  <c r="DE20" i="9"/>
  <c r="DJ20"/>
  <c r="DE36"/>
  <c r="K21" i="4"/>
  <c r="K21" i="18"/>
  <c r="K22" s="1"/>
  <c r="J110" i="19"/>
  <c r="AA108"/>
  <c r="O21" i="4"/>
  <c r="AA20" i="19"/>
  <c r="DA11" i="9"/>
  <c r="DE11" s="1"/>
  <c r="O80" i="19" s="1"/>
  <c r="G80"/>
  <c r="K80" s="1"/>
  <c r="DE72" i="9"/>
  <c r="DJ72"/>
  <c r="DE88"/>
  <c r="DJ88"/>
  <c r="DA7"/>
  <c r="DE7" s="1"/>
  <c r="G20" i="19"/>
  <c r="K20" s="1"/>
  <c r="AA80"/>
  <c r="AE111"/>
  <c r="B148"/>
  <c r="O140"/>
  <c r="I140"/>
  <c r="E140"/>
  <c r="G138"/>
  <c r="O137"/>
  <c r="F137"/>
  <c r="H136"/>
  <c r="J136" s="1"/>
  <c r="D136"/>
  <c r="G135"/>
  <c r="L134"/>
  <c r="N134" s="1"/>
  <c r="E134"/>
  <c r="L133"/>
  <c r="N133" s="1"/>
  <c r="E133"/>
  <c r="G148"/>
  <c r="J140"/>
  <c r="F140"/>
  <c r="H138"/>
  <c r="J138" s="1"/>
  <c r="D138"/>
  <c r="G137"/>
  <c r="L136"/>
  <c r="N136" s="1"/>
  <c r="E136"/>
  <c r="H135"/>
  <c r="J135" s="1"/>
  <c r="D135"/>
  <c r="O134"/>
  <c r="F134"/>
  <c r="O133"/>
  <c r="F133"/>
  <c r="C127"/>
  <c r="C126"/>
  <c r="M144"/>
  <c r="N143"/>
  <c r="N142"/>
  <c r="L140"/>
  <c r="G140"/>
  <c r="B140"/>
  <c r="L138"/>
  <c r="N138" s="1"/>
  <c r="E138"/>
  <c r="H137"/>
  <c r="J137" s="1"/>
  <c r="D137"/>
  <c r="O136"/>
  <c r="F136"/>
  <c r="L135"/>
  <c r="N135" s="1"/>
  <c r="E135"/>
  <c r="G134"/>
  <c r="G133"/>
  <c r="F124"/>
  <c r="AB128"/>
  <c r="F144"/>
  <c r="F143"/>
  <c r="F142"/>
  <c r="M140"/>
  <c r="H140"/>
  <c r="D140"/>
  <c r="O138"/>
  <c r="F138"/>
  <c r="L137"/>
  <c r="N137" s="1"/>
  <c r="E137"/>
  <c r="G136"/>
  <c r="O135"/>
  <c r="F135"/>
  <c r="H134"/>
  <c r="J134" s="1"/>
  <c r="D134"/>
  <c r="H133"/>
  <c r="J133" s="1"/>
  <c r="D133"/>
  <c r="C128"/>
  <c r="L126"/>
  <c r="AW125" s="1"/>
  <c r="L125"/>
  <c r="A12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S110"/>
  <c r="CZ209" i="9"/>
  <c r="B15" i="6"/>
  <c r="DA200" i="9"/>
  <c r="DE200" s="1"/>
  <c r="DE38"/>
  <c r="DE204"/>
  <c r="DA41"/>
  <c r="DE41" s="1"/>
  <c r="DA57"/>
  <c r="DE57" s="1"/>
  <c r="DA96"/>
  <c r="DE96" s="1"/>
  <c r="DA112"/>
  <c r="DE112" s="1"/>
  <c r="DA160"/>
  <c r="DE160" s="1"/>
  <c r="DE74"/>
  <c r="DA12"/>
  <c r="DE12" s="1"/>
  <c r="AE80" i="19" s="1"/>
  <c r="DA28" i="9"/>
  <c r="DE28" s="1"/>
  <c r="DA80"/>
  <c r="DE80" s="1"/>
  <c r="DA144"/>
  <c r="DE144" s="1"/>
  <c r="DA44"/>
  <c r="DE44" s="1"/>
  <c r="DE33"/>
  <c r="DA9"/>
  <c r="DE9" s="1"/>
  <c r="O50" i="19" s="1"/>
  <c r="DA25" i="9"/>
  <c r="DE25" s="1"/>
  <c r="DA77"/>
  <c r="DE77" s="1"/>
  <c r="FU209"/>
  <c r="FJ209"/>
  <c r="DZ209"/>
  <c r="G218"/>
  <c r="G216"/>
  <c r="G215"/>
  <c r="G214"/>
  <c r="G213"/>
  <c r="G212"/>
  <c r="G211"/>
  <c r="G210"/>
  <c r="G208"/>
  <c r="A208"/>
  <c r="AA148" i="19" l="1"/>
  <c r="U125"/>
  <c r="O20"/>
  <c r="O21" s="1"/>
  <c r="P21" i="4"/>
  <c r="R21" s="1"/>
  <c r="AB67" i="19"/>
  <c r="BB99"/>
  <c r="BB97"/>
  <c r="AW100"/>
  <c r="AX126"/>
  <c r="AV126"/>
  <c r="AW126"/>
  <c r="AW98"/>
  <c r="L97" s="1"/>
  <c r="BA99"/>
  <c r="BC99"/>
  <c r="O24" i="18"/>
  <c r="K140" i="19"/>
  <c r="M23" i="18"/>
  <c r="M24" s="1"/>
  <c r="I23"/>
  <c r="K136" i="19"/>
  <c r="J24" i="18"/>
  <c r="S50" i="19"/>
  <c r="G24" i="18"/>
  <c r="K24"/>
  <c r="E24"/>
  <c r="N24"/>
  <c r="K137" i="19"/>
  <c r="K134"/>
  <c r="N140"/>
  <c r="P22" i="18"/>
  <c r="K138" i="19"/>
  <c r="K135"/>
  <c r="K133"/>
  <c r="S48"/>
  <c r="C140"/>
  <c r="L21" i="18"/>
  <c r="C18" i="19"/>
  <c r="H24" i="18"/>
  <c r="L21" i="4"/>
  <c r="K110" i="19"/>
  <c r="C50"/>
  <c r="C48"/>
  <c r="O51"/>
  <c r="S78"/>
  <c r="S80"/>
  <c r="AE81"/>
  <c r="C78"/>
  <c r="C80"/>
  <c r="O81"/>
  <c r="S20"/>
  <c r="S18"/>
  <c r="C108"/>
  <c r="C110"/>
  <c r="O141"/>
  <c r="L158"/>
  <c r="W148"/>
  <c r="AD143"/>
  <c r="AD142"/>
  <c r="Z140"/>
  <c r="V140"/>
  <c r="W138"/>
  <c r="AE137"/>
  <c r="V137"/>
  <c r="X136"/>
  <c r="Z136" s="1"/>
  <c r="T136"/>
  <c r="AE135"/>
  <c r="W135"/>
  <c r="AB134"/>
  <c r="AD134" s="1"/>
  <c r="U134"/>
  <c r="AB133"/>
  <c r="AD133" s="1"/>
  <c r="U133"/>
  <c r="S127"/>
  <c r="AC144"/>
  <c r="V143"/>
  <c r="V142"/>
  <c r="AB140"/>
  <c r="W140"/>
  <c r="R140"/>
  <c r="X138"/>
  <c r="Z138" s="1"/>
  <c r="T138"/>
  <c r="W137"/>
  <c r="AB136"/>
  <c r="AD136" s="1"/>
  <c r="U136"/>
  <c r="X135"/>
  <c r="Z135" s="1"/>
  <c r="T135"/>
  <c r="AE134"/>
  <c r="V134"/>
  <c r="AE133"/>
  <c r="V133"/>
  <c r="S126"/>
  <c r="V144"/>
  <c r="AC140"/>
  <c r="X140"/>
  <c r="T140"/>
  <c r="AB138"/>
  <c r="AD138" s="1"/>
  <c r="U138"/>
  <c r="X137"/>
  <c r="Z137" s="1"/>
  <c r="T137"/>
  <c r="AE136"/>
  <c r="V136"/>
  <c r="U135"/>
  <c r="W134"/>
  <c r="W133"/>
  <c r="S128"/>
  <c r="R148"/>
  <c r="AE140"/>
  <c r="Y140"/>
  <c r="U140"/>
  <c r="AE138"/>
  <c r="V138"/>
  <c r="AB137"/>
  <c r="AD137" s="1"/>
  <c r="U137"/>
  <c r="W136"/>
  <c r="AB135"/>
  <c r="AD135" s="1"/>
  <c r="V135"/>
  <c r="X134"/>
  <c r="Z134" s="1"/>
  <c r="T134"/>
  <c r="X133"/>
  <c r="Z133" s="1"/>
  <c r="T133"/>
  <c r="AB126"/>
  <c r="BB125" s="1"/>
  <c r="AB125"/>
  <c r="V124"/>
  <c r="C138"/>
  <c r="F4" i="9"/>
  <c r="IC4"/>
  <c r="IB4"/>
  <c r="AQ6" i="15"/>
  <c r="P5" i="11" s="1"/>
  <c r="AQ7" i="15"/>
  <c r="P6" i="11" s="1"/>
  <c r="AQ8" i="15"/>
  <c r="P7" i="11" s="1"/>
  <c r="AQ9" i="15"/>
  <c r="P8" i="11" s="1"/>
  <c r="AQ10" i="15"/>
  <c r="P9" i="11" s="1"/>
  <c r="AQ12" i="15"/>
  <c r="P11" i="11" s="1"/>
  <c r="AQ13" i="15"/>
  <c r="P12" i="11" s="1"/>
  <c r="AQ14" i="15"/>
  <c r="P13" i="11" s="1"/>
  <c r="AQ15" i="15"/>
  <c r="P14" i="11" s="1"/>
  <c r="AQ16" i="15"/>
  <c r="P15" i="11" s="1"/>
  <c r="AQ17" i="15"/>
  <c r="P16" i="11" s="1"/>
  <c r="AQ18" i="15"/>
  <c r="P17" i="11" s="1"/>
  <c r="AQ19" i="15"/>
  <c r="P18" i="11" s="1"/>
  <c r="AQ20" i="15"/>
  <c r="P19" i="11" s="1"/>
  <c r="AQ21" i="15"/>
  <c r="P20" i="11" s="1"/>
  <c r="AQ22" i="15"/>
  <c r="P21" i="11" s="1"/>
  <c r="AQ23" i="15"/>
  <c r="P22" i="11" s="1"/>
  <c r="AQ24" i="15"/>
  <c r="P23" i="11" s="1"/>
  <c r="AQ25" i="15"/>
  <c r="P24" i="11" s="1"/>
  <c r="AQ26" i="15"/>
  <c r="P25" i="11" s="1"/>
  <c r="AQ27" i="15"/>
  <c r="P26" i="11" s="1"/>
  <c r="AQ28" i="15"/>
  <c r="P27" i="11" s="1"/>
  <c r="AQ29" i="15"/>
  <c r="P28" i="11" s="1"/>
  <c r="AQ30" i="15"/>
  <c r="P29" i="11" s="1"/>
  <c r="AQ31" i="15"/>
  <c r="P30" i="11" s="1"/>
  <c r="AQ32" i="15"/>
  <c r="P31" i="11" s="1"/>
  <c r="AQ33" i="15"/>
  <c r="P32" i="11" s="1"/>
  <c r="AQ34" i="15"/>
  <c r="P33" i="11" s="1"/>
  <c r="AQ35" i="15"/>
  <c r="P34" i="11" s="1"/>
  <c r="AQ36" i="15"/>
  <c r="P35" i="11" s="1"/>
  <c r="AQ37" i="15"/>
  <c r="P36" i="11" s="1"/>
  <c r="AQ38" i="15"/>
  <c r="P37" i="11" s="1"/>
  <c r="AQ39" i="15"/>
  <c r="P38" i="11" s="1"/>
  <c r="AQ40" i="15"/>
  <c r="P39" i="11" s="1"/>
  <c r="AQ41" i="15"/>
  <c r="P40" i="11" s="1"/>
  <c r="AQ42" i="15"/>
  <c r="P41" i="11" s="1"/>
  <c r="AQ43" i="15"/>
  <c r="P42" i="11" s="1"/>
  <c r="AQ44" i="15"/>
  <c r="P43" i="11" s="1"/>
  <c r="AQ45" i="15"/>
  <c r="P44" i="11" s="1"/>
  <c r="AQ46" i="15"/>
  <c r="P45" i="11" s="1"/>
  <c r="AQ47" i="15"/>
  <c r="P46" i="11" s="1"/>
  <c r="AQ48" i="15"/>
  <c r="P47" i="11" s="1"/>
  <c r="AQ49" i="15"/>
  <c r="P48" i="11" s="1"/>
  <c r="AQ50" i="15"/>
  <c r="P49" i="11" s="1"/>
  <c r="AQ51" i="15"/>
  <c r="P50" i="11" s="1"/>
  <c r="AQ52" i="15"/>
  <c r="P51" i="11" s="1"/>
  <c r="AQ53" i="15"/>
  <c r="P52" i="11" s="1"/>
  <c r="AQ54" i="15"/>
  <c r="P53" i="11" s="1"/>
  <c r="AQ55" i="15"/>
  <c r="P54" i="11" s="1"/>
  <c r="AQ56" i="15"/>
  <c r="P55" i="11" s="1"/>
  <c r="AQ57" i="15"/>
  <c r="P56" i="11" s="1"/>
  <c r="AQ58" i="15"/>
  <c r="P57" i="11" s="1"/>
  <c r="AQ59" i="15"/>
  <c r="P58" i="11" s="1"/>
  <c r="AQ60" i="15"/>
  <c r="P59" i="11" s="1"/>
  <c r="AQ61" i="15"/>
  <c r="P60" i="11" s="1"/>
  <c r="AQ62" i="15"/>
  <c r="P61" i="11" s="1"/>
  <c r="AQ63" i="15"/>
  <c r="P62" i="11" s="1"/>
  <c r="AQ64" i="15"/>
  <c r="P63" i="11" s="1"/>
  <c r="AQ65" i="15"/>
  <c r="P64" i="11" s="1"/>
  <c r="AQ66" i="15"/>
  <c r="P65" i="11" s="1"/>
  <c r="AQ67" i="15"/>
  <c r="P66" i="11" s="1"/>
  <c r="AQ68" i="15"/>
  <c r="P67" i="11" s="1"/>
  <c r="AQ69" i="15"/>
  <c r="P68" i="11" s="1"/>
  <c r="AQ70" i="15"/>
  <c r="P69" i="11" s="1"/>
  <c r="AQ71" i="15"/>
  <c r="P70" i="11" s="1"/>
  <c r="AQ72" i="15"/>
  <c r="P71" i="11" s="1"/>
  <c r="AQ73" i="15"/>
  <c r="P72" i="11" s="1"/>
  <c r="AQ74" i="15"/>
  <c r="P73" i="11" s="1"/>
  <c r="AQ75" i="15"/>
  <c r="P74" i="11" s="1"/>
  <c r="AQ76" i="15"/>
  <c r="P75" i="11" s="1"/>
  <c r="AQ77" i="15"/>
  <c r="P76" i="11" s="1"/>
  <c r="AQ78" i="15"/>
  <c r="P77" i="11" s="1"/>
  <c r="AQ79" i="15"/>
  <c r="P78" i="11" s="1"/>
  <c r="AQ80" i="15"/>
  <c r="P79" i="11" s="1"/>
  <c r="AQ81" i="15"/>
  <c r="P80" i="11" s="1"/>
  <c r="AQ82" i="15"/>
  <c r="P81" i="11" s="1"/>
  <c r="AQ83" i="15"/>
  <c r="P82" i="11" s="1"/>
  <c r="AQ84" i="15"/>
  <c r="P83" i="11" s="1"/>
  <c r="AQ85" i="15"/>
  <c r="P84" i="11" s="1"/>
  <c r="AQ86" i="15"/>
  <c r="P85" i="11" s="1"/>
  <c r="AQ87" i="15"/>
  <c r="P86" i="11" s="1"/>
  <c r="AQ88" i="15"/>
  <c r="P87" i="11" s="1"/>
  <c r="AQ89" i="15"/>
  <c r="P88" i="11" s="1"/>
  <c r="AQ90" i="15"/>
  <c r="P89" i="11" s="1"/>
  <c r="AQ91" i="15"/>
  <c r="P90" i="11" s="1"/>
  <c r="AQ92" i="15"/>
  <c r="P91" i="11" s="1"/>
  <c r="AQ93" i="15"/>
  <c r="P92" i="11" s="1"/>
  <c r="AQ94" i="15"/>
  <c r="P93" i="11" s="1"/>
  <c r="AQ95" i="15"/>
  <c r="P94" i="11" s="1"/>
  <c r="AQ96" i="15"/>
  <c r="P95" i="11" s="1"/>
  <c r="AQ97" i="15"/>
  <c r="P96" i="11" s="1"/>
  <c r="AQ98" i="15"/>
  <c r="P97" i="11" s="1"/>
  <c r="AQ99" i="15"/>
  <c r="P98" i="11" s="1"/>
  <c r="AQ100" i="15"/>
  <c r="P99" i="11" s="1"/>
  <c r="AQ101" i="15"/>
  <c r="P100" i="11" s="1"/>
  <c r="AQ102" i="15"/>
  <c r="P101" i="11" s="1"/>
  <c r="AQ103" i="15"/>
  <c r="P102" i="11" s="1"/>
  <c r="AQ104" i="15"/>
  <c r="P103" i="11" s="1"/>
  <c r="AQ105" i="15"/>
  <c r="P104" i="11" s="1"/>
  <c r="AQ106" i="15"/>
  <c r="P105" i="11" s="1"/>
  <c r="AQ107" i="15"/>
  <c r="P106" i="11" s="1"/>
  <c r="AQ108" i="15"/>
  <c r="P107" i="11" s="1"/>
  <c r="AQ109" i="15"/>
  <c r="P108" i="11" s="1"/>
  <c r="AQ110" i="15"/>
  <c r="P109" i="11" s="1"/>
  <c r="AQ111" i="15"/>
  <c r="P110" i="11" s="1"/>
  <c r="AQ112" i="15"/>
  <c r="P111" i="11" s="1"/>
  <c r="AQ113" i="15"/>
  <c r="P112" i="11" s="1"/>
  <c r="AQ114" i="15"/>
  <c r="P113" i="11" s="1"/>
  <c r="AQ115" i="15"/>
  <c r="P114" i="11" s="1"/>
  <c r="AQ116" i="15"/>
  <c r="P115" i="11" s="1"/>
  <c r="AQ117" i="15"/>
  <c r="P116" i="11" s="1"/>
  <c r="AQ118" i="15"/>
  <c r="P117" i="11" s="1"/>
  <c r="AQ119" i="15"/>
  <c r="P118" i="11" s="1"/>
  <c r="AQ120" i="15"/>
  <c r="P119" i="11" s="1"/>
  <c r="AQ121" i="15"/>
  <c r="P120" i="11" s="1"/>
  <c r="AQ122" i="15"/>
  <c r="P121" i="11" s="1"/>
  <c r="AQ123" i="15"/>
  <c r="P122" i="11" s="1"/>
  <c r="AQ124" i="15"/>
  <c r="P123" i="11" s="1"/>
  <c r="AQ125" i="15"/>
  <c r="P124" i="11" s="1"/>
  <c r="AQ126" i="15"/>
  <c r="P125" i="11" s="1"/>
  <c r="AQ127" i="15"/>
  <c r="P126" i="11" s="1"/>
  <c r="AQ128" i="15"/>
  <c r="P127" i="11" s="1"/>
  <c r="AQ129" i="15"/>
  <c r="P128" i="11" s="1"/>
  <c r="AQ130" i="15"/>
  <c r="P129" i="11" s="1"/>
  <c r="AQ131" i="15"/>
  <c r="P130" i="11" s="1"/>
  <c r="AQ132" i="15"/>
  <c r="P131" i="11" s="1"/>
  <c r="AQ133" i="15"/>
  <c r="P132" i="11" s="1"/>
  <c r="AQ134" i="15"/>
  <c r="P133" i="11" s="1"/>
  <c r="AQ135" i="15"/>
  <c r="P134" i="11" s="1"/>
  <c r="AQ136" i="15"/>
  <c r="P135" i="11" s="1"/>
  <c r="AQ137" i="15"/>
  <c r="P136" i="11" s="1"/>
  <c r="AQ138" i="15"/>
  <c r="P137" i="11" s="1"/>
  <c r="AQ139" i="15"/>
  <c r="P138" i="11" s="1"/>
  <c r="AQ140" i="15"/>
  <c r="P139" i="11" s="1"/>
  <c r="AQ141" i="15"/>
  <c r="P140" i="11" s="1"/>
  <c r="AQ142" i="15"/>
  <c r="P141" i="11" s="1"/>
  <c r="AQ143" i="15"/>
  <c r="P142" i="11" s="1"/>
  <c r="AQ144" i="15"/>
  <c r="P143" i="11" s="1"/>
  <c r="AQ145" i="15"/>
  <c r="P144" i="11" s="1"/>
  <c r="AQ146" i="15"/>
  <c r="P145" i="11" s="1"/>
  <c r="AQ147" i="15"/>
  <c r="P146" i="11" s="1"/>
  <c r="AQ148" i="15"/>
  <c r="P147" i="11" s="1"/>
  <c r="AQ149" i="15"/>
  <c r="P148" i="11" s="1"/>
  <c r="AQ150" i="15"/>
  <c r="P149" i="11" s="1"/>
  <c r="AQ151" i="15"/>
  <c r="P150" i="11" s="1"/>
  <c r="AQ152" i="15"/>
  <c r="P151" i="11" s="1"/>
  <c r="AQ153" i="15"/>
  <c r="P152" i="11" s="1"/>
  <c r="AQ154" i="15"/>
  <c r="P153" i="11" s="1"/>
  <c r="AQ155" i="15"/>
  <c r="P154" i="11" s="1"/>
  <c r="AQ156" i="15"/>
  <c r="P155" i="11" s="1"/>
  <c r="AQ157" i="15"/>
  <c r="P156" i="11" s="1"/>
  <c r="AQ158" i="15"/>
  <c r="P157" i="11" s="1"/>
  <c r="AQ159" i="15"/>
  <c r="P158" i="11" s="1"/>
  <c r="AQ160" i="15"/>
  <c r="P159" i="11" s="1"/>
  <c r="AQ161" i="15"/>
  <c r="P160" i="11" s="1"/>
  <c r="AQ162" i="15"/>
  <c r="P161" i="11" s="1"/>
  <c r="AQ163" i="15"/>
  <c r="P162" i="11" s="1"/>
  <c r="AQ164" i="15"/>
  <c r="P163" i="11" s="1"/>
  <c r="AQ165" i="15"/>
  <c r="P164" i="11" s="1"/>
  <c r="AQ166" i="15"/>
  <c r="P165" i="11" s="1"/>
  <c r="AQ167" i="15"/>
  <c r="P166" i="11" s="1"/>
  <c r="AQ168" i="15"/>
  <c r="P167" i="11" s="1"/>
  <c r="AQ169" i="15"/>
  <c r="P168" i="11" s="1"/>
  <c r="AQ170" i="15"/>
  <c r="P169" i="11" s="1"/>
  <c r="AQ171" i="15"/>
  <c r="P170" i="11" s="1"/>
  <c r="AQ172" i="15"/>
  <c r="P171" i="11" s="1"/>
  <c r="AQ173" i="15"/>
  <c r="P172" i="11" s="1"/>
  <c r="AQ174" i="15"/>
  <c r="P173" i="11" s="1"/>
  <c r="AQ175" i="15"/>
  <c r="P174" i="11" s="1"/>
  <c r="AQ176" i="15"/>
  <c r="P175" i="11" s="1"/>
  <c r="AQ177" i="15"/>
  <c r="P176" i="11" s="1"/>
  <c r="AQ178" i="15"/>
  <c r="P177" i="11" s="1"/>
  <c r="AQ179" i="15"/>
  <c r="P178" i="11" s="1"/>
  <c r="AQ180" i="15"/>
  <c r="P179" i="11" s="1"/>
  <c r="AQ181" i="15"/>
  <c r="P180" i="11" s="1"/>
  <c r="AQ182" i="15"/>
  <c r="P181" i="11" s="1"/>
  <c r="AQ183" i="15"/>
  <c r="P182" i="11" s="1"/>
  <c r="AQ184" i="15"/>
  <c r="P183" i="11" s="1"/>
  <c r="AQ185" i="15"/>
  <c r="P184" i="11" s="1"/>
  <c r="AQ186" i="15"/>
  <c r="P185" i="11" s="1"/>
  <c r="AQ187" i="15"/>
  <c r="P186" i="11" s="1"/>
  <c r="AQ188" i="15"/>
  <c r="P187" i="11" s="1"/>
  <c r="AQ189" i="15"/>
  <c r="P188" i="11" s="1"/>
  <c r="AQ190" i="15"/>
  <c r="P189" i="11" s="1"/>
  <c r="AQ191" i="15"/>
  <c r="P190" i="11" s="1"/>
  <c r="AQ192" i="15"/>
  <c r="P191" i="11" s="1"/>
  <c r="AQ193" i="15"/>
  <c r="P192" i="11" s="1"/>
  <c r="AQ194" i="15"/>
  <c r="P193" i="11" s="1"/>
  <c r="AQ195" i="15"/>
  <c r="P194" i="11" s="1"/>
  <c r="AQ196" i="15"/>
  <c r="P195" i="11" s="1"/>
  <c r="AQ197" i="15"/>
  <c r="P196" i="11" s="1"/>
  <c r="AQ198" i="15"/>
  <c r="P197" i="11" s="1"/>
  <c r="AQ199" i="15"/>
  <c r="P198" i="11" s="1"/>
  <c r="AQ200" i="15"/>
  <c r="P199" i="11" s="1"/>
  <c r="AQ201" i="15"/>
  <c r="P200" i="11" s="1"/>
  <c r="AQ202" i="15"/>
  <c r="P201" i="11" s="1"/>
  <c r="AQ203" i="15"/>
  <c r="P202" i="11" s="1"/>
  <c r="AQ204" i="15"/>
  <c r="P203" i="11" s="1"/>
  <c r="AQ5" i="15"/>
  <c r="HY4" i="9"/>
  <c r="K178" i="19" l="1"/>
  <c r="E155"/>
  <c r="D19" i="4"/>
  <c r="M23"/>
  <c r="N22"/>
  <c r="N24" s="1"/>
  <c r="I23"/>
  <c r="J22"/>
  <c r="J24" s="1"/>
  <c r="C20" i="19"/>
  <c r="M22" i="4"/>
  <c r="O22"/>
  <c r="O24" s="1"/>
  <c r="K22"/>
  <c r="K24" s="1"/>
  <c r="G22"/>
  <c r="G24" s="1"/>
  <c r="I22"/>
  <c r="H22"/>
  <c r="H24" s="1"/>
  <c r="F22"/>
  <c r="F24" s="1"/>
  <c r="P22"/>
  <c r="E22"/>
  <c r="E24" s="1"/>
  <c r="BB98" i="19"/>
  <c r="AV129"/>
  <c r="BB100"/>
  <c r="AW127"/>
  <c r="AW129"/>
  <c r="BA126"/>
  <c r="BB126"/>
  <c r="BC126"/>
  <c r="AX129"/>
  <c r="L22" i="18"/>
  <c r="L24" s="1"/>
  <c r="L22" i="4"/>
  <c r="L24" s="1"/>
  <c r="AA134" i="19"/>
  <c r="I24" i="4"/>
  <c r="I24" i="18"/>
  <c r="M24" i="4"/>
  <c r="AA137" i="19"/>
  <c r="AA133"/>
  <c r="S138"/>
  <c r="AA136"/>
  <c r="AA140"/>
  <c r="AD140"/>
  <c r="AA138"/>
  <c r="S140"/>
  <c r="AA135"/>
  <c r="AE141"/>
  <c r="M174"/>
  <c r="N173"/>
  <c r="N172"/>
  <c r="L170"/>
  <c r="G170"/>
  <c r="B170"/>
  <c r="O168"/>
  <c r="F168"/>
  <c r="H167"/>
  <c r="J167" s="1"/>
  <c r="D167"/>
  <c r="O166"/>
  <c r="F166"/>
  <c r="H165"/>
  <c r="J165" s="1"/>
  <c r="D165"/>
  <c r="O164"/>
  <c r="G164"/>
  <c r="G163"/>
  <c r="F154"/>
  <c r="A15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B158"/>
  <c r="F174"/>
  <c r="F173"/>
  <c r="F172"/>
  <c r="M170"/>
  <c r="H170"/>
  <c r="D170"/>
  <c r="G168"/>
  <c r="L167"/>
  <c r="N167" s="1"/>
  <c r="E167"/>
  <c r="G166"/>
  <c r="L165"/>
  <c r="N165" s="1"/>
  <c r="E165"/>
  <c r="H164"/>
  <c r="J164" s="1"/>
  <c r="D164"/>
  <c r="H163"/>
  <c r="J163" s="1"/>
  <c r="D163"/>
  <c r="C158"/>
  <c r="L156"/>
  <c r="AW155" s="1"/>
  <c r="L155"/>
  <c r="B178"/>
  <c r="O170"/>
  <c r="I170"/>
  <c r="E170"/>
  <c r="H168"/>
  <c r="J168" s="1"/>
  <c r="D168"/>
  <c r="O167"/>
  <c r="F167"/>
  <c r="H166"/>
  <c r="J166" s="1"/>
  <c r="D166"/>
  <c r="O165"/>
  <c r="F165"/>
  <c r="L164"/>
  <c r="N164" s="1"/>
  <c r="E164"/>
  <c r="L163"/>
  <c r="N163" s="1"/>
  <c r="E163"/>
  <c r="G178"/>
  <c r="J170"/>
  <c r="K170" s="1"/>
  <c r="F170"/>
  <c r="L168"/>
  <c r="N168" s="1"/>
  <c r="E168"/>
  <c r="G167"/>
  <c r="L166"/>
  <c r="N166" s="1"/>
  <c r="E166"/>
  <c r="G165"/>
  <c r="F164"/>
  <c r="O163"/>
  <c r="F163"/>
  <c r="C157"/>
  <c r="C156"/>
  <c r="E3" i="15"/>
  <c r="E2" i="11"/>
  <c r="HT4" i="9"/>
  <c r="HQ4"/>
  <c r="HN4"/>
  <c r="HN2"/>
  <c r="GN2"/>
  <c r="AV3"/>
  <c r="AS3"/>
  <c r="BH208" s="1"/>
  <c r="B10" i="6" s="1"/>
  <c r="GK2" i="9"/>
  <c r="GC8"/>
  <c r="GD8"/>
  <c r="GE8"/>
  <c r="GH8"/>
  <c r="GC9"/>
  <c r="GD9"/>
  <c r="GF9" s="1"/>
  <c r="GE9"/>
  <c r="GH9"/>
  <c r="GC10"/>
  <c r="GD10"/>
  <c r="GF10" s="1"/>
  <c r="GE10"/>
  <c r="GH10"/>
  <c r="GC11"/>
  <c r="GD11"/>
  <c r="GF11" s="1"/>
  <c r="GE11"/>
  <c r="GH11"/>
  <c r="GC12"/>
  <c r="GD12"/>
  <c r="GF12" s="1"/>
  <c r="GE12"/>
  <c r="GH12"/>
  <c r="GC13"/>
  <c r="GD13"/>
  <c r="GF13" s="1"/>
  <c r="GE13"/>
  <c r="GH13"/>
  <c r="GC14"/>
  <c r="GD14"/>
  <c r="GF14" s="1"/>
  <c r="GE14"/>
  <c r="GH14"/>
  <c r="GC15"/>
  <c r="GD15"/>
  <c r="GF15" s="1"/>
  <c r="GE15"/>
  <c r="GH15"/>
  <c r="GC16"/>
  <c r="GD16"/>
  <c r="GF16" s="1"/>
  <c r="GE16"/>
  <c r="GH16"/>
  <c r="GC17"/>
  <c r="GD17"/>
  <c r="GF17" s="1"/>
  <c r="GE17"/>
  <c r="GH17"/>
  <c r="GC18"/>
  <c r="GD18"/>
  <c r="GF18" s="1"/>
  <c r="GE18"/>
  <c r="GH18"/>
  <c r="GC19"/>
  <c r="GD19"/>
  <c r="GF19" s="1"/>
  <c r="GE19"/>
  <c r="GH19"/>
  <c r="GC20"/>
  <c r="GD20"/>
  <c r="GF20" s="1"/>
  <c r="GE20"/>
  <c r="GH20"/>
  <c r="GC21"/>
  <c r="GD21"/>
  <c r="GF21" s="1"/>
  <c r="GE21"/>
  <c r="GH21"/>
  <c r="GC22"/>
  <c r="GD22"/>
  <c r="GE22"/>
  <c r="GH22"/>
  <c r="GC23"/>
  <c r="GH23" s="1"/>
  <c r="GD23"/>
  <c r="GE23"/>
  <c r="GC24"/>
  <c r="GH24" s="1"/>
  <c r="GD24"/>
  <c r="GE24"/>
  <c r="GC25"/>
  <c r="GH25" s="1"/>
  <c r="GD25"/>
  <c r="GE25"/>
  <c r="GC26"/>
  <c r="GH26" s="1"/>
  <c r="GD26"/>
  <c r="GE26"/>
  <c r="GC27"/>
  <c r="GH27" s="1"/>
  <c r="GD27"/>
  <c r="GE27"/>
  <c r="GC28"/>
  <c r="GH28" s="1"/>
  <c r="GD28"/>
  <c r="GE28"/>
  <c r="GC29"/>
  <c r="GH29" s="1"/>
  <c r="GD29"/>
  <c r="GE29"/>
  <c r="GC30"/>
  <c r="GH30" s="1"/>
  <c r="GD30"/>
  <c r="GE30"/>
  <c r="GC31"/>
  <c r="GH31" s="1"/>
  <c r="GD31"/>
  <c r="GE31"/>
  <c r="GC32"/>
  <c r="GH32" s="1"/>
  <c r="GD32"/>
  <c r="GE32"/>
  <c r="GC33"/>
  <c r="GD33"/>
  <c r="GE33"/>
  <c r="GC34"/>
  <c r="GH34" s="1"/>
  <c r="GD34"/>
  <c r="GE34"/>
  <c r="GC35"/>
  <c r="GH35" s="1"/>
  <c r="GD35"/>
  <c r="GE35"/>
  <c r="GC36"/>
  <c r="GH36" s="1"/>
  <c r="GD36"/>
  <c r="GE36"/>
  <c r="GC37"/>
  <c r="GH37" s="1"/>
  <c r="GD37"/>
  <c r="GE37"/>
  <c r="GC38"/>
  <c r="GH38" s="1"/>
  <c r="GD38"/>
  <c r="GE38"/>
  <c r="GC39"/>
  <c r="GD39"/>
  <c r="GE39"/>
  <c r="GC40"/>
  <c r="GH40" s="1"/>
  <c r="GD40"/>
  <c r="GE40"/>
  <c r="GC41"/>
  <c r="GH41" s="1"/>
  <c r="GD41"/>
  <c r="GE41"/>
  <c r="GC42"/>
  <c r="GH42" s="1"/>
  <c r="GD42"/>
  <c r="GE42"/>
  <c r="GC43"/>
  <c r="GH43" s="1"/>
  <c r="GD43"/>
  <c r="GE43"/>
  <c r="GC44"/>
  <c r="GH44" s="1"/>
  <c r="GD44"/>
  <c r="GE44"/>
  <c r="GC45"/>
  <c r="GH45" s="1"/>
  <c r="GD45"/>
  <c r="GE45"/>
  <c r="GC46"/>
  <c r="GH46" s="1"/>
  <c r="GD46"/>
  <c r="GE46"/>
  <c r="GC47"/>
  <c r="GD47"/>
  <c r="GE47"/>
  <c r="GC48"/>
  <c r="GH48" s="1"/>
  <c r="GD48"/>
  <c r="GE48"/>
  <c r="GC49"/>
  <c r="GH49" s="1"/>
  <c r="GD49"/>
  <c r="GE49"/>
  <c r="GC50"/>
  <c r="GH50" s="1"/>
  <c r="GD50"/>
  <c r="GE50"/>
  <c r="GC51"/>
  <c r="GH51" s="1"/>
  <c r="GD51"/>
  <c r="GE51"/>
  <c r="GC52"/>
  <c r="GH52" s="1"/>
  <c r="GD52"/>
  <c r="GE52"/>
  <c r="GC53"/>
  <c r="GH53" s="1"/>
  <c r="GD53"/>
  <c r="GE53"/>
  <c r="GC54"/>
  <c r="GH54" s="1"/>
  <c r="GD54"/>
  <c r="GE54"/>
  <c r="GC55"/>
  <c r="GH55" s="1"/>
  <c r="GD55"/>
  <c r="GE55"/>
  <c r="GC56"/>
  <c r="GH56" s="1"/>
  <c r="GD56"/>
  <c r="GE56"/>
  <c r="GC57"/>
  <c r="GH57" s="1"/>
  <c r="GD57"/>
  <c r="GE57"/>
  <c r="GC58"/>
  <c r="GH58" s="1"/>
  <c r="GD58"/>
  <c r="GE58"/>
  <c r="GC59"/>
  <c r="GH59" s="1"/>
  <c r="GD59"/>
  <c r="GE59"/>
  <c r="GC60"/>
  <c r="GH60" s="1"/>
  <c r="GD60"/>
  <c r="GE60"/>
  <c r="GC61"/>
  <c r="GH61" s="1"/>
  <c r="GD61"/>
  <c r="GE61"/>
  <c r="GC62"/>
  <c r="GH62" s="1"/>
  <c r="GD62"/>
  <c r="GE62"/>
  <c r="GC63"/>
  <c r="GD63"/>
  <c r="GE63"/>
  <c r="GC64"/>
  <c r="GH64" s="1"/>
  <c r="GD64"/>
  <c r="GE64"/>
  <c r="GC65"/>
  <c r="GD65"/>
  <c r="GE65"/>
  <c r="GH65"/>
  <c r="GC66"/>
  <c r="GD66"/>
  <c r="GE66"/>
  <c r="GH66"/>
  <c r="GC67"/>
  <c r="GD67"/>
  <c r="GE67"/>
  <c r="GH67"/>
  <c r="GC68"/>
  <c r="GH68" s="1"/>
  <c r="GD68"/>
  <c r="GE68"/>
  <c r="GC69"/>
  <c r="GH69" s="1"/>
  <c r="GD69"/>
  <c r="GE69"/>
  <c r="GC70"/>
  <c r="GD70"/>
  <c r="GE70"/>
  <c r="GC71"/>
  <c r="GD71"/>
  <c r="GE71"/>
  <c r="GC72"/>
  <c r="GD72"/>
  <c r="GE72"/>
  <c r="GH72"/>
  <c r="GC73"/>
  <c r="GD73"/>
  <c r="GE73"/>
  <c r="GH73"/>
  <c r="GC74"/>
  <c r="GD74"/>
  <c r="GE74"/>
  <c r="GH74"/>
  <c r="GC75"/>
  <c r="GH75" s="1"/>
  <c r="GD75"/>
  <c r="GE75"/>
  <c r="GC76"/>
  <c r="GH76" s="1"/>
  <c r="GD76"/>
  <c r="GE76"/>
  <c r="GC77"/>
  <c r="GH77" s="1"/>
  <c r="GD77"/>
  <c r="GE77"/>
  <c r="GC78"/>
  <c r="GH78" s="1"/>
  <c r="GD78"/>
  <c r="GE78"/>
  <c r="GC79"/>
  <c r="GH79" s="1"/>
  <c r="GD79"/>
  <c r="GE79"/>
  <c r="GC80"/>
  <c r="GH80" s="1"/>
  <c r="GD80"/>
  <c r="GE80"/>
  <c r="GC81"/>
  <c r="GH81" s="1"/>
  <c r="GD81"/>
  <c r="GE81"/>
  <c r="GC82"/>
  <c r="GH82" s="1"/>
  <c r="GD82"/>
  <c r="GE82"/>
  <c r="GC83"/>
  <c r="GH83" s="1"/>
  <c r="GD83"/>
  <c r="GE83"/>
  <c r="GC84"/>
  <c r="GH84" s="1"/>
  <c r="GD84"/>
  <c r="GE84"/>
  <c r="GC85"/>
  <c r="GH85" s="1"/>
  <c r="GD85"/>
  <c r="GE85"/>
  <c r="GC86"/>
  <c r="GH86" s="1"/>
  <c r="GD86"/>
  <c r="GE86"/>
  <c r="GC87"/>
  <c r="GH87" s="1"/>
  <c r="GD87"/>
  <c r="GE87"/>
  <c r="GC88"/>
  <c r="GH88" s="1"/>
  <c r="GD88"/>
  <c r="GE88"/>
  <c r="GC89"/>
  <c r="GH89" s="1"/>
  <c r="GD89"/>
  <c r="GE89"/>
  <c r="GC90"/>
  <c r="GH90" s="1"/>
  <c r="GD90"/>
  <c r="GE90"/>
  <c r="GC91"/>
  <c r="GD91"/>
  <c r="GE91"/>
  <c r="GC92"/>
  <c r="GH92" s="1"/>
  <c r="GD92"/>
  <c r="GE92"/>
  <c r="GC93"/>
  <c r="GH93" s="1"/>
  <c r="GD93"/>
  <c r="GE93"/>
  <c r="GC94"/>
  <c r="GH94" s="1"/>
  <c r="GD94"/>
  <c r="GE94"/>
  <c r="GC95"/>
  <c r="GH95" s="1"/>
  <c r="GD95"/>
  <c r="GE95"/>
  <c r="GC96"/>
  <c r="GH96" s="1"/>
  <c r="GD96"/>
  <c r="GE96"/>
  <c r="GC97"/>
  <c r="GH97" s="1"/>
  <c r="GD97"/>
  <c r="GE97"/>
  <c r="GC98"/>
  <c r="GH98" s="1"/>
  <c r="GD98"/>
  <c r="GE98"/>
  <c r="GC99"/>
  <c r="GD99"/>
  <c r="GE99"/>
  <c r="GC100"/>
  <c r="GH100" s="1"/>
  <c r="GD100"/>
  <c r="GE100"/>
  <c r="GC101"/>
  <c r="GH101" s="1"/>
  <c r="GD101"/>
  <c r="GE101"/>
  <c r="GC102"/>
  <c r="GH102" s="1"/>
  <c r="GD102"/>
  <c r="GE102"/>
  <c r="GC103"/>
  <c r="GH103" s="1"/>
  <c r="GD103"/>
  <c r="GE103"/>
  <c r="GC104"/>
  <c r="GH104" s="1"/>
  <c r="GD104"/>
  <c r="GE104"/>
  <c r="GC105"/>
  <c r="GH105" s="1"/>
  <c r="GD105"/>
  <c r="GE105"/>
  <c r="GC106"/>
  <c r="GH106" s="1"/>
  <c r="GD106"/>
  <c r="GE106"/>
  <c r="GC107"/>
  <c r="GD107"/>
  <c r="GE107"/>
  <c r="GC108"/>
  <c r="GH108" s="1"/>
  <c r="GD108"/>
  <c r="GE108"/>
  <c r="GC109"/>
  <c r="GH109" s="1"/>
  <c r="GD109"/>
  <c r="GE109"/>
  <c r="GC110"/>
  <c r="GH110" s="1"/>
  <c r="GD110"/>
  <c r="GE110"/>
  <c r="GC111"/>
  <c r="GH111" s="1"/>
  <c r="GD111"/>
  <c r="GE111"/>
  <c r="GC112"/>
  <c r="GH112" s="1"/>
  <c r="GD112"/>
  <c r="GE112"/>
  <c r="GC113"/>
  <c r="GH113" s="1"/>
  <c r="GD113"/>
  <c r="GE113"/>
  <c r="GC114"/>
  <c r="GH114" s="1"/>
  <c r="GD114"/>
  <c r="GE114"/>
  <c r="GC115"/>
  <c r="GH115" s="1"/>
  <c r="GD115"/>
  <c r="GE115"/>
  <c r="GC116"/>
  <c r="GH116" s="1"/>
  <c r="GD116"/>
  <c r="GE116"/>
  <c r="GC117"/>
  <c r="GH117" s="1"/>
  <c r="GD117"/>
  <c r="GE117"/>
  <c r="GC118"/>
  <c r="GH118" s="1"/>
  <c r="GD118"/>
  <c r="GE118"/>
  <c r="GC119"/>
  <c r="GH119" s="1"/>
  <c r="GD119"/>
  <c r="GE119"/>
  <c r="GC120"/>
  <c r="GH120" s="1"/>
  <c r="GD120"/>
  <c r="GE120"/>
  <c r="GC121"/>
  <c r="GH121" s="1"/>
  <c r="GD121"/>
  <c r="GE121"/>
  <c r="GC122"/>
  <c r="GH122" s="1"/>
  <c r="GD122"/>
  <c r="GE122"/>
  <c r="GC123"/>
  <c r="GH123" s="1"/>
  <c r="GD123"/>
  <c r="GE123"/>
  <c r="GC124"/>
  <c r="GH124" s="1"/>
  <c r="GD124"/>
  <c r="GE124"/>
  <c r="GC125"/>
  <c r="GH125" s="1"/>
  <c r="GD125"/>
  <c r="GE125"/>
  <c r="GC126"/>
  <c r="GH126" s="1"/>
  <c r="GD126"/>
  <c r="GE126"/>
  <c r="GC127"/>
  <c r="GD127"/>
  <c r="GE127"/>
  <c r="GC128"/>
  <c r="GD128"/>
  <c r="GE128"/>
  <c r="GH128"/>
  <c r="GC129"/>
  <c r="GD129"/>
  <c r="GE129"/>
  <c r="GH129"/>
  <c r="GC130"/>
  <c r="GD130"/>
  <c r="GE130"/>
  <c r="GH130"/>
  <c r="GC131"/>
  <c r="GD131"/>
  <c r="GE131"/>
  <c r="GH131"/>
  <c r="GC132"/>
  <c r="GH132" s="1"/>
  <c r="GD132"/>
  <c r="GE132"/>
  <c r="GC133"/>
  <c r="GH133" s="1"/>
  <c r="GD133"/>
  <c r="GE133"/>
  <c r="GC134"/>
  <c r="GH134" s="1"/>
  <c r="GD134"/>
  <c r="GE134"/>
  <c r="GC135"/>
  <c r="GH135" s="1"/>
  <c r="GD135"/>
  <c r="GE135"/>
  <c r="GC136"/>
  <c r="GD136"/>
  <c r="GE136"/>
  <c r="GH136"/>
  <c r="GC137"/>
  <c r="GH137" s="1"/>
  <c r="GD137"/>
  <c r="GE137"/>
  <c r="GC138"/>
  <c r="GH138" s="1"/>
  <c r="GD138"/>
  <c r="GE138"/>
  <c r="GC139"/>
  <c r="GH139" s="1"/>
  <c r="GD139"/>
  <c r="GE139"/>
  <c r="GC140"/>
  <c r="GH140" s="1"/>
  <c r="GD140"/>
  <c r="GE140"/>
  <c r="GC141"/>
  <c r="GH141" s="1"/>
  <c r="GD141"/>
  <c r="GE141"/>
  <c r="GC142"/>
  <c r="GH142" s="1"/>
  <c r="GD142"/>
  <c r="GE142"/>
  <c r="GC143"/>
  <c r="GH143" s="1"/>
  <c r="GD143"/>
  <c r="GE143"/>
  <c r="GC144"/>
  <c r="GH144" s="1"/>
  <c r="GD144"/>
  <c r="GE144"/>
  <c r="GC145"/>
  <c r="GH145" s="1"/>
  <c r="GD145"/>
  <c r="GE145"/>
  <c r="GC146"/>
  <c r="GH146" s="1"/>
  <c r="GD146"/>
  <c r="GE146"/>
  <c r="GC147"/>
  <c r="GH147" s="1"/>
  <c r="GD147"/>
  <c r="GE147"/>
  <c r="GC148"/>
  <c r="GH148" s="1"/>
  <c r="GD148"/>
  <c r="GE148"/>
  <c r="GC149"/>
  <c r="GD149"/>
  <c r="GE149"/>
  <c r="GH149"/>
  <c r="GC150"/>
  <c r="GD150"/>
  <c r="GE150"/>
  <c r="GH150"/>
  <c r="GC151"/>
  <c r="GH151" s="1"/>
  <c r="GD151"/>
  <c r="GE151"/>
  <c r="GC152"/>
  <c r="GH152" s="1"/>
  <c r="GD152"/>
  <c r="GE152"/>
  <c r="GC153"/>
  <c r="GD153"/>
  <c r="GE153"/>
  <c r="GH153"/>
  <c r="GC154"/>
  <c r="GD154"/>
  <c r="GE154"/>
  <c r="GH154"/>
  <c r="GC155"/>
  <c r="GH155" s="1"/>
  <c r="GD155"/>
  <c r="GE155"/>
  <c r="GC156"/>
  <c r="GH156" s="1"/>
  <c r="GD156"/>
  <c r="GE156"/>
  <c r="GC157"/>
  <c r="GD157"/>
  <c r="GE157"/>
  <c r="GH157"/>
  <c r="GC158"/>
  <c r="GD158"/>
  <c r="GE158"/>
  <c r="GH158"/>
  <c r="GC159"/>
  <c r="GH159" s="1"/>
  <c r="GD159"/>
  <c r="GE159"/>
  <c r="GC160"/>
  <c r="GH160" s="1"/>
  <c r="GD160"/>
  <c r="GE160"/>
  <c r="GC161"/>
  <c r="GH161" s="1"/>
  <c r="GD161"/>
  <c r="GE161"/>
  <c r="GC162"/>
  <c r="GH162" s="1"/>
  <c r="GD162"/>
  <c r="GE162"/>
  <c r="GC163"/>
  <c r="GH163" s="1"/>
  <c r="GD163"/>
  <c r="GE163"/>
  <c r="GC164"/>
  <c r="GH164" s="1"/>
  <c r="GD164"/>
  <c r="GE164"/>
  <c r="GC165"/>
  <c r="GH165" s="1"/>
  <c r="GD165"/>
  <c r="GE165"/>
  <c r="GC166"/>
  <c r="GH166" s="1"/>
  <c r="GD166"/>
  <c r="GE166"/>
  <c r="GC167"/>
  <c r="GH167" s="1"/>
  <c r="GD167"/>
  <c r="GE167"/>
  <c r="GC168"/>
  <c r="GH168" s="1"/>
  <c r="GD168"/>
  <c r="GE168"/>
  <c r="GC169"/>
  <c r="GH169" s="1"/>
  <c r="GD169"/>
  <c r="GE169"/>
  <c r="GC170"/>
  <c r="GH170" s="1"/>
  <c r="GD170"/>
  <c r="GE170"/>
  <c r="GC171"/>
  <c r="GH171" s="1"/>
  <c r="GD171"/>
  <c r="GE171"/>
  <c r="GC172"/>
  <c r="GH172" s="1"/>
  <c r="GD172"/>
  <c r="GE172"/>
  <c r="GC173"/>
  <c r="GD173"/>
  <c r="GE173"/>
  <c r="GF173" s="1"/>
  <c r="GH173"/>
  <c r="GC174"/>
  <c r="GH174" s="1"/>
  <c r="GD174"/>
  <c r="GE174"/>
  <c r="GF174" s="1"/>
  <c r="GC175"/>
  <c r="GH175" s="1"/>
  <c r="GD175"/>
  <c r="GE175"/>
  <c r="GC176"/>
  <c r="GH176" s="1"/>
  <c r="GD176"/>
  <c r="GE176"/>
  <c r="GC177"/>
  <c r="GD177"/>
  <c r="GE177"/>
  <c r="GH177"/>
  <c r="GC178"/>
  <c r="GH178" s="1"/>
  <c r="GD178"/>
  <c r="GE178"/>
  <c r="GC179"/>
  <c r="GH179" s="1"/>
  <c r="GD179"/>
  <c r="GE179"/>
  <c r="GC180"/>
  <c r="GH180" s="1"/>
  <c r="GD180"/>
  <c r="GE180"/>
  <c r="GC181"/>
  <c r="GH181" s="1"/>
  <c r="GD181"/>
  <c r="GE181"/>
  <c r="GC182"/>
  <c r="GH182" s="1"/>
  <c r="GD182"/>
  <c r="GE182"/>
  <c r="GC183"/>
  <c r="GH183" s="1"/>
  <c r="GD183"/>
  <c r="GE183"/>
  <c r="GC184"/>
  <c r="GH184" s="1"/>
  <c r="GD184"/>
  <c r="GE184"/>
  <c r="GC185"/>
  <c r="GH185" s="1"/>
  <c r="GD185"/>
  <c r="GE185"/>
  <c r="GC186"/>
  <c r="GH186" s="1"/>
  <c r="GD186"/>
  <c r="GE186"/>
  <c r="GC187"/>
  <c r="GH187" s="1"/>
  <c r="GD187"/>
  <c r="GE187"/>
  <c r="GC188"/>
  <c r="GH188" s="1"/>
  <c r="GD188"/>
  <c r="GE188"/>
  <c r="GC189"/>
  <c r="GH189" s="1"/>
  <c r="GD189"/>
  <c r="GE189"/>
  <c r="GC190"/>
  <c r="GD190"/>
  <c r="GE190"/>
  <c r="GH190"/>
  <c r="GC191"/>
  <c r="GD191"/>
  <c r="GE191"/>
  <c r="GH191"/>
  <c r="GC192"/>
  <c r="GD192"/>
  <c r="GE192"/>
  <c r="GF192" s="1"/>
  <c r="GH192"/>
  <c r="GC193"/>
  <c r="GH193" s="1"/>
  <c r="GD193"/>
  <c r="GE193"/>
  <c r="GC194"/>
  <c r="GH194" s="1"/>
  <c r="GD194"/>
  <c r="GE194"/>
  <c r="GC195"/>
  <c r="GH195" s="1"/>
  <c r="GD195"/>
  <c r="GE195"/>
  <c r="GC196"/>
  <c r="GH196" s="1"/>
  <c r="GD196"/>
  <c r="GE196"/>
  <c r="GC197"/>
  <c r="GH197" s="1"/>
  <c r="GD197"/>
  <c r="GE197"/>
  <c r="GC198"/>
  <c r="GH198" s="1"/>
  <c r="GD198"/>
  <c r="GE198"/>
  <c r="GC199"/>
  <c r="GH199" s="1"/>
  <c r="GD199"/>
  <c r="GE199"/>
  <c r="GC200"/>
  <c r="GH200" s="1"/>
  <c r="GD200"/>
  <c r="GE200"/>
  <c r="GC201"/>
  <c r="GH201" s="1"/>
  <c r="GD201"/>
  <c r="GE201"/>
  <c r="GC202"/>
  <c r="GH202" s="1"/>
  <c r="GD202"/>
  <c r="GE202"/>
  <c r="GC203"/>
  <c r="GH203" s="1"/>
  <c r="GD203"/>
  <c r="GE203"/>
  <c r="GC204"/>
  <c r="GH204" s="1"/>
  <c r="GD204"/>
  <c r="GE204"/>
  <c r="GC205"/>
  <c r="GH205" s="1"/>
  <c r="GD205"/>
  <c r="GE205"/>
  <c r="GC206"/>
  <c r="GH206" s="1"/>
  <c r="GD206"/>
  <c r="GE206"/>
  <c r="GC7"/>
  <c r="GH7" s="1"/>
  <c r="GD7"/>
  <c r="GE7"/>
  <c r="GD6"/>
  <c r="GE6"/>
  <c r="GF4"/>
  <c r="GE4"/>
  <c r="GD4"/>
  <c r="GC4"/>
  <c r="FX4"/>
  <c r="FY4"/>
  <c r="FU8"/>
  <c r="FV8"/>
  <c r="FW8"/>
  <c r="FU9"/>
  <c r="FV9"/>
  <c r="FW9"/>
  <c r="FU10"/>
  <c r="FV10"/>
  <c r="FW10"/>
  <c r="FU11"/>
  <c r="FV11"/>
  <c r="FW11"/>
  <c r="FU12"/>
  <c r="FV12"/>
  <c r="FW12"/>
  <c r="FU13"/>
  <c r="FV13"/>
  <c r="FW13"/>
  <c r="FU14"/>
  <c r="FV14"/>
  <c r="FW14"/>
  <c r="FU15"/>
  <c r="FV15"/>
  <c r="FW15"/>
  <c r="FU16"/>
  <c r="FX16" s="1"/>
  <c r="FV16"/>
  <c r="FW16"/>
  <c r="FU17"/>
  <c r="FV17"/>
  <c r="FW17"/>
  <c r="FU18"/>
  <c r="FV18"/>
  <c r="FW18"/>
  <c r="FU19"/>
  <c r="FV19"/>
  <c r="FW19"/>
  <c r="FU20"/>
  <c r="FX20" s="1"/>
  <c r="FV20"/>
  <c r="FW20"/>
  <c r="FU21"/>
  <c r="FV21"/>
  <c r="FW21"/>
  <c r="FU22"/>
  <c r="FV22"/>
  <c r="FW22"/>
  <c r="FU23"/>
  <c r="FV23"/>
  <c r="FW23"/>
  <c r="FU24"/>
  <c r="FX24" s="1"/>
  <c r="FV24"/>
  <c r="FW24"/>
  <c r="FU25"/>
  <c r="FV25"/>
  <c r="FW25"/>
  <c r="FU26"/>
  <c r="FV26"/>
  <c r="FW26"/>
  <c r="FU27"/>
  <c r="FV27"/>
  <c r="FW27"/>
  <c r="FU28"/>
  <c r="FX28" s="1"/>
  <c r="FV28"/>
  <c r="FW28"/>
  <c r="FU29"/>
  <c r="FV29"/>
  <c r="FW29"/>
  <c r="FU30"/>
  <c r="FV30"/>
  <c r="FW30"/>
  <c r="FU31"/>
  <c r="FV31"/>
  <c r="FW31"/>
  <c r="FU32"/>
  <c r="FX32" s="1"/>
  <c r="FV32"/>
  <c r="FW32"/>
  <c r="FU33"/>
  <c r="FV33"/>
  <c r="FW33"/>
  <c r="FU34"/>
  <c r="FV34"/>
  <c r="FW34"/>
  <c r="FU35"/>
  <c r="FV35"/>
  <c r="FW35"/>
  <c r="FU36"/>
  <c r="FX36" s="1"/>
  <c r="FV36"/>
  <c r="FW36"/>
  <c r="FU37"/>
  <c r="FV37"/>
  <c r="FW37"/>
  <c r="FU38"/>
  <c r="FV38"/>
  <c r="FW38"/>
  <c r="FU39"/>
  <c r="FV39"/>
  <c r="FW39"/>
  <c r="FU40"/>
  <c r="FX40" s="1"/>
  <c r="FV40"/>
  <c r="FW40"/>
  <c r="FU41"/>
  <c r="FV41"/>
  <c r="FW41"/>
  <c r="FU42"/>
  <c r="FV42"/>
  <c r="FW42"/>
  <c r="FU43"/>
  <c r="FV43"/>
  <c r="FW43"/>
  <c r="FU44"/>
  <c r="FX44" s="1"/>
  <c r="FV44"/>
  <c r="FW44"/>
  <c r="FU45"/>
  <c r="FV45"/>
  <c r="FW45"/>
  <c r="FU46"/>
  <c r="FV46"/>
  <c r="FW46"/>
  <c r="FU47"/>
  <c r="FV47"/>
  <c r="FW47"/>
  <c r="FU48"/>
  <c r="FX48" s="1"/>
  <c r="FV48"/>
  <c r="FW48"/>
  <c r="FU49"/>
  <c r="FV49"/>
  <c r="FW49"/>
  <c r="FU50"/>
  <c r="FV50"/>
  <c r="FW50"/>
  <c r="FU51"/>
  <c r="FV51"/>
  <c r="FW51"/>
  <c r="FU52"/>
  <c r="FX52" s="1"/>
  <c r="FV52"/>
  <c r="FW52"/>
  <c r="FU53"/>
  <c r="FV53"/>
  <c r="FW53"/>
  <c r="FU54"/>
  <c r="FV54"/>
  <c r="FW54"/>
  <c r="FU55"/>
  <c r="FV55"/>
  <c r="FW55"/>
  <c r="FU56"/>
  <c r="FX56" s="1"/>
  <c r="FV56"/>
  <c r="FW56"/>
  <c r="FU57"/>
  <c r="FV57"/>
  <c r="FW57"/>
  <c r="FU58"/>
  <c r="FV58"/>
  <c r="FW58"/>
  <c r="FU59"/>
  <c r="FV59"/>
  <c r="FW59"/>
  <c r="FU60"/>
  <c r="FX60" s="1"/>
  <c r="FV60"/>
  <c r="FW60"/>
  <c r="FU61"/>
  <c r="FV61"/>
  <c r="FW61"/>
  <c r="FU62"/>
  <c r="FV62"/>
  <c r="FW62"/>
  <c r="FU63"/>
  <c r="FV63"/>
  <c r="FW63"/>
  <c r="FU64"/>
  <c r="FX64" s="1"/>
  <c r="FV64"/>
  <c r="FW64"/>
  <c r="FU65"/>
  <c r="FV65"/>
  <c r="FW65"/>
  <c r="FU66"/>
  <c r="FV66"/>
  <c r="FW66"/>
  <c r="FU67"/>
  <c r="FV67"/>
  <c r="FW67"/>
  <c r="FU68"/>
  <c r="FX68" s="1"/>
  <c r="FV68"/>
  <c r="FW68"/>
  <c r="FU69"/>
  <c r="FV69"/>
  <c r="FW69"/>
  <c r="FU70"/>
  <c r="FV70"/>
  <c r="FW70"/>
  <c r="FU71"/>
  <c r="FV71"/>
  <c r="FW71"/>
  <c r="FU72"/>
  <c r="FX72" s="1"/>
  <c r="FV72"/>
  <c r="FW72"/>
  <c r="FU73"/>
  <c r="FV73"/>
  <c r="FW73"/>
  <c r="FU74"/>
  <c r="FV74"/>
  <c r="FW74"/>
  <c r="FU75"/>
  <c r="FV75"/>
  <c r="FW75"/>
  <c r="FU76"/>
  <c r="FX76" s="1"/>
  <c r="FV76"/>
  <c r="FW76"/>
  <c r="FU77"/>
  <c r="FV77"/>
  <c r="FW77"/>
  <c r="FU78"/>
  <c r="FV78"/>
  <c r="FW78"/>
  <c r="FU79"/>
  <c r="FV79"/>
  <c r="FW79"/>
  <c r="FU80"/>
  <c r="FX80" s="1"/>
  <c r="FV80"/>
  <c r="FW80"/>
  <c r="FU81"/>
  <c r="FV81"/>
  <c r="FW81"/>
  <c r="FU82"/>
  <c r="FV82"/>
  <c r="FW82"/>
  <c r="FU83"/>
  <c r="FV83"/>
  <c r="FW83"/>
  <c r="FU84"/>
  <c r="FX84" s="1"/>
  <c r="FV84"/>
  <c r="FW84"/>
  <c r="FU85"/>
  <c r="FV85"/>
  <c r="FW85"/>
  <c r="FU86"/>
  <c r="FV86"/>
  <c r="FW86"/>
  <c r="FU87"/>
  <c r="FV87"/>
  <c r="FW87"/>
  <c r="FU88"/>
  <c r="FX88" s="1"/>
  <c r="FV88"/>
  <c r="FW88"/>
  <c r="FU89"/>
  <c r="FV89"/>
  <c r="FW89"/>
  <c r="FU90"/>
  <c r="FV90"/>
  <c r="FW90"/>
  <c r="FU91"/>
  <c r="FV91"/>
  <c r="FW91"/>
  <c r="FU92"/>
  <c r="FX92" s="1"/>
  <c r="FV92"/>
  <c r="FW92"/>
  <c r="FU93"/>
  <c r="FV93"/>
  <c r="FW93"/>
  <c r="FU94"/>
  <c r="FV94"/>
  <c r="FW94"/>
  <c r="FU95"/>
  <c r="FV95"/>
  <c r="FW95"/>
  <c r="FU96"/>
  <c r="FX96" s="1"/>
  <c r="FV96"/>
  <c r="FW96"/>
  <c r="FU97"/>
  <c r="FV97"/>
  <c r="FW97"/>
  <c r="FU98"/>
  <c r="FV98"/>
  <c r="FW98"/>
  <c r="FU99"/>
  <c r="FV99"/>
  <c r="FW99"/>
  <c r="FU100"/>
  <c r="FX100" s="1"/>
  <c r="FV100"/>
  <c r="FW100"/>
  <c r="FU101"/>
  <c r="FZ101" s="1"/>
  <c r="FV101"/>
  <c r="FW101"/>
  <c r="FU102"/>
  <c r="FZ102" s="1"/>
  <c r="FV102"/>
  <c r="FW102"/>
  <c r="FU103"/>
  <c r="FZ103" s="1"/>
  <c r="FV103"/>
  <c r="FW103"/>
  <c r="FU104"/>
  <c r="FZ104" s="1"/>
  <c r="FV104"/>
  <c r="FW104"/>
  <c r="FU105"/>
  <c r="FZ105" s="1"/>
  <c r="FV105"/>
  <c r="FW105"/>
  <c r="FU106"/>
  <c r="FZ106" s="1"/>
  <c r="FV106"/>
  <c r="FW106"/>
  <c r="FU107"/>
  <c r="FZ107" s="1"/>
  <c r="FV107"/>
  <c r="FW107"/>
  <c r="FU108"/>
  <c r="FZ108" s="1"/>
  <c r="FV108"/>
  <c r="FW108"/>
  <c r="FU109"/>
  <c r="FZ109" s="1"/>
  <c r="FV109"/>
  <c r="FW109"/>
  <c r="FU110"/>
  <c r="FZ110" s="1"/>
  <c r="FV110"/>
  <c r="FW110"/>
  <c r="FU111"/>
  <c r="FZ111" s="1"/>
  <c r="FV111"/>
  <c r="FW111"/>
  <c r="FU112"/>
  <c r="FZ112" s="1"/>
  <c r="FV112"/>
  <c r="FW112"/>
  <c r="FU113"/>
  <c r="FZ113" s="1"/>
  <c r="FV113"/>
  <c r="FW113"/>
  <c r="FU114"/>
  <c r="FZ114" s="1"/>
  <c r="FV114"/>
  <c r="FW114"/>
  <c r="FU115"/>
  <c r="FZ115" s="1"/>
  <c r="FV115"/>
  <c r="FW115"/>
  <c r="FU116"/>
  <c r="FZ116" s="1"/>
  <c r="FV116"/>
  <c r="FW116"/>
  <c r="FU117"/>
  <c r="FZ117" s="1"/>
  <c r="FV117"/>
  <c r="FW117"/>
  <c r="FU118"/>
  <c r="FZ118" s="1"/>
  <c r="FV118"/>
  <c r="FW118"/>
  <c r="FU119"/>
  <c r="FZ119" s="1"/>
  <c r="FV119"/>
  <c r="FW119"/>
  <c r="FU120"/>
  <c r="FZ120" s="1"/>
  <c r="FV120"/>
  <c r="FW120"/>
  <c r="FU121"/>
  <c r="FZ121" s="1"/>
  <c r="FV121"/>
  <c r="FW121"/>
  <c r="FU122"/>
  <c r="FZ122" s="1"/>
  <c r="FV122"/>
  <c r="FW122"/>
  <c r="FU123"/>
  <c r="FZ123" s="1"/>
  <c r="FV123"/>
  <c r="FW123"/>
  <c r="FU124"/>
  <c r="FZ124" s="1"/>
  <c r="FV124"/>
  <c r="FW124"/>
  <c r="FU125"/>
  <c r="FZ125" s="1"/>
  <c r="FV125"/>
  <c r="FW125"/>
  <c r="FU126"/>
  <c r="FZ126" s="1"/>
  <c r="FV126"/>
  <c r="FW126"/>
  <c r="FU127"/>
  <c r="FZ127" s="1"/>
  <c r="FV127"/>
  <c r="FW127"/>
  <c r="FU128"/>
  <c r="FZ128" s="1"/>
  <c r="FV128"/>
  <c r="FW128"/>
  <c r="FU129"/>
  <c r="FZ129" s="1"/>
  <c r="FV129"/>
  <c r="FW129"/>
  <c r="FU130"/>
  <c r="FZ130" s="1"/>
  <c r="FV130"/>
  <c r="FW130"/>
  <c r="FU131"/>
  <c r="FZ131" s="1"/>
  <c r="FV131"/>
  <c r="FW131"/>
  <c r="FU132"/>
  <c r="FZ132" s="1"/>
  <c r="FV132"/>
  <c r="FW132"/>
  <c r="FU133"/>
  <c r="FZ133" s="1"/>
  <c r="FV133"/>
  <c r="FW133"/>
  <c r="FU134"/>
  <c r="FZ134" s="1"/>
  <c r="FV134"/>
  <c r="FW134"/>
  <c r="FU135"/>
  <c r="FZ135" s="1"/>
  <c r="FV135"/>
  <c r="FW135"/>
  <c r="FU136"/>
  <c r="FV136"/>
  <c r="FW136"/>
  <c r="FU137"/>
  <c r="FV137"/>
  <c r="FW137"/>
  <c r="FU138"/>
  <c r="FV138"/>
  <c r="FW138"/>
  <c r="FU139"/>
  <c r="FV139"/>
  <c r="FW139"/>
  <c r="FU140"/>
  <c r="FV140"/>
  <c r="FW140"/>
  <c r="FU141"/>
  <c r="FZ141" s="1"/>
  <c r="FV141"/>
  <c r="FW141"/>
  <c r="FU142"/>
  <c r="FZ142" s="1"/>
  <c r="FV142"/>
  <c r="FW142"/>
  <c r="FU143"/>
  <c r="FZ143" s="1"/>
  <c r="FV143"/>
  <c r="FW143"/>
  <c r="FU144"/>
  <c r="FZ144" s="1"/>
  <c r="FV144"/>
  <c r="FW144"/>
  <c r="FU145"/>
  <c r="FZ145" s="1"/>
  <c r="FV145"/>
  <c r="FW145"/>
  <c r="FU146"/>
  <c r="FZ146" s="1"/>
  <c r="FV146"/>
  <c r="FW146"/>
  <c r="FU147"/>
  <c r="FV147"/>
  <c r="FW147"/>
  <c r="FZ147"/>
  <c r="FU148"/>
  <c r="FV148"/>
  <c r="FW148"/>
  <c r="FZ148"/>
  <c r="FU149"/>
  <c r="FV149"/>
  <c r="FW149"/>
  <c r="FZ149"/>
  <c r="FU150"/>
  <c r="FZ150" s="1"/>
  <c r="FV150"/>
  <c r="FW150"/>
  <c r="FU151"/>
  <c r="FX151" s="1"/>
  <c r="FV151"/>
  <c r="FW151"/>
  <c r="FU152"/>
  <c r="FV152"/>
  <c r="FW152"/>
  <c r="FU153"/>
  <c r="FV153"/>
  <c r="FW153"/>
  <c r="FU154"/>
  <c r="FZ154" s="1"/>
  <c r="FV154"/>
  <c r="FW154"/>
  <c r="FU155"/>
  <c r="FZ155" s="1"/>
  <c r="FV155"/>
  <c r="FW155"/>
  <c r="FU156"/>
  <c r="FZ156" s="1"/>
  <c r="FV156"/>
  <c r="FW156"/>
  <c r="FU157"/>
  <c r="FZ157" s="1"/>
  <c r="FV157"/>
  <c r="FW157"/>
  <c r="FU158"/>
  <c r="FZ158" s="1"/>
  <c r="FV158"/>
  <c r="FW158"/>
  <c r="FU159"/>
  <c r="FZ159" s="1"/>
  <c r="FV159"/>
  <c r="FW159"/>
  <c r="FU160"/>
  <c r="FZ160" s="1"/>
  <c r="FV160"/>
  <c r="FW160"/>
  <c r="FU161"/>
  <c r="FZ161" s="1"/>
  <c r="FV161"/>
  <c r="FW161"/>
  <c r="FU162"/>
  <c r="FZ162" s="1"/>
  <c r="FV162"/>
  <c r="FW162"/>
  <c r="FU163"/>
  <c r="FZ163" s="1"/>
  <c r="FV163"/>
  <c r="FW163"/>
  <c r="FU164"/>
  <c r="FZ164" s="1"/>
  <c r="FV164"/>
  <c r="FW164"/>
  <c r="FU165"/>
  <c r="FZ165" s="1"/>
  <c r="FV165"/>
  <c r="FW165"/>
  <c r="FU166"/>
  <c r="FZ166" s="1"/>
  <c r="FV166"/>
  <c r="FW166"/>
  <c r="FU167"/>
  <c r="FV167"/>
  <c r="FW167"/>
  <c r="FU168"/>
  <c r="FV168"/>
  <c r="FW168"/>
  <c r="FU169"/>
  <c r="FV169"/>
  <c r="FW169"/>
  <c r="FU170"/>
  <c r="FZ170" s="1"/>
  <c r="FV170"/>
  <c r="FW170"/>
  <c r="FU171"/>
  <c r="FZ171" s="1"/>
  <c r="FV171"/>
  <c r="FW171"/>
  <c r="FU172"/>
  <c r="FZ172" s="1"/>
  <c r="FV172"/>
  <c r="FW172"/>
  <c r="FU173"/>
  <c r="FZ173" s="1"/>
  <c r="FV173"/>
  <c r="FW173"/>
  <c r="FU174"/>
  <c r="FZ174" s="1"/>
  <c r="FV174"/>
  <c r="FW174"/>
  <c r="FU175"/>
  <c r="FZ175" s="1"/>
  <c r="FV175"/>
  <c r="FW175"/>
  <c r="FU176"/>
  <c r="FZ176" s="1"/>
  <c r="FV176"/>
  <c r="FW176"/>
  <c r="FU177"/>
  <c r="FZ177" s="1"/>
  <c r="FV177"/>
  <c r="FW177"/>
  <c r="FU178"/>
  <c r="FZ178" s="1"/>
  <c r="FV178"/>
  <c r="FW178"/>
  <c r="FU179"/>
  <c r="FZ179" s="1"/>
  <c r="FV179"/>
  <c r="FW179"/>
  <c r="FU180"/>
  <c r="FZ180" s="1"/>
  <c r="FV180"/>
  <c r="FW180"/>
  <c r="FU181"/>
  <c r="FZ181" s="1"/>
  <c r="FV181"/>
  <c r="FW181"/>
  <c r="FU182"/>
  <c r="FZ182" s="1"/>
  <c r="FV182"/>
  <c r="FW182"/>
  <c r="FU183"/>
  <c r="FZ183" s="1"/>
  <c r="FV183"/>
  <c r="FW183"/>
  <c r="FU184"/>
  <c r="FZ184" s="1"/>
  <c r="FV184"/>
  <c r="FW184"/>
  <c r="FU185"/>
  <c r="FZ185" s="1"/>
  <c r="FV185"/>
  <c r="FW185"/>
  <c r="FU186"/>
  <c r="FZ186" s="1"/>
  <c r="FV186"/>
  <c r="FW186"/>
  <c r="FU187"/>
  <c r="FZ187" s="1"/>
  <c r="FV187"/>
  <c r="FW187"/>
  <c r="FU188"/>
  <c r="FZ188" s="1"/>
  <c r="FV188"/>
  <c r="FW188"/>
  <c r="FU189"/>
  <c r="FV189"/>
  <c r="FW189"/>
  <c r="FZ189"/>
  <c r="FU190"/>
  <c r="FZ190" s="1"/>
  <c r="FV190"/>
  <c r="FW190"/>
  <c r="FU191"/>
  <c r="FZ191" s="1"/>
  <c r="FV191"/>
  <c r="FW191"/>
  <c r="FU192"/>
  <c r="FZ192" s="1"/>
  <c r="FV192"/>
  <c r="FW192"/>
  <c r="FU193"/>
  <c r="FZ193" s="1"/>
  <c r="FV193"/>
  <c r="FW193"/>
  <c r="FU194"/>
  <c r="FZ194" s="1"/>
  <c r="FV194"/>
  <c r="FW194"/>
  <c r="FU195"/>
  <c r="FZ195" s="1"/>
  <c r="FV195"/>
  <c r="FW195"/>
  <c r="FU196"/>
  <c r="FZ196" s="1"/>
  <c r="FV196"/>
  <c r="FW196"/>
  <c r="FU197"/>
  <c r="FZ197" s="1"/>
  <c r="FV197"/>
  <c r="FW197"/>
  <c r="FU198"/>
  <c r="FZ198" s="1"/>
  <c r="FV198"/>
  <c r="FW198"/>
  <c r="FU199"/>
  <c r="FZ199" s="1"/>
  <c r="FV199"/>
  <c r="FW199"/>
  <c r="FU200"/>
  <c r="FV200"/>
  <c r="FW200"/>
  <c r="FU201"/>
  <c r="FV201"/>
  <c r="FW201"/>
  <c r="FU202"/>
  <c r="FZ202" s="1"/>
  <c r="FV202"/>
  <c r="FW202"/>
  <c r="FU203"/>
  <c r="FV203"/>
  <c r="FW203"/>
  <c r="FU204"/>
  <c r="FZ204" s="1"/>
  <c r="FV204"/>
  <c r="FW204"/>
  <c r="FU205"/>
  <c r="FZ205" s="1"/>
  <c r="FV205"/>
  <c r="FW205"/>
  <c r="FU206"/>
  <c r="FZ206" s="1"/>
  <c r="FV206"/>
  <c r="FW206"/>
  <c r="FV7"/>
  <c r="FW7"/>
  <c r="FV6"/>
  <c r="FW6"/>
  <c r="FU6"/>
  <c r="FB7"/>
  <c r="FC7"/>
  <c r="FD7"/>
  <c r="FE7"/>
  <c r="FF7"/>
  <c r="FG7"/>
  <c r="FI7"/>
  <c r="FJ7"/>
  <c r="FM7"/>
  <c r="FN7"/>
  <c r="FB8"/>
  <c r="FC8"/>
  <c r="FD8"/>
  <c r="FE8"/>
  <c r="FF8"/>
  <c r="FG8"/>
  <c r="FI8"/>
  <c r="FJ8"/>
  <c r="FM8"/>
  <c r="FN8"/>
  <c r="FB9"/>
  <c r="FC9"/>
  <c r="FD9"/>
  <c r="FE9"/>
  <c r="FF9"/>
  <c r="FG9"/>
  <c r="FI9"/>
  <c r="FJ9"/>
  <c r="FM9"/>
  <c r="FN9"/>
  <c r="FB10"/>
  <c r="FC10"/>
  <c r="FD10"/>
  <c r="FE10"/>
  <c r="FF10"/>
  <c r="FG10"/>
  <c r="FI10"/>
  <c r="FJ10"/>
  <c r="FM10"/>
  <c r="FN10"/>
  <c r="FB11"/>
  <c r="FC11"/>
  <c r="FD11"/>
  <c r="FE11"/>
  <c r="FF11"/>
  <c r="FG11"/>
  <c r="FI11"/>
  <c r="FJ11"/>
  <c r="FM11"/>
  <c r="FN11"/>
  <c r="FB12"/>
  <c r="FC12"/>
  <c r="FD12"/>
  <c r="FE12"/>
  <c r="FF12"/>
  <c r="FG12"/>
  <c r="FI12"/>
  <c r="FJ12"/>
  <c r="FM12"/>
  <c r="FN12"/>
  <c r="FB13"/>
  <c r="FC13"/>
  <c r="FD13"/>
  <c r="FE13"/>
  <c r="FF13"/>
  <c r="FG13"/>
  <c r="FI13"/>
  <c r="FJ13"/>
  <c r="FM13"/>
  <c r="FN13"/>
  <c r="FB14"/>
  <c r="FC14"/>
  <c r="FD14"/>
  <c r="FE14"/>
  <c r="FF14"/>
  <c r="FG14"/>
  <c r="FI14"/>
  <c r="FJ14"/>
  <c r="FM14"/>
  <c r="FN14"/>
  <c r="FB15"/>
  <c r="FC15"/>
  <c r="FD15"/>
  <c r="FE15"/>
  <c r="FF15"/>
  <c r="FG15"/>
  <c r="FI15"/>
  <c r="FJ15"/>
  <c r="FM15"/>
  <c r="FN15"/>
  <c r="FB16"/>
  <c r="FC16"/>
  <c r="FD16"/>
  <c r="FE16"/>
  <c r="FF16"/>
  <c r="FG16"/>
  <c r="FI16"/>
  <c r="FJ16"/>
  <c r="FM16"/>
  <c r="FN16"/>
  <c r="FB17"/>
  <c r="FC17"/>
  <c r="FD17"/>
  <c r="FE17"/>
  <c r="FF17"/>
  <c r="FG17"/>
  <c r="FI17"/>
  <c r="FJ17"/>
  <c r="FM17"/>
  <c r="FN17"/>
  <c r="FB18"/>
  <c r="FC18"/>
  <c r="FD18"/>
  <c r="FE18"/>
  <c r="FF18"/>
  <c r="FG18"/>
  <c r="FI18"/>
  <c r="FJ18"/>
  <c r="FM18"/>
  <c r="FN18"/>
  <c r="FB19"/>
  <c r="FC19"/>
  <c r="FD19"/>
  <c r="FE19"/>
  <c r="FF19"/>
  <c r="FG19"/>
  <c r="FI19"/>
  <c r="FJ19"/>
  <c r="FM19"/>
  <c r="FN19"/>
  <c r="FB20"/>
  <c r="FC20"/>
  <c r="FD20"/>
  <c r="FE20"/>
  <c r="FF20"/>
  <c r="FG20"/>
  <c r="FI20"/>
  <c r="FJ20"/>
  <c r="FM20"/>
  <c r="FN20"/>
  <c r="FB21"/>
  <c r="FC21"/>
  <c r="FD21"/>
  <c r="FE21"/>
  <c r="FF21"/>
  <c r="FG21"/>
  <c r="FI21"/>
  <c r="FJ21"/>
  <c r="FM21"/>
  <c r="FN21"/>
  <c r="FB22"/>
  <c r="FC22"/>
  <c r="FD22"/>
  <c r="FE22"/>
  <c r="FF22"/>
  <c r="FG22"/>
  <c r="FI22"/>
  <c r="FJ22"/>
  <c r="FM22"/>
  <c r="FN22"/>
  <c r="FB23"/>
  <c r="FC23"/>
  <c r="FD23"/>
  <c r="FE23"/>
  <c r="FF23"/>
  <c r="FG23"/>
  <c r="FI23"/>
  <c r="FJ23"/>
  <c r="FM23"/>
  <c r="FN23"/>
  <c r="FB24"/>
  <c r="FC24"/>
  <c r="FD24"/>
  <c r="FE24"/>
  <c r="FF24"/>
  <c r="FG24"/>
  <c r="FI24"/>
  <c r="FJ24"/>
  <c r="FM24"/>
  <c r="FN24"/>
  <c r="FB25"/>
  <c r="FC25"/>
  <c r="FD25"/>
  <c r="FE25"/>
  <c r="FF25"/>
  <c r="FG25"/>
  <c r="FI25"/>
  <c r="FJ25"/>
  <c r="FM25"/>
  <c r="FN25"/>
  <c r="FO25" s="1"/>
  <c r="FB26"/>
  <c r="FC26"/>
  <c r="FD26"/>
  <c r="FE26"/>
  <c r="FF26"/>
  <c r="FG26"/>
  <c r="FI26"/>
  <c r="FJ26"/>
  <c r="FK26" s="1"/>
  <c r="FM26"/>
  <c r="FN26"/>
  <c r="FB27"/>
  <c r="FC27"/>
  <c r="FD27"/>
  <c r="FE27"/>
  <c r="FF27"/>
  <c r="FG27"/>
  <c r="FI27"/>
  <c r="FJ27"/>
  <c r="FM27"/>
  <c r="FN27"/>
  <c r="FB28"/>
  <c r="FC28"/>
  <c r="FD28"/>
  <c r="FE28"/>
  <c r="FF28"/>
  <c r="FG28"/>
  <c r="FI28"/>
  <c r="FJ28"/>
  <c r="FM28"/>
  <c r="FN28"/>
  <c r="FB29"/>
  <c r="FC29"/>
  <c r="FD29"/>
  <c r="FE29"/>
  <c r="FF29"/>
  <c r="FG29"/>
  <c r="FI29"/>
  <c r="FJ29"/>
  <c r="FM29"/>
  <c r="FN29"/>
  <c r="FB30"/>
  <c r="FC30"/>
  <c r="FD30"/>
  <c r="FE30"/>
  <c r="FF30"/>
  <c r="FG30"/>
  <c r="FI30"/>
  <c r="FJ30"/>
  <c r="FM30"/>
  <c r="FN30"/>
  <c r="FB31"/>
  <c r="FC31"/>
  <c r="FD31"/>
  <c r="FE31"/>
  <c r="FF31"/>
  <c r="FG31"/>
  <c r="FI31"/>
  <c r="FJ31"/>
  <c r="FM31"/>
  <c r="FN31"/>
  <c r="FB32"/>
  <c r="FC32"/>
  <c r="FD32"/>
  <c r="FE32"/>
  <c r="FF32"/>
  <c r="FG32"/>
  <c r="FI32"/>
  <c r="FJ32"/>
  <c r="FM32"/>
  <c r="FN32"/>
  <c r="FB33"/>
  <c r="FC33"/>
  <c r="FD33"/>
  <c r="FE33"/>
  <c r="FF33"/>
  <c r="FG33"/>
  <c r="FI33"/>
  <c r="FJ33"/>
  <c r="FM33"/>
  <c r="FN33"/>
  <c r="FB34"/>
  <c r="FC34"/>
  <c r="FD34"/>
  <c r="FE34"/>
  <c r="FF34"/>
  <c r="FG34"/>
  <c r="FI34"/>
  <c r="FJ34"/>
  <c r="FM34"/>
  <c r="FN34"/>
  <c r="FB35"/>
  <c r="FC35"/>
  <c r="FD35"/>
  <c r="FE35"/>
  <c r="FF35"/>
  <c r="FG35"/>
  <c r="FI35"/>
  <c r="FJ35"/>
  <c r="FM35"/>
  <c r="FN35"/>
  <c r="FB36"/>
  <c r="FC36"/>
  <c r="FD36"/>
  <c r="FE36"/>
  <c r="FF36"/>
  <c r="FG36"/>
  <c r="FI36"/>
  <c r="FJ36"/>
  <c r="FM36"/>
  <c r="FN36"/>
  <c r="FB37"/>
  <c r="FC37"/>
  <c r="FD37"/>
  <c r="FE37"/>
  <c r="FF37"/>
  <c r="FG37"/>
  <c r="FI37"/>
  <c r="FJ37"/>
  <c r="FM37"/>
  <c r="FN37"/>
  <c r="FB38"/>
  <c r="FC38"/>
  <c r="FD38"/>
  <c r="FE38"/>
  <c r="FF38"/>
  <c r="FG38"/>
  <c r="FI38"/>
  <c r="FJ38"/>
  <c r="FM38"/>
  <c r="FN38"/>
  <c r="FB39"/>
  <c r="FC39"/>
  <c r="FD39"/>
  <c r="FE39"/>
  <c r="FF39"/>
  <c r="FG39"/>
  <c r="FI39"/>
  <c r="FJ39"/>
  <c r="FM39"/>
  <c r="FN39"/>
  <c r="FB40"/>
  <c r="FC40"/>
  <c r="FD40"/>
  <c r="FE40"/>
  <c r="FF40"/>
  <c r="FG40"/>
  <c r="FI40"/>
  <c r="FJ40"/>
  <c r="FM40"/>
  <c r="FN40"/>
  <c r="FB41"/>
  <c r="FC41"/>
  <c r="FD41"/>
  <c r="FE41"/>
  <c r="FF41"/>
  <c r="FG41"/>
  <c r="FI41"/>
  <c r="FJ41"/>
  <c r="FM41"/>
  <c r="FN41"/>
  <c r="FB42"/>
  <c r="FC42"/>
  <c r="FD42"/>
  <c r="FE42"/>
  <c r="FF42"/>
  <c r="FG42"/>
  <c r="FI42"/>
  <c r="FJ42"/>
  <c r="FM42"/>
  <c r="FN42"/>
  <c r="FB43"/>
  <c r="FC43"/>
  <c r="FD43"/>
  <c r="FE43"/>
  <c r="FF43"/>
  <c r="FG43"/>
  <c r="FI43"/>
  <c r="FJ43"/>
  <c r="FM43"/>
  <c r="FN43"/>
  <c r="FB44"/>
  <c r="FC44"/>
  <c r="FD44"/>
  <c r="FE44"/>
  <c r="FF44"/>
  <c r="FG44"/>
  <c r="FI44"/>
  <c r="FJ44"/>
  <c r="FM44"/>
  <c r="FN44"/>
  <c r="FB45"/>
  <c r="FC45"/>
  <c r="FD45"/>
  <c r="FE45"/>
  <c r="FF45"/>
  <c r="FG45"/>
  <c r="FI45"/>
  <c r="FJ45"/>
  <c r="FM45"/>
  <c r="FN45"/>
  <c r="FB46"/>
  <c r="FC46"/>
  <c r="FD46"/>
  <c r="FE46"/>
  <c r="FF46"/>
  <c r="FG46"/>
  <c r="FI46"/>
  <c r="FJ46"/>
  <c r="FM46"/>
  <c r="FN46"/>
  <c r="FB47"/>
  <c r="FC47"/>
  <c r="FD47"/>
  <c r="FE47"/>
  <c r="FF47"/>
  <c r="FG47"/>
  <c r="FI47"/>
  <c r="FJ47"/>
  <c r="FM47"/>
  <c r="FN47"/>
  <c r="FB48"/>
  <c r="FC48"/>
  <c r="FD48"/>
  <c r="FE48"/>
  <c r="FF48"/>
  <c r="FG48"/>
  <c r="FI48"/>
  <c r="FJ48"/>
  <c r="FM48"/>
  <c r="FN48"/>
  <c r="FB49"/>
  <c r="FC49"/>
  <c r="FD49"/>
  <c r="FE49"/>
  <c r="FF49"/>
  <c r="FG49"/>
  <c r="FI49"/>
  <c r="FJ49"/>
  <c r="FM49"/>
  <c r="FN49"/>
  <c r="FB50"/>
  <c r="FC50"/>
  <c r="FD50"/>
  <c r="FE50"/>
  <c r="FF50"/>
  <c r="FG50"/>
  <c r="FI50"/>
  <c r="FJ50"/>
  <c r="FM50"/>
  <c r="FN50"/>
  <c r="FB51"/>
  <c r="FC51"/>
  <c r="FD51"/>
  <c r="FE51"/>
  <c r="FF51"/>
  <c r="FG51"/>
  <c r="FI51"/>
  <c r="FJ51"/>
  <c r="FM51"/>
  <c r="FN51"/>
  <c r="FB52"/>
  <c r="FC52"/>
  <c r="FD52"/>
  <c r="FE52"/>
  <c r="FF52"/>
  <c r="FG52"/>
  <c r="FI52"/>
  <c r="FJ52"/>
  <c r="FM52"/>
  <c r="FN52"/>
  <c r="FB53"/>
  <c r="FC53"/>
  <c r="FD53"/>
  <c r="FE53"/>
  <c r="FF53"/>
  <c r="FG53"/>
  <c r="FI53"/>
  <c r="FJ53"/>
  <c r="FM53"/>
  <c r="FN53"/>
  <c r="FB54"/>
  <c r="FC54"/>
  <c r="FD54"/>
  <c r="FE54"/>
  <c r="FF54"/>
  <c r="FG54"/>
  <c r="FI54"/>
  <c r="FJ54"/>
  <c r="FM54"/>
  <c r="FN54"/>
  <c r="FB55"/>
  <c r="FC55"/>
  <c r="FD55"/>
  <c r="FE55"/>
  <c r="FF55"/>
  <c r="FG55"/>
  <c r="FI55"/>
  <c r="FJ55"/>
  <c r="FM55"/>
  <c r="FN55"/>
  <c r="FB56"/>
  <c r="FC56"/>
  <c r="FD56"/>
  <c r="FE56"/>
  <c r="FF56"/>
  <c r="FG56"/>
  <c r="FI56"/>
  <c r="FJ56"/>
  <c r="FM56"/>
  <c r="FN56"/>
  <c r="FB57"/>
  <c r="FC57"/>
  <c r="FD57"/>
  <c r="FE57"/>
  <c r="FF57"/>
  <c r="FG57"/>
  <c r="FI57"/>
  <c r="FJ57"/>
  <c r="FM57"/>
  <c r="FN57"/>
  <c r="FB58"/>
  <c r="FC58"/>
  <c r="FD58"/>
  <c r="FE58"/>
  <c r="FF58"/>
  <c r="FG58"/>
  <c r="FI58"/>
  <c r="FJ58"/>
  <c r="FM58"/>
  <c r="FN58"/>
  <c r="FB59"/>
  <c r="FC59"/>
  <c r="FD59"/>
  <c r="FE59"/>
  <c r="FF59"/>
  <c r="FG59"/>
  <c r="FI59"/>
  <c r="FJ59"/>
  <c r="FM59"/>
  <c r="FN59"/>
  <c r="FB60"/>
  <c r="FC60"/>
  <c r="FD60"/>
  <c r="FE60"/>
  <c r="FF60"/>
  <c r="FG60"/>
  <c r="FI60"/>
  <c r="FJ60"/>
  <c r="FM60"/>
  <c r="FN60"/>
  <c r="FB61"/>
  <c r="FC61"/>
  <c r="FD61"/>
  <c r="FE61"/>
  <c r="FF61"/>
  <c r="FG61"/>
  <c r="FI61"/>
  <c r="FJ61"/>
  <c r="FM61"/>
  <c r="FN61"/>
  <c r="FB62"/>
  <c r="FC62"/>
  <c r="FD62"/>
  <c r="FE62"/>
  <c r="FF62"/>
  <c r="FG62"/>
  <c r="FI62"/>
  <c r="FJ62"/>
  <c r="FM62"/>
  <c r="FN62"/>
  <c r="FB63"/>
  <c r="FC63"/>
  <c r="FD63"/>
  <c r="FE63"/>
  <c r="FF63"/>
  <c r="FG63"/>
  <c r="FI63"/>
  <c r="FJ63"/>
  <c r="FM63"/>
  <c r="FN63"/>
  <c r="FB64"/>
  <c r="FC64"/>
  <c r="FD64"/>
  <c r="FE64"/>
  <c r="FF64"/>
  <c r="FG64"/>
  <c r="FI64"/>
  <c r="FJ64"/>
  <c r="FM64"/>
  <c r="FN64"/>
  <c r="FB65"/>
  <c r="FC65"/>
  <c r="FD65"/>
  <c r="FE65"/>
  <c r="FF65"/>
  <c r="FG65"/>
  <c r="FI65"/>
  <c r="FJ65"/>
  <c r="FM65"/>
  <c r="FN65"/>
  <c r="FB66"/>
  <c r="FC66"/>
  <c r="FD66"/>
  <c r="FE66"/>
  <c r="FF66"/>
  <c r="FG66"/>
  <c r="FI66"/>
  <c r="FJ66"/>
  <c r="FM66"/>
  <c r="FN66"/>
  <c r="FB67"/>
  <c r="FC67"/>
  <c r="FD67"/>
  <c r="FE67"/>
  <c r="FF67"/>
  <c r="FG67"/>
  <c r="FI67"/>
  <c r="FJ67"/>
  <c r="FM67"/>
  <c r="FN67"/>
  <c r="FB68"/>
  <c r="FC68"/>
  <c r="FD68"/>
  <c r="FE68"/>
  <c r="FF68"/>
  <c r="FG68"/>
  <c r="FI68"/>
  <c r="FJ68"/>
  <c r="FM68"/>
  <c r="FN68"/>
  <c r="FB69"/>
  <c r="FC69"/>
  <c r="FD69"/>
  <c r="FE69"/>
  <c r="FF69"/>
  <c r="FG69"/>
  <c r="FI69"/>
  <c r="FJ69"/>
  <c r="FM69"/>
  <c r="FN69"/>
  <c r="FB70"/>
  <c r="FC70"/>
  <c r="FD70"/>
  <c r="FE70"/>
  <c r="FF70"/>
  <c r="FG70"/>
  <c r="FI70"/>
  <c r="FJ70"/>
  <c r="FM70"/>
  <c r="FN70"/>
  <c r="FB71"/>
  <c r="FC71"/>
  <c r="FD71"/>
  <c r="FE71"/>
  <c r="FF71"/>
  <c r="FG71"/>
  <c r="FI71"/>
  <c r="FJ71"/>
  <c r="FM71"/>
  <c r="FN71"/>
  <c r="FB72"/>
  <c r="FC72"/>
  <c r="FD72"/>
  <c r="FE72"/>
  <c r="FF72"/>
  <c r="FG72"/>
  <c r="FI72"/>
  <c r="FJ72"/>
  <c r="FM72"/>
  <c r="FN72"/>
  <c r="FB73"/>
  <c r="FC73"/>
  <c r="FD73"/>
  <c r="FE73"/>
  <c r="FF73"/>
  <c r="FG73"/>
  <c r="FI73"/>
  <c r="FJ73"/>
  <c r="FM73"/>
  <c r="FN73"/>
  <c r="FB74"/>
  <c r="FC74"/>
  <c r="FD74"/>
  <c r="FE74"/>
  <c r="FF74"/>
  <c r="FG74"/>
  <c r="FI74"/>
  <c r="FJ74"/>
  <c r="FM74"/>
  <c r="FN74"/>
  <c r="FB75"/>
  <c r="FC75"/>
  <c r="FD75"/>
  <c r="FE75"/>
  <c r="FF75"/>
  <c r="FG75"/>
  <c r="FI75"/>
  <c r="FJ75"/>
  <c r="FM75"/>
  <c r="FN75"/>
  <c r="FB76"/>
  <c r="FC76"/>
  <c r="FD76"/>
  <c r="FE76"/>
  <c r="FF76"/>
  <c r="FG76"/>
  <c r="FI76"/>
  <c r="FJ76"/>
  <c r="FM76"/>
  <c r="FN76"/>
  <c r="FB77"/>
  <c r="FC77"/>
  <c r="FD77"/>
  <c r="FE77"/>
  <c r="FF77"/>
  <c r="FG77"/>
  <c r="FI77"/>
  <c r="FJ77"/>
  <c r="FM77"/>
  <c r="FN77"/>
  <c r="FB78"/>
  <c r="FC78"/>
  <c r="FD78"/>
  <c r="FE78"/>
  <c r="FF78"/>
  <c r="FG78"/>
  <c r="FI78"/>
  <c r="FJ78"/>
  <c r="FM78"/>
  <c r="FN78"/>
  <c r="FB79"/>
  <c r="FC79"/>
  <c r="FD79"/>
  <c r="FE79"/>
  <c r="FF79"/>
  <c r="FG79"/>
  <c r="FI79"/>
  <c r="FJ79"/>
  <c r="FM79"/>
  <c r="FN79"/>
  <c r="FB80"/>
  <c r="FC80"/>
  <c r="FD80"/>
  <c r="FE80"/>
  <c r="FF80"/>
  <c r="FG80"/>
  <c r="FI80"/>
  <c r="FJ80"/>
  <c r="FM80"/>
  <c r="FN80"/>
  <c r="FB81"/>
  <c r="FC81"/>
  <c r="FD81"/>
  <c r="FE81"/>
  <c r="FF81"/>
  <c r="FG81"/>
  <c r="FI81"/>
  <c r="FJ81"/>
  <c r="FM81"/>
  <c r="FN81"/>
  <c r="FB82"/>
  <c r="FC82"/>
  <c r="FD82"/>
  <c r="FE82"/>
  <c r="FF82"/>
  <c r="FG82"/>
  <c r="FI82"/>
  <c r="FJ82"/>
  <c r="FM82"/>
  <c r="FN82"/>
  <c r="FB83"/>
  <c r="FC83"/>
  <c r="FD83"/>
  <c r="FE83"/>
  <c r="FF83"/>
  <c r="FG83"/>
  <c r="FI83"/>
  <c r="FJ83"/>
  <c r="FM83"/>
  <c r="FN83"/>
  <c r="FB84"/>
  <c r="FC84"/>
  <c r="FD84"/>
  <c r="FE84"/>
  <c r="FF84"/>
  <c r="FG84"/>
  <c r="FI84"/>
  <c r="FJ84"/>
  <c r="FM84"/>
  <c r="FN84"/>
  <c r="FB85"/>
  <c r="FC85"/>
  <c r="FD85"/>
  <c r="FE85"/>
  <c r="FF85"/>
  <c r="FG85"/>
  <c r="FI85"/>
  <c r="FJ85"/>
  <c r="FM85"/>
  <c r="FN85"/>
  <c r="FB86"/>
  <c r="FC86"/>
  <c r="FD86"/>
  <c r="FE86"/>
  <c r="FF86"/>
  <c r="FG86"/>
  <c r="FI86"/>
  <c r="FJ86"/>
  <c r="FM86"/>
  <c r="FN86"/>
  <c r="FB87"/>
  <c r="FC87"/>
  <c r="FD87"/>
  <c r="FE87"/>
  <c r="FF87"/>
  <c r="FG87"/>
  <c r="FI87"/>
  <c r="FJ87"/>
  <c r="FM87"/>
  <c r="FN87"/>
  <c r="FO87" s="1"/>
  <c r="FB88"/>
  <c r="FC88"/>
  <c r="FD88"/>
  <c r="FE88"/>
  <c r="FF88"/>
  <c r="FG88"/>
  <c r="FI88"/>
  <c r="FJ88"/>
  <c r="FM88"/>
  <c r="FN88"/>
  <c r="FB89"/>
  <c r="FC89"/>
  <c r="FD89"/>
  <c r="FE89"/>
  <c r="FF89"/>
  <c r="FG89"/>
  <c r="FI89"/>
  <c r="FJ89"/>
  <c r="FM89"/>
  <c r="FN89"/>
  <c r="FB90"/>
  <c r="FC90"/>
  <c r="FD90"/>
  <c r="FE90"/>
  <c r="FF90"/>
  <c r="FG90"/>
  <c r="FI90"/>
  <c r="FJ90"/>
  <c r="FM90"/>
  <c r="FN90"/>
  <c r="FB91"/>
  <c r="FC91"/>
  <c r="FD91"/>
  <c r="FE91"/>
  <c r="FF91"/>
  <c r="FG91"/>
  <c r="FI91"/>
  <c r="FJ91"/>
  <c r="FM91"/>
  <c r="FN91"/>
  <c r="FB92"/>
  <c r="FC92"/>
  <c r="FD92"/>
  <c r="FE92"/>
  <c r="FF92"/>
  <c r="FG92"/>
  <c r="FI92"/>
  <c r="FJ92"/>
  <c r="FM92"/>
  <c r="FN92"/>
  <c r="FB93"/>
  <c r="FC93"/>
  <c r="FD93"/>
  <c r="FE93"/>
  <c r="FF93"/>
  <c r="FG93"/>
  <c r="FI93"/>
  <c r="FJ93"/>
  <c r="FM93"/>
  <c r="FN93"/>
  <c r="FB94"/>
  <c r="FC94"/>
  <c r="FD94"/>
  <c r="FE94"/>
  <c r="FF94"/>
  <c r="FG94"/>
  <c r="FI94"/>
  <c r="FJ94"/>
  <c r="FM94"/>
  <c r="FN94"/>
  <c r="FB95"/>
  <c r="FC95"/>
  <c r="FD95"/>
  <c r="FE95"/>
  <c r="FF95"/>
  <c r="FG95"/>
  <c r="FI95"/>
  <c r="FJ95"/>
  <c r="FM95"/>
  <c r="FN95"/>
  <c r="FB96"/>
  <c r="FC96"/>
  <c r="FD96"/>
  <c r="FE96"/>
  <c r="FF96"/>
  <c r="FG96"/>
  <c r="FI96"/>
  <c r="FJ96"/>
  <c r="FM96"/>
  <c r="FN96"/>
  <c r="FB97"/>
  <c r="FC97"/>
  <c r="FD97"/>
  <c r="FE97"/>
  <c r="FF97"/>
  <c r="FG97"/>
  <c r="FI97"/>
  <c r="FJ97"/>
  <c r="FM97"/>
  <c r="FN97"/>
  <c r="FB98"/>
  <c r="FC98"/>
  <c r="FD98"/>
  <c r="FE98"/>
  <c r="FF98"/>
  <c r="FG98"/>
  <c r="FI98"/>
  <c r="FJ98"/>
  <c r="FM98"/>
  <c r="FN98"/>
  <c r="FB99"/>
  <c r="FC99"/>
  <c r="FD99"/>
  <c r="FE99"/>
  <c r="FF99"/>
  <c r="FG99"/>
  <c r="FI99"/>
  <c r="FJ99"/>
  <c r="FM99"/>
  <c r="FN99"/>
  <c r="FB100"/>
  <c r="FC100"/>
  <c r="FD100"/>
  <c r="FE100"/>
  <c r="FF100"/>
  <c r="FG100"/>
  <c r="FI100"/>
  <c r="FJ100"/>
  <c r="FM100"/>
  <c r="FN100"/>
  <c r="FB101"/>
  <c r="FC101"/>
  <c r="FD101"/>
  <c r="FE101"/>
  <c r="FF101"/>
  <c r="FG101"/>
  <c r="FI101"/>
  <c r="FJ101"/>
  <c r="FM101"/>
  <c r="FN101"/>
  <c r="FB102"/>
  <c r="FC102"/>
  <c r="FD102"/>
  <c r="FE102"/>
  <c r="FF102"/>
  <c r="FG102"/>
  <c r="FI102"/>
  <c r="FJ102"/>
  <c r="FM102"/>
  <c r="FN102"/>
  <c r="FB103"/>
  <c r="FC103"/>
  <c r="FD103"/>
  <c r="FE103"/>
  <c r="FF103"/>
  <c r="FG103"/>
  <c r="FI103"/>
  <c r="FJ103"/>
  <c r="FM103"/>
  <c r="FN103"/>
  <c r="FO103" s="1"/>
  <c r="FB104"/>
  <c r="FC104"/>
  <c r="FD104"/>
  <c r="FE104"/>
  <c r="FF104"/>
  <c r="FG104"/>
  <c r="FI104"/>
  <c r="FJ104"/>
  <c r="FM104"/>
  <c r="FN104"/>
  <c r="FB105"/>
  <c r="FC105"/>
  <c r="FD105"/>
  <c r="FE105"/>
  <c r="FF105"/>
  <c r="FG105"/>
  <c r="FI105"/>
  <c r="FJ105"/>
  <c r="FM105"/>
  <c r="FN105"/>
  <c r="FO105" s="1"/>
  <c r="FB106"/>
  <c r="FC106"/>
  <c r="FD106"/>
  <c r="FE106"/>
  <c r="FF106"/>
  <c r="FG106"/>
  <c r="FI106"/>
  <c r="FJ106"/>
  <c r="FK106" s="1"/>
  <c r="FM106"/>
  <c r="FN106"/>
  <c r="FB107"/>
  <c r="FC107"/>
  <c r="FD107"/>
  <c r="FE107"/>
  <c r="FF107"/>
  <c r="FG107"/>
  <c r="FI107"/>
  <c r="FJ107"/>
  <c r="FM107"/>
  <c r="FN107"/>
  <c r="FB108"/>
  <c r="FC108"/>
  <c r="FD108"/>
  <c r="FE108"/>
  <c r="FF108"/>
  <c r="FG108"/>
  <c r="FI108"/>
  <c r="FJ108"/>
  <c r="FM108"/>
  <c r="FN108"/>
  <c r="FB109"/>
  <c r="FC109"/>
  <c r="FD109"/>
  <c r="FE109"/>
  <c r="FF109"/>
  <c r="FG109"/>
  <c r="FI109"/>
  <c r="FJ109"/>
  <c r="FM109"/>
  <c r="FN109"/>
  <c r="FB110"/>
  <c r="FC110"/>
  <c r="FD110"/>
  <c r="FE110"/>
  <c r="FF110"/>
  <c r="FG110"/>
  <c r="FI110"/>
  <c r="FJ110"/>
  <c r="FK110" s="1"/>
  <c r="FM110"/>
  <c r="FN110"/>
  <c r="FB111"/>
  <c r="FC111"/>
  <c r="FD111"/>
  <c r="FE111"/>
  <c r="FF111"/>
  <c r="FG111"/>
  <c r="FI111"/>
  <c r="FJ111"/>
  <c r="FM111"/>
  <c r="FN111"/>
  <c r="FB112"/>
  <c r="FC112"/>
  <c r="FD112"/>
  <c r="FE112"/>
  <c r="FF112"/>
  <c r="FG112"/>
  <c r="FI112"/>
  <c r="FJ112"/>
  <c r="FM112"/>
  <c r="FN112"/>
  <c r="FB113"/>
  <c r="FC113"/>
  <c r="FD113"/>
  <c r="FE113"/>
  <c r="FF113"/>
  <c r="FG113"/>
  <c r="FI113"/>
  <c r="FJ113"/>
  <c r="FM113"/>
  <c r="FN113"/>
  <c r="FB114"/>
  <c r="FC114"/>
  <c r="FD114"/>
  <c r="FE114"/>
  <c r="FF114"/>
  <c r="FG114"/>
  <c r="FI114"/>
  <c r="FJ114"/>
  <c r="FM114"/>
  <c r="FN114"/>
  <c r="FB115"/>
  <c r="FC115"/>
  <c r="FD115"/>
  <c r="FE115"/>
  <c r="FF115"/>
  <c r="FG115"/>
  <c r="FI115"/>
  <c r="FJ115"/>
  <c r="FM115"/>
  <c r="FN115"/>
  <c r="FB116"/>
  <c r="FC116"/>
  <c r="FD116"/>
  <c r="FE116"/>
  <c r="FF116"/>
  <c r="FG116"/>
  <c r="FI116"/>
  <c r="FJ116"/>
  <c r="FM116"/>
  <c r="FN116"/>
  <c r="FB117"/>
  <c r="FC117"/>
  <c r="FD117"/>
  <c r="FE117"/>
  <c r="FF117"/>
  <c r="FG117"/>
  <c r="FI117"/>
  <c r="FJ117"/>
  <c r="FM117"/>
  <c r="FN117"/>
  <c r="FB118"/>
  <c r="FC118"/>
  <c r="FD118"/>
  <c r="FE118"/>
  <c r="FF118"/>
  <c r="FG118"/>
  <c r="FI118"/>
  <c r="FJ118"/>
  <c r="FM118"/>
  <c r="FN118"/>
  <c r="FB119"/>
  <c r="FC119"/>
  <c r="FD119"/>
  <c r="FE119"/>
  <c r="FF119"/>
  <c r="FG119"/>
  <c r="FI119"/>
  <c r="FJ119"/>
  <c r="FM119"/>
  <c r="FN119"/>
  <c r="FB120"/>
  <c r="FC120"/>
  <c r="FD120"/>
  <c r="FE120"/>
  <c r="FF120"/>
  <c r="FG120"/>
  <c r="FI120"/>
  <c r="FJ120"/>
  <c r="FM120"/>
  <c r="FN120"/>
  <c r="FB121"/>
  <c r="FC121"/>
  <c r="FD121"/>
  <c r="FE121"/>
  <c r="FF121"/>
  <c r="FG121"/>
  <c r="FI121"/>
  <c r="FJ121"/>
  <c r="FM121"/>
  <c r="FN121"/>
  <c r="FB122"/>
  <c r="FC122"/>
  <c r="FD122"/>
  <c r="FE122"/>
  <c r="FF122"/>
  <c r="FG122"/>
  <c r="FI122"/>
  <c r="FJ122"/>
  <c r="FM122"/>
  <c r="FN122"/>
  <c r="FB123"/>
  <c r="FC123"/>
  <c r="FD123"/>
  <c r="FE123"/>
  <c r="FF123"/>
  <c r="FG123"/>
  <c r="FI123"/>
  <c r="FJ123"/>
  <c r="FM123"/>
  <c r="FN123"/>
  <c r="FB124"/>
  <c r="FC124"/>
  <c r="FD124"/>
  <c r="FE124"/>
  <c r="FF124"/>
  <c r="FG124"/>
  <c r="FI124"/>
  <c r="FJ124"/>
  <c r="FM124"/>
  <c r="FN124"/>
  <c r="FB125"/>
  <c r="FC125"/>
  <c r="FD125"/>
  <c r="FE125"/>
  <c r="FF125"/>
  <c r="FG125"/>
  <c r="FI125"/>
  <c r="FJ125"/>
  <c r="FM125"/>
  <c r="FN125"/>
  <c r="FB126"/>
  <c r="FC126"/>
  <c r="FD126"/>
  <c r="FE126"/>
  <c r="FF126"/>
  <c r="FG126"/>
  <c r="FI126"/>
  <c r="FJ126"/>
  <c r="FM126"/>
  <c r="FN126"/>
  <c r="FB127"/>
  <c r="FC127"/>
  <c r="FD127"/>
  <c r="FE127"/>
  <c r="FF127"/>
  <c r="FG127"/>
  <c r="FI127"/>
  <c r="FJ127"/>
  <c r="FM127"/>
  <c r="FN127"/>
  <c r="FB128"/>
  <c r="FC128"/>
  <c r="FD128"/>
  <c r="FE128"/>
  <c r="FF128"/>
  <c r="FG128"/>
  <c r="FI128"/>
  <c r="FJ128"/>
  <c r="FM128"/>
  <c r="FN128"/>
  <c r="FB129"/>
  <c r="FC129"/>
  <c r="FD129"/>
  <c r="FE129"/>
  <c r="FF129"/>
  <c r="FG129"/>
  <c r="FI129"/>
  <c r="FJ129"/>
  <c r="FM129"/>
  <c r="FN129"/>
  <c r="FB130"/>
  <c r="FC130"/>
  <c r="FD130"/>
  <c r="FE130"/>
  <c r="FF130"/>
  <c r="FG130"/>
  <c r="FI130"/>
  <c r="FJ130"/>
  <c r="FM130"/>
  <c r="FN130"/>
  <c r="FB131"/>
  <c r="FC131"/>
  <c r="FD131"/>
  <c r="FE131"/>
  <c r="FF131"/>
  <c r="FG131"/>
  <c r="FI131"/>
  <c r="FJ131"/>
  <c r="FM131"/>
  <c r="FN131"/>
  <c r="FB132"/>
  <c r="FC132"/>
  <c r="FD132"/>
  <c r="FE132"/>
  <c r="FF132"/>
  <c r="FG132"/>
  <c r="FI132"/>
  <c r="FJ132"/>
  <c r="FM132"/>
  <c r="FN132"/>
  <c r="FB133"/>
  <c r="FC133"/>
  <c r="FD133"/>
  <c r="FE133"/>
  <c r="FF133"/>
  <c r="FG133"/>
  <c r="FI133"/>
  <c r="FJ133"/>
  <c r="FM133"/>
  <c r="FN133"/>
  <c r="FB134"/>
  <c r="FC134"/>
  <c r="FD134"/>
  <c r="FE134"/>
  <c r="FF134"/>
  <c r="FG134"/>
  <c r="FI134"/>
  <c r="FJ134"/>
  <c r="FM134"/>
  <c r="FN134"/>
  <c r="FB135"/>
  <c r="FC135"/>
  <c r="FD135"/>
  <c r="FE135"/>
  <c r="FF135"/>
  <c r="FG135"/>
  <c r="FI135"/>
  <c r="FJ135"/>
  <c r="FM135"/>
  <c r="FN135"/>
  <c r="FB136"/>
  <c r="FC136"/>
  <c r="FD136"/>
  <c r="FE136"/>
  <c r="FF136"/>
  <c r="FG136"/>
  <c r="FI136"/>
  <c r="FJ136"/>
  <c r="FM136"/>
  <c r="FN136"/>
  <c r="FB137"/>
  <c r="FC137"/>
  <c r="FD137"/>
  <c r="FE137"/>
  <c r="FF137"/>
  <c r="FG137"/>
  <c r="FI137"/>
  <c r="FJ137"/>
  <c r="FM137"/>
  <c r="FN137"/>
  <c r="FB138"/>
  <c r="FC138"/>
  <c r="FD138"/>
  <c r="FE138"/>
  <c r="FF138"/>
  <c r="FG138"/>
  <c r="FI138"/>
  <c r="FJ138"/>
  <c r="FM138"/>
  <c r="FN138"/>
  <c r="FB139"/>
  <c r="FC139"/>
  <c r="FD139"/>
  <c r="FE139"/>
  <c r="FF139"/>
  <c r="FG139"/>
  <c r="FI139"/>
  <c r="FJ139"/>
  <c r="FM139"/>
  <c r="FN139"/>
  <c r="FB140"/>
  <c r="FC140"/>
  <c r="FD140"/>
  <c r="FE140"/>
  <c r="FF140"/>
  <c r="FG140"/>
  <c r="FI140"/>
  <c r="FJ140"/>
  <c r="FM140"/>
  <c r="FN140"/>
  <c r="FB141"/>
  <c r="FC141"/>
  <c r="FD141"/>
  <c r="FE141"/>
  <c r="FF141"/>
  <c r="FG141"/>
  <c r="FI141"/>
  <c r="FJ141"/>
  <c r="FM141"/>
  <c r="FN141"/>
  <c r="FB142"/>
  <c r="FC142"/>
  <c r="FD142"/>
  <c r="FE142"/>
  <c r="FF142"/>
  <c r="FG142"/>
  <c r="FI142"/>
  <c r="FJ142"/>
  <c r="FM142"/>
  <c r="FN142"/>
  <c r="FB143"/>
  <c r="FC143"/>
  <c r="FD143"/>
  <c r="FE143"/>
  <c r="FF143"/>
  <c r="FG143"/>
  <c r="FI143"/>
  <c r="FJ143"/>
  <c r="FM143"/>
  <c r="FN143"/>
  <c r="FB144"/>
  <c r="FC144"/>
  <c r="FD144"/>
  <c r="FE144"/>
  <c r="FF144"/>
  <c r="FG144"/>
  <c r="FI144"/>
  <c r="FJ144"/>
  <c r="FM144"/>
  <c r="FN144"/>
  <c r="FB145"/>
  <c r="FC145"/>
  <c r="FD145"/>
  <c r="FE145"/>
  <c r="FF145"/>
  <c r="FG145"/>
  <c r="FI145"/>
  <c r="FJ145"/>
  <c r="FM145"/>
  <c r="FN145"/>
  <c r="FB146"/>
  <c r="FC146"/>
  <c r="FD146"/>
  <c r="FE146"/>
  <c r="FF146"/>
  <c r="FG146"/>
  <c r="FI146"/>
  <c r="FJ146"/>
  <c r="FM146"/>
  <c r="FN146"/>
  <c r="FB147"/>
  <c r="FC147"/>
  <c r="FD147"/>
  <c r="FE147"/>
  <c r="FF147"/>
  <c r="FG147"/>
  <c r="FI147"/>
  <c r="FJ147"/>
  <c r="FM147"/>
  <c r="FN147"/>
  <c r="FO147" s="1"/>
  <c r="FB148"/>
  <c r="FC148"/>
  <c r="FD148"/>
  <c r="FE148"/>
  <c r="FF148"/>
  <c r="FG148"/>
  <c r="FI148"/>
  <c r="FJ148"/>
  <c r="FM148"/>
  <c r="FN148"/>
  <c r="FB149"/>
  <c r="FC149"/>
  <c r="FD149"/>
  <c r="FE149"/>
  <c r="FF149"/>
  <c r="FG149"/>
  <c r="FI149"/>
  <c r="FJ149"/>
  <c r="FM149"/>
  <c r="FN149"/>
  <c r="FB150"/>
  <c r="FC150"/>
  <c r="FD150"/>
  <c r="FE150"/>
  <c r="FF150"/>
  <c r="FG150"/>
  <c r="FI150"/>
  <c r="FJ150"/>
  <c r="FM150"/>
  <c r="FN150"/>
  <c r="FB151"/>
  <c r="FC151"/>
  <c r="FD151"/>
  <c r="FE151"/>
  <c r="FF151"/>
  <c r="FG151"/>
  <c r="FI151"/>
  <c r="FJ151"/>
  <c r="FM151"/>
  <c r="FN151"/>
  <c r="FB152"/>
  <c r="FC152"/>
  <c r="FD152"/>
  <c r="FE152"/>
  <c r="FF152"/>
  <c r="FG152"/>
  <c r="FI152"/>
  <c r="FJ152"/>
  <c r="FM152"/>
  <c r="FN152"/>
  <c r="FB153"/>
  <c r="FC153"/>
  <c r="FD153"/>
  <c r="FE153"/>
  <c r="FF153"/>
  <c r="FG153"/>
  <c r="FI153"/>
  <c r="FJ153"/>
  <c r="FM153"/>
  <c r="FN153"/>
  <c r="FB154"/>
  <c r="FC154"/>
  <c r="FD154"/>
  <c r="FE154"/>
  <c r="FF154"/>
  <c r="FG154"/>
  <c r="FI154"/>
  <c r="FJ154"/>
  <c r="FM154"/>
  <c r="FN154"/>
  <c r="FB155"/>
  <c r="FC155"/>
  <c r="FD155"/>
  <c r="FE155"/>
  <c r="FF155"/>
  <c r="FG155"/>
  <c r="FI155"/>
  <c r="FJ155"/>
  <c r="FM155"/>
  <c r="FN155"/>
  <c r="FB156"/>
  <c r="FC156"/>
  <c r="FD156"/>
  <c r="FE156"/>
  <c r="FF156"/>
  <c r="FG156"/>
  <c r="FI156"/>
  <c r="FJ156"/>
  <c r="FM156"/>
  <c r="FN156"/>
  <c r="FB157"/>
  <c r="FC157"/>
  <c r="FD157"/>
  <c r="FE157"/>
  <c r="FF157"/>
  <c r="FG157"/>
  <c r="FI157"/>
  <c r="FJ157"/>
  <c r="FM157"/>
  <c r="FN157"/>
  <c r="FB158"/>
  <c r="FC158"/>
  <c r="FD158"/>
  <c r="FE158"/>
  <c r="FF158"/>
  <c r="FG158"/>
  <c r="FI158"/>
  <c r="FJ158"/>
  <c r="FK158" s="1"/>
  <c r="FM158"/>
  <c r="FN158"/>
  <c r="FB159"/>
  <c r="FC159"/>
  <c r="FD159"/>
  <c r="FE159"/>
  <c r="FF159"/>
  <c r="FG159"/>
  <c r="FI159"/>
  <c r="FJ159"/>
  <c r="FM159"/>
  <c r="FN159"/>
  <c r="FB160"/>
  <c r="FC160"/>
  <c r="FD160"/>
  <c r="FE160"/>
  <c r="FF160"/>
  <c r="FG160"/>
  <c r="FI160"/>
  <c r="FJ160"/>
  <c r="FM160"/>
  <c r="FN160"/>
  <c r="FB161"/>
  <c r="FC161"/>
  <c r="FD161"/>
  <c r="FE161"/>
  <c r="FF161"/>
  <c r="FG161"/>
  <c r="FI161"/>
  <c r="FJ161"/>
  <c r="FM161"/>
  <c r="FN161"/>
  <c r="FB162"/>
  <c r="FC162"/>
  <c r="FD162"/>
  <c r="FE162"/>
  <c r="FF162"/>
  <c r="FG162"/>
  <c r="FI162"/>
  <c r="FJ162"/>
  <c r="FM162"/>
  <c r="FN162"/>
  <c r="FB163"/>
  <c r="FC163"/>
  <c r="FD163"/>
  <c r="FE163"/>
  <c r="FF163"/>
  <c r="FG163"/>
  <c r="FI163"/>
  <c r="FJ163"/>
  <c r="FM163"/>
  <c r="FN163"/>
  <c r="FB164"/>
  <c r="FC164"/>
  <c r="FD164"/>
  <c r="FE164"/>
  <c r="FF164"/>
  <c r="FG164"/>
  <c r="FI164"/>
  <c r="FJ164"/>
  <c r="FM164"/>
  <c r="FN164"/>
  <c r="FB165"/>
  <c r="FC165"/>
  <c r="FD165"/>
  <c r="FE165"/>
  <c r="FF165"/>
  <c r="FG165"/>
  <c r="FI165"/>
  <c r="FJ165"/>
  <c r="FM165"/>
  <c r="FN165"/>
  <c r="FB166"/>
  <c r="FC166"/>
  <c r="FD166"/>
  <c r="FE166"/>
  <c r="FF166"/>
  <c r="FG166"/>
  <c r="FI166"/>
  <c r="FJ166"/>
  <c r="FM166"/>
  <c r="FN166"/>
  <c r="FB167"/>
  <c r="FC167"/>
  <c r="FD167"/>
  <c r="FE167"/>
  <c r="FF167"/>
  <c r="FG167"/>
  <c r="FI167"/>
  <c r="FJ167"/>
  <c r="FM167"/>
  <c r="FN167"/>
  <c r="FB168"/>
  <c r="FC168"/>
  <c r="FD168"/>
  <c r="FE168"/>
  <c r="FF168"/>
  <c r="FG168"/>
  <c r="FI168"/>
  <c r="FJ168"/>
  <c r="FM168"/>
  <c r="FN168"/>
  <c r="FB169"/>
  <c r="FC169"/>
  <c r="FD169"/>
  <c r="FE169"/>
  <c r="FF169"/>
  <c r="FG169"/>
  <c r="FI169"/>
  <c r="FJ169"/>
  <c r="FM169"/>
  <c r="FN169"/>
  <c r="FB170"/>
  <c r="FC170"/>
  <c r="FD170"/>
  <c r="FE170"/>
  <c r="FF170"/>
  <c r="FG170"/>
  <c r="FI170"/>
  <c r="FJ170"/>
  <c r="FM170"/>
  <c r="FN170"/>
  <c r="FB171"/>
  <c r="FC171"/>
  <c r="FD171"/>
  <c r="FE171"/>
  <c r="FF171"/>
  <c r="FG171"/>
  <c r="FI171"/>
  <c r="FJ171"/>
  <c r="FM171"/>
  <c r="FN171"/>
  <c r="FB172"/>
  <c r="FC172"/>
  <c r="FD172"/>
  <c r="FE172"/>
  <c r="FF172"/>
  <c r="FG172"/>
  <c r="FI172"/>
  <c r="FJ172"/>
  <c r="FM172"/>
  <c r="FN172"/>
  <c r="FB173"/>
  <c r="FC173"/>
  <c r="FD173"/>
  <c r="FE173"/>
  <c r="FF173"/>
  <c r="FG173"/>
  <c r="FI173"/>
  <c r="FJ173"/>
  <c r="FM173"/>
  <c r="FN173"/>
  <c r="FB174"/>
  <c r="FC174"/>
  <c r="FD174"/>
  <c r="FE174"/>
  <c r="FF174"/>
  <c r="FG174"/>
  <c r="FI174"/>
  <c r="FJ174"/>
  <c r="FM174"/>
  <c r="FN174"/>
  <c r="FB175"/>
  <c r="FC175"/>
  <c r="FD175"/>
  <c r="FE175"/>
  <c r="FF175"/>
  <c r="FG175"/>
  <c r="FI175"/>
  <c r="FJ175"/>
  <c r="FM175"/>
  <c r="FN175"/>
  <c r="FB176"/>
  <c r="FC176"/>
  <c r="FD176"/>
  <c r="FE176"/>
  <c r="FF176"/>
  <c r="FG176"/>
  <c r="FI176"/>
  <c r="FJ176"/>
  <c r="FM176"/>
  <c r="FN176"/>
  <c r="FB177"/>
  <c r="FC177"/>
  <c r="FD177"/>
  <c r="FE177"/>
  <c r="FF177"/>
  <c r="FG177"/>
  <c r="FI177"/>
  <c r="FJ177"/>
  <c r="FM177"/>
  <c r="FN177"/>
  <c r="FB178"/>
  <c r="FC178"/>
  <c r="FD178"/>
  <c r="FE178"/>
  <c r="FF178"/>
  <c r="FG178"/>
  <c r="FI178"/>
  <c r="FJ178"/>
  <c r="FM178"/>
  <c r="FN178"/>
  <c r="FB179"/>
  <c r="FC179"/>
  <c r="FD179"/>
  <c r="FE179"/>
  <c r="FF179"/>
  <c r="FG179"/>
  <c r="FI179"/>
  <c r="FJ179"/>
  <c r="FM179"/>
  <c r="FN179"/>
  <c r="FB180"/>
  <c r="FC180"/>
  <c r="FD180"/>
  <c r="FE180"/>
  <c r="FF180"/>
  <c r="FG180"/>
  <c r="FI180"/>
  <c r="FJ180"/>
  <c r="FM180"/>
  <c r="FN180"/>
  <c r="FB181"/>
  <c r="FC181"/>
  <c r="FD181"/>
  <c r="FE181"/>
  <c r="FF181"/>
  <c r="FG181"/>
  <c r="FI181"/>
  <c r="FJ181"/>
  <c r="FM181"/>
  <c r="FN181"/>
  <c r="FB182"/>
  <c r="FC182"/>
  <c r="FD182"/>
  <c r="FE182"/>
  <c r="FF182"/>
  <c r="FG182"/>
  <c r="FI182"/>
  <c r="FJ182"/>
  <c r="FM182"/>
  <c r="FN182"/>
  <c r="FO182" s="1"/>
  <c r="FB183"/>
  <c r="FC183"/>
  <c r="FD183"/>
  <c r="FE183"/>
  <c r="FF183"/>
  <c r="FG183"/>
  <c r="FI183"/>
  <c r="FJ183"/>
  <c r="FM183"/>
  <c r="FN183"/>
  <c r="FB184"/>
  <c r="FC184"/>
  <c r="FD184"/>
  <c r="FE184"/>
  <c r="FF184"/>
  <c r="FG184"/>
  <c r="FI184"/>
  <c r="FJ184"/>
  <c r="FM184"/>
  <c r="FN184"/>
  <c r="FB185"/>
  <c r="FC185"/>
  <c r="FD185"/>
  <c r="FE185"/>
  <c r="FF185"/>
  <c r="FG185"/>
  <c r="FI185"/>
  <c r="FJ185"/>
  <c r="FM185"/>
  <c r="FN185"/>
  <c r="FB186"/>
  <c r="FC186"/>
  <c r="FD186"/>
  <c r="FE186"/>
  <c r="FF186"/>
  <c r="FG186"/>
  <c r="FI186"/>
  <c r="FJ186"/>
  <c r="FM186"/>
  <c r="FN186"/>
  <c r="FB187"/>
  <c r="FC187"/>
  <c r="FD187"/>
  <c r="FE187"/>
  <c r="FF187"/>
  <c r="FG187"/>
  <c r="FI187"/>
  <c r="FJ187"/>
  <c r="FM187"/>
  <c r="FN187"/>
  <c r="FB188"/>
  <c r="FC188"/>
  <c r="FD188"/>
  <c r="FE188"/>
  <c r="FF188"/>
  <c r="FG188"/>
  <c r="FI188"/>
  <c r="FJ188"/>
  <c r="FM188"/>
  <c r="FN188"/>
  <c r="FB189"/>
  <c r="FC189"/>
  <c r="FD189"/>
  <c r="FE189"/>
  <c r="FF189"/>
  <c r="FG189"/>
  <c r="FI189"/>
  <c r="FJ189"/>
  <c r="FM189"/>
  <c r="FN189"/>
  <c r="FB190"/>
  <c r="FC190"/>
  <c r="FD190"/>
  <c r="FE190"/>
  <c r="FF190"/>
  <c r="FG190"/>
  <c r="FI190"/>
  <c r="FJ190"/>
  <c r="FM190"/>
  <c r="FN190"/>
  <c r="FB191"/>
  <c r="FC191"/>
  <c r="FD191"/>
  <c r="FE191"/>
  <c r="FF191"/>
  <c r="FG191"/>
  <c r="FI191"/>
  <c r="FJ191"/>
  <c r="FM191"/>
  <c r="FN191"/>
  <c r="FB192"/>
  <c r="FC192"/>
  <c r="FD192"/>
  <c r="FE192"/>
  <c r="FF192"/>
  <c r="FG192"/>
  <c r="FI192"/>
  <c r="FJ192"/>
  <c r="FM192"/>
  <c r="FN192"/>
  <c r="FB193"/>
  <c r="FC193"/>
  <c r="FD193"/>
  <c r="FE193"/>
  <c r="FF193"/>
  <c r="FG193"/>
  <c r="FI193"/>
  <c r="FJ193"/>
  <c r="FM193"/>
  <c r="FN193"/>
  <c r="FB194"/>
  <c r="FC194"/>
  <c r="FD194"/>
  <c r="FE194"/>
  <c r="FF194"/>
  <c r="FG194"/>
  <c r="FI194"/>
  <c r="FJ194"/>
  <c r="FM194"/>
  <c r="FN194"/>
  <c r="FB195"/>
  <c r="FC195"/>
  <c r="FD195"/>
  <c r="FE195"/>
  <c r="FF195"/>
  <c r="FG195"/>
  <c r="FI195"/>
  <c r="FJ195"/>
  <c r="FM195"/>
  <c r="FN195"/>
  <c r="FB196"/>
  <c r="FC196"/>
  <c r="FD196"/>
  <c r="FE196"/>
  <c r="FF196"/>
  <c r="FG196"/>
  <c r="FI196"/>
  <c r="FJ196"/>
  <c r="FM196"/>
  <c r="FN196"/>
  <c r="FB197"/>
  <c r="FC197"/>
  <c r="FD197"/>
  <c r="FE197"/>
  <c r="FF197"/>
  <c r="FG197"/>
  <c r="FI197"/>
  <c r="FJ197"/>
  <c r="FM197"/>
  <c r="FN197"/>
  <c r="FB198"/>
  <c r="FC198"/>
  <c r="FD198"/>
  <c r="FE198"/>
  <c r="FF198"/>
  <c r="FG198"/>
  <c r="FI198"/>
  <c r="FJ198"/>
  <c r="FM198"/>
  <c r="FN198"/>
  <c r="FB199"/>
  <c r="FC199"/>
  <c r="FD199"/>
  <c r="FE199"/>
  <c r="FF199"/>
  <c r="FG199"/>
  <c r="FI199"/>
  <c r="FJ199"/>
  <c r="FM199"/>
  <c r="FN199"/>
  <c r="FB200"/>
  <c r="FC200"/>
  <c r="FD200"/>
  <c r="FE200"/>
  <c r="FF200"/>
  <c r="FG200"/>
  <c r="FI200"/>
  <c r="FJ200"/>
  <c r="FM200"/>
  <c r="FN200"/>
  <c r="FB201"/>
  <c r="FC201"/>
  <c r="FD201"/>
  <c r="FE201"/>
  <c r="FF201"/>
  <c r="FG201"/>
  <c r="FI201"/>
  <c r="FJ201"/>
  <c r="FM201"/>
  <c r="FN201"/>
  <c r="FB202"/>
  <c r="FC202"/>
  <c r="FD202"/>
  <c r="FE202"/>
  <c r="FF202"/>
  <c r="FG202"/>
  <c r="FI202"/>
  <c r="FJ202"/>
  <c r="FM202"/>
  <c r="FN202"/>
  <c r="FB203"/>
  <c r="FC203"/>
  <c r="FD203"/>
  <c r="FE203"/>
  <c r="FF203"/>
  <c r="FG203"/>
  <c r="FI203"/>
  <c r="FJ203"/>
  <c r="FM203"/>
  <c r="FN203"/>
  <c r="FB204"/>
  <c r="FC204"/>
  <c r="FD204"/>
  <c r="FE204"/>
  <c r="FF204"/>
  <c r="FG204"/>
  <c r="FI204"/>
  <c r="FJ204"/>
  <c r="FM204"/>
  <c r="FN204"/>
  <c r="FB205"/>
  <c r="FC205"/>
  <c r="FD205"/>
  <c r="FE205"/>
  <c r="FF205"/>
  <c r="FG205"/>
  <c r="FI205"/>
  <c r="FJ205"/>
  <c r="FM205"/>
  <c r="FN205"/>
  <c r="FB206"/>
  <c r="FC206"/>
  <c r="FD206"/>
  <c r="FE206"/>
  <c r="FF206"/>
  <c r="FG206"/>
  <c r="FI206"/>
  <c r="FJ206"/>
  <c r="FM206"/>
  <c r="FN206"/>
  <c r="FN6"/>
  <c r="FM6"/>
  <c r="FO6" s="1"/>
  <c r="FJ6"/>
  <c r="FI6"/>
  <c r="FC6"/>
  <c r="FD6"/>
  <c r="FE6"/>
  <c r="FF6"/>
  <c r="FG6"/>
  <c r="FQ4"/>
  <c r="EX4"/>
  <c r="FO5"/>
  <c r="FN5"/>
  <c r="FM5"/>
  <c r="FK5"/>
  <c r="FJ5"/>
  <c r="FI5"/>
  <c r="FP4"/>
  <c r="FM4"/>
  <c r="FL4"/>
  <c r="FI4"/>
  <c r="FH4"/>
  <c r="EO5"/>
  <c r="FG5"/>
  <c r="FF5"/>
  <c r="FE5"/>
  <c r="FD5"/>
  <c r="FC5"/>
  <c r="FB5"/>
  <c r="FF4"/>
  <c r="EN5"/>
  <c r="FD4"/>
  <c r="EM5"/>
  <c r="FB4"/>
  <c r="EL5"/>
  <c r="EL7"/>
  <c r="EM7"/>
  <c r="EN7"/>
  <c r="EP7"/>
  <c r="EQ7"/>
  <c r="ET7"/>
  <c r="EU7"/>
  <c r="EL8"/>
  <c r="EM8"/>
  <c r="EN8"/>
  <c r="EP8"/>
  <c r="EQ8"/>
  <c r="ET8"/>
  <c r="EU8"/>
  <c r="EL9"/>
  <c r="EM9"/>
  <c r="EN9"/>
  <c r="EP9"/>
  <c r="EQ9"/>
  <c r="ET9"/>
  <c r="EU9"/>
  <c r="EL10"/>
  <c r="EM10"/>
  <c r="EN10"/>
  <c r="EP10"/>
  <c r="EQ10"/>
  <c r="ET10"/>
  <c r="EU10"/>
  <c r="EL11"/>
  <c r="EM11"/>
  <c r="EN11"/>
  <c r="EP11"/>
  <c r="EQ11"/>
  <c r="ET11"/>
  <c r="EU11"/>
  <c r="EL12"/>
  <c r="EM12"/>
  <c r="EN12"/>
  <c r="EP12"/>
  <c r="EQ12"/>
  <c r="ET12"/>
  <c r="EU12"/>
  <c r="EL13"/>
  <c r="EM13"/>
  <c r="EN13"/>
  <c r="EP13"/>
  <c r="EQ13"/>
  <c r="ET13"/>
  <c r="EU13"/>
  <c r="EL14"/>
  <c r="EM14"/>
  <c r="EN14"/>
  <c r="EP14"/>
  <c r="EQ14"/>
  <c r="ET14"/>
  <c r="EU14"/>
  <c r="EL15"/>
  <c r="EM15"/>
  <c r="EN15"/>
  <c r="EP15"/>
  <c r="EQ15"/>
  <c r="ET15"/>
  <c r="EU15"/>
  <c r="EL16"/>
  <c r="EM16"/>
  <c r="EN16"/>
  <c r="EP16"/>
  <c r="EQ16"/>
  <c r="ET16"/>
  <c r="EU16"/>
  <c r="EL17"/>
  <c r="EM17"/>
  <c r="EN17"/>
  <c r="EP17"/>
  <c r="EQ17"/>
  <c r="ET17"/>
  <c r="EU17"/>
  <c r="EL18"/>
  <c r="EM18"/>
  <c r="EN18"/>
  <c r="EP18"/>
  <c r="EQ18"/>
  <c r="ET18"/>
  <c r="EU18"/>
  <c r="EL19"/>
  <c r="EM19"/>
  <c r="EN19"/>
  <c r="EP19"/>
  <c r="EQ19"/>
  <c r="ET19"/>
  <c r="EU19"/>
  <c r="EL20"/>
  <c r="EM20"/>
  <c r="EN20"/>
  <c r="EP20"/>
  <c r="EQ20"/>
  <c r="ET20"/>
  <c r="EU20"/>
  <c r="EL21"/>
  <c r="EM21"/>
  <c r="EN21"/>
  <c r="EP21"/>
  <c r="EQ21"/>
  <c r="ET21"/>
  <c r="EU21"/>
  <c r="EL22"/>
  <c r="EM22"/>
  <c r="EN22"/>
  <c r="EP22"/>
  <c r="EQ22"/>
  <c r="ET22"/>
  <c r="EU22"/>
  <c r="EL23"/>
  <c r="EM23"/>
  <c r="EN23"/>
  <c r="EP23"/>
  <c r="EQ23"/>
  <c r="ET23"/>
  <c r="EU23"/>
  <c r="EL24"/>
  <c r="EM24"/>
  <c r="EN24"/>
  <c r="EP24"/>
  <c r="EQ24"/>
  <c r="ET24"/>
  <c r="EU24"/>
  <c r="EL25"/>
  <c r="EM25"/>
  <c r="EN25"/>
  <c r="EP25"/>
  <c r="EQ25"/>
  <c r="ET25"/>
  <c r="EU25"/>
  <c r="EL26"/>
  <c r="EM26"/>
  <c r="EN26"/>
  <c r="EP26"/>
  <c r="EQ26"/>
  <c r="ET26"/>
  <c r="EU26"/>
  <c r="EL27"/>
  <c r="EM27"/>
  <c r="EN27"/>
  <c r="EP27"/>
  <c r="EQ27"/>
  <c r="ET27"/>
  <c r="EU27"/>
  <c r="EL28"/>
  <c r="EM28"/>
  <c r="EN28"/>
  <c r="EP28"/>
  <c r="EQ28"/>
  <c r="ET28"/>
  <c r="EU28"/>
  <c r="EL29"/>
  <c r="EM29"/>
  <c r="EN29"/>
  <c r="EP29"/>
  <c r="EQ29"/>
  <c r="ET29"/>
  <c r="EU29"/>
  <c r="EL30"/>
  <c r="EM30"/>
  <c r="EN30"/>
  <c r="EP30"/>
  <c r="EQ30"/>
  <c r="ET30"/>
  <c r="EU30"/>
  <c r="EL31"/>
  <c r="EM31"/>
  <c r="EN31"/>
  <c r="EP31"/>
  <c r="EQ31"/>
  <c r="ET31"/>
  <c r="EU31"/>
  <c r="EL32"/>
  <c r="EM32"/>
  <c r="EN32"/>
  <c r="EP32"/>
  <c r="EQ32"/>
  <c r="ET32"/>
  <c r="EU32"/>
  <c r="EL33"/>
  <c r="EM33"/>
  <c r="EN33"/>
  <c r="EP33"/>
  <c r="EQ33"/>
  <c r="ET33"/>
  <c r="EU33"/>
  <c r="EL34"/>
  <c r="EM34"/>
  <c r="EN34"/>
  <c r="EP34"/>
  <c r="EQ34"/>
  <c r="ET34"/>
  <c r="EU34"/>
  <c r="EL35"/>
  <c r="EM35"/>
  <c r="EN35"/>
  <c r="EP35"/>
  <c r="EQ35"/>
  <c r="ET35"/>
  <c r="EU35"/>
  <c r="EL36"/>
  <c r="EM36"/>
  <c r="EN36"/>
  <c r="EP36"/>
  <c r="EQ36"/>
  <c r="ET36"/>
  <c r="EU36"/>
  <c r="EL37"/>
  <c r="EM37"/>
  <c r="EN37"/>
  <c r="EP37"/>
  <c r="EQ37"/>
  <c r="ET37"/>
  <c r="EU37"/>
  <c r="EL38"/>
  <c r="EM38"/>
  <c r="EN38"/>
  <c r="EP38"/>
  <c r="EQ38"/>
  <c r="ET38"/>
  <c r="EU38"/>
  <c r="EL39"/>
  <c r="EM39"/>
  <c r="EN39"/>
  <c r="EP39"/>
  <c r="EQ39"/>
  <c r="ET39"/>
  <c r="EU39"/>
  <c r="EL40"/>
  <c r="EM40"/>
  <c r="EN40"/>
  <c r="EP40"/>
  <c r="EQ40"/>
  <c r="ET40"/>
  <c r="EU40"/>
  <c r="EL41"/>
  <c r="EM41"/>
  <c r="EN41"/>
  <c r="EP41"/>
  <c r="EQ41"/>
  <c r="ET41"/>
  <c r="EU41"/>
  <c r="EL42"/>
  <c r="EM42"/>
  <c r="EN42"/>
  <c r="EP42"/>
  <c r="EQ42"/>
  <c r="ET42"/>
  <c r="EU42"/>
  <c r="EL43"/>
  <c r="EM43"/>
  <c r="EN43"/>
  <c r="EP43"/>
  <c r="EQ43"/>
  <c r="ET43"/>
  <c r="EU43"/>
  <c r="EL44"/>
  <c r="EM44"/>
  <c r="EN44"/>
  <c r="EP44"/>
  <c r="EQ44"/>
  <c r="ET44"/>
  <c r="EU44"/>
  <c r="EL45"/>
  <c r="EM45"/>
  <c r="EN45"/>
  <c r="EP45"/>
  <c r="EQ45"/>
  <c r="ET45"/>
  <c r="EU45"/>
  <c r="EL46"/>
  <c r="EM46"/>
  <c r="EN46"/>
  <c r="EP46"/>
  <c r="EQ46"/>
  <c r="ET46"/>
  <c r="EU46"/>
  <c r="EL47"/>
  <c r="EM47"/>
  <c r="EN47"/>
  <c r="EP47"/>
  <c r="EQ47"/>
  <c r="ET47"/>
  <c r="EU47"/>
  <c r="EL48"/>
  <c r="EM48"/>
  <c r="EN48"/>
  <c r="EP48"/>
  <c r="EQ48"/>
  <c r="ET48"/>
  <c r="EU48"/>
  <c r="EL49"/>
  <c r="EM49"/>
  <c r="EN49"/>
  <c r="EP49"/>
  <c r="EQ49"/>
  <c r="ET49"/>
  <c r="EU49"/>
  <c r="EL50"/>
  <c r="EM50"/>
  <c r="EN50"/>
  <c r="EP50"/>
  <c r="EQ50"/>
  <c r="ET50"/>
  <c r="EU50"/>
  <c r="EL51"/>
  <c r="EM51"/>
  <c r="EN51"/>
  <c r="EP51"/>
  <c r="EQ51"/>
  <c r="ET51"/>
  <c r="EU51"/>
  <c r="EL52"/>
  <c r="EM52"/>
  <c r="EN52"/>
  <c r="EP52"/>
  <c r="EQ52"/>
  <c r="ET52"/>
  <c r="EU52"/>
  <c r="EL53"/>
  <c r="EM53"/>
  <c r="EN53"/>
  <c r="EP53"/>
  <c r="EQ53"/>
  <c r="ET53"/>
  <c r="EU53"/>
  <c r="EL54"/>
  <c r="EM54"/>
  <c r="EN54"/>
  <c r="EP54"/>
  <c r="EQ54"/>
  <c r="ET54"/>
  <c r="EU54"/>
  <c r="EL55"/>
  <c r="EM55"/>
  <c r="EN55"/>
  <c r="EP55"/>
  <c r="EQ55"/>
  <c r="ET55"/>
  <c r="EU55"/>
  <c r="EL56"/>
  <c r="EM56"/>
  <c r="EN56"/>
  <c r="EP56"/>
  <c r="EQ56"/>
  <c r="ET56"/>
  <c r="EU56"/>
  <c r="EL57"/>
  <c r="EM57"/>
  <c r="EN57"/>
  <c r="EP57"/>
  <c r="EQ57"/>
  <c r="ET57"/>
  <c r="EU57"/>
  <c r="EL58"/>
  <c r="EM58"/>
  <c r="EN58"/>
  <c r="EP58"/>
  <c r="EQ58"/>
  <c r="ET58"/>
  <c r="EU58"/>
  <c r="EL59"/>
  <c r="EM59"/>
  <c r="EN59"/>
  <c r="EP59"/>
  <c r="EQ59"/>
  <c r="ET59"/>
  <c r="EU59"/>
  <c r="EL60"/>
  <c r="EM60"/>
  <c r="EN60"/>
  <c r="EP60"/>
  <c r="EQ60"/>
  <c r="ET60"/>
  <c r="EU60"/>
  <c r="EL61"/>
  <c r="EM61"/>
  <c r="EN61"/>
  <c r="EP61"/>
  <c r="EQ61"/>
  <c r="ET61"/>
  <c r="EU61"/>
  <c r="EL62"/>
  <c r="EM62"/>
  <c r="EN62"/>
  <c r="EP62"/>
  <c r="EQ62"/>
  <c r="ET62"/>
  <c r="EU62"/>
  <c r="EL63"/>
  <c r="EM63"/>
  <c r="EN63"/>
  <c r="EP63"/>
  <c r="EQ63"/>
  <c r="ET63"/>
  <c r="EU63"/>
  <c r="EL64"/>
  <c r="EM64"/>
  <c r="EN64"/>
  <c r="EP64"/>
  <c r="EQ64"/>
  <c r="ET64"/>
  <c r="EU64"/>
  <c r="EL65"/>
  <c r="EM65"/>
  <c r="EN65"/>
  <c r="EP65"/>
  <c r="EQ65"/>
  <c r="ET65"/>
  <c r="EU65"/>
  <c r="EL66"/>
  <c r="EM66"/>
  <c r="EN66"/>
  <c r="EP66"/>
  <c r="EQ66"/>
  <c r="ET66"/>
  <c r="EU66"/>
  <c r="EL67"/>
  <c r="EM67"/>
  <c r="EN67"/>
  <c r="EP67"/>
  <c r="EQ67"/>
  <c r="ET67"/>
  <c r="EU67"/>
  <c r="EL68"/>
  <c r="EM68"/>
  <c r="EN68"/>
  <c r="EP68"/>
  <c r="EQ68"/>
  <c r="ET68"/>
  <c r="EU68"/>
  <c r="EL69"/>
  <c r="EM69"/>
  <c r="EN69"/>
  <c r="EP69"/>
  <c r="EQ69"/>
  <c r="ET69"/>
  <c r="EU69"/>
  <c r="EL70"/>
  <c r="EM70"/>
  <c r="EN70"/>
  <c r="EP70"/>
  <c r="EQ70"/>
  <c r="ET70"/>
  <c r="EU70"/>
  <c r="EL71"/>
  <c r="EM71"/>
  <c r="EN71"/>
  <c r="EP71"/>
  <c r="EQ71"/>
  <c r="ET71"/>
  <c r="EU71"/>
  <c r="EL72"/>
  <c r="EM72"/>
  <c r="EN72"/>
  <c r="EP72"/>
  <c r="EQ72"/>
  <c r="ET72"/>
  <c r="EU72"/>
  <c r="EL73"/>
  <c r="EM73"/>
  <c r="EN73"/>
  <c r="EP73"/>
  <c r="EQ73"/>
  <c r="ET73"/>
  <c r="EU73"/>
  <c r="EL74"/>
  <c r="EM74"/>
  <c r="EN74"/>
  <c r="EP74"/>
  <c r="EQ74"/>
  <c r="ET74"/>
  <c r="EU74"/>
  <c r="EL75"/>
  <c r="EM75"/>
  <c r="EN75"/>
  <c r="EP75"/>
  <c r="EQ75"/>
  <c r="ET75"/>
  <c r="EU75"/>
  <c r="EL76"/>
  <c r="EM76"/>
  <c r="EN76"/>
  <c r="EP76"/>
  <c r="EQ76"/>
  <c r="ET76"/>
  <c r="EU76"/>
  <c r="EL77"/>
  <c r="EM77"/>
  <c r="EN77"/>
  <c r="EP77"/>
  <c r="EQ77"/>
  <c r="ET77"/>
  <c r="EU77"/>
  <c r="EL78"/>
  <c r="EM78"/>
  <c r="EN78"/>
  <c r="EP78"/>
  <c r="EQ78"/>
  <c r="ET78"/>
  <c r="EU78"/>
  <c r="EL79"/>
  <c r="EM79"/>
  <c r="EN79"/>
  <c r="EP79"/>
  <c r="EQ79"/>
  <c r="ET79"/>
  <c r="EU79"/>
  <c r="EL80"/>
  <c r="EM80"/>
  <c r="EN80"/>
  <c r="EP80"/>
  <c r="EQ80"/>
  <c r="ET80"/>
  <c r="EU80"/>
  <c r="EL81"/>
  <c r="EM81"/>
  <c r="EN81"/>
  <c r="EP81"/>
  <c r="EQ81"/>
  <c r="ET81"/>
  <c r="EU81"/>
  <c r="EL82"/>
  <c r="EM82"/>
  <c r="EN82"/>
  <c r="EP82"/>
  <c r="EQ82"/>
  <c r="ET82"/>
  <c r="EU82"/>
  <c r="EL83"/>
  <c r="EM83"/>
  <c r="EN83"/>
  <c r="EP83"/>
  <c r="EQ83"/>
  <c r="ET83"/>
  <c r="EU83"/>
  <c r="EL84"/>
  <c r="EM84"/>
  <c r="EN84"/>
  <c r="EP84"/>
  <c r="EQ84"/>
  <c r="ET84"/>
  <c r="EU84"/>
  <c r="EL85"/>
  <c r="EM85"/>
  <c r="EN85"/>
  <c r="EP85"/>
  <c r="EQ85"/>
  <c r="ET85"/>
  <c r="EU85"/>
  <c r="EL86"/>
  <c r="EM86"/>
  <c r="EN86"/>
  <c r="EP86"/>
  <c r="EQ86"/>
  <c r="ET86"/>
  <c r="EU86"/>
  <c r="EL87"/>
  <c r="EM87"/>
  <c r="EN87"/>
  <c r="EP87"/>
  <c r="EQ87"/>
  <c r="ET87"/>
  <c r="EU87"/>
  <c r="EL88"/>
  <c r="EM88"/>
  <c r="EN88"/>
  <c r="EP88"/>
  <c r="EQ88"/>
  <c r="ET88"/>
  <c r="EU88"/>
  <c r="EL89"/>
  <c r="EM89"/>
  <c r="EN89"/>
  <c r="EP89"/>
  <c r="EQ89"/>
  <c r="ET89"/>
  <c r="EU89"/>
  <c r="EL90"/>
  <c r="EM90"/>
  <c r="EN90"/>
  <c r="EP90"/>
  <c r="EQ90"/>
  <c r="ET90"/>
  <c r="EU90"/>
  <c r="EL91"/>
  <c r="EM91"/>
  <c r="EN91"/>
  <c r="EP91"/>
  <c r="EQ91"/>
  <c r="ET91"/>
  <c r="EU91"/>
  <c r="EL92"/>
  <c r="EM92"/>
  <c r="EN92"/>
  <c r="EP92"/>
  <c r="EQ92"/>
  <c r="ET92"/>
  <c r="EU92"/>
  <c r="EL93"/>
  <c r="EM93"/>
  <c r="EN93"/>
  <c r="EP93"/>
  <c r="EQ93"/>
  <c r="ET93"/>
  <c r="EU93"/>
  <c r="EL94"/>
  <c r="EM94"/>
  <c r="EN94"/>
  <c r="EP94"/>
  <c r="EQ94"/>
  <c r="ET94"/>
  <c r="EU94"/>
  <c r="EL95"/>
  <c r="EM95"/>
  <c r="EN95"/>
  <c r="EP95"/>
  <c r="EQ95"/>
  <c r="ET95"/>
  <c r="EU95"/>
  <c r="EL96"/>
  <c r="EM96"/>
  <c r="EN96"/>
  <c r="EP96"/>
  <c r="EQ96"/>
  <c r="ET96"/>
  <c r="EU96"/>
  <c r="EL97"/>
  <c r="EM97"/>
  <c r="EN97"/>
  <c r="EP97"/>
  <c r="EQ97"/>
  <c r="ET97"/>
  <c r="EU97"/>
  <c r="EL98"/>
  <c r="EM98"/>
  <c r="EN98"/>
  <c r="EP98"/>
  <c r="EQ98"/>
  <c r="ET98"/>
  <c r="EU98"/>
  <c r="EL99"/>
  <c r="EM99"/>
  <c r="EN99"/>
  <c r="EP99"/>
  <c r="EQ99"/>
  <c r="ET99"/>
  <c r="EU99"/>
  <c r="EL100"/>
  <c r="EM100"/>
  <c r="EN100"/>
  <c r="EP100"/>
  <c r="EQ100"/>
  <c r="ET100"/>
  <c r="EU100"/>
  <c r="EL101"/>
  <c r="EM101"/>
  <c r="EN101"/>
  <c r="EP101"/>
  <c r="EQ101"/>
  <c r="ET101"/>
  <c r="EU101"/>
  <c r="EL102"/>
  <c r="EM102"/>
  <c r="EN102"/>
  <c r="EP102"/>
  <c r="EQ102"/>
  <c r="ET102"/>
  <c r="EU102"/>
  <c r="EL103"/>
  <c r="EM103"/>
  <c r="EN103"/>
  <c r="EP103"/>
  <c r="EQ103"/>
  <c r="ET103"/>
  <c r="EU103"/>
  <c r="EL104"/>
  <c r="EM104"/>
  <c r="EN104"/>
  <c r="EP104"/>
  <c r="EQ104"/>
  <c r="ET104"/>
  <c r="EU104"/>
  <c r="EL105"/>
  <c r="EM105"/>
  <c r="EN105"/>
  <c r="EP105"/>
  <c r="EQ105"/>
  <c r="ET105"/>
  <c r="EU105"/>
  <c r="EL106"/>
  <c r="EM106"/>
  <c r="EN106"/>
  <c r="EP106"/>
  <c r="EQ106"/>
  <c r="ET106"/>
  <c r="EU106"/>
  <c r="EL107"/>
  <c r="EM107"/>
  <c r="EN107"/>
  <c r="EP107"/>
  <c r="EQ107"/>
  <c r="ET107"/>
  <c r="EU107"/>
  <c r="EL108"/>
  <c r="EM108"/>
  <c r="EN108"/>
  <c r="EP108"/>
  <c r="EQ108"/>
  <c r="ET108"/>
  <c r="EU108"/>
  <c r="EL109"/>
  <c r="EM109"/>
  <c r="EN109"/>
  <c r="EP109"/>
  <c r="EQ109"/>
  <c r="ET109"/>
  <c r="EU109"/>
  <c r="EL110"/>
  <c r="EM110"/>
  <c r="EN110"/>
  <c r="EP110"/>
  <c r="EQ110"/>
  <c r="ET110"/>
  <c r="EU110"/>
  <c r="EL111"/>
  <c r="EM111"/>
  <c r="EN111"/>
  <c r="EP111"/>
  <c r="EQ111"/>
  <c r="ET111"/>
  <c r="EU111"/>
  <c r="EL112"/>
  <c r="EM112"/>
  <c r="EN112"/>
  <c r="EP112"/>
  <c r="EQ112"/>
  <c r="ET112"/>
  <c r="EU112"/>
  <c r="EL113"/>
  <c r="EM113"/>
  <c r="EN113"/>
  <c r="EP113"/>
  <c r="EQ113"/>
  <c r="ET113"/>
  <c r="EU113"/>
  <c r="EL114"/>
  <c r="EM114"/>
  <c r="EN114"/>
  <c r="EP114"/>
  <c r="EQ114"/>
  <c r="ET114"/>
  <c r="EU114"/>
  <c r="EL115"/>
  <c r="EM115"/>
  <c r="EN115"/>
  <c r="EP115"/>
  <c r="EQ115"/>
  <c r="ET115"/>
  <c r="EU115"/>
  <c r="EL116"/>
  <c r="EM116"/>
  <c r="EN116"/>
  <c r="EP116"/>
  <c r="EQ116"/>
  <c r="ET116"/>
  <c r="EU116"/>
  <c r="EL117"/>
  <c r="EM117"/>
  <c r="EN117"/>
  <c r="EP117"/>
  <c r="EQ117"/>
  <c r="ET117"/>
  <c r="EU117"/>
  <c r="EL118"/>
  <c r="EM118"/>
  <c r="EN118"/>
  <c r="EP118"/>
  <c r="EQ118"/>
  <c r="ET118"/>
  <c r="EU118"/>
  <c r="EL119"/>
  <c r="EM119"/>
  <c r="EN119"/>
  <c r="EP119"/>
  <c r="EQ119"/>
  <c r="ET119"/>
  <c r="EU119"/>
  <c r="EL120"/>
  <c r="EM120"/>
  <c r="EN120"/>
  <c r="EP120"/>
  <c r="EQ120"/>
  <c r="ET120"/>
  <c r="EU120"/>
  <c r="EL121"/>
  <c r="EM121"/>
  <c r="EN121"/>
  <c r="EP121"/>
  <c r="EQ121"/>
  <c r="ET121"/>
  <c r="EU121"/>
  <c r="EL122"/>
  <c r="EM122"/>
  <c r="EN122"/>
  <c r="EP122"/>
  <c r="EQ122"/>
  <c r="ET122"/>
  <c r="EU122"/>
  <c r="EL123"/>
  <c r="EM123"/>
  <c r="EN123"/>
  <c r="EP123"/>
  <c r="EQ123"/>
  <c r="ET123"/>
  <c r="EU123"/>
  <c r="EL124"/>
  <c r="EM124"/>
  <c r="EN124"/>
  <c r="EP124"/>
  <c r="EQ124"/>
  <c r="ET124"/>
  <c r="EU124"/>
  <c r="EL125"/>
  <c r="EM125"/>
  <c r="EN125"/>
  <c r="EP125"/>
  <c r="EQ125"/>
  <c r="ET125"/>
  <c r="EU125"/>
  <c r="EL126"/>
  <c r="EM126"/>
  <c r="EN126"/>
  <c r="EP126"/>
  <c r="EQ126"/>
  <c r="ET126"/>
  <c r="EU126"/>
  <c r="EL127"/>
  <c r="EM127"/>
  <c r="EN127"/>
  <c r="EP127"/>
  <c r="EQ127"/>
  <c r="ET127"/>
  <c r="EU127"/>
  <c r="EL128"/>
  <c r="EM128"/>
  <c r="EN128"/>
  <c r="EP128"/>
  <c r="EQ128"/>
  <c r="ET128"/>
  <c r="EU128"/>
  <c r="EL129"/>
  <c r="EM129"/>
  <c r="EN129"/>
  <c r="EP129"/>
  <c r="EQ129"/>
  <c r="ET129"/>
  <c r="EU129"/>
  <c r="EL130"/>
  <c r="EM130"/>
  <c r="EN130"/>
  <c r="EP130"/>
  <c r="EQ130"/>
  <c r="ET130"/>
  <c r="EU130"/>
  <c r="EL131"/>
  <c r="EM131"/>
  <c r="EN131"/>
  <c r="EP131"/>
  <c r="EQ131"/>
  <c r="ET131"/>
  <c r="EU131"/>
  <c r="EL132"/>
  <c r="EM132"/>
  <c r="EN132"/>
  <c r="EP132"/>
  <c r="EQ132"/>
  <c r="ET132"/>
  <c r="EU132"/>
  <c r="EL133"/>
  <c r="EM133"/>
  <c r="EN133"/>
  <c r="EP133"/>
  <c r="EQ133"/>
  <c r="ET133"/>
  <c r="EU133"/>
  <c r="EL134"/>
  <c r="EM134"/>
  <c r="EN134"/>
  <c r="EP134"/>
  <c r="EQ134"/>
  <c r="ET134"/>
  <c r="EU134"/>
  <c r="EL135"/>
  <c r="EM135"/>
  <c r="EN135"/>
  <c r="EP135"/>
  <c r="EQ135"/>
  <c r="ET135"/>
  <c r="EU135"/>
  <c r="EL136"/>
  <c r="EM136"/>
  <c r="EN136"/>
  <c r="EP136"/>
  <c r="EQ136"/>
  <c r="ET136"/>
  <c r="EU136"/>
  <c r="EL137"/>
  <c r="EM137"/>
  <c r="EN137"/>
  <c r="EP137"/>
  <c r="EQ137"/>
  <c r="ET137"/>
  <c r="EU137"/>
  <c r="EL138"/>
  <c r="EM138"/>
  <c r="EN138"/>
  <c r="EP138"/>
  <c r="EQ138"/>
  <c r="ET138"/>
  <c r="EU138"/>
  <c r="EL139"/>
  <c r="EM139"/>
  <c r="EN139"/>
  <c r="EP139"/>
  <c r="EQ139"/>
  <c r="ET139"/>
  <c r="EU139"/>
  <c r="EL140"/>
  <c r="EM140"/>
  <c r="EN140"/>
  <c r="EP140"/>
  <c r="EQ140"/>
  <c r="ET140"/>
  <c r="EU140"/>
  <c r="EL141"/>
  <c r="EM141"/>
  <c r="EN141"/>
  <c r="EP141"/>
  <c r="EQ141"/>
  <c r="ET141"/>
  <c r="EU141"/>
  <c r="EL142"/>
  <c r="EM142"/>
  <c r="EN142"/>
  <c r="EP142"/>
  <c r="EQ142"/>
  <c r="ET142"/>
  <c r="EU142"/>
  <c r="EL143"/>
  <c r="EM143"/>
  <c r="EN143"/>
  <c r="EP143"/>
  <c r="EQ143"/>
  <c r="ET143"/>
  <c r="EU143"/>
  <c r="EL144"/>
  <c r="EM144"/>
  <c r="EN144"/>
  <c r="EP144"/>
  <c r="EQ144"/>
  <c r="ET144"/>
  <c r="EU144"/>
  <c r="EL145"/>
  <c r="EM145"/>
  <c r="EN145"/>
  <c r="EP145"/>
  <c r="EQ145"/>
  <c r="ET145"/>
  <c r="EU145"/>
  <c r="EL146"/>
  <c r="EM146"/>
  <c r="EN146"/>
  <c r="EP146"/>
  <c r="EQ146"/>
  <c r="ET146"/>
  <c r="EU146"/>
  <c r="EL147"/>
  <c r="EM147"/>
  <c r="EN147"/>
  <c r="EP147"/>
  <c r="EQ147"/>
  <c r="ET147"/>
  <c r="EU147"/>
  <c r="EL148"/>
  <c r="EM148"/>
  <c r="EN148"/>
  <c r="EP148"/>
  <c r="EQ148"/>
  <c r="ET148"/>
  <c r="EU148"/>
  <c r="EL149"/>
  <c r="EM149"/>
  <c r="EN149"/>
  <c r="EP149"/>
  <c r="EQ149"/>
  <c r="ET149"/>
  <c r="EU149"/>
  <c r="EL150"/>
  <c r="EM150"/>
  <c r="EN150"/>
  <c r="EP150"/>
  <c r="EQ150"/>
  <c r="ET150"/>
  <c r="EU150"/>
  <c r="EL151"/>
  <c r="EM151"/>
  <c r="EN151"/>
  <c r="EP151"/>
  <c r="EQ151"/>
  <c r="ET151"/>
  <c r="EU151"/>
  <c r="EL152"/>
  <c r="EM152"/>
  <c r="EN152"/>
  <c r="EP152"/>
  <c r="EQ152"/>
  <c r="ET152"/>
  <c r="EU152"/>
  <c r="EL153"/>
  <c r="EM153"/>
  <c r="EN153"/>
  <c r="EP153"/>
  <c r="EQ153"/>
  <c r="ET153"/>
  <c r="EU153"/>
  <c r="EL154"/>
  <c r="EM154"/>
  <c r="EN154"/>
  <c r="EP154"/>
  <c r="EQ154"/>
  <c r="ET154"/>
  <c r="EU154"/>
  <c r="EL155"/>
  <c r="EM155"/>
  <c r="EN155"/>
  <c r="EP155"/>
  <c r="EQ155"/>
  <c r="ET155"/>
  <c r="EU155"/>
  <c r="EL156"/>
  <c r="EM156"/>
  <c r="EN156"/>
  <c r="EP156"/>
  <c r="EQ156"/>
  <c r="ET156"/>
  <c r="EU156"/>
  <c r="EL157"/>
  <c r="EM157"/>
  <c r="EN157"/>
  <c r="EP157"/>
  <c r="EQ157"/>
  <c r="ET157"/>
  <c r="EU157"/>
  <c r="EL158"/>
  <c r="EM158"/>
  <c r="EN158"/>
  <c r="EP158"/>
  <c r="EQ158"/>
  <c r="ET158"/>
  <c r="EU158"/>
  <c r="EL159"/>
  <c r="EM159"/>
  <c r="EN159"/>
  <c r="EP159"/>
  <c r="EQ159"/>
  <c r="ET159"/>
  <c r="EU159"/>
  <c r="EL160"/>
  <c r="EM160"/>
  <c r="EN160"/>
  <c r="EP160"/>
  <c r="EQ160"/>
  <c r="ET160"/>
  <c r="EU160"/>
  <c r="EL161"/>
  <c r="EM161"/>
  <c r="EN161"/>
  <c r="EP161"/>
  <c r="EQ161"/>
  <c r="ET161"/>
  <c r="EU161"/>
  <c r="EL162"/>
  <c r="EM162"/>
  <c r="EN162"/>
  <c r="EP162"/>
  <c r="EQ162"/>
  <c r="ET162"/>
  <c r="EU162"/>
  <c r="EL163"/>
  <c r="EM163"/>
  <c r="EN163"/>
  <c r="EP163"/>
  <c r="EQ163"/>
  <c r="ET163"/>
  <c r="EU163"/>
  <c r="EL164"/>
  <c r="EM164"/>
  <c r="EN164"/>
  <c r="EP164"/>
  <c r="EQ164"/>
  <c r="ET164"/>
  <c r="EU164"/>
  <c r="EL165"/>
  <c r="EM165"/>
  <c r="EN165"/>
  <c r="EP165"/>
  <c r="EQ165"/>
  <c r="ET165"/>
  <c r="EU165"/>
  <c r="EL166"/>
  <c r="EM166"/>
  <c r="EN166"/>
  <c r="EP166"/>
  <c r="EQ166"/>
  <c r="ET166"/>
  <c r="EU166"/>
  <c r="EL167"/>
  <c r="EM167"/>
  <c r="EN167"/>
  <c r="EP167"/>
  <c r="EQ167"/>
  <c r="ET167"/>
  <c r="EU167"/>
  <c r="EL168"/>
  <c r="EM168"/>
  <c r="EN168"/>
  <c r="EP168"/>
  <c r="EQ168"/>
  <c r="ET168"/>
  <c r="EU168"/>
  <c r="EL169"/>
  <c r="EM169"/>
  <c r="EN169"/>
  <c r="EP169"/>
  <c r="EQ169"/>
  <c r="ET169"/>
  <c r="EU169"/>
  <c r="EL170"/>
  <c r="EM170"/>
  <c r="EN170"/>
  <c r="EP170"/>
  <c r="EQ170"/>
  <c r="ET170"/>
  <c r="EU170"/>
  <c r="EL171"/>
  <c r="EM171"/>
  <c r="EN171"/>
  <c r="EP171"/>
  <c r="EQ171"/>
  <c r="ET171"/>
  <c r="EU171"/>
  <c r="EL172"/>
  <c r="EM172"/>
  <c r="EN172"/>
  <c r="EP172"/>
  <c r="EQ172"/>
  <c r="ET172"/>
  <c r="EU172"/>
  <c r="EL173"/>
  <c r="EM173"/>
  <c r="EN173"/>
  <c r="EP173"/>
  <c r="EQ173"/>
  <c r="ET173"/>
  <c r="EU173"/>
  <c r="EL174"/>
  <c r="EM174"/>
  <c r="EN174"/>
  <c r="EP174"/>
  <c r="EQ174"/>
  <c r="ET174"/>
  <c r="EU174"/>
  <c r="EL175"/>
  <c r="EM175"/>
  <c r="EN175"/>
  <c r="EP175"/>
  <c r="EQ175"/>
  <c r="ET175"/>
  <c r="EU175"/>
  <c r="EL176"/>
  <c r="EM176"/>
  <c r="EN176"/>
  <c r="EP176"/>
  <c r="EQ176"/>
  <c r="ET176"/>
  <c r="EU176"/>
  <c r="EL177"/>
  <c r="EM177"/>
  <c r="EN177"/>
  <c r="EP177"/>
  <c r="EQ177"/>
  <c r="ET177"/>
  <c r="EU177"/>
  <c r="EL178"/>
  <c r="EM178"/>
  <c r="EN178"/>
  <c r="EP178"/>
  <c r="EQ178"/>
  <c r="ET178"/>
  <c r="EU178"/>
  <c r="EL179"/>
  <c r="EM179"/>
  <c r="EN179"/>
  <c r="EP179"/>
  <c r="EQ179"/>
  <c r="ET179"/>
  <c r="EU179"/>
  <c r="EL180"/>
  <c r="EM180"/>
  <c r="EN180"/>
  <c r="EP180"/>
  <c r="EQ180"/>
  <c r="ET180"/>
  <c r="EU180"/>
  <c r="EL181"/>
  <c r="EM181"/>
  <c r="EN181"/>
  <c r="EP181"/>
  <c r="EQ181"/>
  <c r="ET181"/>
  <c r="EU181"/>
  <c r="EL182"/>
  <c r="EM182"/>
  <c r="EN182"/>
  <c r="EP182"/>
  <c r="EQ182"/>
  <c r="ET182"/>
  <c r="EU182"/>
  <c r="EL183"/>
  <c r="EM183"/>
  <c r="EN183"/>
  <c r="EP183"/>
  <c r="EQ183"/>
  <c r="ET183"/>
  <c r="EU183"/>
  <c r="EL184"/>
  <c r="EM184"/>
  <c r="EN184"/>
  <c r="EP184"/>
  <c r="EQ184"/>
  <c r="ET184"/>
  <c r="EU184"/>
  <c r="EL185"/>
  <c r="EM185"/>
  <c r="EN185"/>
  <c r="EP185"/>
  <c r="EQ185"/>
  <c r="ET185"/>
  <c r="EU185"/>
  <c r="EL186"/>
  <c r="EM186"/>
  <c r="EN186"/>
  <c r="EP186"/>
  <c r="EQ186"/>
  <c r="ET186"/>
  <c r="EU186"/>
  <c r="EL187"/>
  <c r="EM187"/>
  <c r="EN187"/>
  <c r="EP187"/>
  <c r="EQ187"/>
  <c r="ET187"/>
  <c r="EU187"/>
  <c r="EL188"/>
  <c r="EM188"/>
  <c r="EN188"/>
  <c r="EP188"/>
  <c r="EQ188"/>
  <c r="ET188"/>
  <c r="EU188"/>
  <c r="EL189"/>
  <c r="EM189"/>
  <c r="EN189"/>
  <c r="EP189"/>
  <c r="ER189" s="1"/>
  <c r="EQ189"/>
  <c r="ET189"/>
  <c r="EU189"/>
  <c r="EL190"/>
  <c r="EM190"/>
  <c r="EN190"/>
  <c r="EP190"/>
  <c r="EQ190"/>
  <c r="ET190"/>
  <c r="EU190"/>
  <c r="EL191"/>
  <c r="EM191"/>
  <c r="EN191"/>
  <c r="EP191"/>
  <c r="EQ191"/>
  <c r="ET191"/>
  <c r="EV191" s="1"/>
  <c r="EU191"/>
  <c r="EL192"/>
  <c r="EM192"/>
  <c r="EN192"/>
  <c r="EP192"/>
  <c r="EQ192"/>
  <c r="ET192"/>
  <c r="EU192"/>
  <c r="EL193"/>
  <c r="EM193"/>
  <c r="EN193"/>
  <c r="EP193"/>
  <c r="ER193" s="1"/>
  <c r="EQ193"/>
  <c r="ET193"/>
  <c r="EU193"/>
  <c r="EL194"/>
  <c r="EM194"/>
  <c r="EN194"/>
  <c r="EP194"/>
  <c r="EQ194"/>
  <c r="ET194"/>
  <c r="EU194"/>
  <c r="EL195"/>
  <c r="EM195"/>
  <c r="EN195"/>
  <c r="EP195"/>
  <c r="EQ195"/>
  <c r="ET195"/>
  <c r="EU195"/>
  <c r="EL196"/>
  <c r="EM196"/>
  <c r="EN196"/>
  <c r="EP196"/>
  <c r="EQ196"/>
  <c r="ET196"/>
  <c r="EU196"/>
  <c r="EL197"/>
  <c r="EM197"/>
  <c r="EN197"/>
  <c r="EP197"/>
  <c r="EQ197"/>
  <c r="ET197"/>
  <c r="EU197"/>
  <c r="EL198"/>
  <c r="EM198"/>
  <c r="EN198"/>
  <c r="EP198"/>
  <c r="EQ198"/>
  <c r="ET198"/>
  <c r="EU198"/>
  <c r="EL199"/>
  <c r="EM199"/>
  <c r="EN199"/>
  <c r="EP199"/>
  <c r="EQ199"/>
  <c r="ET199"/>
  <c r="EU199"/>
  <c r="EL200"/>
  <c r="EM200"/>
  <c r="EN200"/>
  <c r="EP200"/>
  <c r="EQ200"/>
  <c r="ET200"/>
  <c r="EU200"/>
  <c r="EL201"/>
  <c r="EM201"/>
  <c r="EN201"/>
  <c r="EP201"/>
  <c r="EQ201"/>
  <c r="ET201"/>
  <c r="EU201"/>
  <c r="EL202"/>
  <c r="EM202"/>
  <c r="EN202"/>
  <c r="EP202"/>
  <c r="EQ202"/>
  <c r="ET202"/>
  <c r="EU202"/>
  <c r="EL203"/>
  <c r="EM203"/>
  <c r="EN203"/>
  <c r="EP203"/>
  <c r="EQ203"/>
  <c r="ET203"/>
  <c r="EU203"/>
  <c r="EL204"/>
  <c r="EM204"/>
  <c r="EN204"/>
  <c r="EP204"/>
  <c r="EQ204"/>
  <c r="ET204"/>
  <c r="EU204"/>
  <c r="EL205"/>
  <c r="EM205"/>
  <c r="EN205"/>
  <c r="EP205"/>
  <c r="EQ205"/>
  <c r="ET205"/>
  <c r="EU205"/>
  <c r="EL206"/>
  <c r="EM206"/>
  <c r="EN206"/>
  <c r="EP206"/>
  <c r="EQ206"/>
  <c r="ET206"/>
  <c r="EU206"/>
  <c r="EU6"/>
  <c r="ET6"/>
  <c r="EQ6"/>
  <c r="EP6"/>
  <c r="EM6"/>
  <c r="EN6"/>
  <c r="EV5"/>
  <c r="EU5"/>
  <c r="ET5"/>
  <c r="ER5"/>
  <c r="EQ5"/>
  <c r="EP5"/>
  <c r="EW4"/>
  <c r="ET4"/>
  <c r="ES4"/>
  <c r="EP4"/>
  <c r="EL4"/>
  <c r="DZ7"/>
  <c r="EA7"/>
  <c r="EB7"/>
  <c r="ED7"/>
  <c r="EF7"/>
  <c r="DZ8"/>
  <c r="EA8"/>
  <c r="EB8"/>
  <c r="ED8"/>
  <c r="EF8"/>
  <c r="DZ9"/>
  <c r="EA9"/>
  <c r="EB9"/>
  <c r="ED9"/>
  <c r="EF9"/>
  <c r="DZ10"/>
  <c r="EA10"/>
  <c r="EB10"/>
  <c r="ED10"/>
  <c r="EF10"/>
  <c r="DZ11"/>
  <c r="EA11"/>
  <c r="EB11"/>
  <c r="ED11"/>
  <c r="EF11"/>
  <c r="DZ12"/>
  <c r="EA12"/>
  <c r="EB12"/>
  <c r="ED12"/>
  <c r="EF12"/>
  <c r="DZ13"/>
  <c r="EA13"/>
  <c r="EB13"/>
  <c r="ED13"/>
  <c r="EF13"/>
  <c r="DZ14"/>
  <c r="EA14"/>
  <c r="EB14"/>
  <c r="ED14"/>
  <c r="EF14"/>
  <c r="DZ15"/>
  <c r="EA15"/>
  <c r="EB15"/>
  <c r="ED15"/>
  <c r="EF15"/>
  <c r="DZ16"/>
  <c r="EA16"/>
  <c r="EB16"/>
  <c r="ED16"/>
  <c r="EF16"/>
  <c r="DZ17"/>
  <c r="EA17"/>
  <c r="EB17"/>
  <c r="ED17"/>
  <c r="EF17"/>
  <c r="DZ18"/>
  <c r="EA18"/>
  <c r="EB18"/>
  <c r="ED18"/>
  <c r="EF18"/>
  <c r="DZ19"/>
  <c r="EA19"/>
  <c r="EB19"/>
  <c r="ED19"/>
  <c r="EF19"/>
  <c r="DZ20"/>
  <c r="EA20"/>
  <c r="EB20"/>
  <c r="ED20"/>
  <c r="EF20"/>
  <c r="DZ21"/>
  <c r="EA21"/>
  <c r="EB21"/>
  <c r="ED21"/>
  <c r="EF21"/>
  <c r="DZ22"/>
  <c r="EA22"/>
  <c r="EB22"/>
  <c r="ED22"/>
  <c r="EF22"/>
  <c r="DZ23"/>
  <c r="EA23"/>
  <c r="EB23"/>
  <c r="ED23"/>
  <c r="EF23"/>
  <c r="DZ24"/>
  <c r="EA24"/>
  <c r="EB24"/>
  <c r="ED24"/>
  <c r="EF24"/>
  <c r="DZ25"/>
  <c r="EA25"/>
  <c r="EB25"/>
  <c r="ED25"/>
  <c r="EF25"/>
  <c r="DZ26"/>
  <c r="EA26"/>
  <c r="EB26"/>
  <c r="ED26"/>
  <c r="EF26"/>
  <c r="DZ27"/>
  <c r="EA27"/>
  <c r="EB27"/>
  <c r="ED27"/>
  <c r="EF27"/>
  <c r="DZ28"/>
  <c r="EA28"/>
  <c r="EB28"/>
  <c r="ED28"/>
  <c r="EF28"/>
  <c r="DZ29"/>
  <c r="EA29"/>
  <c r="EB29"/>
  <c r="ED29"/>
  <c r="EF29"/>
  <c r="DZ30"/>
  <c r="EA30"/>
  <c r="EB30"/>
  <c r="ED30"/>
  <c r="EF30"/>
  <c r="DZ31"/>
  <c r="EA31"/>
  <c r="EB31"/>
  <c r="ED31"/>
  <c r="EF31"/>
  <c r="DZ32"/>
  <c r="EA32"/>
  <c r="EB32"/>
  <c r="ED32"/>
  <c r="EF32"/>
  <c r="DZ33"/>
  <c r="EA33"/>
  <c r="EB33"/>
  <c r="ED33"/>
  <c r="EF33"/>
  <c r="DZ34"/>
  <c r="EA34"/>
  <c r="EB34"/>
  <c r="ED34"/>
  <c r="EF34"/>
  <c r="DZ35"/>
  <c r="EA35"/>
  <c r="EB35"/>
  <c r="ED35"/>
  <c r="EF35"/>
  <c r="DZ36"/>
  <c r="EA36"/>
  <c r="EB36"/>
  <c r="ED36"/>
  <c r="EF36"/>
  <c r="DZ37"/>
  <c r="EA37"/>
  <c r="EB37"/>
  <c r="ED37"/>
  <c r="EF37"/>
  <c r="DZ38"/>
  <c r="EA38"/>
  <c r="EB38"/>
  <c r="ED38"/>
  <c r="EF38"/>
  <c r="DZ39"/>
  <c r="EA39"/>
  <c r="EB39"/>
  <c r="ED39"/>
  <c r="EF39"/>
  <c r="DZ40"/>
  <c r="EA40"/>
  <c r="EB40"/>
  <c r="ED40"/>
  <c r="EF40"/>
  <c r="DZ41"/>
  <c r="EA41"/>
  <c r="EB41"/>
  <c r="ED41"/>
  <c r="EF41"/>
  <c r="DZ42"/>
  <c r="EA42"/>
  <c r="EB42"/>
  <c r="ED42"/>
  <c r="EF42"/>
  <c r="DZ43"/>
  <c r="EA43"/>
  <c r="EB43"/>
  <c r="ED43"/>
  <c r="EF43"/>
  <c r="DZ44"/>
  <c r="EA44"/>
  <c r="EB44"/>
  <c r="ED44"/>
  <c r="EF44"/>
  <c r="DZ45"/>
  <c r="EA45"/>
  <c r="EB45"/>
  <c r="ED45"/>
  <c r="EF45"/>
  <c r="DZ46"/>
  <c r="EA46"/>
  <c r="EB46"/>
  <c r="ED46"/>
  <c r="EF46"/>
  <c r="DZ47"/>
  <c r="EA47"/>
  <c r="EB47"/>
  <c r="ED47"/>
  <c r="EF47"/>
  <c r="DZ48"/>
  <c r="EA48"/>
  <c r="EB48"/>
  <c r="ED48"/>
  <c r="EF48"/>
  <c r="DZ49"/>
  <c r="EA49"/>
  <c r="EB49"/>
  <c r="ED49"/>
  <c r="EF49"/>
  <c r="DZ50"/>
  <c r="EA50"/>
  <c r="EB50"/>
  <c r="ED50"/>
  <c r="EF50"/>
  <c r="DZ51"/>
  <c r="EA51"/>
  <c r="EB51"/>
  <c r="ED51"/>
  <c r="EF51"/>
  <c r="DZ52"/>
  <c r="EA52"/>
  <c r="EB52"/>
  <c r="ED52"/>
  <c r="EF52"/>
  <c r="DZ53"/>
  <c r="EA53"/>
  <c r="EB53"/>
  <c r="ED53"/>
  <c r="EF53"/>
  <c r="DZ54"/>
  <c r="EA54"/>
  <c r="EB54"/>
  <c r="ED54"/>
  <c r="EF54"/>
  <c r="DZ55"/>
  <c r="EA55"/>
  <c r="EB55"/>
  <c r="ED55"/>
  <c r="EF55"/>
  <c r="DZ56"/>
  <c r="EA56"/>
  <c r="EB56"/>
  <c r="ED56"/>
  <c r="EF56"/>
  <c r="DZ57"/>
  <c r="EA57"/>
  <c r="EB57"/>
  <c r="ED57"/>
  <c r="EF57"/>
  <c r="DZ58"/>
  <c r="EA58"/>
  <c r="EB58"/>
  <c r="ED58"/>
  <c r="EF58"/>
  <c r="DZ59"/>
  <c r="EA59"/>
  <c r="EB59"/>
  <c r="ED59"/>
  <c r="EF59"/>
  <c r="DZ60"/>
  <c r="EA60"/>
  <c r="EB60"/>
  <c r="ED60"/>
  <c r="EF60"/>
  <c r="DZ61"/>
  <c r="EA61"/>
  <c r="EB61"/>
  <c r="ED61"/>
  <c r="EF61"/>
  <c r="DZ62"/>
  <c r="EA62"/>
  <c r="EB62"/>
  <c r="ED62"/>
  <c r="EF62"/>
  <c r="DZ63"/>
  <c r="EA63"/>
  <c r="EB63"/>
  <c r="ED63"/>
  <c r="EF63"/>
  <c r="DZ64"/>
  <c r="EA64"/>
  <c r="EB64"/>
  <c r="ED64"/>
  <c r="EF64"/>
  <c r="DZ65"/>
  <c r="EA65"/>
  <c r="EB65"/>
  <c r="ED65"/>
  <c r="EF65"/>
  <c r="DZ66"/>
  <c r="EA66"/>
  <c r="EB66"/>
  <c r="ED66"/>
  <c r="EF66"/>
  <c r="DZ67"/>
  <c r="EA67"/>
  <c r="EB67"/>
  <c r="ED67"/>
  <c r="EF67"/>
  <c r="DZ68"/>
  <c r="EA68"/>
  <c r="EB68"/>
  <c r="ED68"/>
  <c r="EF68"/>
  <c r="DZ69"/>
  <c r="EA69"/>
  <c r="EB69"/>
  <c r="ED69"/>
  <c r="EF69"/>
  <c r="DZ70"/>
  <c r="EA70"/>
  <c r="EB70"/>
  <c r="ED70"/>
  <c r="EF70"/>
  <c r="DZ71"/>
  <c r="EA71"/>
  <c r="EB71"/>
  <c r="ED71"/>
  <c r="EF71"/>
  <c r="DZ72"/>
  <c r="EA72"/>
  <c r="EB72"/>
  <c r="ED72"/>
  <c r="EF72"/>
  <c r="DZ73"/>
  <c r="EA73"/>
  <c r="EB73"/>
  <c r="ED73"/>
  <c r="EF73"/>
  <c r="DZ74"/>
  <c r="EA74"/>
  <c r="EB74"/>
  <c r="ED74"/>
  <c r="EF74"/>
  <c r="DZ75"/>
  <c r="EA75"/>
  <c r="EB75"/>
  <c r="ED75"/>
  <c r="EF75"/>
  <c r="DZ76"/>
  <c r="EA76"/>
  <c r="EB76"/>
  <c r="ED76"/>
  <c r="EF76"/>
  <c r="DZ77"/>
  <c r="EA77"/>
  <c r="EB77"/>
  <c r="ED77"/>
  <c r="EF77"/>
  <c r="DZ78"/>
  <c r="EA78"/>
  <c r="EB78"/>
  <c r="ED78"/>
  <c r="EF78"/>
  <c r="DZ79"/>
  <c r="EA79"/>
  <c r="EB79"/>
  <c r="ED79"/>
  <c r="EF79"/>
  <c r="DZ80"/>
  <c r="EA80"/>
  <c r="EB80"/>
  <c r="ED80"/>
  <c r="EF80"/>
  <c r="DZ81"/>
  <c r="EA81"/>
  <c r="EB81"/>
  <c r="ED81"/>
  <c r="EF81"/>
  <c r="DZ82"/>
  <c r="EA82"/>
  <c r="EB82"/>
  <c r="ED82"/>
  <c r="EF82"/>
  <c r="DZ83"/>
  <c r="EA83"/>
  <c r="EB83"/>
  <c r="ED83"/>
  <c r="EF83"/>
  <c r="DZ84"/>
  <c r="EA84"/>
  <c r="EB84"/>
  <c r="ED84"/>
  <c r="EF84"/>
  <c r="DZ85"/>
  <c r="EA85"/>
  <c r="EB85"/>
  <c r="ED85"/>
  <c r="EF85"/>
  <c r="DZ86"/>
  <c r="EA86"/>
  <c r="EB86"/>
  <c r="ED86"/>
  <c r="EF86"/>
  <c r="DZ87"/>
  <c r="EA87"/>
  <c r="EB87"/>
  <c r="ED87"/>
  <c r="EF87"/>
  <c r="DZ88"/>
  <c r="EA88"/>
  <c r="EB88"/>
  <c r="ED88"/>
  <c r="EF88"/>
  <c r="DZ89"/>
  <c r="EA89"/>
  <c r="EB89"/>
  <c r="ED89"/>
  <c r="EF89"/>
  <c r="DZ90"/>
  <c r="EA90"/>
  <c r="EB90"/>
  <c r="ED90"/>
  <c r="EF90"/>
  <c r="DZ91"/>
  <c r="EA91"/>
  <c r="EB91"/>
  <c r="ED91"/>
  <c r="EF91"/>
  <c r="DZ92"/>
  <c r="EA92"/>
  <c r="EB92"/>
  <c r="ED92"/>
  <c r="EF92"/>
  <c r="DZ93"/>
  <c r="EA93"/>
  <c r="EB93"/>
  <c r="ED93"/>
  <c r="EF93"/>
  <c r="DZ94"/>
  <c r="EA94"/>
  <c r="EB94"/>
  <c r="ED94"/>
  <c r="EF94"/>
  <c r="DZ95"/>
  <c r="EA95"/>
  <c r="EB95"/>
  <c r="ED95"/>
  <c r="EF95"/>
  <c r="DZ96"/>
  <c r="EA96"/>
  <c r="EB96"/>
  <c r="ED96"/>
  <c r="EF96"/>
  <c r="DZ97"/>
  <c r="EA97"/>
  <c r="EB97"/>
  <c r="ED97"/>
  <c r="EF97"/>
  <c r="DZ98"/>
  <c r="EA98"/>
  <c r="EB98"/>
  <c r="ED98"/>
  <c r="EF98"/>
  <c r="DZ99"/>
  <c r="EA99"/>
  <c r="EB99"/>
  <c r="ED99"/>
  <c r="EF99"/>
  <c r="DZ100"/>
  <c r="EA100"/>
  <c r="EB100"/>
  <c r="ED100"/>
  <c r="EF100"/>
  <c r="DZ101"/>
  <c r="EA101"/>
  <c r="EB101"/>
  <c r="ED101"/>
  <c r="EF101"/>
  <c r="DZ102"/>
  <c r="EA102"/>
  <c r="EB102"/>
  <c r="ED102"/>
  <c r="EF102"/>
  <c r="DZ103"/>
  <c r="EA103"/>
  <c r="EB103"/>
  <c r="ED103"/>
  <c r="EF103"/>
  <c r="DZ104"/>
  <c r="EA104"/>
  <c r="EB104"/>
  <c r="ED104"/>
  <c r="EF104"/>
  <c r="DZ105"/>
  <c r="EA105"/>
  <c r="EB105"/>
  <c r="ED105"/>
  <c r="EF105"/>
  <c r="DZ106"/>
  <c r="EA106"/>
  <c r="EB106"/>
  <c r="ED106"/>
  <c r="EF106"/>
  <c r="DZ107"/>
  <c r="EA107"/>
  <c r="EB107"/>
  <c r="ED107"/>
  <c r="EF107"/>
  <c r="DZ108"/>
  <c r="EA108"/>
  <c r="EB108"/>
  <c r="ED108"/>
  <c r="EF108"/>
  <c r="DZ109"/>
  <c r="EA109"/>
  <c r="EB109"/>
  <c r="ED109"/>
  <c r="EF109"/>
  <c r="DZ110"/>
  <c r="EA110"/>
  <c r="EB110"/>
  <c r="ED110"/>
  <c r="EF110"/>
  <c r="DZ111"/>
  <c r="EA111"/>
  <c r="EB111"/>
  <c r="ED111"/>
  <c r="EF111"/>
  <c r="DZ112"/>
  <c r="EA112"/>
  <c r="EB112"/>
  <c r="ED112"/>
  <c r="EF112"/>
  <c r="DZ113"/>
  <c r="EA113"/>
  <c r="EB113"/>
  <c r="ED113"/>
  <c r="EF113"/>
  <c r="DZ114"/>
  <c r="EA114"/>
  <c r="EB114"/>
  <c r="ED114"/>
  <c r="EF114"/>
  <c r="DZ115"/>
  <c r="EA115"/>
  <c r="EB115"/>
  <c r="ED115"/>
  <c r="EF115"/>
  <c r="DZ116"/>
  <c r="EA116"/>
  <c r="EB116"/>
  <c r="ED116"/>
  <c r="EF116"/>
  <c r="DZ117"/>
  <c r="EA117"/>
  <c r="EB117"/>
  <c r="ED117"/>
  <c r="EF117"/>
  <c r="DZ118"/>
  <c r="EA118"/>
  <c r="EB118"/>
  <c r="ED118"/>
  <c r="EF118"/>
  <c r="DZ119"/>
  <c r="EA119"/>
  <c r="EB119"/>
  <c r="ED119"/>
  <c r="EF119"/>
  <c r="DZ120"/>
  <c r="EA120"/>
  <c r="EB120"/>
  <c r="ED120"/>
  <c r="EF120"/>
  <c r="DZ121"/>
  <c r="EA121"/>
  <c r="EB121"/>
  <c r="ED121"/>
  <c r="EF121"/>
  <c r="DZ122"/>
  <c r="EA122"/>
  <c r="EB122"/>
  <c r="ED122"/>
  <c r="EF122"/>
  <c r="DZ123"/>
  <c r="EA123"/>
  <c r="EB123"/>
  <c r="ED123"/>
  <c r="EF123"/>
  <c r="DZ124"/>
  <c r="EA124"/>
  <c r="EB124"/>
  <c r="ED124"/>
  <c r="EF124"/>
  <c r="DZ125"/>
  <c r="EA125"/>
  <c r="EB125"/>
  <c r="ED125"/>
  <c r="EF125"/>
  <c r="DZ126"/>
  <c r="EA126"/>
  <c r="EB126"/>
  <c r="ED126"/>
  <c r="EF126"/>
  <c r="DZ127"/>
  <c r="EA127"/>
  <c r="EB127"/>
  <c r="ED127"/>
  <c r="EF127"/>
  <c r="DZ128"/>
  <c r="EA128"/>
  <c r="EB128"/>
  <c r="ED128"/>
  <c r="EF128"/>
  <c r="DZ129"/>
  <c r="EA129"/>
  <c r="EB129"/>
  <c r="ED129"/>
  <c r="EF129"/>
  <c r="DZ130"/>
  <c r="EA130"/>
  <c r="EB130"/>
  <c r="ED130"/>
  <c r="EF130"/>
  <c r="DZ131"/>
  <c r="EA131"/>
  <c r="EB131"/>
  <c r="ED131"/>
  <c r="EF131"/>
  <c r="DZ132"/>
  <c r="EA132"/>
  <c r="EB132"/>
  <c r="ED132"/>
  <c r="EF132"/>
  <c r="DZ133"/>
  <c r="EA133"/>
  <c r="EB133"/>
  <c r="ED133"/>
  <c r="EF133"/>
  <c r="DZ134"/>
  <c r="EA134"/>
  <c r="EB134"/>
  <c r="ED134"/>
  <c r="EF134"/>
  <c r="DZ135"/>
  <c r="EA135"/>
  <c r="EB135"/>
  <c r="ED135"/>
  <c r="EF135"/>
  <c r="DZ136"/>
  <c r="EA136"/>
  <c r="EB136"/>
  <c r="ED136"/>
  <c r="EF136"/>
  <c r="DZ137"/>
  <c r="EA137"/>
  <c r="EB137"/>
  <c r="ED137"/>
  <c r="EF137"/>
  <c r="DZ138"/>
  <c r="EA138"/>
  <c r="EB138"/>
  <c r="ED138"/>
  <c r="EF138"/>
  <c r="DZ139"/>
  <c r="EA139"/>
  <c r="EB139"/>
  <c r="ED139"/>
  <c r="EF139"/>
  <c r="DZ140"/>
  <c r="EA140"/>
  <c r="EB140"/>
  <c r="ED140"/>
  <c r="EF140"/>
  <c r="DZ141"/>
  <c r="EA141"/>
  <c r="EB141"/>
  <c r="ED141"/>
  <c r="EF141"/>
  <c r="DZ142"/>
  <c r="EA142"/>
  <c r="EB142"/>
  <c r="ED142"/>
  <c r="EF142"/>
  <c r="DZ143"/>
  <c r="EA143"/>
  <c r="EB143"/>
  <c r="ED143"/>
  <c r="EF143"/>
  <c r="DZ144"/>
  <c r="EA144"/>
  <c r="EB144"/>
  <c r="ED144"/>
  <c r="EF144"/>
  <c r="DZ145"/>
  <c r="EA145"/>
  <c r="EB145"/>
  <c r="ED145"/>
  <c r="EF145"/>
  <c r="DZ146"/>
  <c r="EA146"/>
  <c r="EB146"/>
  <c r="ED146"/>
  <c r="EF146"/>
  <c r="DZ147"/>
  <c r="EA147"/>
  <c r="EB147"/>
  <c r="ED147"/>
  <c r="EF147"/>
  <c r="DZ148"/>
  <c r="EA148"/>
  <c r="EB148"/>
  <c r="ED148"/>
  <c r="EF148"/>
  <c r="DZ149"/>
  <c r="EA149"/>
  <c r="EB149"/>
  <c r="ED149"/>
  <c r="EF149"/>
  <c r="DZ150"/>
  <c r="EA150"/>
  <c r="EB150"/>
  <c r="ED150"/>
  <c r="EF150"/>
  <c r="DZ151"/>
  <c r="EA151"/>
  <c r="EB151"/>
  <c r="ED151"/>
  <c r="EF151"/>
  <c r="DZ152"/>
  <c r="EA152"/>
  <c r="EB152"/>
  <c r="ED152"/>
  <c r="EF152"/>
  <c r="DZ153"/>
  <c r="EA153"/>
  <c r="EB153"/>
  <c r="ED153"/>
  <c r="EF153"/>
  <c r="DZ154"/>
  <c r="EA154"/>
  <c r="EB154"/>
  <c r="ED154"/>
  <c r="EF154"/>
  <c r="DZ155"/>
  <c r="EA155"/>
  <c r="EB155"/>
  <c r="ED155"/>
  <c r="EF155"/>
  <c r="DZ156"/>
  <c r="EA156"/>
  <c r="EB156"/>
  <c r="ED156"/>
  <c r="EF156"/>
  <c r="DZ157"/>
  <c r="EA157"/>
  <c r="EB157"/>
  <c r="ED157"/>
  <c r="EF157"/>
  <c r="DZ158"/>
  <c r="EA158"/>
  <c r="EB158"/>
  <c r="ED158"/>
  <c r="EF158"/>
  <c r="DZ159"/>
  <c r="EA159"/>
  <c r="EB159"/>
  <c r="ED159"/>
  <c r="EF159"/>
  <c r="DZ160"/>
  <c r="EA160"/>
  <c r="EB160"/>
  <c r="ED160"/>
  <c r="EF160"/>
  <c r="DZ161"/>
  <c r="EA161"/>
  <c r="EB161"/>
  <c r="ED161"/>
  <c r="EF161"/>
  <c r="DZ162"/>
  <c r="EA162"/>
  <c r="EB162"/>
  <c r="ED162"/>
  <c r="EF162"/>
  <c r="DZ163"/>
  <c r="EA163"/>
  <c r="EB163"/>
  <c r="ED163"/>
  <c r="EF163"/>
  <c r="DZ164"/>
  <c r="EA164"/>
  <c r="EB164"/>
  <c r="ED164"/>
  <c r="EF164"/>
  <c r="DZ165"/>
  <c r="EA165"/>
  <c r="EB165"/>
  <c r="ED165"/>
  <c r="EF165"/>
  <c r="DZ166"/>
  <c r="EA166"/>
  <c r="EB166"/>
  <c r="ED166"/>
  <c r="EF166"/>
  <c r="DZ167"/>
  <c r="EA167"/>
  <c r="EB167"/>
  <c r="ED167"/>
  <c r="EF167"/>
  <c r="DZ168"/>
  <c r="EA168"/>
  <c r="EB168"/>
  <c r="ED168"/>
  <c r="EF168"/>
  <c r="DZ169"/>
  <c r="EA169"/>
  <c r="EB169"/>
  <c r="ED169"/>
  <c r="EF169"/>
  <c r="DZ170"/>
  <c r="EA170"/>
  <c r="EB170"/>
  <c r="ED170"/>
  <c r="EF170"/>
  <c r="DZ171"/>
  <c r="EA171"/>
  <c r="EB171"/>
  <c r="ED171"/>
  <c r="EF171"/>
  <c r="DZ172"/>
  <c r="EA172"/>
  <c r="EB172"/>
  <c r="ED172"/>
  <c r="EF172"/>
  <c r="DZ173"/>
  <c r="EA173"/>
  <c r="EB173"/>
  <c r="ED173"/>
  <c r="EF173"/>
  <c r="DZ174"/>
  <c r="EA174"/>
  <c r="EB174"/>
  <c r="ED174"/>
  <c r="EF174"/>
  <c r="DZ175"/>
  <c r="EA175"/>
  <c r="EB175"/>
  <c r="ED175"/>
  <c r="EF175"/>
  <c r="DZ176"/>
  <c r="EA176"/>
  <c r="EB176"/>
  <c r="ED176"/>
  <c r="EF176"/>
  <c r="DZ177"/>
  <c r="EA177"/>
  <c r="EB177"/>
  <c r="ED177"/>
  <c r="EF177"/>
  <c r="DZ178"/>
  <c r="EA178"/>
  <c r="EB178"/>
  <c r="ED178"/>
  <c r="EF178"/>
  <c r="DZ179"/>
  <c r="EA179"/>
  <c r="EB179"/>
  <c r="ED179"/>
  <c r="EF179"/>
  <c r="DZ180"/>
  <c r="EA180"/>
  <c r="EB180"/>
  <c r="ED180"/>
  <c r="EF180"/>
  <c r="DZ181"/>
  <c r="EA181"/>
  <c r="EB181"/>
  <c r="ED181"/>
  <c r="EF181"/>
  <c r="DZ182"/>
  <c r="EA182"/>
  <c r="EB182"/>
  <c r="ED182"/>
  <c r="EF182"/>
  <c r="DZ183"/>
  <c r="EA183"/>
  <c r="EB183"/>
  <c r="ED183"/>
  <c r="EF183"/>
  <c r="DZ184"/>
  <c r="EA184"/>
  <c r="EB184"/>
  <c r="ED184"/>
  <c r="EF184"/>
  <c r="DZ185"/>
  <c r="EA185"/>
  <c r="EB185"/>
  <c r="ED185"/>
  <c r="EF185"/>
  <c r="DZ186"/>
  <c r="EA186"/>
  <c r="EB186"/>
  <c r="ED186"/>
  <c r="EF186"/>
  <c r="DZ187"/>
  <c r="EA187"/>
  <c r="EB187"/>
  <c r="ED187"/>
  <c r="EF187"/>
  <c r="DZ188"/>
  <c r="EA188"/>
  <c r="EB188"/>
  <c r="ED188"/>
  <c r="EF188"/>
  <c r="DZ189"/>
  <c r="EA189"/>
  <c r="EB189"/>
  <c r="ED189"/>
  <c r="EF189"/>
  <c r="DZ190"/>
  <c r="EA190"/>
  <c r="EB190"/>
  <c r="ED190"/>
  <c r="EF190"/>
  <c r="DZ191"/>
  <c r="EA191"/>
  <c r="EB191"/>
  <c r="ED191"/>
  <c r="EF191"/>
  <c r="DZ192"/>
  <c r="EA192"/>
  <c r="EB192"/>
  <c r="ED192"/>
  <c r="EF192"/>
  <c r="DZ193"/>
  <c r="EA193"/>
  <c r="EB193"/>
  <c r="ED193"/>
  <c r="EF193"/>
  <c r="DZ194"/>
  <c r="EA194"/>
  <c r="EB194"/>
  <c r="ED194"/>
  <c r="EF194"/>
  <c r="DZ195"/>
  <c r="EA195"/>
  <c r="EB195"/>
  <c r="ED195"/>
  <c r="EF195"/>
  <c r="DZ196"/>
  <c r="EA196"/>
  <c r="EB196"/>
  <c r="ED196"/>
  <c r="EF196"/>
  <c r="DZ197"/>
  <c r="EA197"/>
  <c r="EB197"/>
  <c r="ED197"/>
  <c r="EF197"/>
  <c r="DZ198"/>
  <c r="EA198"/>
  <c r="EB198"/>
  <c r="ED198"/>
  <c r="EF198"/>
  <c r="DZ199"/>
  <c r="EA199"/>
  <c r="EB199"/>
  <c r="ED199"/>
  <c r="EF199"/>
  <c r="DZ200"/>
  <c r="EA200"/>
  <c r="EB200"/>
  <c r="ED200"/>
  <c r="EF200"/>
  <c r="DZ201"/>
  <c r="EA201"/>
  <c r="EB201"/>
  <c r="ED201"/>
  <c r="EF201"/>
  <c r="DZ202"/>
  <c r="EA202"/>
  <c r="EB202"/>
  <c r="ED202"/>
  <c r="EF202"/>
  <c r="DZ203"/>
  <c r="EA203"/>
  <c r="EB203"/>
  <c r="ED203"/>
  <c r="EF203"/>
  <c r="DZ204"/>
  <c r="EA204"/>
  <c r="EB204"/>
  <c r="ED204"/>
  <c r="EF204"/>
  <c r="DZ205"/>
  <c r="EA205"/>
  <c r="EB205"/>
  <c r="ED205"/>
  <c r="EF205"/>
  <c r="DZ206"/>
  <c r="EA206"/>
  <c r="EB206"/>
  <c r="ED206"/>
  <c r="EF206"/>
  <c r="EF6"/>
  <c r="EA6"/>
  <c r="EB6"/>
  <c r="EH4"/>
  <c r="EG4"/>
  <c r="EC5"/>
  <c r="EB5"/>
  <c r="EA5"/>
  <c r="DZ5"/>
  <c r="EF4"/>
  <c r="EE4"/>
  <c r="ED4"/>
  <c r="DZ4"/>
  <c r="CS4"/>
  <c r="AA178" i="19" l="1"/>
  <c r="U155"/>
  <c r="AB97"/>
  <c r="K166"/>
  <c r="AX156"/>
  <c r="AV156"/>
  <c r="AW156"/>
  <c r="AW130"/>
  <c r="BA129"/>
  <c r="BB129"/>
  <c r="BB127"/>
  <c r="BC129"/>
  <c r="AW128"/>
  <c r="L127" s="1"/>
  <c r="K168"/>
  <c r="N170"/>
  <c r="K167"/>
  <c r="K164"/>
  <c r="C168"/>
  <c r="K163"/>
  <c r="K165"/>
  <c r="O171"/>
  <c r="C170"/>
  <c r="V174"/>
  <c r="AC170"/>
  <c r="X170"/>
  <c r="T170"/>
  <c r="AB168"/>
  <c r="AD168" s="1"/>
  <c r="U168"/>
  <c r="X167"/>
  <c r="Z167" s="1"/>
  <c r="T167"/>
  <c r="AE166"/>
  <c r="V166"/>
  <c r="X165"/>
  <c r="Z165" s="1"/>
  <c r="T165"/>
  <c r="AE164"/>
  <c r="V164"/>
  <c r="W163"/>
  <c r="S158"/>
  <c r="R178"/>
  <c r="AE170"/>
  <c r="Y170"/>
  <c r="U170"/>
  <c r="AE168"/>
  <c r="V168"/>
  <c r="AB167"/>
  <c r="AD167" s="1"/>
  <c r="U167"/>
  <c r="W166"/>
  <c r="AB165"/>
  <c r="AD165" s="1"/>
  <c r="U165"/>
  <c r="W164"/>
  <c r="X163"/>
  <c r="Z163" s="1"/>
  <c r="T163"/>
  <c r="AB156"/>
  <c r="BB155" s="1"/>
  <c r="AB155"/>
  <c r="V154"/>
  <c r="L188"/>
  <c r="W178"/>
  <c r="AD173"/>
  <c r="AD172"/>
  <c r="Z170"/>
  <c r="V170"/>
  <c r="W168"/>
  <c r="AE167"/>
  <c r="V167"/>
  <c r="X166"/>
  <c r="Z166" s="1"/>
  <c r="T166"/>
  <c r="AE165"/>
  <c r="V165"/>
  <c r="X164"/>
  <c r="Z164" s="1"/>
  <c r="T164"/>
  <c r="AB163"/>
  <c r="AD163" s="1"/>
  <c r="U163"/>
  <c r="S157"/>
  <c r="AC174"/>
  <c r="V173"/>
  <c r="V172"/>
  <c r="AB170"/>
  <c r="AD170" s="1"/>
  <c r="W170"/>
  <c r="R170"/>
  <c r="X168"/>
  <c r="Z168" s="1"/>
  <c r="T168"/>
  <c r="W167"/>
  <c r="AB166"/>
  <c r="AD166" s="1"/>
  <c r="U166"/>
  <c r="W165"/>
  <c r="AB164"/>
  <c r="AD164" s="1"/>
  <c r="U164"/>
  <c r="AE163"/>
  <c r="V163"/>
  <c r="S156"/>
  <c r="FO20" i="9"/>
  <c r="FK19"/>
  <c r="HK4"/>
  <c r="GY5"/>
  <c r="BS208"/>
  <c r="B11" i="6" s="1"/>
  <c r="EV187" i="9"/>
  <c r="ER185"/>
  <c r="FX139"/>
  <c r="BH209"/>
  <c r="A10" i="6" s="1"/>
  <c r="FK190" i="9"/>
  <c r="FK186"/>
  <c r="FO131"/>
  <c r="FK130"/>
  <c r="FH23"/>
  <c r="FK18"/>
  <c r="FK10"/>
  <c r="FO7"/>
  <c r="GF30"/>
  <c r="FX12"/>
  <c r="FX8"/>
  <c r="GF82"/>
  <c r="FO190"/>
  <c r="GF75"/>
  <c r="FH87"/>
  <c r="FK202"/>
  <c r="FK146"/>
  <c r="FO143"/>
  <c r="FK90"/>
  <c r="FO84"/>
  <c r="FO82"/>
  <c r="FO78"/>
  <c r="FO64"/>
  <c r="FO62"/>
  <c r="FO46"/>
  <c r="FO28"/>
  <c r="FO26"/>
  <c r="GF191"/>
  <c r="GF158"/>
  <c r="GF107"/>
  <c r="GF63"/>
  <c r="FK115"/>
  <c r="FK111"/>
  <c r="FO102"/>
  <c r="FK97"/>
  <c r="FK95"/>
  <c r="GF200"/>
  <c r="GF199"/>
  <c r="GF178"/>
  <c r="GF136"/>
  <c r="FK126"/>
  <c r="FO115"/>
  <c r="FX203"/>
  <c r="FX169"/>
  <c r="GF186"/>
  <c r="GF185"/>
  <c r="GF166"/>
  <c r="GF165"/>
  <c r="FO206"/>
  <c r="FO202"/>
  <c r="FO194"/>
  <c r="GI180"/>
  <c r="GI201"/>
  <c r="GI193"/>
  <c r="GF157"/>
  <c r="GF150"/>
  <c r="GF149"/>
  <c r="GF141"/>
  <c r="GI137"/>
  <c r="GI131"/>
  <c r="GF91"/>
  <c r="GF54"/>
  <c r="GF34"/>
  <c r="FK174"/>
  <c r="FK170"/>
  <c r="FO159"/>
  <c r="FK157"/>
  <c r="FO156"/>
  <c r="FK155"/>
  <c r="FK147"/>
  <c r="FO146"/>
  <c r="FO142"/>
  <c r="FO138"/>
  <c r="FO134"/>
  <c r="FK133"/>
  <c r="FO132"/>
  <c r="FK131"/>
  <c r="FK127"/>
  <c r="FO81"/>
  <c r="FO79"/>
  <c r="FO61"/>
  <c r="FO59"/>
  <c r="FO53"/>
  <c r="FK17"/>
  <c r="FK15"/>
  <c r="FK7"/>
  <c r="GA144"/>
  <c r="GA195"/>
  <c r="GF190"/>
  <c r="GF177"/>
  <c r="GI135"/>
  <c r="GI119"/>
  <c r="GI118"/>
  <c r="GI95"/>
  <c r="GI94"/>
  <c r="GI79"/>
  <c r="GI78"/>
  <c r="GF71"/>
  <c r="FK187"/>
  <c r="FO186"/>
  <c r="FH119"/>
  <c r="FK45"/>
  <c r="FK43"/>
  <c r="FK39"/>
  <c r="FK37"/>
  <c r="FX201"/>
  <c r="GA194"/>
  <c r="GA191"/>
  <c r="FX168"/>
  <c r="FX153"/>
  <c r="GI197"/>
  <c r="GF182"/>
  <c r="GF181"/>
  <c r="GF170"/>
  <c r="GF169"/>
  <c r="GF162"/>
  <c r="GF161"/>
  <c r="GF154"/>
  <c r="GF153"/>
  <c r="GI139"/>
  <c r="GI111"/>
  <c r="GI110"/>
  <c r="GF99"/>
  <c r="GI70"/>
  <c r="GF47"/>
  <c r="GF42"/>
  <c r="FO178"/>
  <c r="FK175"/>
  <c r="FO166"/>
  <c r="FH59"/>
  <c r="FK46"/>
  <c r="FO39"/>
  <c r="FX200"/>
  <c r="FX167"/>
  <c r="FX152"/>
  <c r="GF196"/>
  <c r="GF195"/>
  <c r="GF127"/>
  <c r="GI103"/>
  <c r="GI102"/>
  <c r="GI87"/>
  <c r="GI86"/>
  <c r="GF39"/>
  <c r="GF8"/>
  <c r="ER187"/>
  <c r="EV177"/>
  <c r="ER43"/>
  <c r="ER39"/>
  <c r="EV37"/>
  <c r="ER31"/>
  <c r="EV29"/>
  <c r="EV26"/>
  <c r="EV25"/>
  <c r="ER20"/>
  <c r="ER19"/>
  <c r="ER8"/>
  <c r="FK201"/>
  <c r="FO200"/>
  <c r="FK199"/>
  <c r="FO198"/>
  <c r="FO179"/>
  <c r="FH179"/>
  <c r="FK178"/>
  <c r="FO177"/>
  <c r="FK176"/>
  <c r="FH167"/>
  <c r="FK166"/>
  <c r="FO165"/>
  <c r="FK164"/>
  <c r="FO163"/>
  <c r="FK206"/>
  <c r="FO203"/>
  <c r="FH195"/>
  <c r="FK194"/>
  <c r="FO193"/>
  <c r="FK192"/>
  <c r="FH188"/>
  <c r="FO187"/>
  <c r="FK185"/>
  <c r="FO184"/>
  <c r="FK183"/>
  <c r="FK173"/>
  <c r="FO172"/>
  <c r="FK171"/>
  <c r="FO170"/>
  <c r="FK167"/>
  <c r="FK163"/>
  <c r="FO162"/>
  <c r="FO158"/>
  <c r="FO154"/>
  <c r="FO151"/>
  <c r="GI23"/>
  <c r="GI27"/>
  <c r="GI31"/>
  <c r="GI35"/>
  <c r="GI39"/>
  <c r="GI43"/>
  <c r="GI47"/>
  <c r="GI51"/>
  <c r="GI55"/>
  <c r="GI22"/>
  <c r="GI26"/>
  <c r="GI30"/>
  <c r="GI34"/>
  <c r="GI38"/>
  <c r="GI42"/>
  <c r="GI46"/>
  <c r="GI50"/>
  <c r="GI54"/>
  <c r="GI62"/>
  <c r="FO125"/>
  <c r="FK124"/>
  <c r="FO123"/>
  <c r="FO108"/>
  <c r="FO106"/>
  <c r="FO90"/>
  <c r="FO74"/>
  <c r="FK69"/>
  <c r="FK67"/>
  <c r="FK58"/>
  <c r="FK50"/>
  <c r="FO49"/>
  <c r="FK48"/>
  <c r="FO47"/>
  <c r="FH44"/>
  <c r="FH43"/>
  <c r="FX6"/>
  <c r="FX205"/>
  <c r="FX204"/>
  <c r="FX191"/>
  <c r="FX189"/>
  <c r="FX188"/>
  <c r="FX187"/>
  <c r="FX185"/>
  <c r="FX184"/>
  <c r="FX183"/>
  <c r="FX181"/>
  <c r="FX180"/>
  <c r="FX179"/>
  <c r="FX165"/>
  <c r="FX164"/>
  <c r="FX163"/>
  <c r="FX149"/>
  <c r="FX148"/>
  <c r="FX147"/>
  <c r="FX138"/>
  <c r="FX99"/>
  <c r="FX95"/>
  <c r="FX91"/>
  <c r="FX87"/>
  <c r="FX83"/>
  <c r="FX79"/>
  <c r="FX75"/>
  <c r="FX71"/>
  <c r="FX67"/>
  <c r="FX63"/>
  <c r="FX59"/>
  <c r="FX55"/>
  <c r="FX51"/>
  <c r="FX47"/>
  <c r="FX43"/>
  <c r="FX39"/>
  <c r="FX35"/>
  <c r="FX31"/>
  <c r="FX27"/>
  <c r="FX23"/>
  <c r="FX19"/>
  <c r="FX15"/>
  <c r="FX11"/>
  <c r="GF7"/>
  <c r="GF201"/>
  <c r="GI199"/>
  <c r="GF197"/>
  <c r="GI195"/>
  <c r="GF193"/>
  <c r="GI190"/>
  <c r="GF187"/>
  <c r="GI185"/>
  <c r="GF183"/>
  <c r="GI181"/>
  <c r="GF179"/>
  <c r="GI177"/>
  <c r="GF175"/>
  <c r="GI173"/>
  <c r="GF171"/>
  <c r="GI169"/>
  <c r="GF167"/>
  <c r="GI165"/>
  <c r="GF163"/>
  <c r="GI161"/>
  <c r="GF159"/>
  <c r="GI157"/>
  <c r="GF155"/>
  <c r="GI153"/>
  <c r="GF151"/>
  <c r="GI149"/>
  <c r="GF147"/>
  <c r="GF146"/>
  <c r="GF145"/>
  <c r="GF144"/>
  <c r="GF143"/>
  <c r="GF142"/>
  <c r="GI141"/>
  <c r="GF139"/>
  <c r="GF137"/>
  <c r="GF131"/>
  <c r="GI126"/>
  <c r="GI121"/>
  <c r="GI120"/>
  <c r="GF115"/>
  <c r="GI113"/>
  <c r="GI112"/>
  <c r="GI105"/>
  <c r="GI104"/>
  <c r="GF102"/>
  <c r="GI97"/>
  <c r="GI96"/>
  <c r="GF94"/>
  <c r="GI89"/>
  <c r="GI88"/>
  <c r="GF86"/>
  <c r="GF83"/>
  <c r="GI81"/>
  <c r="GI80"/>
  <c r="GF78"/>
  <c r="GI63"/>
  <c r="GI41"/>
  <c r="GI40"/>
  <c r="FO135"/>
  <c r="FH120"/>
  <c r="FK117"/>
  <c r="FO116"/>
  <c r="FK78"/>
  <c r="FO77"/>
  <c r="FK76"/>
  <c r="FK74"/>
  <c r="FK72"/>
  <c r="FK66"/>
  <c r="FO65"/>
  <c r="FK64"/>
  <c r="FO63"/>
  <c r="FO42"/>
  <c r="FO40"/>
  <c r="FK31"/>
  <c r="FO30"/>
  <c r="FK22"/>
  <c r="FK20"/>
  <c r="FO19"/>
  <c r="FK14"/>
  <c r="GA198"/>
  <c r="FX195"/>
  <c r="FX193"/>
  <c r="FX192"/>
  <c r="FX177"/>
  <c r="FX176"/>
  <c r="FX175"/>
  <c r="FX161"/>
  <c r="FX160"/>
  <c r="FX159"/>
  <c r="FX145"/>
  <c r="FX144"/>
  <c r="FX143"/>
  <c r="FX142"/>
  <c r="FX141"/>
  <c r="FX137"/>
  <c r="FX98"/>
  <c r="FX94"/>
  <c r="FX90"/>
  <c r="FX86"/>
  <c r="FX82"/>
  <c r="FX78"/>
  <c r="FX74"/>
  <c r="FX70"/>
  <c r="FX66"/>
  <c r="FX62"/>
  <c r="FX58"/>
  <c r="FX54"/>
  <c r="FX50"/>
  <c r="FX46"/>
  <c r="FX42"/>
  <c r="FX38"/>
  <c r="FX34"/>
  <c r="FX30"/>
  <c r="FX26"/>
  <c r="FX22"/>
  <c r="FX18"/>
  <c r="FX14"/>
  <c r="FX10"/>
  <c r="GI206"/>
  <c r="GI205"/>
  <c r="GI204"/>
  <c r="GI203"/>
  <c r="GI202"/>
  <c r="GI200"/>
  <c r="GF198"/>
  <c r="GI196"/>
  <c r="GF194"/>
  <c r="GI192"/>
  <c r="GF189"/>
  <c r="GI188"/>
  <c r="GI186"/>
  <c r="GF184"/>
  <c r="GI182"/>
  <c r="GF180"/>
  <c r="GI178"/>
  <c r="GF176"/>
  <c r="GI174"/>
  <c r="GF172"/>
  <c r="GI170"/>
  <c r="GF168"/>
  <c r="GI166"/>
  <c r="GF164"/>
  <c r="GI162"/>
  <c r="GF160"/>
  <c r="GI158"/>
  <c r="GF156"/>
  <c r="GI154"/>
  <c r="GF152"/>
  <c r="GI150"/>
  <c r="GF148"/>
  <c r="GI146"/>
  <c r="GI145"/>
  <c r="GI144"/>
  <c r="GI143"/>
  <c r="GI142"/>
  <c r="GF135"/>
  <c r="GI125"/>
  <c r="GI124"/>
  <c r="GF118"/>
  <c r="GF110"/>
  <c r="GF103"/>
  <c r="GF95"/>
  <c r="GF87"/>
  <c r="GF79"/>
  <c r="GI53"/>
  <c r="GI52"/>
  <c r="GI45"/>
  <c r="GI44"/>
  <c r="GI29"/>
  <c r="GI28"/>
  <c r="FH151"/>
  <c r="FK150"/>
  <c r="FO149"/>
  <c r="FK148"/>
  <c r="FK142"/>
  <c r="FO141"/>
  <c r="FK140"/>
  <c r="FO139"/>
  <c r="FH136"/>
  <c r="FH135"/>
  <c r="FO122"/>
  <c r="FK119"/>
  <c r="FK114"/>
  <c r="FH103"/>
  <c r="FK102"/>
  <c r="FO101"/>
  <c r="FK100"/>
  <c r="FK98"/>
  <c r="FK94"/>
  <c r="FO93"/>
  <c r="FK92"/>
  <c r="FO58"/>
  <c r="FO56"/>
  <c r="FK55"/>
  <c r="FO54"/>
  <c r="FO50"/>
  <c r="FK38"/>
  <c r="FO35"/>
  <c r="FK30"/>
  <c r="FK28"/>
  <c r="FO18"/>
  <c r="FK13"/>
  <c r="FO12"/>
  <c r="FK11"/>
  <c r="FO10"/>
  <c r="FK9"/>
  <c r="FO8"/>
  <c r="FZ203"/>
  <c r="GA202"/>
  <c r="FZ201"/>
  <c r="FZ200"/>
  <c r="GA199"/>
  <c r="FX199"/>
  <c r="FX197"/>
  <c r="FX196"/>
  <c r="GA185"/>
  <c r="GA184"/>
  <c r="FX173"/>
  <c r="FX172"/>
  <c r="FX171"/>
  <c r="FZ169"/>
  <c r="FZ168"/>
  <c r="FZ167"/>
  <c r="FX157"/>
  <c r="FX156"/>
  <c r="FX155"/>
  <c r="FZ153"/>
  <c r="FZ152"/>
  <c r="FZ151"/>
  <c r="GA149"/>
  <c r="GA148"/>
  <c r="FX140"/>
  <c r="FX136"/>
  <c r="FX135"/>
  <c r="FX134"/>
  <c r="FX133"/>
  <c r="FX132"/>
  <c r="FX131"/>
  <c r="FX130"/>
  <c r="FX129"/>
  <c r="FX128"/>
  <c r="FX127"/>
  <c r="FX126"/>
  <c r="FX125"/>
  <c r="FX124"/>
  <c r="FX123"/>
  <c r="FX122"/>
  <c r="FX121"/>
  <c r="FX120"/>
  <c r="FX119"/>
  <c r="FX118"/>
  <c r="FX117"/>
  <c r="FX116"/>
  <c r="FX115"/>
  <c r="FX114"/>
  <c r="FX113"/>
  <c r="FX112"/>
  <c r="FX111"/>
  <c r="FX110"/>
  <c r="FX109"/>
  <c r="FX108"/>
  <c r="FX107"/>
  <c r="FX106"/>
  <c r="FX105"/>
  <c r="FX104"/>
  <c r="FX103"/>
  <c r="FX102"/>
  <c r="FX101"/>
  <c r="FX97"/>
  <c r="FX93"/>
  <c r="FX89"/>
  <c r="FX85"/>
  <c r="FX81"/>
  <c r="FX77"/>
  <c r="FX73"/>
  <c r="FX69"/>
  <c r="FX65"/>
  <c r="FX61"/>
  <c r="FX57"/>
  <c r="FX53"/>
  <c r="FX49"/>
  <c r="FX45"/>
  <c r="FX41"/>
  <c r="FX37"/>
  <c r="FX33"/>
  <c r="FX29"/>
  <c r="FX25"/>
  <c r="FX21"/>
  <c r="FX17"/>
  <c r="FX13"/>
  <c r="FX9"/>
  <c r="GI187"/>
  <c r="GI183"/>
  <c r="GI179"/>
  <c r="GI175"/>
  <c r="GI171"/>
  <c r="GI167"/>
  <c r="GI163"/>
  <c r="GI159"/>
  <c r="GI155"/>
  <c r="GI151"/>
  <c r="GI147"/>
  <c r="GF140"/>
  <c r="GF138"/>
  <c r="GI129"/>
  <c r="GI128"/>
  <c r="GH127"/>
  <c r="GI123"/>
  <c r="GF119"/>
  <c r="GI117"/>
  <c r="GI116"/>
  <c r="GI114"/>
  <c r="GF114"/>
  <c r="GF111"/>
  <c r="GI109"/>
  <c r="GI108"/>
  <c r="GH107"/>
  <c r="GI106"/>
  <c r="GF106"/>
  <c r="GI101"/>
  <c r="GI100"/>
  <c r="GH99"/>
  <c r="GI98"/>
  <c r="GF98"/>
  <c r="GI93"/>
  <c r="GI92"/>
  <c r="GH91"/>
  <c r="GI90"/>
  <c r="GF90"/>
  <c r="GI85"/>
  <c r="GI84"/>
  <c r="GI82"/>
  <c r="GI77"/>
  <c r="GI76"/>
  <c r="GI74"/>
  <c r="GI73"/>
  <c r="GI72"/>
  <c r="GH71"/>
  <c r="GI33"/>
  <c r="GI32"/>
  <c r="GF70"/>
  <c r="GH70"/>
  <c r="GA206"/>
  <c r="GA203"/>
  <c r="GA190"/>
  <c r="GA186"/>
  <c r="GA182"/>
  <c r="GA145"/>
  <c r="GA143"/>
  <c r="GI198"/>
  <c r="GI194"/>
  <c r="GI189"/>
  <c r="GI184"/>
  <c r="GI176"/>
  <c r="GI172"/>
  <c r="GI168"/>
  <c r="GI164"/>
  <c r="GI160"/>
  <c r="GI156"/>
  <c r="GI152"/>
  <c r="GI148"/>
  <c r="GI140"/>
  <c r="GI138"/>
  <c r="GI136"/>
  <c r="GI133"/>
  <c r="GI132"/>
  <c r="GI127"/>
  <c r="GI122"/>
  <c r="GI115"/>
  <c r="GI107"/>
  <c r="GI99"/>
  <c r="GI91"/>
  <c r="GI83"/>
  <c r="GI75"/>
  <c r="GI71"/>
  <c r="GI67"/>
  <c r="GI66"/>
  <c r="GI65"/>
  <c r="GI59"/>
  <c r="GI58"/>
  <c r="GI49"/>
  <c r="GI48"/>
  <c r="GI37"/>
  <c r="GI36"/>
  <c r="GI25"/>
  <c r="GI24"/>
  <c r="GF74"/>
  <c r="GF67"/>
  <c r="GF53"/>
  <c r="GF49"/>
  <c r="GF45"/>
  <c r="GF36"/>
  <c r="GF33"/>
  <c r="GF28"/>
  <c r="GF24"/>
  <c r="GI64"/>
  <c r="GH63"/>
  <c r="GF62"/>
  <c r="GF59"/>
  <c r="GI57"/>
  <c r="GI56"/>
  <c r="GF50"/>
  <c r="GH47"/>
  <c r="GF46"/>
  <c r="GF41"/>
  <c r="GH39"/>
  <c r="GF38"/>
  <c r="GF37"/>
  <c r="GF29"/>
  <c r="GF26"/>
  <c r="GF25"/>
  <c r="GF22"/>
  <c r="GI69"/>
  <c r="GI68"/>
  <c r="GF66"/>
  <c r="GI61"/>
  <c r="GI60"/>
  <c r="GF58"/>
  <c r="GF55"/>
  <c r="GF52"/>
  <c r="GF51"/>
  <c r="GF48"/>
  <c r="GF44"/>
  <c r="GF43"/>
  <c r="GF40"/>
  <c r="GF35"/>
  <c r="GH33"/>
  <c r="GF32"/>
  <c r="GF31"/>
  <c r="GF27"/>
  <c r="GF23"/>
  <c r="GF125"/>
  <c r="GF121"/>
  <c r="GI191"/>
  <c r="GI134"/>
  <c r="GF134"/>
  <c r="GI130"/>
  <c r="GF130"/>
  <c r="GF117"/>
  <c r="GF109"/>
  <c r="GF85"/>
  <c r="GF126"/>
  <c r="GF122"/>
  <c r="GF206"/>
  <c r="GF205"/>
  <c r="GF204"/>
  <c r="GF203"/>
  <c r="GF202"/>
  <c r="GF188"/>
  <c r="GF123"/>
  <c r="GF104"/>
  <c r="GF100"/>
  <c r="GF96"/>
  <c r="GF92"/>
  <c r="GF88"/>
  <c r="GF84"/>
  <c r="GF68"/>
  <c r="GF56"/>
  <c r="GF132"/>
  <c r="GF128"/>
  <c r="GF124"/>
  <c r="GF120"/>
  <c r="GF133"/>
  <c r="GF129"/>
  <c r="GF116"/>
  <c r="GF113"/>
  <c r="GF112"/>
  <c r="GF108"/>
  <c r="GF105"/>
  <c r="GF101"/>
  <c r="GF97"/>
  <c r="GF93"/>
  <c r="GF89"/>
  <c r="GF81"/>
  <c r="GF80"/>
  <c r="GF77"/>
  <c r="GF76"/>
  <c r="GF73"/>
  <c r="GF72"/>
  <c r="GF69"/>
  <c r="GF65"/>
  <c r="GF64"/>
  <c r="GF61"/>
  <c r="GF60"/>
  <c r="GF57"/>
  <c r="FL167"/>
  <c r="FH163"/>
  <c r="FL163" s="1"/>
  <c r="FP163" s="1"/>
  <c r="FH91"/>
  <c r="FS63"/>
  <c r="FR58"/>
  <c r="FS56"/>
  <c r="FR54"/>
  <c r="FS52"/>
  <c r="FS45"/>
  <c r="FR29"/>
  <c r="FS27"/>
  <c r="FR22"/>
  <c r="FS20"/>
  <c r="FR19"/>
  <c r="FS15"/>
  <c r="FR8"/>
  <c r="FR7"/>
  <c r="GA178"/>
  <c r="GA174"/>
  <c r="GA170"/>
  <c r="GA166"/>
  <c r="GA162"/>
  <c r="GA158"/>
  <c r="GA154"/>
  <c r="GA150"/>
  <c r="GA146"/>
  <c r="FK6"/>
  <c r="FK195"/>
  <c r="FO175"/>
  <c r="FK143"/>
  <c r="FK138"/>
  <c r="FH123"/>
  <c r="FL119"/>
  <c r="FO118"/>
  <c r="FH115"/>
  <c r="FL115" s="1"/>
  <c r="FP115" s="1"/>
  <c r="FO111"/>
  <c r="FK105"/>
  <c r="FK103"/>
  <c r="FO86"/>
  <c r="FK81"/>
  <c r="FK79"/>
  <c r="FH75"/>
  <c r="FH63"/>
  <c r="FR62"/>
  <c r="FS60"/>
  <c r="FK53"/>
  <c r="FK51"/>
  <c r="FR49"/>
  <c r="FS47"/>
  <c r="FO43"/>
  <c r="FR42"/>
  <c r="FS40"/>
  <c r="FS39"/>
  <c r="FS35"/>
  <c r="FS31"/>
  <c r="FH27"/>
  <c r="FR26"/>
  <c r="FO22"/>
  <c r="FH19"/>
  <c r="FL19" s="1"/>
  <c r="FP19" s="1"/>
  <c r="FO17"/>
  <c r="FO15"/>
  <c r="FR14"/>
  <c r="FS12"/>
  <c r="GA187"/>
  <c r="GA183"/>
  <c r="GA179"/>
  <c r="GA175"/>
  <c r="GA171"/>
  <c r="GA167"/>
  <c r="GA163"/>
  <c r="GA159"/>
  <c r="GA155"/>
  <c r="GA151"/>
  <c r="GA147"/>
  <c r="GA141"/>
  <c r="FX206"/>
  <c r="FX202"/>
  <c r="FX198"/>
  <c r="FX194"/>
  <c r="FX190"/>
  <c r="FX186"/>
  <c r="FX182"/>
  <c r="FX178"/>
  <c r="FX174"/>
  <c r="FX170"/>
  <c r="FX166"/>
  <c r="FX162"/>
  <c r="FX158"/>
  <c r="FX154"/>
  <c r="FX150"/>
  <c r="FX146"/>
  <c r="EV192"/>
  <c r="EV188"/>
  <c r="EV19"/>
  <c r="FH204"/>
  <c r="FK203"/>
  <c r="FK198"/>
  <c r="FO195"/>
  <c r="FO191"/>
  <c r="FH191"/>
  <c r="FO185"/>
  <c r="FK184"/>
  <c r="FO183"/>
  <c r="FK182"/>
  <c r="FH180"/>
  <c r="FK177"/>
  <c r="FO176"/>
  <c r="FO174"/>
  <c r="FO167"/>
  <c r="FK159"/>
  <c r="FO157"/>
  <c r="FK156"/>
  <c r="FO155"/>
  <c r="FH155"/>
  <c r="FL155" s="1"/>
  <c r="FK154"/>
  <c r="FH152"/>
  <c r="FO150"/>
  <c r="FK149"/>
  <c r="FO148"/>
  <c r="FH139"/>
  <c r="FK135"/>
  <c r="FL135" s="1"/>
  <c r="FP135" s="1"/>
  <c r="FH131"/>
  <c r="FL131" s="1"/>
  <c r="FP131" s="1"/>
  <c r="FO127"/>
  <c r="FK125"/>
  <c r="FO124"/>
  <c r="FK123"/>
  <c r="FK118"/>
  <c r="FO117"/>
  <c r="FK116"/>
  <c r="FO114"/>
  <c r="FO110"/>
  <c r="FH99"/>
  <c r="FO95"/>
  <c r="FK93"/>
  <c r="FO92"/>
  <c r="FK89"/>
  <c r="FK87"/>
  <c r="FK86"/>
  <c r="FO85"/>
  <c r="FK84"/>
  <c r="FK82"/>
  <c r="FO67"/>
  <c r="FK61"/>
  <c r="FK59"/>
  <c r="FS59"/>
  <c r="FS57"/>
  <c r="FK56"/>
  <c r="FO55"/>
  <c r="FS55"/>
  <c r="FK54"/>
  <c r="FS51"/>
  <c r="FH47"/>
  <c r="FR46"/>
  <c r="FS44"/>
  <c r="FH39"/>
  <c r="FL39" s="1"/>
  <c r="FP39" s="1"/>
  <c r="FO37"/>
  <c r="FH35"/>
  <c r="FK34"/>
  <c r="FO31"/>
  <c r="FR30"/>
  <c r="FS28"/>
  <c r="FK25"/>
  <c r="FS23"/>
  <c r="FS21"/>
  <c r="FS18"/>
  <c r="FR16"/>
  <c r="FO14"/>
  <c r="FH11"/>
  <c r="FL11" s="1"/>
  <c r="FR9"/>
  <c r="FH7"/>
  <c r="FL7" s="1"/>
  <c r="FP7" s="1"/>
  <c r="GA204"/>
  <c r="GA200"/>
  <c r="GA196"/>
  <c r="GA192"/>
  <c r="GA188"/>
  <c r="GA180"/>
  <c r="GA176"/>
  <c r="GA172"/>
  <c r="GA168"/>
  <c r="GA164"/>
  <c r="GA160"/>
  <c r="GA156"/>
  <c r="GA152"/>
  <c r="GA142"/>
  <c r="EV18"/>
  <c r="FO201"/>
  <c r="FK200"/>
  <c r="FO199"/>
  <c r="FH199"/>
  <c r="FL199" s="1"/>
  <c r="FK193"/>
  <c r="FO192"/>
  <c r="FK191"/>
  <c r="FH183"/>
  <c r="FL183" s="1"/>
  <c r="FP183" s="1"/>
  <c r="FK179"/>
  <c r="FL179" s="1"/>
  <c r="FP179" s="1"/>
  <c r="FO173"/>
  <c r="FK172"/>
  <c r="FO171"/>
  <c r="FH171"/>
  <c r="FL171" s="1"/>
  <c r="FH168"/>
  <c r="FK165"/>
  <c r="FO164"/>
  <c r="FK162"/>
  <c r="FK151"/>
  <c r="FL151" s="1"/>
  <c r="FH147"/>
  <c r="FL147" s="1"/>
  <c r="FP147" s="1"/>
  <c r="FK141"/>
  <c r="FO140"/>
  <c r="FK139"/>
  <c r="FK134"/>
  <c r="FO133"/>
  <c r="FK132"/>
  <c r="FO130"/>
  <c r="FO126"/>
  <c r="FK122"/>
  <c r="FO119"/>
  <c r="FO109"/>
  <c r="FK108"/>
  <c r="FO107"/>
  <c r="FH107"/>
  <c r="FO100"/>
  <c r="FO98"/>
  <c r="FO94"/>
  <c r="FH83"/>
  <c r="FK77"/>
  <c r="FO76"/>
  <c r="FO72"/>
  <c r="FO70"/>
  <c r="FR70"/>
  <c r="FO66"/>
  <c r="FK62"/>
  <c r="FS61"/>
  <c r="FH55"/>
  <c r="FR50"/>
  <c r="FO48"/>
  <c r="FS48"/>
  <c r="FK47"/>
  <c r="FL43"/>
  <c r="FP43" s="1"/>
  <c r="FS43"/>
  <c r="FK42"/>
  <c r="FS41"/>
  <c r="FK40"/>
  <c r="FO38"/>
  <c r="FR38"/>
  <c r="FS36"/>
  <c r="FO34"/>
  <c r="FR34"/>
  <c r="FS32"/>
  <c r="FS25"/>
  <c r="FO13"/>
  <c r="FS13"/>
  <c r="FO11"/>
  <c r="FR11"/>
  <c r="FH8"/>
  <c r="GA205"/>
  <c r="GA201"/>
  <c r="GA197"/>
  <c r="GA193"/>
  <c r="GA189"/>
  <c r="GA181"/>
  <c r="GA177"/>
  <c r="GA173"/>
  <c r="GA169"/>
  <c r="GA165"/>
  <c r="GA161"/>
  <c r="GA157"/>
  <c r="GA153"/>
  <c r="GA133"/>
  <c r="GA129"/>
  <c r="GA125"/>
  <c r="GA121"/>
  <c r="GA117"/>
  <c r="GA113"/>
  <c r="GA109"/>
  <c r="GA105"/>
  <c r="GA101"/>
  <c r="GA100"/>
  <c r="FZ100"/>
  <c r="GA99"/>
  <c r="FZ99"/>
  <c r="GA98"/>
  <c r="FZ98"/>
  <c r="GA97"/>
  <c r="FZ97"/>
  <c r="GA96"/>
  <c r="FZ96"/>
  <c r="GA95"/>
  <c r="FZ95"/>
  <c r="GA94"/>
  <c r="FZ94"/>
  <c r="GA93"/>
  <c r="FZ93"/>
  <c r="GA92"/>
  <c r="FZ92"/>
  <c r="GA91"/>
  <c r="FZ91"/>
  <c r="GA90"/>
  <c r="FZ90"/>
  <c r="GA89"/>
  <c r="FZ89"/>
  <c r="GA88"/>
  <c r="FZ88"/>
  <c r="GA87"/>
  <c r="FZ87"/>
  <c r="GA86"/>
  <c r="FZ86"/>
  <c r="GA85"/>
  <c r="FZ85"/>
  <c r="FZ140"/>
  <c r="FZ139"/>
  <c r="FZ138"/>
  <c r="FZ137"/>
  <c r="FZ136"/>
  <c r="GA134"/>
  <c r="GA130"/>
  <c r="GA126"/>
  <c r="GA122"/>
  <c r="GA118"/>
  <c r="GA114"/>
  <c r="GA110"/>
  <c r="GA106"/>
  <c r="GA102"/>
  <c r="GA140"/>
  <c r="GA139"/>
  <c r="GA138"/>
  <c r="GA137"/>
  <c r="GA136"/>
  <c r="GA135"/>
  <c r="GA131"/>
  <c r="GA127"/>
  <c r="GA123"/>
  <c r="GA119"/>
  <c r="GA115"/>
  <c r="GA111"/>
  <c r="GA107"/>
  <c r="GA103"/>
  <c r="GA132"/>
  <c r="GA128"/>
  <c r="GA124"/>
  <c r="GA120"/>
  <c r="GA116"/>
  <c r="GA112"/>
  <c r="GA108"/>
  <c r="GA104"/>
  <c r="FZ84"/>
  <c r="FZ83"/>
  <c r="FZ82"/>
  <c r="FZ81"/>
  <c r="FZ80"/>
  <c r="FZ79"/>
  <c r="FZ78"/>
  <c r="FZ77"/>
  <c r="FZ76"/>
  <c r="FZ75"/>
  <c r="FZ74"/>
  <c r="FZ73"/>
  <c r="FZ72"/>
  <c r="FZ71"/>
  <c r="FZ70"/>
  <c r="FZ69"/>
  <c r="FZ68"/>
  <c r="FZ67"/>
  <c r="FZ66"/>
  <c r="FZ65"/>
  <c r="FZ64"/>
  <c r="FZ63"/>
  <c r="FZ62"/>
  <c r="FZ61"/>
  <c r="FZ60"/>
  <c r="FZ59"/>
  <c r="FZ58"/>
  <c r="FZ57"/>
  <c r="FZ56"/>
  <c r="FZ55"/>
  <c r="FZ54"/>
  <c r="FZ53"/>
  <c r="FZ52"/>
  <c r="FZ51"/>
  <c r="FZ50"/>
  <c r="FZ49"/>
  <c r="FZ48"/>
  <c r="FZ47"/>
  <c r="FZ46"/>
  <c r="FZ45"/>
  <c r="FZ44"/>
  <c r="FZ43"/>
  <c r="FZ42"/>
  <c r="FZ41"/>
  <c r="FZ40"/>
  <c r="FZ39"/>
  <c r="FZ38"/>
  <c r="FZ37"/>
  <c r="FZ36"/>
  <c r="FZ35"/>
  <c r="FZ34"/>
  <c r="FZ33"/>
  <c r="FZ32"/>
  <c r="FZ31"/>
  <c r="FZ30"/>
  <c r="FZ29"/>
  <c r="FZ28"/>
  <c r="FZ27"/>
  <c r="FZ26"/>
  <c r="FZ25"/>
  <c r="FZ24"/>
  <c r="FZ23"/>
  <c r="FZ22"/>
  <c r="FZ21"/>
  <c r="FZ20"/>
  <c r="FZ19"/>
  <c r="FZ18"/>
  <c r="FZ17"/>
  <c r="FZ16"/>
  <c r="FZ15"/>
  <c r="FZ14"/>
  <c r="FZ13"/>
  <c r="FZ12"/>
  <c r="FZ11"/>
  <c r="FZ10"/>
  <c r="FZ9"/>
  <c r="FZ8"/>
  <c r="GA84"/>
  <c r="GA83"/>
  <c r="GA82"/>
  <c r="GA81"/>
  <c r="GA80"/>
  <c r="GA79"/>
  <c r="GA78"/>
  <c r="GA77"/>
  <c r="GA76"/>
  <c r="GA75"/>
  <c r="GA74"/>
  <c r="GA73"/>
  <c r="GA72"/>
  <c r="GA71"/>
  <c r="GA70"/>
  <c r="GA69"/>
  <c r="GA68"/>
  <c r="GA67"/>
  <c r="GA66"/>
  <c r="GA65"/>
  <c r="GA64"/>
  <c r="GA63"/>
  <c r="GA62"/>
  <c r="GA61"/>
  <c r="GA60"/>
  <c r="GA59"/>
  <c r="GA58"/>
  <c r="GA57"/>
  <c r="GA56"/>
  <c r="GA55"/>
  <c r="GA54"/>
  <c r="GA53"/>
  <c r="GA52"/>
  <c r="GA51"/>
  <c r="GA50"/>
  <c r="GA49"/>
  <c r="GA48"/>
  <c r="GA47"/>
  <c r="GA46"/>
  <c r="GA45"/>
  <c r="GA44"/>
  <c r="GA43"/>
  <c r="GA42"/>
  <c r="GA41"/>
  <c r="GA40"/>
  <c r="GA39"/>
  <c r="GA38"/>
  <c r="GA37"/>
  <c r="GA36"/>
  <c r="GA35"/>
  <c r="GA34"/>
  <c r="GA33"/>
  <c r="GA32"/>
  <c r="GA31"/>
  <c r="GA30"/>
  <c r="GA29"/>
  <c r="GA28"/>
  <c r="GA27"/>
  <c r="GA26"/>
  <c r="GA25"/>
  <c r="GA24"/>
  <c r="GA23"/>
  <c r="GA22"/>
  <c r="GA21"/>
  <c r="GA20"/>
  <c r="GA19"/>
  <c r="GA18"/>
  <c r="GA17"/>
  <c r="GA16"/>
  <c r="GA15"/>
  <c r="GA14"/>
  <c r="GA13"/>
  <c r="GA12"/>
  <c r="GA11"/>
  <c r="GA10"/>
  <c r="GA9"/>
  <c r="GA8"/>
  <c r="FL191"/>
  <c r="FP191" s="1"/>
  <c r="FP155"/>
  <c r="FP199"/>
  <c r="FP171"/>
  <c r="FP151"/>
  <c r="FH205"/>
  <c r="FS205"/>
  <c r="FR205"/>
  <c r="FS199"/>
  <c r="FR199"/>
  <c r="FH198"/>
  <c r="FL198" s="1"/>
  <c r="FP198" s="1"/>
  <c r="FR198"/>
  <c r="FS198"/>
  <c r="FS196"/>
  <c r="FR196"/>
  <c r="FH189"/>
  <c r="FS189"/>
  <c r="FR189"/>
  <c r="FH181"/>
  <c r="FS181"/>
  <c r="FR181"/>
  <c r="FH169"/>
  <c r="FS169"/>
  <c r="FR169"/>
  <c r="FS163"/>
  <c r="FR163"/>
  <c r="FH162"/>
  <c r="FL162" s="1"/>
  <c r="FP162" s="1"/>
  <c r="FR162"/>
  <c r="FS162"/>
  <c r="FS160"/>
  <c r="FR160"/>
  <c r="FH153"/>
  <c r="FS153"/>
  <c r="FR153"/>
  <c r="FS147"/>
  <c r="FR147"/>
  <c r="FH146"/>
  <c r="FL146" s="1"/>
  <c r="FP146" s="1"/>
  <c r="FR146"/>
  <c r="FS146"/>
  <c r="FS144"/>
  <c r="FR144"/>
  <c r="FH137"/>
  <c r="FS137"/>
  <c r="FR137"/>
  <c r="FS131"/>
  <c r="FR131"/>
  <c r="FH130"/>
  <c r="FL130" s="1"/>
  <c r="FP130" s="1"/>
  <c r="FR130"/>
  <c r="FS130"/>
  <c r="FS128"/>
  <c r="FR128"/>
  <c r="FH121"/>
  <c r="FS121"/>
  <c r="FR121"/>
  <c r="FS115"/>
  <c r="FR115"/>
  <c r="FH114"/>
  <c r="FL114" s="1"/>
  <c r="FP114" s="1"/>
  <c r="FR114"/>
  <c r="FS114"/>
  <c r="FS112"/>
  <c r="FR112"/>
  <c r="FH105"/>
  <c r="FL105" s="1"/>
  <c r="FS105"/>
  <c r="FR105"/>
  <c r="FS99"/>
  <c r="FR99"/>
  <c r="FR98"/>
  <c r="FS98"/>
  <c r="FS96"/>
  <c r="FR96"/>
  <c r="FH89"/>
  <c r="FL89" s="1"/>
  <c r="FS89"/>
  <c r="FR89"/>
  <c r="FS83"/>
  <c r="FR83"/>
  <c r="FR82"/>
  <c r="FS82"/>
  <c r="FS80"/>
  <c r="FR80"/>
  <c r="FS67"/>
  <c r="FR67"/>
  <c r="FH67"/>
  <c r="FL67" s="1"/>
  <c r="FP67" s="1"/>
  <c r="ER199"/>
  <c r="ER198"/>
  <c r="ER194"/>
  <c r="ER174"/>
  <c r="EV172"/>
  <c r="ER170"/>
  <c r="EV168"/>
  <c r="ER166"/>
  <c r="EV164"/>
  <c r="ER162"/>
  <c r="EV160"/>
  <c r="ER158"/>
  <c r="ER154"/>
  <c r="ER146"/>
  <c r="EV144"/>
  <c r="ER142"/>
  <c r="EV140"/>
  <c r="ER138"/>
  <c r="EV136"/>
  <c r="ER134"/>
  <c r="EV132"/>
  <c r="ER130"/>
  <c r="EV128"/>
  <c r="ER126"/>
  <c r="EV124"/>
  <c r="EV120"/>
  <c r="EV116"/>
  <c r="EV112"/>
  <c r="EV108"/>
  <c r="EO100"/>
  <c r="EO96"/>
  <c r="EV92"/>
  <c r="EV89"/>
  <c r="EV88"/>
  <c r="EV84"/>
  <c r="EV81"/>
  <c r="EV80"/>
  <c r="EV76"/>
  <c r="EV73"/>
  <c r="EV72"/>
  <c r="EV68"/>
  <c r="EV65"/>
  <c r="EV64"/>
  <c r="EV57"/>
  <c r="EV53"/>
  <c r="EV49"/>
  <c r="EO7"/>
  <c r="FO205"/>
  <c r="FK204"/>
  <c r="FH200"/>
  <c r="FL200" s="1"/>
  <c r="FK197"/>
  <c r="FO196"/>
  <c r="FO189"/>
  <c r="FK188"/>
  <c r="FH184"/>
  <c r="FL184" s="1"/>
  <c r="FO181"/>
  <c r="FK180"/>
  <c r="FH172"/>
  <c r="FL172" s="1"/>
  <c r="FO169"/>
  <c r="FK168"/>
  <c r="FL168" s="1"/>
  <c r="FK161"/>
  <c r="FO160"/>
  <c r="FH156"/>
  <c r="FL156" s="1"/>
  <c r="FO153"/>
  <c r="FK152"/>
  <c r="FK145"/>
  <c r="FO144"/>
  <c r="FH140"/>
  <c r="FL140" s="1"/>
  <c r="FO137"/>
  <c r="FK136"/>
  <c r="FK129"/>
  <c r="FO128"/>
  <c r="FH124"/>
  <c r="FL124" s="1"/>
  <c r="FO121"/>
  <c r="FK120"/>
  <c r="FK113"/>
  <c r="FO112"/>
  <c r="FK104"/>
  <c r="FH102"/>
  <c r="FL102" s="1"/>
  <c r="FP102" s="1"/>
  <c r="FK101"/>
  <c r="FH100"/>
  <c r="FK99"/>
  <c r="FL99" s="1"/>
  <c r="FO96"/>
  <c r="FO91"/>
  <c r="FO89"/>
  <c r="FK88"/>
  <c r="FH86"/>
  <c r="FL86" s="1"/>
  <c r="FP86" s="1"/>
  <c r="FK85"/>
  <c r="FH84"/>
  <c r="FK83"/>
  <c r="FL83" s="1"/>
  <c r="FO80"/>
  <c r="FK70"/>
  <c r="FS203"/>
  <c r="FR203"/>
  <c r="FH202"/>
  <c r="FL202" s="1"/>
  <c r="FP202" s="1"/>
  <c r="FR202"/>
  <c r="FS202"/>
  <c r="FS200"/>
  <c r="FR200"/>
  <c r="FH193"/>
  <c r="FL193" s="1"/>
  <c r="FS193"/>
  <c r="FR193"/>
  <c r="FS187"/>
  <c r="FR187"/>
  <c r="FH186"/>
  <c r="FL186" s="1"/>
  <c r="FP186" s="1"/>
  <c r="FR186"/>
  <c r="FS186"/>
  <c r="FS184"/>
  <c r="FR184"/>
  <c r="FH177"/>
  <c r="FL177" s="1"/>
  <c r="FS177"/>
  <c r="FR177"/>
  <c r="FS175"/>
  <c r="FR175"/>
  <c r="FH174"/>
  <c r="FL174" s="1"/>
  <c r="FP174" s="1"/>
  <c r="FR174"/>
  <c r="FS174"/>
  <c r="FS172"/>
  <c r="FR172"/>
  <c r="FH165"/>
  <c r="FL165" s="1"/>
  <c r="FS165"/>
  <c r="FR165"/>
  <c r="FS159"/>
  <c r="FR159"/>
  <c r="FH158"/>
  <c r="FL158" s="1"/>
  <c r="FP158" s="1"/>
  <c r="FR158"/>
  <c r="FS158"/>
  <c r="FS156"/>
  <c r="FR156"/>
  <c r="FH149"/>
  <c r="FL149" s="1"/>
  <c r="FS149"/>
  <c r="FR149"/>
  <c r="FS143"/>
  <c r="FR143"/>
  <c r="FH142"/>
  <c r="FL142" s="1"/>
  <c r="FP142" s="1"/>
  <c r="FR142"/>
  <c r="FS142"/>
  <c r="FS140"/>
  <c r="FR140"/>
  <c r="FH133"/>
  <c r="FL133" s="1"/>
  <c r="FS133"/>
  <c r="FR133"/>
  <c r="FS127"/>
  <c r="FR127"/>
  <c r="FH126"/>
  <c r="FL126" s="1"/>
  <c r="FP126" s="1"/>
  <c r="FR126"/>
  <c r="FS126"/>
  <c r="FS124"/>
  <c r="FR124"/>
  <c r="FH117"/>
  <c r="FL117" s="1"/>
  <c r="FS117"/>
  <c r="FR117"/>
  <c r="FS111"/>
  <c r="FR111"/>
  <c r="FR110"/>
  <c r="FS110"/>
  <c r="FS108"/>
  <c r="FR108"/>
  <c r="FH101"/>
  <c r="FS101"/>
  <c r="FR101"/>
  <c r="FS95"/>
  <c r="FR95"/>
  <c r="FH94"/>
  <c r="FL94" s="1"/>
  <c r="FP94" s="1"/>
  <c r="FR94"/>
  <c r="FS94"/>
  <c r="FS92"/>
  <c r="FR92"/>
  <c r="FH85"/>
  <c r="FS85"/>
  <c r="FR85"/>
  <c r="FS79"/>
  <c r="FR79"/>
  <c r="FR78"/>
  <c r="FS78"/>
  <c r="FS76"/>
  <c r="FR76"/>
  <c r="FH73"/>
  <c r="FS73"/>
  <c r="FR73"/>
  <c r="FR66"/>
  <c r="FS66"/>
  <c r="FL204"/>
  <c r="FL195"/>
  <c r="FP195" s="1"/>
  <c r="FL188"/>
  <c r="FL180"/>
  <c r="FL152"/>
  <c r="FL136"/>
  <c r="FL120"/>
  <c r="FH98"/>
  <c r="FL98" s="1"/>
  <c r="FP98" s="1"/>
  <c r="FH96"/>
  <c r="FH82"/>
  <c r="FL82" s="1"/>
  <c r="FP82" s="1"/>
  <c r="FH80"/>
  <c r="FS71"/>
  <c r="FS64"/>
  <c r="EY7"/>
  <c r="FH206"/>
  <c r="FL206" s="1"/>
  <c r="FP206" s="1"/>
  <c r="FR206"/>
  <c r="FS206"/>
  <c r="FS204"/>
  <c r="FR204"/>
  <c r="FH197"/>
  <c r="FS197"/>
  <c r="FR197"/>
  <c r="FS191"/>
  <c r="FR191"/>
  <c r="FH190"/>
  <c r="FL190" s="1"/>
  <c r="FP190" s="1"/>
  <c r="FR190"/>
  <c r="FS190"/>
  <c r="FS188"/>
  <c r="FR188"/>
  <c r="FS183"/>
  <c r="FR183"/>
  <c r="FH182"/>
  <c r="FL182" s="1"/>
  <c r="FP182" s="1"/>
  <c r="FR182"/>
  <c r="FS182"/>
  <c r="FS180"/>
  <c r="FR180"/>
  <c r="FS171"/>
  <c r="FR171"/>
  <c r="FH170"/>
  <c r="FL170" s="1"/>
  <c r="FP170" s="1"/>
  <c r="FR170"/>
  <c r="FS170"/>
  <c r="FS168"/>
  <c r="FR168"/>
  <c r="FH161"/>
  <c r="FS161"/>
  <c r="FR161"/>
  <c r="FS155"/>
  <c r="FR155"/>
  <c r="FH154"/>
  <c r="FL154" s="1"/>
  <c r="FP154" s="1"/>
  <c r="FR154"/>
  <c r="FS154"/>
  <c r="FS152"/>
  <c r="FR152"/>
  <c r="FH145"/>
  <c r="FS145"/>
  <c r="FR145"/>
  <c r="FS139"/>
  <c r="FR139"/>
  <c r="FH138"/>
  <c r="FL138" s="1"/>
  <c r="FP138" s="1"/>
  <c r="FR138"/>
  <c r="FS138"/>
  <c r="FS136"/>
  <c r="FR136"/>
  <c r="FH129"/>
  <c r="FS129"/>
  <c r="FR129"/>
  <c r="FS123"/>
  <c r="FR123"/>
  <c r="FH122"/>
  <c r="FL122" s="1"/>
  <c r="FP122" s="1"/>
  <c r="FR122"/>
  <c r="FS122"/>
  <c r="FS120"/>
  <c r="FR120"/>
  <c r="FH113"/>
  <c r="FS113"/>
  <c r="FR113"/>
  <c r="FS107"/>
  <c r="FR107"/>
  <c r="FR106"/>
  <c r="FS106"/>
  <c r="FS104"/>
  <c r="FR104"/>
  <c r="FH97"/>
  <c r="FS97"/>
  <c r="FR97"/>
  <c r="FS91"/>
  <c r="FR91"/>
  <c r="FH90"/>
  <c r="FL90" s="1"/>
  <c r="FP90" s="1"/>
  <c r="FR90"/>
  <c r="FS90"/>
  <c r="FS88"/>
  <c r="FR88"/>
  <c r="FH81"/>
  <c r="FS81"/>
  <c r="FR81"/>
  <c r="FS75"/>
  <c r="FR75"/>
  <c r="ER176"/>
  <c r="EV175"/>
  <c r="EV174"/>
  <c r="ER172"/>
  <c r="EV170"/>
  <c r="ER168"/>
  <c r="EV166"/>
  <c r="ER164"/>
  <c r="EV162"/>
  <c r="ER160"/>
  <c r="EO157"/>
  <c r="ER156"/>
  <c r="EO153"/>
  <c r="ER152"/>
  <c r="EO149"/>
  <c r="ER148"/>
  <c r="EV146"/>
  <c r="EO145"/>
  <c r="ER144"/>
  <c r="EV142"/>
  <c r="EO141"/>
  <c r="ER140"/>
  <c r="EV138"/>
  <c r="EO137"/>
  <c r="ER136"/>
  <c r="EV134"/>
  <c r="EO133"/>
  <c r="ER132"/>
  <c r="EV130"/>
  <c r="ER128"/>
  <c r="EV126"/>
  <c r="EO125"/>
  <c r="ER124"/>
  <c r="EV122"/>
  <c r="EV118"/>
  <c r="EV114"/>
  <c r="EO113"/>
  <c r="EV110"/>
  <c r="EV106"/>
  <c r="EO105"/>
  <c r="EO98"/>
  <c r="EO94"/>
  <c r="ER89"/>
  <c r="EV86"/>
  <c r="ER85"/>
  <c r="ER81"/>
  <c r="EV78"/>
  <c r="ER77"/>
  <c r="ER73"/>
  <c r="EV70"/>
  <c r="ER69"/>
  <c r="ER65"/>
  <c r="EO65"/>
  <c r="ER64"/>
  <c r="ER61"/>
  <c r="ER57"/>
  <c r="EO57"/>
  <c r="ER56"/>
  <c r="ER52"/>
  <c r="EO49"/>
  <c r="ER15"/>
  <c r="EV13"/>
  <c r="ER11"/>
  <c r="EV9"/>
  <c r="ER7"/>
  <c r="FK205"/>
  <c r="FO204"/>
  <c r="FO197"/>
  <c r="FK196"/>
  <c r="FH192"/>
  <c r="FK189"/>
  <c r="FO188"/>
  <c r="FK181"/>
  <c r="FO180"/>
  <c r="FH176"/>
  <c r="FK169"/>
  <c r="FO168"/>
  <c r="FH164"/>
  <c r="FO161"/>
  <c r="FK160"/>
  <c r="FK153"/>
  <c r="FO152"/>
  <c r="FH148"/>
  <c r="FO145"/>
  <c r="FK144"/>
  <c r="FK137"/>
  <c r="FO136"/>
  <c r="FH132"/>
  <c r="FL132" s="1"/>
  <c r="FP132" s="1"/>
  <c r="FO129"/>
  <c r="FK128"/>
  <c r="FK121"/>
  <c r="FO120"/>
  <c r="FH116"/>
  <c r="FO113"/>
  <c r="FK112"/>
  <c r="FH110"/>
  <c r="FL110" s="1"/>
  <c r="FP110" s="1"/>
  <c r="FK109"/>
  <c r="FH108"/>
  <c r="FK107"/>
  <c r="FL107" s="1"/>
  <c r="FO104"/>
  <c r="FO99"/>
  <c r="FO97"/>
  <c r="FK96"/>
  <c r="FH92"/>
  <c r="FL92" s="1"/>
  <c r="FP92" s="1"/>
  <c r="FK91"/>
  <c r="FL91" s="1"/>
  <c r="FO88"/>
  <c r="FO83"/>
  <c r="FK80"/>
  <c r="FH78"/>
  <c r="FL78" s="1"/>
  <c r="FP78" s="1"/>
  <c r="FH76"/>
  <c r="FL76" s="1"/>
  <c r="FH71"/>
  <c r="FS68"/>
  <c r="FH201"/>
  <c r="FS201"/>
  <c r="FR201"/>
  <c r="FS195"/>
  <c r="FR195"/>
  <c r="FH194"/>
  <c r="FL194" s="1"/>
  <c r="FP194" s="1"/>
  <c r="FR194"/>
  <c r="FS194"/>
  <c r="FS192"/>
  <c r="FR192"/>
  <c r="FH185"/>
  <c r="FS185"/>
  <c r="FR185"/>
  <c r="FS179"/>
  <c r="FR179"/>
  <c r="FH178"/>
  <c r="FL178" s="1"/>
  <c r="FP178" s="1"/>
  <c r="FR178"/>
  <c r="FS178"/>
  <c r="FS176"/>
  <c r="FR176"/>
  <c r="FH173"/>
  <c r="FS173"/>
  <c r="FR173"/>
  <c r="FS167"/>
  <c r="FR167"/>
  <c r="FH166"/>
  <c r="FL166" s="1"/>
  <c r="FP166" s="1"/>
  <c r="FR166"/>
  <c r="FS166"/>
  <c r="FS164"/>
  <c r="FR164"/>
  <c r="FH157"/>
  <c r="FS157"/>
  <c r="FR157"/>
  <c r="FS151"/>
  <c r="FR151"/>
  <c r="FH150"/>
  <c r="FL150" s="1"/>
  <c r="FP150" s="1"/>
  <c r="FR150"/>
  <c r="FS150"/>
  <c r="FS148"/>
  <c r="FR148"/>
  <c r="FH141"/>
  <c r="FS141"/>
  <c r="FR141"/>
  <c r="FS135"/>
  <c r="FR135"/>
  <c r="FH134"/>
  <c r="FL134" s="1"/>
  <c r="FP134" s="1"/>
  <c r="FR134"/>
  <c r="FS134"/>
  <c r="FS132"/>
  <c r="FR132"/>
  <c r="FH125"/>
  <c r="FS125"/>
  <c r="FR125"/>
  <c r="FS119"/>
  <c r="FR119"/>
  <c r="FH118"/>
  <c r="FL118" s="1"/>
  <c r="FP118" s="1"/>
  <c r="FR118"/>
  <c r="FS118"/>
  <c r="FS116"/>
  <c r="FR116"/>
  <c r="FH109"/>
  <c r="FL109" s="1"/>
  <c r="FS109"/>
  <c r="FR109"/>
  <c r="FS103"/>
  <c r="FR103"/>
  <c r="FR102"/>
  <c r="FS102"/>
  <c r="FS100"/>
  <c r="FR100"/>
  <c r="FH93"/>
  <c r="FS93"/>
  <c r="FR93"/>
  <c r="FS87"/>
  <c r="FR87"/>
  <c r="FR86"/>
  <c r="FS86"/>
  <c r="FS84"/>
  <c r="FR84"/>
  <c r="FH77"/>
  <c r="FS77"/>
  <c r="FR77"/>
  <c r="FR74"/>
  <c r="FS74"/>
  <c r="FS72"/>
  <c r="FR72"/>
  <c r="FH203"/>
  <c r="FL203" s="1"/>
  <c r="FP203" s="1"/>
  <c r="FH196"/>
  <c r="FL196" s="1"/>
  <c r="FH187"/>
  <c r="FL187" s="1"/>
  <c r="FP187" s="1"/>
  <c r="FH175"/>
  <c r="FL175" s="1"/>
  <c r="FP175" s="1"/>
  <c r="FH160"/>
  <c r="FH159"/>
  <c r="FL159" s="1"/>
  <c r="FP159" s="1"/>
  <c r="FH144"/>
  <c r="FL144" s="1"/>
  <c r="FP144" s="1"/>
  <c r="FH143"/>
  <c r="FL143" s="1"/>
  <c r="FP143" s="1"/>
  <c r="FH128"/>
  <c r="FL128" s="1"/>
  <c r="FH127"/>
  <c r="FL127" s="1"/>
  <c r="FP127" s="1"/>
  <c r="FH112"/>
  <c r="FL112" s="1"/>
  <c r="FP112" s="1"/>
  <c r="FH111"/>
  <c r="FL111" s="1"/>
  <c r="FP111" s="1"/>
  <c r="FH106"/>
  <c r="FL106" s="1"/>
  <c r="FP106" s="1"/>
  <c r="FH104"/>
  <c r="FL103"/>
  <c r="FP103" s="1"/>
  <c r="FH95"/>
  <c r="FL95" s="1"/>
  <c r="FP95" s="1"/>
  <c r="FH88"/>
  <c r="FL87"/>
  <c r="FH79"/>
  <c r="FL79" s="1"/>
  <c r="FP79" s="1"/>
  <c r="FH70"/>
  <c r="FH68"/>
  <c r="FR65"/>
  <c r="FK75"/>
  <c r="FL75" s="1"/>
  <c r="FO73"/>
  <c r="FO71"/>
  <c r="FO69"/>
  <c r="FH69"/>
  <c r="FL69" s="1"/>
  <c r="FK68"/>
  <c r="FH66"/>
  <c r="FL66" s="1"/>
  <c r="FP66" s="1"/>
  <c r="FK65"/>
  <c r="FH64"/>
  <c r="FL64" s="1"/>
  <c r="FP64" s="1"/>
  <c r="FK63"/>
  <c r="FL63" s="1"/>
  <c r="FP63" s="1"/>
  <c r="FO60"/>
  <c r="FO57"/>
  <c r="FH53"/>
  <c r="FL53" s="1"/>
  <c r="FP53" s="1"/>
  <c r="FK52"/>
  <c r="FO51"/>
  <c r="FH50"/>
  <c r="FL50" s="1"/>
  <c r="FP50" s="1"/>
  <c r="FK49"/>
  <c r="FH48"/>
  <c r="FL48" s="1"/>
  <c r="FP48" s="1"/>
  <c r="FO44"/>
  <c r="FO41"/>
  <c r="FH40"/>
  <c r="FL40" s="1"/>
  <c r="FP40" s="1"/>
  <c r="FH37"/>
  <c r="FL37" s="1"/>
  <c r="FP37" s="1"/>
  <c r="FK36"/>
  <c r="FO33"/>
  <c r="FH33"/>
  <c r="FK32"/>
  <c r="FH30"/>
  <c r="FL30" s="1"/>
  <c r="FP30" s="1"/>
  <c r="FK29"/>
  <c r="FK27"/>
  <c r="FL27" s="1"/>
  <c r="FO24"/>
  <c r="FH24"/>
  <c r="FK23"/>
  <c r="FL23" s="1"/>
  <c r="FO21"/>
  <c r="FH20"/>
  <c r="FH17"/>
  <c r="FK16"/>
  <c r="FH10"/>
  <c r="FL10" s="1"/>
  <c r="FP10" s="1"/>
  <c r="FS7"/>
  <c r="FS70"/>
  <c r="FR69"/>
  <c r="FS62"/>
  <c r="FR61"/>
  <c r="FS58"/>
  <c r="FR57"/>
  <c r="FS54"/>
  <c r="FR53"/>
  <c r="FS50"/>
  <c r="FS46"/>
  <c r="FR45"/>
  <c r="FS42"/>
  <c r="FR41"/>
  <c r="FS38"/>
  <c r="FR37"/>
  <c r="FS34"/>
  <c r="FR33"/>
  <c r="FS30"/>
  <c r="FS26"/>
  <c r="FR25"/>
  <c r="FS22"/>
  <c r="FR21"/>
  <c r="FS19"/>
  <c r="FR18"/>
  <c r="FS16"/>
  <c r="FS11"/>
  <c r="FR10"/>
  <c r="FS8"/>
  <c r="FH65"/>
  <c r="FH62"/>
  <c r="FL62" s="1"/>
  <c r="FP62" s="1"/>
  <c r="FH60"/>
  <c r="FL59"/>
  <c r="FL55"/>
  <c r="FH51"/>
  <c r="FL51" s="1"/>
  <c r="FH49"/>
  <c r="FL49" s="1"/>
  <c r="FP49" s="1"/>
  <c r="FH46"/>
  <c r="FL46" s="1"/>
  <c r="FP46" s="1"/>
  <c r="FH36"/>
  <c r="FL36" s="1"/>
  <c r="FH32"/>
  <c r="FL32" s="1"/>
  <c r="FH31"/>
  <c r="FL31" s="1"/>
  <c r="FP31" s="1"/>
  <c r="FH29"/>
  <c r="FH26"/>
  <c r="FL26" s="1"/>
  <c r="FP26" s="1"/>
  <c r="FH16"/>
  <c r="FL16" s="1"/>
  <c r="FH15"/>
  <c r="FL15" s="1"/>
  <c r="FP15" s="1"/>
  <c r="FH13"/>
  <c r="FK12"/>
  <c r="FS69"/>
  <c r="FR68"/>
  <c r="FS65"/>
  <c r="FR64"/>
  <c r="FR60"/>
  <c r="FR56"/>
  <c r="FS53"/>
  <c r="FR52"/>
  <c r="FS49"/>
  <c r="FR48"/>
  <c r="FR44"/>
  <c r="FR40"/>
  <c r="FS37"/>
  <c r="FR36"/>
  <c r="FS33"/>
  <c r="FR32"/>
  <c r="FS29"/>
  <c r="FR28"/>
  <c r="FR24"/>
  <c r="FR17"/>
  <c r="FR15"/>
  <c r="FR12"/>
  <c r="FS10"/>
  <c r="FO75"/>
  <c r="FH74"/>
  <c r="FL74" s="1"/>
  <c r="FP74" s="1"/>
  <c r="FK73"/>
  <c r="FH72"/>
  <c r="FK71"/>
  <c r="FL71" s="1"/>
  <c r="FP71" s="1"/>
  <c r="FO68"/>
  <c r="FH61"/>
  <c r="FL61" s="1"/>
  <c r="FP61" s="1"/>
  <c r="FK60"/>
  <c r="FH58"/>
  <c r="FL58" s="1"/>
  <c r="FP58" s="1"/>
  <c r="FK57"/>
  <c r="FH56"/>
  <c r="FL56" s="1"/>
  <c r="FP56" s="1"/>
  <c r="FO52"/>
  <c r="FO45"/>
  <c r="FH45"/>
  <c r="FL45" s="1"/>
  <c r="FK44"/>
  <c r="FL44" s="1"/>
  <c r="FP44" s="1"/>
  <c r="FH42"/>
  <c r="FL42" s="1"/>
  <c r="FP42" s="1"/>
  <c r="FK41"/>
  <c r="FO36"/>
  <c r="FK35"/>
  <c r="FL35" s="1"/>
  <c r="FP35" s="1"/>
  <c r="FK33"/>
  <c r="FO32"/>
  <c r="FO29"/>
  <c r="FO27"/>
  <c r="FH25"/>
  <c r="FL25" s="1"/>
  <c r="FP25" s="1"/>
  <c r="FK24"/>
  <c r="FO23"/>
  <c r="FH22"/>
  <c r="FL22" s="1"/>
  <c r="FP22" s="1"/>
  <c r="FK21"/>
  <c r="FO16"/>
  <c r="FH12"/>
  <c r="FO9"/>
  <c r="FP9" s="1"/>
  <c r="FH9"/>
  <c r="FL9" s="1"/>
  <c r="FK8"/>
  <c r="FR71"/>
  <c r="FR63"/>
  <c r="FR59"/>
  <c r="FR55"/>
  <c r="FR51"/>
  <c r="FR47"/>
  <c r="FR43"/>
  <c r="FR39"/>
  <c r="FR35"/>
  <c r="FR31"/>
  <c r="FR27"/>
  <c r="FS24"/>
  <c r="FR23"/>
  <c r="FR20"/>
  <c r="FS17"/>
  <c r="FS9"/>
  <c r="FH57"/>
  <c r="FL57" s="1"/>
  <c r="FP57" s="1"/>
  <c r="FH54"/>
  <c r="FL54" s="1"/>
  <c r="FP54" s="1"/>
  <c r="FH52"/>
  <c r="FL47"/>
  <c r="FP47" s="1"/>
  <c r="FH41"/>
  <c r="FH38"/>
  <c r="FL38" s="1"/>
  <c r="FP38" s="1"/>
  <c r="FH34"/>
  <c r="FL34" s="1"/>
  <c r="FP34" s="1"/>
  <c r="FH28"/>
  <c r="FL28" s="1"/>
  <c r="FP28" s="1"/>
  <c r="FH21"/>
  <c r="FL21" s="1"/>
  <c r="FH18"/>
  <c r="FL18" s="1"/>
  <c r="FP18" s="1"/>
  <c r="FH14"/>
  <c r="FL14" s="1"/>
  <c r="FP14" s="1"/>
  <c r="FL8"/>
  <c r="FP8" s="1"/>
  <c r="FS14"/>
  <c r="FR13"/>
  <c r="FL197"/>
  <c r="FP197" s="1"/>
  <c r="FL192"/>
  <c r="FP192" s="1"/>
  <c r="FL176"/>
  <c r="FP176" s="1"/>
  <c r="FL164"/>
  <c r="FP164" s="1"/>
  <c r="FL161"/>
  <c r="FP161" s="1"/>
  <c r="FL148"/>
  <c r="FP148" s="1"/>
  <c r="FL145"/>
  <c r="FL129"/>
  <c r="FP129" s="1"/>
  <c r="FL116"/>
  <c r="FP116" s="1"/>
  <c r="FL113"/>
  <c r="FP113" s="1"/>
  <c r="FL108"/>
  <c r="FP108" s="1"/>
  <c r="FP107"/>
  <c r="FL97"/>
  <c r="FP97" s="1"/>
  <c r="FP91"/>
  <c r="FL81"/>
  <c r="FP81" s="1"/>
  <c r="FP76"/>
  <c r="FP59"/>
  <c r="FP55"/>
  <c r="FL29"/>
  <c r="FP29" s="1"/>
  <c r="FL13"/>
  <c r="FP13" s="1"/>
  <c r="FL201"/>
  <c r="FP201" s="1"/>
  <c r="FP196"/>
  <c r="FL185"/>
  <c r="FP185" s="1"/>
  <c r="FL173"/>
  <c r="FP173" s="1"/>
  <c r="FL157"/>
  <c r="FP157" s="1"/>
  <c r="FL141"/>
  <c r="FP141" s="1"/>
  <c r="FP128"/>
  <c r="FL125"/>
  <c r="FP125" s="1"/>
  <c r="FP109"/>
  <c r="FL104"/>
  <c r="FL93"/>
  <c r="FP93" s="1"/>
  <c r="FL88"/>
  <c r="FP88" s="1"/>
  <c r="FP87"/>
  <c r="FL77"/>
  <c r="FP77" s="1"/>
  <c r="FL72"/>
  <c r="FP72" s="1"/>
  <c r="FP200"/>
  <c r="FP184"/>
  <c r="FP172"/>
  <c r="FP156"/>
  <c r="FP140"/>
  <c r="FP124"/>
  <c r="FP105"/>
  <c r="FL100"/>
  <c r="FP100" s="1"/>
  <c r="FP89"/>
  <c r="FL84"/>
  <c r="FP84" s="1"/>
  <c r="FL68"/>
  <c r="FL52"/>
  <c r="FP52" s="1"/>
  <c r="FP193"/>
  <c r="FP177"/>
  <c r="FP165"/>
  <c r="FP149"/>
  <c r="FP133"/>
  <c r="FP117"/>
  <c r="FP23"/>
  <c r="FL20"/>
  <c r="FP20" s="1"/>
  <c r="FL17"/>
  <c r="FP17" s="1"/>
  <c r="EC115"/>
  <c r="EC91"/>
  <c r="EE91" s="1"/>
  <c r="EG91" s="1"/>
  <c r="EC87"/>
  <c r="EC83"/>
  <c r="EC79"/>
  <c r="ER205"/>
  <c r="EV204"/>
  <c r="EV203"/>
  <c r="ER201"/>
  <c r="EO195"/>
  <c r="EV60"/>
  <c r="EV56"/>
  <c r="EV52"/>
  <c r="EV48"/>
  <c r="EV45"/>
  <c r="EV44"/>
  <c r="EV33"/>
  <c r="EV20"/>
  <c r="EZ20" s="1"/>
  <c r="EV15"/>
  <c r="EV14"/>
  <c r="ER12"/>
  <c r="ER203"/>
  <c r="ER183"/>
  <c r="ER182"/>
  <c r="ER178"/>
  <c r="ER53"/>
  <c r="EZ53" s="1"/>
  <c r="ER49"/>
  <c r="ER45"/>
  <c r="ER44"/>
  <c r="ER41"/>
  <c r="EO41"/>
  <c r="ER40"/>
  <c r="ER37"/>
  <c r="ER33"/>
  <c r="EO33"/>
  <c r="ER32"/>
  <c r="ER29"/>
  <c r="ER28"/>
  <c r="EO203"/>
  <c r="ER195"/>
  <c r="ER191"/>
  <c r="ER190"/>
  <c r="ER186"/>
  <c r="EV184"/>
  <c r="EV183"/>
  <c r="ER181"/>
  <c r="EV180"/>
  <c r="EV179"/>
  <c r="ER177"/>
  <c r="ER159"/>
  <c r="ER155"/>
  <c r="EV149"/>
  <c r="ER147"/>
  <c r="ER143"/>
  <c r="ER139"/>
  <c r="EV137"/>
  <c r="EO136"/>
  <c r="ES136" s="1"/>
  <c r="EW136" s="1"/>
  <c r="ER135"/>
  <c r="EV133"/>
  <c r="EO132"/>
  <c r="ER131"/>
  <c r="EV129"/>
  <c r="EO128"/>
  <c r="ES128" s="1"/>
  <c r="EW128" s="1"/>
  <c r="ER127"/>
  <c r="EV125"/>
  <c r="EO124"/>
  <c r="ES124" s="1"/>
  <c r="EW124" s="1"/>
  <c r="EV121"/>
  <c r="EV117"/>
  <c r="EV113"/>
  <c r="EV109"/>
  <c r="EV105"/>
  <c r="EO101"/>
  <c r="EO97"/>
  <c r="EO93"/>
  <c r="EV90"/>
  <c r="EV85"/>
  <c r="EV82"/>
  <c r="EV77"/>
  <c r="EZ77" s="1"/>
  <c r="EV74"/>
  <c r="EV69"/>
  <c r="ER68"/>
  <c r="ER67"/>
  <c r="EV66"/>
  <c r="ER63"/>
  <c r="EV62"/>
  <c r="EV61"/>
  <c r="EZ61" s="1"/>
  <c r="ER60"/>
  <c r="ER59"/>
  <c r="EV58"/>
  <c r="ER55"/>
  <c r="EV54"/>
  <c r="ER51"/>
  <c r="EV50"/>
  <c r="ER48"/>
  <c r="EZ48" s="1"/>
  <c r="ER47"/>
  <c r="EV46"/>
  <c r="EV42"/>
  <c r="EV38"/>
  <c r="ER36"/>
  <c r="ER35"/>
  <c r="EV34"/>
  <c r="EV30"/>
  <c r="EO179"/>
  <c r="EO159"/>
  <c r="EO155"/>
  <c r="EO147"/>
  <c r="EO143"/>
  <c r="EO135"/>
  <c r="EO131"/>
  <c r="ES131" s="1"/>
  <c r="EO127"/>
  <c r="ES127" s="1"/>
  <c r="EO123"/>
  <c r="EO107"/>
  <c r="EV41"/>
  <c r="EV40"/>
  <c r="EV36"/>
  <c r="EV32"/>
  <c r="EV28"/>
  <c r="EV27"/>
  <c r="EO26"/>
  <c r="ER24"/>
  <c r="EV17"/>
  <c r="ER16"/>
  <c r="EV12"/>
  <c r="EZ12" s="1"/>
  <c r="EV11"/>
  <c r="EO11"/>
  <c r="ES11" s="1"/>
  <c r="EV10"/>
  <c r="ER9"/>
  <c r="ER206"/>
  <c r="ER202"/>
  <c r="EV200"/>
  <c r="EV199"/>
  <c r="ER197"/>
  <c r="EV196"/>
  <c r="EV195"/>
  <c r="EO187"/>
  <c r="ES187" s="1"/>
  <c r="EW187" s="1"/>
  <c r="ER179"/>
  <c r="EV178"/>
  <c r="EV176"/>
  <c r="EZ176" s="1"/>
  <c r="ER157"/>
  <c r="ER153"/>
  <c r="EO151"/>
  <c r="ER145"/>
  <c r="ES145" s="1"/>
  <c r="ER141"/>
  <c r="ES141" s="1"/>
  <c r="EV139"/>
  <c r="EY138"/>
  <c r="ER137"/>
  <c r="ES137" s="1"/>
  <c r="EV135"/>
  <c r="EZ135" s="1"/>
  <c r="EY134"/>
  <c r="ER133"/>
  <c r="ES133" s="1"/>
  <c r="EV131"/>
  <c r="EY130"/>
  <c r="ER129"/>
  <c r="EV127"/>
  <c r="EY126"/>
  <c r="ER125"/>
  <c r="ES125" s="1"/>
  <c r="EW125" s="1"/>
  <c r="EV123"/>
  <c r="EV119"/>
  <c r="EV115"/>
  <c r="EV111"/>
  <c r="EV107"/>
  <c r="EO99"/>
  <c r="EO95"/>
  <c r="EO90"/>
  <c r="EO82"/>
  <c r="EO74"/>
  <c r="EV67"/>
  <c r="EO66"/>
  <c r="EV63"/>
  <c r="EV59"/>
  <c r="EO58"/>
  <c r="EV55"/>
  <c r="EV51"/>
  <c r="EO50"/>
  <c r="EV47"/>
  <c r="EV43"/>
  <c r="EO42"/>
  <c r="EV39"/>
  <c r="EV35"/>
  <c r="EZ35" s="1"/>
  <c r="EO34"/>
  <c r="EV31"/>
  <c r="EV21"/>
  <c r="EV16"/>
  <c r="ES157"/>
  <c r="ES153"/>
  <c r="EZ140"/>
  <c r="ES132"/>
  <c r="EW132" s="1"/>
  <c r="ER123"/>
  <c r="EZ123" s="1"/>
  <c r="ER122"/>
  <c r="EZ122" s="1"/>
  <c r="EY122"/>
  <c r="ER121"/>
  <c r="ER120"/>
  <c r="EZ120" s="1"/>
  <c r="ER119"/>
  <c r="ER118"/>
  <c r="EY118"/>
  <c r="ER117"/>
  <c r="EZ117" s="1"/>
  <c r="ER116"/>
  <c r="EZ116" s="1"/>
  <c r="ER115"/>
  <c r="ER114"/>
  <c r="EZ114" s="1"/>
  <c r="EY114"/>
  <c r="ER113"/>
  <c r="ES113" s="1"/>
  <c r="ER112"/>
  <c r="EZ112" s="1"/>
  <c r="ER111"/>
  <c r="ER110"/>
  <c r="EY110"/>
  <c r="ER109"/>
  <c r="ER108"/>
  <c r="EZ108" s="1"/>
  <c r="ER107"/>
  <c r="EZ107" s="1"/>
  <c r="ER106"/>
  <c r="EY106"/>
  <c r="ER105"/>
  <c r="ES105" s="1"/>
  <c r="ER104"/>
  <c r="ER103"/>
  <c r="ER102"/>
  <c r="EY102"/>
  <c r="ER101"/>
  <c r="ER100"/>
  <c r="ES100" s="1"/>
  <c r="ER99"/>
  <c r="ES99" s="1"/>
  <c r="ER98"/>
  <c r="ES98" s="1"/>
  <c r="EY98"/>
  <c r="ER97"/>
  <c r="ER96"/>
  <c r="ES96" s="1"/>
  <c r="ER95"/>
  <c r="ER94"/>
  <c r="ES94" s="1"/>
  <c r="EY94"/>
  <c r="ER93"/>
  <c r="ER92"/>
  <c r="EZ92" s="1"/>
  <c r="ER91"/>
  <c r="ER90"/>
  <c r="EV87"/>
  <c r="ER84"/>
  <c r="EZ84" s="1"/>
  <c r="ER83"/>
  <c r="ER82"/>
  <c r="ES82" s="1"/>
  <c r="EV79"/>
  <c r="ER76"/>
  <c r="ER75"/>
  <c r="ER74"/>
  <c r="EV71"/>
  <c r="ER66"/>
  <c r="ER58"/>
  <c r="ER50"/>
  <c r="ER42"/>
  <c r="ER34"/>
  <c r="ER26"/>
  <c r="EC75"/>
  <c r="EC71"/>
  <c r="EC67"/>
  <c r="EC63"/>
  <c r="EC59"/>
  <c r="EC55"/>
  <c r="EC51"/>
  <c r="EC47"/>
  <c r="EC43"/>
  <c r="EC39"/>
  <c r="EV6"/>
  <c r="ER204"/>
  <c r="EZ204" s="1"/>
  <c r="EV202"/>
  <c r="EV201"/>
  <c r="EO201"/>
  <c r="ER196"/>
  <c r="EZ196" s="1"/>
  <c r="EV194"/>
  <c r="EV193"/>
  <c r="EO193"/>
  <c r="ES193" s="1"/>
  <c r="ER188"/>
  <c r="EZ188" s="1"/>
  <c r="EV186"/>
  <c r="EV185"/>
  <c r="EO185"/>
  <c r="ES185" s="1"/>
  <c r="ER180"/>
  <c r="EZ180" s="1"/>
  <c r="EO176"/>
  <c r="ES176" s="1"/>
  <c r="ER173"/>
  <c r="EV171"/>
  <c r="ER169"/>
  <c r="EV167"/>
  <c r="ER165"/>
  <c r="EV163"/>
  <c r="ER161"/>
  <c r="EV159"/>
  <c r="EV157"/>
  <c r="EV155"/>
  <c r="EV153"/>
  <c r="EV151"/>
  <c r="EZ64"/>
  <c r="EZ56"/>
  <c r="ER25"/>
  <c r="ES25" s="1"/>
  <c r="EW25" s="1"/>
  <c r="EO25"/>
  <c r="ER23"/>
  <c r="EV22"/>
  <c r="EO10"/>
  <c r="EV8"/>
  <c r="EV7"/>
  <c r="EC12"/>
  <c r="EC8"/>
  <c r="EO199"/>
  <c r="ES199" s="1"/>
  <c r="EO191"/>
  <c r="EO183"/>
  <c r="EO177"/>
  <c r="ES177" s="1"/>
  <c r="EW177" s="1"/>
  <c r="EV104"/>
  <c r="EV103"/>
  <c r="EZ103" s="1"/>
  <c r="EV102"/>
  <c r="EV101"/>
  <c r="EZ101" s="1"/>
  <c r="EV100"/>
  <c r="EV99"/>
  <c r="EV98"/>
  <c r="EV97"/>
  <c r="EZ97" s="1"/>
  <c r="EV96"/>
  <c r="EV95"/>
  <c r="EV94"/>
  <c r="EV93"/>
  <c r="EV91"/>
  <c r="ER88"/>
  <c r="ER87"/>
  <c r="ER86"/>
  <c r="EV83"/>
  <c r="ER80"/>
  <c r="EZ80" s="1"/>
  <c r="ER79"/>
  <c r="ER78"/>
  <c r="EV75"/>
  <c r="ER72"/>
  <c r="ER71"/>
  <c r="ER70"/>
  <c r="ER62"/>
  <c r="ER54"/>
  <c r="ER46"/>
  <c r="ER38"/>
  <c r="ER30"/>
  <c r="ER22"/>
  <c r="ER21"/>
  <c r="EY20"/>
  <c r="ER18"/>
  <c r="ER17"/>
  <c r="EY15"/>
  <c r="ER14"/>
  <c r="ER13"/>
  <c r="EY11"/>
  <c r="ER10"/>
  <c r="ER6"/>
  <c r="EV206"/>
  <c r="EV205"/>
  <c r="EO205"/>
  <c r="ER200"/>
  <c r="EV198"/>
  <c r="EZ198" s="1"/>
  <c r="EV197"/>
  <c r="EO197"/>
  <c r="ES197" s="1"/>
  <c r="ER192"/>
  <c r="EZ192" s="1"/>
  <c r="EV190"/>
  <c r="EV189"/>
  <c r="EZ189" s="1"/>
  <c r="EO189"/>
  <c r="ES189" s="1"/>
  <c r="ER184"/>
  <c r="EV182"/>
  <c r="EV181"/>
  <c r="EO181"/>
  <c r="EO178"/>
  <c r="ES178" s="1"/>
  <c r="EW178" s="1"/>
  <c r="ER175"/>
  <c r="EV173"/>
  <c r="EZ173" s="1"/>
  <c r="ER171"/>
  <c r="EV169"/>
  <c r="ER167"/>
  <c r="EZ167" s="1"/>
  <c r="EV165"/>
  <c r="EZ165" s="1"/>
  <c r="ER163"/>
  <c r="EZ163" s="1"/>
  <c r="EV161"/>
  <c r="ER150"/>
  <c r="EV147"/>
  <c r="EV145"/>
  <c r="EZ145" s="1"/>
  <c r="EV143"/>
  <c r="EV141"/>
  <c r="EO140"/>
  <c r="ES140" s="1"/>
  <c r="EW140" s="1"/>
  <c r="EO139"/>
  <c r="EO138"/>
  <c r="ES138" s="1"/>
  <c r="EW138" s="1"/>
  <c r="EO134"/>
  <c r="ES134" s="1"/>
  <c r="EW134" s="1"/>
  <c r="EO130"/>
  <c r="ES130" s="1"/>
  <c r="EW130" s="1"/>
  <c r="EO129"/>
  <c r="ES129" s="1"/>
  <c r="EO126"/>
  <c r="ES126" s="1"/>
  <c r="EW126" s="1"/>
  <c r="EO122"/>
  <c r="EO121"/>
  <c r="EO120"/>
  <c r="EO119"/>
  <c r="EO118"/>
  <c r="EO117"/>
  <c r="EO116"/>
  <c r="EO115"/>
  <c r="EO114"/>
  <c r="EO112"/>
  <c r="EO111"/>
  <c r="EO110"/>
  <c r="EO109"/>
  <c r="EO108"/>
  <c r="EO106"/>
  <c r="EO104"/>
  <c r="EO103"/>
  <c r="EO102"/>
  <c r="EZ87"/>
  <c r="EO86"/>
  <c r="EO78"/>
  <c r="EO70"/>
  <c r="EO62"/>
  <c r="EO61"/>
  <c r="ES61" s="1"/>
  <c r="EW61" s="1"/>
  <c r="EY54"/>
  <c r="EO53"/>
  <c r="EO46"/>
  <c r="EO45"/>
  <c r="ES45" s="1"/>
  <c r="EW45" s="1"/>
  <c r="EO38"/>
  <c r="EO37"/>
  <c r="EO30"/>
  <c r="EO29"/>
  <c r="ES29" s="1"/>
  <c r="EW29" s="1"/>
  <c r="ER27"/>
  <c r="EV24"/>
  <c r="EV23"/>
  <c r="EO22"/>
  <c r="EO21"/>
  <c r="EY18"/>
  <c r="EO17"/>
  <c r="EO13"/>
  <c r="EY8"/>
  <c r="EW199"/>
  <c r="EZ206"/>
  <c r="EY206"/>
  <c r="EY204"/>
  <c r="EY173"/>
  <c r="EY202"/>
  <c r="EY200"/>
  <c r="EY190"/>
  <c r="EY180"/>
  <c r="EZ175"/>
  <c r="EY175"/>
  <c r="EY174"/>
  <c r="EZ174"/>
  <c r="EY166"/>
  <c r="EZ166"/>
  <c r="EY162"/>
  <c r="EZ162"/>
  <c r="EY161"/>
  <c r="EY154"/>
  <c r="EY150"/>
  <c r="EZ136"/>
  <c r="EZ133"/>
  <c r="EZ132"/>
  <c r="EZ128"/>
  <c r="EZ127"/>
  <c r="EY198"/>
  <c r="EY186"/>
  <c r="EY184"/>
  <c r="EY182"/>
  <c r="EZ182"/>
  <c r="EZ172"/>
  <c r="EY172"/>
  <c r="EY170"/>
  <c r="EZ170"/>
  <c r="EY165"/>
  <c r="EZ160"/>
  <c r="EY160"/>
  <c r="EY158"/>
  <c r="EY156"/>
  <c r="EY152"/>
  <c r="EY148"/>
  <c r="EY146"/>
  <c r="EZ146"/>
  <c r="EZ144"/>
  <c r="EY144"/>
  <c r="EY142"/>
  <c r="EZ142"/>
  <c r="EY205"/>
  <c r="EZ203"/>
  <c r="EY203"/>
  <c r="EZ201"/>
  <c r="EY201"/>
  <c r="EZ199"/>
  <c r="EY199"/>
  <c r="EY197"/>
  <c r="EZ195"/>
  <c r="EY195"/>
  <c r="EZ193"/>
  <c r="EY193"/>
  <c r="EZ191"/>
  <c r="EY191"/>
  <c r="EY189"/>
  <c r="EZ187"/>
  <c r="EY187"/>
  <c r="EZ185"/>
  <c r="EY185"/>
  <c r="EZ183"/>
  <c r="EY183"/>
  <c r="EY181"/>
  <c r="EZ179"/>
  <c r="EY179"/>
  <c r="EY178"/>
  <c r="EZ178"/>
  <c r="EZ177"/>
  <c r="EY177"/>
  <c r="EY176"/>
  <c r="EZ159"/>
  <c r="EY159"/>
  <c r="EZ157"/>
  <c r="EY157"/>
  <c r="EZ155"/>
  <c r="EY155"/>
  <c r="EZ153"/>
  <c r="EY153"/>
  <c r="EY151"/>
  <c r="EY149"/>
  <c r="EY147"/>
  <c r="EY145"/>
  <c r="EY143"/>
  <c r="EZ125"/>
  <c r="EZ124"/>
  <c r="EZ113"/>
  <c r="EZ100"/>
  <c r="EZ76"/>
  <c r="EZ89"/>
  <c r="EZ81"/>
  <c r="EZ73"/>
  <c r="ER151"/>
  <c r="ES151" s="1"/>
  <c r="ER149"/>
  <c r="ES149" s="1"/>
  <c r="EW149" s="1"/>
  <c r="EZ88"/>
  <c r="EZ72"/>
  <c r="EZ63"/>
  <c r="EZ55"/>
  <c r="EZ19"/>
  <c r="EY196"/>
  <c r="EY194"/>
  <c r="EZ194"/>
  <c r="EY192"/>
  <c r="EY188"/>
  <c r="EY171"/>
  <c r="EZ169"/>
  <c r="EY169"/>
  <c r="EZ168"/>
  <c r="EY168"/>
  <c r="EY167"/>
  <c r="EZ164"/>
  <c r="EY164"/>
  <c r="EY163"/>
  <c r="EC138"/>
  <c r="EI134"/>
  <c r="EI130"/>
  <c r="EI126"/>
  <c r="EI122"/>
  <c r="EI118"/>
  <c r="EE115"/>
  <c r="EI98"/>
  <c r="EI94"/>
  <c r="EO206"/>
  <c r="ES206" s="1"/>
  <c r="EW206" s="1"/>
  <c r="EO204"/>
  <c r="ES204" s="1"/>
  <c r="EW204" s="1"/>
  <c r="EO202"/>
  <c r="ES202" s="1"/>
  <c r="EW202" s="1"/>
  <c r="EO200"/>
  <c r="ES200" s="1"/>
  <c r="EO198"/>
  <c r="ES198" s="1"/>
  <c r="EW198" s="1"/>
  <c r="EO196"/>
  <c r="ES196" s="1"/>
  <c r="EW196" s="1"/>
  <c r="EO194"/>
  <c r="ES194" s="1"/>
  <c r="EW194" s="1"/>
  <c r="EO192"/>
  <c r="ES192" s="1"/>
  <c r="EW192" s="1"/>
  <c r="EO190"/>
  <c r="ES190" s="1"/>
  <c r="EW190" s="1"/>
  <c r="EO188"/>
  <c r="ES188" s="1"/>
  <c r="EW188" s="1"/>
  <c r="EO186"/>
  <c r="ES186" s="1"/>
  <c r="EW186" s="1"/>
  <c r="EO184"/>
  <c r="ES184" s="1"/>
  <c r="EW184" s="1"/>
  <c r="EO182"/>
  <c r="ES182" s="1"/>
  <c r="EW182" s="1"/>
  <c r="EO180"/>
  <c r="ES180" s="1"/>
  <c r="EW180" s="1"/>
  <c r="EO175"/>
  <c r="ES175" s="1"/>
  <c r="EW175" s="1"/>
  <c r="EO174"/>
  <c r="ES174" s="1"/>
  <c r="EW174" s="1"/>
  <c r="EO173"/>
  <c r="ES173" s="1"/>
  <c r="EW173" s="1"/>
  <c r="EO172"/>
  <c r="ES172" s="1"/>
  <c r="EW172" s="1"/>
  <c r="EO171"/>
  <c r="ES171" s="1"/>
  <c r="EO170"/>
  <c r="ES170" s="1"/>
  <c r="EW170" s="1"/>
  <c r="EO169"/>
  <c r="ES169" s="1"/>
  <c r="EO168"/>
  <c r="ES168" s="1"/>
  <c r="EW168" s="1"/>
  <c r="EO167"/>
  <c r="ES167" s="1"/>
  <c r="EW167" s="1"/>
  <c r="EO166"/>
  <c r="ES166" s="1"/>
  <c r="EW166" s="1"/>
  <c r="EO165"/>
  <c r="ES165" s="1"/>
  <c r="EW165" s="1"/>
  <c r="EO164"/>
  <c r="ES164" s="1"/>
  <c r="EW164" s="1"/>
  <c r="EO163"/>
  <c r="ES163" s="1"/>
  <c r="EO162"/>
  <c r="ES162" s="1"/>
  <c r="EW162" s="1"/>
  <c r="EO161"/>
  <c r="ES161" s="1"/>
  <c r="EO160"/>
  <c r="ES160" s="1"/>
  <c r="EW160" s="1"/>
  <c r="EV158"/>
  <c r="EZ158" s="1"/>
  <c r="EO158"/>
  <c r="ES158" s="1"/>
  <c r="EV156"/>
  <c r="EZ156" s="1"/>
  <c r="EO156"/>
  <c r="ES156" s="1"/>
  <c r="EV154"/>
  <c r="EZ154" s="1"/>
  <c r="EO154"/>
  <c r="ES154" s="1"/>
  <c r="EV152"/>
  <c r="EZ152" s="1"/>
  <c r="EO152"/>
  <c r="ES152" s="1"/>
  <c r="EV150"/>
  <c r="EZ150" s="1"/>
  <c r="EO150"/>
  <c r="ES150" s="1"/>
  <c r="EV148"/>
  <c r="EZ148" s="1"/>
  <c r="EO148"/>
  <c r="ES148" s="1"/>
  <c r="EO146"/>
  <c r="ES146" s="1"/>
  <c r="EW146" s="1"/>
  <c r="EO144"/>
  <c r="ES144" s="1"/>
  <c r="EW144" s="1"/>
  <c r="EO142"/>
  <c r="ES142" s="1"/>
  <c r="EW142" s="1"/>
  <c r="EZ85"/>
  <c r="EZ69"/>
  <c r="EZ68"/>
  <c r="EZ60"/>
  <c r="EZ52"/>
  <c r="EZ44"/>
  <c r="EZ36"/>
  <c r="EZ9"/>
  <c r="ES53"/>
  <c r="EW53" s="1"/>
  <c r="ES49"/>
  <c r="EW49" s="1"/>
  <c r="ES37"/>
  <c r="EW37" s="1"/>
  <c r="ES21"/>
  <c r="EW21" s="1"/>
  <c r="EW11"/>
  <c r="ES7"/>
  <c r="EW7" s="1"/>
  <c r="EY141"/>
  <c r="EZ138"/>
  <c r="EY137"/>
  <c r="EZ134"/>
  <c r="EY133"/>
  <c r="EZ130"/>
  <c r="EY129"/>
  <c r="EZ126"/>
  <c r="EY125"/>
  <c r="EY121"/>
  <c r="EZ118"/>
  <c r="EY117"/>
  <c r="EY113"/>
  <c r="EZ110"/>
  <c r="EY109"/>
  <c r="EZ106"/>
  <c r="EY105"/>
  <c r="EZ102"/>
  <c r="EY101"/>
  <c r="EZ98"/>
  <c r="EY97"/>
  <c r="EZ94"/>
  <c r="EY93"/>
  <c r="EY89"/>
  <c r="EZ86"/>
  <c r="EY85"/>
  <c r="EY81"/>
  <c r="EZ78"/>
  <c r="EY77"/>
  <c r="EY73"/>
  <c r="EZ70"/>
  <c r="EY69"/>
  <c r="EZ66"/>
  <c r="EY65"/>
  <c r="EZ62"/>
  <c r="EY61"/>
  <c r="EZ58"/>
  <c r="EY57"/>
  <c r="EZ54"/>
  <c r="EY53"/>
  <c r="EZ50"/>
  <c r="EY49"/>
  <c r="EZ46"/>
  <c r="EY45"/>
  <c r="EZ42"/>
  <c r="EY41"/>
  <c r="EZ38"/>
  <c r="EY37"/>
  <c r="EY33"/>
  <c r="EZ30"/>
  <c r="EY29"/>
  <c r="EZ26"/>
  <c r="EY25"/>
  <c r="EZ22"/>
  <c r="EY21"/>
  <c r="EZ13"/>
  <c r="EZ11"/>
  <c r="EY10"/>
  <c r="EZ8"/>
  <c r="ES66"/>
  <c r="ES62"/>
  <c r="EW62" s="1"/>
  <c r="ES58"/>
  <c r="EW58" s="1"/>
  <c r="ES50"/>
  <c r="EW50" s="1"/>
  <c r="ES46"/>
  <c r="EW46" s="1"/>
  <c r="ES42"/>
  <c r="EW42" s="1"/>
  <c r="ES38"/>
  <c r="EW38" s="1"/>
  <c r="ES30"/>
  <c r="ES26"/>
  <c r="EW26" s="1"/>
  <c r="ES22"/>
  <c r="EW22" s="1"/>
  <c r="EO18"/>
  <c r="ES18" s="1"/>
  <c r="EW18" s="1"/>
  <c r="EO14"/>
  <c r="ES14" s="1"/>
  <c r="EW14" s="1"/>
  <c r="EO12"/>
  <c r="ES12" s="1"/>
  <c r="EW12" s="1"/>
  <c r="EO8"/>
  <c r="ES8" s="1"/>
  <c r="EW8" s="1"/>
  <c r="EY140"/>
  <c r="EY136"/>
  <c r="EY132"/>
  <c r="EY128"/>
  <c r="EY124"/>
  <c r="EY120"/>
  <c r="EY116"/>
  <c r="EY112"/>
  <c r="EY108"/>
  <c r="EY104"/>
  <c r="EY100"/>
  <c r="EY96"/>
  <c r="EY92"/>
  <c r="EY88"/>
  <c r="EY84"/>
  <c r="EY80"/>
  <c r="EY76"/>
  <c r="EY72"/>
  <c r="EY68"/>
  <c r="EZ65"/>
  <c r="EY64"/>
  <c r="EY60"/>
  <c r="EZ57"/>
  <c r="EY56"/>
  <c r="EY52"/>
  <c r="EZ49"/>
  <c r="EY48"/>
  <c r="EZ45"/>
  <c r="EY44"/>
  <c r="EZ41"/>
  <c r="EY40"/>
  <c r="EZ37"/>
  <c r="EY36"/>
  <c r="EZ33"/>
  <c r="EY32"/>
  <c r="EZ29"/>
  <c r="EY28"/>
  <c r="EZ25"/>
  <c r="EY24"/>
  <c r="EZ21"/>
  <c r="EZ18"/>
  <c r="EY17"/>
  <c r="EY12"/>
  <c r="EY9"/>
  <c r="EO51"/>
  <c r="ES51" s="1"/>
  <c r="EW51" s="1"/>
  <c r="EO47"/>
  <c r="ES47" s="1"/>
  <c r="EW47" s="1"/>
  <c r="EO43"/>
  <c r="ES43" s="1"/>
  <c r="EW43" s="1"/>
  <c r="EO39"/>
  <c r="ES39" s="1"/>
  <c r="EW39" s="1"/>
  <c r="EO35"/>
  <c r="ES35" s="1"/>
  <c r="EO31"/>
  <c r="ES31" s="1"/>
  <c r="EW31" s="1"/>
  <c r="EO27"/>
  <c r="ES27" s="1"/>
  <c r="EO23"/>
  <c r="ES23" s="1"/>
  <c r="EW23" s="1"/>
  <c r="EO19"/>
  <c r="ES19" s="1"/>
  <c r="EW19" s="1"/>
  <c r="EO15"/>
  <c r="ES15" s="1"/>
  <c r="EW15" s="1"/>
  <c r="EO9"/>
  <c r="ES9" s="1"/>
  <c r="EW9" s="1"/>
  <c r="EY139"/>
  <c r="EY135"/>
  <c r="EY131"/>
  <c r="EY127"/>
  <c r="EY123"/>
  <c r="EY119"/>
  <c r="EY115"/>
  <c r="EY111"/>
  <c r="EY107"/>
  <c r="EY103"/>
  <c r="EY99"/>
  <c r="EY95"/>
  <c r="EY91"/>
  <c r="EY87"/>
  <c r="EY83"/>
  <c r="EY79"/>
  <c r="EY75"/>
  <c r="EY71"/>
  <c r="EY67"/>
  <c r="EY63"/>
  <c r="EY59"/>
  <c r="EY55"/>
  <c r="EY51"/>
  <c r="EY47"/>
  <c r="EY43"/>
  <c r="EY39"/>
  <c r="EY35"/>
  <c r="EY31"/>
  <c r="EY27"/>
  <c r="EY23"/>
  <c r="EZ17"/>
  <c r="EZ15"/>
  <c r="EY14"/>
  <c r="EO52"/>
  <c r="ES52" s="1"/>
  <c r="EW52" s="1"/>
  <c r="EO48"/>
  <c r="ES48" s="1"/>
  <c r="EW48" s="1"/>
  <c r="EO44"/>
  <c r="ES44" s="1"/>
  <c r="EW44" s="1"/>
  <c r="EO40"/>
  <c r="ES40" s="1"/>
  <c r="EO36"/>
  <c r="ES36" s="1"/>
  <c r="EW36" s="1"/>
  <c r="EO32"/>
  <c r="ES32" s="1"/>
  <c r="EW32" s="1"/>
  <c r="EO28"/>
  <c r="EO24"/>
  <c r="ES24" s="1"/>
  <c r="EW24" s="1"/>
  <c r="EO20"/>
  <c r="ES20" s="1"/>
  <c r="EO16"/>
  <c r="ES16" s="1"/>
  <c r="EW16" s="1"/>
  <c r="EY90"/>
  <c r="EY86"/>
  <c r="EY82"/>
  <c r="EY78"/>
  <c r="EY74"/>
  <c r="EY70"/>
  <c r="EY66"/>
  <c r="EY62"/>
  <c r="EY58"/>
  <c r="EZ51"/>
  <c r="EY50"/>
  <c r="EY46"/>
  <c r="EZ43"/>
  <c r="EY42"/>
  <c r="EZ39"/>
  <c r="EY38"/>
  <c r="EY34"/>
  <c r="EZ31"/>
  <c r="EY30"/>
  <c r="EY26"/>
  <c r="EZ23"/>
  <c r="EY22"/>
  <c r="EY19"/>
  <c r="EY16"/>
  <c r="EZ14"/>
  <c r="EY13"/>
  <c r="EO91"/>
  <c r="ES91" s="1"/>
  <c r="EW91" s="1"/>
  <c r="EO87"/>
  <c r="ES87" s="1"/>
  <c r="EW87" s="1"/>
  <c r="EO83"/>
  <c r="ES83" s="1"/>
  <c r="EW83" s="1"/>
  <c r="EO79"/>
  <c r="ES79" s="1"/>
  <c r="EW79" s="1"/>
  <c r="EO75"/>
  <c r="ES75" s="1"/>
  <c r="EW75" s="1"/>
  <c r="EO71"/>
  <c r="ES71" s="1"/>
  <c r="EW71" s="1"/>
  <c r="EO67"/>
  <c r="EO63"/>
  <c r="ES63" s="1"/>
  <c r="EW63" s="1"/>
  <c r="EO59"/>
  <c r="ES59" s="1"/>
  <c r="EW59" s="1"/>
  <c r="EO55"/>
  <c r="EO92"/>
  <c r="ES92" s="1"/>
  <c r="EW92" s="1"/>
  <c r="EO88"/>
  <c r="ES88" s="1"/>
  <c r="EW88" s="1"/>
  <c r="EO84"/>
  <c r="ES84" s="1"/>
  <c r="EW84" s="1"/>
  <c r="EO80"/>
  <c r="ES80" s="1"/>
  <c r="EW80" s="1"/>
  <c r="EO76"/>
  <c r="ES76" s="1"/>
  <c r="EW76" s="1"/>
  <c r="EO72"/>
  <c r="ES72" s="1"/>
  <c r="EW72" s="1"/>
  <c r="EO68"/>
  <c r="ES68" s="1"/>
  <c r="EW68" s="1"/>
  <c r="EO64"/>
  <c r="ES64" s="1"/>
  <c r="EW64" s="1"/>
  <c r="EO60"/>
  <c r="ES60" s="1"/>
  <c r="EW60" s="1"/>
  <c r="EO56"/>
  <c r="ES56" s="1"/>
  <c r="EW56" s="1"/>
  <c r="EO89"/>
  <c r="ES89" s="1"/>
  <c r="EW89" s="1"/>
  <c r="EO85"/>
  <c r="ES85" s="1"/>
  <c r="EW85" s="1"/>
  <c r="EO81"/>
  <c r="ES81" s="1"/>
  <c r="EW81" s="1"/>
  <c r="EO77"/>
  <c r="ES77" s="1"/>
  <c r="EO73"/>
  <c r="ES73" s="1"/>
  <c r="EW73" s="1"/>
  <c r="EO69"/>
  <c r="ES69" s="1"/>
  <c r="EW69" s="1"/>
  <c r="ES65"/>
  <c r="EW65" s="1"/>
  <c r="ES57"/>
  <c r="EW57" s="1"/>
  <c r="ES78"/>
  <c r="EW78" s="1"/>
  <c r="EW66"/>
  <c r="EO54"/>
  <c r="ES54" s="1"/>
  <c r="EW54" s="1"/>
  <c r="EI90"/>
  <c r="EC35"/>
  <c r="EC31"/>
  <c r="EE31" s="1"/>
  <c r="EG31" s="1"/>
  <c r="EC27"/>
  <c r="EE27" s="1"/>
  <c r="EG27" s="1"/>
  <c r="EC23"/>
  <c r="EE23" s="1"/>
  <c r="EG23" s="1"/>
  <c r="EC19"/>
  <c r="EE19" s="1"/>
  <c r="EG19" s="1"/>
  <c r="EC15"/>
  <c r="EE15" s="1"/>
  <c r="EG15" s="1"/>
  <c r="EC11"/>
  <c r="EE11" s="1"/>
  <c r="EG11" s="1"/>
  <c r="EC7"/>
  <c r="EE7" s="1"/>
  <c r="EG7" s="1"/>
  <c r="EC105"/>
  <c r="EE105" s="1"/>
  <c r="EG105" s="1"/>
  <c r="EI101"/>
  <c r="EC97"/>
  <c r="EE97" s="1"/>
  <c r="EG97" s="1"/>
  <c r="EI93"/>
  <c r="EI86"/>
  <c r="EJ112"/>
  <c r="EJ108"/>
  <c r="EE87"/>
  <c r="EG87" s="1"/>
  <c r="EE83"/>
  <c r="EG83" s="1"/>
  <c r="EE79"/>
  <c r="EG79" s="1"/>
  <c r="EE75"/>
  <c r="EG75" s="1"/>
  <c r="EE71"/>
  <c r="EG71" s="1"/>
  <c r="EE67"/>
  <c r="EG67" s="1"/>
  <c r="EE63"/>
  <c r="EG63" s="1"/>
  <c r="EE59"/>
  <c r="EG59" s="1"/>
  <c r="EE55"/>
  <c r="EG55" s="1"/>
  <c r="EE51"/>
  <c r="EG51" s="1"/>
  <c r="EE47"/>
  <c r="EG47" s="1"/>
  <c r="EE43"/>
  <c r="EG43" s="1"/>
  <c r="EE39"/>
  <c r="EG39" s="1"/>
  <c r="EE35"/>
  <c r="EG35" s="1"/>
  <c r="EJ132"/>
  <c r="EJ124"/>
  <c r="EJ116"/>
  <c r="EC113"/>
  <c r="EE113" s="1"/>
  <c r="EG113" s="1"/>
  <c r="EI109"/>
  <c r="EI106"/>
  <c r="EI102"/>
  <c r="EC99"/>
  <c r="EE99" s="1"/>
  <c r="EC88"/>
  <c r="EC84"/>
  <c r="EC80"/>
  <c r="EC76"/>
  <c r="EE76" s="1"/>
  <c r="EG76" s="1"/>
  <c r="EC72"/>
  <c r="EC68"/>
  <c r="EC64"/>
  <c r="EC60"/>
  <c r="EE60" s="1"/>
  <c r="EG60" s="1"/>
  <c r="EC56"/>
  <c r="EC52"/>
  <c r="EC48"/>
  <c r="EC44"/>
  <c r="EE44" s="1"/>
  <c r="EG44" s="1"/>
  <c r="EC40"/>
  <c r="EC36"/>
  <c r="EC32"/>
  <c r="EC28"/>
  <c r="EE28" s="1"/>
  <c r="EG28" s="1"/>
  <c r="EC24"/>
  <c r="EC20"/>
  <c r="EC16"/>
  <c r="EI133"/>
  <c r="EC129"/>
  <c r="EE129" s="1"/>
  <c r="EG129" s="1"/>
  <c r="EI125"/>
  <c r="EC121"/>
  <c r="EE121" s="1"/>
  <c r="EG121" s="1"/>
  <c r="EI117"/>
  <c r="EI114"/>
  <c r="EI110"/>
  <c r="EC107"/>
  <c r="EE107" s="1"/>
  <c r="EJ96"/>
  <c r="EJ92"/>
  <c r="EJ89"/>
  <c r="EJ85"/>
  <c r="EJ104"/>
  <c r="EJ100"/>
  <c r="EJ82"/>
  <c r="EJ78"/>
  <c r="EJ74"/>
  <c r="EJ70"/>
  <c r="EJ66"/>
  <c r="EJ62"/>
  <c r="EJ58"/>
  <c r="EJ54"/>
  <c r="EJ50"/>
  <c r="EJ46"/>
  <c r="EJ42"/>
  <c r="EJ38"/>
  <c r="EJ34"/>
  <c r="EJ30"/>
  <c r="EJ26"/>
  <c r="EJ22"/>
  <c r="EJ14"/>
  <c r="EC172"/>
  <c r="EE172" s="1"/>
  <c r="EJ172"/>
  <c r="EI172"/>
  <c r="EC205"/>
  <c r="EE205" s="1"/>
  <c r="EG205" s="1"/>
  <c r="EJ205"/>
  <c r="EI205"/>
  <c r="EC201"/>
  <c r="EE201" s="1"/>
  <c r="EG201" s="1"/>
  <c r="EJ201"/>
  <c r="EI201"/>
  <c r="EC197"/>
  <c r="EE197" s="1"/>
  <c r="EG197" s="1"/>
  <c r="EJ197"/>
  <c r="EI197"/>
  <c r="EC193"/>
  <c r="EE193" s="1"/>
  <c r="EJ193"/>
  <c r="EI193"/>
  <c r="EC189"/>
  <c r="EE189" s="1"/>
  <c r="EG189" s="1"/>
  <c r="EJ189"/>
  <c r="EI189"/>
  <c r="EC185"/>
  <c r="EE185" s="1"/>
  <c r="EG185" s="1"/>
  <c r="EJ185"/>
  <c r="EI185"/>
  <c r="EC181"/>
  <c r="EE181" s="1"/>
  <c r="EG181" s="1"/>
  <c r="EJ181"/>
  <c r="EI181"/>
  <c r="EC177"/>
  <c r="EE177" s="1"/>
  <c r="EG177" s="1"/>
  <c r="EJ177"/>
  <c r="EI177"/>
  <c r="EC173"/>
  <c r="EE173" s="1"/>
  <c r="EG173" s="1"/>
  <c r="EJ173"/>
  <c r="EI173"/>
  <c r="EC169"/>
  <c r="EE169" s="1"/>
  <c r="EG169" s="1"/>
  <c r="EJ169"/>
  <c r="EI169"/>
  <c r="EC165"/>
  <c r="EE165" s="1"/>
  <c r="EG165" s="1"/>
  <c r="EJ165"/>
  <c r="EI165"/>
  <c r="EC161"/>
  <c r="EE161" s="1"/>
  <c r="EG161" s="1"/>
  <c r="EJ161"/>
  <c r="EI161"/>
  <c r="EC157"/>
  <c r="EE157" s="1"/>
  <c r="EG157" s="1"/>
  <c r="EJ157"/>
  <c r="EI157"/>
  <c r="EC153"/>
  <c r="EE153" s="1"/>
  <c r="EJ153"/>
  <c r="EI153"/>
  <c r="EC149"/>
  <c r="EE149" s="1"/>
  <c r="EG149" s="1"/>
  <c r="EJ149"/>
  <c r="EI149"/>
  <c r="EC145"/>
  <c r="EE145" s="1"/>
  <c r="EG145" s="1"/>
  <c r="EJ145"/>
  <c r="EI145"/>
  <c r="EC141"/>
  <c r="EE141" s="1"/>
  <c r="EG141" s="1"/>
  <c r="EJ141"/>
  <c r="EI141"/>
  <c r="EC137"/>
  <c r="EE137" s="1"/>
  <c r="EG137" s="1"/>
  <c r="EJ137"/>
  <c r="EI137"/>
  <c r="EC123"/>
  <c r="EE123" s="1"/>
  <c r="EG123" s="1"/>
  <c r="EJ123"/>
  <c r="EI123"/>
  <c r="EG193"/>
  <c r="EG153"/>
  <c r="EC168"/>
  <c r="EE168" s="1"/>
  <c r="EJ168"/>
  <c r="EI168"/>
  <c r="EC160"/>
  <c r="EE160" s="1"/>
  <c r="EG160" s="1"/>
  <c r="EJ160"/>
  <c r="EI160"/>
  <c r="EC156"/>
  <c r="EE156" s="1"/>
  <c r="EJ156"/>
  <c r="EI156"/>
  <c r="EC206"/>
  <c r="EE206" s="1"/>
  <c r="EG206" s="1"/>
  <c r="EI206"/>
  <c r="EJ206"/>
  <c r="EC202"/>
  <c r="EE202" s="1"/>
  <c r="EI202"/>
  <c r="EJ202"/>
  <c r="EC198"/>
  <c r="EE198" s="1"/>
  <c r="EI198"/>
  <c r="EJ198"/>
  <c r="EC194"/>
  <c r="EE194" s="1"/>
  <c r="EI194"/>
  <c r="EJ194"/>
  <c r="EC190"/>
  <c r="EE190" s="1"/>
  <c r="EI190"/>
  <c r="EJ190"/>
  <c r="EC186"/>
  <c r="EE186" s="1"/>
  <c r="EI186"/>
  <c r="EJ186"/>
  <c r="EC182"/>
  <c r="EE182" s="1"/>
  <c r="EI182"/>
  <c r="EJ182"/>
  <c r="EC178"/>
  <c r="EE178" s="1"/>
  <c r="EG178" s="1"/>
  <c r="EI178"/>
  <c r="EJ178"/>
  <c r="EC174"/>
  <c r="EE174" s="1"/>
  <c r="EG174" s="1"/>
  <c r="EI174"/>
  <c r="EJ174"/>
  <c r="EC170"/>
  <c r="EE170" s="1"/>
  <c r="EG170" s="1"/>
  <c r="EI170"/>
  <c r="EJ170"/>
  <c r="EC166"/>
  <c r="EE166" s="1"/>
  <c r="EG166" s="1"/>
  <c r="EI166"/>
  <c r="EJ166"/>
  <c r="EC162"/>
  <c r="EE162" s="1"/>
  <c r="EG162" s="1"/>
  <c r="EI162"/>
  <c r="EJ162"/>
  <c r="EC158"/>
  <c r="EE158" s="1"/>
  <c r="EG158" s="1"/>
  <c r="EI158"/>
  <c r="EJ158"/>
  <c r="EC154"/>
  <c r="EE154" s="1"/>
  <c r="EI154"/>
  <c r="EJ154"/>
  <c r="EC150"/>
  <c r="EE150" s="1"/>
  <c r="EG150" s="1"/>
  <c r="EI150"/>
  <c r="EJ150"/>
  <c r="EC146"/>
  <c r="EE146" s="1"/>
  <c r="EG146" s="1"/>
  <c r="EI146"/>
  <c r="EJ146"/>
  <c r="EC142"/>
  <c r="EE142" s="1"/>
  <c r="EG142" s="1"/>
  <c r="EI142"/>
  <c r="EJ142"/>
  <c r="EC131"/>
  <c r="EE131" s="1"/>
  <c r="EJ131"/>
  <c r="EI131"/>
  <c r="EJ120"/>
  <c r="EI120"/>
  <c r="EG172"/>
  <c r="EG156"/>
  <c r="EG182"/>
  <c r="EG154"/>
  <c r="EE138"/>
  <c r="EG138" s="1"/>
  <c r="EC204"/>
  <c r="EE204" s="1"/>
  <c r="EJ204"/>
  <c r="EI204"/>
  <c r="EC200"/>
  <c r="EE200" s="1"/>
  <c r="EJ200"/>
  <c r="EI200"/>
  <c r="EC188"/>
  <c r="EE188" s="1"/>
  <c r="EG188" s="1"/>
  <c r="EJ188"/>
  <c r="EI188"/>
  <c r="EC180"/>
  <c r="EE180" s="1"/>
  <c r="EG180" s="1"/>
  <c r="EJ180"/>
  <c r="EI180"/>
  <c r="EC203"/>
  <c r="EE203" s="1"/>
  <c r="EG203" s="1"/>
  <c r="EJ203"/>
  <c r="EI203"/>
  <c r="EC199"/>
  <c r="EE199" s="1"/>
  <c r="EJ199"/>
  <c r="EI199"/>
  <c r="EC195"/>
  <c r="EE195" s="1"/>
  <c r="EG195" s="1"/>
  <c r="EJ195"/>
  <c r="EI195"/>
  <c r="EC191"/>
  <c r="EE191" s="1"/>
  <c r="EG191" s="1"/>
  <c r="EJ191"/>
  <c r="EI191"/>
  <c r="EC187"/>
  <c r="EE187" s="1"/>
  <c r="EG187" s="1"/>
  <c r="EJ187"/>
  <c r="EI187"/>
  <c r="EC183"/>
  <c r="EE183" s="1"/>
  <c r="EG183" s="1"/>
  <c r="EJ183"/>
  <c r="EI183"/>
  <c r="EC179"/>
  <c r="EE179" s="1"/>
  <c r="EG179" s="1"/>
  <c r="EJ179"/>
  <c r="EI179"/>
  <c r="EC175"/>
  <c r="EE175" s="1"/>
  <c r="EJ175"/>
  <c r="EI175"/>
  <c r="EC171"/>
  <c r="EE171" s="1"/>
  <c r="EG171" s="1"/>
  <c r="EJ171"/>
  <c r="EI171"/>
  <c r="EC167"/>
  <c r="EE167" s="1"/>
  <c r="EG167" s="1"/>
  <c r="EJ167"/>
  <c r="EI167"/>
  <c r="EC163"/>
  <c r="EE163" s="1"/>
  <c r="EG163" s="1"/>
  <c r="EJ163"/>
  <c r="EI163"/>
  <c r="EC159"/>
  <c r="EE159" s="1"/>
  <c r="EG159" s="1"/>
  <c r="EJ159"/>
  <c r="EI159"/>
  <c r="EC155"/>
  <c r="EE155" s="1"/>
  <c r="EG155" s="1"/>
  <c r="EJ155"/>
  <c r="EI155"/>
  <c r="EJ128"/>
  <c r="EI128"/>
  <c r="EG168"/>
  <c r="EG199"/>
  <c r="EG175"/>
  <c r="EC196"/>
  <c r="EE196" s="1"/>
  <c r="EJ196"/>
  <c r="EI196"/>
  <c r="EC192"/>
  <c r="EE192" s="1"/>
  <c r="EJ192"/>
  <c r="EI192"/>
  <c r="EC184"/>
  <c r="EE184" s="1"/>
  <c r="EG184" s="1"/>
  <c r="EJ184"/>
  <c r="EI184"/>
  <c r="EC176"/>
  <c r="EE176" s="1"/>
  <c r="EG176" s="1"/>
  <c r="EJ176"/>
  <c r="EI176"/>
  <c r="EC164"/>
  <c r="EE164" s="1"/>
  <c r="EG164" s="1"/>
  <c r="EJ164"/>
  <c r="EI164"/>
  <c r="EC151"/>
  <c r="EE151" s="1"/>
  <c r="EG151" s="1"/>
  <c r="EC147"/>
  <c r="EE147" s="1"/>
  <c r="EG147" s="1"/>
  <c r="EC143"/>
  <c r="EE143" s="1"/>
  <c r="EG143" s="1"/>
  <c r="EC139"/>
  <c r="EE139" s="1"/>
  <c r="EG139" s="1"/>
  <c r="EC135"/>
  <c r="EE135" s="1"/>
  <c r="EG135" s="1"/>
  <c r="EC127"/>
  <c r="EE127" s="1"/>
  <c r="EC119"/>
  <c r="EE119" s="1"/>
  <c r="EC111"/>
  <c r="EE111" s="1"/>
  <c r="EC103"/>
  <c r="EE103" s="1"/>
  <c r="EC95"/>
  <c r="EE95" s="1"/>
  <c r="EC81"/>
  <c r="EE81" s="1"/>
  <c r="EG81" s="1"/>
  <c r="EC77"/>
  <c r="EE77" s="1"/>
  <c r="EG77" s="1"/>
  <c r="EC73"/>
  <c r="EE73" s="1"/>
  <c r="EG73" s="1"/>
  <c r="EC69"/>
  <c r="EE69" s="1"/>
  <c r="EG69" s="1"/>
  <c r="EC65"/>
  <c r="EE65" s="1"/>
  <c r="EG65" s="1"/>
  <c r="EC61"/>
  <c r="EE61" s="1"/>
  <c r="EG61" s="1"/>
  <c r="EC57"/>
  <c r="EE57" s="1"/>
  <c r="EG57" s="1"/>
  <c r="EC53"/>
  <c r="EE53" s="1"/>
  <c r="EG53" s="1"/>
  <c r="EC49"/>
  <c r="EE49" s="1"/>
  <c r="EG49" s="1"/>
  <c r="EC45"/>
  <c r="EE45" s="1"/>
  <c r="EG45" s="1"/>
  <c r="EC41"/>
  <c r="EE41" s="1"/>
  <c r="EG41" s="1"/>
  <c r="EC37"/>
  <c r="EE37" s="1"/>
  <c r="EG37" s="1"/>
  <c r="EC33"/>
  <c r="EE33" s="1"/>
  <c r="EG33" s="1"/>
  <c r="EC29"/>
  <c r="EE29" s="1"/>
  <c r="EG29" s="1"/>
  <c r="EC25"/>
  <c r="EE25" s="1"/>
  <c r="EG25" s="1"/>
  <c r="EC21"/>
  <c r="EE21" s="1"/>
  <c r="EG21" s="1"/>
  <c r="EC17"/>
  <c r="EE17" s="1"/>
  <c r="EG17" s="1"/>
  <c r="EC13"/>
  <c r="EE13" s="1"/>
  <c r="EG13" s="1"/>
  <c r="EC9"/>
  <c r="EE9" s="1"/>
  <c r="EG9" s="1"/>
  <c r="EJ138"/>
  <c r="EJ134"/>
  <c r="EJ130"/>
  <c r="EI129"/>
  <c r="EJ126"/>
  <c r="EJ122"/>
  <c r="EI121"/>
  <c r="EJ118"/>
  <c r="EJ114"/>
  <c r="EI113"/>
  <c r="EJ110"/>
  <c r="EJ106"/>
  <c r="EI105"/>
  <c r="EJ102"/>
  <c r="EJ98"/>
  <c r="EI97"/>
  <c r="EJ94"/>
  <c r="EJ90"/>
  <c r="EI89"/>
  <c r="EJ86"/>
  <c r="EI85"/>
  <c r="EI81"/>
  <c r="EI77"/>
  <c r="EI73"/>
  <c r="EI69"/>
  <c r="EI65"/>
  <c r="EI61"/>
  <c r="EI57"/>
  <c r="EI53"/>
  <c r="EI49"/>
  <c r="EI45"/>
  <c r="EI41"/>
  <c r="EI37"/>
  <c r="EI33"/>
  <c r="EI29"/>
  <c r="EI25"/>
  <c r="EI21"/>
  <c r="EI19"/>
  <c r="EI16"/>
  <c r="EI13"/>
  <c r="EI11"/>
  <c r="EI8"/>
  <c r="EC152"/>
  <c r="EE152" s="1"/>
  <c r="EG152" s="1"/>
  <c r="EC148"/>
  <c r="EE148" s="1"/>
  <c r="EG148" s="1"/>
  <c r="EC144"/>
  <c r="EE144" s="1"/>
  <c r="EG144" s="1"/>
  <c r="EC140"/>
  <c r="EE140" s="1"/>
  <c r="EG140" s="1"/>
  <c r="EC136"/>
  <c r="EE136" s="1"/>
  <c r="EG136" s="1"/>
  <c r="EC133"/>
  <c r="EE133" s="1"/>
  <c r="EG133" s="1"/>
  <c r="EC125"/>
  <c r="EE125" s="1"/>
  <c r="EC117"/>
  <c r="EE117" s="1"/>
  <c r="EG117" s="1"/>
  <c r="EC109"/>
  <c r="EE109" s="1"/>
  <c r="EC101"/>
  <c r="EE101" s="1"/>
  <c r="EC93"/>
  <c r="EE93" s="1"/>
  <c r="EG93" s="1"/>
  <c r="EC82"/>
  <c r="EE82" s="1"/>
  <c r="EG82" s="1"/>
  <c r="EC78"/>
  <c r="EE78" s="1"/>
  <c r="EG78" s="1"/>
  <c r="EC74"/>
  <c r="EE74" s="1"/>
  <c r="EG74" s="1"/>
  <c r="EC70"/>
  <c r="EE70" s="1"/>
  <c r="EG70" s="1"/>
  <c r="EC66"/>
  <c r="EE66" s="1"/>
  <c r="EG66" s="1"/>
  <c r="EC62"/>
  <c r="EE62" s="1"/>
  <c r="EG62" s="1"/>
  <c r="EC58"/>
  <c r="EE58" s="1"/>
  <c r="EG58" s="1"/>
  <c r="EC54"/>
  <c r="EE54" s="1"/>
  <c r="EG54" s="1"/>
  <c r="EC50"/>
  <c r="EE50" s="1"/>
  <c r="EG50" s="1"/>
  <c r="EC46"/>
  <c r="EE46" s="1"/>
  <c r="EG46" s="1"/>
  <c r="EC42"/>
  <c r="EE42" s="1"/>
  <c r="EG42" s="1"/>
  <c r="EC38"/>
  <c r="EE38" s="1"/>
  <c r="EG38" s="1"/>
  <c r="EC34"/>
  <c r="EE34" s="1"/>
  <c r="EG34" s="1"/>
  <c r="EC30"/>
  <c r="EE30" s="1"/>
  <c r="EG30" s="1"/>
  <c r="EC26"/>
  <c r="EE26" s="1"/>
  <c r="EG26" s="1"/>
  <c r="EC22"/>
  <c r="EE22" s="1"/>
  <c r="EG22" s="1"/>
  <c r="EC18"/>
  <c r="EE18" s="1"/>
  <c r="EG18" s="1"/>
  <c r="EC14"/>
  <c r="EE14" s="1"/>
  <c r="EG14" s="1"/>
  <c r="EC10"/>
  <c r="EE10" s="1"/>
  <c r="EG10" s="1"/>
  <c r="EI7"/>
  <c r="EI152"/>
  <c r="EI148"/>
  <c r="EI144"/>
  <c r="EI140"/>
  <c r="EI136"/>
  <c r="EJ133"/>
  <c r="EI132"/>
  <c r="EJ129"/>
  <c r="EJ125"/>
  <c r="EI124"/>
  <c r="EJ121"/>
  <c r="EJ117"/>
  <c r="EI116"/>
  <c r="EJ113"/>
  <c r="EI112"/>
  <c r="EJ109"/>
  <c r="EI108"/>
  <c r="EJ105"/>
  <c r="EI104"/>
  <c r="EJ101"/>
  <c r="EI100"/>
  <c r="EJ97"/>
  <c r="EI96"/>
  <c r="EJ93"/>
  <c r="EI92"/>
  <c r="EI88"/>
  <c r="EI84"/>
  <c r="EJ81"/>
  <c r="EI80"/>
  <c r="EJ77"/>
  <c r="EI76"/>
  <c r="EJ73"/>
  <c r="EI72"/>
  <c r="EJ69"/>
  <c r="EI68"/>
  <c r="EJ65"/>
  <c r="EI64"/>
  <c r="EJ61"/>
  <c r="EI60"/>
  <c r="EJ57"/>
  <c r="EI56"/>
  <c r="EJ53"/>
  <c r="EI52"/>
  <c r="EJ49"/>
  <c r="EI48"/>
  <c r="EJ45"/>
  <c r="EI44"/>
  <c r="EJ41"/>
  <c r="EI40"/>
  <c r="EJ37"/>
  <c r="EI36"/>
  <c r="EJ33"/>
  <c r="EI32"/>
  <c r="EJ29"/>
  <c r="EI28"/>
  <c r="EJ25"/>
  <c r="EI24"/>
  <c r="EJ21"/>
  <c r="EJ19"/>
  <c r="EI18"/>
  <c r="EJ16"/>
  <c r="EJ13"/>
  <c r="EJ11"/>
  <c r="EI10"/>
  <c r="EJ8"/>
  <c r="EJ152"/>
  <c r="EI151"/>
  <c r="EJ148"/>
  <c r="EI147"/>
  <c r="EJ144"/>
  <c r="EI143"/>
  <c r="EJ140"/>
  <c r="EI139"/>
  <c r="EJ136"/>
  <c r="EI135"/>
  <c r="EI127"/>
  <c r="EI119"/>
  <c r="EI115"/>
  <c r="EI111"/>
  <c r="EI107"/>
  <c r="EI103"/>
  <c r="EI99"/>
  <c r="EI95"/>
  <c r="EI91"/>
  <c r="EJ88"/>
  <c r="EI87"/>
  <c r="EJ84"/>
  <c r="EI83"/>
  <c r="EJ80"/>
  <c r="EI79"/>
  <c r="EJ76"/>
  <c r="EI75"/>
  <c r="EJ72"/>
  <c r="EI71"/>
  <c r="EJ68"/>
  <c r="EI67"/>
  <c r="EJ64"/>
  <c r="EI63"/>
  <c r="EJ60"/>
  <c r="EI59"/>
  <c r="EJ56"/>
  <c r="EI55"/>
  <c r="EJ52"/>
  <c r="EI51"/>
  <c r="EJ48"/>
  <c r="EI47"/>
  <c r="EJ44"/>
  <c r="EI43"/>
  <c r="EJ40"/>
  <c r="EI39"/>
  <c r="EJ36"/>
  <c r="EI35"/>
  <c r="EJ32"/>
  <c r="EI31"/>
  <c r="EJ28"/>
  <c r="EI27"/>
  <c r="EJ24"/>
  <c r="EI23"/>
  <c r="EI20"/>
  <c r="EJ18"/>
  <c r="EI17"/>
  <c r="EI15"/>
  <c r="EI12"/>
  <c r="EJ10"/>
  <c r="EI9"/>
  <c r="EE84"/>
  <c r="EG84" s="1"/>
  <c r="EE80"/>
  <c r="EG80" s="1"/>
  <c r="EE72"/>
  <c r="EG72" s="1"/>
  <c r="EE68"/>
  <c r="EG68" s="1"/>
  <c r="EE64"/>
  <c r="EG64" s="1"/>
  <c r="EE56"/>
  <c r="EG56" s="1"/>
  <c r="EE52"/>
  <c r="EG52" s="1"/>
  <c r="EE48"/>
  <c r="EG48" s="1"/>
  <c r="EE40"/>
  <c r="EG40" s="1"/>
  <c r="EE36"/>
  <c r="EG36" s="1"/>
  <c r="EE32"/>
  <c r="EG32" s="1"/>
  <c r="EE24"/>
  <c r="EG24" s="1"/>
  <c r="EE20"/>
  <c r="EG20" s="1"/>
  <c r="EE16"/>
  <c r="EG16" s="1"/>
  <c r="EE12"/>
  <c r="EG12" s="1"/>
  <c r="EE8"/>
  <c r="EG8" s="1"/>
  <c r="EJ7"/>
  <c r="EJ151"/>
  <c r="EJ147"/>
  <c r="EJ143"/>
  <c r="EJ139"/>
  <c r="EI138"/>
  <c r="EJ135"/>
  <c r="EJ127"/>
  <c r="EJ119"/>
  <c r="EJ115"/>
  <c r="EJ111"/>
  <c r="EJ107"/>
  <c r="EJ103"/>
  <c r="EJ99"/>
  <c r="EJ95"/>
  <c r="EJ91"/>
  <c r="EJ87"/>
  <c r="EJ83"/>
  <c r="EI82"/>
  <c r="EJ79"/>
  <c r="EI78"/>
  <c r="EJ75"/>
  <c r="EI74"/>
  <c r="EJ71"/>
  <c r="EI70"/>
  <c r="EJ67"/>
  <c r="EI66"/>
  <c r="EJ63"/>
  <c r="EI62"/>
  <c r="EJ59"/>
  <c r="EI58"/>
  <c r="EJ55"/>
  <c r="EI54"/>
  <c r="EJ51"/>
  <c r="EI50"/>
  <c r="EJ47"/>
  <c r="EI46"/>
  <c r="EJ43"/>
  <c r="EI42"/>
  <c r="EJ39"/>
  <c r="EI38"/>
  <c r="EJ35"/>
  <c r="EI34"/>
  <c r="EJ31"/>
  <c r="EI30"/>
  <c r="EJ27"/>
  <c r="EI26"/>
  <c r="EJ23"/>
  <c r="EI22"/>
  <c r="EJ20"/>
  <c r="EJ17"/>
  <c r="EJ15"/>
  <c r="EI14"/>
  <c r="EJ12"/>
  <c r="EJ9"/>
  <c r="EG200"/>
  <c r="EG192"/>
  <c r="EG198"/>
  <c r="EG190"/>
  <c r="EG202"/>
  <c r="EG194"/>
  <c r="EG186"/>
  <c r="EG204"/>
  <c r="EG196"/>
  <c r="EG131"/>
  <c r="EG127"/>
  <c r="EG125"/>
  <c r="EG119"/>
  <c r="EG115"/>
  <c r="EG111"/>
  <c r="EG109"/>
  <c r="EG107"/>
  <c r="EG103"/>
  <c r="EG101"/>
  <c r="EG99"/>
  <c r="EG95"/>
  <c r="EE88"/>
  <c r="EG88" s="1"/>
  <c r="EC134"/>
  <c r="EE134" s="1"/>
  <c r="EC132"/>
  <c r="EE132" s="1"/>
  <c r="EG132" s="1"/>
  <c r="EC130"/>
  <c r="EE130" s="1"/>
  <c r="EG130" s="1"/>
  <c r="EC128"/>
  <c r="EE128" s="1"/>
  <c r="EG128" s="1"/>
  <c r="EC126"/>
  <c r="EE126" s="1"/>
  <c r="EG126" s="1"/>
  <c r="EC124"/>
  <c r="EE124" s="1"/>
  <c r="EC122"/>
  <c r="EE122" s="1"/>
  <c r="EG122" s="1"/>
  <c r="EC120"/>
  <c r="EE120" s="1"/>
  <c r="EG120" s="1"/>
  <c r="EC118"/>
  <c r="EE118" s="1"/>
  <c r="EG118" s="1"/>
  <c r="EC116"/>
  <c r="EE116" s="1"/>
  <c r="EG116" s="1"/>
  <c r="EC114"/>
  <c r="EE114" s="1"/>
  <c r="EG114" s="1"/>
  <c r="EC112"/>
  <c r="EE112" s="1"/>
  <c r="EG112" s="1"/>
  <c r="EC110"/>
  <c r="EE110" s="1"/>
  <c r="EG110" s="1"/>
  <c r="EC108"/>
  <c r="EE108" s="1"/>
  <c r="EG108" s="1"/>
  <c r="EC106"/>
  <c r="EE106" s="1"/>
  <c r="EG106" s="1"/>
  <c r="EC104"/>
  <c r="EE104" s="1"/>
  <c r="EG104" s="1"/>
  <c r="EC102"/>
  <c r="EE102" s="1"/>
  <c r="EG102" s="1"/>
  <c r="EC100"/>
  <c r="EE100" s="1"/>
  <c r="EG100" s="1"/>
  <c r="EC98"/>
  <c r="EE98" s="1"/>
  <c r="EG98" s="1"/>
  <c r="EC96"/>
  <c r="EE96" s="1"/>
  <c r="EG96" s="1"/>
  <c r="EC94"/>
  <c r="EE94" s="1"/>
  <c r="EG94" s="1"/>
  <c r="EC92"/>
  <c r="EE92" s="1"/>
  <c r="EG92" s="1"/>
  <c r="EC89"/>
  <c r="EE89" s="1"/>
  <c r="EG89" s="1"/>
  <c r="EC85"/>
  <c r="EE85" s="1"/>
  <c r="EG85" s="1"/>
  <c r="EG134"/>
  <c r="EG124"/>
  <c r="EC90"/>
  <c r="EE90" s="1"/>
  <c r="EG90" s="1"/>
  <c r="EC86"/>
  <c r="EE86" s="1"/>
  <c r="EG86" s="1"/>
  <c r="DC5"/>
  <c r="DB5"/>
  <c r="DB4"/>
  <c r="CK4"/>
  <c r="DE4"/>
  <c r="DD5"/>
  <c r="CZ5"/>
  <c r="CX4"/>
  <c r="CH5"/>
  <c r="DA4"/>
  <c r="N5"/>
  <c r="AB5"/>
  <c r="AQ5"/>
  <c r="BE5"/>
  <c r="BS5"/>
  <c r="CW5"/>
  <c r="CG5"/>
  <c r="CY5"/>
  <c r="CX5"/>
  <c r="AU4" i="8"/>
  <c r="CU6" i="9"/>
  <c r="CV6"/>
  <c r="CV5"/>
  <c r="CU5"/>
  <c r="CT5"/>
  <c r="CT4"/>
  <c r="AQ1" i="8"/>
  <c r="CE7" i="9"/>
  <c r="CF7"/>
  <c r="CG7"/>
  <c r="CI7"/>
  <c r="CK7"/>
  <c r="CE8"/>
  <c r="CF8"/>
  <c r="CG8"/>
  <c r="CI8"/>
  <c r="CK8"/>
  <c r="CE9"/>
  <c r="CF9"/>
  <c r="CG9"/>
  <c r="CI9"/>
  <c r="CK9"/>
  <c r="CE10"/>
  <c r="CF10"/>
  <c r="CG10"/>
  <c r="CI10"/>
  <c r="CK10"/>
  <c r="CE11"/>
  <c r="CF11"/>
  <c r="CG11"/>
  <c r="CI11"/>
  <c r="CK11"/>
  <c r="CE12"/>
  <c r="CF12"/>
  <c r="CG12"/>
  <c r="CI12"/>
  <c r="CK12"/>
  <c r="CE13"/>
  <c r="CF13"/>
  <c r="CG13"/>
  <c r="CI13"/>
  <c r="CK13"/>
  <c r="CE14"/>
  <c r="CF14"/>
  <c r="CG14"/>
  <c r="CI14"/>
  <c r="CK14"/>
  <c r="CE15"/>
  <c r="CF15"/>
  <c r="CG15"/>
  <c r="CI15"/>
  <c r="CK15"/>
  <c r="CE16"/>
  <c r="CF16"/>
  <c r="CG16"/>
  <c r="CI16"/>
  <c r="CK16"/>
  <c r="CE17"/>
  <c r="CF17"/>
  <c r="CG17"/>
  <c r="CI17"/>
  <c r="CK17"/>
  <c r="CE18"/>
  <c r="CF18"/>
  <c r="CG18"/>
  <c r="CI18"/>
  <c r="CK18"/>
  <c r="CE19"/>
  <c r="CF19"/>
  <c r="CG19"/>
  <c r="CI19"/>
  <c r="CK19"/>
  <c r="CE20"/>
  <c r="CF20"/>
  <c r="CG20"/>
  <c r="CI20"/>
  <c r="CK20"/>
  <c r="CE21"/>
  <c r="CF21"/>
  <c r="CG21"/>
  <c r="CI21"/>
  <c r="CK21"/>
  <c r="CE22"/>
  <c r="CF22"/>
  <c r="CG22"/>
  <c r="CI22"/>
  <c r="CK22"/>
  <c r="CE23"/>
  <c r="CF23"/>
  <c r="CG23"/>
  <c r="CI23"/>
  <c r="CK23"/>
  <c r="CE24"/>
  <c r="CF24"/>
  <c r="CG24"/>
  <c r="CI24"/>
  <c r="CK24"/>
  <c r="CE25"/>
  <c r="CF25"/>
  <c r="CG25"/>
  <c r="CI25"/>
  <c r="CK25"/>
  <c r="CE26"/>
  <c r="CF26"/>
  <c r="CG26"/>
  <c r="CI26"/>
  <c r="CK26"/>
  <c r="CE27"/>
  <c r="CF27"/>
  <c r="CG27"/>
  <c r="CI27"/>
  <c r="CK27"/>
  <c r="CE28"/>
  <c r="CF28"/>
  <c r="CG28"/>
  <c r="CI28"/>
  <c r="CK28"/>
  <c r="CE29"/>
  <c r="CF29"/>
  <c r="CG29"/>
  <c r="CI29"/>
  <c r="CK29"/>
  <c r="CE30"/>
  <c r="CF30"/>
  <c r="CG30"/>
  <c r="CI30"/>
  <c r="CK30"/>
  <c r="CE31"/>
  <c r="CF31"/>
  <c r="CG31"/>
  <c r="CI31"/>
  <c r="CK31"/>
  <c r="CE32"/>
  <c r="CF32"/>
  <c r="CG32"/>
  <c r="CI32"/>
  <c r="CK32"/>
  <c r="CE33"/>
  <c r="CF33"/>
  <c r="CG33"/>
  <c r="CI33"/>
  <c r="CK33"/>
  <c r="CE34"/>
  <c r="CF34"/>
  <c r="CG34"/>
  <c r="CI34"/>
  <c r="CK34"/>
  <c r="CE35"/>
  <c r="CF35"/>
  <c r="CG35"/>
  <c r="CI35"/>
  <c r="CK35"/>
  <c r="CE36"/>
  <c r="CF36"/>
  <c r="CG36"/>
  <c r="CI36"/>
  <c r="CK36"/>
  <c r="CE37"/>
  <c r="CF37"/>
  <c r="CG37"/>
  <c r="CI37"/>
  <c r="CK37"/>
  <c r="CE38"/>
  <c r="CF38"/>
  <c r="CG38"/>
  <c r="CI38"/>
  <c r="CK38"/>
  <c r="CE39"/>
  <c r="CF39"/>
  <c r="CG39"/>
  <c r="CI39"/>
  <c r="CK39"/>
  <c r="CE40"/>
  <c r="CF40"/>
  <c r="CG40"/>
  <c r="CI40"/>
  <c r="CK40"/>
  <c r="CE41"/>
  <c r="CF41"/>
  <c r="CG41"/>
  <c r="CI41"/>
  <c r="CK41"/>
  <c r="CE42"/>
  <c r="CF42"/>
  <c r="CG42"/>
  <c r="CI42"/>
  <c r="CK42"/>
  <c r="CE43"/>
  <c r="CF43"/>
  <c r="CG43"/>
  <c r="CI43"/>
  <c r="CK43"/>
  <c r="CE44"/>
  <c r="CF44"/>
  <c r="CG44"/>
  <c r="CI44"/>
  <c r="CK44"/>
  <c r="CE45"/>
  <c r="CF45"/>
  <c r="CG45"/>
  <c r="CI45"/>
  <c r="CK45"/>
  <c r="CE46"/>
  <c r="CF46"/>
  <c r="CG46"/>
  <c r="CI46"/>
  <c r="CK46"/>
  <c r="CE47"/>
  <c r="CF47"/>
  <c r="CG47"/>
  <c r="CI47"/>
  <c r="CK47"/>
  <c r="CE48"/>
  <c r="CF48"/>
  <c r="CG48"/>
  <c r="CI48"/>
  <c r="CK48"/>
  <c r="CE49"/>
  <c r="CF49"/>
  <c r="CG49"/>
  <c r="CI49"/>
  <c r="CK49"/>
  <c r="CE50"/>
  <c r="CF50"/>
  <c r="CG50"/>
  <c r="CI50"/>
  <c r="CK50"/>
  <c r="CE51"/>
  <c r="CF51"/>
  <c r="CG51"/>
  <c r="CI51"/>
  <c r="CK51"/>
  <c r="CE52"/>
  <c r="CF52"/>
  <c r="CG52"/>
  <c r="CI52"/>
  <c r="CK52"/>
  <c r="CE53"/>
  <c r="CF53"/>
  <c r="CG53"/>
  <c r="CI53"/>
  <c r="CK53"/>
  <c r="CE54"/>
  <c r="CF54"/>
  <c r="CG54"/>
  <c r="CI54"/>
  <c r="CK54"/>
  <c r="CE55"/>
  <c r="CF55"/>
  <c r="CG55"/>
  <c r="CI55"/>
  <c r="CK55"/>
  <c r="CE56"/>
  <c r="CF56"/>
  <c r="CG56"/>
  <c r="CI56"/>
  <c r="CK56"/>
  <c r="CE57"/>
  <c r="CF57"/>
  <c r="CG57"/>
  <c r="CI57"/>
  <c r="CK57"/>
  <c r="CE58"/>
  <c r="CF58"/>
  <c r="CG58"/>
  <c r="CI58"/>
  <c r="CK58"/>
  <c r="CE59"/>
  <c r="CF59"/>
  <c r="CG59"/>
  <c r="CI59"/>
  <c r="CK59"/>
  <c r="CE60"/>
  <c r="CF60"/>
  <c r="CG60"/>
  <c r="CI60"/>
  <c r="CK60"/>
  <c r="CE61"/>
  <c r="CF61"/>
  <c r="CG61"/>
  <c r="CI61"/>
  <c r="CK61"/>
  <c r="CE62"/>
  <c r="CF62"/>
  <c r="CG62"/>
  <c r="CI62"/>
  <c r="CK62"/>
  <c r="CE63"/>
  <c r="CF63"/>
  <c r="CG63"/>
  <c r="CI63"/>
  <c r="CK63"/>
  <c r="CE64"/>
  <c r="CF64"/>
  <c r="CG64"/>
  <c r="CI64"/>
  <c r="CK64"/>
  <c r="CE65"/>
  <c r="CF65"/>
  <c r="CG65"/>
  <c r="CI65"/>
  <c r="CK65"/>
  <c r="CE66"/>
  <c r="CF66"/>
  <c r="CG66"/>
  <c r="CI66"/>
  <c r="CK66"/>
  <c r="CE67"/>
  <c r="CF67"/>
  <c r="CG67"/>
  <c r="CI67"/>
  <c r="CK67"/>
  <c r="CE68"/>
  <c r="CF68"/>
  <c r="CG68"/>
  <c r="CI68"/>
  <c r="CK68"/>
  <c r="CE69"/>
  <c r="CF69"/>
  <c r="CG69"/>
  <c r="CI69"/>
  <c r="CK69"/>
  <c r="CE70"/>
  <c r="CF70"/>
  <c r="CG70"/>
  <c r="CI70"/>
  <c r="CK70"/>
  <c r="CE71"/>
  <c r="CF71"/>
  <c r="CG71"/>
  <c r="CI71"/>
  <c r="CK71"/>
  <c r="CE72"/>
  <c r="CF72"/>
  <c r="CG72"/>
  <c r="CI72"/>
  <c r="CK72"/>
  <c r="CE73"/>
  <c r="CF73"/>
  <c r="CG73"/>
  <c r="CI73"/>
  <c r="CK73"/>
  <c r="CE74"/>
  <c r="CF74"/>
  <c r="CG74"/>
  <c r="CI74"/>
  <c r="CK74"/>
  <c r="CE75"/>
  <c r="CF75"/>
  <c r="CG75"/>
  <c r="CI75"/>
  <c r="CK75"/>
  <c r="CE76"/>
  <c r="CF76"/>
  <c r="CG76"/>
  <c r="CI76"/>
  <c r="CK76"/>
  <c r="CE77"/>
  <c r="CF77"/>
  <c r="CG77"/>
  <c r="CI77"/>
  <c r="CK77"/>
  <c r="CE78"/>
  <c r="CF78"/>
  <c r="CG78"/>
  <c r="CI78"/>
  <c r="CK78"/>
  <c r="CE79"/>
  <c r="CF79"/>
  <c r="CG79"/>
  <c r="CI79"/>
  <c r="CK79"/>
  <c r="CE80"/>
  <c r="CF80"/>
  <c r="CG80"/>
  <c r="CI80"/>
  <c r="CK80"/>
  <c r="CE81"/>
  <c r="CF81"/>
  <c r="CG81"/>
  <c r="CI81"/>
  <c r="CK81"/>
  <c r="CE82"/>
  <c r="CF82"/>
  <c r="CG82"/>
  <c r="CI82"/>
  <c r="CK82"/>
  <c r="CE83"/>
  <c r="CF83"/>
  <c r="CG83"/>
  <c r="CI83"/>
  <c r="CK83"/>
  <c r="CE84"/>
  <c r="CF84"/>
  <c r="CG84"/>
  <c r="CI84"/>
  <c r="CK84"/>
  <c r="CE85"/>
  <c r="CF85"/>
  <c r="CG85"/>
  <c r="CI85"/>
  <c r="CK85"/>
  <c r="CE86"/>
  <c r="CF86"/>
  <c r="CG86"/>
  <c r="CI86"/>
  <c r="CK86"/>
  <c r="CE87"/>
  <c r="CF87"/>
  <c r="CG87"/>
  <c r="CI87"/>
  <c r="CK87"/>
  <c r="CE88"/>
  <c r="CF88"/>
  <c r="CG88"/>
  <c r="CI88"/>
  <c r="CK88"/>
  <c r="CE89"/>
  <c r="CF89"/>
  <c r="CG89"/>
  <c r="CI89"/>
  <c r="CK89"/>
  <c r="CE90"/>
  <c r="CF90"/>
  <c r="CG90"/>
  <c r="CI90"/>
  <c r="CK90"/>
  <c r="CE91"/>
  <c r="CF91"/>
  <c r="CG91"/>
  <c r="CI91"/>
  <c r="CK91"/>
  <c r="CE92"/>
  <c r="CF92"/>
  <c r="CG92"/>
  <c r="CI92"/>
  <c r="CK92"/>
  <c r="CE93"/>
  <c r="CF93"/>
  <c r="CG93"/>
  <c r="CI93"/>
  <c r="CK93"/>
  <c r="CE94"/>
  <c r="CF94"/>
  <c r="CG94"/>
  <c r="CI94"/>
  <c r="CK94"/>
  <c r="CE95"/>
  <c r="CF95"/>
  <c r="CG95"/>
  <c r="CI95"/>
  <c r="CK95"/>
  <c r="CE96"/>
  <c r="CF96"/>
  <c r="CG96"/>
  <c r="CI96"/>
  <c r="CK96"/>
  <c r="CE97"/>
  <c r="CF97"/>
  <c r="CG97"/>
  <c r="CI97"/>
  <c r="CK97"/>
  <c r="CE98"/>
  <c r="CF98"/>
  <c r="CG98"/>
  <c r="CI98"/>
  <c r="CK98"/>
  <c r="CE99"/>
  <c r="CF99"/>
  <c r="CG99"/>
  <c r="CI99"/>
  <c r="CK99"/>
  <c r="CE100"/>
  <c r="CF100"/>
  <c r="CG100"/>
  <c r="CI100"/>
  <c r="CK100"/>
  <c r="CE101"/>
  <c r="CF101"/>
  <c r="CG101"/>
  <c r="CI101"/>
  <c r="CK101"/>
  <c r="CE102"/>
  <c r="CF102"/>
  <c r="CG102"/>
  <c r="CI102"/>
  <c r="CK102"/>
  <c r="CE103"/>
  <c r="CF103"/>
  <c r="CG103"/>
  <c r="CI103"/>
  <c r="CK103"/>
  <c r="CE104"/>
  <c r="CF104"/>
  <c r="CG104"/>
  <c r="CI104"/>
  <c r="CK104"/>
  <c r="CE105"/>
  <c r="CF105"/>
  <c r="CG105"/>
  <c r="CI105"/>
  <c r="CK105"/>
  <c r="CE106"/>
  <c r="CF106"/>
  <c r="CG106"/>
  <c r="CI106"/>
  <c r="CK106"/>
  <c r="CE107"/>
  <c r="CF107"/>
  <c r="CG107"/>
  <c r="CI107"/>
  <c r="CK107"/>
  <c r="CE108"/>
  <c r="CF108"/>
  <c r="CG108"/>
  <c r="CI108"/>
  <c r="CK108"/>
  <c r="CE109"/>
  <c r="CF109"/>
  <c r="CG109"/>
  <c r="CI109"/>
  <c r="CK109"/>
  <c r="CE110"/>
  <c r="CF110"/>
  <c r="CG110"/>
  <c r="CI110"/>
  <c r="CK110"/>
  <c r="CE111"/>
  <c r="CF111"/>
  <c r="CG111"/>
  <c r="CI111"/>
  <c r="CK111"/>
  <c r="CE112"/>
  <c r="CF112"/>
  <c r="CG112"/>
  <c r="CI112"/>
  <c r="CK112"/>
  <c r="CE113"/>
  <c r="CF113"/>
  <c r="CG113"/>
  <c r="CI113"/>
  <c r="CK113"/>
  <c r="CE114"/>
  <c r="CF114"/>
  <c r="CG114"/>
  <c r="CI114"/>
  <c r="CK114"/>
  <c r="CE115"/>
  <c r="CF115"/>
  <c r="CG115"/>
  <c r="CI115"/>
  <c r="CK115"/>
  <c r="CE116"/>
  <c r="CF116"/>
  <c r="CG116"/>
  <c r="CI116"/>
  <c r="CK116"/>
  <c r="CE117"/>
  <c r="CF117"/>
  <c r="CG117"/>
  <c r="CI117"/>
  <c r="CK117"/>
  <c r="CE118"/>
  <c r="CF118"/>
  <c r="CG118"/>
  <c r="CI118"/>
  <c r="CK118"/>
  <c r="CE119"/>
  <c r="CF119"/>
  <c r="CG119"/>
  <c r="CI119"/>
  <c r="CK119"/>
  <c r="CE120"/>
  <c r="CF120"/>
  <c r="CG120"/>
  <c r="CI120"/>
  <c r="CK120"/>
  <c r="CE121"/>
  <c r="CF121"/>
  <c r="CG121"/>
  <c r="CI121"/>
  <c r="CK121"/>
  <c r="CE122"/>
  <c r="CF122"/>
  <c r="CG122"/>
  <c r="CI122"/>
  <c r="CK122"/>
  <c r="CE123"/>
  <c r="CF123"/>
  <c r="CG123"/>
  <c r="CI123"/>
  <c r="CK123"/>
  <c r="CE124"/>
  <c r="CF124"/>
  <c r="CG124"/>
  <c r="CI124"/>
  <c r="CK124"/>
  <c r="CE125"/>
  <c r="CF125"/>
  <c r="CG125"/>
  <c r="CI125"/>
  <c r="CK125"/>
  <c r="CE126"/>
  <c r="CF126"/>
  <c r="CG126"/>
  <c r="CI126"/>
  <c r="CK126"/>
  <c r="CE127"/>
  <c r="CF127"/>
  <c r="CG127"/>
  <c r="CI127"/>
  <c r="CK127"/>
  <c r="CE128"/>
  <c r="CF128"/>
  <c r="CG128"/>
  <c r="CI128"/>
  <c r="CK128"/>
  <c r="CE129"/>
  <c r="CF129"/>
  <c r="CG129"/>
  <c r="CI129"/>
  <c r="CK129"/>
  <c r="CE130"/>
  <c r="CF130"/>
  <c r="CG130"/>
  <c r="CI130"/>
  <c r="CK130"/>
  <c r="CE131"/>
  <c r="CF131"/>
  <c r="CG131"/>
  <c r="CI131"/>
  <c r="CK131"/>
  <c r="CE132"/>
  <c r="CF132"/>
  <c r="CG132"/>
  <c r="CI132"/>
  <c r="CK132"/>
  <c r="CE133"/>
  <c r="CF133"/>
  <c r="CG133"/>
  <c r="CI133"/>
  <c r="CK133"/>
  <c r="CE134"/>
  <c r="CF134"/>
  <c r="CG134"/>
  <c r="CI134"/>
  <c r="CK134"/>
  <c r="CE135"/>
  <c r="CF135"/>
  <c r="CG135"/>
  <c r="CI135"/>
  <c r="CK135"/>
  <c r="CE136"/>
  <c r="CF136"/>
  <c r="CG136"/>
  <c r="CI136"/>
  <c r="CK136"/>
  <c r="CE137"/>
  <c r="CF137"/>
  <c r="CG137"/>
  <c r="CI137"/>
  <c r="CK137"/>
  <c r="CE138"/>
  <c r="CF138"/>
  <c r="CG138"/>
  <c r="CI138"/>
  <c r="CK138"/>
  <c r="CE139"/>
  <c r="CF139"/>
  <c r="CG139"/>
  <c r="CI139"/>
  <c r="CK139"/>
  <c r="CE140"/>
  <c r="CF140"/>
  <c r="CG140"/>
  <c r="CI140"/>
  <c r="CK140"/>
  <c r="CE141"/>
  <c r="CF141"/>
  <c r="CG141"/>
  <c r="CI141"/>
  <c r="CK141"/>
  <c r="CE142"/>
  <c r="CF142"/>
  <c r="CG142"/>
  <c r="CI142"/>
  <c r="CK142"/>
  <c r="CE143"/>
  <c r="CF143"/>
  <c r="CG143"/>
  <c r="CI143"/>
  <c r="CK143"/>
  <c r="CE144"/>
  <c r="CF144"/>
  <c r="CG144"/>
  <c r="CI144"/>
  <c r="CK144"/>
  <c r="CE145"/>
  <c r="CF145"/>
  <c r="CG145"/>
  <c r="CI145"/>
  <c r="CK145"/>
  <c r="CE146"/>
  <c r="CF146"/>
  <c r="CG146"/>
  <c r="CI146"/>
  <c r="CK146"/>
  <c r="CE147"/>
  <c r="CF147"/>
  <c r="CG147"/>
  <c r="CI147"/>
  <c r="CK147"/>
  <c r="CE148"/>
  <c r="CF148"/>
  <c r="CG148"/>
  <c r="CI148"/>
  <c r="CK148"/>
  <c r="CE149"/>
  <c r="CF149"/>
  <c r="CG149"/>
  <c r="CI149"/>
  <c r="CK149"/>
  <c r="CE150"/>
  <c r="CF150"/>
  <c r="CG150"/>
  <c r="CI150"/>
  <c r="CK150"/>
  <c r="CE151"/>
  <c r="CF151"/>
  <c r="CG151"/>
  <c r="CI151"/>
  <c r="CK151"/>
  <c r="CE152"/>
  <c r="CF152"/>
  <c r="CG152"/>
  <c r="CI152"/>
  <c r="CK152"/>
  <c r="CE153"/>
  <c r="CF153"/>
  <c r="CG153"/>
  <c r="CI153"/>
  <c r="CK153"/>
  <c r="CE154"/>
  <c r="CF154"/>
  <c r="CG154"/>
  <c r="CI154"/>
  <c r="CK154"/>
  <c r="CE155"/>
  <c r="CF155"/>
  <c r="CG155"/>
  <c r="CI155"/>
  <c r="CK155"/>
  <c r="CE156"/>
  <c r="CF156"/>
  <c r="CG156"/>
  <c r="CI156"/>
  <c r="CK156"/>
  <c r="CE157"/>
  <c r="CF157"/>
  <c r="CG157"/>
  <c r="CI157"/>
  <c r="CK157"/>
  <c r="CE158"/>
  <c r="CF158"/>
  <c r="CG158"/>
  <c r="CI158"/>
  <c r="CK158"/>
  <c r="CE159"/>
  <c r="CF159"/>
  <c r="CG159"/>
  <c r="CI159"/>
  <c r="CK159"/>
  <c r="CE160"/>
  <c r="CF160"/>
  <c r="CG160"/>
  <c r="CI160"/>
  <c r="CK160"/>
  <c r="CE161"/>
  <c r="CF161"/>
  <c r="CG161"/>
  <c r="CI161"/>
  <c r="CK161"/>
  <c r="CE162"/>
  <c r="CF162"/>
  <c r="CG162"/>
  <c r="CI162"/>
  <c r="CK162"/>
  <c r="CE163"/>
  <c r="CF163"/>
  <c r="CG163"/>
  <c r="CI163"/>
  <c r="CK163"/>
  <c r="CE164"/>
  <c r="CF164"/>
  <c r="CG164"/>
  <c r="CI164"/>
  <c r="CK164"/>
  <c r="CE165"/>
  <c r="CF165"/>
  <c r="CG165"/>
  <c r="CI165"/>
  <c r="CK165"/>
  <c r="CE166"/>
  <c r="CF166"/>
  <c r="CG166"/>
  <c r="CI166"/>
  <c r="CK166"/>
  <c r="CE167"/>
  <c r="CF167"/>
  <c r="CG167"/>
  <c r="CI167"/>
  <c r="CK167"/>
  <c r="CE168"/>
  <c r="CF168"/>
  <c r="CG168"/>
  <c r="CI168"/>
  <c r="CK168"/>
  <c r="CE169"/>
  <c r="CF169"/>
  <c r="CG169"/>
  <c r="CI169"/>
  <c r="CK169"/>
  <c r="CE170"/>
  <c r="CF170"/>
  <c r="CG170"/>
  <c r="CI170"/>
  <c r="CK170"/>
  <c r="CE171"/>
  <c r="CF171"/>
  <c r="CG171"/>
  <c r="CI171"/>
  <c r="CK171"/>
  <c r="CE172"/>
  <c r="CF172"/>
  <c r="CG172"/>
  <c r="CI172"/>
  <c r="CK172"/>
  <c r="CE173"/>
  <c r="CF173"/>
  <c r="CG173"/>
  <c r="CI173"/>
  <c r="CK173"/>
  <c r="CE174"/>
  <c r="CF174"/>
  <c r="CG174"/>
  <c r="CI174"/>
  <c r="CK174"/>
  <c r="CE175"/>
  <c r="CF175"/>
  <c r="CG175"/>
  <c r="CI175"/>
  <c r="CK175"/>
  <c r="CE176"/>
  <c r="CF176"/>
  <c r="CG176"/>
  <c r="CI176"/>
  <c r="CK176"/>
  <c r="CE177"/>
  <c r="CF177"/>
  <c r="CG177"/>
  <c r="CI177"/>
  <c r="CK177"/>
  <c r="CE178"/>
  <c r="CF178"/>
  <c r="CG178"/>
  <c r="CI178"/>
  <c r="CK178"/>
  <c r="CE179"/>
  <c r="CF179"/>
  <c r="CG179"/>
  <c r="CI179"/>
  <c r="CK179"/>
  <c r="CE180"/>
  <c r="CF180"/>
  <c r="CG180"/>
  <c r="CI180"/>
  <c r="CK180"/>
  <c r="CE181"/>
  <c r="CF181"/>
  <c r="CG181"/>
  <c r="CI181"/>
  <c r="CK181"/>
  <c r="CE182"/>
  <c r="CF182"/>
  <c r="CG182"/>
  <c r="CI182"/>
  <c r="CK182"/>
  <c r="CE183"/>
  <c r="CF183"/>
  <c r="CG183"/>
  <c r="CI183"/>
  <c r="CK183"/>
  <c r="CE184"/>
  <c r="CF184"/>
  <c r="CG184"/>
  <c r="CI184"/>
  <c r="CK184"/>
  <c r="CE185"/>
  <c r="CF185"/>
  <c r="CG185"/>
  <c r="CI185"/>
  <c r="CK185"/>
  <c r="CE186"/>
  <c r="CF186"/>
  <c r="CG186"/>
  <c r="CI186"/>
  <c r="CK186"/>
  <c r="CE187"/>
  <c r="CF187"/>
  <c r="CG187"/>
  <c r="CI187"/>
  <c r="CK187"/>
  <c r="CE188"/>
  <c r="CF188"/>
  <c r="CG188"/>
  <c r="CI188"/>
  <c r="CK188"/>
  <c r="CE189"/>
  <c r="CF189"/>
  <c r="CG189"/>
  <c r="CI189"/>
  <c r="CK189"/>
  <c r="CE190"/>
  <c r="CF190"/>
  <c r="CG190"/>
  <c r="CI190"/>
  <c r="CK190"/>
  <c r="CE191"/>
  <c r="CF191"/>
  <c r="CG191"/>
  <c r="CI191"/>
  <c r="CK191"/>
  <c r="CE192"/>
  <c r="CF192"/>
  <c r="CG192"/>
  <c r="CI192"/>
  <c r="CK192"/>
  <c r="CE193"/>
  <c r="CF193"/>
  <c r="CG193"/>
  <c r="CI193"/>
  <c r="CK193"/>
  <c r="CE194"/>
  <c r="CF194"/>
  <c r="CG194"/>
  <c r="CI194"/>
  <c r="CK194"/>
  <c r="CE195"/>
  <c r="CF195"/>
  <c r="CG195"/>
  <c r="CI195"/>
  <c r="CK195"/>
  <c r="CE196"/>
  <c r="CF196"/>
  <c r="CG196"/>
  <c r="CI196"/>
  <c r="CK196"/>
  <c r="CE197"/>
  <c r="CF197"/>
  <c r="CG197"/>
  <c r="CI197"/>
  <c r="CK197"/>
  <c r="CE198"/>
  <c r="CF198"/>
  <c r="CG198"/>
  <c r="CI198"/>
  <c r="CK198"/>
  <c r="CE199"/>
  <c r="CF199"/>
  <c r="CG199"/>
  <c r="CI199"/>
  <c r="CK199"/>
  <c r="CE200"/>
  <c r="CF200"/>
  <c r="CG200"/>
  <c r="CI200"/>
  <c r="CK200"/>
  <c r="CE201"/>
  <c r="CF201"/>
  <c r="CG201"/>
  <c r="CI201"/>
  <c r="CK201"/>
  <c r="CE202"/>
  <c r="CF202"/>
  <c r="CG202"/>
  <c r="CI202"/>
  <c r="CK202"/>
  <c r="CE203"/>
  <c r="CF203"/>
  <c r="CG203"/>
  <c r="CI203"/>
  <c r="CK203"/>
  <c r="CE204"/>
  <c r="CF204"/>
  <c r="CG204"/>
  <c r="CI204"/>
  <c r="CK204"/>
  <c r="CE205"/>
  <c r="CF205"/>
  <c r="CG205"/>
  <c r="CI205"/>
  <c r="CK205"/>
  <c r="CE206"/>
  <c r="CF206"/>
  <c r="CG206"/>
  <c r="CI206"/>
  <c r="CK206"/>
  <c r="CF6"/>
  <c r="CG6"/>
  <c r="CF5"/>
  <c r="CE5"/>
  <c r="CL4"/>
  <c r="CJ4"/>
  <c r="CI4"/>
  <c r="CE4"/>
  <c r="BP7"/>
  <c r="BQ7"/>
  <c r="BR7"/>
  <c r="BT7"/>
  <c r="BV7"/>
  <c r="BP8"/>
  <c r="BQ8"/>
  <c r="BR8"/>
  <c r="BT8"/>
  <c r="BV8"/>
  <c r="BP9"/>
  <c r="BQ9"/>
  <c r="BR9"/>
  <c r="BT9"/>
  <c r="BV9"/>
  <c r="BP10"/>
  <c r="BQ10"/>
  <c r="BR10"/>
  <c r="BT10"/>
  <c r="BV10"/>
  <c r="BP11"/>
  <c r="BQ11"/>
  <c r="BR11"/>
  <c r="BT11"/>
  <c r="BV11"/>
  <c r="BP12"/>
  <c r="BQ12"/>
  <c r="BR12"/>
  <c r="BT12"/>
  <c r="BV12"/>
  <c r="BP13"/>
  <c r="BQ13"/>
  <c r="BR13"/>
  <c r="BT13"/>
  <c r="BV13"/>
  <c r="BP14"/>
  <c r="BQ14"/>
  <c r="BR14"/>
  <c r="BT14"/>
  <c r="BV14"/>
  <c r="BP15"/>
  <c r="BQ15"/>
  <c r="BR15"/>
  <c r="BT15"/>
  <c r="BV15"/>
  <c r="BP16"/>
  <c r="BQ16"/>
  <c r="BR16"/>
  <c r="BT16"/>
  <c r="BV16"/>
  <c r="BP17"/>
  <c r="BQ17"/>
  <c r="BR17"/>
  <c r="BT17"/>
  <c r="BV17"/>
  <c r="BP18"/>
  <c r="BQ18"/>
  <c r="BR18"/>
  <c r="BT18"/>
  <c r="BV18"/>
  <c r="BP19"/>
  <c r="BQ19"/>
  <c r="BR19"/>
  <c r="BT19"/>
  <c r="BV19"/>
  <c r="BP20"/>
  <c r="BQ20"/>
  <c r="BR20"/>
  <c r="BT20"/>
  <c r="BV20"/>
  <c r="BP21"/>
  <c r="BQ21"/>
  <c r="BR21"/>
  <c r="BT21"/>
  <c r="BV21"/>
  <c r="BP22"/>
  <c r="BQ22"/>
  <c r="BR22"/>
  <c r="BT22"/>
  <c r="BV22"/>
  <c r="BP23"/>
  <c r="BQ23"/>
  <c r="BR23"/>
  <c r="BT23"/>
  <c r="BV23"/>
  <c r="BP24"/>
  <c r="BQ24"/>
  <c r="BR24"/>
  <c r="BT24"/>
  <c r="BV24"/>
  <c r="BP25"/>
  <c r="BQ25"/>
  <c r="BR25"/>
  <c r="BT25"/>
  <c r="BV25"/>
  <c r="BP26"/>
  <c r="BQ26"/>
  <c r="BR26"/>
  <c r="BT26"/>
  <c r="BV26"/>
  <c r="BP27"/>
  <c r="BQ27"/>
  <c r="BR27"/>
  <c r="BT27"/>
  <c r="BV27"/>
  <c r="BP28"/>
  <c r="BQ28"/>
  <c r="BR28"/>
  <c r="BT28"/>
  <c r="BV28"/>
  <c r="BP29"/>
  <c r="BQ29"/>
  <c r="BR29"/>
  <c r="BT29"/>
  <c r="BV29"/>
  <c r="BP30"/>
  <c r="BQ30"/>
  <c r="BR30"/>
  <c r="BT30"/>
  <c r="BV30"/>
  <c r="BP31"/>
  <c r="BQ31"/>
  <c r="BR31"/>
  <c r="BT31"/>
  <c r="BV31"/>
  <c r="BP32"/>
  <c r="BQ32"/>
  <c r="BR32"/>
  <c r="BT32"/>
  <c r="BV32"/>
  <c r="BP33"/>
  <c r="BQ33"/>
  <c r="BR33"/>
  <c r="BT33"/>
  <c r="BV33"/>
  <c r="BP34"/>
  <c r="BQ34"/>
  <c r="BR34"/>
  <c r="BT34"/>
  <c r="BV34"/>
  <c r="BP35"/>
  <c r="BQ35"/>
  <c r="BR35"/>
  <c r="BT35"/>
  <c r="BV35"/>
  <c r="BP36"/>
  <c r="BQ36"/>
  <c r="BR36"/>
  <c r="BT36"/>
  <c r="BV36"/>
  <c r="BP37"/>
  <c r="BQ37"/>
  <c r="BR37"/>
  <c r="BT37"/>
  <c r="BV37"/>
  <c r="BP38"/>
  <c r="BQ38"/>
  <c r="BR38"/>
  <c r="BT38"/>
  <c r="BV38"/>
  <c r="BP39"/>
  <c r="BQ39"/>
  <c r="BR39"/>
  <c r="BT39"/>
  <c r="BV39"/>
  <c r="BP40"/>
  <c r="BQ40"/>
  <c r="BR40"/>
  <c r="BT40"/>
  <c r="BV40"/>
  <c r="BP41"/>
  <c r="BQ41"/>
  <c r="BR41"/>
  <c r="BT41"/>
  <c r="BV41"/>
  <c r="BP42"/>
  <c r="BQ42"/>
  <c r="BR42"/>
  <c r="BT42"/>
  <c r="BV42"/>
  <c r="BP43"/>
  <c r="BQ43"/>
  <c r="BR43"/>
  <c r="BT43"/>
  <c r="BV43"/>
  <c r="BP44"/>
  <c r="BQ44"/>
  <c r="BR44"/>
  <c r="BT44"/>
  <c r="BV44"/>
  <c r="BP45"/>
  <c r="BQ45"/>
  <c r="BR45"/>
  <c r="BT45"/>
  <c r="BV45"/>
  <c r="BP46"/>
  <c r="BQ46"/>
  <c r="BR46"/>
  <c r="BT46"/>
  <c r="BV46"/>
  <c r="BP47"/>
  <c r="BQ47"/>
  <c r="BR47"/>
  <c r="BT47"/>
  <c r="BV47"/>
  <c r="BP48"/>
  <c r="BQ48"/>
  <c r="BR48"/>
  <c r="BT48"/>
  <c r="BV48"/>
  <c r="BP49"/>
  <c r="BQ49"/>
  <c r="BR49"/>
  <c r="BT49"/>
  <c r="BV49"/>
  <c r="BP50"/>
  <c r="BQ50"/>
  <c r="BR50"/>
  <c r="BT50"/>
  <c r="BV50"/>
  <c r="BP51"/>
  <c r="BQ51"/>
  <c r="BR51"/>
  <c r="BT51"/>
  <c r="BV51"/>
  <c r="BP52"/>
  <c r="BQ52"/>
  <c r="BR52"/>
  <c r="BT52"/>
  <c r="BV52"/>
  <c r="BP53"/>
  <c r="BQ53"/>
  <c r="BR53"/>
  <c r="BT53"/>
  <c r="BV53"/>
  <c r="BP54"/>
  <c r="BQ54"/>
  <c r="BR54"/>
  <c r="BT54"/>
  <c r="BV54"/>
  <c r="BP55"/>
  <c r="BQ55"/>
  <c r="BR55"/>
  <c r="BT55"/>
  <c r="BV55"/>
  <c r="BP56"/>
  <c r="BQ56"/>
  <c r="BR56"/>
  <c r="BT56"/>
  <c r="BV56"/>
  <c r="BP57"/>
  <c r="BQ57"/>
  <c r="BR57"/>
  <c r="BT57"/>
  <c r="BV57"/>
  <c r="BP58"/>
  <c r="BQ58"/>
  <c r="BR58"/>
  <c r="BT58"/>
  <c r="BV58"/>
  <c r="BP59"/>
  <c r="BQ59"/>
  <c r="BR59"/>
  <c r="BT59"/>
  <c r="BV59"/>
  <c r="BP60"/>
  <c r="BQ60"/>
  <c r="BR60"/>
  <c r="BT60"/>
  <c r="BV60"/>
  <c r="BP61"/>
  <c r="BQ61"/>
  <c r="BR61"/>
  <c r="BT61"/>
  <c r="BV61"/>
  <c r="BP62"/>
  <c r="BQ62"/>
  <c r="BR62"/>
  <c r="BT62"/>
  <c r="BV62"/>
  <c r="BP63"/>
  <c r="BQ63"/>
  <c r="BR63"/>
  <c r="BT63"/>
  <c r="BV63"/>
  <c r="BP64"/>
  <c r="BQ64"/>
  <c r="BR64"/>
  <c r="BT64"/>
  <c r="BV64"/>
  <c r="BP65"/>
  <c r="BQ65"/>
  <c r="BR65"/>
  <c r="BT65"/>
  <c r="BV65"/>
  <c r="BP66"/>
  <c r="BQ66"/>
  <c r="BR66"/>
  <c r="BT66"/>
  <c r="BV66"/>
  <c r="BP67"/>
  <c r="BQ67"/>
  <c r="BR67"/>
  <c r="BT67"/>
  <c r="BV67"/>
  <c r="BP68"/>
  <c r="BQ68"/>
  <c r="BR68"/>
  <c r="BT68"/>
  <c r="BV68"/>
  <c r="BP69"/>
  <c r="BQ69"/>
  <c r="BR69"/>
  <c r="BT69"/>
  <c r="BV69"/>
  <c r="BP70"/>
  <c r="BQ70"/>
  <c r="BR70"/>
  <c r="BT70"/>
  <c r="BV70"/>
  <c r="BP71"/>
  <c r="BQ71"/>
  <c r="BR71"/>
  <c r="BT71"/>
  <c r="BV71"/>
  <c r="BP72"/>
  <c r="BQ72"/>
  <c r="BR72"/>
  <c r="BT72"/>
  <c r="BV72"/>
  <c r="BP73"/>
  <c r="BQ73"/>
  <c r="BR73"/>
  <c r="BT73"/>
  <c r="BV73"/>
  <c r="BP74"/>
  <c r="BQ74"/>
  <c r="BR74"/>
  <c r="BT74"/>
  <c r="BV74"/>
  <c r="BP75"/>
  <c r="BQ75"/>
  <c r="BR75"/>
  <c r="BT75"/>
  <c r="BV75"/>
  <c r="BP76"/>
  <c r="BQ76"/>
  <c r="BR76"/>
  <c r="BT76"/>
  <c r="BV76"/>
  <c r="BP77"/>
  <c r="BQ77"/>
  <c r="BR77"/>
  <c r="BT77"/>
  <c r="BV77"/>
  <c r="BP78"/>
  <c r="BQ78"/>
  <c r="BR78"/>
  <c r="BT78"/>
  <c r="BV78"/>
  <c r="BP79"/>
  <c r="BQ79"/>
  <c r="BR79"/>
  <c r="BT79"/>
  <c r="BV79"/>
  <c r="BP80"/>
  <c r="BQ80"/>
  <c r="BR80"/>
  <c r="BT80"/>
  <c r="BV80"/>
  <c r="BP81"/>
  <c r="BQ81"/>
  <c r="BR81"/>
  <c r="BT81"/>
  <c r="BV81"/>
  <c r="BP82"/>
  <c r="BQ82"/>
  <c r="BR82"/>
  <c r="BT82"/>
  <c r="BV82"/>
  <c r="BP83"/>
  <c r="BQ83"/>
  <c r="BR83"/>
  <c r="BT83"/>
  <c r="BV83"/>
  <c r="BP84"/>
  <c r="BQ84"/>
  <c r="BR84"/>
  <c r="BT84"/>
  <c r="BV84"/>
  <c r="BP85"/>
  <c r="BQ85"/>
  <c r="BR85"/>
  <c r="BT85"/>
  <c r="BV85"/>
  <c r="BP86"/>
  <c r="BQ86"/>
  <c r="BR86"/>
  <c r="BT86"/>
  <c r="BV86"/>
  <c r="BP87"/>
  <c r="BQ87"/>
  <c r="BR87"/>
  <c r="BT87"/>
  <c r="BV87"/>
  <c r="BP88"/>
  <c r="BQ88"/>
  <c r="BR88"/>
  <c r="BT88"/>
  <c r="BV88"/>
  <c r="BP89"/>
  <c r="BQ89"/>
  <c r="BR89"/>
  <c r="BT89"/>
  <c r="BV89"/>
  <c r="BP90"/>
  <c r="BQ90"/>
  <c r="BR90"/>
  <c r="BT90"/>
  <c r="BV90"/>
  <c r="BP91"/>
  <c r="BQ91"/>
  <c r="BR91"/>
  <c r="BT91"/>
  <c r="BV91"/>
  <c r="BP92"/>
  <c r="BQ92"/>
  <c r="BR92"/>
  <c r="BT92"/>
  <c r="BV92"/>
  <c r="BP93"/>
  <c r="BQ93"/>
  <c r="BR93"/>
  <c r="BT93"/>
  <c r="BV93"/>
  <c r="BP94"/>
  <c r="BQ94"/>
  <c r="BR94"/>
  <c r="BT94"/>
  <c r="BV94"/>
  <c r="BP95"/>
  <c r="BQ95"/>
  <c r="BR95"/>
  <c r="BT95"/>
  <c r="BV95"/>
  <c r="BP96"/>
  <c r="BQ96"/>
  <c r="BR96"/>
  <c r="BT96"/>
  <c r="BV96"/>
  <c r="BP97"/>
  <c r="BQ97"/>
  <c r="BR97"/>
  <c r="BT97"/>
  <c r="BV97"/>
  <c r="BP98"/>
  <c r="BQ98"/>
  <c r="BR98"/>
  <c r="BT98"/>
  <c r="BV98"/>
  <c r="BP99"/>
  <c r="BQ99"/>
  <c r="BR99"/>
  <c r="BT99"/>
  <c r="BV99"/>
  <c r="BP100"/>
  <c r="BQ100"/>
  <c r="BR100"/>
  <c r="BT100"/>
  <c r="BV100"/>
  <c r="BP101"/>
  <c r="BQ101"/>
  <c r="BR101"/>
  <c r="BT101"/>
  <c r="BV101"/>
  <c r="BP102"/>
  <c r="BQ102"/>
  <c r="BR102"/>
  <c r="BT102"/>
  <c r="BV102"/>
  <c r="BP103"/>
  <c r="BQ103"/>
  <c r="BR103"/>
  <c r="BT103"/>
  <c r="BV103"/>
  <c r="BP104"/>
  <c r="BQ104"/>
  <c r="BR104"/>
  <c r="BT104"/>
  <c r="BV104"/>
  <c r="BP105"/>
  <c r="BQ105"/>
  <c r="BR105"/>
  <c r="BT105"/>
  <c r="BV105"/>
  <c r="BP106"/>
  <c r="BQ106"/>
  <c r="BR106"/>
  <c r="BT106"/>
  <c r="BV106"/>
  <c r="BP107"/>
  <c r="BQ107"/>
  <c r="BR107"/>
  <c r="BT107"/>
  <c r="BV107"/>
  <c r="BP108"/>
  <c r="BQ108"/>
  <c r="BR108"/>
  <c r="BT108"/>
  <c r="BV108"/>
  <c r="BP109"/>
  <c r="BQ109"/>
  <c r="BR109"/>
  <c r="BT109"/>
  <c r="BV109"/>
  <c r="BP110"/>
  <c r="BQ110"/>
  <c r="BR110"/>
  <c r="BT110"/>
  <c r="BV110"/>
  <c r="BP111"/>
  <c r="BQ111"/>
  <c r="BR111"/>
  <c r="BT111"/>
  <c r="BV111"/>
  <c r="BP112"/>
  <c r="BQ112"/>
  <c r="BR112"/>
  <c r="BT112"/>
  <c r="BV112"/>
  <c r="BP113"/>
  <c r="BQ113"/>
  <c r="BR113"/>
  <c r="BT113"/>
  <c r="BV113"/>
  <c r="BP114"/>
  <c r="BQ114"/>
  <c r="BR114"/>
  <c r="BT114"/>
  <c r="BV114"/>
  <c r="BP115"/>
  <c r="BQ115"/>
  <c r="BR115"/>
  <c r="BT115"/>
  <c r="BV115"/>
  <c r="BP116"/>
  <c r="BQ116"/>
  <c r="BR116"/>
  <c r="BT116"/>
  <c r="BV116"/>
  <c r="BP117"/>
  <c r="BQ117"/>
  <c r="BR117"/>
  <c r="BT117"/>
  <c r="BV117"/>
  <c r="BP118"/>
  <c r="BQ118"/>
  <c r="BR118"/>
  <c r="BT118"/>
  <c r="BV118"/>
  <c r="BP119"/>
  <c r="BQ119"/>
  <c r="BR119"/>
  <c r="BT119"/>
  <c r="BV119"/>
  <c r="BP120"/>
  <c r="BQ120"/>
  <c r="BR120"/>
  <c r="BT120"/>
  <c r="BV120"/>
  <c r="BP121"/>
  <c r="BQ121"/>
  <c r="BR121"/>
  <c r="BT121"/>
  <c r="BV121"/>
  <c r="BP122"/>
  <c r="BQ122"/>
  <c r="BR122"/>
  <c r="BT122"/>
  <c r="BV122"/>
  <c r="BP123"/>
  <c r="BQ123"/>
  <c r="BR123"/>
  <c r="BT123"/>
  <c r="BV123"/>
  <c r="BP124"/>
  <c r="BQ124"/>
  <c r="BR124"/>
  <c r="BT124"/>
  <c r="BV124"/>
  <c r="BP125"/>
  <c r="BQ125"/>
  <c r="BR125"/>
  <c r="BT125"/>
  <c r="BV125"/>
  <c r="BP126"/>
  <c r="BQ126"/>
  <c r="BR126"/>
  <c r="BT126"/>
  <c r="BV126"/>
  <c r="BP127"/>
  <c r="BQ127"/>
  <c r="BR127"/>
  <c r="BT127"/>
  <c r="BV127"/>
  <c r="BP128"/>
  <c r="BQ128"/>
  <c r="BR128"/>
  <c r="BT128"/>
  <c r="BV128"/>
  <c r="BP129"/>
  <c r="BQ129"/>
  <c r="BR129"/>
  <c r="BT129"/>
  <c r="BV129"/>
  <c r="BP130"/>
  <c r="BQ130"/>
  <c r="BR130"/>
  <c r="BT130"/>
  <c r="BV130"/>
  <c r="BP131"/>
  <c r="BQ131"/>
  <c r="BR131"/>
  <c r="BT131"/>
  <c r="BV131"/>
  <c r="BP132"/>
  <c r="BQ132"/>
  <c r="BR132"/>
  <c r="BT132"/>
  <c r="BV132"/>
  <c r="BP133"/>
  <c r="BQ133"/>
  <c r="BR133"/>
  <c r="BT133"/>
  <c r="BV133"/>
  <c r="BP134"/>
  <c r="BQ134"/>
  <c r="BR134"/>
  <c r="BT134"/>
  <c r="BV134"/>
  <c r="BP135"/>
  <c r="BQ135"/>
  <c r="BR135"/>
  <c r="BT135"/>
  <c r="BV135"/>
  <c r="BP136"/>
  <c r="BQ136"/>
  <c r="BR136"/>
  <c r="BT136"/>
  <c r="BV136"/>
  <c r="BP137"/>
  <c r="BQ137"/>
  <c r="BR137"/>
  <c r="BT137"/>
  <c r="BV137"/>
  <c r="BP138"/>
  <c r="BQ138"/>
  <c r="BR138"/>
  <c r="BT138"/>
  <c r="BV138"/>
  <c r="BP139"/>
  <c r="BQ139"/>
  <c r="BR139"/>
  <c r="BT139"/>
  <c r="BV139"/>
  <c r="BP140"/>
  <c r="BQ140"/>
  <c r="BR140"/>
  <c r="BT140"/>
  <c r="BV140"/>
  <c r="BP141"/>
  <c r="BQ141"/>
  <c r="BR141"/>
  <c r="BT141"/>
  <c r="BV141"/>
  <c r="BP142"/>
  <c r="BQ142"/>
  <c r="BR142"/>
  <c r="BT142"/>
  <c r="BV142"/>
  <c r="BP143"/>
  <c r="BQ143"/>
  <c r="BR143"/>
  <c r="BT143"/>
  <c r="BV143"/>
  <c r="BP144"/>
  <c r="BQ144"/>
  <c r="BR144"/>
  <c r="BT144"/>
  <c r="BV144"/>
  <c r="BP145"/>
  <c r="BQ145"/>
  <c r="BR145"/>
  <c r="BT145"/>
  <c r="BV145"/>
  <c r="BP146"/>
  <c r="BQ146"/>
  <c r="BR146"/>
  <c r="BT146"/>
  <c r="BV146"/>
  <c r="BP147"/>
  <c r="BQ147"/>
  <c r="BR147"/>
  <c r="BT147"/>
  <c r="BV147"/>
  <c r="BP148"/>
  <c r="BQ148"/>
  <c r="BR148"/>
  <c r="BT148"/>
  <c r="BV148"/>
  <c r="BP149"/>
  <c r="BQ149"/>
  <c r="BR149"/>
  <c r="BT149"/>
  <c r="BV149"/>
  <c r="BP150"/>
  <c r="BQ150"/>
  <c r="BR150"/>
  <c r="BT150"/>
  <c r="BV150"/>
  <c r="BP151"/>
  <c r="BQ151"/>
  <c r="BR151"/>
  <c r="BT151"/>
  <c r="BV151"/>
  <c r="BP152"/>
  <c r="BQ152"/>
  <c r="BR152"/>
  <c r="BT152"/>
  <c r="BV152"/>
  <c r="BP153"/>
  <c r="BQ153"/>
  <c r="BR153"/>
  <c r="BT153"/>
  <c r="BV153"/>
  <c r="BP154"/>
  <c r="BQ154"/>
  <c r="BR154"/>
  <c r="BT154"/>
  <c r="BV154"/>
  <c r="BP155"/>
  <c r="BQ155"/>
  <c r="BR155"/>
  <c r="BT155"/>
  <c r="BV155"/>
  <c r="BP156"/>
  <c r="BQ156"/>
  <c r="BR156"/>
  <c r="BT156"/>
  <c r="BV156"/>
  <c r="BP157"/>
  <c r="BQ157"/>
  <c r="BR157"/>
  <c r="BT157"/>
  <c r="BV157"/>
  <c r="BP158"/>
  <c r="BQ158"/>
  <c r="BR158"/>
  <c r="BT158"/>
  <c r="BV158"/>
  <c r="BP159"/>
  <c r="BQ159"/>
  <c r="BR159"/>
  <c r="BT159"/>
  <c r="BV159"/>
  <c r="BP160"/>
  <c r="BQ160"/>
  <c r="BR160"/>
  <c r="BT160"/>
  <c r="BV160"/>
  <c r="BP161"/>
  <c r="BQ161"/>
  <c r="BR161"/>
  <c r="BT161"/>
  <c r="BV161"/>
  <c r="BP162"/>
  <c r="BQ162"/>
  <c r="BR162"/>
  <c r="BT162"/>
  <c r="BV162"/>
  <c r="BP163"/>
  <c r="BQ163"/>
  <c r="BR163"/>
  <c r="BT163"/>
  <c r="BV163"/>
  <c r="BP164"/>
  <c r="BQ164"/>
  <c r="BR164"/>
  <c r="BT164"/>
  <c r="BV164"/>
  <c r="BP165"/>
  <c r="BQ165"/>
  <c r="BR165"/>
  <c r="BT165"/>
  <c r="BV165"/>
  <c r="BP166"/>
  <c r="BQ166"/>
  <c r="BR166"/>
  <c r="BT166"/>
  <c r="BV166"/>
  <c r="BP167"/>
  <c r="BQ167"/>
  <c r="BR167"/>
  <c r="BT167"/>
  <c r="BV167"/>
  <c r="BP168"/>
  <c r="BQ168"/>
  <c r="BR168"/>
  <c r="BT168"/>
  <c r="BV168"/>
  <c r="BP169"/>
  <c r="BQ169"/>
  <c r="BR169"/>
  <c r="BT169"/>
  <c r="BV169"/>
  <c r="BP170"/>
  <c r="BQ170"/>
  <c r="BR170"/>
  <c r="BT170"/>
  <c r="BV170"/>
  <c r="BP171"/>
  <c r="BQ171"/>
  <c r="BR171"/>
  <c r="BT171"/>
  <c r="BV171"/>
  <c r="BP172"/>
  <c r="BQ172"/>
  <c r="BR172"/>
  <c r="BT172"/>
  <c r="BV172"/>
  <c r="BP173"/>
  <c r="BQ173"/>
  <c r="BR173"/>
  <c r="BT173"/>
  <c r="BV173"/>
  <c r="BP174"/>
  <c r="BQ174"/>
  <c r="BR174"/>
  <c r="BT174"/>
  <c r="BV174"/>
  <c r="BP175"/>
  <c r="BQ175"/>
  <c r="BR175"/>
  <c r="BT175"/>
  <c r="BV175"/>
  <c r="BP176"/>
  <c r="BQ176"/>
  <c r="BR176"/>
  <c r="BT176"/>
  <c r="BV176"/>
  <c r="BP177"/>
  <c r="BQ177"/>
  <c r="BR177"/>
  <c r="BT177"/>
  <c r="BV177"/>
  <c r="BP178"/>
  <c r="BQ178"/>
  <c r="BR178"/>
  <c r="BT178"/>
  <c r="BV178"/>
  <c r="BP179"/>
  <c r="BQ179"/>
  <c r="BR179"/>
  <c r="BT179"/>
  <c r="BV179"/>
  <c r="BP180"/>
  <c r="BQ180"/>
  <c r="BR180"/>
  <c r="BT180"/>
  <c r="BV180"/>
  <c r="BP181"/>
  <c r="BQ181"/>
  <c r="BR181"/>
  <c r="BT181"/>
  <c r="BV181"/>
  <c r="BP182"/>
  <c r="BQ182"/>
  <c r="BR182"/>
  <c r="BT182"/>
  <c r="BV182"/>
  <c r="BP183"/>
  <c r="BQ183"/>
  <c r="BR183"/>
  <c r="BT183"/>
  <c r="BV183"/>
  <c r="BP184"/>
  <c r="BQ184"/>
  <c r="BR184"/>
  <c r="BT184"/>
  <c r="BV184"/>
  <c r="BP185"/>
  <c r="BQ185"/>
  <c r="BR185"/>
  <c r="BT185"/>
  <c r="BV185"/>
  <c r="BP186"/>
  <c r="BQ186"/>
  <c r="BR186"/>
  <c r="BT186"/>
  <c r="BV186"/>
  <c r="BP187"/>
  <c r="BQ187"/>
  <c r="BR187"/>
  <c r="BT187"/>
  <c r="BV187"/>
  <c r="BP188"/>
  <c r="BQ188"/>
  <c r="BR188"/>
  <c r="BT188"/>
  <c r="BV188"/>
  <c r="BP189"/>
  <c r="BQ189"/>
  <c r="BR189"/>
  <c r="BT189"/>
  <c r="BV189"/>
  <c r="BP190"/>
  <c r="BQ190"/>
  <c r="BR190"/>
  <c r="BT190"/>
  <c r="BV190"/>
  <c r="BP191"/>
  <c r="BQ191"/>
  <c r="BR191"/>
  <c r="BT191"/>
  <c r="BV191"/>
  <c r="BP192"/>
  <c r="BQ192"/>
  <c r="BR192"/>
  <c r="BT192"/>
  <c r="BV192"/>
  <c r="BP193"/>
  <c r="BQ193"/>
  <c r="BR193"/>
  <c r="BT193"/>
  <c r="BV193"/>
  <c r="BP194"/>
  <c r="BQ194"/>
  <c r="BR194"/>
  <c r="BT194"/>
  <c r="BV194"/>
  <c r="BP195"/>
  <c r="BQ195"/>
  <c r="BR195"/>
  <c r="BT195"/>
  <c r="BV195"/>
  <c r="BP196"/>
  <c r="BQ196"/>
  <c r="BR196"/>
  <c r="BT196"/>
  <c r="BV196"/>
  <c r="BP197"/>
  <c r="BQ197"/>
  <c r="BR197"/>
  <c r="BT197"/>
  <c r="BV197"/>
  <c r="BP198"/>
  <c r="BQ198"/>
  <c r="BR198"/>
  <c r="BT198"/>
  <c r="BV198"/>
  <c r="BP199"/>
  <c r="BQ199"/>
  <c r="BR199"/>
  <c r="BT199"/>
  <c r="BV199"/>
  <c r="BP200"/>
  <c r="BQ200"/>
  <c r="BR200"/>
  <c r="BT200"/>
  <c r="BV200"/>
  <c r="BP201"/>
  <c r="BQ201"/>
  <c r="BR201"/>
  <c r="BT201"/>
  <c r="BV201"/>
  <c r="BP202"/>
  <c r="BQ202"/>
  <c r="BR202"/>
  <c r="BT202"/>
  <c r="BV202"/>
  <c r="BP203"/>
  <c r="BQ203"/>
  <c r="BR203"/>
  <c r="BT203"/>
  <c r="BV203"/>
  <c r="BP204"/>
  <c r="BQ204"/>
  <c r="BR204"/>
  <c r="BT204"/>
  <c r="BV204"/>
  <c r="BP205"/>
  <c r="BQ205"/>
  <c r="BR205"/>
  <c r="BT205"/>
  <c r="BV205"/>
  <c r="BP206"/>
  <c r="BQ206"/>
  <c r="BR206"/>
  <c r="BT206"/>
  <c r="BV206"/>
  <c r="BQ6"/>
  <c r="BR6"/>
  <c r="BR5"/>
  <c r="BQ5"/>
  <c r="BP5"/>
  <c r="BW4"/>
  <c r="BV4"/>
  <c r="BU4"/>
  <c r="BT4"/>
  <c r="BP4"/>
  <c r="BB7"/>
  <c r="BC7"/>
  <c r="BD7"/>
  <c r="BF7"/>
  <c r="BH7"/>
  <c r="BB8"/>
  <c r="BC8"/>
  <c r="BD8"/>
  <c r="BF8"/>
  <c r="BH8"/>
  <c r="BB9"/>
  <c r="BC9"/>
  <c r="BD9"/>
  <c r="BF9"/>
  <c r="BH9"/>
  <c r="BB10"/>
  <c r="BC10"/>
  <c r="BD10"/>
  <c r="BF10"/>
  <c r="BH10"/>
  <c r="BB11"/>
  <c r="BC11"/>
  <c r="BD11"/>
  <c r="BF11"/>
  <c r="BH11"/>
  <c r="BB12"/>
  <c r="BC12"/>
  <c r="BD12"/>
  <c r="BF12"/>
  <c r="BH12"/>
  <c r="BB13"/>
  <c r="BC13"/>
  <c r="BD13"/>
  <c r="BF13"/>
  <c r="BH13"/>
  <c r="BB14"/>
  <c r="BC14"/>
  <c r="BD14"/>
  <c r="BF14"/>
  <c r="BH14"/>
  <c r="BB15"/>
  <c r="BC15"/>
  <c r="BD15"/>
  <c r="BF15"/>
  <c r="BH15"/>
  <c r="BB16"/>
  <c r="BC16"/>
  <c r="BD16"/>
  <c r="BF16"/>
  <c r="BH16"/>
  <c r="BB17"/>
  <c r="BC17"/>
  <c r="BD17"/>
  <c r="BF17"/>
  <c r="BH17"/>
  <c r="BB18"/>
  <c r="BC18"/>
  <c r="BD18"/>
  <c r="BF18"/>
  <c r="BH18"/>
  <c r="BB19"/>
  <c r="BC19"/>
  <c r="BD19"/>
  <c r="BF19"/>
  <c r="BH19"/>
  <c r="BB20"/>
  <c r="BC20"/>
  <c r="BD20"/>
  <c r="BF20"/>
  <c r="BH20"/>
  <c r="BB21"/>
  <c r="BC21"/>
  <c r="BD21"/>
  <c r="BF21"/>
  <c r="BH21"/>
  <c r="BB22"/>
  <c r="BC22"/>
  <c r="BD22"/>
  <c r="BF22"/>
  <c r="BH22"/>
  <c r="BB23"/>
  <c r="BC23"/>
  <c r="BD23"/>
  <c r="BF23"/>
  <c r="BH23"/>
  <c r="BB24"/>
  <c r="BC24"/>
  <c r="BD24"/>
  <c r="BF24"/>
  <c r="BH24"/>
  <c r="BB25"/>
  <c r="BC25"/>
  <c r="BD25"/>
  <c r="BF25"/>
  <c r="BH25"/>
  <c r="BB26"/>
  <c r="BC26"/>
  <c r="BD26"/>
  <c r="BF26"/>
  <c r="BH26"/>
  <c r="BB27"/>
  <c r="BC27"/>
  <c r="BD27"/>
  <c r="BF27"/>
  <c r="BH27"/>
  <c r="BB28"/>
  <c r="BC28"/>
  <c r="BD28"/>
  <c r="BF28"/>
  <c r="BH28"/>
  <c r="BB29"/>
  <c r="BC29"/>
  <c r="BD29"/>
  <c r="BF29"/>
  <c r="BH29"/>
  <c r="BB30"/>
  <c r="BC30"/>
  <c r="BD30"/>
  <c r="BF30"/>
  <c r="BH30"/>
  <c r="BB31"/>
  <c r="BC31"/>
  <c r="BD31"/>
  <c r="BF31"/>
  <c r="BH31"/>
  <c r="BB32"/>
  <c r="BC32"/>
  <c r="BD32"/>
  <c r="BF32"/>
  <c r="BH32"/>
  <c r="BB33"/>
  <c r="BC33"/>
  <c r="BD33"/>
  <c r="BF33"/>
  <c r="BH33"/>
  <c r="BB34"/>
  <c r="BC34"/>
  <c r="BD34"/>
  <c r="BF34"/>
  <c r="BH34"/>
  <c r="BB35"/>
  <c r="BC35"/>
  <c r="BD35"/>
  <c r="BF35"/>
  <c r="BH35"/>
  <c r="BB36"/>
  <c r="BC36"/>
  <c r="BD36"/>
  <c r="BF36"/>
  <c r="BH36"/>
  <c r="BB37"/>
  <c r="BC37"/>
  <c r="BD37"/>
  <c r="BF37"/>
  <c r="BH37"/>
  <c r="BB38"/>
  <c r="BC38"/>
  <c r="BD38"/>
  <c r="BF38"/>
  <c r="BH38"/>
  <c r="BB39"/>
  <c r="BC39"/>
  <c r="BD39"/>
  <c r="BF39"/>
  <c r="BH39"/>
  <c r="BB40"/>
  <c r="BC40"/>
  <c r="BD40"/>
  <c r="BF40"/>
  <c r="BH40"/>
  <c r="BB41"/>
  <c r="BC41"/>
  <c r="BD41"/>
  <c r="BF41"/>
  <c r="BH41"/>
  <c r="BB42"/>
  <c r="BC42"/>
  <c r="BD42"/>
  <c r="BF42"/>
  <c r="BH42"/>
  <c r="BB43"/>
  <c r="BC43"/>
  <c r="BD43"/>
  <c r="BF43"/>
  <c r="BH43"/>
  <c r="BB44"/>
  <c r="BC44"/>
  <c r="BD44"/>
  <c r="BF44"/>
  <c r="BH44"/>
  <c r="BB45"/>
  <c r="BC45"/>
  <c r="BD45"/>
  <c r="BF45"/>
  <c r="BH45"/>
  <c r="BB46"/>
  <c r="BC46"/>
  <c r="BD46"/>
  <c r="BF46"/>
  <c r="BH46"/>
  <c r="BB47"/>
  <c r="BC47"/>
  <c r="BD47"/>
  <c r="BF47"/>
  <c r="BH47"/>
  <c r="BB48"/>
  <c r="BC48"/>
  <c r="BD48"/>
  <c r="BF48"/>
  <c r="BH48"/>
  <c r="BB49"/>
  <c r="BC49"/>
  <c r="BD49"/>
  <c r="BF49"/>
  <c r="BH49"/>
  <c r="BB50"/>
  <c r="BC50"/>
  <c r="BD50"/>
  <c r="BF50"/>
  <c r="BH50"/>
  <c r="BB51"/>
  <c r="BC51"/>
  <c r="BD51"/>
  <c r="BF51"/>
  <c r="BH51"/>
  <c r="BB52"/>
  <c r="BC52"/>
  <c r="BD52"/>
  <c r="BF52"/>
  <c r="BH52"/>
  <c r="BB53"/>
  <c r="BC53"/>
  <c r="BD53"/>
  <c r="BF53"/>
  <c r="BH53"/>
  <c r="BB54"/>
  <c r="BC54"/>
  <c r="BD54"/>
  <c r="BF54"/>
  <c r="BH54"/>
  <c r="BB55"/>
  <c r="BC55"/>
  <c r="BD55"/>
  <c r="BF55"/>
  <c r="BH55"/>
  <c r="BB56"/>
  <c r="BC56"/>
  <c r="BD56"/>
  <c r="BF56"/>
  <c r="BH56"/>
  <c r="BB57"/>
  <c r="BC57"/>
  <c r="BD57"/>
  <c r="BF57"/>
  <c r="BH57"/>
  <c r="BB58"/>
  <c r="BC58"/>
  <c r="BD58"/>
  <c r="BF58"/>
  <c r="BH58"/>
  <c r="BB59"/>
  <c r="BC59"/>
  <c r="BD59"/>
  <c r="BF59"/>
  <c r="BH59"/>
  <c r="BB60"/>
  <c r="BC60"/>
  <c r="BD60"/>
  <c r="BF60"/>
  <c r="BH60"/>
  <c r="BB61"/>
  <c r="BC61"/>
  <c r="BD61"/>
  <c r="BF61"/>
  <c r="BH61"/>
  <c r="BB62"/>
  <c r="BC62"/>
  <c r="BD62"/>
  <c r="BF62"/>
  <c r="BH62"/>
  <c r="BB63"/>
  <c r="BC63"/>
  <c r="BD63"/>
  <c r="BF63"/>
  <c r="BH63"/>
  <c r="BB64"/>
  <c r="BC64"/>
  <c r="BD64"/>
  <c r="BF64"/>
  <c r="BH64"/>
  <c r="BB65"/>
  <c r="BC65"/>
  <c r="BD65"/>
  <c r="BF65"/>
  <c r="BH65"/>
  <c r="BB66"/>
  <c r="BC66"/>
  <c r="BD66"/>
  <c r="BF66"/>
  <c r="BH66"/>
  <c r="BB67"/>
  <c r="BC67"/>
  <c r="BD67"/>
  <c r="BF67"/>
  <c r="BH67"/>
  <c r="BB68"/>
  <c r="BC68"/>
  <c r="BD68"/>
  <c r="BF68"/>
  <c r="BH68"/>
  <c r="BB69"/>
  <c r="BC69"/>
  <c r="BD69"/>
  <c r="BF69"/>
  <c r="BH69"/>
  <c r="BB70"/>
  <c r="BC70"/>
  <c r="BD70"/>
  <c r="BF70"/>
  <c r="BH70"/>
  <c r="BB71"/>
  <c r="BC71"/>
  <c r="BD71"/>
  <c r="BF71"/>
  <c r="BH71"/>
  <c r="BB72"/>
  <c r="BC72"/>
  <c r="BD72"/>
  <c r="BF72"/>
  <c r="BH72"/>
  <c r="BB73"/>
  <c r="BC73"/>
  <c r="BD73"/>
  <c r="BF73"/>
  <c r="BH73"/>
  <c r="BB74"/>
  <c r="BC74"/>
  <c r="BD74"/>
  <c r="BF74"/>
  <c r="BH74"/>
  <c r="BB75"/>
  <c r="BC75"/>
  <c r="BD75"/>
  <c r="BF75"/>
  <c r="BH75"/>
  <c r="BB76"/>
  <c r="BC76"/>
  <c r="BD76"/>
  <c r="BF76"/>
  <c r="BH76"/>
  <c r="BB77"/>
  <c r="BC77"/>
  <c r="BD77"/>
  <c r="BF77"/>
  <c r="BH77"/>
  <c r="BB78"/>
  <c r="BC78"/>
  <c r="BD78"/>
  <c r="BF78"/>
  <c r="BH78"/>
  <c r="BB79"/>
  <c r="BC79"/>
  <c r="BD79"/>
  <c r="BF79"/>
  <c r="BH79"/>
  <c r="BB80"/>
  <c r="BC80"/>
  <c r="BD80"/>
  <c r="BF80"/>
  <c r="BH80"/>
  <c r="BB81"/>
  <c r="BC81"/>
  <c r="BD81"/>
  <c r="BF81"/>
  <c r="BH81"/>
  <c r="BB82"/>
  <c r="BC82"/>
  <c r="BD82"/>
  <c r="BF82"/>
  <c r="BH82"/>
  <c r="BB83"/>
  <c r="BC83"/>
  <c r="BD83"/>
  <c r="BF83"/>
  <c r="BH83"/>
  <c r="BB84"/>
  <c r="BC84"/>
  <c r="BD84"/>
  <c r="BF84"/>
  <c r="BH84"/>
  <c r="BB85"/>
  <c r="BC85"/>
  <c r="BD85"/>
  <c r="BF85"/>
  <c r="BH85"/>
  <c r="BB86"/>
  <c r="BC86"/>
  <c r="BD86"/>
  <c r="BF86"/>
  <c r="BH86"/>
  <c r="BB87"/>
  <c r="BC87"/>
  <c r="BD87"/>
  <c r="BF87"/>
  <c r="BH87"/>
  <c r="BB88"/>
  <c r="BC88"/>
  <c r="BD88"/>
  <c r="BF88"/>
  <c r="BH88"/>
  <c r="BB89"/>
  <c r="BC89"/>
  <c r="BD89"/>
  <c r="BF89"/>
  <c r="BH89"/>
  <c r="BB90"/>
  <c r="BC90"/>
  <c r="BD90"/>
  <c r="BF90"/>
  <c r="BH90"/>
  <c r="BB91"/>
  <c r="BC91"/>
  <c r="BD91"/>
  <c r="BF91"/>
  <c r="BH91"/>
  <c r="BB92"/>
  <c r="BC92"/>
  <c r="BD92"/>
  <c r="BF92"/>
  <c r="BH92"/>
  <c r="BB93"/>
  <c r="BC93"/>
  <c r="BD93"/>
  <c r="BF93"/>
  <c r="BH93"/>
  <c r="BB94"/>
  <c r="BC94"/>
  <c r="BD94"/>
  <c r="BF94"/>
  <c r="BH94"/>
  <c r="BB95"/>
  <c r="BC95"/>
  <c r="BD95"/>
  <c r="BF95"/>
  <c r="BH95"/>
  <c r="BB96"/>
  <c r="BC96"/>
  <c r="BD96"/>
  <c r="BF96"/>
  <c r="BH96"/>
  <c r="BB97"/>
  <c r="BC97"/>
  <c r="BD97"/>
  <c r="BF97"/>
  <c r="BH97"/>
  <c r="BB98"/>
  <c r="BC98"/>
  <c r="BD98"/>
  <c r="BF98"/>
  <c r="BH98"/>
  <c r="BB99"/>
  <c r="BC99"/>
  <c r="BD99"/>
  <c r="BF99"/>
  <c r="BH99"/>
  <c r="BB100"/>
  <c r="BC100"/>
  <c r="BD100"/>
  <c r="BF100"/>
  <c r="BH100"/>
  <c r="BB101"/>
  <c r="BC101"/>
  <c r="BD101"/>
  <c r="BF101"/>
  <c r="BH101"/>
  <c r="BB102"/>
  <c r="BC102"/>
  <c r="BD102"/>
  <c r="BF102"/>
  <c r="BH102"/>
  <c r="BB103"/>
  <c r="BC103"/>
  <c r="BD103"/>
  <c r="BF103"/>
  <c r="BH103"/>
  <c r="BB104"/>
  <c r="BC104"/>
  <c r="BD104"/>
  <c r="BF104"/>
  <c r="BH104"/>
  <c r="BB105"/>
  <c r="BC105"/>
  <c r="BD105"/>
  <c r="BF105"/>
  <c r="BH105"/>
  <c r="BB106"/>
  <c r="BC106"/>
  <c r="BD106"/>
  <c r="BF106"/>
  <c r="BH106"/>
  <c r="BB107"/>
  <c r="BC107"/>
  <c r="BD107"/>
  <c r="BF107"/>
  <c r="BH107"/>
  <c r="BB108"/>
  <c r="BC108"/>
  <c r="BD108"/>
  <c r="BF108"/>
  <c r="BH108"/>
  <c r="BB109"/>
  <c r="BC109"/>
  <c r="BD109"/>
  <c r="BF109"/>
  <c r="BH109"/>
  <c r="BB110"/>
  <c r="BC110"/>
  <c r="BD110"/>
  <c r="BF110"/>
  <c r="BH110"/>
  <c r="BB111"/>
  <c r="BC111"/>
  <c r="BD111"/>
  <c r="BF111"/>
  <c r="BH111"/>
  <c r="BB112"/>
  <c r="BC112"/>
  <c r="BD112"/>
  <c r="BF112"/>
  <c r="BH112"/>
  <c r="BB113"/>
  <c r="BC113"/>
  <c r="BD113"/>
  <c r="BF113"/>
  <c r="BH113"/>
  <c r="BB114"/>
  <c r="BC114"/>
  <c r="BD114"/>
  <c r="BF114"/>
  <c r="BH114"/>
  <c r="BB115"/>
  <c r="BC115"/>
  <c r="BD115"/>
  <c r="BF115"/>
  <c r="BH115"/>
  <c r="BB116"/>
  <c r="BC116"/>
  <c r="BD116"/>
  <c r="BF116"/>
  <c r="BH116"/>
  <c r="BB117"/>
  <c r="BC117"/>
  <c r="BD117"/>
  <c r="BF117"/>
  <c r="BH117"/>
  <c r="BB118"/>
  <c r="BC118"/>
  <c r="BD118"/>
  <c r="BF118"/>
  <c r="BH118"/>
  <c r="BB119"/>
  <c r="BC119"/>
  <c r="BD119"/>
  <c r="BF119"/>
  <c r="BH119"/>
  <c r="BB120"/>
  <c r="BC120"/>
  <c r="BD120"/>
  <c r="BF120"/>
  <c r="BH120"/>
  <c r="BB121"/>
  <c r="BC121"/>
  <c r="BD121"/>
  <c r="BF121"/>
  <c r="BH121"/>
  <c r="BB122"/>
  <c r="BC122"/>
  <c r="BD122"/>
  <c r="BF122"/>
  <c r="BH122"/>
  <c r="BB123"/>
  <c r="BC123"/>
  <c r="BD123"/>
  <c r="BF123"/>
  <c r="BH123"/>
  <c r="BB124"/>
  <c r="BC124"/>
  <c r="BD124"/>
  <c r="BF124"/>
  <c r="BH124"/>
  <c r="BB125"/>
  <c r="BC125"/>
  <c r="BD125"/>
  <c r="BF125"/>
  <c r="BH125"/>
  <c r="BB126"/>
  <c r="BC126"/>
  <c r="BD126"/>
  <c r="BF126"/>
  <c r="BH126"/>
  <c r="BB127"/>
  <c r="BC127"/>
  <c r="BD127"/>
  <c r="BF127"/>
  <c r="BH127"/>
  <c r="BB128"/>
  <c r="BC128"/>
  <c r="BD128"/>
  <c r="BF128"/>
  <c r="BH128"/>
  <c r="BB129"/>
  <c r="BC129"/>
  <c r="BD129"/>
  <c r="BF129"/>
  <c r="BH129"/>
  <c r="BB130"/>
  <c r="BC130"/>
  <c r="BD130"/>
  <c r="BF130"/>
  <c r="BH130"/>
  <c r="BB131"/>
  <c r="BC131"/>
  <c r="BD131"/>
  <c r="BF131"/>
  <c r="BH131"/>
  <c r="BB132"/>
  <c r="BC132"/>
  <c r="BD132"/>
  <c r="BF132"/>
  <c r="BH132"/>
  <c r="BB133"/>
  <c r="BC133"/>
  <c r="BD133"/>
  <c r="BF133"/>
  <c r="BH133"/>
  <c r="BB134"/>
  <c r="BC134"/>
  <c r="BD134"/>
  <c r="BF134"/>
  <c r="BH134"/>
  <c r="BB135"/>
  <c r="BC135"/>
  <c r="BD135"/>
  <c r="BF135"/>
  <c r="BH135"/>
  <c r="BB136"/>
  <c r="BC136"/>
  <c r="BD136"/>
  <c r="BF136"/>
  <c r="BH136"/>
  <c r="BB137"/>
  <c r="BC137"/>
  <c r="BD137"/>
  <c r="BF137"/>
  <c r="BH137"/>
  <c r="BB138"/>
  <c r="BC138"/>
  <c r="BD138"/>
  <c r="BF138"/>
  <c r="BH138"/>
  <c r="BB139"/>
  <c r="BC139"/>
  <c r="BD139"/>
  <c r="BF139"/>
  <c r="BH139"/>
  <c r="BB140"/>
  <c r="BC140"/>
  <c r="BD140"/>
  <c r="BF140"/>
  <c r="BH140"/>
  <c r="BB141"/>
  <c r="BC141"/>
  <c r="BD141"/>
  <c r="BF141"/>
  <c r="BH141"/>
  <c r="BB142"/>
  <c r="BC142"/>
  <c r="BD142"/>
  <c r="BF142"/>
  <c r="BH142"/>
  <c r="BB143"/>
  <c r="BC143"/>
  <c r="BD143"/>
  <c r="BF143"/>
  <c r="BH143"/>
  <c r="BB144"/>
  <c r="BC144"/>
  <c r="BD144"/>
  <c r="BF144"/>
  <c r="BH144"/>
  <c r="BB145"/>
  <c r="BC145"/>
  <c r="BD145"/>
  <c r="BF145"/>
  <c r="BH145"/>
  <c r="BB146"/>
  <c r="BC146"/>
  <c r="BD146"/>
  <c r="BF146"/>
  <c r="BH146"/>
  <c r="BB147"/>
  <c r="BC147"/>
  <c r="BD147"/>
  <c r="BF147"/>
  <c r="BH147"/>
  <c r="BB148"/>
  <c r="BC148"/>
  <c r="BD148"/>
  <c r="BF148"/>
  <c r="BH148"/>
  <c r="BB149"/>
  <c r="BC149"/>
  <c r="BD149"/>
  <c r="BF149"/>
  <c r="BH149"/>
  <c r="BB150"/>
  <c r="BC150"/>
  <c r="BD150"/>
  <c r="BF150"/>
  <c r="BH150"/>
  <c r="BB151"/>
  <c r="BC151"/>
  <c r="BD151"/>
  <c r="BF151"/>
  <c r="BH151"/>
  <c r="BB152"/>
  <c r="BC152"/>
  <c r="BD152"/>
  <c r="BF152"/>
  <c r="BH152"/>
  <c r="BB153"/>
  <c r="BC153"/>
  <c r="BD153"/>
  <c r="BF153"/>
  <c r="BH153"/>
  <c r="BB154"/>
  <c r="BC154"/>
  <c r="BD154"/>
  <c r="BF154"/>
  <c r="BH154"/>
  <c r="BB155"/>
  <c r="BC155"/>
  <c r="BD155"/>
  <c r="BF155"/>
  <c r="BH155"/>
  <c r="BB156"/>
  <c r="BC156"/>
  <c r="BD156"/>
  <c r="BF156"/>
  <c r="BH156"/>
  <c r="BB157"/>
  <c r="BC157"/>
  <c r="BD157"/>
  <c r="BF157"/>
  <c r="BH157"/>
  <c r="BB158"/>
  <c r="BC158"/>
  <c r="BD158"/>
  <c r="BF158"/>
  <c r="BH158"/>
  <c r="BB159"/>
  <c r="BC159"/>
  <c r="BD159"/>
  <c r="BF159"/>
  <c r="BH159"/>
  <c r="BB160"/>
  <c r="BC160"/>
  <c r="BD160"/>
  <c r="BF160"/>
  <c r="BH160"/>
  <c r="BB161"/>
  <c r="BC161"/>
  <c r="BD161"/>
  <c r="BF161"/>
  <c r="BH161"/>
  <c r="BB162"/>
  <c r="BC162"/>
  <c r="BD162"/>
  <c r="BF162"/>
  <c r="BH162"/>
  <c r="BB163"/>
  <c r="BC163"/>
  <c r="BD163"/>
  <c r="BF163"/>
  <c r="BH163"/>
  <c r="BB164"/>
  <c r="BC164"/>
  <c r="BD164"/>
  <c r="BF164"/>
  <c r="BH164"/>
  <c r="BB165"/>
  <c r="BC165"/>
  <c r="BD165"/>
  <c r="BF165"/>
  <c r="BH165"/>
  <c r="BB166"/>
  <c r="BC166"/>
  <c r="BD166"/>
  <c r="BF166"/>
  <c r="BH166"/>
  <c r="BB167"/>
  <c r="BC167"/>
  <c r="BD167"/>
  <c r="BF167"/>
  <c r="BH167"/>
  <c r="BB168"/>
  <c r="BC168"/>
  <c r="BD168"/>
  <c r="BF168"/>
  <c r="BH168"/>
  <c r="BB169"/>
  <c r="BC169"/>
  <c r="BD169"/>
  <c r="BF169"/>
  <c r="BH169"/>
  <c r="BB170"/>
  <c r="BC170"/>
  <c r="BD170"/>
  <c r="BF170"/>
  <c r="BH170"/>
  <c r="BB171"/>
  <c r="BC171"/>
  <c r="BD171"/>
  <c r="BF171"/>
  <c r="BH171"/>
  <c r="BB172"/>
  <c r="BC172"/>
  <c r="BD172"/>
  <c r="BF172"/>
  <c r="BH172"/>
  <c r="BB173"/>
  <c r="BC173"/>
  <c r="BD173"/>
  <c r="BF173"/>
  <c r="BH173"/>
  <c r="BB174"/>
  <c r="BC174"/>
  <c r="BD174"/>
  <c r="BF174"/>
  <c r="BH174"/>
  <c r="BB175"/>
  <c r="BC175"/>
  <c r="BD175"/>
  <c r="BF175"/>
  <c r="BH175"/>
  <c r="BB176"/>
  <c r="BC176"/>
  <c r="BD176"/>
  <c r="BF176"/>
  <c r="BH176"/>
  <c r="BB177"/>
  <c r="BC177"/>
  <c r="BD177"/>
  <c r="BF177"/>
  <c r="BH177"/>
  <c r="BB178"/>
  <c r="BC178"/>
  <c r="BD178"/>
  <c r="BF178"/>
  <c r="BH178"/>
  <c r="BB179"/>
  <c r="BC179"/>
  <c r="BD179"/>
  <c r="BF179"/>
  <c r="BH179"/>
  <c r="BB180"/>
  <c r="BC180"/>
  <c r="BD180"/>
  <c r="BF180"/>
  <c r="BH180"/>
  <c r="BB181"/>
  <c r="BC181"/>
  <c r="BD181"/>
  <c r="BF181"/>
  <c r="BH181"/>
  <c r="BB182"/>
  <c r="BC182"/>
  <c r="BD182"/>
  <c r="BF182"/>
  <c r="BH182"/>
  <c r="BB183"/>
  <c r="BC183"/>
  <c r="BD183"/>
  <c r="BF183"/>
  <c r="BH183"/>
  <c r="BB184"/>
  <c r="BC184"/>
  <c r="BD184"/>
  <c r="BF184"/>
  <c r="BH184"/>
  <c r="BB185"/>
  <c r="BC185"/>
  <c r="BD185"/>
  <c r="BF185"/>
  <c r="BH185"/>
  <c r="BB186"/>
  <c r="BC186"/>
  <c r="BD186"/>
  <c r="BF186"/>
  <c r="BH186"/>
  <c r="BB187"/>
  <c r="BC187"/>
  <c r="BD187"/>
  <c r="BF187"/>
  <c r="BH187"/>
  <c r="BB188"/>
  <c r="BC188"/>
  <c r="BD188"/>
  <c r="BF188"/>
  <c r="BH188"/>
  <c r="BB189"/>
  <c r="BC189"/>
  <c r="BD189"/>
  <c r="BF189"/>
  <c r="BH189"/>
  <c r="BB190"/>
  <c r="BC190"/>
  <c r="BD190"/>
  <c r="BF190"/>
  <c r="BH190"/>
  <c r="BB191"/>
  <c r="BC191"/>
  <c r="BD191"/>
  <c r="BF191"/>
  <c r="BH191"/>
  <c r="BB192"/>
  <c r="BC192"/>
  <c r="BD192"/>
  <c r="BF192"/>
  <c r="BH192"/>
  <c r="BB193"/>
  <c r="BC193"/>
  <c r="BD193"/>
  <c r="BF193"/>
  <c r="BH193"/>
  <c r="BB194"/>
  <c r="BC194"/>
  <c r="BD194"/>
  <c r="BF194"/>
  <c r="BH194"/>
  <c r="BB195"/>
  <c r="BC195"/>
  <c r="BD195"/>
  <c r="BF195"/>
  <c r="BH195"/>
  <c r="BB196"/>
  <c r="BC196"/>
  <c r="BD196"/>
  <c r="BF196"/>
  <c r="BH196"/>
  <c r="BB197"/>
  <c r="BC197"/>
  <c r="BD197"/>
  <c r="BF197"/>
  <c r="BH197"/>
  <c r="BB198"/>
  <c r="BC198"/>
  <c r="BD198"/>
  <c r="BF198"/>
  <c r="BH198"/>
  <c r="BB199"/>
  <c r="BC199"/>
  <c r="BD199"/>
  <c r="BF199"/>
  <c r="BH199"/>
  <c r="BB200"/>
  <c r="BC200"/>
  <c r="BD200"/>
  <c r="BF200"/>
  <c r="BH200"/>
  <c r="BB201"/>
  <c r="BC201"/>
  <c r="BD201"/>
  <c r="BF201"/>
  <c r="BH201"/>
  <c r="BB202"/>
  <c r="BC202"/>
  <c r="BD202"/>
  <c r="BF202"/>
  <c r="BH202"/>
  <c r="BB203"/>
  <c r="BC203"/>
  <c r="BD203"/>
  <c r="BF203"/>
  <c r="BH203"/>
  <c r="BB204"/>
  <c r="BC204"/>
  <c r="BD204"/>
  <c r="BF204"/>
  <c r="BH204"/>
  <c r="BB205"/>
  <c r="BC205"/>
  <c r="BD205"/>
  <c r="BF205"/>
  <c r="BH205"/>
  <c r="BB206"/>
  <c r="BC206"/>
  <c r="BD206"/>
  <c r="BF206"/>
  <c r="BH206"/>
  <c r="BC6"/>
  <c r="BD6"/>
  <c r="BD5"/>
  <c r="BC5"/>
  <c r="BB5"/>
  <c r="BI4"/>
  <c r="BH4"/>
  <c r="BG4"/>
  <c r="BF4"/>
  <c r="BB4"/>
  <c r="AN7"/>
  <c r="AO7"/>
  <c r="AP7"/>
  <c r="AR7"/>
  <c r="AT7"/>
  <c r="AN8"/>
  <c r="AO8"/>
  <c r="AP8"/>
  <c r="AR8"/>
  <c r="AT8"/>
  <c r="AN9"/>
  <c r="AO9"/>
  <c r="AP9"/>
  <c r="AR9"/>
  <c r="AT9"/>
  <c r="AN10"/>
  <c r="AO10"/>
  <c r="AP10"/>
  <c r="AR10"/>
  <c r="AT10"/>
  <c r="AN11"/>
  <c r="AO11"/>
  <c r="AP11"/>
  <c r="AR11"/>
  <c r="AT11"/>
  <c r="AN12"/>
  <c r="AO12"/>
  <c r="AP12"/>
  <c r="AR12"/>
  <c r="AT12"/>
  <c r="AN13"/>
  <c r="AO13"/>
  <c r="AP13"/>
  <c r="AR13"/>
  <c r="AT13"/>
  <c r="AN14"/>
  <c r="AO14"/>
  <c r="AP14"/>
  <c r="AR14"/>
  <c r="AT14"/>
  <c r="AN15"/>
  <c r="AO15"/>
  <c r="AP15"/>
  <c r="AR15"/>
  <c r="AT15"/>
  <c r="AN16"/>
  <c r="AO16"/>
  <c r="AP16"/>
  <c r="AR16"/>
  <c r="AT16"/>
  <c r="AN17"/>
  <c r="AO17"/>
  <c r="AP17"/>
  <c r="AR17"/>
  <c r="AT17"/>
  <c r="AN18"/>
  <c r="AO18"/>
  <c r="AP18"/>
  <c r="AR18"/>
  <c r="AT18"/>
  <c r="AN19"/>
  <c r="AO19"/>
  <c r="AP19"/>
  <c r="AR19"/>
  <c r="AT19"/>
  <c r="AN20"/>
  <c r="AO20"/>
  <c r="AP20"/>
  <c r="AR20"/>
  <c r="AT20"/>
  <c r="AN21"/>
  <c r="AO21"/>
  <c r="AP21"/>
  <c r="AR21"/>
  <c r="AT21"/>
  <c r="AN22"/>
  <c r="AO22"/>
  <c r="AP22"/>
  <c r="AR22"/>
  <c r="AT22"/>
  <c r="AN23"/>
  <c r="AO23"/>
  <c r="AP23"/>
  <c r="AR23"/>
  <c r="AT23"/>
  <c r="AN24"/>
  <c r="AO24"/>
  <c r="AP24"/>
  <c r="AR24"/>
  <c r="AT24"/>
  <c r="AN25"/>
  <c r="AO25"/>
  <c r="AP25"/>
  <c r="AR25"/>
  <c r="AT25"/>
  <c r="AN26"/>
  <c r="AO26"/>
  <c r="AP26"/>
  <c r="AR26"/>
  <c r="AT26"/>
  <c r="AN27"/>
  <c r="AO27"/>
  <c r="AP27"/>
  <c r="AR27"/>
  <c r="AT27"/>
  <c r="AN28"/>
  <c r="AO28"/>
  <c r="AP28"/>
  <c r="AR28"/>
  <c r="AT28"/>
  <c r="AN29"/>
  <c r="AO29"/>
  <c r="AP29"/>
  <c r="AR29"/>
  <c r="AT29"/>
  <c r="AN30"/>
  <c r="AO30"/>
  <c r="AP30"/>
  <c r="AR30"/>
  <c r="AT30"/>
  <c r="AN31"/>
  <c r="AO31"/>
  <c r="AP31"/>
  <c r="AR31"/>
  <c r="AT31"/>
  <c r="AN32"/>
  <c r="AO32"/>
  <c r="AP32"/>
  <c r="AR32"/>
  <c r="AT32"/>
  <c r="AN33"/>
  <c r="AO33"/>
  <c r="AP33"/>
  <c r="AR33"/>
  <c r="AT33"/>
  <c r="AN34"/>
  <c r="AO34"/>
  <c r="AP34"/>
  <c r="AR34"/>
  <c r="AT34"/>
  <c r="AN35"/>
  <c r="AO35"/>
  <c r="AP35"/>
  <c r="AR35"/>
  <c r="AT35"/>
  <c r="AN36"/>
  <c r="AO36"/>
  <c r="AP36"/>
  <c r="AR36"/>
  <c r="AT36"/>
  <c r="AN37"/>
  <c r="AO37"/>
  <c r="AP37"/>
  <c r="AR37"/>
  <c r="AT37"/>
  <c r="AN38"/>
  <c r="AO38"/>
  <c r="AP38"/>
  <c r="AR38"/>
  <c r="AT38"/>
  <c r="AN39"/>
  <c r="AO39"/>
  <c r="AP39"/>
  <c r="AR39"/>
  <c r="AT39"/>
  <c r="AN40"/>
  <c r="AO40"/>
  <c r="AP40"/>
  <c r="AR40"/>
  <c r="AT40"/>
  <c r="AN41"/>
  <c r="AO41"/>
  <c r="AP41"/>
  <c r="AR41"/>
  <c r="AT41"/>
  <c r="AN42"/>
  <c r="AO42"/>
  <c r="AP42"/>
  <c r="AR42"/>
  <c r="AT42"/>
  <c r="AN43"/>
  <c r="AO43"/>
  <c r="AP43"/>
  <c r="AR43"/>
  <c r="AT43"/>
  <c r="AN44"/>
  <c r="AO44"/>
  <c r="AP44"/>
  <c r="AR44"/>
  <c r="AT44"/>
  <c r="AN45"/>
  <c r="AO45"/>
  <c r="AP45"/>
  <c r="AR45"/>
  <c r="AT45"/>
  <c r="AN46"/>
  <c r="AO46"/>
  <c r="AP46"/>
  <c r="AR46"/>
  <c r="AT46"/>
  <c r="AN47"/>
  <c r="AO47"/>
  <c r="AP47"/>
  <c r="AR47"/>
  <c r="AT47"/>
  <c r="AN48"/>
  <c r="AO48"/>
  <c r="AP48"/>
  <c r="AR48"/>
  <c r="AT48"/>
  <c r="AN49"/>
  <c r="AO49"/>
  <c r="AP49"/>
  <c r="AR49"/>
  <c r="AT49"/>
  <c r="AN50"/>
  <c r="AO50"/>
  <c r="AP50"/>
  <c r="AR50"/>
  <c r="AT50"/>
  <c r="AN51"/>
  <c r="AO51"/>
  <c r="AP51"/>
  <c r="AR51"/>
  <c r="AT51"/>
  <c r="AN52"/>
  <c r="AO52"/>
  <c r="AP52"/>
  <c r="AR52"/>
  <c r="AT52"/>
  <c r="AN53"/>
  <c r="AO53"/>
  <c r="AP53"/>
  <c r="AR53"/>
  <c r="AT53"/>
  <c r="AN54"/>
  <c r="AO54"/>
  <c r="AP54"/>
  <c r="AR54"/>
  <c r="AT54"/>
  <c r="AN55"/>
  <c r="AO55"/>
  <c r="AP55"/>
  <c r="AR55"/>
  <c r="AT55"/>
  <c r="AN56"/>
  <c r="AO56"/>
  <c r="AP56"/>
  <c r="AR56"/>
  <c r="AT56"/>
  <c r="AN57"/>
  <c r="AO57"/>
  <c r="AP57"/>
  <c r="AR57"/>
  <c r="AT57"/>
  <c r="AN58"/>
  <c r="AO58"/>
  <c r="AP58"/>
  <c r="AR58"/>
  <c r="AT58"/>
  <c r="AN59"/>
  <c r="AO59"/>
  <c r="AP59"/>
  <c r="AR59"/>
  <c r="AT59"/>
  <c r="AN60"/>
  <c r="AO60"/>
  <c r="AP60"/>
  <c r="AR60"/>
  <c r="AT60"/>
  <c r="AN61"/>
  <c r="AO61"/>
  <c r="AP61"/>
  <c r="AR61"/>
  <c r="AT61"/>
  <c r="AN62"/>
  <c r="AO62"/>
  <c r="AP62"/>
  <c r="AR62"/>
  <c r="AT62"/>
  <c r="AN63"/>
  <c r="AO63"/>
  <c r="AP63"/>
  <c r="AR63"/>
  <c r="AT63"/>
  <c r="AN64"/>
  <c r="AO64"/>
  <c r="AP64"/>
  <c r="AR64"/>
  <c r="AT64"/>
  <c r="AN65"/>
  <c r="AO65"/>
  <c r="AP65"/>
  <c r="AR65"/>
  <c r="AT65"/>
  <c r="AN66"/>
  <c r="AO66"/>
  <c r="AP66"/>
  <c r="AR66"/>
  <c r="AT66"/>
  <c r="AN67"/>
  <c r="AO67"/>
  <c r="AP67"/>
  <c r="AR67"/>
  <c r="AT67"/>
  <c r="AN68"/>
  <c r="AO68"/>
  <c r="AP68"/>
  <c r="AR68"/>
  <c r="AT68"/>
  <c r="AN69"/>
  <c r="AO69"/>
  <c r="AP69"/>
  <c r="AR69"/>
  <c r="AT69"/>
  <c r="AN70"/>
  <c r="AO70"/>
  <c r="AP70"/>
  <c r="AR70"/>
  <c r="AT70"/>
  <c r="AN71"/>
  <c r="AO71"/>
  <c r="AP71"/>
  <c r="AR71"/>
  <c r="AT71"/>
  <c r="AN72"/>
  <c r="AO72"/>
  <c r="AP72"/>
  <c r="AR72"/>
  <c r="AT72"/>
  <c r="AN73"/>
  <c r="AO73"/>
  <c r="AP73"/>
  <c r="AR73"/>
  <c r="AT73"/>
  <c r="AN74"/>
  <c r="AO74"/>
  <c r="AP74"/>
  <c r="AR74"/>
  <c r="AT74"/>
  <c r="AN75"/>
  <c r="AO75"/>
  <c r="AP75"/>
  <c r="AR75"/>
  <c r="AT75"/>
  <c r="AN76"/>
  <c r="AO76"/>
  <c r="AP76"/>
  <c r="AR76"/>
  <c r="AT76"/>
  <c r="AN77"/>
  <c r="AO77"/>
  <c r="AP77"/>
  <c r="AR77"/>
  <c r="AT77"/>
  <c r="AN78"/>
  <c r="AO78"/>
  <c r="AP78"/>
  <c r="AR78"/>
  <c r="AT78"/>
  <c r="AN79"/>
  <c r="AO79"/>
  <c r="AP79"/>
  <c r="AR79"/>
  <c r="AT79"/>
  <c r="AN80"/>
  <c r="AO80"/>
  <c r="AP80"/>
  <c r="AR80"/>
  <c r="AT80"/>
  <c r="AN81"/>
  <c r="AO81"/>
  <c r="AP81"/>
  <c r="AR81"/>
  <c r="AT81"/>
  <c r="AN82"/>
  <c r="AO82"/>
  <c r="AP82"/>
  <c r="AR82"/>
  <c r="AT82"/>
  <c r="AN83"/>
  <c r="AO83"/>
  <c r="AP83"/>
  <c r="AR83"/>
  <c r="AT83"/>
  <c r="AN84"/>
  <c r="AO84"/>
  <c r="AP84"/>
  <c r="AR84"/>
  <c r="AT84"/>
  <c r="AN85"/>
  <c r="AO85"/>
  <c r="AP85"/>
  <c r="AR85"/>
  <c r="AT85"/>
  <c r="AN86"/>
  <c r="AO86"/>
  <c r="AP86"/>
  <c r="AR86"/>
  <c r="AT86"/>
  <c r="AN87"/>
  <c r="AO87"/>
  <c r="AP87"/>
  <c r="AR87"/>
  <c r="AT87"/>
  <c r="AN88"/>
  <c r="AO88"/>
  <c r="AP88"/>
  <c r="AR88"/>
  <c r="AT88"/>
  <c r="AN89"/>
  <c r="AO89"/>
  <c r="AP89"/>
  <c r="AR89"/>
  <c r="AT89"/>
  <c r="AN90"/>
  <c r="AO90"/>
  <c r="AP90"/>
  <c r="AR90"/>
  <c r="AT90"/>
  <c r="AN91"/>
  <c r="AO91"/>
  <c r="AP91"/>
  <c r="AR91"/>
  <c r="AT91"/>
  <c r="AN92"/>
  <c r="AO92"/>
  <c r="AP92"/>
  <c r="AR92"/>
  <c r="AT92"/>
  <c r="AN93"/>
  <c r="AO93"/>
  <c r="AP93"/>
  <c r="AR93"/>
  <c r="AT93"/>
  <c r="AN94"/>
  <c r="AO94"/>
  <c r="AP94"/>
  <c r="AR94"/>
  <c r="AT94"/>
  <c r="AN95"/>
  <c r="AO95"/>
  <c r="AP95"/>
  <c r="AR95"/>
  <c r="AT95"/>
  <c r="AN96"/>
  <c r="AO96"/>
  <c r="AP96"/>
  <c r="AR96"/>
  <c r="AT96"/>
  <c r="AN97"/>
  <c r="AO97"/>
  <c r="AP97"/>
  <c r="AR97"/>
  <c r="AT97"/>
  <c r="AN98"/>
  <c r="AO98"/>
  <c r="AP98"/>
  <c r="AR98"/>
  <c r="AT98"/>
  <c r="AN99"/>
  <c r="AO99"/>
  <c r="AP99"/>
  <c r="AR99"/>
  <c r="AT99"/>
  <c r="AN100"/>
  <c r="AO100"/>
  <c r="AP100"/>
  <c r="AR100"/>
  <c r="AT100"/>
  <c r="AN101"/>
  <c r="AO101"/>
  <c r="AP101"/>
  <c r="AR101"/>
  <c r="AT101"/>
  <c r="AN102"/>
  <c r="AO102"/>
  <c r="AP102"/>
  <c r="AR102"/>
  <c r="AT102"/>
  <c r="AN103"/>
  <c r="AO103"/>
  <c r="AP103"/>
  <c r="AR103"/>
  <c r="AT103"/>
  <c r="AN104"/>
  <c r="AO104"/>
  <c r="AP104"/>
  <c r="AR104"/>
  <c r="AT104"/>
  <c r="AN105"/>
  <c r="AO105"/>
  <c r="AP105"/>
  <c r="AR105"/>
  <c r="AT105"/>
  <c r="AN106"/>
  <c r="AO106"/>
  <c r="AP106"/>
  <c r="AR106"/>
  <c r="AT106"/>
  <c r="AN107"/>
  <c r="AO107"/>
  <c r="AP107"/>
  <c r="AR107"/>
  <c r="AT107"/>
  <c r="AN108"/>
  <c r="AO108"/>
  <c r="AP108"/>
  <c r="AR108"/>
  <c r="AT108"/>
  <c r="AN109"/>
  <c r="AO109"/>
  <c r="AP109"/>
  <c r="AR109"/>
  <c r="AT109"/>
  <c r="AN110"/>
  <c r="AO110"/>
  <c r="AP110"/>
  <c r="AR110"/>
  <c r="AT110"/>
  <c r="AN111"/>
  <c r="AO111"/>
  <c r="AP111"/>
  <c r="AR111"/>
  <c r="AT111"/>
  <c r="AN112"/>
  <c r="AO112"/>
  <c r="AP112"/>
  <c r="AR112"/>
  <c r="AT112"/>
  <c r="AN113"/>
  <c r="AO113"/>
  <c r="AP113"/>
  <c r="AR113"/>
  <c r="AT113"/>
  <c r="AN114"/>
  <c r="AO114"/>
  <c r="AP114"/>
  <c r="AR114"/>
  <c r="AT114"/>
  <c r="AN115"/>
  <c r="AO115"/>
  <c r="AP115"/>
  <c r="AR115"/>
  <c r="AT115"/>
  <c r="AN116"/>
  <c r="AO116"/>
  <c r="AP116"/>
  <c r="AR116"/>
  <c r="AT116"/>
  <c r="AN117"/>
  <c r="AO117"/>
  <c r="AP117"/>
  <c r="AR117"/>
  <c r="AT117"/>
  <c r="AN118"/>
  <c r="AO118"/>
  <c r="AP118"/>
  <c r="AR118"/>
  <c r="AT118"/>
  <c r="AN119"/>
  <c r="AO119"/>
  <c r="AP119"/>
  <c r="AR119"/>
  <c r="AT119"/>
  <c r="AN120"/>
  <c r="AO120"/>
  <c r="AP120"/>
  <c r="AR120"/>
  <c r="AT120"/>
  <c r="AN121"/>
  <c r="AO121"/>
  <c r="AP121"/>
  <c r="AR121"/>
  <c r="AT121"/>
  <c r="AN122"/>
  <c r="AO122"/>
  <c r="AP122"/>
  <c r="AR122"/>
  <c r="AT122"/>
  <c r="AN123"/>
  <c r="AO123"/>
  <c r="AP123"/>
  <c r="AR123"/>
  <c r="AT123"/>
  <c r="AN124"/>
  <c r="AO124"/>
  <c r="AP124"/>
  <c r="AR124"/>
  <c r="AT124"/>
  <c r="AN125"/>
  <c r="AO125"/>
  <c r="AP125"/>
  <c r="AR125"/>
  <c r="AT125"/>
  <c r="AN126"/>
  <c r="AO126"/>
  <c r="AP126"/>
  <c r="AR126"/>
  <c r="AT126"/>
  <c r="AN127"/>
  <c r="AO127"/>
  <c r="AP127"/>
  <c r="AR127"/>
  <c r="AT127"/>
  <c r="AN128"/>
  <c r="AO128"/>
  <c r="AP128"/>
  <c r="AR128"/>
  <c r="AT128"/>
  <c r="AN129"/>
  <c r="AO129"/>
  <c r="AP129"/>
  <c r="AR129"/>
  <c r="AT129"/>
  <c r="AN130"/>
  <c r="AO130"/>
  <c r="AP130"/>
  <c r="AR130"/>
  <c r="AT130"/>
  <c r="AN131"/>
  <c r="AO131"/>
  <c r="AP131"/>
  <c r="AR131"/>
  <c r="AT131"/>
  <c r="AN132"/>
  <c r="AO132"/>
  <c r="AP132"/>
  <c r="AR132"/>
  <c r="AT132"/>
  <c r="AN133"/>
  <c r="AO133"/>
  <c r="AP133"/>
  <c r="AR133"/>
  <c r="AT133"/>
  <c r="AN134"/>
  <c r="AO134"/>
  <c r="AP134"/>
  <c r="AR134"/>
  <c r="AT134"/>
  <c r="AN135"/>
  <c r="AO135"/>
  <c r="AP135"/>
  <c r="AR135"/>
  <c r="AT135"/>
  <c r="AN136"/>
  <c r="AO136"/>
  <c r="AP136"/>
  <c r="AR136"/>
  <c r="AT136"/>
  <c r="AN137"/>
  <c r="AO137"/>
  <c r="AP137"/>
  <c r="AR137"/>
  <c r="AT137"/>
  <c r="AN138"/>
  <c r="AO138"/>
  <c r="AP138"/>
  <c r="AR138"/>
  <c r="AT138"/>
  <c r="AN139"/>
  <c r="AO139"/>
  <c r="AP139"/>
  <c r="AR139"/>
  <c r="AT139"/>
  <c r="AN140"/>
  <c r="AO140"/>
  <c r="AP140"/>
  <c r="AR140"/>
  <c r="AT140"/>
  <c r="AN141"/>
  <c r="AO141"/>
  <c r="AP141"/>
  <c r="AR141"/>
  <c r="AT141"/>
  <c r="AN142"/>
  <c r="AO142"/>
  <c r="AP142"/>
  <c r="AR142"/>
  <c r="AT142"/>
  <c r="AN143"/>
  <c r="AO143"/>
  <c r="AP143"/>
  <c r="AR143"/>
  <c r="AT143"/>
  <c r="AN144"/>
  <c r="AO144"/>
  <c r="AP144"/>
  <c r="AR144"/>
  <c r="AT144"/>
  <c r="AN145"/>
  <c r="AO145"/>
  <c r="AP145"/>
  <c r="AR145"/>
  <c r="AT145"/>
  <c r="AN146"/>
  <c r="AO146"/>
  <c r="AP146"/>
  <c r="AR146"/>
  <c r="AT146"/>
  <c r="AN147"/>
  <c r="AO147"/>
  <c r="AP147"/>
  <c r="AR147"/>
  <c r="AT147"/>
  <c r="AN148"/>
  <c r="AO148"/>
  <c r="AP148"/>
  <c r="AR148"/>
  <c r="AT148"/>
  <c r="AN149"/>
  <c r="AO149"/>
  <c r="AP149"/>
  <c r="AR149"/>
  <c r="AT149"/>
  <c r="AN150"/>
  <c r="AO150"/>
  <c r="AP150"/>
  <c r="AR150"/>
  <c r="AT150"/>
  <c r="AN151"/>
  <c r="AO151"/>
  <c r="AP151"/>
  <c r="AR151"/>
  <c r="AT151"/>
  <c r="AN152"/>
  <c r="AO152"/>
  <c r="AP152"/>
  <c r="AR152"/>
  <c r="AT152"/>
  <c r="AN153"/>
  <c r="AO153"/>
  <c r="AP153"/>
  <c r="AR153"/>
  <c r="AT153"/>
  <c r="AN154"/>
  <c r="AO154"/>
  <c r="AP154"/>
  <c r="AR154"/>
  <c r="AT154"/>
  <c r="AN155"/>
  <c r="AO155"/>
  <c r="AP155"/>
  <c r="AR155"/>
  <c r="AT155"/>
  <c r="AN156"/>
  <c r="AO156"/>
  <c r="AP156"/>
  <c r="AR156"/>
  <c r="AT156"/>
  <c r="AN157"/>
  <c r="AO157"/>
  <c r="AP157"/>
  <c r="AR157"/>
  <c r="AT157"/>
  <c r="AN158"/>
  <c r="AO158"/>
  <c r="AP158"/>
  <c r="AR158"/>
  <c r="AT158"/>
  <c r="AN159"/>
  <c r="AO159"/>
  <c r="AP159"/>
  <c r="AR159"/>
  <c r="AT159"/>
  <c r="AN160"/>
  <c r="AO160"/>
  <c r="AP160"/>
  <c r="AR160"/>
  <c r="AT160"/>
  <c r="AN161"/>
  <c r="AO161"/>
  <c r="AP161"/>
  <c r="AR161"/>
  <c r="AT161"/>
  <c r="AN162"/>
  <c r="AO162"/>
  <c r="AP162"/>
  <c r="AR162"/>
  <c r="AT162"/>
  <c r="AN163"/>
  <c r="AO163"/>
  <c r="AP163"/>
  <c r="AR163"/>
  <c r="AT163"/>
  <c r="AN164"/>
  <c r="AO164"/>
  <c r="AP164"/>
  <c r="AR164"/>
  <c r="AT164"/>
  <c r="AN165"/>
  <c r="AO165"/>
  <c r="AP165"/>
  <c r="AR165"/>
  <c r="AT165"/>
  <c r="AN166"/>
  <c r="AO166"/>
  <c r="AP166"/>
  <c r="AR166"/>
  <c r="AT166"/>
  <c r="AN167"/>
  <c r="AO167"/>
  <c r="AP167"/>
  <c r="AR167"/>
  <c r="AT167"/>
  <c r="AN168"/>
  <c r="AO168"/>
  <c r="AP168"/>
  <c r="AR168"/>
  <c r="AT168"/>
  <c r="AN169"/>
  <c r="AO169"/>
  <c r="AP169"/>
  <c r="AR169"/>
  <c r="AT169"/>
  <c r="AN170"/>
  <c r="AO170"/>
  <c r="AP170"/>
  <c r="AR170"/>
  <c r="AT170"/>
  <c r="AN171"/>
  <c r="AO171"/>
  <c r="AP171"/>
  <c r="AR171"/>
  <c r="AT171"/>
  <c r="AN172"/>
  <c r="AO172"/>
  <c r="AP172"/>
  <c r="AR172"/>
  <c r="AT172"/>
  <c r="AN173"/>
  <c r="AO173"/>
  <c r="AP173"/>
  <c r="AR173"/>
  <c r="AT173"/>
  <c r="AN174"/>
  <c r="AO174"/>
  <c r="AP174"/>
  <c r="AR174"/>
  <c r="AT174"/>
  <c r="AN175"/>
  <c r="AO175"/>
  <c r="AP175"/>
  <c r="AR175"/>
  <c r="AT175"/>
  <c r="AN176"/>
  <c r="AO176"/>
  <c r="AP176"/>
  <c r="AR176"/>
  <c r="AT176"/>
  <c r="AN177"/>
  <c r="AO177"/>
  <c r="AP177"/>
  <c r="AR177"/>
  <c r="AT177"/>
  <c r="AN178"/>
  <c r="AO178"/>
  <c r="AP178"/>
  <c r="AR178"/>
  <c r="AT178"/>
  <c r="AN179"/>
  <c r="AO179"/>
  <c r="AP179"/>
  <c r="AR179"/>
  <c r="AT179"/>
  <c r="AN180"/>
  <c r="AO180"/>
  <c r="AP180"/>
  <c r="AR180"/>
  <c r="AT180"/>
  <c r="AN181"/>
  <c r="AO181"/>
  <c r="AP181"/>
  <c r="AR181"/>
  <c r="AT181"/>
  <c r="AN182"/>
  <c r="AO182"/>
  <c r="AP182"/>
  <c r="AR182"/>
  <c r="AT182"/>
  <c r="AN183"/>
  <c r="AO183"/>
  <c r="AP183"/>
  <c r="AR183"/>
  <c r="AT183"/>
  <c r="AN184"/>
  <c r="AO184"/>
  <c r="AP184"/>
  <c r="AR184"/>
  <c r="AT184"/>
  <c r="AN185"/>
  <c r="AO185"/>
  <c r="AP185"/>
  <c r="AR185"/>
  <c r="AT185"/>
  <c r="AN186"/>
  <c r="AO186"/>
  <c r="AP186"/>
  <c r="AR186"/>
  <c r="AT186"/>
  <c r="AN187"/>
  <c r="AO187"/>
  <c r="AP187"/>
  <c r="AR187"/>
  <c r="AT187"/>
  <c r="AN188"/>
  <c r="AO188"/>
  <c r="AP188"/>
  <c r="AR188"/>
  <c r="AT188"/>
  <c r="AN189"/>
  <c r="AO189"/>
  <c r="AP189"/>
  <c r="AR189"/>
  <c r="AT189"/>
  <c r="AN190"/>
  <c r="AO190"/>
  <c r="AP190"/>
  <c r="AR190"/>
  <c r="AT190"/>
  <c r="AN191"/>
  <c r="AO191"/>
  <c r="AP191"/>
  <c r="AR191"/>
  <c r="AT191"/>
  <c r="AN192"/>
  <c r="AO192"/>
  <c r="AP192"/>
  <c r="AR192"/>
  <c r="AT192"/>
  <c r="AN193"/>
  <c r="AO193"/>
  <c r="AP193"/>
  <c r="AR193"/>
  <c r="AT193"/>
  <c r="AN194"/>
  <c r="AO194"/>
  <c r="AP194"/>
  <c r="AR194"/>
  <c r="AT194"/>
  <c r="AN195"/>
  <c r="AO195"/>
  <c r="AP195"/>
  <c r="AR195"/>
  <c r="AT195"/>
  <c r="AN196"/>
  <c r="AO196"/>
  <c r="AP196"/>
  <c r="AR196"/>
  <c r="AT196"/>
  <c r="AN197"/>
  <c r="AO197"/>
  <c r="AP197"/>
  <c r="AR197"/>
  <c r="AT197"/>
  <c r="AN198"/>
  <c r="AO198"/>
  <c r="AP198"/>
  <c r="AR198"/>
  <c r="AT198"/>
  <c r="AN199"/>
  <c r="AO199"/>
  <c r="AP199"/>
  <c r="AR199"/>
  <c r="AT199"/>
  <c r="AN200"/>
  <c r="AO200"/>
  <c r="AP200"/>
  <c r="AR200"/>
  <c r="AT200"/>
  <c r="AN201"/>
  <c r="AO201"/>
  <c r="AP201"/>
  <c r="AR201"/>
  <c r="AT201"/>
  <c r="AN202"/>
  <c r="AO202"/>
  <c r="AP202"/>
  <c r="AR202"/>
  <c r="AT202"/>
  <c r="AN203"/>
  <c r="AO203"/>
  <c r="AP203"/>
  <c r="AR203"/>
  <c r="AT203"/>
  <c r="AN204"/>
  <c r="AO204"/>
  <c r="AP204"/>
  <c r="AR204"/>
  <c r="AT204"/>
  <c r="AN205"/>
  <c r="AO205"/>
  <c r="AP205"/>
  <c r="AR205"/>
  <c r="AT205"/>
  <c r="AN206"/>
  <c r="AO206"/>
  <c r="AP206"/>
  <c r="AR206"/>
  <c r="AT206"/>
  <c r="AO6"/>
  <c r="AP6"/>
  <c r="AM8"/>
  <c r="R15" i="19" s="1"/>
  <c r="AM9" i="9"/>
  <c r="AM10"/>
  <c r="R45" i="19" s="1"/>
  <c r="AM11" i="9"/>
  <c r="B75" i="19" s="1"/>
  <c r="AM12" i="9"/>
  <c r="R75" i="19" s="1"/>
  <c r="AM13" i="9"/>
  <c r="AM14"/>
  <c r="R105" i="19" s="1"/>
  <c r="AM15" i="9"/>
  <c r="B135" i="19" s="1"/>
  <c r="AM16" i="9"/>
  <c r="R135" i="19" s="1"/>
  <c r="AM17" i="9"/>
  <c r="B165" i="19" s="1"/>
  <c r="AM18" i="9"/>
  <c r="R165" i="19" s="1"/>
  <c r="AM19" i="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107"/>
  <c r="AM108"/>
  <c r="AM109"/>
  <c r="AM110"/>
  <c r="AM111"/>
  <c r="AM112"/>
  <c r="AM113"/>
  <c r="AM114"/>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3"/>
  <c r="AM154"/>
  <c r="AM155"/>
  <c r="AM156"/>
  <c r="AM157"/>
  <c r="AM158"/>
  <c r="AM159"/>
  <c r="AM160"/>
  <c r="AM161"/>
  <c r="AM162"/>
  <c r="AM163"/>
  <c r="AM164"/>
  <c r="AM165"/>
  <c r="AM166"/>
  <c r="AM167"/>
  <c r="AM168"/>
  <c r="AM169"/>
  <c r="AM170"/>
  <c r="AM171"/>
  <c r="AM172"/>
  <c r="AM173"/>
  <c r="AM174"/>
  <c r="AM175"/>
  <c r="AM176"/>
  <c r="AM177"/>
  <c r="AM178"/>
  <c r="AM179"/>
  <c r="AM180"/>
  <c r="AM181"/>
  <c r="AM182"/>
  <c r="AM183"/>
  <c r="AM184"/>
  <c r="AM185"/>
  <c r="AM186"/>
  <c r="AM187"/>
  <c r="AM188"/>
  <c r="AM189"/>
  <c r="AM190"/>
  <c r="AM191"/>
  <c r="AM192"/>
  <c r="AM193"/>
  <c r="AM194"/>
  <c r="AM195"/>
  <c r="AM196"/>
  <c r="AM197"/>
  <c r="AM198"/>
  <c r="AM199"/>
  <c r="AM200"/>
  <c r="AM201"/>
  <c r="AM202"/>
  <c r="AM203"/>
  <c r="AM204"/>
  <c r="AM205"/>
  <c r="AM206"/>
  <c r="AM7"/>
  <c r="B15" i="19" s="1"/>
  <c r="AM4" i="9"/>
  <c r="AJ10" i="20" s="1"/>
  <c r="AN5" i="9"/>
  <c r="AP5"/>
  <c r="AO5"/>
  <c r="AU4"/>
  <c r="AT4"/>
  <c r="AS4"/>
  <c r="AR4"/>
  <c r="AN4"/>
  <c r="AE206"/>
  <c r="AC206"/>
  <c r="AA206"/>
  <c r="Z206"/>
  <c r="Y206"/>
  <c r="AE205"/>
  <c r="AC205"/>
  <c r="AA205"/>
  <c r="Z205"/>
  <c r="Y205"/>
  <c r="AE204"/>
  <c r="AC204"/>
  <c r="AA204"/>
  <c r="Z204"/>
  <c r="Y204"/>
  <c r="AE203"/>
  <c r="AC203"/>
  <c r="AA203"/>
  <c r="Z203"/>
  <c r="Y203"/>
  <c r="AE202"/>
  <c r="AC202"/>
  <c r="AA202"/>
  <c r="Z202"/>
  <c r="Y202"/>
  <c r="AE201"/>
  <c r="AC201"/>
  <c r="AA201"/>
  <c r="Z201"/>
  <c r="Y201"/>
  <c r="AE200"/>
  <c r="AC200"/>
  <c r="AA200"/>
  <c r="Z200"/>
  <c r="Y200"/>
  <c r="AE199"/>
  <c r="AC199"/>
  <c r="AA199"/>
  <c r="Z199"/>
  <c r="Y199"/>
  <c r="AE198"/>
  <c r="AC198"/>
  <c r="AA198"/>
  <c r="Z198"/>
  <c r="Y198"/>
  <c r="AE197"/>
  <c r="AC197"/>
  <c r="AA197"/>
  <c r="Z197"/>
  <c r="Y197"/>
  <c r="AE196"/>
  <c r="AC196"/>
  <c r="AA196"/>
  <c r="Z196"/>
  <c r="Y196"/>
  <c r="AE195"/>
  <c r="AC195"/>
  <c r="AA195"/>
  <c r="Z195"/>
  <c r="Y195"/>
  <c r="AE194"/>
  <c r="AC194"/>
  <c r="AA194"/>
  <c r="Z194"/>
  <c r="Y194"/>
  <c r="AE193"/>
  <c r="AC193"/>
  <c r="AA193"/>
  <c r="Z193"/>
  <c r="Y193"/>
  <c r="AE192"/>
  <c r="AC192"/>
  <c r="AA192"/>
  <c r="Z192"/>
  <c r="Y192"/>
  <c r="AE191"/>
  <c r="AC191"/>
  <c r="AA191"/>
  <c r="Z191"/>
  <c r="Y191"/>
  <c r="AE190"/>
  <c r="AC190"/>
  <c r="AA190"/>
  <c r="Z190"/>
  <c r="Y190"/>
  <c r="AE189"/>
  <c r="AC189"/>
  <c r="AA189"/>
  <c r="Z189"/>
  <c r="Y189"/>
  <c r="AE188"/>
  <c r="AC188"/>
  <c r="AA188"/>
  <c r="Z188"/>
  <c r="Y188"/>
  <c r="AE187"/>
  <c r="AC187"/>
  <c r="AA187"/>
  <c r="Z187"/>
  <c r="Y187"/>
  <c r="AE186"/>
  <c r="AC186"/>
  <c r="AA186"/>
  <c r="Z186"/>
  <c r="Y186"/>
  <c r="AE185"/>
  <c r="AC185"/>
  <c r="AA185"/>
  <c r="Z185"/>
  <c r="Y185"/>
  <c r="AE184"/>
  <c r="AC184"/>
  <c r="AA184"/>
  <c r="Z184"/>
  <c r="Y184"/>
  <c r="AE183"/>
  <c r="AC183"/>
  <c r="AA183"/>
  <c r="Z183"/>
  <c r="Y183"/>
  <c r="AE182"/>
  <c r="AC182"/>
  <c r="AA182"/>
  <c r="Z182"/>
  <c r="Y182"/>
  <c r="AE181"/>
  <c r="AC181"/>
  <c r="AA181"/>
  <c r="Z181"/>
  <c r="Y181"/>
  <c r="AE180"/>
  <c r="AC180"/>
  <c r="AA180"/>
  <c r="Z180"/>
  <c r="Y180"/>
  <c r="AE179"/>
  <c r="AC179"/>
  <c r="AA179"/>
  <c r="Z179"/>
  <c r="Y179"/>
  <c r="AE178"/>
  <c r="AC178"/>
  <c r="AA178"/>
  <c r="Z178"/>
  <c r="Y178"/>
  <c r="AE177"/>
  <c r="AC177"/>
  <c r="AA177"/>
  <c r="Z177"/>
  <c r="Y177"/>
  <c r="AE176"/>
  <c r="AC176"/>
  <c r="AA176"/>
  <c r="Z176"/>
  <c r="Y176"/>
  <c r="AE175"/>
  <c r="AC175"/>
  <c r="AA175"/>
  <c r="Z175"/>
  <c r="Y175"/>
  <c r="AE174"/>
  <c r="AC174"/>
  <c r="AA174"/>
  <c r="Z174"/>
  <c r="Y174"/>
  <c r="AE173"/>
  <c r="AC173"/>
  <c r="AA173"/>
  <c r="Z173"/>
  <c r="Y173"/>
  <c r="AE172"/>
  <c r="AC172"/>
  <c r="AA172"/>
  <c r="Z172"/>
  <c r="Y172"/>
  <c r="AE171"/>
  <c r="AC171"/>
  <c r="AA171"/>
  <c r="Z171"/>
  <c r="Y171"/>
  <c r="AE170"/>
  <c r="AC170"/>
  <c r="AA170"/>
  <c r="Z170"/>
  <c r="Y170"/>
  <c r="AE169"/>
  <c r="AC169"/>
  <c r="AA169"/>
  <c r="Z169"/>
  <c r="Y169"/>
  <c r="AE168"/>
  <c r="AC168"/>
  <c r="AA168"/>
  <c r="Z168"/>
  <c r="Y168"/>
  <c r="AE167"/>
  <c r="AC167"/>
  <c r="AA167"/>
  <c r="Z167"/>
  <c r="Y167"/>
  <c r="AE166"/>
  <c r="AC166"/>
  <c r="AA166"/>
  <c r="Z166"/>
  <c r="Y166"/>
  <c r="AE165"/>
  <c r="AC165"/>
  <c r="AA165"/>
  <c r="Z165"/>
  <c r="Y165"/>
  <c r="AE164"/>
  <c r="AC164"/>
  <c r="AA164"/>
  <c r="Z164"/>
  <c r="Y164"/>
  <c r="AE163"/>
  <c r="AC163"/>
  <c r="AA163"/>
  <c r="Z163"/>
  <c r="Y163"/>
  <c r="AE162"/>
  <c r="AC162"/>
  <c r="AA162"/>
  <c r="Z162"/>
  <c r="Y162"/>
  <c r="AE161"/>
  <c r="AC161"/>
  <c r="AA161"/>
  <c r="Z161"/>
  <c r="Y161"/>
  <c r="AE160"/>
  <c r="AC160"/>
  <c r="AA160"/>
  <c r="Z160"/>
  <c r="Y160"/>
  <c r="AE159"/>
  <c r="AC159"/>
  <c r="AA159"/>
  <c r="Z159"/>
  <c r="Y159"/>
  <c r="AE158"/>
  <c r="AC158"/>
  <c r="AA158"/>
  <c r="Z158"/>
  <c r="Y158"/>
  <c r="AE157"/>
  <c r="AC157"/>
  <c r="AA157"/>
  <c r="Z157"/>
  <c r="Y157"/>
  <c r="AE156"/>
  <c r="AC156"/>
  <c r="AA156"/>
  <c r="Z156"/>
  <c r="Y156"/>
  <c r="AE155"/>
  <c r="AC155"/>
  <c r="AA155"/>
  <c r="Z155"/>
  <c r="Y155"/>
  <c r="AE154"/>
  <c r="AC154"/>
  <c r="AA154"/>
  <c r="Z154"/>
  <c r="Y154"/>
  <c r="AE153"/>
  <c r="AC153"/>
  <c r="AA153"/>
  <c r="Z153"/>
  <c r="Y153"/>
  <c r="AE152"/>
  <c r="AC152"/>
  <c r="AA152"/>
  <c r="Z152"/>
  <c r="Y152"/>
  <c r="AE151"/>
  <c r="AC151"/>
  <c r="AA151"/>
  <c r="Z151"/>
  <c r="Y151"/>
  <c r="AE150"/>
  <c r="AC150"/>
  <c r="AA150"/>
  <c r="Z150"/>
  <c r="Y150"/>
  <c r="AE149"/>
  <c r="AC149"/>
  <c r="AA149"/>
  <c r="Z149"/>
  <c r="Y149"/>
  <c r="AE148"/>
  <c r="AC148"/>
  <c r="AA148"/>
  <c r="Z148"/>
  <c r="Y148"/>
  <c r="AE147"/>
  <c r="AC147"/>
  <c r="AA147"/>
  <c r="Z147"/>
  <c r="Y147"/>
  <c r="AE146"/>
  <c r="AC146"/>
  <c r="AA146"/>
  <c r="Z146"/>
  <c r="Y146"/>
  <c r="AE145"/>
  <c r="AC145"/>
  <c r="AA145"/>
  <c r="Z145"/>
  <c r="Y145"/>
  <c r="AE144"/>
  <c r="AC144"/>
  <c r="AA144"/>
  <c r="Z144"/>
  <c r="Y144"/>
  <c r="AE143"/>
  <c r="AC143"/>
  <c r="AA143"/>
  <c r="Z143"/>
  <c r="Y143"/>
  <c r="AE142"/>
  <c r="AC142"/>
  <c r="AA142"/>
  <c r="Z142"/>
  <c r="Y142"/>
  <c r="AE141"/>
  <c r="AC141"/>
  <c r="AA141"/>
  <c r="Z141"/>
  <c r="Y141"/>
  <c r="AE140"/>
  <c r="AC140"/>
  <c r="AA140"/>
  <c r="Z140"/>
  <c r="Y140"/>
  <c r="AE139"/>
  <c r="AC139"/>
  <c r="AA139"/>
  <c r="Z139"/>
  <c r="Y139"/>
  <c r="AE138"/>
  <c r="AC138"/>
  <c r="AA138"/>
  <c r="Z138"/>
  <c r="Y138"/>
  <c r="AE137"/>
  <c r="AC137"/>
  <c r="AA137"/>
  <c r="Z137"/>
  <c r="Y137"/>
  <c r="AE136"/>
  <c r="AC136"/>
  <c r="AA136"/>
  <c r="Z136"/>
  <c r="Y136"/>
  <c r="AE135"/>
  <c r="AC135"/>
  <c r="AA135"/>
  <c r="Z135"/>
  <c r="Y135"/>
  <c r="AE134"/>
  <c r="AC134"/>
  <c r="AA134"/>
  <c r="Z134"/>
  <c r="Y134"/>
  <c r="AE133"/>
  <c r="AC133"/>
  <c r="AA133"/>
  <c r="Z133"/>
  <c r="Y133"/>
  <c r="AE132"/>
  <c r="AC132"/>
  <c r="AA132"/>
  <c r="Z132"/>
  <c r="Y132"/>
  <c r="AE131"/>
  <c r="AC131"/>
  <c r="AA131"/>
  <c r="Z131"/>
  <c r="Y131"/>
  <c r="AE130"/>
  <c r="AC130"/>
  <c r="AA130"/>
  <c r="Z130"/>
  <c r="Y130"/>
  <c r="AE129"/>
  <c r="AC129"/>
  <c r="AA129"/>
  <c r="Z129"/>
  <c r="Y129"/>
  <c r="AE128"/>
  <c r="AC128"/>
  <c r="AA128"/>
  <c r="Z128"/>
  <c r="Y128"/>
  <c r="AE127"/>
  <c r="AC127"/>
  <c r="AA127"/>
  <c r="Z127"/>
  <c r="Y127"/>
  <c r="AE126"/>
  <c r="AC126"/>
  <c r="AA126"/>
  <c r="Z126"/>
  <c r="Y126"/>
  <c r="AE125"/>
  <c r="AC125"/>
  <c r="AA125"/>
  <c r="Z125"/>
  <c r="Y125"/>
  <c r="AE124"/>
  <c r="AC124"/>
  <c r="AA124"/>
  <c r="Z124"/>
  <c r="Y124"/>
  <c r="AE123"/>
  <c r="AC123"/>
  <c r="AA123"/>
  <c r="Z123"/>
  <c r="Y123"/>
  <c r="AE122"/>
  <c r="AC122"/>
  <c r="AA122"/>
  <c r="Z122"/>
  <c r="Y122"/>
  <c r="AE121"/>
  <c r="AC121"/>
  <c r="AA121"/>
  <c r="Z121"/>
  <c r="Y121"/>
  <c r="AE120"/>
  <c r="AC120"/>
  <c r="AA120"/>
  <c r="Z120"/>
  <c r="Y120"/>
  <c r="AE119"/>
  <c r="AC119"/>
  <c r="AA119"/>
  <c r="Z119"/>
  <c r="Y119"/>
  <c r="AE118"/>
  <c r="AC118"/>
  <c r="AA118"/>
  <c r="Z118"/>
  <c r="Y118"/>
  <c r="AE117"/>
  <c r="AC117"/>
  <c r="AA117"/>
  <c r="Z117"/>
  <c r="Y117"/>
  <c r="AE116"/>
  <c r="AC116"/>
  <c r="AA116"/>
  <c r="Z116"/>
  <c r="Y116"/>
  <c r="AE115"/>
  <c r="AC115"/>
  <c r="AA115"/>
  <c r="Z115"/>
  <c r="Y115"/>
  <c r="AE114"/>
  <c r="AC114"/>
  <c r="AA114"/>
  <c r="Z114"/>
  <c r="Y114"/>
  <c r="AE113"/>
  <c r="AC113"/>
  <c r="AA113"/>
  <c r="Z113"/>
  <c r="Y113"/>
  <c r="AE112"/>
  <c r="AC112"/>
  <c r="AA112"/>
  <c r="Z112"/>
  <c r="Y112"/>
  <c r="AE111"/>
  <c r="AC111"/>
  <c r="AA111"/>
  <c r="Z111"/>
  <c r="Y111"/>
  <c r="AE110"/>
  <c r="AC110"/>
  <c r="AA110"/>
  <c r="Z110"/>
  <c r="Y110"/>
  <c r="AE109"/>
  <c r="AC109"/>
  <c r="AA109"/>
  <c r="Z109"/>
  <c r="Y109"/>
  <c r="AE108"/>
  <c r="AC108"/>
  <c r="AA108"/>
  <c r="Z108"/>
  <c r="Y108"/>
  <c r="AE107"/>
  <c r="AC107"/>
  <c r="AA107"/>
  <c r="Z107"/>
  <c r="Y107"/>
  <c r="AE106"/>
  <c r="AC106"/>
  <c r="AA106"/>
  <c r="Z106"/>
  <c r="Y106"/>
  <c r="AE105"/>
  <c r="AC105"/>
  <c r="AA105"/>
  <c r="Z105"/>
  <c r="Y105"/>
  <c r="AE104"/>
  <c r="AC104"/>
  <c r="AA104"/>
  <c r="Z104"/>
  <c r="Y104"/>
  <c r="AE103"/>
  <c r="AC103"/>
  <c r="AA103"/>
  <c r="Z103"/>
  <c r="Y103"/>
  <c r="AE102"/>
  <c r="AC102"/>
  <c r="AA102"/>
  <c r="Z102"/>
  <c r="Y102"/>
  <c r="AE101"/>
  <c r="AC101"/>
  <c r="AA101"/>
  <c r="Z101"/>
  <c r="Y101"/>
  <c r="AE100"/>
  <c r="AC100"/>
  <c r="AA100"/>
  <c r="Z100"/>
  <c r="Y100"/>
  <c r="AE99"/>
  <c r="AC99"/>
  <c r="AA99"/>
  <c r="Z99"/>
  <c r="Y99"/>
  <c r="AE98"/>
  <c r="AC98"/>
  <c r="AA98"/>
  <c r="Z98"/>
  <c r="Y98"/>
  <c r="AE97"/>
  <c r="AC97"/>
  <c r="AA97"/>
  <c r="Z97"/>
  <c r="Y97"/>
  <c r="AE96"/>
  <c r="AC96"/>
  <c r="AA96"/>
  <c r="Z96"/>
  <c r="Y96"/>
  <c r="AE95"/>
  <c r="AC95"/>
  <c r="AA95"/>
  <c r="Z95"/>
  <c r="Y95"/>
  <c r="AE94"/>
  <c r="AC94"/>
  <c r="AA94"/>
  <c r="Z94"/>
  <c r="Y94"/>
  <c r="AE93"/>
  <c r="AC93"/>
  <c r="AA93"/>
  <c r="Z93"/>
  <c r="Y93"/>
  <c r="AE92"/>
  <c r="AC92"/>
  <c r="AA92"/>
  <c r="Z92"/>
  <c r="Y92"/>
  <c r="AE91"/>
  <c r="AC91"/>
  <c r="AA91"/>
  <c r="Z91"/>
  <c r="Y91"/>
  <c r="AE90"/>
  <c r="AC90"/>
  <c r="AA90"/>
  <c r="Z90"/>
  <c r="Y90"/>
  <c r="AE89"/>
  <c r="AC89"/>
  <c r="AA89"/>
  <c r="Z89"/>
  <c r="Y89"/>
  <c r="AE88"/>
  <c r="AC88"/>
  <c r="AA88"/>
  <c r="Z88"/>
  <c r="Y88"/>
  <c r="AE87"/>
  <c r="AC87"/>
  <c r="AA87"/>
  <c r="Z87"/>
  <c r="Y87"/>
  <c r="AE86"/>
  <c r="AC86"/>
  <c r="AA86"/>
  <c r="Z86"/>
  <c r="Y86"/>
  <c r="AE85"/>
  <c r="AC85"/>
  <c r="AA85"/>
  <c r="Z85"/>
  <c r="Y85"/>
  <c r="AE84"/>
  <c r="AC84"/>
  <c r="AA84"/>
  <c r="Z84"/>
  <c r="Y84"/>
  <c r="AE83"/>
  <c r="AC83"/>
  <c r="AA83"/>
  <c r="Z83"/>
  <c r="Y83"/>
  <c r="AE82"/>
  <c r="AC82"/>
  <c r="AA82"/>
  <c r="Z82"/>
  <c r="Y82"/>
  <c r="AE81"/>
  <c r="AC81"/>
  <c r="AA81"/>
  <c r="Z81"/>
  <c r="Y81"/>
  <c r="AE80"/>
  <c r="AC80"/>
  <c r="AA80"/>
  <c r="Z80"/>
  <c r="Y80"/>
  <c r="AE79"/>
  <c r="AC79"/>
  <c r="AA79"/>
  <c r="Z79"/>
  <c r="Y79"/>
  <c r="AE78"/>
  <c r="AC78"/>
  <c r="AA78"/>
  <c r="Z78"/>
  <c r="Y78"/>
  <c r="AE77"/>
  <c r="AC77"/>
  <c r="AA77"/>
  <c r="Z77"/>
  <c r="Y77"/>
  <c r="AE76"/>
  <c r="AC76"/>
  <c r="AA76"/>
  <c r="Z76"/>
  <c r="Y76"/>
  <c r="AE75"/>
  <c r="AC75"/>
  <c r="AA75"/>
  <c r="Z75"/>
  <c r="Y75"/>
  <c r="AE74"/>
  <c r="AC74"/>
  <c r="AA74"/>
  <c r="Z74"/>
  <c r="Y74"/>
  <c r="AE73"/>
  <c r="AC73"/>
  <c r="AA73"/>
  <c r="Z73"/>
  <c r="Y73"/>
  <c r="AE72"/>
  <c r="AC72"/>
  <c r="AA72"/>
  <c r="Z72"/>
  <c r="Y72"/>
  <c r="AE71"/>
  <c r="AC71"/>
  <c r="AA71"/>
  <c r="Z71"/>
  <c r="Y71"/>
  <c r="AE70"/>
  <c r="AC70"/>
  <c r="AA70"/>
  <c r="Z70"/>
  <c r="Y70"/>
  <c r="AE69"/>
  <c r="AC69"/>
  <c r="AA69"/>
  <c r="Z69"/>
  <c r="Y69"/>
  <c r="AE68"/>
  <c r="AC68"/>
  <c r="AA68"/>
  <c r="Z68"/>
  <c r="Y68"/>
  <c r="AE67"/>
  <c r="AC67"/>
  <c r="AA67"/>
  <c r="Z67"/>
  <c r="Y67"/>
  <c r="AE66"/>
  <c r="AC66"/>
  <c r="AA66"/>
  <c r="Z66"/>
  <c r="Y66"/>
  <c r="AE65"/>
  <c r="AC65"/>
  <c r="AA65"/>
  <c r="Z65"/>
  <c r="Y65"/>
  <c r="AE64"/>
  <c r="AC64"/>
  <c r="AA64"/>
  <c r="Z64"/>
  <c r="Y64"/>
  <c r="AE63"/>
  <c r="AC63"/>
  <c r="AA63"/>
  <c r="Z63"/>
  <c r="Y63"/>
  <c r="AE62"/>
  <c r="AC62"/>
  <c r="AA62"/>
  <c r="Z62"/>
  <c r="Y62"/>
  <c r="AE61"/>
  <c r="AC61"/>
  <c r="AA61"/>
  <c r="Z61"/>
  <c r="Y61"/>
  <c r="AE60"/>
  <c r="AC60"/>
  <c r="AA60"/>
  <c r="Z60"/>
  <c r="Y60"/>
  <c r="AE59"/>
  <c r="AC59"/>
  <c r="AA59"/>
  <c r="Z59"/>
  <c r="Y59"/>
  <c r="AE58"/>
  <c r="AC58"/>
  <c r="AA58"/>
  <c r="Z58"/>
  <c r="Y58"/>
  <c r="AE57"/>
  <c r="AC57"/>
  <c r="AA57"/>
  <c r="Z57"/>
  <c r="Y57"/>
  <c r="AE56"/>
  <c r="AC56"/>
  <c r="AA56"/>
  <c r="Z56"/>
  <c r="Y56"/>
  <c r="AE55"/>
  <c r="AC55"/>
  <c r="AA55"/>
  <c r="Z55"/>
  <c r="Y55"/>
  <c r="AE54"/>
  <c r="AC54"/>
  <c r="AA54"/>
  <c r="Z54"/>
  <c r="Y54"/>
  <c r="AE53"/>
  <c r="AC53"/>
  <c r="AA53"/>
  <c r="Z53"/>
  <c r="Y53"/>
  <c r="AE52"/>
  <c r="AC52"/>
  <c r="AA52"/>
  <c r="Z52"/>
  <c r="Y52"/>
  <c r="AE51"/>
  <c r="AC51"/>
  <c r="AA51"/>
  <c r="Z51"/>
  <c r="Y51"/>
  <c r="AE50"/>
  <c r="AC50"/>
  <c r="AA50"/>
  <c r="Z50"/>
  <c r="Y50"/>
  <c r="AE49"/>
  <c r="AC49"/>
  <c r="AA49"/>
  <c r="Z49"/>
  <c r="Y49"/>
  <c r="AE48"/>
  <c r="AC48"/>
  <c r="AA48"/>
  <c r="Z48"/>
  <c r="Y48"/>
  <c r="AE47"/>
  <c r="AC47"/>
  <c r="AA47"/>
  <c r="Z47"/>
  <c r="Y47"/>
  <c r="AE46"/>
  <c r="AC46"/>
  <c r="AA46"/>
  <c r="Z46"/>
  <c r="Y46"/>
  <c r="AE45"/>
  <c r="AC45"/>
  <c r="AA45"/>
  <c r="Z45"/>
  <c r="Y45"/>
  <c r="AE44"/>
  <c r="AC44"/>
  <c r="AA44"/>
  <c r="Z44"/>
  <c r="Y44"/>
  <c r="AE43"/>
  <c r="AC43"/>
  <c r="AA43"/>
  <c r="Z43"/>
  <c r="Y43"/>
  <c r="AE42"/>
  <c r="AC42"/>
  <c r="AA42"/>
  <c r="Z42"/>
  <c r="Y42"/>
  <c r="AE41"/>
  <c r="AC41"/>
  <c r="AA41"/>
  <c r="Z41"/>
  <c r="Y41"/>
  <c r="AE40"/>
  <c r="AC40"/>
  <c r="AA40"/>
  <c r="Z40"/>
  <c r="Y40"/>
  <c r="AE39"/>
  <c r="AC39"/>
  <c r="AA39"/>
  <c r="Z39"/>
  <c r="Y39"/>
  <c r="AE38"/>
  <c r="AC38"/>
  <c r="AA38"/>
  <c r="Z38"/>
  <c r="Y38"/>
  <c r="AE37"/>
  <c r="AC37"/>
  <c r="AA37"/>
  <c r="Z37"/>
  <c r="Y37"/>
  <c r="AE36"/>
  <c r="AC36"/>
  <c r="AA36"/>
  <c r="Z36"/>
  <c r="Y36"/>
  <c r="AE35"/>
  <c r="AC35"/>
  <c r="AA35"/>
  <c r="Z35"/>
  <c r="Y35"/>
  <c r="AE34"/>
  <c r="AC34"/>
  <c r="AA34"/>
  <c r="Z34"/>
  <c r="Y34"/>
  <c r="AE33"/>
  <c r="AC33"/>
  <c r="AA33"/>
  <c r="Z33"/>
  <c r="Y33"/>
  <c r="AE32"/>
  <c r="AC32"/>
  <c r="AA32"/>
  <c r="Z32"/>
  <c r="Y32"/>
  <c r="AE31"/>
  <c r="AC31"/>
  <c r="AA31"/>
  <c r="Z31"/>
  <c r="Y31"/>
  <c r="AE30"/>
  <c r="AC30"/>
  <c r="AA30"/>
  <c r="Z30"/>
  <c r="Y30"/>
  <c r="AE29"/>
  <c r="AC29"/>
  <c r="AA29"/>
  <c r="Z29"/>
  <c r="Y29"/>
  <c r="AE28"/>
  <c r="AC28"/>
  <c r="AA28"/>
  <c r="Z28"/>
  <c r="Y28"/>
  <c r="AE27"/>
  <c r="AC27"/>
  <c r="AA27"/>
  <c r="Z27"/>
  <c r="Y27"/>
  <c r="AE26"/>
  <c r="AC26"/>
  <c r="AA26"/>
  <c r="Z26"/>
  <c r="Y26"/>
  <c r="AE25"/>
  <c r="AC25"/>
  <c r="AA25"/>
  <c r="Z25"/>
  <c r="Y25"/>
  <c r="AE24"/>
  <c r="AC24"/>
  <c r="AA24"/>
  <c r="Z24"/>
  <c r="Y24"/>
  <c r="AE23"/>
  <c r="AC23"/>
  <c r="AA23"/>
  <c r="Z23"/>
  <c r="Y23"/>
  <c r="AE22"/>
  <c r="AC22"/>
  <c r="AA22"/>
  <c r="Z22"/>
  <c r="Y22"/>
  <c r="AE21"/>
  <c r="AC21"/>
  <c r="AA21"/>
  <c r="Z21"/>
  <c r="Y21"/>
  <c r="AE20"/>
  <c r="AC20"/>
  <c r="AA20"/>
  <c r="Z20"/>
  <c r="Y20"/>
  <c r="AE19"/>
  <c r="AC19"/>
  <c r="AA19"/>
  <c r="Z19"/>
  <c r="Y19"/>
  <c r="AE18"/>
  <c r="AC18"/>
  <c r="AA18"/>
  <c r="Z18"/>
  <c r="Y18"/>
  <c r="AE17"/>
  <c r="AC17"/>
  <c r="AA17"/>
  <c r="Z17"/>
  <c r="Y17"/>
  <c r="AE16"/>
  <c r="AC16"/>
  <c r="AA16"/>
  <c r="Z16"/>
  <c r="Y16"/>
  <c r="AE15"/>
  <c r="AC15"/>
  <c r="AA15"/>
  <c r="Z15"/>
  <c r="Y15"/>
  <c r="AE14"/>
  <c r="AC14"/>
  <c r="AA14"/>
  <c r="Z14"/>
  <c r="Y14"/>
  <c r="AE13"/>
  <c r="AC13"/>
  <c r="AA13"/>
  <c r="Z13"/>
  <c r="Y13"/>
  <c r="AE12"/>
  <c r="AC12"/>
  <c r="AA12"/>
  <c r="Z12"/>
  <c r="Y12"/>
  <c r="AE11"/>
  <c r="AC11"/>
  <c r="AA11"/>
  <c r="Z11"/>
  <c r="Y11"/>
  <c r="AE10"/>
  <c r="AC10"/>
  <c r="AA10"/>
  <c r="Z10"/>
  <c r="Y10"/>
  <c r="AE9"/>
  <c r="AC9"/>
  <c r="AA9"/>
  <c r="Z9"/>
  <c r="Y9"/>
  <c r="AE8"/>
  <c r="AC8"/>
  <c r="AA8"/>
  <c r="Z8"/>
  <c r="Y8"/>
  <c r="AE7"/>
  <c r="AC7"/>
  <c r="AA7"/>
  <c r="Z7"/>
  <c r="Y7"/>
  <c r="B18" i="8"/>
  <c r="B19"/>
  <c r="B20"/>
  <c r="B21"/>
  <c r="B22"/>
  <c r="B23"/>
  <c r="B24"/>
  <c r="B25"/>
  <c r="B26"/>
  <c r="B27"/>
  <c r="B28"/>
  <c r="B29"/>
  <c r="B30"/>
  <c r="B31"/>
  <c r="B32"/>
  <c r="B33"/>
  <c r="B34"/>
  <c r="B35"/>
  <c r="B36"/>
  <c r="B37"/>
  <c r="AA6" i="9"/>
  <c r="AA5"/>
  <c r="Z5"/>
  <c r="Y5"/>
  <c r="AF4"/>
  <c r="AE4"/>
  <c r="AD4"/>
  <c r="AC4"/>
  <c r="Y4"/>
  <c r="K208" i="19" l="1"/>
  <c r="E185"/>
  <c r="B16" i="18"/>
  <c r="B105" i="19"/>
  <c r="B16" i="4"/>
  <c r="B45" i="19"/>
  <c r="AA165"/>
  <c r="BB130"/>
  <c r="BB128"/>
  <c r="AB127" s="1"/>
  <c r="AX159"/>
  <c r="AV159"/>
  <c r="BA156"/>
  <c r="BC156"/>
  <c r="BB156"/>
  <c r="AW159"/>
  <c r="AW157"/>
  <c r="AA163"/>
  <c r="AA170"/>
  <c r="S168"/>
  <c r="AA168"/>
  <c r="AE171"/>
  <c r="AA166"/>
  <c r="AA164"/>
  <c r="AA167"/>
  <c r="S170"/>
  <c r="G208"/>
  <c r="F200"/>
  <c r="H197"/>
  <c r="J197" s="1"/>
  <c r="H196"/>
  <c r="J196" s="1"/>
  <c r="D196"/>
  <c r="G195"/>
  <c r="B195"/>
  <c r="O194"/>
  <c r="F194"/>
  <c r="O193"/>
  <c r="F193"/>
  <c r="C187"/>
  <c r="C186"/>
  <c r="J200"/>
  <c r="E198"/>
  <c r="L196"/>
  <c r="N196" s="1"/>
  <c r="E196"/>
  <c r="H195"/>
  <c r="J195" s="1"/>
  <c r="D195"/>
  <c r="G194"/>
  <c r="G193"/>
  <c r="F184"/>
  <c r="B208"/>
  <c r="L198"/>
  <c r="N198" s="1"/>
  <c r="O196"/>
  <c r="F196"/>
  <c r="L195"/>
  <c r="N195" s="1"/>
  <c r="E195"/>
  <c r="H194"/>
  <c r="J194" s="1"/>
  <c r="D194"/>
  <c r="H193"/>
  <c r="J193" s="1"/>
  <c r="D193"/>
  <c r="C188"/>
  <c r="L186"/>
  <c r="AW185" s="1"/>
  <c r="L185"/>
  <c r="A18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B188"/>
  <c r="D197"/>
  <c r="G196"/>
  <c r="O195"/>
  <c r="F195"/>
  <c r="L194"/>
  <c r="N194" s="1"/>
  <c r="E194"/>
  <c r="L193"/>
  <c r="N193" s="1"/>
  <c r="E193"/>
  <c r="H198"/>
  <c r="J198" s="1"/>
  <c r="F202"/>
  <c r="F204"/>
  <c r="G198"/>
  <c r="N202"/>
  <c r="E197"/>
  <c r="B200"/>
  <c r="D198"/>
  <c r="O200"/>
  <c r="O197"/>
  <c r="M200"/>
  <c r="O198"/>
  <c r="I200"/>
  <c r="F203"/>
  <c r="F197"/>
  <c r="H200"/>
  <c r="M204"/>
  <c r="F198"/>
  <c r="L200"/>
  <c r="G197"/>
  <c r="E200"/>
  <c r="D200"/>
  <c r="N203"/>
  <c r="L197"/>
  <c r="N197" s="1"/>
  <c r="G200"/>
  <c r="K200" s="1"/>
  <c r="BS209" i="9"/>
  <c r="A11" i="6" s="1"/>
  <c r="EW161" i="9"/>
  <c r="EW169"/>
  <c r="ES17"/>
  <c r="EW17" s="1"/>
  <c r="ES139"/>
  <c r="EW139" s="1"/>
  <c r="EW189"/>
  <c r="ES183"/>
  <c r="EW183" s="1"/>
  <c r="EW185"/>
  <c r="ES86"/>
  <c r="EW86" s="1"/>
  <c r="A15" i="6"/>
  <c r="EZ202" i="9"/>
  <c r="EZ75"/>
  <c r="EZ83"/>
  <c r="EZ91"/>
  <c r="EZ104"/>
  <c r="EZ186"/>
  <c r="EZ74"/>
  <c r="EZ90"/>
  <c r="EZ139"/>
  <c r="EZ32"/>
  <c r="EZ141"/>
  <c r="EW105"/>
  <c r="EZ47"/>
  <c r="ES203"/>
  <c r="EW203" s="1"/>
  <c r="EW151"/>
  <c r="EZ105"/>
  <c r="EZ184"/>
  <c r="EZ200"/>
  <c r="EZ71"/>
  <c r="EZ79"/>
  <c r="ES93"/>
  <c r="EZ109"/>
  <c r="EZ59"/>
  <c r="EW137"/>
  <c r="EZ40"/>
  <c r="ES135"/>
  <c r="EZ24"/>
  <c r="EZ197"/>
  <c r="EW153"/>
  <c r="ES101"/>
  <c r="ES107"/>
  <c r="EW107" s="1"/>
  <c r="ES179"/>
  <c r="EW179" s="1"/>
  <c r="FP21"/>
  <c r="FL41"/>
  <c r="FP41" s="1"/>
  <c r="FL12"/>
  <c r="FP12" s="1"/>
  <c r="FP51"/>
  <c r="EZ131"/>
  <c r="EZ10"/>
  <c r="EZ16"/>
  <c r="EZ27"/>
  <c r="ES147"/>
  <c r="EZ67"/>
  <c r="EZ129"/>
  <c r="EW135"/>
  <c r="EZ143"/>
  <c r="EZ181"/>
  <c r="EZ190"/>
  <c r="EZ28"/>
  <c r="ES33"/>
  <c r="EW33" s="1"/>
  <c r="ES41"/>
  <c r="EW41" s="1"/>
  <c r="ES195"/>
  <c r="EW195" s="1"/>
  <c r="EZ205"/>
  <c r="ES13"/>
  <c r="EW13" s="1"/>
  <c r="ES191"/>
  <c r="EW191" s="1"/>
  <c r="EZ171"/>
  <c r="EW193"/>
  <c r="ES201"/>
  <c r="EW201" s="1"/>
  <c r="EZ34"/>
  <c r="EW113"/>
  <c r="EZ119"/>
  <c r="EW127"/>
  <c r="EW147"/>
  <c r="EZ161"/>
  <c r="EW82"/>
  <c r="ES97"/>
  <c r="FP45"/>
  <c r="FP16"/>
  <c r="FP32"/>
  <c r="FL65"/>
  <c r="FP65" s="1"/>
  <c r="FP69"/>
  <c r="ES70"/>
  <c r="EW70" s="1"/>
  <c r="ES10"/>
  <c r="EW10" s="1"/>
  <c r="ES74"/>
  <c r="EW74" s="1"/>
  <c r="ES90"/>
  <c r="EW90" s="1"/>
  <c r="ES55"/>
  <c r="EW55" s="1"/>
  <c r="ES28"/>
  <c r="EW28" s="1"/>
  <c r="EW27"/>
  <c r="ES34"/>
  <c r="EW34" s="1"/>
  <c r="EW197"/>
  <c r="EW129"/>
  <c r="ES181"/>
  <c r="EW181" s="1"/>
  <c r="ES205"/>
  <c r="EW205" s="1"/>
  <c r="ES95"/>
  <c r="FP68"/>
  <c r="FL70"/>
  <c r="FP70" s="1"/>
  <c r="FL85"/>
  <c r="FP85" s="1"/>
  <c r="ES67"/>
  <c r="EW67" s="1"/>
  <c r="EW40"/>
  <c r="EW30"/>
  <c r="EZ82"/>
  <c r="EW163"/>
  <c r="EW171"/>
  <c r="EZ147"/>
  <c r="EZ137"/>
  <c r="EW176"/>
  <c r="EZ121"/>
  <c r="ES159"/>
  <c r="EW159" s="1"/>
  <c r="FP36"/>
  <c r="FP145"/>
  <c r="FL160"/>
  <c r="FP160" s="1"/>
  <c r="EW77"/>
  <c r="EW20"/>
  <c r="EW35"/>
  <c r="EW200"/>
  <c r="EZ99"/>
  <c r="EZ96"/>
  <c r="EW141"/>
  <c r="EW157"/>
  <c r="EZ115"/>
  <c r="ES123"/>
  <c r="EW123" s="1"/>
  <c r="EW133"/>
  <c r="ES155"/>
  <c r="EW155" s="1"/>
  <c r="FP104"/>
  <c r="FL101"/>
  <c r="FP101" s="1"/>
  <c r="EW145"/>
  <c r="EW131"/>
  <c r="FP167"/>
  <c r="FL123"/>
  <c r="FP123" s="1"/>
  <c r="ES143"/>
  <c r="EW143" s="1"/>
  <c r="EZ7"/>
  <c r="FP11"/>
  <c r="FL139"/>
  <c r="FP139" s="1"/>
  <c r="FP119"/>
  <c r="FP120"/>
  <c r="FP180"/>
  <c r="FL73"/>
  <c r="FP73" s="1"/>
  <c r="FP83"/>
  <c r="FP99"/>
  <c r="FL121"/>
  <c r="FP121" s="1"/>
  <c r="FL153"/>
  <c r="FP153" s="1"/>
  <c r="FL189"/>
  <c r="FP189" s="1"/>
  <c r="FL60"/>
  <c r="FP60" s="1"/>
  <c r="FP27"/>
  <c r="FL33"/>
  <c r="FP33" s="1"/>
  <c r="FP75"/>
  <c r="FL80"/>
  <c r="FP80" s="1"/>
  <c r="FP168"/>
  <c r="FP204"/>
  <c r="FL96"/>
  <c r="FP96" s="1"/>
  <c r="FP152"/>
  <c r="FL137"/>
  <c r="FP137" s="1"/>
  <c r="FL169"/>
  <c r="FP169" s="1"/>
  <c r="FL205"/>
  <c r="FP205" s="1"/>
  <c r="FL24"/>
  <c r="FP24" s="1"/>
  <c r="FP136"/>
  <c r="FP188"/>
  <c r="FL181"/>
  <c r="FP181" s="1"/>
  <c r="EW150"/>
  <c r="EW154"/>
  <c r="EW158"/>
  <c r="EW148"/>
  <c r="EW152"/>
  <c r="EW156"/>
  <c r="EZ93"/>
  <c r="EZ95"/>
  <c r="EW101"/>
  <c r="ES103"/>
  <c r="EW103" s="1"/>
  <c r="ES108"/>
  <c r="EW108" s="1"/>
  <c r="ES110"/>
  <c r="EW110" s="1"/>
  <c r="ES112"/>
  <c r="EW112" s="1"/>
  <c r="EZ151"/>
  <c r="EW94"/>
  <c r="EW97"/>
  <c r="EW100"/>
  <c r="ES114"/>
  <c r="EW114" s="1"/>
  <c r="ES116"/>
  <c r="EW116" s="1"/>
  <c r="ES118"/>
  <c r="EW118" s="1"/>
  <c r="ES120"/>
  <c r="EW120" s="1"/>
  <c r="ES122"/>
  <c r="EW122" s="1"/>
  <c r="EW96"/>
  <c r="EW99"/>
  <c r="ES102"/>
  <c r="EW102" s="1"/>
  <c r="ES104"/>
  <c r="EW104" s="1"/>
  <c r="ES109"/>
  <c r="EW109" s="1"/>
  <c r="ES111"/>
  <c r="EW111" s="1"/>
  <c r="EW93"/>
  <c r="EW95"/>
  <c r="EW98"/>
  <c r="ES106"/>
  <c r="EW106" s="1"/>
  <c r="EZ111"/>
  <c r="ES115"/>
  <c r="EW115" s="1"/>
  <c r="ES117"/>
  <c r="EW117" s="1"/>
  <c r="ES119"/>
  <c r="EW119" s="1"/>
  <c r="ES121"/>
  <c r="EW121" s="1"/>
  <c r="EZ149"/>
  <c r="BS174"/>
  <c r="BS170"/>
  <c r="BS166"/>
  <c r="BS162"/>
  <c r="BS158"/>
  <c r="CH190"/>
  <c r="CH11"/>
  <c r="CH146"/>
  <c r="CJ146" s="1"/>
  <c r="CL146" s="1"/>
  <c r="CH17"/>
  <c r="CJ17" s="1"/>
  <c r="CL17" s="1"/>
  <c r="CH152"/>
  <c r="CJ152" s="1"/>
  <c r="CH151"/>
  <c r="CH148"/>
  <c r="CJ148" s="1"/>
  <c r="CH147"/>
  <c r="CJ147" s="1"/>
  <c r="CL147" s="1"/>
  <c r="CH25"/>
  <c r="CJ25" s="1"/>
  <c r="CH178"/>
  <c r="CJ178" s="1"/>
  <c r="CL178" s="1"/>
  <c r="CH18"/>
  <c r="DH139"/>
  <c r="BU174"/>
  <c r="BW174" s="1"/>
  <c r="BU170"/>
  <c r="BW170" s="1"/>
  <c r="BU166"/>
  <c r="BW166" s="1"/>
  <c r="BU162"/>
  <c r="BW162" s="1"/>
  <c r="BU158"/>
  <c r="BW158" s="1"/>
  <c r="BS37"/>
  <c r="BS33"/>
  <c r="CJ190"/>
  <c r="CL190" s="1"/>
  <c r="DG139"/>
  <c r="DF139"/>
  <c r="DH135"/>
  <c r="DG135"/>
  <c r="DF135"/>
  <c r="DH115"/>
  <c r="DG115"/>
  <c r="DF115"/>
  <c r="DH111"/>
  <c r="DG111"/>
  <c r="DF111"/>
  <c r="DH107"/>
  <c r="DG107"/>
  <c r="DF107"/>
  <c r="DH103"/>
  <c r="DG103"/>
  <c r="DF103"/>
  <c r="DG99"/>
  <c r="DH99"/>
  <c r="DF99"/>
  <c r="DF95"/>
  <c r="DH95"/>
  <c r="DG95"/>
  <c r="DG77"/>
  <c r="CH202"/>
  <c r="CJ202" s="1"/>
  <c r="CL202" s="1"/>
  <c r="CH198"/>
  <c r="CJ198" s="1"/>
  <c r="CH194"/>
  <c r="CJ194" s="1"/>
  <c r="CL194" s="1"/>
  <c r="CH158"/>
  <c r="CJ158" s="1"/>
  <c r="CL158" s="1"/>
  <c r="DF92"/>
  <c r="DF88"/>
  <c r="DF84"/>
  <c r="DF80"/>
  <c r="DF76"/>
  <c r="CL25"/>
  <c r="DH141"/>
  <c r="DG141"/>
  <c r="DF141"/>
  <c r="DH137"/>
  <c r="DG137"/>
  <c r="DF137"/>
  <c r="DH133"/>
  <c r="DG133"/>
  <c r="DF133"/>
  <c r="DH129"/>
  <c r="DG129"/>
  <c r="DF129"/>
  <c r="DH125"/>
  <c r="DG125"/>
  <c r="DF125"/>
  <c r="DH121"/>
  <c r="DG121"/>
  <c r="DF121"/>
  <c r="DH117"/>
  <c r="DG117"/>
  <c r="DF117"/>
  <c r="DH113"/>
  <c r="DG113"/>
  <c r="DF113"/>
  <c r="DH109"/>
  <c r="DG109"/>
  <c r="DF109"/>
  <c r="DH105"/>
  <c r="DG105"/>
  <c r="DF105"/>
  <c r="DH101"/>
  <c r="DG101"/>
  <c r="DF101"/>
  <c r="DF97"/>
  <c r="DH97"/>
  <c r="DG97"/>
  <c r="DH91"/>
  <c r="DH83"/>
  <c r="DH75"/>
  <c r="AG123"/>
  <c r="AB139"/>
  <c r="AD139" s="1"/>
  <c r="AF139" s="1"/>
  <c r="CH192"/>
  <c r="CH188"/>
  <c r="CH186"/>
  <c r="CJ186" s="1"/>
  <c r="CL186" s="1"/>
  <c r="CH184"/>
  <c r="CJ184" s="1"/>
  <c r="CH180"/>
  <c r="CJ180" s="1"/>
  <c r="CH177"/>
  <c r="CJ177" s="1"/>
  <c r="CH33"/>
  <c r="CJ33" s="1"/>
  <c r="CL33" s="1"/>
  <c r="CH29"/>
  <c r="CJ29" s="1"/>
  <c r="CL29" s="1"/>
  <c r="DG131"/>
  <c r="DF127"/>
  <c r="DF123"/>
  <c r="DH119"/>
  <c r="DG206"/>
  <c r="DF206"/>
  <c r="DH206"/>
  <c r="DH205"/>
  <c r="DG205"/>
  <c r="DF205"/>
  <c r="DG204"/>
  <c r="DF204"/>
  <c r="DH204"/>
  <c r="DH203"/>
  <c r="DG203"/>
  <c r="DF203"/>
  <c r="DG202"/>
  <c r="DF202"/>
  <c r="DH202"/>
  <c r="DH201"/>
  <c r="DG201"/>
  <c r="DF201"/>
  <c r="DG200"/>
  <c r="DF200"/>
  <c r="DH200"/>
  <c r="DH199"/>
  <c r="DG199"/>
  <c r="DF199"/>
  <c r="DG198"/>
  <c r="DF198"/>
  <c r="DH198"/>
  <c r="DH197"/>
  <c r="DG197"/>
  <c r="DF197"/>
  <c r="DG196"/>
  <c r="DF196"/>
  <c r="DH196"/>
  <c r="DH195"/>
  <c r="DG195"/>
  <c r="DF195"/>
  <c r="DG194"/>
  <c r="DF194"/>
  <c r="DH194"/>
  <c r="DH193"/>
  <c r="DG193"/>
  <c r="DF193"/>
  <c r="DG192"/>
  <c r="DF192"/>
  <c r="DH192"/>
  <c r="DH191"/>
  <c r="DG191"/>
  <c r="DF191"/>
  <c r="DG190"/>
  <c r="DF190"/>
  <c r="DH190"/>
  <c r="DH189"/>
  <c r="DG189"/>
  <c r="DF189"/>
  <c r="DG188"/>
  <c r="DF188"/>
  <c r="DH188"/>
  <c r="DH187"/>
  <c r="DG187"/>
  <c r="DF187"/>
  <c r="DG186"/>
  <c r="DF186"/>
  <c r="DH186"/>
  <c r="DH185"/>
  <c r="DG185"/>
  <c r="DF185"/>
  <c r="DG184"/>
  <c r="DF184"/>
  <c r="DH184"/>
  <c r="DH183"/>
  <c r="DG183"/>
  <c r="DF183"/>
  <c r="DG182"/>
  <c r="DF182"/>
  <c r="DH182"/>
  <c r="DH181"/>
  <c r="DG181"/>
  <c r="DF181"/>
  <c r="DG180"/>
  <c r="DF180"/>
  <c r="DH180"/>
  <c r="DH179"/>
  <c r="DG179"/>
  <c r="DF179"/>
  <c r="DG178"/>
  <c r="DF178"/>
  <c r="DH178"/>
  <c r="DH177"/>
  <c r="DG177"/>
  <c r="DF177"/>
  <c r="DG176"/>
  <c r="DF176"/>
  <c r="DH176"/>
  <c r="DH175"/>
  <c r="DG175"/>
  <c r="DF175"/>
  <c r="DG174"/>
  <c r="DF174"/>
  <c r="DH174"/>
  <c r="DH173"/>
  <c r="DG173"/>
  <c r="DF173"/>
  <c r="DG172"/>
  <c r="DF172"/>
  <c r="DH172"/>
  <c r="DH171"/>
  <c r="DG171"/>
  <c r="DF171"/>
  <c r="DG170"/>
  <c r="DF170"/>
  <c r="DH170"/>
  <c r="DH169"/>
  <c r="DG169"/>
  <c r="DF169"/>
  <c r="DG168"/>
  <c r="DF168"/>
  <c r="DH168"/>
  <c r="DH167"/>
  <c r="DG167"/>
  <c r="DF167"/>
  <c r="DG166"/>
  <c r="DF166"/>
  <c r="DH166"/>
  <c r="DH165"/>
  <c r="DG165"/>
  <c r="DF165"/>
  <c r="DG164"/>
  <c r="DF164"/>
  <c r="DH164"/>
  <c r="DH163"/>
  <c r="DG163"/>
  <c r="DF163"/>
  <c r="DG162"/>
  <c r="DF162"/>
  <c r="DH162"/>
  <c r="DH161"/>
  <c r="DG161"/>
  <c r="DF161"/>
  <c r="DG160"/>
  <c r="DF160"/>
  <c r="DH160"/>
  <c r="DH159"/>
  <c r="DG159"/>
  <c r="DF159"/>
  <c r="DG158"/>
  <c r="DF158"/>
  <c r="DH158"/>
  <c r="DH157"/>
  <c r="DG157"/>
  <c r="DF157"/>
  <c r="DG156"/>
  <c r="DF156"/>
  <c r="DH156"/>
  <c r="DH155"/>
  <c r="DG155"/>
  <c r="DF155"/>
  <c r="DG154"/>
  <c r="DF154"/>
  <c r="DH154"/>
  <c r="DH153"/>
  <c r="DG153"/>
  <c r="DF153"/>
  <c r="DG152"/>
  <c r="DF152"/>
  <c r="DH152"/>
  <c r="DH151"/>
  <c r="DG151"/>
  <c r="DF151"/>
  <c r="DG150"/>
  <c r="DF150"/>
  <c r="DH150"/>
  <c r="DH149"/>
  <c r="DG149"/>
  <c r="DF149"/>
  <c r="DG148"/>
  <c r="DF148"/>
  <c r="DH148"/>
  <c r="DH147"/>
  <c r="DG147"/>
  <c r="DF147"/>
  <c r="DG146"/>
  <c r="DF146"/>
  <c r="DH146"/>
  <c r="DH145"/>
  <c r="DG145"/>
  <c r="DF145"/>
  <c r="DG144"/>
  <c r="DF144"/>
  <c r="DH144"/>
  <c r="DH143"/>
  <c r="DG143"/>
  <c r="DF143"/>
  <c r="DG142"/>
  <c r="DF142"/>
  <c r="DH142"/>
  <c r="DG138"/>
  <c r="DF138"/>
  <c r="DH138"/>
  <c r="DG134"/>
  <c r="DF134"/>
  <c r="DH134"/>
  <c r="DG130"/>
  <c r="DF130"/>
  <c r="DH130"/>
  <c r="DG126"/>
  <c r="DF126"/>
  <c r="DH126"/>
  <c r="DG122"/>
  <c r="DF122"/>
  <c r="DH122"/>
  <c r="DG118"/>
  <c r="DF118"/>
  <c r="DH118"/>
  <c r="DG114"/>
  <c r="DF114"/>
  <c r="DH114"/>
  <c r="DG110"/>
  <c r="DF110"/>
  <c r="DH110"/>
  <c r="DG106"/>
  <c r="DF106"/>
  <c r="DH106"/>
  <c r="DG102"/>
  <c r="DF102"/>
  <c r="DH102"/>
  <c r="DG98"/>
  <c r="DH98"/>
  <c r="DF98"/>
  <c r="DH94"/>
  <c r="DG94"/>
  <c r="DF94"/>
  <c r="DF90"/>
  <c r="DF86"/>
  <c r="DF82"/>
  <c r="DF78"/>
  <c r="DF74"/>
  <c r="CH185"/>
  <c r="CH170"/>
  <c r="CJ170" s="1"/>
  <c r="CL170" s="1"/>
  <c r="CH162"/>
  <c r="CJ162" s="1"/>
  <c r="CL162" s="1"/>
  <c r="CH154"/>
  <c r="CJ154" s="1"/>
  <c r="CL154" s="1"/>
  <c r="CH31"/>
  <c r="CH27"/>
  <c r="CH23"/>
  <c r="CJ23" s="1"/>
  <c r="CH19"/>
  <c r="CJ19" s="1"/>
  <c r="CJ18"/>
  <c r="CL18" s="1"/>
  <c r="CJ11"/>
  <c r="DH140"/>
  <c r="DG136"/>
  <c r="DF132"/>
  <c r="DH128"/>
  <c r="DH124"/>
  <c r="DG120"/>
  <c r="DF116"/>
  <c r="DH112"/>
  <c r="DH108"/>
  <c r="DG104"/>
  <c r="DF100"/>
  <c r="DF96"/>
  <c r="DG30"/>
  <c r="DF30"/>
  <c r="DG26"/>
  <c r="DF26"/>
  <c r="DF24"/>
  <c r="DF20"/>
  <c r="DF16"/>
  <c r="DG8"/>
  <c r="DF8"/>
  <c r="DG31"/>
  <c r="DF31"/>
  <c r="DG27"/>
  <c r="DF27"/>
  <c r="DG23"/>
  <c r="DF19"/>
  <c r="DG15"/>
  <c r="DF11"/>
  <c r="DF28"/>
  <c r="DG28"/>
  <c r="DH22"/>
  <c r="DF18"/>
  <c r="DF14"/>
  <c r="DH10"/>
  <c r="DF73"/>
  <c r="DH73"/>
  <c r="DG73"/>
  <c r="DH72"/>
  <c r="DG72"/>
  <c r="DF72"/>
  <c r="DF71"/>
  <c r="DH71"/>
  <c r="DG71"/>
  <c r="DH70"/>
  <c r="DG70"/>
  <c r="DF70"/>
  <c r="DF69"/>
  <c r="DH69"/>
  <c r="DG69"/>
  <c r="DH68"/>
  <c r="DG68"/>
  <c r="DF68"/>
  <c r="DF67"/>
  <c r="DH67"/>
  <c r="DG67"/>
  <c r="DH66"/>
  <c r="DG66"/>
  <c r="DF66"/>
  <c r="DF65"/>
  <c r="DH65"/>
  <c r="DG65"/>
  <c r="DH64"/>
  <c r="DG64"/>
  <c r="DF64"/>
  <c r="DF63"/>
  <c r="DH63"/>
  <c r="DG63"/>
  <c r="DH62"/>
  <c r="DG62"/>
  <c r="DF62"/>
  <c r="DF61"/>
  <c r="DH61"/>
  <c r="DG61"/>
  <c r="DH60"/>
  <c r="DG60"/>
  <c r="DF60"/>
  <c r="DF59"/>
  <c r="DH59"/>
  <c r="DG59"/>
  <c r="DH58"/>
  <c r="DG58"/>
  <c r="DF58"/>
  <c r="DF57"/>
  <c r="DH57"/>
  <c r="DG57"/>
  <c r="DH56"/>
  <c r="DG56"/>
  <c r="DF56"/>
  <c r="DF55"/>
  <c r="DH55"/>
  <c r="DG55"/>
  <c r="DH54"/>
  <c r="DG54"/>
  <c r="DF54"/>
  <c r="DF53"/>
  <c r="DH53"/>
  <c r="DG53"/>
  <c r="DH52"/>
  <c r="DG52"/>
  <c r="DF52"/>
  <c r="DF51"/>
  <c r="DH51"/>
  <c r="DG51"/>
  <c r="DH50"/>
  <c r="DG50"/>
  <c r="DF50"/>
  <c r="DF49"/>
  <c r="DH49"/>
  <c r="DG49"/>
  <c r="DH48"/>
  <c r="DG48"/>
  <c r="DF48"/>
  <c r="DF47"/>
  <c r="DH47"/>
  <c r="DG47"/>
  <c r="DH46"/>
  <c r="DG46"/>
  <c r="DF46"/>
  <c r="DF45"/>
  <c r="DH45"/>
  <c r="DG45"/>
  <c r="DH44"/>
  <c r="DG44"/>
  <c r="DF44"/>
  <c r="DF43"/>
  <c r="DH43"/>
  <c r="DG43"/>
  <c r="DH42"/>
  <c r="DG42"/>
  <c r="DF42"/>
  <c r="DF41"/>
  <c r="DH41"/>
  <c r="DG41"/>
  <c r="DH40"/>
  <c r="DG40"/>
  <c r="DF40"/>
  <c r="DF39"/>
  <c r="DH39"/>
  <c r="DG39"/>
  <c r="DH38"/>
  <c r="DG38"/>
  <c r="DF38"/>
  <c r="DG37"/>
  <c r="DF37"/>
  <c r="DF36"/>
  <c r="DG36"/>
  <c r="DG35"/>
  <c r="DF35"/>
  <c r="DG34"/>
  <c r="DF34"/>
  <c r="DG33"/>
  <c r="DF33"/>
  <c r="DF32"/>
  <c r="DG32"/>
  <c r="DG29"/>
  <c r="DF29"/>
  <c r="DG25"/>
  <c r="DF25"/>
  <c r="DG21"/>
  <c r="DF17"/>
  <c r="DG13"/>
  <c r="DF9"/>
  <c r="CH206"/>
  <c r="CJ206" s="1"/>
  <c r="CL206" s="1"/>
  <c r="CH196"/>
  <c r="CJ196" s="1"/>
  <c r="CL196" s="1"/>
  <c r="CH193"/>
  <c r="CJ193" s="1"/>
  <c r="CH174"/>
  <c r="CJ174" s="1"/>
  <c r="CL174" s="1"/>
  <c r="CH168"/>
  <c r="CJ168" s="1"/>
  <c r="CL168" s="1"/>
  <c r="CH164"/>
  <c r="CJ164" s="1"/>
  <c r="CL164" s="1"/>
  <c r="CH35"/>
  <c r="CJ35" s="1"/>
  <c r="CL35" s="1"/>
  <c r="CH34"/>
  <c r="CJ34" s="1"/>
  <c r="CL34" s="1"/>
  <c r="CH21"/>
  <c r="CJ21" s="1"/>
  <c r="CL21" s="1"/>
  <c r="CH204"/>
  <c r="CJ204" s="1"/>
  <c r="CL204" s="1"/>
  <c r="CH182"/>
  <c r="CJ182" s="1"/>
  <c r="CL182" s="1"/>
  <c r="CH176"/>
  <c r="CJ176" s="1"/>
  <c r="CL176" s="1"/>
  <c r="CH172"/>
  <c r="CJ172" s="1"/>
  <c r="CL172" s="1"/>
  <c r="CH169"/>
  <c r="CJ169" s="1"/>
  <c r="CH150"/>
  <c r="CJ150" s="1"/>
  <c r="CL150" s="1"/>
  <c r="CL198"/>
  <c r="CL184"/>
  <c r="CL180"/>
  <c r="CL152"/>
  <c r="CL148"/>
  <c r="CL23"/>
  <c r="CL19"/>
  <c r="CJ192"/>
  <c r="CL192" s="1"/>
  <c r="CJ188"/>
  <c r="CL188" s="1"/>
  <c r="CJ185"/>
  <c r="CL185" s="1"/>
  <c r="CH166"/>
  <c r="CJ166" s="1"/>
  <c r="CL166" s="1"/>
  <c r="CH160"/>
  <c r="CJ160" s="1"/>
  <c r="CL160" s="1"/>
  <c r="CH159"/>
  <c r="CJ159" s="1"/>
  <c r="CL159" s="1"/>
  <c r="CH156"/>
  <c r="CJ156" s="1"/>
  <c r="CL156" s="1"/>
  <c r="CH153"/>
  <c r="CJ153" s="1"/>
  <c r="CL153" s="1"/>
  <c r="CH37"/>
  <c r="CJ37" s="1"/>
  <c r="CL37" s="1"/>
  <c r="CJ31"/>
  <c r="CL31" s="1"/>
  <c r="CH30"/>
  <c r="CJ30" s="1"/>
  <c r="CL30" s="1"/>
  <c r="CJ27"/>
  <c r="CL27" s="1"/>
  <c r="CH26"/>
  <c r="CJ26" s="1"/>
  <c r="CL26" s="1"/>
  <c r="CN205"/>
  <c r="CO200"/>
  <c r="CN197"/>
  <c r="CH189"/>
  <c r="CJ189" s="1"/>
  <c r="CL189" s="1"/>
  <c r="CH181"/>
  <c r="CJ181" s="1"/>
  <c r="CL181" s="1"/>
  <c r="CH173"/>
  <c r="CJ173" s="1"/>
  <c r="CL173" s="1"/>
  <c r="CH165"/>
  <c r="CJ165" s="1"/>
  <c r="CL165" s="1"/>
  <c r="CH157"/>
  <c r="CJ157" s="1"/>
  <c r="CL157" s="1"/>
  <c r="CJ151"/>
  <c r="CL151" s="1"/>
  <c r="CH22"/>
  <c r="CJ22" s="1"/>
  <c r="CL22" s="1"/>
  <c r="BS154"/>
  <c r="BU154" s="1"/>
  <c r="BW154" s="1"/>
  <c r="CO206"/>
  <c r="CN203"/>
  <c r="CO198"/>
  <c r="CN195"/>
  <c r="CH187"/>
  <c r="CJ187" s="1"/>
  <c r="CL187" s="1"/>
  <c r="CH179"/>
  <c r="CJ179" s="1"/>
  <c r="CL179" s="1"/>
  <c r="CH171"/>
  <c r="CJ171" s="1"/>
  <c r="CL171" s="1"/>
  <c r="CH163"/>
  <c r="CJ163" s="1"/>
  <c r="CL163" s="1"/>
  <c r="CH155"/>
  <c r="CJ155" s="1"/>
  <c r="CL155" s="1"/>
  <c r="CH149"/>
  <c r="CJ149" s="1"/>
  <c r="CL149" s="1"/>
  <c r="CH36"/>
  <c r="CJ36" s="1"/>
  <c r="CL36" s="1"/>
  <c r="CH28"/>
  <c r="CJ28" s="1"/>
  <c r="CL28" s="1"/>
  <c r="CH20"/>
  <c r="CJ20" s="1"/>
  <c r="CL20" s="1"/>
  <c r="CO204"/>
  <c r="CN201"/>
  <c r="CO196"/>
  <c r="CL193"/>
  <c r="CL177"/>
  <c r="CL169"/>
  <c r="CH7"/>
  <c r="CJ7" s="1"/>
  <c r="CL7" s="1"/>
  <c r="CO202"/>
  <c r="CH200"/>
  <c r="CJ200" s="1"/>
  <c r="CL200" s="1"/>
  <c r="CN199"/>
  <c r="CO194"/>
  <c r="CH191"/>
  <c r="CJ191" s="1"/>
  <c r="CL191" s="1"/>
  <c r="CH183"/>
  <c r="CJ183" s="1"/>
  <c r="CL183" s="1"/>
  <c r="CH175"/>
  <c r="CJ175" s="1"/>
  <c r="CL175" s="1"/>
  <c r="CH167"/>
  <c r="CJ167" s="1"/>
  <c r="CL167" s="1"/>
  <c r="CH161"/>
  <c r="CJ161" s="1"/>
  <c r="CL161" s="1"/>
  <c r="CH32"/>
  <c r="CJ32" s="1"/>
  <c r="CL32" s="1"/>
  <c r="CH24"/>
  <c r="CJ24" s="1"/>
  <c r="CL24" s="1"/>
  <c r="CN192"/>
  <c r="CM192"/>
  <c r="CO192"/>
  <c r="CN190"/>
  <c r="CM190"/>
  <c r="CO190"/>
  <c r="CN188"/>
  <c r="CM188"/>
  <c r="CO188"/>
  <c r="CN186"/>
  <c r="CM186"/>
  <c r="CO186"/>
  <c r="CN184"/>
  <c r="CM184"/>
  <c r="CO184"/>
  <c r="CN182"/>
  <c r="CM182"/>
  <c r="CO182"/>
  <c r="CN180"/>
  <c r="CM180"/>
  <c r="CO180"/>
  <c r="CN178"/>
  <c r="CM178"/>
  <c r="CO178"/>
  <c r="CN176"/>
  <c r="CM176"/>
  <c r="CO176"/>
  <c r="CN174"/>
  <c r="CM174"/>
  <c r="CO174"/>
  <c r="CN172"/>
  <c r="CM172"/>
  <c r="CO172"/>
  <c r="CN170"/>
  <c r="CM170"/>
  <c r="CO170"/>
  <c r="CN168"/>
  <c r="CM168"/>
  <c r="CO168"/>
  <c r="CN166"/>
  <c r="CM166"/>
  <c r="CO166"/>
  <c r="CN164"/>
  <c r="CM164"/>
  <c r="CO164"/>
  <c r="CN162"/>
  <c r="CM162"/>
  <c r="CO162"/>
  <c r="CN160"/>
  <c r="CM160"/>
  <c r="CO160"/>
  <c r="CN158"/>
  <c r="CM158"/>
  <c r="CO158"/>
  <c r="CN156"/>
  <c r="CM156"/>
  <c r="CO156"/>
  <c r="CN154"/>
  <c r="CM154"/>
  <c r="CO154"/>
  <c r="CN152"/>
  <c r="CM152"/>
  <c r="CO152"/>
  <c r="CN150"/>
  <c r="CM150"/>
  <c r="CO150"/>
  <c r="CN148"/>
  <c r="CM148"/>
  <c r="CO148"/>
  <c r="CN146"/>
  <c r="CM146"/>
  <c r="CO146"/>
  <c r="CO143"/>
  <c r="CN143"/>
  <c r="CM143"/>
  <c r="CH138"/>
  <c r="CJ138" s="1"/>
  <c r="CN138"/>
  <c r="CM138"/>
  <c r="CO138"/>
  <c r="CH134"/>
  <c r="CN134"/>
  <c r="CM134"/>
  <c r="CO134"/>
  <c r="CH130"/>
  <c r="CN130"/>
  <c r="CM130"/>
  <c r="CO130"/>
  <c r="CH126"/>
  <c r="CN126"/>
  <c r="CM126"/>
  <c r="CO126"/>
  <c r="CH122"/>
  <c r="CN122"/>
  <c r="CM122"/>
  <c r="CO122"/>
  <c r="CH118"/>
  <c r="CN118"/>
  <c r="CM118"/>
  <c r="CO118"/>
  <c r="CH114"/>
  <c r="CJ114" s="1"/>
  <c r="CN114"/>
  <c r="CM114"/>
  <c r="CO114"/>
  <c r="CH110"/>
  <c r="CJ110" s="1"/>
  <c r="CL110" s="1"/>
  <c r="CN110"/>
  <c r="CM110"/>
  <c r="CO110"/>
  <c r="CH106"/>
  <c r="CJ106" s="1"/>
  <c r="CL106" s="1"/>
  <c r="CN106"/>
  <c r="CM106"/>
  <c r="CO106"/>
  <c r="CH102"/>
  <c r="CJ102" s="1"/>
  <c r="CL102" s="1"/>
  <c r="CN102"/>
  <c r="CM102"/>
  <c r="CO102"/>
  <c r="CH98"/>
  <c r="CJ98" s="1"/>
  <c r="CN98"/>
  <c r="CM98"/>
  <c r="CO98"/>
  <c r="CH94"/>
  <c r="CJ94" s="1"/>
  <c r="CL94" s="1"/>
  <c r="CN94"/>
  <c r="CM94"/>
  <c r="CO94"/>
  <c r="CH90"/>
  <c r="CJ90" s="1"/>
  <c r="CN90"/>
  <c r="CM90"/>
  <c r="CO90"/>
  <c r="CH86"/>
  <c r="CJ86" s="1"/>
  <c r="CL86" s="1"/>
  <c r="CN86"/>
  <c r="CM86"/>
  <c r="CO86"/>
  <c r="CH82"/>
  <c r="CJ82" s="1"/>
  <c r="CN82"/>
  <c r="CM82"/>
  <c r="CO82"/>
  <c r="CH78"/>
  <c r="CJ78" s="1"/>
  <c r="CL78" s="1"/>
  <c r="CN78"/>
  <c r="CM78"/>
  <c r="CO78"/>
  <c r="CH74"/>
  <c r="CJ74" s="1"/>
  <c r="CL74" s="1"/>
  <c r="CN74"/>
  <c r="CM74"/>
  <c r="CO74"/>
  <c r="CH70"/>
  <c r="CJ70" s="1"/>
  <c r="CL70" s="1"/>
  <c r="CN70"/>
  <c r="CM70"/>
  <c r="CO70"/>
  <c r="CH66"/>
  <c r="CJ66" s="1"/>
  <c r="CL66" s="1"/>
  <c r="CN66"/>
  <c r="CM66"/>
  <c r="CO66"/>
  <c r="CH62"/>
  <c r="CJ62" s="1"/>
  <c r="CL62" s="1"/>
  <c r="CN62"/>
  <c r="CM62"/>
  <c r="CO62"/>
  <c r="CH58"/>
  <c r="CJ58" s="1"/>
  <c r="CN58"/>
  <c r="CM58"/>
  <c r="CO58"/>
  <c r="CH54"/>
  <c r="CJ54" s="1"/>
  <c r="CL54" s="1"/>
  <c r="CN54"/>
  <c r="CM54"/>
  <c r="CO54"/>
  <c r="CH50"/>
  <c r="CJ50" s="1"/>
  <c r="CL50" s="1"/>
  <c r="CN50"/>
  <c r="CM50"/>
  <c r="CO50"/>
  <c r="CH46"/>
  <c r="CJ46" s="1"/>
  <c r="CL46" s="1"/>
  <c r="CN46"/>
  <c r="CM46"/>
  <c r="CO46"/>
  <c r="CH42"/>
  <c r="CJ42" s="1"/>
  <c r="CL42" s="1"/>
  <c r="CN42"/>
  <c r="CM42"/>
  <c r="CO42"/>
  <c r="CH38"/>
  <c r="CJ38" s="1"/>
  <c r="CL38" s="1"/>
  <c r="CN38"/>
  <c r="CM38"/>
  <c r="CO38"/>
  <c r="CN36"/>
  <c r="CM36"/>
  <c r="CN34"/>
  <c r="CM34"/>
  <c r="CN32"/>
  <c r="CM32"/>
  <c r="CN30"/>
  <c r="CM30"/>
  <c r="CN28"/>
  <c r="CM28"/>
  <c r="CN26"/>
  <c r="CM26"/>
  <c r="CN24"/>
  <c r="CM24"/>
  <c r="CN22"/>
  <c r="CM22"/>
  <c r="CN20"/>
  <c r="CM20"/>
  <c r="CN18"/>
  <c r="CM18"/>
  <c r="CH15"/>
  <c r="CJ15" s="1"/>
  <c r="CL15" s="1"/>
  <c r="CN15"/>
  <c r="CM15"/>
  <c r="CN11"/>
  <c r="CM11"/>
  <c r="CN7"/>
  <c r="CM7"/>
  <c r="BS15"/>
  <c r="BU15" s="1"/>
  <c r="BW15" s="1"/>
  <c r="BS11"/>
  <c r="BU11" s="1"/>
  <c r="BW11" s="1"/>
  <c r="BS7"/>
  <c r="BU7" s="1"/>
  <c r="BW7" s="1"/>
  <c r="CL114"/>
  <c r="CL98"/>
  <c r="CL90"/>
  <c r="CL82"/>
  <c r="CL58"/>
  <c r="CH10"/>
  <c r="CJ10" s="1"/>
  <c r="CL10" s="1"/>
  <c r="CM206"/>
  <c r="CO205"/>
  <c r="CM204"/>
  <c r="CO203"/>
  <c r="CM202"/>
  <c r="CO201"/>
  <c r="CM200"/>
  <c r="CO199"/>
  <c r="CM198"/>
  <c r="CO197"/>
  <c r="CM196"/>
  <c r="CO195"/>
  <c r="CM194"/>
  <c r="CO193"/>
  <c r="CH144"/>
  <c r="CJ144" s="1"/>
  <c r="CN144"/>
  <c r="CM144"/>
  <c r="CO144"/>
  <c r="CO141"/>
  <c r="CN141"/>
  <c r="CM141"/>
  <c r="CH135"/>
  <c r="CJ135" s="1"/>
  <c r="CO135"/>
  <c r="CN135"/>
  <c r="CM135"/>
  <c r="CH131"/>
  <c r="CJ131" s="1"/>
  <c r="CL131" s="1"/>
  <c r="CO131"/>
  <c r="CN131"/>
  <c r="CM131"/>
  <c r="CH127"/>
  <c r="CJ127" s="1"/>
  <c r="CL127" s="1"/>
  <c r="CO127"/>
  <c r="CN127"/>
  <c r="CM127"/>
  <c r="CH123"/>
  <c r="CJ123" s="1"/>
  <c r="CL123" s="1"/>
  <c r="CO123"/>
  <c r="CN123"/>
  <c r="CM123"/>
  <c r="CH119"/>
  <c r="CJ119" s="1"/>
  <c r="CO119"/>
  <c r="CN119"/>
  <c r="CM119"/>
  <c r="CH115"/>
  <c r="CJ115" s="1"/>
  <c r="CL115" s="1"/>
  <c r="CO115"/>
  <c r="CN115"/>
  <c r="CM115"/>
  <c r="CH111"/>
  <c r="CJ111" s="1"/>
  <c r="CL111" s="1"/>
  <c r="CO111"/>
  <c r="CN111"/>
  <c r="CM111"/>
  <c r="CH107"/>
  <c r="CJ107" s="1"/>
  <c r="CL107" s="1"/>
  <c r="CO107"/>
  <c r="CN107"/>
  <c r="CM107"/>
  <c r="CH103"/>
  <c r="CJ103" s="1"/>
  <c r="CO103"/>
  <c r="CN103"/>
  <c r="CM103"/>
  <c r="CH99"/>
  <c r="CJ99" s="1"/>
  <c r="CL99" s="1"/>
  <c r="CO99"/>
  <c r="CN99"/>
  <c r="CM99"/>
  <c r="CH95"/>
  <c r="CJ95" s="1"/>
  <c r="CL95" s="1"/>
  <c r="CO95"/>
  <c r="CN95"/>
  <c r="CM95"/>
  <c r="CH91"/>
  <c r="CJ91" s="1"/>
  <c r="CL91" s="1"/>
  <c r="CO91"/>
  <c r="CN91"/>
  <c r="CM91"/>
  <c r="CH87"/>
  <c r="CJ87" s="1"/>
  <c r="CL87" s="1"/>
  <c r="CO87"/>
  <c r="CN87"/>
  <c r="CM87"/>
  <c r="CH83"/>
  <c r="CJ83" s="1"/>
  <c r="CL83" s="1"/>
  <c r="CO83"/>
  <c r="CN83"/>
  <c r="CM83"/>
  <c r="CH79"/>
  <c r="CJ79" s="1"/>
  <c r="CL79" s="1"/>
  <c r="CO79"/>
  <c r="CN79"/>
  <c r="CM79"/>
  <c r="CH75"/>
  <c r="CJ75" s="1"/>
  <c r="CL75" s="1"/>
  <c r="CO75"/>
  <c r="CN75"/>
  <c r="CM75"/>
  <c r="CH71"/>
  <c r="CJ71" s="1"/>
  <c r="CL71" s="1"/>
  <c r="CO71"/>
  <c r="CN71"/>
  <c r="CM71"/>
  <c r="CH67"/>
  <c r="CJ67" s="1"/>
  <c r="CL67" s="1"/>
  <c r="CO67"/>
  <c r="CN67"/>
  <c r="CM67"/>
  <c r="CH63"/>
  <c r="CJ63" s="1"/>
  <c r="CL63" s="1"/>
  <c r="CO63"/>
  <c r="CN63"/>
  <c r="CM63"/>
  <c r="CH59"/>
  <c r="CJ59" s="1"/>
  <c r="CL59" s="1"/>
  <c r="CO59"/>
  <c r="CN59"/>
  <c r="CM59"/>
  <c r="CH55"/>
  <c r="CJ55" s="1"/>
  <c r="CL55" s="1"/>
  <c r="CO55"/>
  <c r="CN55"/>
  <c r="CM55"/>
  <c r="CH51"/>
  <c r="CJ51" s="1"/>
  <c r="CL51" s="1"/>
  <c r="CO51"/>
  <c r="CN51"/>
  <c r="CM51"/>
  <c r="CH47"/>
  <c r="CJ47" s="1"/>
  <c r="CL47" s="1"/>
  <c r="CO47"/>
  <c r="CN47"/>
  <c r="CM47"/>
  <c r="CH43"/>
  <c r="CJ43" s="1"/>
  <c r="CL43" s="1"/>
  <c r="CO43"/>
  <c r="CN43"/>
  <c r="CM43"/>
  <c r="CH39"/>
  <c r="CJ39" s="1"/>
  <c r="CL39" s="1"/>
  <c r="CO39"/>
  <c r="CN39"/>
  <c r="CM39"/>
  <c r="CH16"/>
  <c r="CJ16" s="1"/>
  <c r="CL16" s="1"/>
  <c r="CN16"/>
  <c r="CM16"/>
  <c r="CH12"/>
  <c r="CJ12" s="1"/>
  <c r="CN12"/>
  <c r="CM12"/>
  <c r="CN8"/>
  <c r="CM8"/>
  <c r="CH205"/>
  <c r="CJ205" s="1"/>
  <c r="CL205" s="1"/>
  <c r="CH203"/>
  <c r="CJ203" s="1"/>
  <c r="CL203" s="1"/>
  <c r="CH201"/>
  <c r="CJ201" s="1"/>
  <c r="CL201" s="1"/>
  <c r="CH199"/>
  <c r="CJ199" s="1"/>
  <c r="CL199" s="1"/>
  <c r="CH197"/>
  <c r="CJ197" s="1"/>
  <c r="CL197" s="1"/>
  <c r="CH195"/>
  <c r="CJ195" s="1"/>
  <c r="CL195" s="1"/>
  <c r="CL135"/>
  <c r="CL119"/>
  <c r="CL103"/>
  <c r="CL12"/>
  <c r="CN206"/>
  <c r="CN204"/>
  <c r="CN202"/>
  <c r="CN200"/>
  <c r="CN198"/>
  <c r="CN196"/>
  <c r="CN194"/>
  <c r="CO191"/>
  <c r="CN191"/>
  <c r="CM191"/>
  <c r="CO189"/>
  <c r="CN189"/>
  <c r="CM189"/>
  <c r="CO187"/>
  <c r="CN187"/>
  <c r="CM187"/>
  <c r="CO185"/>
  <c r="CN185"/>
  <c r="CM185"/>
  <c r="CO183"/>
  <c r="CN183"/>
  <c r="CM183"/>
  <c r="CO181"/>
  <c r="CN181"/>
  <c r="CM181"/>
  <c r="CO179"/>
  <c r="CN179"/>
  <c r="CM179"/>
  <c r="CO177"/>
  <c r="CN177"/>
  <c r="CM177"/>
  <c r="CO175"/>
  <c r="CN175"/>
  <c r="CM175"/>
  <c r="CO173"/>
  <c r="CN173"/>
  <c r="CM173"/>
  <c r="CO171"/>
  <c r="CN171"/>
  <c r="CM171"/>
  <c r="CO169"/>
  <c r="CN169"/>
  <c r="CM169"/>
  <c r="CO167"/>
  <c r="CN167"/>
  <c r="CM167"/>
  <c r="CO165"/>
  <c r="CN165"/>
  <c r="CM165"/>
  <c r="CO163"/>
  <c r="CN163"/>
  <c r="CM163"/>
  <c r="CO161"/>
  <c r="CN161"/>
  <c r="CM161"/>
  <c r="CO159"/>
  <c r="CN159"/>
  <c r="CM159"/>
  <c r="CO157"/>
  <c r="CN157"/>
  <c r="CM157"/>
  <c r="CO155"/>
  <c r="CN155"/>
  <c r="CM155"/>
  <c r="CO153"/>
  <c r="CN153"/>
  <c r="CM153"/>
  <c r="CO151"/>
  <c r="CN151"/>
  <c r="CM151"/>
  <c r="CO149"/>
  <c r="CN149"/>
  <c r="CM149"/>
  <c r="CO147"/>
  <c r="CN147"/>
  <c r="CM147"/>
  <c r="CH142"/>
  <c r="CJ142" s="1"/>
  <c r="CN142"/>
  <c r="CM142"/>
  <c r="CO142"/>
  <c r="CO139"/>
  <c r="CN139"/>
  <c r="CM139"/>
  <c r="CN136"/>
  <c r="CM136"/>
  <c r="CO136"/>
  <c r="CN132"/>
  <c r="CM132"/>
  <c r="CO132"/>
  <c r="CN128"/>
  <c r="CM128"/>
  <c r="CO128"/>
  <c r="CN124"/>
  <c r="CM124"/>
  <c r="CO124"/>
  <c r="CN120"/>
  <c r="CM120"/>
  <c r="CO120"/>
  <c r="CN116"/>
  <c r="CM116"/>
  <c r="CO116"/>
  <c r="CH112"/>
  <c r="CJ112" s="1"/>
  <c r="CN112"/>
  <c r="CM112"/>
  <c r="CO112"/>
  <c r="CH108"/>
  <c r="CJ108" s="1"/>
  <c r="CN108"/>
  <c r="CM108"/>
  <c r="CO108"/>
  <c r="CH104"/>
  <c r="CJ104" s="1"/>
  <c r="CL104" s="1"/>
  <c r="CN104"/>
  <c r="CM104"/>
  <c r="CO104"/>
  <c r="CH100"/>
  <c r="CJ100" s="1"/>
  <c r="CL100" s="1"/>
  <c r="CN100"/>
  <c r="CM100"/>
  <c r="CO100"/>
  <c r="CH96"/>
  <c r="CJ96" s="1"/>
  <c r="CL96" s="1"/>
  <c r="CN96"/>
  <c r="CM96"/>
  <c r="CO96"/>
  <c r="CH92"/>
  <c r="CJ92" s="1"/>
  <c r="CL92" s="1"/>
  <c r="CN92"/>
  <c r="CM92"/>
  <c r="CO92"/>
  <c r="CH88"/>
  <c r="CJ88" s="1"/>
  <c r="CL88" s="1"/>
  <c r="CN88"/>
  <c r="CM88"/>
  <c r="CO88"/>
  <c r="CH84"/>
  <c r="CJ84" s="1"/>
  <c r="CL84" s="1"/>
  <c r="CN84"/>
  <c r="CM84"/>
  <c r="CO84"/>
  <c r="CH80"/>
  <c r="CJ80" s="1"/>
  <c r="CL80" s="1"/>
  <c r="CN80"/>
  <c r="CM80"/>
  <c r="CO80"/>
  <c r="CH76"/>
  <c r="CJ76" s="1"/>
  <c r="CL76" s="1"/>
  <c r="CN76"/>
  <c r="CM76"/>
  <c r="CO76"/>
  <c r="CH72"/>
  <c r="CJ72" s="1"/>
  <c r="CL72" s="1"/>
  <c r="CN72"/>
  <c r="CM72"/>
  <c r="CO72"/>
  <c r="CH68"/>
  <c r="CJ68" s="1"/>
  <c r="CL68" s="1"/>
  <c r="CN68"/>
  <c r="CM68"/>
  <c r="CO68"/>
  <c r="CH64"/>
  <c r="CJ64" s="1"/>
  <c r="CL64" s="1"/>
  <c r="CN64"/>
  <c r="CM64"/>
  <c r="CO64"/>
  <c r="CH60"/>
  <c r="CJ60" s="1"/>
  <c r="CL60" s="1"/>
  <c r="CN60"/>
  <c r="CM60"/>
  <c r="CO60"/>
  <c r="CH56"/>
  <c r="CJ56" s="1"/>
  <c r="CL56" s="1"/>
  <c r="CN56"/>
  <c r="CM56"/>
  <c r="CO56"/>
  <c r="CH52"/>
  <c r="CJ52" s="1"/>
  <c r="CL52" s="1"/>
  <c r="CN52"/>
  <c r="CM52"/>
  <c r="CO52"/>
  <c r="CH48"/>
  <c r="CJ48" s="1"/>
  <c r="CL48" s="1"/>
  <c r="CN48"/>
  <c r="CM48"/>
  <c r="CO48"/>
  <c r="CH44"/>
  <c r="CJ44" s="1"/>
  <c r="CL44" s="1"/>
  <c r="CN44"/>
  <c r="CM44"/>
  <c r="CO44"/>
  <c r="CH40"/>
  <c r="CJ40" s="1"/>
  <c r="CL40" s="1"/>
  <c r="CN40"/>
  <c r="CM40"/>
  <c r="CO40"/>
  <c r="CM37"/>
  <c r="CN37"/>
  <c r="CN35"/>
  <c r="CM35"/>
  <c r="CM33"/>
  <c r="CN33"/>
  <c r="CN31"/>
  <c r="CM31"/>
  <c r="CM29"/>
  <c r="CN29"/>
  <c r="CN27"/>
  <c r="CM27"/>
  <c r="CM25"/>
  <c r="CN25"/>
  <c r="CN23"/>
  <c r="CM23"/>
  <c r="CM21"/>
  <c r="CN21"/>
  <c r="CN19"/>
  <c r="CM19"/>
  <c r="CM17"/>
  <c r="CN17"/>
  <c r="CH13"/>
  <c r="CJ13" s="1"/>
  <c r="CL13" s="1"/>
  <c r="CM13"/>
  <c r="CN13"/>
  <c r="CM9"/>
  <c r="CN9"/>
  <c r="CM193"/>
  <c r="CL112"/>
  <c r="CL108"/>
  <c r="CH8"/>
  <c r="CJ8" s="1"/>
  <c r="CL8" s="1"/>
  <c r="CM205"/>
  <c r="CM203"/>
  <c r="CM201"/>
  <c r="CM199"/>
  <c r="CM197"/>
  <c r="CM195"/>
  <c r="CO145"/>
  <c r="CN145"/>
  <c r="CM145"/>
  <c r="CH140"/>
  <c r="CJ140" s="1"/>
  <c r="CL140" s="1"/>
  <c r="CN140"/>
  <c r="CM140"/>
  <c r="CO140"/>
  <c r="CO137"/>
  <c r="CN137"/>
  <c r="CM137"/>
  <c r="CO133"/>
  <c r="CN133"/>
  <c r="CM133"/>
  <c r="CO129"/>
  <c r="CN129"/>
  <c r="CM129"/>
  <c r="CO125"/>
  <c r="CN125"/>
  <c r="CM125"/>
  <c r="CO121"/>
  <c r="CN121"/>
  <c r="CM121"/>
  <c r="CO117"/>
  <c r="CN117"/>
  <c r="CM117"/>
  <c r="CH113"/>
  <c r="CJ113" s="1"/>
  <c r="CL113" s="1"/>
  <c r="CO113"/>
  <c r="CN113"/>
  <c r="CM113"/>
  <c r="CH109"/>
  <c r="CJ109" s="1"/>
  <c r="CL109" s="1"/>
  <c r="CO109"/>
  <c r="CN109"/>
  <c r="CM109"/>
  <c r="CH105"/>
  <c r="CJ105" s="1"/>
  <c r="CL105" s="1"/>
  <c r="CO105"/>
  <c r="CN105"/>
  <c r="CM105"/>
  <c r="CH101"/>
  <c r="CJ101" s="1"/>
  <c r="CL101" s="1"/>
  <c r="CO101"/>
  <c r="CN101"/>
  <c r="CM101"/>
  <c r="CH97"/>
  <c r="CJ97" s="1"/>
  <c r="CL97" s="1"/>
  <c r="CO97"/>
  <c r="CN97"/>
  <c r="CM97"/>
  <c r="CH93"/>
  <c r="CJ93" s="1"/>
  <c r="CO93"/>
  <c r="CN93"/>
  <c r="CM93"/>
  <c r="CH89"/>
  <c r="CJ89" s="1"/>
  <c r="CL89" s="1"/>
  <c r="CO89"/>
  <c r="CN89"/>
  <c r="CM89"/>
  <c r="CH85"/>
  <c r="CJ85" s="1"/>
  <c r="CL85" s="1"/>
  <c r="CO85"/>
  <c r="CN85"/>
  <c r="CM85"/>
  <c r="CH81"/>
  <c r="CJ81" s="1"/>
  <c r="CL81" s="1"/>
  <c r="CO81"/>
  <c r="CN81"/>
  <c r="CM81"/>
  <c r="CH77"/>
  <c r="CJ77" s="1"/>
  <c r="CL77" s="1"/>
  <c r="CO77"/>
  <c r="CN77"/>
  <c r="CM77"/>
  <c r="CH73"/>
  <c r="CJ73" s="1"/>
  <c r="CL73" s="1"/>
  <c r="CO73"/>
  <c r="CN73"/>
  <c r="CM73"/>
  <c r="CH69"/>
  <c r="CJ69" s="1"/>
  <c r="CL69" s="1"/>
  <c r="CO69"/>
  <c r="CN69"/>
  <c r="CM69"/>
  <c r="CH65"/>
  <c r="CJ65" s="1"/>
  <c r="CL65" s="1"/>
  <c r="CO65"/>
  <c r="CN65"/>
  <c r="CM65"/>
  <c r="CH61"/>
  <c r="CJ61" s="1"/>
  <c r="CL61" s="1"/>
  <c r="CO61"/>
  <c r="CN61"/>
  <c r="CM61"/>
  <c r="CH57"/>
  <c r="CJ57" s="1"/>
  <c r="CL57" s="1"/>
  <c r="CO57"/>
  <c r="CN57"/>
  <c r="CM57"/>
  <c r="CH53"/>
  <c r="CJ53" s="1"/>
  <c r="CL53" s="1"/>
  <c r="CO53"/>
  <c r="CN53"/>
  <c r="CM53"/>
  <c r="CH49"/>
  <c r="CJ49" s="1"/>
  <c r="CL49" s="1"/>
  <c r="CO49"/>
  <c r="CN49"/>
  <c r="CM49"/>
  <c r="CH45"/>
  <c r="CJ45" s="1"/>
  <c r="CL45" s="1"/>
  <c r="CO45"/>
  <c r="CN45"/>
  <c r="CM45"/>
  <c r="CH41"/>
  <c r="CJ41" s="1"/>
  <c r="CL41" s="1"/>
  <c r="CO41"/>
  <c r="CN41"/>
  <c r="CM41"/>
  <c r="CH14"/>
  <c r="CJ14" s="1"/>
  <c r="CL14" s="1"/>
  <c r="CN14"/>
  <c r="CM14"/>
  <c r="CN10"/>
  <c r="CM10"/>
  <c r="CL93"/>
  <c r="CH9"/>
  <c r="CJ9" s="1"/>
  <c r="CL9" s="1"/>
  <c r="CN193"/>
  <c r="CJ134"/>
  <c r="CL134" s="1"/>
  <c r="CJ130"/>
  <c r="CL130" s="1"/>
  <c r="CJ126"/>
  <c r="CL126" s="1"/>
  <c r="CJ122"/>
  <c r="CL122" s="1"/>
  <c r="CJ118"/>
  <c r="CL118" s="1"/>
  <c r="CL11"/>
  <c r="CL144"/>
  <c r="CL142"/>
  <c r="CL138"/>
  <c r="CH136"/>
  <c r="CJ136" s="1"/>
  <c r="CL136" s="1"/>
  <c r="CH132"/>
  <c r="CJ132" s="1"/>
  <c r="CL132" s="1"/>
  <c r="CH128"/>
  <c r="CJ128" s="1"/>
  <c r="CL128" s="1"/>
  <c r="CH124"/>
  <c r="CJ124" s="1"/>
  <c r="CL124" s="1"/>
  <c r="CH120"/>
  <c r="CJ120" s="1"/>
  <c r="CL120" s="1"/>
  <c r="CH116"/>
  <c r="CJ116" s="1"/>
  <c r="CL116" s="1"/>
  <c r="CH145"/>
  <c r="CJ145" s="1"/>
  <c r="CL145" s="1"/>
  <c r="CH143"/>
  <c r="CJ143" s="1"/>
  <c r="CL143" s="1"/>
  <c r="CH141"/>
  <c r="CJ141" s="1"/>
  <c r="CL141" s="1"/>
  <c r="CH139"/>
  <c r="CJ139" s="1"/>
  <c r="CL139" s="1"/>
  <c r="CH137"/>
  <c r="CJ137" s="1"/>
  <c r="CL137" s="1"/>
  <c r="CH133"/>
  <c r="CJ133" s="1"/>
  <c r="CL133" s="1"/>
  <c r="CH129"/>
  <c r="CJ129" s="1"/>
  <c r="CL129" s="1"/>
  <c r="CH125"/>
  <c r="CJ125" s="1"/>
  <c r="CL125" s="1"/>
  <c r="CH121"/>
  <c r="CJ121" s="1"/>
  <c r="CL121" s="1"/>
  <c r="CH117"/>
  <c r="CJ117" s="1"/>
  <c r="CL117" s="1"/>
  <c r="BS150"/>
  <c r="BU150" s="1"/>
  <c r="BW150" s="1"/>
  <c r="BS146"/>
  <c r="BU146" s="1"/>
  <c r="BW146" s="1"/>
  <c r="BS17"/>
  <c r="BU17" s="1"/>
  <c r="BW17" s="1"/>
  <c r="BS176"/>
  <c r="BS172"/>
  <c r="BS168"/>
  <c r="BS164"/>
  <c r="BS160"/>
  <c r="BS203"/>
  <c r="BU203" s="1"/>
  <c r="BW203" s="1"/>
  <c r="BS199"/>
  <c r="BU199" s="1"/>
  <c r="BW199" s="1"/>
  <c r="BS195"/>
  <c r="BU195" s="1"/>
  <c r="BW195" s="1"/>
  <c r="BU37"/>
  <c r="BW37" s="1"/>
  <c r="BU33"/>
  <c r="BW33" s="1"/>
  <c r="BS27"/>
  <c r="BU27" s="1"/>
  <c r="BW27" s="1"/>
  <c r="BS23"/>
  <c r="BU23" s="1"/>
  <c r="BW23" s="1"/>
  <c r="BS19"/>
  <c r="BU19" s="1"/>
  <c r="BW19" s="1"/>
  <c r="BZ204"/>
  <c r="BZ200"/>
  <c r="BZ196"/>
  <c r="BY205"/>
  <c r="BY201"/>
  <c r="BY197"/>
  <c r="BY193"/>
  <c r="BS156"/>
  <c r="BS152"/>
  <c r="BS148"/>
  <c r="BS35"/>
  <c r="BU35" s="1"/>
  <c r="BW35" s="1"/>
  <c r="BS31"/>
  <c r="BU31" s="1"/>
  <c r="BW31" s="1"/>
  <c r="BS29"/>
  <c r="BU29" s="1"/>
  <c r="BW29" s="1"/>
  <c r="BS25"/>
  <c r="BU25" s="1"/>
  <c r="BW25" s="1"/>
  <c r="BS21"/>
  <c r="BU21" s="1"/>
  <c r="BW21" s="1"/>
  <c r="BE29"/>
  <c r="BE25"/>
  <c r="BS190"/>
  <c r="BU190" s="1"/>
  <c r="BX190"/>
  <c r="BZ190"/>
  <c r="BY190"/>
  <c r="BS186"/>
  <c r="BU186" s="1"/>
  <c r="BW186" s="1"/>
  <c r="BX186"/>
  <c r="BZ186"/>
  <c r="BY186"/>
  <c r="BS182"/>
  <c r="BU182" s="1"/>
  <c r="BX182"/>
  <c r="BZ182"/>
  <c r="BY182"/>
  <c r="BS178"/>
  <c r="BU178" s="1"/>
  <c r="BX178"/>
  <c r="BZ178"/>
  <c r="BY178"/>
  <c r="BX174"/>
  <c r="BZ174"/>
  <c r="BY174"/>
  <c r="BX170"/>
  <c r="BZ170"/>
  <c r="BY170"/>
  <c r="BX166"/>
  <c r="BZ166"/>
  <c r="BY166"/>
  <c r="BX162"/>
  <c r="BZ162"/>
  <c r="BY162"/>
  <c r="BX158"/>
  <c r="BZ158"/>
  <c r="BY158"/>
  <c r="BX154"/>
  <c r="BZ154"/>
  <c r="BY154"/>
  <c r="BX150"/>
  <c r="BZ150"/>
  <c r="BY150"/>
  <c r="BX146"/>
  <c r="BZ146"/>
  <c r="BY146"/>
  <c r="BX142"/>
  <c r="BZ142"/>
  <c r="BY142"/>
  <c r="BS138"/>
  <c r="BX138"/>
  <c r="BZ138"/>
  <c r="BY138"/>
  <c r="BS134"/>
  <c r="BX134"/>
  <c r="BZ134"/>
  <c r="BY134"/>
  <c r="BS130"/>
  <c r="BX130"/>
  <c r="BZ130"/>
  <c r="BY130"/>
  <c r="BS126"/>
  <c r="BX126"/>
  <c r="BZ126"/>
  <c r="BY126"/>
  <c r="BS122"/>
  <c r="BX122"/>
  <c r="BZ122"/>
  <c r="BY122"/>
  <c r="BS118"/>
  <c r="BX118"/>
  <c r="BZ118"/>
  <c r="BY118"/>
  <c r="BS114"/>
  <c r="BX114"/>
  <c r="BZ114"/>
  <c r="BY114"/>
  <c r="BS110"/>
  <c r="BX110"/>
  <c r="BZ110"/>
  <c r="BY110"/>
  <c r="BS106"/>
  <c r="BU106" s="1"/>
  <c r="BW106" s="1"/>
  <c r="BX106"/>
  <c r="BZ106"/>
  <c r="BY106"/>
  <c r="BS102"/>
  <c r="BU102" s="1"/>
  <c r="BW102" s="1"/>
  <c r="BX102"/>
  <c r="BZ102"/>
  <c r="BY102"/>
  <c r="BS98"/>
  <c r="BU98" s="1"/>
  <c r="BW98" s="1"/>
  <c r="BX98"/>
  <c r="BZ98"/>
  <c r="BY98"/>
  <c r="BS94"/>
  <c r="BU94" s="1"/>
  <c r="BW94" s="1"/>
  <c r="BX94"/>
  <c r="BZ94"/>
  <c r="BY94"/>
  <c r="BS90"/>
  <c r="BU90" s="1"/>
  <c r="BW90" s="1"/>
  <c r="BX90"/>
  <c r="BZ90"/>
  <c r="BY90"/>
  <c r="BS86"/>
  <c r="BU86" s="1"/>
  <c r="BW86" s="1"/>
  <c r="BX86"/>
  <c r="BZ86"/>
  <c r="BY86"/>
  <c r="BS82"/>
  <c r="BU82" s="1"/>
  <c r="BW82" s="1"/>
  <c r="BX82"/>
  <c r="BZ82"/>
  <c r="BY82"/>
  <c r="BS78"/>
  <c r="BU78" s="1"/>
  <c r="BW78" s="1"/>
  <c r="BX78"/>
  <c r="BZ78"/>
  <c r="BY78"/>
  <c r="BS74"/>
  <c r="BU74" s="1"/>
  <c r="BW74" s="1"/>
  <c r="BX74"/>
  <c r="BZ74"/>
  <c r="BY74"/>
  <c r="BS70"/>
  <c r="BU70" s="1"/>
  <c r="BW70" s="1"/>
  <c r="BX70"/>
  <c r="BZ70"/>
  <c r="BY70"/>
  <c r="BS66"/>
  <c r="BU66" s="1"/>
  <c r="BW66" s="1"/>
  <c r="BX66"/>
  <c r="BZ66"/>
  <c r="BY66"/>
  <c r="BS62"/>
  <c r="BU62" s="1"/>
  <c r="BW62" s="1"/>
  <c r="BX62"/>
  <c r="BZ62"/>
  <c r="BY62"/>
  <c r="BS58"/>
  <c r="BU58" s="1"/>
  <c r="BW58" s="1"/>
  <c r="BX58"/>
  <c r="BZ58"/>
  <c r="BY58"/>
  <c r="BS54"/>
  <c r="BU54" s="1"/>
  <c r="BW54" s="1"/>
  <c r="BX54"/>
  <c r="BZ54"/>
  <c r="BY54"/>
  <c r="BS50"/>
  <c r="BU50" s="1"/>
  <c r="BW50" s="1"/>
  <c r="BX50"/>
  <c r="BZ50"/>
  <c r="BY50"/>
  <c r="BS46"/>
  <c r="BU46" s="1"/>
  <c r="BW46" s="1"/>
  <c r="BX46"/>
  <c r="BZ46"/>
  <c r="BY46"/>
  <c r="BS42"/>
  <c r="BU42" s="1"/>
  <c r="BW42" s="1"/>
  <c r="BX42"/>
  <c r="BZ42"/>
  <c r="BY42"/>
  <c r="BS38"/>
  <c r="BU38" s="1"/>
  <c r="BW38" s="1"/>
  <c r="BX38"/>
  <c r="BZ38"/>
  <c r="BY38"/>
  <c r="BY36"/>
  <c r="BX36"/>
  <c r="BX34"/>
  <c r="BY34"/>
  <c r="BY32"/>
  <c r="BX32"/>
  <c r="BX30"/>
  <c r="BY30"/>
  <c r="BY28"/>
  <c r="BX28"/>
  <c r="BX26"/>
  <c r="BY26"/>
  <c r="BY24"/>
  <c r="BX24"/>
  <c r="BX22"/>
  <c r="BY22"/>
  <c r="BY20"/>
  <c r="BX20"/>
  <c r="BX18"/>
  <c r="BY18"/>
  <c r="BY16"/>
  <c r="BX16"/>
  <c r="BY12"/>
  <c r="BX12"/>
  <c r="BY8"/>
  <c r="BX8"/>
  <c r="BE195"/>
  <c r="BG195" s="1"/>
  <c r="BI195" s="1"/>
  <c r="BE27"/>
  <c r="BE23"/>
  <c r="BE21"/>
  <c r="BG21" s="1"/>
  <c r="BI21" s="1"/>
  <c r="BE19"/>
  <c r="BG19" s="1"/>
  <c r="BS206"/>
  <c r="BU206" s="1"/>
  <c r="BW206" s="1"/>
  <c r="BS202"/>
  <c r="BU202" s="1"/>
  <c r="BW202" s="1"/>
  <c r="BS198"/>
  <c r="BU198" s="1"/>
  <c r="BW198" s="1"/>
  <c r="BS194"/>
  <c r="BU194" s="1"/>
  <c r="BW194" s="1"/>
  <c r="BW190"/>
  <c r="BW182"/>
  <c r="BW178"/>
  <c r="BS173"/>
  <c r="BU173" s="1"/>
  <c r="BW173" s="1"/>
  <c r="BS169"/>
  <c r="BU169" s="1"/>
  <c r="BW169" s="1"/>
  <c r="BS165"/>
  <c r="BU165" s="1"/>
  <c r="BW165" s="1"/>
  <c r="BS161"/>
  <c r="BU161" s="1"/>
  <c r="BW161" s="1"/>
  <c r="BS157"/>
  <c r="BU157" s="1"/>
  <c r="BW157" s="1"/>
  <c r="BS153"/>
  <c r="BU153" s="1"/>
  <c r="BW153" s="1"/>
  <c r="BS149"/>
  <c r="BU149" s="1"/>
  <c r="BW149" s="1"/>
  <c r="BY206"/>
  <c r="BY204"/>
  <c r="BY202"/>
  <c r="BY200"/>
  <c r="BY198"/>
  <c r="BY196"/>
  <c r="BY194"/>
  <c r="BS191"/>
  <c r="BU191" s="1"/>
  <c r="BZ191"/>
  <c r="BY191"/>
  <c r="BX191"/>
  <c r="BS187"/>
  <c r="BU187" s="1"/>
  <c r="BW187" s="1"/>
  <c r="BZ187"/>
  <c r="BY187"/>
  <c r="BX187"/>
  <c r="BS183"/>
  <c r="BU183" s="1"/>
  <c r="BW183" s="1"/>
  <c r="BZ183"/>
  <c r="BY183"/>
  <c r="BX183"/>
  <c r="BS179"/>
  <c r="BU179" s="1"/>
  <c r="BW179" s="1"/>
  <c r="BZ179"/>
  <c r="BY179"/>
  <c r="BX179"/>
  <c r="BZ175"/>
  <c r="BY175"/>
  <c r="BX175"/>
  <c r="BZ171"/>
  <c r="BY171"/>
  <c r="BX171"/>
  <c r="BZ167"/>
  <c r="BY167"/>
  <c r="BX167"/>
  <c r="BZ163"/>
  <c r="BY163"/>
  <c r="BX163"/>
  <c r="BZ159"/>
  <c r="BY159"/>
  <c r="BX159"/>
  <c r="BZ155"/>
  <c r="BY155"/>
  <c r="BX155"/>
  <c r="BZ151"/>
  <c r="BY151"/>
  <c r="BX151"/>
  <c r="BZ147"/>
  <c r="BY147"/>
  <c r="BX147"/>
  <c r="BZ143"/>
  <c r="BY143"/>
  <c r="BX143"/>
  <c r="BZ139"/>
  <c r="BY139"/>
  <c r="BX139"/>
  <c r="BS135"/>
  <c r="BU135" s="1"/>
  <c r="BW135" s="1"/>
  <c r="BZ135"/>
  <c r="BY135"/>
  <c r="BX135"/>
  <c r="BS131"/>
  <c r="BU131" s="1"/>
  <c r="BW131" s="1"/>
  <c r="BZ131"/>
  <c r="BY131"/>
  <c r="BX131"/>
  <c r="BS127"/>
  <c r="BU127" s="1"/>
  <c r="BW127" s="1"/>
  <c r="BZ127"/>
  <c r="BY127"/>
  <c r="BX127"/>
  <c r="BS123"/>
  <c r="BU123" s="1"/>
  <c r="BW123" s="1"/>
  <c r="BZ123"/>
  <c r="BY123"/>
  <c r="BX123"/>
  <c r="BS119"/>
  <c r="BU119" s="1"/>
  <c r="BW119" s="1"/>
  <c r="BZ119"/>
  <c r="BY119"/>
  <c r="BX119"/>
  <c r="BS115"/>
  <c r="BU115" s="1"/>
  <c r="BW115" s="1"/>
  <c r="BZ115"/>
  <c r="BY115"/>
  <c r="BX115"/>
  <c r="BS111"/>
  <c r="BU111" s="1"/>
  <c r="BW111" s="1"/>
  <c r="BZ111"/>
  <c r="BY111"/>
  <c r="BX111"/>
  <c r="BS107"/>
  <c r="BU107" s="1"/>
  <c r="BW107" s="1"/>
  <c r="BZ107"/>
  <c r="BY107"/>
  <c r="BX107"/>
  <c r="BS103"/>
  <c r="BU103" s="1"/>
  <c r="BW103" s="1"/>
  <c r="BZ103"/>
  <c r="BY103"/>
  <c r="BX103"/>
  <c r="BS99"/>
  <c r="BU99" s="1"/>
  <c r="BW99" s="1"/>
  <c r="BZ99"/>
  <c r="BY99"/>
  <c r="BX99"/>
  <c r="BS95"/>
  <c r="BU95" s="1"/>
  <c r="BW95" s="1"/>
  <c r="BZ95"/>
  <c r="BY95"/>
  <c r="BX95"/>
  <c r="BS91"/>
  <c r="BU91" s="1"/>
  <c r="BW91" s="1"/>
  <c r="BZ91"/>
  <c r="BY91"/>
  <c r="BX91"/>
  <c r="BS87"/>
  <c r="BU87" s="1"/>
  <c r="BW87" s="1"/>
  <c r="BZ87"/>
  <c r="BY87"/>
  <c r="BX87"/>
  <c r="BS83"/>
  <c r="BU83" s="1"/>
  <c r="BW83" s="1"/>
  <c r="BZ83"/>
  <c r="BY83"/>
  <c r="BX83"/>
  <c r="BS79"/>
  <c r="BU79" s="1"/>
  <c r="BW79" s="1"/>
  <c r="BZ79"/>
  <c r="BY79"/>
  <c r="BX79"/>
  <c r="BS75"/>
  <c r="BU75" s="1"/>
  <c r="BW75" s="1"/>
  <c r="BZ75"/>
  <c r="BY75"/>
  <c r="BX75"/>
  <c r="BS71"/>
  <c r="BU71" s="1"/>
  <c r="BW71" s="1"/>
  <c r="BZ71"/>
  <c r="BY71"/>
  <c r="BX71"/>
  <c r="BS67"/>
  <c r="BU67" s="1"/>
  <c r="BW67" s="1"/>
  <c r="BZ67"/>
  <c r="BY67"/>
  <c r="BX67"/>
  <c r="BS63"/>
  <c r="BU63" s="1"/>
  <c r="BW63" s="1"/>
  <c r="BZ63"/>
  <c r="BY63"/>
  <c r="BX63"/>
  <c r="BS59"/>
  <c r="BU59" s="1"/>
  <c r="BW59" s="1"/>
  <c r="BZ59"/>
  <c r="BY59"/>
  <c r="BX59"/>
  <c r="BS55"/>
  <c r="BU55" s="1"/>
  <c r="BW55" s="1"/>
  <c r="BZ55"/>
  <c r="BY55"/>
  <c r="BX55"/>
  <c r="BS51"/>
  <c r="BU51" s="1"/>
  <c r="BW51" s="1"/>
  <c r="BZ51"/>
  <c r="BY51"/>
  <c r="BX51"/>
  <c r="BS47"/>
  <c r="BU47" s="1"/>
  <c r="BW47" s="1"/>
  <c r="BZ47"/>
  <c r="BY47"/>
  <c r="BX47"/>
  <c r="BS43"/>
  <c r="BU43" s="1"/>
  <c r="BW43" s="1"/>
  <c r="BZ43"/>
  <c r="BY43"/>
  <c r="BX43"/>
  <c r="BS39"/>
  <c r="BU39" s="1"/>
  <c r="BW39" s="1"/>
  <c r="BZ39"/>
  <c r="BY39"/>
  <c r="BX39"/>
  <c r="BY13"/>
  <c r="BX13"/>
  <c r="BY9"/>
  <c r="BX9"/>
  <c r="BW191"/>
  <c r="BS12"/>
  <c r="BU12" s="1"/>
  <c r="BW12" s="1"/>
  <c r="BS8"/>
  <c r="BU8" s="1"/>
  <c r="BW8" s="1"/>
  <c r="BZ206"/>
  <c r="BX205"/>
  <c r="BX203"/>
  <c r="BZ202"/>
  <c r="BX201"/>
  <c r="BX199"/>
  <c r="BZ198"/>
  <c r="BX197"/>
  <c r="BX195"/>
  <c r="BZ194"/>
  <c r="BX193"/>
  <c r="BS192"/>
  <c r="BU192" s="1"/>
  <c r="BX192"/>
  <c r="BZ192"/>
  <c r="BY192"/>
  <c r="BS188"/>
  <c r="BU188" s="1"/>
  <c r="BW188" s="1"/>
  <c r="BX188"/>
  <c r="BZ188"/>
  <c r="BY188"/>
  <c r="BS184"/>
  <c r="BU184" s="1"/>
  <c r="BX184"/>
  <c r="BZ184"/>
  <c r="BY184"/>
  <c r="BS180"/>
  <c r="BU180" s="1"/>
  <c r="BW180" s="1"/>
  <c r="BX180"/>
  <c r="BZ180"/>
  <c r="BY180"/>
  <c r="BX176"/>
  <c r="BZ176"/>
  <c r="BY176"/>
  <c r="BX172"/>
  <c r="BZ172"/>
  <c r="BY172"/>
  <c r="BX168"/>
  <c r="BZ168"/>
  <c r="BY168"/>
  <c r="BX164"/>
  <c r="BZ164"/>
  <c r="BY164"/>
  <c r="BX160"/>
  <c r="BZ160"/>
  <c r="BY160"/>
  <c r="BX156"/>
  <c r="BZ156"/>
  <c r="BY156"/>
  <c r="BX152"/>
  <c r="BZ152"/>
  <c r="BY152"/>
  <c r="BX148"/>
  <c r="BZ148"/>
  <c r="BY148"/>
  <c r="BX144"/>
  <c r="BZ144"/>
  <c r="BY144"/>
  <c r="BX140"/>
  <c r="BZ140"/>
  <c r="BY140"/>
  <c r="BX136"/>
  <c r="BZ136"/>
  <c r="BY136"/>
  <c r="BX132"/>
  <c r="BZ132"/>
  <c r="BY132"/>
  <c r="BX128"/>
  <c r="BZ128"/>
  <c r="BY128"/>
  <c r="BX124"/>
  <c r="BZ124"/>
  <c r="BY124"/>
  <c r="BX120"/>
  <c r="BZ120"/>
  <c r="BY120"/>
  <c r="BX116"/>
  <c r="BZ116"/>
  <c r="BY116"/>
  <c r="BX112"/>
  <c r="BZ112"/>
  <c r="BY112"/>
  <c r="BX108"/>
  <c r="BZ108"/>
  <c r="BY108"/>
  <c r="BS104"/>
  <c r="BU104" s="1"/>
  <c r="BW104" s="1"/>
  <c r="BX104"/>
  <c r="BZ104"/>
  <c r="BY104"/>
  <c r="BS100"/>
  <c r="BU100" s="1"/>
  <c r="BW100" s="1"/>
  <c r="BX100"/>
  <c r="BZ100"/>
  <c r="BY100"/>
  <c r="BS96"/>
  <c r="BU96" s="1"/>
  <c r="BW96" s="1"/>
  <c r="BX96"/>
  <c r="BZ96"/>
  <c r="BY96"/>
  <c r="BS92"/>
  <c r="BU92" s="1"/>
  <c r="BW92" s="1"/>
  <c r="BX92"/>
  <c r="BZ92"/>
  <c r="BY92"/>
  <c r="BS88"/>
  <c r="BU88" s="1"/>
  <c r="BW88" s="1"/>
  <c r="BX88"/>
  <c r="BZ88"/>
  <c r="BY88"/>
  <c r="BS84"/>
  <c r="BU84" s="1"/>
  <c r="BW84" s="1"/>
  <c r="BX84"/>
  <c r="BZ84"/>
  <c r="BY84"/>
  <c r="BS80"/>
  <c r="BU80" s="1"/>
  <c r="BW80" s="1"/>
  <c r="BX80"/>
  <c r="BZ80"/>
  <c r="BY80"/>
  <c r="BS76"/>
  <c r="BU76" s="1"/>
  <c r="BW76" s="1"/>
  <c r="BX76"/>
  <c r="BZ76"/>
  <c r="BY76"/>
  <c r="BS72"/>
  <c r="BU72" s="1"/>
  <c r="BW72" s="1"/>
  <c r="BX72"/>
  <c r="BZ72"/>
  <c r="BY72"/>
  <c r="BS68"/>
  <c r="BU68" s="1"/>
  <c r="BW68" s="1"/>
  <c r="BX68"/>
  <c r="BZ68"/>
  <c r="BY68"/>
  <c r="BS64"/>
  <c r="BU64" s="1"/>
  <c r="BW64" s="1"/>
  <c r="BX64"/>
  <c r="BZ64"/>
  <c r="BY64"/>
  <c r="BS60"/>
  <c r="BU60" s="1"/>
  <c r="BW60" s="1"/>
  <c r="BX60"/>
  <c r="BZ60"/>
  <c r="BY60"/>
  <c r="BS56"/>
  <c r="BU56" s="1"/>
  <c r="BW56" s="1"/>
  <c r="BX56"/>
  <c r="BZ56"/>
  <c r="BY56"/>
  <c r="BS52"/>
  <c r="BU52" s="1"/>
  <c r="BW52" s="1"/>
  <c r="BX52"/>
  <c r="BZ52"/>
  <c r="BY52"/>
  <c r="BS48"/>
  <c r="BU48" s="1"/>
  <c r="BW48" s="1"/>
  <c r="BX48"/>
  <c r="BZ48"/>
  <c r="BY48"/>
  <c r="BS44"/>
  <c r="BU44" s="1"/>
  <c r="BW44" s="1"/>
  <c r="BX44"/>
  <c r="BZ44"/>
  <c r="BY44"/>
  <c r="BS40"/>
  <c r="BU40" s="1"/>
  <c r="BW40" s="1"/>
  <c r="BX40"/>
  <c r="BZ40"/>
  <c r="BY40"/>
  <c r="BY37"/>
  <c r="BX37"/>
  <c r="BY35"/>
  <c r="BX35"/>
  <c r="BY33"/>
  <c r="BX33"/>
  <c r="BY31"/>
  <c r="BX31"/>
  <c r="BY29"/>
  <c r="BX29"/>
  <c r="BY27"/>
  <c r="BX27"/>
  <c r="BY25"/>
  <c r="BX25"/>
  <c r="BY23"/>
  <c r="BX23"/>
  <c r="BY21"/>
  <c r="BX21"/>
  <c r="BY19"/>
  <c r="BX19"/>
  <c r="BY17"/>
  <c r="BX17"/>
  <c r="BX14"/>
  <c r="BY14"/>
  <c r="BX10"/>
  <c r="BY10"/>
  <c r="AI138"/>
  <c r="AG141"/>
  <c r="AG149"/>
  <c r="AQ13"/>
  <c r="AS13" s="1"/>
  <c r="AU13" s="1"/>
  <c r="BJ205"/>
  <c r="BJ201"/>
  <c r="BJ197"/>
  <c r="BE37"/>
  <c r="BG37" s="1"/>
  <c r="BI37" s="1"/>
  <c r="BE13"/>
  <c r="BG13" s="1"/>
  <c r="BI13" s="1"/>
  <c r="BS204"/>
  <c r="BU204" s="1"/>
  <c r="BW204" s="1"/>
  <c r="BS200"/>
  <c r="BU200" s="1"/>
  <c r="BW200" s="1"/>
  <c r="BS196"/>
  <c r="BU196" s="1"/>
  <c r="BW196" s="1"/>
  <c r="BW192"/>
  <c r="BW184"/>
  <c r="BS175"/>
  <c r="BU175" s="1"/>
  <c r="BW175" s="1"/>
  <c r="BS171"/>
  <c r="BU171" s="1"/>
  <c r="BW171" s="1"/>
  <c r="BS167"/>
  <c r="BU167" s="1"/>
  <c r="BW167" s="1"/>
  <c r="BS163"/>
  <c r="BU163" s="1"/>
  <c r="BW163" s="1"/>
  <c r="BS159"/>
  <c r="BU159" s="1"/>
  <c r="BW159" s="1"/>
  <c r="BS155"/>
  <c r="BU155" s="1"/>
  <c r="BW155" s="1"/>
  <c r="BS151"/>
  <c r="BU151" s="1"/>
  <c r="BW151" s="1"/>
  <c r="BS147"/>
  <c r="BU147" s="1"/>
  <c r="BW147" s="1"/>
  <c r="BS13"/>
  <c r="BU13" s="1"/>
  <c r="BW13" s="1"/>
  <c r="BS9"/>
  <c r="BU9" s="1"/>
  <c r="BW9" s="1"/>
  <c r="BY203"/>
  <c r="BY199"/>
  <c r="BY195"/>
  <c r="BS189"/>
  <c r="BU189" s="1"/>
  <c r="BW189" s="1"/>
  <c r="BZ189"/>
  <c r="BY189"/>
  <c r="BX189"/>
  <c r="BS185"/>
  <c r="BU185" s="1"/>
  <c r="BW185" s="1"/>
  <c r="BZ185"/>
  <c r="BY185"/>
  <c r="BX185"/>
  <c r="BS181"/>
  <c r="BU181" s="1"/>
  <c r="BZ181"/>
  <c r="BY181"/>
  <c r="BX181"/>
  <c r="BS177"/>
  <c r="BU177" s="1"/>
  <c r="BW177" s="1"/>
  <c r="BZ177"/>
  <c r="BY177"/>
  <c r="BX177"/>
  <c r="BZ173"/>
  <c r="BY173"/>
  <c r="BX173"/>
  <c r="BZ169"/>
  <c r="BY169"/>
  <c r="BX169"/>
  <c r="BZ165"/>
  <c r="BY165"/>
  <c r="BX165"/>
  <c r="BZ161"/>
  <c r="BY161"/>
  <c r="BX161"/>
  <c r="BZ157"/>
  <c r="BY157"/>
  <c r="BX157"/>
  <c r="BZ153"/>
  <c r="BY153"/>
  <c r="BX153"/>
  <c r="BZ149"/>
  <c r="BY149"/>
  <c r="BX149"/>
  <c r="BZ145"/>
  <c r="BY145"/>
  <c r="BX145"/>
  <c r="BZ141"/>
  <c r="BY141"/>
  <c r="BX141"/>
  <c r="BZ137"/>
  <c r="BY137"/>
  <c r="BX137"/>
  <c r="BZ133"/>
  <c r="BY133"/>
  <c r="BX133"/>
  <c r="BZ129"/>
  <c r="BY129"/>
  <c r="BX129"/>
  <c r="BZ125"/>
  <c r="BY125"/>
  <c r="BX125"/>
  <c r="BZ121"/>
  <c r="BY121"/>
  <c r="BX121"/>
  <c r="BZ117"/>
  <c r="BY117"/>
  <c r="BX117"/>
  <c r="BZ113"/>
  <c r="BY113"/>
  <c r="BX113"/>
  <c r="BZ109"/>
  <c r="BY109"/>
  <c r="BX109"/>
  <c r="BS105"/>
  <c r="BU105" s="1"/>
  <c r="BW105" s="1"/>
  <c r="BZ105"/>
  <c r="BY105"/>
  <c r="BX105"/>
  <c r="BS101"/>
  <c r="BU101" s="1"/>
  <c r="BW101" s="1"/>
  <c r="BZ101"/>
  <c r="BY101"/>
  <c r="BX101"/>
  <c r="BS97"/>
  <c r="BU97" s="1"/>
  <c r="BZ97"/>
  <c r="BY97"/>
  <c r="BX97"/>
  <c r="BS93"/>
  <c r="BU93" s="1"/>
  <c r="BW93" s="1"/>
  <c r="BZ93"/>
  <c r="BY93"/>
  <c r="BX93"/>
  <c r="BS89"/>
  <c r="BU89" s="1"/>
  <c r="BW89" s="1"/>
  <c r="BZ89"/>
  <c r="BY89"/>
  <c r="BX89"/>
  <c r="BS85"/>
  <c r="BU85" s="1"/>
  <c r="BW85" s="1"/>
  <c r="BZ85"/>
  <c r="BY85"/>
  <c r="BX85"/>
  <c r="BS81"/>
  <c r="BU81" s="1"/>
  <c r="BW81" s="1"/>
  <c r="BZ81"/>
  <c r="BY81"/>
  <c r="BX81"/>
  <c r="BS77"/>
  <c r="BU77" s="1"/>
  <c r="BW77" s="1"/>
  <c r="BZ77"/>
  <c r="BY77"/>
  <c r="BX77"/>
  <c r="BS73"/>
  <c r="BU73" s="1"/>
  <c r="BW73" s="1"/>
  <c r="BZ73"/>
  <c r="BY73"/>
  <c r="BX73"/>
  <c r="BS69"/>
  <c r="BU69" s="1"/>
  <c r="BW69" s="1"/>
  <c r="BZ69"/>
  <c r="BY69"/>
  <c r="BX69"/>
  <c r="BS65"/>
  <c r="BU65" s="1"/>
  <c r="BW65" s="1"/>
  <c r="BZ65"/>
  <c r="BY65"/>
  <c r="BX65"/>
  <c r="BS61"/>
  <c r="BU61" s="1"/>
  <c r="BW61" s="1"/>
  <c r="BZ61"/>
  <c r="BY61"/>
  <c r="BX61"/>
  <c r="BS57"/>
  <c r="BU57" s="1"/>
  <c r="BW57" s="1"/>
  <c r="BZ57"/>
  <c r="BY57"/>
  <c r="BX57"/>
  <c r="BS53"/>
  <c r="BU53" s="1"/>
  <c r="BW53" s="1"/>
  <c r="BZ53"/>
  <c r="BY53"/>
  <c r="BX53"/>
  <c r="BS49"/>
  <c r="BU49" s="1"/>
  <c r="BW49" s="1"/>
  <c r="BZ49"/>
  <c r="BY49"/>
  <c r="BX49"/>
  <c r="BS45"/>
  <c r="BU45" s="1"/>
  <c r="BW45" s="1"/>
  <c r="BZ45"/>
  <c r="BY45"/>
  <c r="BX45"/>
  <c r="BS41"/>
  <c r="BU41" s="1"/>
  <c r="BW41" s="1"/>
  <c r="BZ41"/>
  <c r="BY41"/>
  <c r="BX41"/>
  <c r="BY15"/>
  <c r="BX15"/>
  <c r="BY11"/>
  <c r="BX11"/>
  <c r="BY7"/>
  <c r="BX7"/>
  <c r="BG29"/>
  <c r="BI29" s="1"/>
  <c r="BG25"/>
  <c r="BI25" s="1"/>
  <c r="BS205"/>
  <c r="BU205" s="1"/>
  <c r="BW205" s="1"/>
  <c r="BS201"/>
  <c r="BU201" s="1"/>
  <c r="BW201" s="1"/>
  <c r="BS197"/>
  <c r="BU197" s="1"/>
  <c r="BW197" s="1"/>
  <c r="BS193"/>
  <c r="BU193" s="1"/>
  <c r="BW193" s="1"/>
  <c r="BW181"/>
  <c r="BU176"/>
  <c r="BW176" s="1"/>
  <c r="BU172"/>
  <c r="BW172" s="1"/>
  <c r="BU168"/>
  <c r="BW168" s="1"/>
  <c r="BU164"/>
  <c r="BW164" s="1"/>
  <c r="BU160"/>
  <c r="BW160" s="1"/>
  <c r="BU156"/>
  <c r="BW156" s="1"/>
  <c r="BU152"/>
  <c r="BW152" s="1"/>
  <c r="BU148"/>
  <c r="BW148" s="1"/>
  <c r="BU138"/>
  <c r="BW138" s="1"/>
  <c r="BW97"/>
  <c r="BS36"/>
  <c r="BU36" s="1"/>
  <c r="BW36" s="1"/>
  <c r="BS34"/>
  <c r="BU34" s="1"/>
  <c r="BW34" s="1"/>
  <c r="BS32"/>
  <c r="BU32" s="1"/>
  <c r="BW32" s="1"/>
  <c r="BS30"/>
  <c r="BU30" s="1"/>
  <c r="BW30" s="1"/>
  <c r="BS28"/>
  <c r="BU28" s="1"/>
  <c r="BW28" s="1"/>
  <c r="BS26"/>
  <c r="BU26" s="1"/>
  <c r="BW26" s="1"/>
  <c r="BS24"/>
  <c r="BU24" s="1"/>
  <c r="BW24" s="1"/>
  <c r="BS22"/>
  <c r="BU22" s="1"/>
  <c r="BW22" s="1"/>
  <c r="BS20"/>
  <c r="BU20" s="1"/>
  <c r="BW20" s="1"/>
  <c r="BS18"/>
  <c r="BU18" s="1"/>
  <c r="BW18" s="1"/>
  <c r="BS16"/>
  <c r="BU16" s="1"/>
  <c r="BW16" s="1"/>
  <c r="BS14"/>
  <c r="BU14" s="1"/>
  <c r="BW14" s="1"/>
  <c r="BS10"/>
  <c r="BU10" s="1"/>
  <c r="BW10" s="1"/>
  <c r="BX206"/>
  <c r="BZ205"/>
  <c r="BX204"/>
  <c r="BZ203"/>
  <c r="BX202"/>
  <c r="BZ201"/>
  <c r="BX200"/>
  <c r="BZ199"/>
  <c r="BX198"/>
  <c r="BZ197"/>
  <c r="BX196"/>
  <c r="BZ195"/>
  <c r="BX194"/>
  <c r="BZ193"/>
  <c r="BS137"/>
  <c r="BU137" s="1"/>
  <c r="BW137" s="1"/>
  <c r="BS133"/>
  <c r="BU133" s="1"/>
  <c r="BW133" s="1"/>
  <c r="BS129"/>
  <c r="BU129" s="1"/>
  <c r="BW129" s="1"/>
  <c r="BS125"/>
  <c r="BU125" s="1"/>
  <c r="BW125" s="1"/>
  <c r="BS121"/>
  <c r="BU121" s="1"/>
  <c r="BW121" s="1"/>
  <c r="BS117"/>
  <c r="BU117" s="1"/>
  <c r="BW117" s="1"/>
  <c r="BS113"/>
  <c r="BU113" s="1"/>
  <c r="BW113" s="1"/>
  <c r="BS109"/>
  <c r="BU109" s="1"/>
  <c r="BW109" s="1"/>
  <c r="BS144"/>
  <c r="BU144" s="1"/>
  <c r="BW144" s="1"/>
  <c r="BS142"/>
  <c r="BU142" s="1"/>
  <c r="BW142" s="1"/>
  <c r="BS140"/>
  <c r="BU140" s="1"/>
  <c r="BU134"/>
  <c r="BW134" s="1"/>
  <c r="BU130"/>
  <c r="BW130" s="1"/>
  <c r="BU126"/>
  <c r="BW126" s="1"/>
  <c r="BU122"/>
  <c r="BW122" s="1"/>
  <c r="BU118"/>
  <c r="BW118" s="1"/>
  <c r="BU114"/>
  <c r="BW114" s="1"/>
  <c r="BU110"/>
  <c r="BW110" s="1"/>
  <c r="BW140"/>
  <c r="BS145"/>
  <c r="BU145" s="1"/>
  <c r="BW145" s="1"/>
  <c r="BS143"/>
  <c r="BU143" s="1"/>
  <c r="BW143" s="1"/>
  <c r="BS141"/>
  <c r="BU141" s="1"/>
  <c r="BW141" s="1"/>
  <c r="BS139"/>
  <c r="BU139" s="1"/>
  <c r="BW139" s="1"/>
  <c r="BS136"/>
  <c r="BU136" s="1"/>
  <c r="BW136" s="1"/>
  <c r="BS132"/>
  <c r="BU132" s="1"/>
  <c r="BW132" s="1"/>
  <c r="BS128"/>
  <c r="BU128" s="1"/>
  <c r="BW128" s="1"/>
  <c r="BS124"/>
  <c r="BU124" s="1"/>
  <c r="BW124" s="1"/>
  <c r="BS120"/>
  <c r="BU120" s="1"/>
  <c r="BW120" s="1"/>
  <c r="BS116"/>
  <c r="BU116" s="1"/>
  <c r="BW116" s="1"/>
  <c r="BS112"/>
  <c r="BU112" s="1"/>
  <c r="BW112" s="1"/>
  <c r="BS108"/>
  <c r="BU108" s="1"/>
  <c r="BW108" s="1"/>
  <c r="BE35"/>
  <c r="BG35" s="1"/>
  <c r="BI35" s="1"/>
  <c r="BE31"/>
  <c r="BG31" s="1"/>
  <c r="BI31" s="1"/>
  <c r="BE28"/>
  <c r="BG28" s="1"/>
  <c r="BI28" s="1"/>
  <c r="BE17"/>
  <c r="BG17" s="1"/>
  <c r="BI17" s="1"/>
  <c r="BE36"/>
  <c r="BG36" s="1"/>
  <c r="BI36" s="1"/>
  <c r="AQ27"/>
  <c r="AQ23"/>
  <c r="AQ19"/>
  <c r="AS19" s="1"/>
  <c r="AQ18"/>
  <c r="AQ15"/>
  <c r="AS15" s="1"/>
  <c r="AQ14"/>
  <c r="AS14" s="1"/>
  <c r="AU14" s="1"/>
  <c r="AQ11"/>
  <c r="AS11" s="1"/>
  <c r="AU11" s="1"/>
  <c r="AQ7"/>
  <c r="AS7" s="1"/>
  <c r="AU7" s="1"/>
  <c r="BE204"/>
  <c r="BI19"/>
  <c r="BE15"/>
  <c r="BG15" s="1"/>
  <c r="BI15" s="1"/>
  <c r="BE14"/>
  <c r="BG14" s="1"/>
  <c r="BI14" s="1"/>
  <c r="BE11"/>
  <c r="BG11" s="1"/>
  <c r="BI11" s="1"/>
  <c r="BE33"/>
  <c r="BG33" s="1"/>
  <c r="BI33" s="1"/>
  <c r="BG27"/>
  <c r="BI27" s="1"/>
  <c r="BG23"/>
  <c r="BI23" s="1"/>
  <c r="BE22"/>
  <c r="BG22" s="1"/>
  <c r="BI22" s="1"/>
  <c r="AG127"/>
  <c r="BE32"/>
  <c r="BG32" s="1"/>
  <c r="BI32" s="1"/>
  <c r="BE24"/>
  <c r="BG24" s="1"/>
  <c r="BI24" s="1"/>
  <c r="BE18"/>
  <c r="BG18" s="1"/>
  <c r="BI18" s="1"/>
  <c r="BE9"/>
  <c r="AB50"/>
  <c r="AB54"/>
  <c r="AB58"/>
  <c r="BL206"/>
  <c r="BL202"/>
  <c r="BL198"/>
  <c r="BL194"/>
  <c r="BE30"/>
  <c r="BG30" s="1"/>
  <c r="BI30" s="1"/>
  <c r="BE16"/>
  <c r="BG16" s="1"/>
  <c r="BI16" s="1"/>
  <c r="BE203"/>
  <c r="BG203" s="1"/>
  <c r="BI203" s="1"/>
  <c r="BE199"/>
  <c r="BG199" s="1"/>
  <c r="BI199" s="1"/>
  <c r="BE7"/>
  <c r="BG7" s="1"/>
  <c r="BI7" s="1"/>
  <c r="BE34"/>
  <c r="BG34" s="1"/>
  <c r="BI34" s="1"/>
  <c r="BE26"/>
  <c r="BG26" s="1"/>
  <c r="BI26" s="1"/>
  <c r="BE20"/>
  <c r="BG20" s="1"/>
  <c r="BI20" s="1"/>
  <c r="BE191"/>
  <c r="BG191" s="1"/>
  <c r="BI191" s="1"/>
  <c r="BL191"/>
  <c r="BJ191"/>
  <c r="BE187"/>
  <c r="BG187" s="1"/>
  <c r="BL187"/>
  <c r="BJ187"/>
  <c r="BE183"/>
  <c r="BG183" s="1"/>
  <c r="BI183" s="1"/>
  <c r="BL183"/>
  <c r="BJ183"/>
  <c r="BE179"/>
  <c r="BG179" s="1"/>
  <c r="BI179" s="1"/>
  <c r="BL179"/>
  <c r="BJ179"/>
  <c r="BE175"/>
  <c r="BG175" s="1"/>
  <c r="BL175"/>
  <c r="BJ175"/>
  <c r="BE171"/>
  <c r="BG171" s="1"/>
  <c r="BI171" s="1"/>
  <c r="BL171"/>
  <c r="BJ171"/>
  <c r="BE167"/>
  <c r="BG167" s="1"/>
  <c r="BI167" s="1"/>
  <c r="BL167"/>
  <c r="BJ167"/>
  <c r="BE163"/>
  <c r="BG163" s="1"/>
  <c r="BL163"/>
  <c r="BJ163"/>
  <c r="BE159"/>
  <c r="BG159" s="1"/>
  <c r="BI159" s="1"/>
  <c r="BL159"/>
  <c r="BJ159"/>
  <c r="BE155"/>
  <c r="BG155" s="1"/>
  <c r="BI155" s="1"/>
  <c r="BL155"/>
  <c r="BJ155"/>
  <c r="BE151"/>
  <c r="BG151" s="1"/>
  <c r="BL151"/>
  <c r="BJ151"/>
  <c r="BL147"/>
  <c r="BJ147"/>
  <c r="BL143"/>
  <c r="BJ143"/>
  <c r="BL139"/>
  <c r="BJ139"/>
  <c r="BL135"/>
  <c r="BJ135"/>
  <c r="BL131"/>
  <c r="BJ131"/>
  <c r="BL127"/>
  <c r="BJ127"/>
  <c r="BL123"/>
  <c r="BJ123"/>
  <c r="BE119"/>
  <c r="BG119" s="1"/>
  <c r="BI119" s="1"/>
  <c r="BL119"/>
  <c r="BJ119"/>
  <c r="BE115"/>
  <c r="BG115" s="1"/>
  <c r="BI115" s="1"/>
  <c r="BL115"/>
  <c r="BJ115"/>
  <c r="BE111"/>
  <c r="BG111" s="1"/>
  <c r="BL111"/>
  <c r="BJ111"/>
  <c r="BE107"/>
  <c r="BG107" s="1"/>
  <c r="BI107" s="1"/>
  <c r="BL107"/>
  <c r="BJ107"/>
  <c r="BE103"/>
  <c r="BG103" s="1"/>
  <c r="BI103" s="1"/>
  <c r="BL103"/>
  <c r="BJ103"/>
  <c r="BE99"/>
  <c r="BG99" s="1"/>
  <c r="BI99" s="1"/>
  <c r="BL99"/>
  <c r="BJ99"/>
  <c r="BE95"/>
  <c r="BG95" s="1"/>
  <c r="BI95" s="1"/>
  <c r="BL95"/>
  <c r="BJ95"/>
  <c r="BE91"/>
  <c r="BG91" s="1"/>
  <c r="BI91" s="1"/>
  <c r="BL91"/>
  <c r="BJ91"/>
  <c r="BE87"/>
  <c r="BG87" s="1"/>
  <c r="BI87" s="1"/>
  <c r="BL87"/>
  <c r="BJ87"/>
  <c r="BE83"/>
  <c r="BG83" s="1"/>
  <c r="BI83" s="1"/>
  <c r="BL83"/>
  <c r="BJ83"/>
  <c r="BE79"/>
  <c r="BG79" s="1"/>
  <c r="BI79" s="1"/>
  <c r="BL79"/>
  <c r="BJ79"/>
  <c r="BE75"/>
  <c r="BG75" s="1"/>
  <c r="BI75" s="1"/>
  <c r="BL75"/>
  <c r="BJ75"/>
  <c r="BE71"/>
  <c r="BG71" s="1"/>
  <c r="BI71" s="1"/>
  <c r="BL71"/>
  <c r="BJ71"/>
  <c r="BE67"/>
  <c r="BG67" s="1"/>
  <c r="BI67" s="1"/>
  <c r="BL67"/>
  <c r="BJ67"/>
  <c r="BE63"/>
  <c r="BG63" s="1"/>
  <c r="BI63" s="1"/>
  <c r="BL63"/>
  <c r="BJ63"/>
  <c r="BE59"/>
  <c r="BG59" s="1"/>
  <c r="BI59" s="1"/>
  <c r="BL59"/>
  <c r="BJ59"/>
  <c r="BE55"/>
  <c r="BG55" s="1"/>
  <c r="BI55" s="1"/>
  <c r="BL55"/>
  <c r="BJ55"/>
  <c r="BE51"/>
  <c r="BG51" s="1"/>
  <c r="BI51" s="1"/>
  <c r="BL51"/>
  <c r="BJ51"/>
  <c r="BE47"/>
  <c r="BG47" s="1"/>
  <c r="BI47" s="1"/>
  <c r="BL47"/>
  <c r="BJ47"/>
  <c r="BE43"/>
  <c r="BG43" s="1"/>
  <c r="BI43" s="1"/>
  <c r="BL43"/>
  <c r="BJ43"/>
  <c r="BE39"/>
  <c r="BG39" s="1"/>
  <c r="BI39" s="1"/>
  <c r="BL39"/>
  <c r="BJ39"/>
  <c r="BJ12"/>
  <c r="BJ8"/>
  <c r="BI187"/>
  <c r="BI175"/>
  <c r="BI163"/>
  <c r="BI151"/>
  <c r="BI111"/>
  <c r="BE192"/>
  <c r="BG192" s="1"/>
  <c r="BI192" s="1"/>
  <c r="BJ192"/>
  <c r="BL192"/>
  <c r="BE188"/>
  <c r="BG188" s="1"/>
  <c r="BI188" s="1"/>
  <c r="BJ188"/>
  <c r="BL188"/>
  <c r="BE184"/>
  <c r="BG184" s="1"/>
  <c r="BI184" s="1"/>
  <c r="BJ184"/>
  <c r="BL184"/>
  <c r="BE180"/>
  <c r="BG180" s="1"/>
  <c r="BI180" s="1"/>
  <c r="BJ180"/>
  <c r="BL180"/>
  <c r="BE176"/>
  <c r="BG176" s="1"/>
  <c r="BI176" s="1"/>
  <c r="BJ176"/>
  <c r="BL176"/>
  <c r="BE172"/>
  <c r="BG172" s="1"/>
  <c r="BI172" s="1"/>
  <c r="BJ172"/>
  <c r="BL172"/>
  <c r="BE168"/>
  <c r="BG168" s="1"/>
  <c r="BI168" s="1"/>
  <c r="BJ168"/>
  <c r="BL168"/>
  <c r="BE164"/>
  <c r="BG164" s="1"/>
  <c r="BI164" s="1"/>
  <c r="BJ164"/>
  <c r="BL164"/>
  <c r="BE160"/>
  <c r="BG160" s="1"/>
  <c r="BI160" s="1"/>
  <c r="BJ160"/>
  <c r="BL160"/>
  <c r="BE156"/>
  <c r="BG156" s="1"/>
  <c r="BI156" s="1"/>
  <c r="BJ156"/>
  <c r="BL156"/>
  <c r="BE152"/>
  <c r="BG152" s="1"/>
  <c r="BI152" s="1"/>
  <c r="BJ152"/>
  <c r="BL152"/>
  <c r="BE148"/>
  <c r="BG148" s="1"/>
  <c r="BI148" s="1"/>
  <c r="BJ148"/>
  <c r="BL148"/>
  <c r="BJ144"/>
  <c r="BL144"/>
  <c r="BJ140"/>
  <c r="BL140"/>
  <c r="BJ136"/>
  <c r="BL136"/>
  <c r="BJ132"/>
  <c r="BL132"/>
  <c r="BJ128"/>
  <c r="BL128"/>
  <c r="BJ124"/>
  <c r="BL124"/>
  <c r="BJ120"/>
  <c r="BL120"/>
  <c r="BJ116"/>
  <c r="BL116"/>
  <c r="BJ112"/>
  <c r="BL112"/>
  <c r="BJ108"/>
  <c r="BL108"/>
  <c r="BJ104"/>
  <c r="BL104"/>
  <c r="BJ100"/>
  <c r="BL100"/>
  <c r="BE96"/>
  <c r="BG96" s="1"/>
  <c r="BI96" s="1"/>
  <c r="BJ96"/>
  <c r="BL96"/>
  <c r="BE92"/>
  <c r="BG92" s="1"/>
  <c r="BI92" s="1"/>
  <c r="BJ92"/>
  <c r="BL92"/>
  <c r="BE88"/>
  <c r="BG88" s="1"/>
  <c r="BI88" s="1"/>
  <c r="BJ88"/>
  <c r="BL88"/>
  <c r="BE84"/>
  <c r="BG84" s="1"/>
  <c r="BI84" s="1"/>
  <c r="BJ84"/>
  <c r="BL84"/>
  <c r="BE80"/>
  <c r="BG80" s="1"/>
  <c r="BI80" s="1"/>
  <c r="BJ80"/>
  <c r="BL80"/>
  <c r="BE76"/>
  <c r="BG76" s="1"/>
  <c r="BI76" s="1"/>
  <c r="BJ76"/>
  <c r="BL76"/>
  <c r="BE72"/>
  <c r="BG72" s="1"/>
  <c r="BI72" s="1"/>
  <c r="BJ72"/>
  <c r="BL72"/>
  <c r="BE68"/>
  <c r="BG68" s="1"/>
  <c r="BI68" s="1"/>
  <c r="BJ68"/>
  <c r="BL68"/>
  <c r="BE64"/>
  <c r="BG64" s="1"/>
  <c r="BI64" s="1"/>
  <c r="BJ64"/>
  <c r="BL64"/>
  <c r="BE60"/>
  <c r="BG60" s="1"/>
  <c r="BI60" s="1"/>
  <c r="BJ60"/>
  <c r="BL60"/>
  <c r="BE56"/>
  <c r="BG56" s="1"/>
  <c r="BI56" s="1"/>
  <c r="BJ56"/>
  <c r="BL56"/>
  <c r="BE52"/>
  <c r="BG52" s="1"/>
  <c r="BI52" s="1"/>
  <c r="BJ52"/>
  <c r="BL52"/>
  <c r="BE48"/>
  <c r="BG48" s="1"/>
  <c r="BI48" s="1"/>
  <c r="BJ48"/>
  <c r="BL48"/>
  <c r="BE44"/>
  <c r="BG44" s="1"/>
  <c r="BI44" s="1"/>
  <c r="BJ44"/>
  <c r="BL44"/>
  <c r="BE40"/>
  <c r="BG40" s="1"/>
  <c r="BI40" s="1"/>
  <c r="BJ40"/>
  <c r="BL40"/>
  <c r="BJ37"/>
  <c r="BJ35"/>
  <c r="BJ33"/>
  <c r="BJ31"/>
  <c r="BJ29"/>
  <c r="BJ27"/>
  <c r="BJ25"/>
  <c r="BJ23"/>
  <c r="BJ21"/>
  <c r="BJ19"/>
  <c r="BJ17"/>
  <c r="BJ15"/>
  <c r="BJ13"/>
  <c r="BJ9"/>
  <c r="BG204"/>
  <c r="BI204" s="1"/>
  <c r="BE200"/>
  <c r="BG200" s="1"/>
  <c r="BI200" s="1"/>
  <c r="BE196"/>
  <c r="BG196" s="1"/>
  <c r="BI196" s="1"/>
  <c r="BE12"/>
  <c r="BG12" s="1"/>
  <c r="BI12" s="1"/>
  <c r="BE8"/>
  <c r="BG8" s="1"/>
  <c r="BI8" s="1"/>
  <c r="BL204"/>
  <c r="BJ203"/>
  <c r="BL200"/>
  <c r="BJ199"/>
  <c r="BL196"/>
  <c r="BJ195"/>
  <c r="BE193"/>
  <c r="BG193" s="1"/>
  <c r="BI193" s="1"/>
  <c r="BJ193"/>
  <c r="BE189"/>
  <c r="BG189" s="1"/>
  <c r="BL189"/>
  <c r="BJ189"/>
  <c r="BE185"/>
  <c r="BG185" s="1"/>
  <c r="BI185" s="1"/>
  <c r="BL185"/>
  <c r="BJ185"/>
  <c r="BE181"/>
  <c r="BG181" s="1"/>
  <c r="BI181" s="1"/>
  <c r="BL181"/>
  <c r="BJ181"/>
  <c r="BE177"/>
  <c r="BG177" s="1"/>
  <c r="BI177" s="1"/>
  <c r="BL177"/>
  <c r="BJ177"/>
  <c r="BE173"/>
  <c r="BG173" s="1"/>
  <c r="BI173" s="1"/>
  <c r="BL173"/>
  <c r="BJ173"/>
  <c r="BE169"/>
  <c r="BG169" s="1"/>
  <c r="BI169" s="1"/>
  <c r="BL169"/>
  <c r="BJ169"/>
  <c r="BE165"/>
  <c r="BG165" s="1"/>
  <c r="BI165" s="1"/>
  <c r="BL165"/>
  <c r="BJ165"/>
  <c r="BE161"/>
  <c r="BG161" s="1"/>
  <c r="BI161" s="1"/>
  <c r="BL161"/>
  <c r="BJ161"/>
  <c r="BE157"/>
  <c r="BG157" s="1"/>
  <c r="BI157" s="1"/>
  <c r="BL157"/>
  <c r="BJ157"/>
  <c r="BE153"/>
  <c r="BG153" s="1"/>
  <c r="BI153" s="1"/>
  <c r="BL153"/>
  <c r="BJ153"/>
  <c r="BE149"/>
  <c r="BG149" s="1"/>
  <c r="BI149" s="1"/>
  <c r="BL149"/>
  <c r="BJ149"/>
  <c r="BL145"/>
  <c r="BJ145"/>
  <c r="BL141"/>
  <c r="BJ141"/>
  <c r="BL137"/>
  <c r="BJ137"/>
  <c r="BL133"/>
  <c r="BJ133"/>
  <c r="BL129"/>
  <c r="BJ129"/>
  <c r="BL125"/>
  <c r="BJ125"/>
  <c r="BL121"/>
  <c r="BJ121"/>
  <c r="BL117"/>
  <c r="BJ117"/>
  <c r="BL113"/>
  <c r="BJ113"/>
  <c r="BL109"/>
  <c r="BJ109"/>
  <c r="BL105"/>
  <c r="BJ105"/>
  <c r="BL101"/>
  <c r="BJ101"/>
  <c r="BL97"/>
  <c r="BJ97"/>
  <c r="BE93"/>
  <c r="BG93" s="1"/>
  <c r="BI93" s="1"/>
  <c r="BL93"/>
  <c r="BJ93"/>
  <c r="BE89"/>
  <c r="BG89" s="1"/>
  <c r="BL89"/>
  <c r="BJ89"/>
  <c r="BE85"/>
  <c r="BG85" s="1"/>
  <c r="BI85" s="1"/>
  <c r="BL85"/>
  <c r="BJ85"/>
  <c r="BE81"/>
  <c r="BG81" s="1"/>
  <c r="BI81" s="1"/>
  <c r="BL81"/>
  <c r="BJ81"/>
  <c r="BE77"/>
  <c r="BG77" s="1"/>
  <c r="BI77" s="1"/>
  <c r="BL77"/>
  <c r="BJ77"/>
  <c r="BE73"/>
  <c r="BG73" s="1"/>
  <c r="BI73" s="1"/>
  <c r="BL73"/>
  <c r="BJ73"/>
  <c r="BE69"/>
  <c r="BG69" s="1"/>
  <c r="BI69" s="1"/>
  <c r="BL69"/>
  <c r="BJ69"/>
  <c r="BE65"/>
  <c r="BG65" s="1"/>
  <c r="BI65" s="1"/>
  <c r="BL65"/>
  <c r="BJ65"/>
  <c r="BE61"/>
  <c r="BG61" s="1"/>
  <c r="BI61" s="1"/>
  <c r="BL61"/>
  <c r="BJ61"/>
  <c r="BE57"/>
  <c r="BG57" s="1"/>
  <c r="BI57" s="1"/>
  <c r="BL57"/>
  <c r="BJ57"/>
  <c r="BE53"/>
  <c r="BG53" s="1"/>
  <c r="BI53" s="1"/>
  <c r="BL53"/>
  <c r="BJ53"/>
  <c r="BE49"/>
  <c r="BG49" s="1"/>
  <c r="BI49" s="1"/>
  <c r="BL49"/>
  <c r="BJ49"/>
  <c r="BE45"/>
  <c r="BG45" s="1"/>
  <c r="BI45" s="1"/>
  <c r="BL45"/>
  <c r="BJ45"/>
  <c r="BE41"/>
  <c r="BG41" s="1"/>
  <c r="BI41" s="1"/>
  <c r="BL41"/>
  <c r="BJ41"/>
  <c r="BJ10"/>
  <c r="BE205"/>
  <c r="BG205" s="1"/>
  <c r="BI205" s="1"/>
  <c r="BE201"/>
  <c r="BG201" s="1"/>
  <c r="BI201" s="1"/>
  <c r="BE197"/>
  <c r="BG197" s="1"/>
  <c r="BI197" s="1"/>
  <c r="BI189"/>
  <c r="BI89"/>
  <c r="BG9"/>
  <c r="BI9" s="1"/>
  <c r="BE190"/>
  <c r="BG190" s="1"/>
  <c r="BI190" s="1"/>
  <c r="BJ190"/>
  <c r="BL190"/>
  <c r="BE186"/>
  <c r="BG186" s="1"/>
  <c r="BJ186"/>
  <c r="BL186"/>
  <c r="BE182"/>
  <c r="BG182" s="1"/>
  <c r="BI182" s="1"/>
  <c r="BJ182"/>
  <c r="BL182"/>
  <c r="BE178"/>
  <c r="BG178" s="1"/>
  <c r="BJ178"/>
  <c r="BL178"/>
  <c r="BE174"/>
  <c r="BG174" s="1"/>
  <c r="BI174" s="1"/>
  <c r="BJ174"/>
  <c r="BL174"/>
  <c r="BE170"/>
  <c r="BG170" s="1"/>
  <c r="BJ170"/>
  <c r="BL170"/>
  <c r="BE166"/>
  <c r="BG166" s="1"/>
  <c r="BI166" s="1"/>
  <c r="BJ166"/>
  <c r="BL166"/>
  <c r="BE162"/>
  <c r="BG162" s="1"/>
  <c r="BI162" s="1"/>
  <c r="BJ162"/>
  <c r="BL162"/>
  <c r="BE158"/>
  <c r="BG158" s="1"/>
  <c r="BJ158"/>
  <c r="BL158"/>
  <c r="BE154"/>
  <c r="BG154" s="1"/>
  <c r="BI154" s="1"/>
  <c r="BJ154"/>
  <c r="BL154"/>
  <c r="BE150"/>
  <c r="BG150" s="1"/>
  <c r="BI150" s="1"/>
  <c r="BJ150"/>
  <c r="BL150"/>
  <c r="BJ146"/>
  <c r="BL146"/>
  <c r="BJ142"/>
  <c r="BL142"/>
  <c r="BJ138"/>
  <c r="BL138"/>
  <c r="BJ134"/>
  <c r="BL134"/>
  <c r="BJ130"/>
  <c r="BL130"/>
  <c r="BJ126"/>
  <c r="BL126"/>
  <c r="BE122"/>
  <c r="BG122" s="1"/>
  <c r="BI122" s="1"/>
  <c r="BJ122"/>
  <c r="BL122"/>
  <c r="BE118"/>
  <c r="BJ118"/>
  <c r="BL118"/>
  <c r="BE114"/>
  <c r="BG114" s="1"/>
  <c r="BI114" s="1"/>
  <c r="BJ114"/>
  <c r="BL114"/>
  <c r="BE110"/>
  <c r="BG110" s="1"/>
  <c r="BI110" s="1"/>
  <c r="BJ110"/>
  <c r="BL110"/>
  <c r="BE106"/>
  <c r="BG106" s="1"/>
  <c r="BI106" s="1"/>
  <c r="BJ106"/>
  <c r="BL106"/>
  <c r="BE102"/>
  <c r="BJ102"/>
  <c r="BL102"/>
  <c r="BE98"/>
  <c r="BG98" s="1"/>
  <c r="BI98" s="1"/>
  <c r="BJ98"/>
  <c r="BL98"/>
  <c r="BE94"/>
  <c r="BG94" s="1"/>
  <c r="BI94" s="1"/>
  <c r="BJ94"/>
  <c r="BL94"/>
  <c r="BE90"/>
  <c r="BG90" s="1"/>
  <c r="BI90" s="1"/>
  <c r="BJ90"/>
  <c r="BL90"/>
  <c r="BE86"/>
  <c r="BG86" s="1"/>
  <c r="BI86" s="1"/>
  <c r="BJ86"/>
  <c r="BL86"/>
  <c r="BE82"/>
  <c r="BG82" s="1"/>
  <c r="BI82" s="1"/>
  <c r="BJ82"/>
  <c r="BL82"/>
  <c r="BE78"/>
  <c r="BG78" s="1"/>
  <c r="BI78" s="1"/>
  <c r="BJ78"/>
  <c r="BL78"/>
  <c r="BE74"/>
  <c r="BG74" s="1"/>
  <c r="BI74" s="1"/>
  <c r="BJ74"/>
  <c r="BL74"/>
  <c r="BE70"/>
  <c r="BG70" s="1"/>
  <c r="BI70" s="1"/>
  <c r="BJ70"/>
  <c r="BL70"/>
  <c r="BE66"/>
  <c r="BG66" s="1"/>
  <c r="BI66" s="1"/>
  <c r="BJ66"/>
  <c r="BL66"/>
  <c r="BE62"/>
  <c r="BG62" s="1"/>
  <c r="BI62" s="1"/>
  <c r="BJ62"/>
  <c r="BL62"/>
  <c r="BE58"/>
  <c r="BG58" s="1"/>
  <c r="BI58" s="1"/>
  <c r="BJ58"/>
  <c r="BL58"/>
  <c r="BE54"/>
  <c r="BG54" s="1"/>
  <c r="BI54" s="1"/>
  <c r="BJ54"/>
  <c r="BL54"/>
  <c r="BE50"/>
  <c r="BG50" s="1"/>
  <c r="BI50" s="1"/>
  <c r="BJ50"/>
  <c r="BL50"/>
  <c r="BE46"/>
  <c r="BG46" s="1"/>
  <c r="BI46" s="1"/>
  <c r="BJ46"/>
  <c r="BL46"/>
  <c r="BE42"/>
  <c r="BG42" s="1"/>
  <c r="BI42" s="1"/>
  <c r="BJ42"/>
  <c r="BL42"/>
  <c r="BE38"/>
  <c r="BG38" s="1"/>
  <c r="BI38" s="1"/>
  <c r="BJ38"/>
  <c r="BL38"/>
  <c r="BJ36"/>
  <c r="BJ34"/>
  <c r="BJ32"/>
  <c r="BJ30"/>
  <c r="BJ28"/>
  <c r="BJ26"/>
  <c r="BJ24"/>
  <c r="BJ22"/>
  <c r="BJ20"/>
  <c r="BJ18"/>
  <c r="BJ16"/>
  <c r="BJ14"/>
  <c r="BJ11"/>
  <c r="BJ7"/>
  <c r="AB179"/>
  <c r="AD179" s="1"/>
  <c r="AF179" s="1"/>
  <c r="AB203"/>
  <c r="AD203" s="1"/>
  <c r="AF203" s="1"/>
  <c r="AQ190"/>
  <c r="AS190" s="1"/>
  <c r="AU190" s="1"/>
  <c r="AQ186"/>
  <c r="AS186" s="1"/>
  <c r="AQ182"/>
  <c r="AS182" s="1"/>
  <c r="AU182" s="1"/>
  <c r="AQ178"/>
  <c r="AS178" s="1"/>
  <c r="AU178" s="1"/>
  <c r="AQ174"/>
  <c r="AS174" s="1"/>
  <c r="AU174" s="1"/>
  <c r="AQ170"/>
  <c r="AS170" s="1"/>
  <c r="AU170" s="1"/>
  <c r="AQ166"/>
  <c r="AS166" s="1"/>
  <c r="AU166" s="1"/>
  <c r="AQ162"/>
  <c r="AS162" s="1"/>
  <c r="AU162" s="1"/>
  <c r="AQ158"/>
  <c r="AS158" s="1"/>
  <c r="AU158" s="1"/>
  <c r="AQ154"/>
  <c r="AS154" s="1"/>
  <c r="AU154" s="1"/>
  <c r="AQ150"/>
  <c r="AS150" s="1"/>
  <c r="AU150" s="1"/>
  <c r="AQ146"/>
  <c r="AS146" s="1"/>
  <c r="AU146" s="1"/>
  <c r="AQ29"/>
  <c r="AS29" s="1"/>
  <c r="AU29" s="1"/>
  <c r="AQ25"/>
  <c r="AS25" s="1"/>
  <c r="AU25" s="1"/>
  <c r="AQ21"/>
  <c r="AS21" s="1"/>
  <c r="AU21" s="1"/>
  <c r="BE206"/>
  <c r="BG206" s="1"/>
  <c r="BI206" s="1"/>
  <c r="BE202"/>
  <c r="BG202" s="1"/>
  <c r="BI202" s="1"/>
  <c r="BE198"/>
  <c r="BG198" s="1"/>
  <c r="BI198" s="1"/>
  <c r="BE194"/>
  <c r="BG194" s="1"/>
  <c r="BI194" s="1"/>
  <c r="BI186"/>
  <c r="BI178"/>
  <c r="BI170"/>
  <c r="BI158"/>
  <c r="BE10"/>
  <c r="BG10" s="1"/>
  <c r="BI10" s="1"/>
  <c r="BJ206"/>
  <c r="BL205"/>
  <c r="BJ204"/>
  <c r="BL203"/>
  <c r="BJ202"/>
  <c r="BL201"/>
  <c r="BJ200"/>
  <c r="BL199"/>
  <c r="BJ198"/>
  <c r="BL197"/>
  <c r="BJ196"/>
  <c r="BL195"/>
  <c r="BJ194"/>
  <c r="BL193"/>
  <c r="BE146"/>
  <c r="BG146" s="1"/>
  <c r="BI146" s="1"/>
  <c r="BE144"/>
  <c r="BG144" s="1"/>
  <c r="BI144" s="1"/>
  <c r="BE142"/>
  <c r="BG142" s="1"/>
  <c r="BI142" s="1"/>
  <c r="BE140"/>
  <c r="BG140" s="1"/>
  <c r="BI140" s="1"/>
  <c r="BE138"/>
  <c r="BG138" s="1"/>
  <c r="BI138" s="1"/>
  <c r="BE136"/>
  <c r="BG136" s="1"/>
  <c r="BI136" s="1"/>
  <c r="BE134"/>
  <c r="BG134" s="1"/>
  <c r="BI134" s="1"/>
  <c r="BE132"/>
  <c r="BG132" s="1"/>
  <c r="BI132" s="1"/>
  <c r="BE130"/>
  <c r="BG130" s="1"/>
  <c r="BI130" s="1"/>
  <c r="BE128"/>
  <c r="BG128" s="1"/>
  <c r="BI128" s="1"/>
  <c r="BE126"/>
  <c r="BG126" s="1"/>
  <c r="BI126" s="1"/>
  <c r="BE124"/>
  <c r="BG124" s="1"/>
  <c r="BI124" s="1"/>
  <c r="BG118"/>
  <c r="BI118" s="1"/>
  <c r="BG102"/>
  <c r="BI102" s="1"/>
  <c r="BE147"/>
  <c r="BG147" s="1"/>
  <c r="BI147" s="1"/>
  <c r="BE145"/>
  <c r="BG145" s="1"/>
  <c r="BI145" s="1"/>
  <c r="BE143"/>
  <c r="BG143" s="1"/>
  <c r="BI143" s="1"/>
  <c r="BE141"/>
  <c r="BG141" s="1"/>
  <c r="BI141" s="1"/>
  <c r="BE139"/>
  <c r="BG139" s="1"/>
  <c r="BI139" s="1"/>
  <c r="BE137"/>
  <c r="BG137" s="1"/>
  <c r="BI137" s="1"/>
  <c r="BE135"/>
  <c r="BG135" s="1"/>
  <c r="BI135" s="1"/>
  <c r="BE133"/>
  <c r="BG133" s="1"/>
  <c r="BI133" s="1"/>
  <c r="BE131"/>
  <c r="BG131" s="1"/>
  <c r="BI131" s="1"/>
  <c r="BE129"/>
  <c r="BG129" s="1"/>
  <c r="BI129" s="1"/>
  <c r="BE127"/>
  <c r="BG127" s="1"/>
  <c r="BI127" s="1"/>
  <c r="BE125"/>
  <c r="BG125" s="1"/>
  <c r="BI125" s="1"/>
  <c r="BE123"/>
  <c r="BG123" s="1"/>
  <c r="BI123" s="1"/>
  <c r="BE120"/>
  <c r="BG120" s="1"/>
  <c r="BI120" s="1"/>
  <c r="BE116"/>
  <c r="BG116" s="1"/>
  <c r="BI116" s="1"/>
  <c r="BE112"/>
  <c r="BG112" s="1"/>
  <c r="BI112" s="1"/>
  <c r="BE108"/>
  <c r="BG108" s="1"/>
  <c r="BI108" s="1"/>
  <c r="BE104"/>
  <c r="BG104" s="1"/>
  <c r="BI104" s="1"/>
  <c r="BE100"/>
  <c r="BG100" s="1"/>
  <c r="BI100" s="1"/>
  <c r="BE121"/>
  <c r="BG121" s="1"/>
  <c r="BI121" s="1"/>
  <c r="BE117"/>
  <c r="BG117" s="1"/>
  <c r="BI117" s="1"/>
  <c r="BE113"/>
  <c r="BG113" s="1"/>
  <c r="BI113" s="1"/>
  <c r="BE109"/>
  <c r="BG109" s="1"/>
  <c r="BI109" s="1"/>
  <c r="BE105"/>
  <c r="BG105" s="1"/>
  <c r="BI105" s="1"/>
  <c r="BE101"/>
  <c r="BG101" s="1"/>
  <c r="BI101" s="1"/>
  <c r="BE97"/>
  <c r="BG97" s="1"/>
  <c r="BI97" s="1"/>
  <c r="AQ17"/>
  <c r="AS17" s="1"/>
  <c r="AU17" s="1"/>
  <c r="AU19"/>
  <c r="AU15"/>
  <c r="AS27"/>
  <c r="AU27" s="1"/>
  <c r="AQ26"/>
  <c r="AS26" s="1"/>
  <c r="AU26" s="1"/>
  <c r="AS23"/>
  <c r="AU23" s="1"/>
  <c r="AQ22"/>
  <c r="AS22" s="1"/>
  <c r="AU22" s="1"/>
  <c r="AQ191"/>
  <c r="AS191" s="1"/>
  <c r="AU191" s="1"/>
  <c r="AQ187"/>
  <c r="AS187" s="1"/>
  <c r="AU187" s="1"/>
  <c r="AQ183"/>
  <c r="AS183" s="1"/>
  <c r="AU183" s="1"/>
  <c r="AQ179"/>
  <c r="AS179" s="1"/>
  <c r="AU179" s="1"/>
  <c r="AQ175"/>
  <c r="AS175" s="1"/>
  <c r="AU175" s="1"/>
  <c r="AQ171"/>
  <c r="AS171" s="1"/>
  <c r="AU171" s="1"/>
  <c r="AQ167"/>
  <c r="AS167" s="1"/>
  <c r="AU167" s="1"/>
  <c r="AQ163"/>
  <c r="AS163" s="1"/>
  <c r="AU163" s="1"/>
  <c r="AQ31"/>
  <c r="AS31" s="1"/>
  <c r="AU31" s="1"/>
  <c r="AQ30"/>
  <c r="AS30" s="1"/>
  <c r="AU30" s="1"/>
  <c r="AB147"/>
  <c r="AD147" s="1"/>
  <c r="AF147" s="1"/>
  <c r="AB205"/>
  <c r="AD205" s="1"/>
  <c r="AF205" s="1"/>
  <c r="AW205"/>
  <c r="AW201"/>
  <c r="AW197"/>
  <c r="AW193"/>
  <c r="AQ189"/>
  <c r="AS189" s="1"/>
  <c r="AU189" s="1"/>
  <c r="AQ185"/>
  <c r="AS185" s="1"/>
  <c r="AU185" s="1"/>
  <c r="AQ181"/>
  <c r="AS181" s="1"/>
  <c r="AU181" s="1"/>
  <c r="AQ177"/>
  <c r="AS177" s="1"/>
  <c r="AU177" s="1"/>
  <c r="AQ173"/>
  <c r="AS173" s="1"/>
  <c r="AU173" s="1"/>
  <c r="AQ169"/>
  <c r="AS169" s="1"/>
  <c r="AU169" s="1"/>
  <c r="AQ165"/>
  <c r="AS165" s="1"/>
  <c r="AU165" s="1"/>
  <c r="AQ161"/>
  <c r="AS161" s="1"/>
  <c r="AU161" s="1"/>
  <c r="AQ157"/>
  <c r="AS157" s="1"/>
  <c r="AU157" s="1"/>
  <c r="AQ153"/>
  <c r="AS153" s="1"/>
  <c r="AU153" s="1"/>
  <c r="AQ149"/>
  <c r="AS149" s="1"/>
  <c r="AU149" s="1"/>
  <c r="AQ145"/>
  <c r="AS145" s="1"/>
  <c r="AU145" s="1"/>
  <c r="AQ35"/>
  <c r="AS35" s="1"/>
  <c r="AQ24"/>
  <c r="AS24" s="1"/>
  <c r="AU24" s="1"/>
  <c r="AQ16"/>
  <c r="AS16" s="1"/>
  <c r="AU16" s="1"/>
  <c r="AX206"/>
  <c r="AX202"/>
  <c r="AX198"/>
  <c r="AX194"/>
  <c r="AU186"/>
  <c r="AB83"/>
  <c r="AB171"/>
  <c r="AD171" s="1"/>
  <c r="AF171" s="1"/>
  <c r="AW203"/>
  <c r="AW199"/>
  <c r="AW195"/>
  <c r="AQ159"/>
  <c r="AS159" s="1"/>
  <c r="AU159" s="1"/>
  <c r="AQ155"/>
  <c r="AS155" s="1"/>
  <c r="AU155" s="1"/>
  <c r="AQ151"/>
  <c r="AS151" s="1"/>
  <c r="AU151" s="1"/>
  <c r="AQ147"/>
  <c r="AS147" s="1"/>
  <c r="AU147" s="1"/>
  <c r="AQ28"/>
  <c r="AS28" s="1"/>
  <c r="AU28" s="1"/>
  <c r="AQ20"/>
  <c r="AS20" s="1"/>
  <c r="AU20" s="1"/>
  <c r="AX204"/>
  <c r="AX200"/>
  <c r="AX196"/>
  <c r="AQ192"/>
  <c r="AS192" s="1"/>
  <c r="AU192" s="1"/>
  <c r="AQ188"/>
  <c r="AS188" s="1"/>
  <c r="AU188" s="1"/>
  <c r="AQ184"/>
  <c r="AS184" s="1"/>
  <c r="AU184" s="1"/>
  <c r="AQ180"/>
  <c r="AS180" s="1"/>
  <c r="AU180" s="1"/>
  <c r="AQ176"/>
  <c r="AS176" s="1"/>
  <c r="AU176" s="1"/>
  <c r="AQ172"/>
  <c r="AS172" s="1"/>
  <c r="AU172" s="1"/>
  <c r="AQ168"/>
  <c r="AS168" s="1"/>
  <c r="AU168" s="1"/>
  <c r="AQ164"/>
  <c r="AS164" s="1"/>
  <c r="AU164" s="1"/>
  <c r="AQ160"/>
  <c r="AS160" s="1"/>
  <c r="AU160" s="1"/>
  <c r="AQ156"/>
  <c r="AS156" s="1"/>
  <c r="AU156" s="1"/>
  <c r="AQ152"/>
  <c r="AS152" s="1"/>
  <c r="AU152" s="1"/>
  <c r="AQ148"/>
  <c r="AS148" s="1"/>
  <c r="AU148" s="1"/>
  <c r="AS18"/>
  <c r="AU18" s="1"/>
  <c r="AW144"/>
  <c r="AV144"/>
  <c r="AX144"/>
  <c r="AQ139"/>
  <c r="AS139" s="1"/>
  <c r="AX139"/>
  <c r="AW139"/>
  <c r="AV139"/>
  <c r="AW136"/>
  <c r="AV136"/>
  <c r="AX136"/>
  <c r="AQ131"/>
  <c r="AS131" s="1"/>
  <c r="AX131"/>
  <c r="AW131"/>
  <c r="AV131"/>
  <c r="AW128"/>
  <c r="AV128"/>
  <c r="AX128"/>
  <c r="AQ123"/>
  <c r="AS123" s="1"/>
  <c r="AX123"/>
  <c r="AW123"/>
  <c r="AV123"/>
  <c r="AW120"/>
  <c r="AV120"/>
  <c r="AX120"/>
  <c r="AW116"/>
  <c r="AV116"/>
  <c r="AX116"/>
  <c r="AW112"/>
  <c r="AV112"/>
  <c r="AX112"/>
  <c r="AW108"/>
  <c r="AV108"/>
  <c r="AX108"/>
  <c r="AW104"/>
  <c r="AV104"/>
  <c r="AX104"/>
  <c r="AW100"/>
  <c r="AV100"/>
  <c r="AX100"/>
  <c r="AQ96"/>
  <c r="AS96" s="1"/>
  <c r="AW96"/>
  <c r="AV96"/>
  <c r="AX96"/>
  <c r="AQ92"/>
  <c r="AS92" s="1"/>
  <c r="AU92" s="1"/>
  <c r="AW92"/>
  <c r="AV92"/>
  <c r="AX92"/>
  <c r="AQ88"/>
  <c r="AS88" s="1"/>
  <c r="AU88" s="1"/>
  <c r="AW88"/>
  <c r="AV88"/>
  <c r="AX88"/>
  <c r="AQ84"/>
  <c r="AS84" s="1"/>
  <c r="AU84" s="1"/>
  <c r="AW84"/>
  <c r="AV84"/>
  <c r="AX84"/>
  <c r="AQ80"/>
  <c r="AS80" s="1"/>
  <c r="AU80" s="1"/>
  <c r="AW80"/>
  <c r="AV80"/>
  <c r="AX80"/>
  <c r="AQ76"/>
  <c r="AS76" s="1"/>
  <c r="AU76" s="1"/>
  <c r="AW76"/>
  <c r="AV76"/>
  <c r="AX76"/>
  <c r="AQ72"/>
  <c r="AS72" s="1"/>
  <c r="AU72" s="1"/>
  <c r="AW72"/>
  <c r="AV72"/>
  <c r="AX72"/>
  <c r="AQ68"/>
  <c r="AS68" s="1"/>
  <c r="AU68" s="1"/>
  <c r="AW68"/>
  <c r="AV68"/>
  <c r="AX68"/>
  <c r="AQ64"/>
  <c r="AS64" s="1"/>
  <c r="AU64" s="1"/>
  <c r="AW64"/>
  <c r="AV64"/>
  <c r="AX64"/>
  <c r="AQ60"/>
  <c r="AS60" s="1"/>
  <c r="AU60" s="1"/>
  <c r="AW60"/>
  <c r="AV60"/>
  <c r="AX60"/>
  <c r="AQ56"/>
  <c r="AS56" s="1"/>
  <c r="AU56" s="1"/>
  <c r="AW56"/>
  <c r="AV56"/>
  <c r="AX56"/>
  <c r="AQ52"/>
  <c r="AS52" s="1"/>
  <c r="AU52" s="1"/>
  <c r="AW52"/>
  <c r="AV52"/>
  <c r="AX52"/>
  <c r="AQ48"/>
  <c r="AS48" s="1"/>
  <c r="AU48" s="1"/>
  <c r="AW48"/>
  <c r="AV48"/>
  <c r="AX48"/>
  <c r="AQ44"/>
  <c r="AS44" s="1"/>
  <c r="AU44" s="1"/>
  <c r="AW44"/>
  <c r="AV44"/>
  <c r="AX44"/>
  <c r="AQ40"/>
  <c r="AS40" s="1"/>
  <c r="AU40" s="1"/>
  <c r="AW40"/>
  <c r="AV40"/>
  <c r="AX40"/>
  <c r="AQ36"/>
  <c r="AS36" s="1"/>
  <c r="AU36" s="1"/>
  <c r="AW36"/>
  <c r="AV36"/>
  <c r="AW32"/>
  <c r="AV32"/>
  <c r="AW30"/>
  <c r="AV30"/>
  <c r="AW28"/>
  <c r="AV28"/>
  <c r="AW26"/>
  <c r="AV26"/>
  <c r="AW24"/>
  <c r="AV24"/>
  <c r="AW22"/>
  <c r="AV22"/>
  <c r="AW20"/>
  <c r="AV20"/>
  <c r="AW18"/>
  <c r="AV18"/>
  <c r="AW16"/>
  <c r="AV16"/>
  <c r="AW14"/>
  <c r="AV14"/>
  <c r="AW11"/>
  <c r="AV11"/>
  <c r="AW7"/>
  <c r="AV7"/>
  <c r="AG41"/>
  <c r="AB43"/>
  <c r="AD43" s="1"/>
  <c r="AB75"/>
  <c r="AD75" s="1"/>
  <c r="AB125"/>
  <c r="AD125" s="1"/>
  <c r="AF125" s="1"/>
  <c r="AH126"/>
  <c r="AG131"/>
  <c r="AG139"/>
  <c r="AI170"/>
  <c r="AG173"/>
  <c r="AG181"/>
  <c r="AQ205"/>
  <c r="AS205" s="1"/>
  <c r="AU205" s="1"/>
  <c r="AQ203"/>
  <c r="AS203" s="1"/>
  <c r="AU203" s="1"/>
  <c r="AQ201"/>
  <c r="AS201" s="1"/>
  <c r="AU201" s="1"/>
  <c r="AQ199"/>
  <c r="AS199" s="1"/>
  <c r="AU199" s="1"/>
  <c r="AQ197"/>
  <c r="AS197" s="1"/>
  <c r="AU197" s="1"/>
  <c r="AQ195"/>
  <c r="AS195" s="1"/>
  <c r="AU195" s="1"/>
  <c r="AQ193"/>
  <c r="AS193" s="1"/>
  <c r="AU193" s="1"/>
  <c r="AU96"/>
  <c r="AQ34"/>
  <c r="AS34" s="1"/>
  <c r="AU34" s="1"/>
  <c r="AQ10"/>
  <c r="AS10" s="1"/>
  <c r="AU10" s="1"/>
  <c r="AV206"/>
  <c r="AX205"/>
  <c r="AV204"/>
  <c r="AX203"/>
  <c r="AV202"/>
  <c r="AX201"/>
  <c r="AV200"/>
  <c r="AX199"/>
  <c r="AV198"/>
  <c r="AX197"/>
  <c r="AV196"/>
  <c r="AX195"/>
  <c r="AV194"/>
  <c r="AX193"/>
  <c r="AX191"/>
  <c r="AW191"/>
  <c r="AV191"/>
  <c r="AX189"/>
  <c r="AW189"/>
  <c r="AV189"/>
  <c r="AX187"/>
  <c r="AW187"/>
  <c r="AV187"/>
  <c r="AX185"/>
  <c r="AW185"/>
  <c r="AV185"/>
  <c r="AX183"/>
  <c r="AW183"/>
  <c r="AV183"/>
  <c r="AX181"/>
  <c r="AW181"/>
  <c r="AV181"/>
  <c r="AX179"/>
  <c r="AW179"/>
  <c r="AV179"/>
  <c r="AX177"/>
  <c r="AW177"/>
  <c r="AV177"/>
  <c r="AX175"/>
  <c r="AW175"/>
  <c r="AV175"/>
  <c r="AX173"/>
  <c r="AW173"/>
  <c r="AV173"/>
  <c r="AX171"/>
  <c r="AW171"/>
  <c r="AV171"/>
  <c r="AX169"/>
  <c r="AW169"/>
  <c r="AV169"/>
  <c r="AX167"/>
  <c r="AW167"/>
  <c r="AV167"/>
  <c r="AX165"/>
  <c r="AW165"/>
  <c r="AV165"/>
  <c r="AX163"/>
  <c r="AW163"/>
  <c r="AV163"/>
  <c r="AX161"/>
  <c r="AW161"/>
  <c r="AV161"/>
  <c r="AX159"/>
  <c r="AW159"/>
  <c r="AV159"/>
  <c r="AX157"/>
  <c r="AW157"/>
  <c r="AV157"/>
  <c r="AX155"/>
  <c r="AW155"/>
  <c r="AV155"/>
  <c r="AX153"/>
  <c r="AW153"/>
  <c r="AV153"/>
  <c r="AX151"/>
  <c r="AW151"/>
  <c r="AV151"/>
  <c r="AX149"/>
  <c r="AW149"/>
  <c r="AV149"/>
  <c r="AX147"/>
  <c r="AW147"/>
  <c r="AV147"/>
  <c r="AX145"/>
  <c r="AW145"/>
  <c r="AV145"/>
  <c r="AW142"/>
  <c r="AV142"/>
  <c r="AX142"/>
  <c r="AQ137"/>
  <c r="AS137" s="1"/>
  <c r="AX137"/>
  <c r="AW137"/>
  <c r="AV137"/>
  <c r="AW134"/>
  <c r="AV134"/>
  <c r="AX134"/>
  <c r="AQ129"/>
  <c r="AS129" s="1"/>
  <c r="AX129"/>
  <c r="AW129"/>
  <c r="AV129"/>
  <c r="AW126"/>
  <c r="AV126"/>
  <c r="AX126"/>
  <c r="AQ121"/>
  <c r="AS121" s="1"/>
  <c r="AX121"/>
  <c r="AW121"/>
  <c r="AV121"/>
  <c r="AQ117"/>
  <c r="AS117" s="1"/>
  <c r="AU117" s="1"/>
  <c r="AX117"/>
  <c r="AW117"/>
  <c r="AV117"/>
  <c r="AQ113"/>
  <c r="AS113" s="1"/>
  <c r="AU113" s="1"/>
  <c r="AX113"/>
  <c r="AW113"/>
  <c r="AV113"/>
  <c r="AQ109"/>
  <c r="AS109" s="1"/>
  <c r="AU109" s="1"/>
  <c r="AX109"/>
  <c r="AW109"/>
  <c r="AV109"/>
  <c r="AQ105"/>
  <c r="AS105" s="1"/>
  <c r="AU105" s="1"/>
  <c r="AX105"/>
  <c r="AW105"/>
  <c r="AV105"/>
  <c r="AQ101"/>
  <c r="AS101" s="1"/>
  <c r="AU101" s="1"/>
  <c r="AX101"/>
  <c r="AW101"/>
  <c r="AV101"/>
  <c r="AQ97"/>
  <c r="AS97" s="1"/>
  <c r="AU97" s="1"/>
  <c r="AX97"/>
  <c r="AW97"/>
  <c r="AV97"/>
  <c r="AQ93"/>
  <c r="AS93" s="1"/>
  <c r="AU93" s="1"/>
  <c r="AX93"/>
  <c r="AW93"/>
  <c r="AV93"/>
  <c r="AQ89"/>
  <c r="AS89" s="1"/>
  <c r="AU89" s="1"/>
  <c r="AX89"/>
  <c r="AW89"/>
  <c r="AV89"/>
  <c r="AQ85"/>
  <c r="AS85" s="1"/>
  <c r="AU85" s="1"/>
  <c r="AX85"/>
  <c r="AW85"/>
  <c r="AV85"/>
  <c r="AQ81"/>
  <c r="AS81" s="1"/>
  <c r="AU81" s="1"/>
  <c r="AX81"/>
  <c r="AW81"/>
  <c r="AV81"/>
  <c r="AQ77"/>
  <c r="AS77" s="1"/>
  <c r="AU77" s="1"/>
  <c r="AX77"/>
  <c r="AW77"/>
  <c r="AV77"/>
  <c r="AQ73"/>
  <c r="AS73" s="1"/>
  <c r="AU73" s="1"/>
  <c r="AX73"/>
  <c r="AW73"/>
  <c r="AV73"/>
  <c r="AQ69"/>
  <c r="AS69" s="1"/>
  <c r="AU69" s="1"/>
  <c r="AX69"/>
  <c r="AW69"/>
  <c r="AV69"/>
  <c r="AQ65"/>
  <c r="AS65" s="1"/>
  <c r="AU65" s="1"/>
  <c r="AX65"/>
  <c r="AW65"/>
  <c r="AV65"/>
  <c r="AQ61"/>
  <c r="AS61" s="1"/>
  <c r="AU61" s="1"/>
  <c r="AX61"/>
  <c r="AW61"/>
  <c r="AV61"/>
  <c r="AQ57"/>
  <c r="AS57" s="1"/>
  <c r="AU57" s="1"/>
  <c r="AX57"/>
  <c r="AW57"/>
  <c r="AV57"/>
  <c r="AQ53"/>
  <c r="AS53" s="1"/>
  <c r="AU53" s="1"/>
  <c r="AX53"/>
  <c r="AW53"/>
  <c r="AV53"/>
  <c r="AQ49"/>
  <c r="AS49" s="1"/>
  <c r="AU49" s="1"/>
  <c r="AX49"/>
  <c r="AW49"/>
  <c r="AV49"/>
  <c r="AQ45"/>
  <c r="AS45" s="1"/>
  <c r="AU45" s="1"/>
  <c r="AX45"/>
  <c r="AW45"/>
  <c r="AV45"/>
  <c r="AQ41"/>
  <c r="AS41" s="1"/>
  <c r="AU41" s="1"/>
  <c r="AX41"/>
  <c r="AW41"/>
  <c r="AV41"/>
  <c r="AQ37"/>
  <c r="AS37" s="1"/>
  <c r="AU37" s="1"/>
  <c r="AV37"/>
  <c r="AW37"/>
  <c r="AV33"/>
  <c r="AW33"/>
  <c r="AW12"/>
  <c r="AV12"/>
  <c r="AV8"/>
  <c r="AW8"/>
  <c r="AW206"/>
  <c r="AW204"/>
  <c r="AW202"/>
  <c r="AW200"/>
  <c r="AW198"/>
  <c r="AW196"/>
  <c r="AW194"/>
  <c r="AQ143"/>
  <c r="AS143" s="1"/>
  <c r="AU143" s="1"/>
  <c r="AX143"/>
  <c r="AW143"/>
  <c r="AV143"/>
  <c r="AW140"/>
  <c r="AV140"/>
  <c r="AX140"/>
  <c r="AQ135"/>
  <c r="AS135" s="1"/>
  <c r="AX135"/>
  <c r="AW135"/>
  <c r="AV135"/>
  <c r="AW132"/>
  <c r="AV132"/>
  <c r="AX132"/>
  <c r="AQ127"/>
  <c r="AS127" s="1"/>
  <c r="AU127" s="1"/>
  <c r="AX127"/>
  <c r="AW127"/>
  <c r="AV127"/>
  <c r="AW124"/>
  <c r="AV124"/>
  <c r="AX124"/>
  <c r="AQ118"/>
  <c r="AW118"/>
  <c r="AV118"/>
  <c r="AX118"/>
  <c r="AQ114"/>
  <c r="AW114"/>
  <c r="AV114"/>
  <c r="AX114"/>
  <c r="AQ110"/>
  <c r="AW110"/>
  <c r="AV110"/>
  <c r="AX110"/>
  <c r="AQ106"/>
  <c r="AW106"/>
  <c r="AV106"/>
  <c r="AX106"/>
  <c r="AQ102"/>
  <c r="AW102"/>
  <c r="AV102"/>
  <c r="AX102"/>
  <c r="AQ98"/>
  <c r="AS98" s="1"/>
  <c r="AU98" s="1"/>
  <c r="AW98"/>
  <c r="AV98"/>
  <c r="AX98"/>
  <c r="AQ94"/>
  <c r="AS94" s="1"/>
  <c r="AU94" s="1"/>
  <c r="AW94"/>
  <c r="AV94"/>
  <c r="AX94"/>
  <c r="AQ90"/>
  <c r="AS90" s="1"/>
  <c r="AU90" s="1"/>
  <c r="AW90"/>
  <c r="AV90"/>
  <c r="AX90"/>
  <c r="AQ86"/>
  <c r="AS86" s="1"/>
  <c r="AU86" s="1"/>
  <c r="AW86"/>
  <c r="AV86"/>
  <c r="AX86"/>
  <c r="AQ82"/>
  <c r="AS82" s="1"/>
  <c r="AU82" s="1"/>
  <c r="AW82"/>
  <c r="AV82"/>
  <c r="AX82"/>
  <c r="AQ78"/>
  <c r="AS78" s="1"/>
  <c r="AU78" s="1"/>
  <c r="AW78"/>
  <c r="AV78"/>
  <c r="AX78"/>
  <c r="AQ74"/>
  <c r="AS74" s="1"/>
  <c r="AU74" s="1"/>
  <c r="AW74"/>
  <c r="AV74"/>
  <c r="AX74"/>
  <c r="AQ70"/>
  <c r="AS70" s="1"/>
  <c r="AU70" s="1"/>
  <c r="AW70"/>
  <c r="AV70"/>
  <c r="AX70"/>
  <c r="AQ66"/>
  <c r="AS66" s="1"/>
  <c r="AU66" s="1"/>
  <c r="AW66"/>
  <c r="AV66"/>
  <c r="AX66"/>
  <c r="AQ62"/>
  <c r="AS62" s="1"/>
  <c r="AU62" s="1"/>
  <c r="AW62"/>
  <c r="AV62"/>
  <c r="AX62"/>
  <c r="AQ58"/>
  <c r="AS58" s="1"/>
  <c r="AU58" s="1"/>
  <c r="AW58"/>
  <c r="AV58"/>
  <c r="AX58"/>
  <c r="AQ54"/>
  <c r="AS54" s="1"/>
  <c r="AU54" s="1"/>
  <c r="AW54"/>
  <c r="AV54"/>
  <c r="AX54"/>
  <c r="AQ50"/>
  <c r="AS50" s="1"/>
  <c r="AU50" s="1"/>
  <c r="AW50"/>
  <c r="AV50"/>
  <c r="AX50"/>
  <c r="AQ46"/>
  <c r="AS46" s="1"/>
  <c r="AU46" s="1"/>
  <c r="AW46"/>
  <c r="AV46"/>
  <c r="AX46"/>
  <c r="AQ42"/>
  <c r="AS42" s="1"/>
  <c r="AU42" s="1"/>
  <c r="AW42"/>
  <c r="AV42"/>
  <c r="AX42"/>
  <c r="AQ38"/>
  <c r="AS38" s="1"/>
  <c r="AU38" s="1"/>
  <c r="AW38"/>
  <c r="AV38"/>
  <c r="AX38"/>
  <c r="AW34"/>
  <c r="AV34"/>
  <c r="AW31"/>
  <c r="AV31"/>
  <c r="AV29"/>
  <c r="AW29"/>
  <c r="AW27"/>
  <c r="AV27"/>
  <c r="AV25"/>
  <c r="AW25"/>
  <c r="AW23"/>
  <c r="AV23"/>
  <c r="AV21"/>
  <c r="AW21"/>
  <c r="AW19"/>
  <c r="AV19"/>
  <c r="AV17"/>
  <c r="AW17"/>
  <c r="AW15"/>
  <c r="AV15"/>
  <c r="AV13"/>
  <c r="AW13"/>
  <c r="AV9"/>
  <c r="AW9"/>
  <c r="AG12"/>
  <c r="AB45"/>
  <c r="AD45" s="1"/>
  <c r="AF45" s="1"/>
  <c r="AB51"/>
  <c r="AG67"/>
  <c r="AG81"/>
  <c r="AB151"/>
  <c r="AD151" s="1"/>
  <c r="AF151" s="1"/>
  <c r="AB155"/>
  <c r="AD155" s="1"/>
  <c r="AF155" s="1"/>
  <c r="AB185"/>
  <c r="AD185" s="1"/>
  <c r="AF185" s="1"/>
  <c r="AG195"/>
  <c r="AG203"/>
  <c r="AI205"/>
  <c r="AQ206"/>
  <c r="AS206" s="1"/>
  <c r="AU206" s="1"/>
  <c r="AQ204"/>
  <c r="AS204" s="1"/>
  <c r="AU204" s="1"/>
  <c r="AQ202"/>
  <c r="AS202" s="1"/>
  <c r="AU202" s="1"/>
  <c r="AQ200"/>
  <c r="AS200" s="1"/>
  <c r="AU200" s="1"/>
  <c r="AQ198"/>
  <c r="AS198" s="1"/>
  <c r="AU198" s="1"/>
  <c r="AQ196"/>
  <c r="AS196" s="1"/>
  <c r="AU196" s="1"/>
  <c r="AQ194"/>
  <c r="AS194" s="1"/>
  <c r="AU194" s="1"/>
  <c r="AQ32"/>
  <c r="AS32" s="1"/>
  <c r="AU32" s="1"/>
  <c r="AQ12"/>
  <c r="AS12" s="1"/>
  <c r="AU12" s="1"/>
  <c r="AQ8"/>
  <c r="AS8" s="1"/>
  <c r="AU8" s="1"/>
  <c r="AV205"/>
  <c r="AV203"/>
  <c r="AV201"/>
  <c r="AV199"/>
  <c r="AV197"/>
  <c r="AV195"/>
  <c r="AV193"/>
  <c r="AW192"/>
  <c r="AV192"/>
  <c r="AX192"/>
  <c r="AW190"/>
  <c r="AV190"/>
  <c r="AX190"/>
  <c r="AW188"/>
  <c r="AV188"/>
  <c r="AX188"/>
  <c r="AW186"/>
  <c r="AV186"/>
  <c r="AX186"/>
  <c r="AW184"/>
  <c r="AV184"/>
  <c r="AX184"/>
  <c r="AW182"/>
  <c r="AV182"/>
  <c r="AX182"/>
  <c r="AW180"/>
  <c r="AV180"/>
  <c r="AX180"/>
  <c r="AW178"/>
  <c r="AV178"/>
  <c r="AX178"/>
  <c r="AW176"/>
  <c r="AV176"/>
  <c r="AX176"/>
  <c r="AW174"/>
  <c r="AV174"/>
  <c r="AX174"/>
  <c r="AW172"/>
  <c r="AV172"/>
  <c r="AX172"/>
  <c r="AW170"/>
  <c r="AV170"/>
  <c r="AX170"/>
  <c r="AW168"/>
  <c r="AV168"/>
  <c r="AX168"/>
  <c r="AW166"/>
  <c r="AV166"/>
  <c r="AX166"/>
  <c r="AW164"/>
  <c r="AV164"/>
  <c r="AX164"/>
  <c r="AW162"/>
  <c r="AV162"/>
  <c r="AX162"/>
  <c r="AW160"/>
  <c r="AV160"/>
  <c r="AX160"/>
  <c r="AW158"/>
  <c r="AV158"/>
  <c r="AX158"/>
  <c r="AW156"/>
  <c r="AV156"/>
  <c r="AX156"/>
  <c r="AW154"/>
  <c r="AV154"/>
  <c r="AX154"/>
  <c r="AW152"/>
  <c r="AV152"/>
  <c r="AX152"/>
  <c r="AW150"/>
  <c r="AV150"/>
  <c r="AX150"/>
  <c r="AW148"/>
  <c r="AV148"/>
  <c r="AX148"/>
  <c r="AW146"/>
  <c r="AV146"/>
  <c r="AX146"/>
  <c r="AQ141"/>
  <c r="AS141" s="1"/>
  <c r="AU141" s="1"/>
  <c r="AX141"/>
  <c r="AW141"/>
  <c r="AV141"/>
  <c r="AW138"/>
  <c r="AV138"/>
  <c r="AX138"/>
  <c r="AQ133"/>
  <c r="AS133" s="1"/>
  <c r="AU133" s="1"/>
  <c r="AX133"/>
  <c r="AW133"/>
  <c r="AV133"/>
  <c r="AW130"/>
  <c r="AV130"/>
  <c r="AX130"/>
  <c r="AQ125"/>
  <c r="AS125" s="1"/>
  <c r="AU125" s="1"/>
  <c r="AX125"/>
  <c r="AW125"/>
  <c r="AV125"/>
  <c r="AW122"/>
  <c r="AV122"/>
  <c r="AX122"/>
  <c r="AX119"/>
  <c r="AW119"/>
  <c r="AV119"/>
  <c r="AX115"/>
  <c r="AW115"/>
  <c r="AV115"/>
  <c r="AX111"/>
  <c r="AW111"/>
  <c r="AV111"/>
  <c r="AX107"/>
  <c r="AW107"/>
  <c r="AV107"/>
  <c r="AX103"/>
  <c r="AW103"/>
  <c r="AV103"/>
  <c r="AX99"/>
  <c r="AW99"/>
  <c r="AV99"/>
  <c r="AQ95"/>
  <c r="AS95" s="1"/>
  <c r="AX95"/>
  <c r="AW95"/>
  <c r="AV95"/>
  <c r="AQ91"/>
  <c r="AS91" s="1"/>
  <c r="AU91" s="1"/>
  <c r="AX91"/>
  <c r="AW91"/>
  <c r="AV91"/>
  <c r="AQ87"/>
  <c r="AS87" s="1"/>
  <c r="AU87" s="1"/>
  <c r="AX87"/>
  <c r="AW87"/>
  <c r="AV87"/>
  <c r="AQ83"/>
  <c r="AS83" s="1"/>
  <c r="AU83" s="1"/>
  <c r="AX83"/>
  <c r="AW83"/>
  <c r="AV83"/>
  <c r="AQ79"/>
  <c r="AS79" s="1"/>
  <c r="AU79" s="1"/>
  <c r="AX79"/>
  <c r="AW79"/>
  <c r="AV79"/>
  <c r="AQ75"/>
  <c r="AS75" s="1"/>
  <c r="AU75" s="1"/>
  <c r="AX75"/>
  <c r="AW75"/>
  <c r="AV75"/>
  <c r="AQ71"/>
  <c r="AS71" s="1"/>
  <c r="AU71" s="1"/>
  <c r="AX71"/>
  <c r="AW71"/>
  <c r="AV71"/>
  <c r="AQ67"/>
  <c r="AS67" s="1"/>
  <c r="AU67" s="1"/>
  <c r="AX67"/>
  <c r="AW67"/>
  <c r="AV67"/>
  <c r="AQ63"/>
  <c r="AS63" s="1"/>
  <c r="AU63" s="1"/>
  <c r="AX63"/>
  <c r="AW63"/>
  <c r="AV63"/>
  <c r="AQ59"/>
  <c r="AS59" s="1"/>
  <c r="AU59" s="1"/>
  <c r="AX59"/>
  <c r="AW59"/>
  <c r="AV59"/>
  <c r="AQ55"/>
  <c r="AS55" s="1"/>
  <c r="AU55" s="1"/>
  <c r="AX55"/>
  <c r="AW55"/>
  <c r="AV55"/>
  <c r="AQ51"/>
  <c r="AS51" s="1"/>
  <c r="AU51" s="1"/>
  <c r="AX51"/>
  <c r="AW51"/>
  <c r="AV51"/>
  <c r="AQ47"/>
  <c r="AS47" s="1"/>
  <c r="AU47" s="1"/>
  <c r="AX47"/>
  <c r="AW47"/>
  <c r="AV47"/>
  <c r="AQ43"/>
  <c r="AS43" s="1"/>
  <c r="AU43" s="1"/>
  <c r="AX43"/>
  <c r="AW43"/>
  <c r="AV43"/>
  <c r="AQ39"/>
  <c r="AS39" s="1"/>
  <c r="AU39" s="1"/>
  <c r="AX39"/>
  <c r="AW39"/>
  <c r="AV39"/>
  <c r="AW35"/>
  <c r="AV35"/>
  <c r="AW10"/>
  <c r="AV10"/>
  <c r="AG80"/>
  <c r="AD83"/>
  <c r="AG104"/>
  <c r="AG116"/>
  <c r="AG120"/>
  <c r="AB163"/>
  <c r="AD163" s="1"/>
  <c r="AF163" s="1"/>
  <c r="AI202"/>
  <c r="AG205"/>
  <c r="AU95"/>
  <c r="AQ33"/>
  <c r="AS33" s="1"/>
  <c r="AU33" s="1"/>
  <c r="AQ9"/>
  <c r="AS9" s="1"/>
  <c r="AU9" s="1"/>
  <c r="AQ120"/>
  <c r="AS120" s="1"/>
  <c r="AU120" s="1"/>
  <c r="AQ116"/>
  <c r="AS116" s="1"/>
  <c r="AU116" s="1"/>
  <c r="AQ112"/>
  <c r="AS112" s="1"/>
  <c r="AU112" s="1"/>
  <c r="AQ108"/>
  <c r="AS108" s="1"/>
  <c r="AU108" s="1"/>
  <c r="AQ104"/>
  <c r="AS104" s="1"/>
  <c r="AU104" s="1"/>
  <c r="AQ100"/>
  <c r="AS100" s="1"/>
  <c r="AU100" s="1"/>
  <c r="AU139"/>
  <c r="AU137"/>
  <c r="AU135"/>
  <c r="AU131"/>
  <c r="AU129"/>
  <c r="AU123"/>
  <c r="AU121"/>
  <c r="AS118"/>
  <c r="AU118" s="1"/>
  <c r="AS114"/>
  <c r="AU114" s="1"/>
  <c r="AS110"/>
  <c r="AU110" s="1"/>
  <c r="AS106"/>
  <c r="AU106" s="1"/>
  <c r="AS102"/>
  <c r="AU102" s="1"/>
  <c r="AQ144"/>
  <c r="AS144" s="1"/>
  <c r="AU144" s="1"/>
  <c r="AQ142"/>
  <c r="AS142" s="1"/>
  <c r="AU142" s="1"/>
  <c r="AQ140"/>
  <c r="AS140" s="1"/>
  <c r="AU140" s="1"/>
  <c r="AQ138"/>
  <c r="AS138" s="1"/>
  <c r="AU138" s="1"/>
  <c r="AQ136"/>
  <c r="AS136" s="1"/>
  <c r="AU136" s="1"/>
  <c r="AQ134"/>
  <c r="AS134" s="1"/>
  <c r="AU134" s="1"/>
  <c r="AQ132"/>
  <c r="AS132" s="1"/>
  <c r="AU132" s="1"/>
  <c r="AQ130"/>
  <c r="AS130" s="1"/>
  <c r="AU130" s="1"/>
  <c r="AQ128"/>
  <c r="AS128" s="1"/>
  <c r="AU128" s="1"/>
  <c r="AQ126"/>
  <c r="AS126" s="1"/>
  <c r="AU126" s="1"/>
  <c r="AQ124"/>
  <c r="AS124" s="1"/>
  <c r="AU124" s="1"/>
  <c r="AQ122"/>
  <c r="AS122" s="1"/>
  <c r="AU122" s="1"/>
  <c r="AQ119"/>
  <c r="AS119" s="1"/>
  <c r="AU119" s="1"/>
  <c r="AQ115"/>
  <c r="AS115" s="1"/>
  <c r="AU115" s="1"/>
  <c r="AQ111"/>
  <c r="AS111" s="1"/>
  <c r="AU111" s="1"/>
  <c r="AQ107"/>
  <c r="AS107" s="1"/>
  <c r="AU107" s="1"/>
  <c r="AQ103"/>
  <c r="AS103" s="1"/>
  <c r="AU103" s="1"/>
  <c r="AQ99"/>
  <c r="AS99" s="1"/>
  <c r="AU99" s="1"/>
  <c r="AU35"/>
  <c r="AG14"/>
  <c r="AG18"/>
  <c r="AG22"/>
  <c r="AG26"/>
  <c r="AG30"/>
  <c r="AG34"/>
  <c r="AG38"/>
  <c r="AB49"/>
  <c r="AD49" s="1"/>
  <c r="AF49" s="1"/>
  <c r="AD51"/>
  <c r="AF51" s="1"/>
  <c r="AB55"/>
  <c r="AD55" s="1"/>
  <c r="AB59"/>
  <c r="AD59" s="1"/>
  <c r="AF59" s="1"/>
  <c r="AB63"/>
  <c r="AD63" s="1"/>
  <c r="AF63" s="1"/>
  <c r="AB65"/>
  <c r="AD65" s="1"/>
  <c r="AF65" s="1"/>
  <c r="AG69"/>
  <c r="AI79"/>
  <c r="AG86"/>
  <c r="AG91"/>
  <c r="AG107"/>
  <c r="AG111"/>
  <c r="AI130"/>
  <c r="AB131"/>
  <c r="AD131" s="1"/>
  <c r="AF131" s="1"/>
  <c r="AG133"/>
  <c r="AB143"/>
  <c r="AD143" s="1"/>
  <c r="AF143" s="1"/>
  <c r="AI162"/>
  <c r="AG165"/>
  <c r="AB175"/>
  <c r="AD175" s="1"/>
  <c r="AF175" s="1"/>
  <c r="AG187"/>
  <c r="AB193"/>
  <c r="AD193" s="1"/>
  <c r="AF193" s="1"/>
  <c r="AI194"/>
  <c r="AB195"/>
  <c r="AD195" s="1"/>
  <c r="AF195" s="1"/>
  <c r="AG197"/>
  <c r="AB39"/>
  <c r="AD39" s="1"/>
  <c r="AF39" s="1"/>
  <c r="AB41"/>
  <c r="AD41" s="1"/>
  <c r="AF41" s="1"/>
  <c r="AG43"/>
  <c r="AH68"/>
  <c r="AB69"/>
  <c r="AD69" s="1"/>
  <c r="AF69" s="1"/>
  <c r="AG98"/>
  <c r="AB111"/>
  <c r="AD111" s="1"/>
  <c r="AF111" s="1"/>
  <c r="AB135"/>
  <c r="AD135" s="1"/>
  <c r="AF135" s="1"/>
  <c r="AI154"/>
  <c r="AG157"/>
  <c r="AB167"/>
  <c r="AD167" s="1"/>
  <c r="AF167" s="1"/>
  <c r="AB177"/>
  <c r="AD177" s="1"/>
  <c r="AF177" s="1"/>
  <c r="AG179"/>
  <c r="AI186"/>
  <c r="AB187"/>
  <c r="AD187" s="1"/>
  <c r="AF187" s="1"/>
  <c r="AG189"/>
  <c r="AB199"/>
  <c r="AD199" s="1"/>
  <c r="AF199" s="1"/>
  <c r="AH44"/>
  <c r="AB47"/>
  <c r="AD47" s="1"/>
  <c r="AF47" s="1"/>
  <c r="AB53"/>
  <c r="AD53" s="1"/>
  <c r="AF53" s="1"/>
  <c r="AB57"/>
  <c r="AD57" s="1"/>
  <c r="AF57" s="1"/>
  <c r="AB61"/>
  <c r="AD61" s="1"/>
  <c r="AF61" s="1"/>
  <c r="AG65"/>
  <c r="AB67"/>
  <c r="AD67" s="1"/>
  <c r="AF67" s="1"/>
  <c r="AB79"/>
  <c r="AD79" s="1"/>
  <c r="AI146"/>
  <c r="AB159"/>
  <c r="AD159" s="1"/>
  <c r="AF159" s="1"/>
  <c r="AI178"/>
  <c r="AB201"/>
  <c r="AD201" s="1"/>
  <c r="AF201" s="1"/>
  <c r="AG39"/>
  <c r="AG51"/>
  <c r="AG53"/>
  <c r="AG55"/>
  <c r="AG57"/>
  <c r="AG59"/>
  <c r="AG61"/>
  <c r="AG63"/>
  <c r="AH8"/>
  <c r="AG45"/>
  <c r="AI71"/>
  <c r="AG73"/>
  <c r="AG83"/>
  <c r="AB91"/>
  <c r="AD91" s="1"/>
  <c r="AF91" s="1"/>
  <c r="AG93"/>
  <c r="AG97"/>
  <c r="AG103"/>
  <c r="AB107"/>
  <c r="AD107" s="1"/>
  <c r="AF107" s="1"/>
  <c r="AG112"/>
  <c r="AG119"/>
  <c r="AB121"/>
  <c r="AD121" s="1"/>
  <c r="AF121" s="1"/>
  <c r="AH122"/>
  <c r="AI132"/>
  <c r="AB133"/>
  <c r="AD133" s="1"/>
  <c r="AF133" s="1"/>
  <c r="AG135"/>
  <c r="AI140"/>
  <c r="AB141"/>
  <c r="AD141" s="1"/>
  <c r="AF141" s="1"/>
  <c r="AG143"/>
  <c r="AI148"/>
  <c r="AB149"/>
  <c r="AD149" s="1"/>
  <c r="AF149" s="1"/>
  <c r="AG151"/>
  <c r="AI156"/>
  <c r="AB157"/>
  <c r="AD157" s="1"/>
  <c r="AF157" s="1"/>
  <c r="AG159"/>
  <c r="AI164"/>
  <c r="AB165"/>
  <c r="AD165" s="1"/>
  <c r="AF165" s="1"/>
  <c r="AG167"/>
  <c r="AI172"/>
  <c r="AB173"/>
  <c r="AD173" s="1"/>
  <c r="AF173" s="1"/>
  <c r="AG175"/>
  <c r="AI180"/>
  <c r="AB181"/>
  <c r="AD181" s="1"/>
  <c r="AF181" s="1"/>
  <c r="AG183"/>
  <c r="AI188"/>
  <c r="AB189"/>
  <c r="AD189" s="1"/>
  <c r="AF189" s="1"/>
  <c r="AG191"/>
  <c r="AI196"/>
  <c r="AB197"/>
  <c r="AD197" s="1"/>
  <c r="AF197" s="1"/>
  <c r="AG199"/>
  <c r="AI204"/>
  <c r="AB11"/>
  <c r="AD11" s="1"/>
  <c r="AF11" s="1"/>
  <c r="AG47"/>
  <c r="AH48"/>
  <c r="AG72"/>
  <c r="AH78"/>
  <c r="AB87"/>
  <c r="AD87" s="1"/>
  <c r="AG89"/>
  <c r="AB97"/>
  <c r="AD97" s="1"/>
  <c r="AF97" s="1"/>
  <c r="AG99"/>
  <c r="AB103"/>
  <c r="AD103" s="1"/>
  <c r="AF103" s="1"/>
  <c r="AG108"/>
  <c r="AG115"/>
  <c r="AB119"/>
  <c r="AD119" s="1"/>
  <c r="AF119" s="1"/>
  <c r="AG129"/>
  <c r="AI134"/>
  <c r="AG137"/>
  <c r="AI142"/>
  <c r="AG145"/>
  <c r="AI150"/>
  <c r="AG153"/>
  <c r="AI158"/>
  <c r="AG161"/>
  <c r="AI166"/>
  <c r="AG169"/>
  <c r="AI174"/>
  <c r="AG177"/>
  <c r="AI182"/>
  <c r="AB183"/>
  <c r="AD183" s="1"/>
  <c r="AF183" s="1"/>
  <c r="AG185"/>
  <c r="AI190"/>
  <c r="AB191"/>
  <c r="AD191" s="1"/>
  <c r="AF191" s="1"/>
  <c r="AG193"/>
  <c r="AI198"/>
  <c r="AG201"/>
  <c r="AI206"/>
  <c r="AG9"/>
  <c r="AH40"/>
  <c r="AG49"/>
  <c r="AD50"/>
  <c r="AH52"/>
  <c r="AD54"/>
  <c r="AF54" s="1"/>
  <c r="AH56"/>
  <c r="AD58"/>
  <c r="AF58" s="1"/>
  <c r="AH60"/>
  <c r="AH64"/>
  <c r="AG75"/>
  <c r="AG88"/>
  <c r="AH94"/>
  <c r="AB99"/>
  <c r="AD99" s="1"/>
  <c r="AF99" s="1"/>
  <c r="AB115"/>
  <c r="AD115" s="1"/>
  <c r="AF115" s="1"/>
  <c r="AH124"/>
  <c r="AB129"/>
  <c r="AD129" s="1"/>
  <c r="AF129" s="1"/>
  <c r="AI136"/>
  <c r="AB137"/>
  <c r="AD137" s="1"/>
  <c r="AF137" s="1"/>
  <c r="AI144"/>
  <c r="AB145"/>
  <c r="AD145" s="1"/>
  <c r="AF145" s="1"/>
  <c r="AG147"/>
  <c r="AI152"/>
  <c r="AB153"/>
  <c r="AD153" s="1"/>
  <c r="AF153" s="1"/>
  <c r="AG155"/>
  <c r="AI160"/>
  <c r="AB161"/>
  <c r="AD161" s="1"/>
  <c r="AF161" s="1"/>
  <c r="AG163"/>
  <c r="AI168"/>
  <c r="AB169"/>
  <c r="AD169" s="1"/>
  <c r="AF169" s="1"/>
  <c r="AG171"/>
  <c r="AI176"/>
  <c r="AI184"/>
  <c r="AI192"/>
  <c r="AI200"/>
  <c r="AG52"/>
  <c r="AG56"/>
  <c r="AG60"/>
  <c r="AG62"/>
  <c r="AG64"/>
  <c r="AG66"/>
  <c r="AG68"/>
  <c r="AG70"/>
  <c r="AH74"/>
  <c r="AG76"/>
  <c r="AI77"/>
  <c r="AH82"/>
  <c r="AG84"/>
  <c r="AI85"/>
  <c r="AH90"/>
  <c r="AG92"/>
  <c r="AI93"/>
  <c r="AG94"/>
  <c r="AG95"/>
  <c r="AH96"/>
  <c r="AI97"/>
  <c r="AI99"/>
  <c r="AG101"/>
  <c r="AH102"/>
  <c r="AI103"/>
  <c r="AG105"/>
  <c r="AH106"/>
  <c r="AI107"/>
  <c r="AG109"/>
  <c r="AH110"/>
  <c r="AI111"/>
  <c r="AG113"/>
  <c r="AH114"/>
  <c r="AI115"/>
  <c r="AG117"/>
  <c r="AH118"/>
  <c r="AI119"/>
  <c r="AB123"/>
  <c r="AD123" s="1"/>
  <c r="AF123" s="1"/>
  <c r="AB127"/>
  <c r="AD127" s="1"/>
  <c r="AF127" s="1"/>
  <c r="AH10"/>
  <c r="AI87"/>
  <c r="AG16"/>
  <c r="AG20"/>
  <c r="AG24"/>
  <c r="AG28"/>
  <c r="AG32"/>
  <c r="AG36"/>
  <c r="AG40"/>
  <c r="AG42"/>
  <c r="AG44"/>
  <c r="AG48"/>
  <c r="AB9"/>
  <c r="AD9" s="1"/>
  <c r="AF9" s="1"/>
  <c r="AH12"/>
  <c r="AG71"/>
  <c r="AI73"/>
  <c r="AG79"/>
  <c r="AI81"/>
  <c r="AG87"/>
  <c r="AI89"/>
  <c r="AB95"/>
  <c r="AD95" s="1"/>
  <c r="AF95" s="1"/>
  <c r="AH98"/>
  <c r="AB101"/>
  <c r="AD101" s="1"/>
  <c r="AF101" s="1"/>
  <c r="AG102"/>
  <c r="AB105"/>
  <c r="AD105" s="1"/>
  <c r="AF105" s="1"/>
  <c r="AG106"/>
  <c r="AB109"/>
  <c r="AD109" s="1"/>
  <c r="AF109" s="1"/>
  <c r="AG110"/>
  <c r="AB113"/>
  <c r="AD113" s="1"/>
  <c r="AF113" s="1"/>
  <c r="AG114"/>
  <c r="AB117"/>
  <c r="AD117" s="1"/>
  <c r="AF117" s="1"/>
  <c r="AG118"/>
  <c r="AG125"/>
  <c r="AB71"/>
  <c r="AD71" s="1"/>
  <c r="AF71" s="1"/>
  <c r="AI95"/>
  <c r="AH100"/>
  <c r="AI101"/>
  <c r="AH104"/>
  <c r="AI105"/>
  <c r="AH108"/>
  <c r="AI109"/>
  <c r="AH112"/>
  <c r="AI113"/>
  <c r="AH116"/>
  <c r="AI117"/>
  <c r="AH120"/>
  <c r="AH128"/>
  <c r="AH130"/>
  <c r="AH132"/>
  <c r="AH134"/>
  <c r="AH136"/>
  <c r="AH138"/>
  <c r="AH140"/>
  <c r="AH142"/>
  <c r="AH144"/>
  <c r="AH146"/>
  <c r="AH148"/>
  <c r="AH150"/>
  <c r="AH152"/>
  <c r="AH154"/>
  <c r="AH156"/>
  <c r="AH158"/>
  <c r="AH160"/>
  <c r="AH162"/>
  <c r="AH164"/>
  <c r="AH166"/>
  <c r="AH168"/>
  <c r="AH170"/>
  <c r="AH172"/>
  <c r="AH174"/>
  <c r="AH176"/>
  <c r="AH178"/>
  <c r="AH180"/>
  <c r="AH182"/>
  <c r="AH184"/>
  <c r="AH186"/>
  <c r="AH188"/>
  <c r="AH190"/>
  <c r="AH192"/>
  <c r="AH194"/>
  <c r="AH196"/>
  <c r="AH198"/>
  <c r="AH200"/>
  <c r="AH202"/>
  <c r="AH204"/>
  <c r="AF50"/>
  <c r="AI78"/>
  <c r="AB78"/>
  <c r="AD78" s="1"/>
  <c r="AF78" s="1"/>
  <c r="AI86"/>
  <c r="AB86"/>
  <c r="AD86" s="1"/>
  <c r="AF86" s="1"/>
  <c r="AG8"/>
  <c r="AG10"/>
  <c r="AH7"/>
  <c r="AB8"/>
  <c r="AD8" s="1"/>
  <c r="AF8" s="1"/>
  <c r="AH9"/>
  <c r="AB10"/>
  <c r="AD10" s="1"/>
  <c r="AF10" s="1"/>
  <c r="AH11"/>
  <c r="AB12"/>
  <c r="AD12" s="1"/>
  <c r="AF12" s="1"/>
  <c r="AH13"/>
  <c r="AB14"/>
  <c r="AD14" s="1"/>
  <c r="AF14" s="1"/>
  <c r="AH15"/>
  <c r="AB16"/>
  <c r="AD16" s="1"/>
  <c r="AF16" s="1"/>
  <c r="AH17"/>
  <c r="AB18"/>
  <c r="AD18" s="1"/>
  <c r="AF18" s="1"/>
  <c r="AH19"/>
  <c r="AB20"/>
  <c r="AD20" s="1"/>
  <c r="AF20" s="1"/>
  <c r="AH21"/>
  <c r="AB22"/>
  <c r="AD22" s="1"/>
  <c r="AF22" s="1"/>
  <c r="AH23"/>
  <c r="AB24"/>
  <c r="AD24" s="1"/>
  <c r="AF24" s="1"/>
  <c r="AH25"/>
  <c r="AB26"/>
  <c r="AD26" s="1"/>
  <c r="AF26" s="1"/>
  <c r="AH27"/>
  <c r="AB28"/>
  <c r="AD28" s="1"/>
  <c r="AF28" s="1"/>
  <c r="AH29"/>
  <c r="AB30"/>
  <c r="AD30" s="1"/>
  <c r="AF30" s="1"/>
  <c r="AH31"/>
  <c r="AB32"/>
  <c r="AD32" s="1"/>
  <c r="AF32" s="1"/>
  <c r="AH33"/>
  <c r="AB34"/>
  <c r="AD34" s="1"/>
  <c r="AF34" s="1"/>
  <c r="AH35"/>
  <c r="AB36"/>
  <c r="AD36" s="1"/>
  <c r="AF36" s="1"/>
  <c r="AH37"/>
  <c r="AB38"/>
  <c r="AD38" s="1"/>
  <c r="AF38" s="1"/>
  <c r="AH41"/>
  <c r="AI41"/>
  <c r="AF43"/>
  <c r="AH45"/>
  <c r="AI45"/>
  <c r="AH49"/>
  <c r="AI49"/>
  <c r="AH53"/>
  <c r="AI53"/>
  <c r="AF55"/>
  <c r="AH57"/>
  <c r="AI57"/>
  <c r="AH61"/>
  <c r="AI61"/>
  <c r="AH65"/>
  <c r="AI65"/>
  <c r="AH69"/>
  <c r="AI69"/>
  <c r="AB73"/>
  <c r="AD73" s="1"/>
  <c r="AF73" s="1"/>
  <c r="AG74"/>
  <c r="AH76"/>
  <c r="AF79"/>
  <c r="AB81"/>
  <c r="AD81" s="1"/>
  <c r="AF81" s="1"/>
  <c r="AG82"/>
  <c r="AH84"/>
  <c r="AF87"/>
  <c r="AB89"/>
  <c r="AD89" s="1"/>
  <c r="AF89" s="1"/>
  <c r="AG90"/>
  <c r="AH92"/>
  <c r="AG96"/>
  <c r="AI72"/>
  <c r="AB72"/>
  <c r="AD72" s="1"/>
  <c r="AF72" s="1"/>
  <c r="AI80"/>
  <c r="AB80"/>
  <c r="AD80" s="1"/>
  <c r="AF80" s="1"/>
  <c r="AI88"/>
  <c r="AB88"/>
  <c r="AD88" s="1"/>
  <c r="AF88" s="1"/>
  <c r="AG13"/>
  <c r="AG15"/>
  <c r="AG17"/>
  <c r="AG19"/>
  <c r="AG21"/>
  <c r="AG23"/>
  <c r="AG25"/>
  <c r="AG27"/>
  <c r="AG29"/>
  <c r="AG31"/>
  <c r="AG33"/>
  <c r="AG35"/>
  <c r="AG37"/>
  <c r="AI38"/>
  <c r="AB42"/>
  <c r="AD42" s="1"/>
  <c r="AF42" s="1"/>
  <c r="AI42"/>
  <c r="AB46"/>
  <c r="AD46" s="1"/>
  <c r="AF46" s="1"/>
  <c r="AI46"/>
  <c r="AI50"/>
  <c r="AI54"/>
  <c r="AI58"/>
  <c r="AB62"/>
  <c r="AD62" s="1"/>
  <c r="AF62" s="1"/>
  <c r="AI62"/>
  <c r="AB66"/>
  <c r="AD66" s="1"/>
  <c r="AF66" s="1"/>
  <c r="AI66"/>
  <c r="AB70"/>
  <c r="AD70" s="1"/>
  <c r="AF70" s="1"/>
  <c r="AI70"/>
  <c r="AI75"/>
  <c r="AG77"/>
  <c r="AI83"/>
  <c r="AG85"/>
  <c r="AH86"/>
  <c r="AI91"/>
  <c r="AI74"/>
  <c r="AB74"/>
  <c r="AD74" s="1"/>
  <c r="AF74" s="1"/>
  <c r="AI82"/>
  <c r="AB82"/>
  <c r="AD82" s="1"/>
  <c r="AI90"/>
  <c r="AB90"/>
  <c r="AD90" s="1"/>
  <c r="AF90" s="1"/>
  <c r="AG7"/>
  <c r="AG11"/>
  <c r="AB7"/>
  <c r="AD7" s="1"/>
  <c r="AF7" s="1"/>
  <c r="AB13"/>
  <c r="AD13" s="1"/>
  <c r="AF13" s="1"/>
  <c r="AH14"/>
  <c r="AB15"/>
  <c r="AD15" s="1"/>
  <c r="AF15" s="1"/>
  <c r="AH16"/>
  <c r="AB17"/>
  <c r="AD17" s="1"/>
  <c r="AF17" s="1"/>
  <c r="AH18"/>
  <c r="AI18" s="1"/>
  <c r="AB19"/>
  <c r="AD19" s="1"/>
  <c r="AF19" s="1"/>
  <c r="AH20"/>
  <c r="AB21"/>
  <c r="AD21" s="1"/>
  <c r="AF21" s="1"/>
  <c r="AH22"/>
  <c r="AB23"/>
  <c r="AD23" s="1"/>
  <c r="AF23" s="1"/>
  <c r="AH24"/>
  <c r="AB25"/>
  <c r="AD25" s="1"/>
  <c r="AF25" s="1"/>
  <c r="AH26"/>
  <c r="AB27"/>
  <c r="AD27" s="1"/>
  <c r="AF27" s="1"/>
  <c r="AH28"/>
  <c r="AB29"/>
  <c r="AD29" s="1"/>
  <c r="AF29" s="1"/>
  <c r="AH30"/>
  <c r="AB31"/>
  <c r="AD31" s="1"/>
  <c r="AF31" s="1"/>
  <c r="AH32"/>
  <c r="AB33"/>
  <c r="AD33" s="1"/>
  <c r="AF33" s="1"/>
  <c r="AH34"/>
  <c r="AI34" s="1"/>
  <c r="AB35"/>
  <c r="AD35" s="1"/>
  <c r="AF35" s="1"/>
  <c r="AH36"/>
  <c r="AB37"/>
  <c r="AD37" s="1"/>
  <c r="AF37" s="1"/>
  <c r="AH38"/>
  <c r="AH39"/>
  <c r="AI39"/>
  <c r="AH42"/>
  <c r="AH43"/>
  <c r="AI43"/>
  <c r="AH46"/>
  <c r="AH47"/>
  <c r="AI47"/>
  <c r="AH50"/>
  <c r="AH51"/>
  <c r="AI51"/>
  <c r="AH54"/>
  <c r="AH55"/>
  <c r="AI55"/>
  <c r="AH58"/>
  <c r="AH59"/>
  <c r="AI59"/>
  <c r="AH62"/>
  <c r="AH63"/>
  <c r="AI63"/>
  <c r="AH66"/>
  <c r="AH67"/>
  <c r="AI67"/>
  <c r="AH70"/>
  <c r="AH72"/>
  <c r="AF75"/>
  <c r="AB77"/>
  <c r="AD77" s="1"/>
  <c r="AF77" s="1"/>
  <c r="AG78"/>
  <c r="AH80"/>
  <c r="AF83"/>
  <c r="AB85"/>
  <c r="AD85" s="1"/>
  <c r="AF85" s="1"/>
  <c r="AH88"/>
  <c r="AB93"/>
  <c r="AD93" s="1"/>
  <c r="AF93" s="1"/>
  <c r="AG100"/>
  <c r="AI76"/>
  <c r="AB76"/>
  <c r="AD76" s="1"/>
  <c r="AF76" s="1"/>
  <c r="AI84"/>
  <c r="AB84"/>
  <c r="AD84" s="1"/>
  <c r="AF84" s="1"/>
  <c r="AI92"/>
  <c r="AB92"/>
  <c r="AD92" s="1"/>
  <c r="AF92" s="1"/>
  <c r="AB40"/>
  <c r="AD40" s="1"/>
  <c r="AF40" s="1"/>
  <c r="AI40"/>
  <c r="AB44"/>
  <c r="AD44" s="1"/>
  <c r="AF44" s="1"/>
  <c r="AI44"/>
  <c r="AG46"/>
  <c r="AB48"/>
  <c r="AD48" s="1"/>
  <c r="AF48" s="1"/>
  <c r="AI48"/>
  <c r="AG50"/>
  <c r="AB52"/>
  <c r="AD52" s="1"/>
  <c r="AF52" s="1"/>
  <c r="AI52"/>
  <c r="AG54"/>
  <c r="AB56"/>
  <c r="AD56" s="1"/>
  <c r="AF56" s="1"/>
  <c r="AI56"/>
  <c r="AG58"/>
  <c r="AB60"/>
  <c r="AD60" s="1"/>
  <c r="AF60" s="1"/>
  <c r="AI60"/>
  <c r="AB64"/>
  <c r="AD64" s="1"/>
  <c r="AF64" s="1"/>
  <c r="AI64"/>
  <c r="AB68"/>
  <c r="AD68" s="1"/>
  <c r="AF68" s="1"/>
  <c r="AI68"/>
  <c r="AH71"/>
  <c r="AH73"/>
  <c r="AH75"/>
  <c r="AH77"/>
  <c r="AH79"/>
  <c r="AH81"/>
  <c r="AF82"/>
  <c r="AH83"/>
  <c r="AH85"/>
  <c r="AH87"/>
  <c r="AH89"/>
  <c r="AH91"/>
  <c r="AH93"/>
  <c r="AB94"/>
  <c r="AD94" s="1"/>
  <c r="AF94" s="1"/>
  <c r="AH95"/>
  <c r="AB96"/>
  <c r="AD96" s="1"/>
  <c r="AF96" s="1"/>
  <c r="AH97"/>
  <c r="AB98"/>
  <c r="AD98" s="1"/>
  <c r="AF98" s="1"/>
  <c r="AH99"/>
  <c r="AB100"/>
  <c r="AD100" s="1"/>
  <c r="AF100" s="1"/>
  <c r="AH101"/>
  <c r="AB102"/>
  <c r="AD102" s="1"/>
  <c r="AF102" s="1"/>
  <c r="AH103"/>
  <c r="AB104"/>
  <c r="AD104" s="1"/>
  <c r="AF104" s="1"/>
  <c r="AH105"/>
  <c r="AB106"/>
  <c r="AD106" s="1"/>
  <c r="AF106" s="1"/>
  <c r="AH107"/>
  <c r="AB108"/>
  <c r="AD108" s="1"/>
  <c r="AF108" s="1"/>
  <c r="AH109"/>
  <c r="AB110"/>
  <c r="AD110" s="1"/>
  <c r="AF110" s="1"/>
  <c r="AH111"/>
  <c r="AB112"/>
  <c r="AD112" s="1"/>
  <c r="AF112" s="1"/>
  <c r="AH113"/>
  <c r="AB114"/>
  <c r="AD114" s="1"/>
  <c r="AF114" s="1"/>
  <c r="AH115"/>
  <c r="AB116"/>
  <c r="AD116" s="1"/>
  <c r="AF116" s="1"/>
  <c r="AH117"/>
  <c r="AB118"/>
  <c r="AD118" s="1"/>
  <c r="AF118" s="1"/>
  <c r="AH119"/>
  <c r="AB120"/>
  <c r="AD120" s="1"/>
  <c r="AF120" s="1"/>
  <c r="AI122"/>
  <c r="AI124"/>
  <c r="AI126"/>
  <c r="AI128"/>
  <c r="AG121"/>
  <c r="AH121"/>
  <c r="AI121"/>
  <c r="AI94"/>
  <c r="AI96"/>
  <c r="AI98"/>
  <c r="AI100"/>
  <c r="AI102"/>
  <c r="AI104"/>
  <c r="AI106"/>
  <c r="AI108"/>
  <c r="AI110"/>
  <c r="AI112"/>
  <c r="AI114"/>
  <c r="AI116"/>
  <c r="AI118"/>
  <c r="AI120"/>
  <c r="AH206"/>
  <c r="AG122"/>
  <c r="AI123"/>
  <c r="AG124"/>
  <c r="AI125"/>
  <c r="AG126"/>
  <c r="AI127"/>
  <c r="AG128"/>
  <c r="AI129"/>
  <c r="AG130"/>
  <c r="AI131"/>
  <c r="AG132"/>
  <c r="AI133"/>
  <c r="AG134"/>
  <c r="AI135"/>
  <c r="AG136"/>
  <c r="AI137"/>
  <c r="AG138"/>
  <c r="AI139"/>
  <c r="AG140"/>
  <c r="AI141"/>
  <c r="AG142"/>
  <c r="AI143"/>
  <c r="AG144"/>
  <c r="AI145"/>
  <c r="AG146"/>
  <c r="AI147"/>
  <c r="AG148"/>
  <c r="AI149"/>
  <c r="AG150"/>
  <c r="AI151"/>
  <c r="AG152"/>
  <c r="AI153"/>
  <c r="AG154"/>
  <c r="AI155"/>
  <c r="AG156"/>
  <c r="AI157"/>
  <c r="AG158"/>
  <c r="AI159"/>
  <c r="AG160"/>
  <c r="AI161"/>
  <c r="AG162"/>
  <c r="AI163"/>
  <c r="AG164"/>
  <c r="AI165"/>
  <c r="AG166"/>
  <c r="AI167"/>
  <c r="AG168"/>
  <c r="AI169"/>
  <c r="AG170"/>
  <c r="AI171"/>
  <c r="AG172"/>
  <c r="AI173"/>
  <c r="AG174"/>
  <c r="AI175"/>
  <c r="AG176"/>
  <c r="AI177"/>
  <c r="AG178"/>
  <c r="AI179"/>
  <c r="AG180"/>
  <c r="AI181"/>
  <c r="AG182"/>
  <c r="AI183"/>
  <c r="AG184"/>
  <c r="AI185"/>
  <c r="AG186"/>
  <c r="AI187"/>
  <c r="AG188"/>
  <c r="AI189"/>
  <c r="AG190"/>
  <c r="AI191"/>
  <c r="AG192"/>
  <c r="AI193"/>
  <c r="AG194"/>
  <c r="AI195"/>
  <c r="AG196"/>
  <c r="AI197"/>
  <c r="AG198"/>
  <c r="AI199"/>
  <c r="AG200"/>
  <c r="AI201"/>
  <c r="AG202"/>
  <c r="AI203"/>
  <c r="AG204"/>
  <c r="AG206"/>
  <c r="AB122"/>
  <c r="AD122" s="1"/>
  <c r="AF122" s="1"/>
  <c r="AH123"/>
  <c r="AB124"/>
  <c r="AD124" s="1"/>
  <c r="AF124" s="1"/>
  <c r="AH125"/>
  <c r="AB126"/>
  <c r="AD126" s="1"/>
  <c r="AF126" s="1"/>
  <c r="AH127"/>
  <c r="AB128"/>
  <c r="AD128" s="1"/>
  <c r="AF128" s="1"/>
  <c r="AH129"/>
  <c r="AB130"/>
  <c r="AD130" s="1"/>
  <c r="AF130" s="1"/>
  <c r="AH131"/>
  <c r="AB132"/>
  <c r="AD132" s="1"/>
  <c r="AF132" s="1"/>
  <c r="AH133"/>
  <c r="AB134"/>
  <c r="AD134" s="1"/>
  <c r="AF134" s="1"/>
  <c r="AH135"/>
  <c r="AB136"/>
  <c r="AD136" s="1"/>
  <c r="AF136" s="1"/>
  <c r="AH137"/>
  <c r="AB138"/>
  <c r="AD138" s="1"/>
  <c r="AF138" s="1"/>
  <c r="AH139"/>
  <c r="AB140"/>
  <c r="AD140" s="1"/>
  <c r="AF140" s="1"/>
  <c r="AH141"/>
  <c r="AB142"/>
  <c r="AD142" s="1"/>
  <c r="AF142" s="1"/>
  <c r="AH143"/>
  <c r="AB144"/>
  <c r="AD144" s="1"/>
  <c r="AF144" s="1"/>
  <c r="AH145"/>
  <c r="AB146"/>
  <c r="AD146" s="1"/>
  <c r="AF146" s="1"/>
  <c r="AH147"/>
  <c r="AB148"/>
  <c r="AD148" s="1"/>
  <c r="AF148" s="1"/>
  <c r="AH149"/>
  <c r="AB150"/>
  <c r="AD150" s="1"/>
  <c r="AF150" s="1"/>
  <c r="AH151"/>
  <c r="AB152"/>
  <c r="AD152" s="1"/>
  <c r="AF152" s="1"/>
  <c r="AH153"/>
  <c r="AB154"/>
  <c r="AD154" s="1"/>
  <c r="AF154" s="1"/>
  <c r="AH155"/>
  <c r="AB156"/>
  <c r="AD156" s="1"/>
  <c r="AF156" s="1"/>
  <c r="AH157"/>
  <c r="AB158"/>
  <c r="AD158" s="1"/>
  <c r="AF158" s="1"/>
  <c r="AH159"/>
  <c r="AB160"/>
  <c r="AD160" s="1"/>
  <c r="AF160" s="1"/>
  <c r="AH161"/>
  <c r="AB162"/>
  <c r="AD162" s="1"/>
  <c r="AF162" s="1"/>
  <c r="AH163"/>
  <c r="AB164"/>
  <c r="AD164" s="1"/>
  <c r="AF164" s="1"/>
  <c r="AH165"/>
  <c r="AB166"/>
  <c r="AD166" s="1"/>
  <c r="AF166" s="1"/>
  <c r="AH167"/>
  <c r="AB168"/>
  <c r="AD168" s="1"/>
  <c r="AF168" s="1"/>
  <c r="AH169"/>
  <c r="AB170"/>
  <c r="AD170" s="1"/>
  <c r="AF170" s="1"/>
  <c r="AH171"/>
  <c r="AB172"/>
  <c r="AD172" s="1"/>
  <c r="AF172" s="1"/>
  <c r="AH173"/>
  <c r="AB174"/>
  <c r="AD174" s="1"/>
  <c r="AF174" s="1"/>
  <c r="AH175"/>
  <c r="AB176"/>
  <c r="AD176" s="1"/>
  <c r="AF176" s="1"/>
  <c r="AH177"/>
  <c r="AB178"/>
  <c r="AD178" s="1"/>
  <c r="AF178" s="1"/>
  <c r="AH179"/>
  <c r="AB180"/>
  <c r="AD180" s="1"/>
  <c r="AF180" s="1"/>
  <c r="AH181"/>
  <c r="AB182"/>
  <c r="AD182" s="1"/>
  <c r="AF182" s="1"/>
  <c r="AH183"/>
  <c r="AB184"/>
  <c r="AD184" s="1"/>
  <c r="AF184" s="1"/>
  <c r="AH185"/>
  <c r="AB186"/>
  <c r="AD186" s="1"/>
  <c r="AF186" s="1"/>
  <c r="AH187"/>
  <c r="AB188"/>
  <c r="AD188" s="1"/>
  <c r="AF188" s="1"/>
  <c r="AH189"/>
  <c r="AB190"/>
  <c r="AD190" s="1"/>
  <c r="AF190" s="1"/>
  <c r="AH191"/>
  <c r="AB192"/>
  <c r="AD192" s="1"/>
  <c r="AF192" s="1"/>
  <c r="AH193"/>
  <c r="AB194"/>
  <c r="AD194" s="1"/>
  <c r="AF194" s="1"/>
  <c r="AH195"/>
  <c r="AB196"/>
  <c r="AD196" s="1"/>
  <c r="AF196" s="1"/>
  <c r="AH197"/>
  <c r="AB198"/>
  <c r="AD198" s="1"/>
  <c r="AF198" s="1"/>
  <c r="AH199"/>
  <c r="AB200"/>
  <c r="AD200" s="1"/>
  <c r="AF200" s="1"/>
  <c r="AH201"/>
  <c r="AB202"/>
  <c r="AD202" s="1"/>
  <c r="AF202" s="1"/>
  <c r="AH203"/>
  <c r="AB204"/>
  <c r="AD204" s="1"/>
  <c r="AF204" s="1"/>
  <c r="AH205"/>
  <c r="AB206"/>
  <c r="AD206" s="1"/>
  <c r="AF206" s="1"/>
  <c r="K8"/>
  <c r="L8"/>
  <c r="M8"/>
  <c r="O8"/>
  <c r="Q8"/>
  <c r="K9"/>
  <c r="L9"/>
  <c r="M9"/>
  <c r="O9"/>
  <c r="Q9"/>
  <c r="K10"/>
  <c r="L10"/>
  <c r="M10"/>
  <c r="O10"/>
  <c r="Q10"/>
  <c r="K11"/>
  <c r="L11"/>
  <c r="M11"/>
  <c r="O11"/>
  <c r="Q11"/>
  <c r="K12"/>
  <c r="L12"/>
  <c r="M12"/>
  <c r="O12"/>
  <c r="Q12"/>
  <c r="K13"/>
  <c r="L13"/>
  <c r="M13"/>
  <c r="O13"/>
  <c r="Q13"/>
  <c r="K14"/>
  <c r="L14"/>
  <c r="M14"/>
  <c r="O14"/>
  <c r="Q14"/>
  <c r="K15"/>
  <c r="L15"/>
  <c r="M15"/>
  <c r="O15"/>
  <c r="Q15"/>
  <c r="K16"/>
  <c r="L16"/>
  <c r="M16"/>
  <c r="O16"/>
  <c r="Q16"/>
  <c r="K17"/>
  <c r="L17"/>
  <c r="M17"/>
  <c r="O17"/>
  <c r="Q17"/>
  <c r="K18"/>
  <c r="L18"/>
  <c r="M18"/>
  <c r="O18"/>
  <c r="Q18"/>
  <c r="K19"/>
  <c r="L19"/>
  <c r="M19"/>
  <c r="O19"/>
  <c r="Q19"/>
  <c r="K20"/>
  <c r="L20"/>
  <c r="M20"/>
  <c r="O20"/>
  <c r="Q20"/>
  <c r="K21"/>
  <c r="L21"/>
  <c r="M21"/>
  <c r="O21"/>
  <c r="Q21"/>
  <c r="K22"/>
  <c r="L22"/>
  <c r="M22"/>
  <c r="O22"/>
  <c r="Q22"/>
  <c r="K23"/>
  <c r="L23"/>
  <c r="M23"/>
  <c r="O23"/>
  <c r="Q23"/>
  <c r="K24"/>
  <c r="L24"/>
  <c r="M24"/>
  <c r="O24"/>
  <c r="Q24"/>
  <c r="K25"/>
  <c r="L25"/>
  <c r="M25"/>
  <c r="O25"/>
  <c r="Q25"/>
  <c r="K26"/>
  <c r="L26"/>
  <c r="M26"/>
  <c r="O26"/>
  <c r="Q26"/>
  <c r="K27"/>
  <c r="L27"/>
  <c r="M27"/>
  <c r="O27"/>
  <c r="Q27"/>
  <c r="K28"/>
  <c r="L28"/>
  <c r="M28"/>
  <c r="O28"/>
  <c r="Q28"/>
  <c r="K29"/>
  <c r="L29"/>
  <c r="M29"/>
  <c r="O29"/>
  <c r="Q29"/>
  <c r="K30"/>
  <c r="L30"/>
  <c r="M30"/>
  <c r="O30"/>
  <c r="Q30"/>
  <c r="K31"/>
  <c r="L31"/>
  <c r="M31"/>
  <c r="O31"/>
  <c r="Q31"/>
  <c r="K32"/>
  <c r="L32"/>
  <c r="M32"/>
  <c r="O32"/>
  <c r="Q32"/>
  <c r="K33"/>
  <c r="L33"/>
  <c r="M33"/>
  <c r="O33"/>
  <c r="Q33"/>
  <c r="K34"/>
  <c r="L34"/>
  <c r="M34"/>
  <c r="O34"/>
  <c r="Q34"/>
  <c r="K35"/>
  <c r="L35"/>
  <c r="M35"/>
  <c r="O35"/>
  <c r="Q35"/>
  <c r="K36"/>
  <c r="L36"/>
  <c r="M36"/>
  <c r="O36"/>
  <c r="Q36"/>
  <c r="K37"/>
  <c r="L37"/>
  <c r="M37"/>
  <c r="O37"/>
  <c r="Q37"/>
  <c r="K38"/>
  <c r="L38"/>
  <c r="M38"/>
  <c r="O38"/>
  <c r="Q38"/>
  <c r="K39"/>
  <c r="L39"/>
  <c r="M39"/>
  <c r="O39"/>
  <c r="Q39"/>
  <c r="K40"/>
  <c r="L40"/>
  <c r="M40"/>
  <c r="O40"/>
  <c r="Q40"/>
  <c r="K41"/>
  <c r="L41"/>
  <c r="M41"/>
  <c r="O41"/>
  <c r="Q41"/>
  <c r="K42"/>
  <c r="L42"/>
  <c r="M42"/>
  <c r="O42"/>
  <c r="Q42"/>
  <c r="K43"/>
  <c r="L43"/>
  <c r="M43"/>
  <c r="O43"/>
  <c r="Q43"/>
  <c r="K44"/>
  <c r="L44"/>
  <c r="M44"/>
  <c r="O44"/>
  <c r="Q44"/>
  <c r="K45"/>
  <c r="L45"/>
  <c r="M45"/>
  <c r="O45"/>
  <c r="Q45"/>
  <c r="K46"/>
  <c r="L46"/>
  <c r="M46"/>
  <c r="O46"/>
  <c r="Q46"/>
  <c r="K47"/>
  <c r="L47"/>
  <c r="M47"/>
  <c r="O47"/>
  <c r="Q47"/>
  <c r="K48"/>
  <c r="L48"/>
  <c r="M48"/>
  <c r="O48"/>
  <c r="Q48"/>
  <c r="K49"/>
  <c r="L49"/>
  <c r="M49"/>
  <c r="O49"/>
  <c r="Q49"/>
  <c r="K50"/>
  <c r="L50"/>
  <c r="M50"/>
  <c r="O50"/>
  <c r="Q50"/>
  <c r="K51"/>
  <c r="L51"/>
  <c r="M51"/>
  <c r="O51"/>
  <c r="Q51"/>
  <c r="K52"/>
  <c r="L52"/>
  <c r="M52"/>
  <c r="O52"/>
  <c r="Q52"/>
  <c r="K53"/>
  <c r="L53"/>
  <c r="M53"/>
  <c r="O53"/>
  <c r="Q53"/>
  <c r="K54"/>
  <c r="L54"/>
  <c r="M54"/>
  <c r="O54"/>
  <c r="Q54"/>
  <c r="K55"/>
  <c r="L55"/>
  <c r="M55"/>
  <c r="O55"/>
  <c r="Q55"/>
  <c r="K56"/>
  <c r="L56"/>
  <c r="M56"/>
  <c r="O56"/>
  <c r="Q56"/>
  <c r="K57"/>
  <c r="L57"/>
  <c r="M57"/>
  <c r="O57"/>
  <c r="Q57"/>
  <c r="K58"/>
  <c r="L58"/>
  <c r="M58"/>
  <c r="O58"/>
  <c r="Q58"/>
  <c r="K59"/>
  <c r="L59"/>
  <c r="M59"/>
  <c r="O59"/>
  <c r="Q59"/>
  <c r="K60"/>
  <c r="L60"/>
  <c r="M60"/>
  <c r="O60"/>
  <c r="Q60"/>
  <c r="K61"/>
  <c r="L61"/>
  <c r="M61"/>
  <c r="O61"/>
  <c r="Q61"/>
  <c r="K62"/>
  <c r="L62"/>
  <c r="M62"/>
  <c r="O62"/>
  <c r="Q62"/>
  <c r="K63"/>
  <c r="L63"/>
  <c r="M63"/>
  <c r="O63"/>
  <c r="Q63"/>
  <c r="K64"/>
  <c r="L64"/>
  <c r="M64"/>
  <c r="O64"/>
  <c r="Q64"/>
  <c r="K65"/>
  <c r="L65"/>
  <c r="M65"/>
  <c r="O65"/>
  <c r="Q65"/>
  <c r="K66"/>
  <c r="L66"/>
  <c r="M66"/>
  <c r="O66"/>
  <c r="Q66"/>
  <c r="K67"/>
  <c r="L67"/>
  <c r="M67"/>
  <c r="O67"/>
  <c r="Q67"/>
  <c r="K68"/>
  <c r="L68"/>
  <c r="M68"/>
  <c r="O68"/>
  <c r="Q68"/>
  <c r="K69"/>
  <c r="L69"/>
  <c r="M69"/>
  <c r="O69"/>
  <c r="Q69"/>
  <c r="K70"/>
  <c r="L70"/>
  <c r="M70"/>
  <c r="O70"/>
  <c r="Q70"/>
  <c r="K71"/>
  <c r="L71"/>
  <c r="M71"/>
  <c r="O71"/>
  <c r="Q71"/>
  <c r="K72"/>
  <c r="L72"/>
  <c r="M72"/>
  <c r="O72"/>
  <c r="Q72"/>
  <c r="K73"/>
  <c r="L73"/>
  <c r="M73"/>
  <c r="O73"/>
  <c r="Q73"/>
  <c r="K74"/>
  <c r="L74"/>
  <c r="M74"/>
  <c r="O74"/>
  <c r="Q74"/>
  <c r="K75"/>
  <c r="L75"/>
  <c r="M75"/>
  <c r="O75"/>
  <c r="Q75"/>
  <c r="K76"/>
  <c r="L76"/>
  <c r="M76"/>
  <c r="O76"/>
  <c r="Q76"/>
  <c r="K77"/>
  <c r="L77"/>
  <c r="M77"/>
  <c r="O77"/>
  <c r="Q77"/>
  <c r="K78"/>
  <c r="L78"/>
  <c r="M78"/>
  <c r="O78"/>
  <c r="Q78"/>
  <c r="K79"/>
  <c r="L79"/>
  <c r="M79"/>
  <c r="O79"/>
  <c r="Q79"/>
  <c r="K80"/>
  <c r="L80"/>
  <c r="M80"/>
  <c r="O80"/>
  <c r="Q80"/>
  <c r="K81"/>
  <c r="L81"/>
  <c r="M81"/>
  <c r="O81"/>
  <c r="Q81"/>
  <c r="K82"/>
  <c r="L82"/>
  <c r="M82"/>
  <c r="O82"/>
  <c r="Q82"/>
  <c r="K83"/>
  <c r="L83"/>
  <c r="M83"/>
  <c r="O83"/>
  <c r="Q83"/>
  <c r="K84"/>
  <c r="L84"/>
  <c r="M84"/>
  <c r="O84"/>
  <c r="Q84"/>
  <c r="K85"/>
  <c r="L85"/>
  <c r="M85"/>
  <c r="O85"/>
  <c r="Q85"/>
  <c r="K86"/>
  <c r="L86"/>
  <c r="M86"/>
  <c r="O86"/>
  <c r="Q86"/>
  <c r="K87"/>
  <c r="L87"/>
  <c r="M87"/>
  <c r="O87"/>
  <c r="Q87"/>
  <c r="K88"/>
  <c r="L88"/>
  <c r="M88"/>
  <c r="O88"/>
  <c r="Q88"/>
  <c r="K89"/>
  <c r="L89"/>
  <c r="M89"/>
  <c r="O89"/>
  <c r="Q89"/>
  <c r="K90"/>
  <c r="L90"/>
  <c r="M90"/>
  <c r="O90"/>
  <c r="Q90"/>
  <c r="K91"/>
  <c r="L91"/>
  <c r="M91"/>
  <c r="O91"/>
  <c r="Q91"/>
  <c r="K92"/>
  <c r="L92"/>
  <c r="M92"/>
  <c r="O92"/>
  <c r="Q92"/>
  <c r="K93"/>
  <c r="L93"/>
  <c r="M93"/>
  <c r="O93"/>
  <c r="Q93"/>
  <c r="K94"/>
  <c r="L94"/>
  <c r="M94"/>
  <c r="O94"/>
  <c r="Q94"/>
  <c r="K95"/>
  <c r="L95"/>
  <c r="M95"/>
  <c r="O95"/>
  <c r="Q95"/>
  <c r="K96"/>
  <c r="L96"/>
  <c r="M96"/>
  <c r="O96"/>
  <c r="Q96"/>
  <c r="K97"/>
  <c r="L97"/>
  <c r="M97"/>
  <c r="O97"/>
  <c r="Q97"/>
  <c r="K98"/>
  <c r="L98"/>
  <c r="M98"/>
  <c r="O98"/>
  <c r="Q98"/>
  <c r="K99"/>
  <c r="L99"/>
  <c r="M99"/>
  <c r="O99"/>
  <c r="Q99"/>
  <c r="K100"/>
  <c r="L100"/>
  <c r="M100"/>
  <c r="O100"/>
  <c r="Q100"/>
  <c r="K101"/>
  <c r="L101"/>
  <c r="M101"/>
  <c r="O101"/>
  <c r="Q101"/>
  <c r="K102"/>
  <c r="L102"/>
  <c r="M102"/>
  <c r="O102"/>
  <c r="Q102"/>
  <c r="K103"/>
  <c r="L103"/>
  <c r="M103"/>
  <c r="O103"/>
  <c r="Q103"/>
  <c r="K104"/>
  <c r="L104"/>
  <c r="M104"/>
  <c r="O104"/>
  <c r="Q104"/>
  <c r="K105"/>
  <c r="L105"/>
  <c r="M105"/>
  <c r="O105"/>
  <c r="Q105"/>
  <c r="K106"/>
  <c r="L106"/>
  <c r="M106"/>
  <c r="O106"/>
  <c r="Q106"/>
  <c r="K107"/>
  <c r="L107"/>
  <c r="M107"/>
  <c r="O107"/>
  <c r="Q107"/>
  <c r="K108"/>
  <c r="L108"/>
  <c r="M108"/>
  <c r="O108"/>
  <c r="Q108"/>
  <c r="K109"/>
  <c r="L109"/>
  <c r="M109"/>
  <c r="O109"/>
  <c r="Q109"/>
  <c r="K110"/>
  <c r="L110"/>
  <c r="M110"/>
  <c r="O110"/>
  <c r="Q110"/>
  <c r="K111"/>
  <c r="L111"/>
  <c r="M111"/>
  <c r="O111"/>
  <c r="Q111"/>
  <c r="K112"/>
  <c r="L112"/>
  <c r="M112"/>
  <c r="O112"/>
  <c r="Q112"/>
  <c r="K113"/>
  <c r="L113"/>
  <c r="M113"/>
  <c r="O113"/>
  <c r="Q113"/>
  <c r="K114"/>
  <c r="L114"/>
  <c r="M114"/>
  <c r="O114"/>
  <c r="Q114"/>
  <c r="K115"/>
  <c r="L115"/>
  <c r="M115"/>
  <c r="O115"/>
  <c r="Q115"/>
  <c r="K116"/>
  <c r="L116"/>
  <c r="M116"/>
  <c r="O116"/>
  <c r="Q116"/>
  <c r="K117"/>
  <c r="L117"/>
  <c r="M117"/>
  <c r="O117"/>
  <c r="Q117"/>
  <c r="K118"/>
  <c r="L118"/>
  <c r="M118"/>
  <c r="O118"/>
  <c r="Q118"/>
  <c r="K119"/>
  <c r="L119"/>
  <c r="M119"/>
  <c r="O119"/>
  <c r="Q119"/>
  <c r="K120"/>
  <c r="L120"/>
  <c r="M120"/>
  <c r="O120"/>
  <c r="Q120"/>
  <c r="K121"/>
  <c r="L121"/>
  <c r="M121"/>
  <c r="O121"/>
  <c r="Q121"/>
  <c r="K122"/>
  <c r="L122"/>
  <c r="M122"/>
  <c r="O122"/>
  <c r="Q122"/>
  <c r="K123"/>
  <c r="L123"/>
  <c r="M123"/>
  <c r="O123"/>
  <c r="Q123"/>
  <c r="K124"/>
  <c r="L124"/>
  <c r="M124"/>
  <c r="O124"/>
  <c r="Q124"/>
  <c r="K125"/>
  <c r="L125"/>
  <c r="M125"/>
  <c r="O125"/>
  <c r="Q125"/>
  <c r="K126"/>
  <c r="L126"/>
  <c r="M126"/>
  <c r="O126"/>
  <c r="Q126"/>
  <c r="K127"/>
  <c r="L127"/>
  <c r="M127"/>
  <c r="O127"/>
  <c r="Q127"/>
  <c r="K128"/>
  <c r="L128"/>
  <c r="M128"/>
  <c r="O128"/>
  <c r="Q128"/>
  <c r="K129"/>
  <c r="L129"/>
  <c r="M129"/>
  <c r="O129"/>
  <c r="Q129"/>
  <c r="K130"/>
  <c r="L130"/>
  <c r="M130"/>
  <c r="O130"/>
  <c r="Q130"/>
  <c r="K131"/>
  <c r="L131"/>
  <c r="M131"/>
  <c r="O131"/>
  <c r="Q131"/>
  <c r="K132"/>
  <c r="L132"/>
  <c r="M132"/>
  <c r="O132"/>
  <c r="Q132"/>
  <c r="K133"/>
  <c r="L133"/>
  <c r="M133"/>
  <c r="O133"/>
  <c r="Q133"/>
  <c r="K134"/>
  <c r="L134"/>
  <c r="M134"/>
  <c r="O134"/>
  <c r="Q134"/>
  <c r="K135"/>
  <c r="L135"/>
  <c r="M135"/>
  <c r="O135"/>
  <c r="Q135"/>
  <c r="K136"/>
  <c r="L136"/>
  <c r="M136"/>
  <c r="O136"/>
  <c r="Q136"/>
  <c r="K137"/>
  <c r="L137"/>
  <c r="M137"/>
  <c r="O137"/>
  <c r="Q137"/>
  <c r="K138"/>
  <c r="L138"/>
  <c r="M138"/>
  <c r="O138"/>
  <c r="Q138"/>
  <c r="K139"/>
  <c r="L139"/>
  <c r="M139"/>
  <c r="O139"/>
  <c r="Q139"/>
  <c r="K140"/>
  <c r="L140"/>
  <c r="M140"/>
  <c r="O140"/>
  <c r="Q140"/>
  <c r="K141"/>
  <c r="L141"/>
  <c r="M141"/>
  <c r="O141"/>
  <c r="Q141"/>
  <c r="K142"/>
  <c r="L142"/>
  <c r="M142"/>
  <c r="O142"/>
  <c r="Q142"/>
  <c r="K143"/>
  <c r="L143"/>
  <c r="M143"/>
  <c r="O143"/>
  <c r="Q143"/>
  <c r="K144"/>
  <c r="L144"/>
  <c r="M144"/>
  <c r="O144"/>
  <c r="Q144"/>
  <c r="K145"/>
  <c r="L145"/>
  <c r="M145"/>
  <c r="O145"/>
  <c r="Q145"/>
  <c r="K146"/>
  <c r="L146"/>
  <c r="M146"/>
  <c r="O146"/>
  <c r="Q146"/>
  <c r="K147"/>
  <c r="L147"/>
  <c r="M147"/>
  <c r="O147"/>
  <c r="Q147"/>
  <c r="K148"/>
  <c r="L148"/>
  <c r="M148"/>
  <c r="O148"/>
  <c r="Q148"/>
  <c r="K149"/>
  <c r="L149"/>
  <c r="M149"/>
  <c r="O149"/>
  <c r="Q149"/>
  <c r="K150"/>
  <c r="L150"/>
  <c r="M150"/>
  <c r="O150"/>
  <c r="Q150"/>
  <c r="K151"/>
  <c r="L151"/>
  <c r="M151"/>
  <c r="O151"/>
  <c r="Q151"/>
  <c r="K152"/>
  <c r="L152"/>
  <c r="M152"/>
  <c r="O152"/>
  <c r="Q152"/>
  <c r="K153"/>
  <c r="L153"/>
  <c r="M153"/>
  <c r="O153"/>
  <c r="Q153"/>
  <c r="K154"/>
  <c r="L154"/>
  <c r="M154"/>
  <c r="O154"/>
  <c r="Q154"/>
  <c r="K155"/>
  <c r="L155"/>
  <c r="M155"/>
  <c r="O155"/>
  <c r="Q155"/>
  <c r="K156"/>
  <c r="L156"/>
  <c r="M156"/>
  <c r="O156"/>
  <c r="Q156"/>
  <c r="K157"/>
  <c r="L157"/>
  <c r="M157"/>
  <c r="O157"/>
  <c r="Q157"/>
  <c r="K158"/>
  <c r="L158"/>
  <c r="M158"/>
  <c r="O158"/>
  <c r="Q158"/>
  <c r="K159"/>
  <c r="L159"/>
  <c r="M159"/>
  <c r="O159"/>
  <c r="Q159"/>
  <c r="K160"/>
  <c r="L160"/>
  <c r="M160"/>
  <c r="O160"/>
  <c r="Q160"/>
  <c r="K161"/>
  <c r="L161"/>
  <c r="M161"/>
  <c r="O161"/>
  <c r="Q161"/>
  <c r="K162"/>
  <c r="L162"/>
  <c r="M162"/>
  <c r="O162"/>
  <c r="Q162"/>
  <c r="K163"/>
  <c r="L163"/>
  <c r="M163"/>
  <c r="O163"/>
  <c r="Q163"/>
  <c r="K164"/>
  <c r="L164"/>
  <c r="M164"/>
  <c r="O164"/>
  <c r="Q164"/>
  <c r="K165"/>
  <c r="L165"/>
  <c r="M165"/>
  <c r="O165"/>
  <c r="Q165"/>
  <c r="K166"/>
  <c r="L166"/>
  <c r="M166"/>
  <c r="O166"/>
  <c r="Q166"/>
  <c r="K167"/>
  <c r="L167"/>
  <c r="M167"/>
  <c r="O167"/>
  <c r="Q167"/>
  <c r="K168"/>
  <c r="L168"/>
  <c r="M168"/>
  <c r="O168"/>
  <c r="Q168"/>
  <c r="K169"/>
  <c r="L169"/>
  <c r="M169"/>
  <c r="O169"/>
  <c r="Q169"/>
  <c r="K170"/>
  <c r="L170"/>
  <c r="M170"/>
  <c r="O170"/>
  <c r="Q170"/>
  <c r="K171"/>
  <c r="L171"/>
  <c r="M171"/>
  <c r="O171"/>
  <c r="Q171"/>
  <c r="K172"/>
  <c r="L172"/>
  <c r="M172"/>
  <c r="O172"/>
  <c r="Q172"/>
  <c r="K173"/>
  <c r="L173"/>
  <c r="M173"/>
  <c r="O173"/>
  <c r="Q173"/>
  <c r="K174"/>
  <c r="L174"/>
  <c r="M174"/>
  <c r="O174"/>
  <c r="Q174"/>
  <c r="K175"/>
  <c r="L175"/>
  <c r="M175"/>
  <c r="O175"/>
  <c r="Q175"/>
  <c r="K176"/>
  <c r="L176"/>
  <c r="M176"/>
  <c r="O176"/>
  <c r="Q176"/>
  <c r="K177"/>
  <c r="L177"/>
  <c r="M177"/>
  <c r="O177"/>
  <c r="Q177"/>
  <c r="K178"/>
  <c r="L178"/>
  <c r="M178"/>
  <c r="O178"/>
  <c r="Q178"/>
  <c r="K179"/>
  <c r="L179"/>
  <c r="M179"/>
  <c r="O179"/>
  <c r="Q179"/>
  <c r="K180"/>
  <c r="L180"/>
  <c r="M180"/>
  <c r="O180"/>
  <c r="Q180"/>
  <c r="K181"/>
  <c r="L181"/>
  <c r="M181"/>
  <c r="O181"/>
  <c r="Q181"/>
  <c r="K182"/>
  <c r="L182"/>
  <c r="M182"/>
  <c r="O182"/>
  <c r="Q182"/>
  <c r="K183"/>
  <c r="L183"/>
  <c r="M183"/>
  <c r="O183"/>
  <c r="Q183"/>
  <c r="K184"/>
  <c r="L184"/>
  <c r="M184"/>
  <c r="O184"/>
  <c r="Q184"/>
  <c r="K185"/>
  <c r="L185"/>
  <c r="M185"/>
  <c r="O185"/>
  <c r="Q185"/>
  <c r="K186"/>
  <c r="L186"/>
  <c r="M186"/>
  <c r="O186"/>
  <c r="Q186"/>
  <c r="K187"/>
  <c r="L187"/>
  <c r="M187"/>
  <c r="O187"/>
  <c r="Q187"/>
  <c r="K188"/>
  <c r="L188"/>
  <c r="M188"/>
  <c r="O188"/>
  <c r="Q188"/>
  <c r="K189"/>
  <c r="L189"/>
  <c r="M189"/>
  <c r="O189"/>
  <c r="Q189"/>
  <c r="K190"/>
  <c r="L190"/>
  <c r="M190"/>
  <c r="O190"/>
  <c r="Q190"/>
  <c r="K191"/>
  <c r="L191"/>
  <c r="M191"/>
  <c r="O191"/>
  <c r="Q191"/>
  <c r="K192"/>
  <c r="L192"/>
  <c r="M192"/>
  <c r="O192"/>
  <c r="Q192"/>
  <c r="K193"/>
  <c r="L193"/>
  <c r="M193"/>
  <c r="O193"/>
  <c r="Q193"/>
  <c r="K194"/>
  <c r="L194"/>
  <c r="M194"/>
  <c r="O194"/>
  <c r="Q194"/>
  <c r="K195"/>
  <c r="L195"/>
  <c r="M195"/>
  <c r="O195"/>
  <c r="Q195"/>
  <c r="K196"/>
  <c r="L196"/>
  <c r="M196"/>
  <c r="O196"/>
  <c r="Q196"/>
  <c r="K197"/>
  <c r="L197"/>
  <c r="M197"/>
  <c r="O197"/>
  <c r="Q197"/>
  <c r="K198"/>
  <c r="L198"/>
  <c r="M198"/>
  <c r="O198"/>
  <c r="Q198"/>
  <c r="K199"/>
  <c r="L199"/>
  <c r="M199"/>
  <c r="O199"/>
  <c r="Q199"/>
  <c r="K200"/>
  <c r="L200"/>
  <c r="M200"/>
  <c r="O200"/>
  <c r="Q200"/>
  <c r="K201"/>
  <c r="L201"/>
  <c r="M201"/>
  <c r="O201"/>
  <c r="Q201"/>
  <c r="K202"/>
  <c r="L202"/>
  <c r="M202"/>
  <c r="O202"/>
  <c r="Q202"/>
  <c r="K203"/>
  <c r="L203"/>
  <c r="M203"/>
  <c r="O203"/>
  <c r="Q203"/>
  <c r="K204"/>
  <c r="L204"/>
  <c r="M204"/>
  <c r="O204"/>
  <c r="Q204"/>
  <c r="K205"/>
  <c r="L205"/>
  <c r="M205"/>
  <c r="O205"/>
  <c r="Q205"/>
  <c r="K206"/>
  <c r="L206"/>
  <c r="M206"/>
  <c r="O206"/>
  <c r="Q206"/>
  <c r="O7"/>
  <c r="M7"/>
  <c r="R4"/>
  <c r="P4"/>
  <c r="AA208" i="19" l="1"/>
  <c r="L218"/>
  <c r="U185"/>
  <c r="AB186"/>
  <c r="BB185" s="1"/>
  <c r="AW160"/>
  <c r="BA159"/>
  <c r="AW158"/>
  <c r="BC159"/>
  <c r="BB157"/>
  <c r="BB159"/>
  <c r="AX186"/>
  <c r="AV186"/>
  <c r="AW186"/>
  <c r="K195"/>
  <c r="K193"/>
  <c r="C198"/>
  <c r="K194"/>
  <c r="K197"/>
  <c r="C200"/>
  <c r="N200"/>
  <c r="O201"/>
  <c r="K198"/>
  <c r="K196"/>
  <c r="AE200"/>
  <c r="V198"/>
  <c r="W196"/>
  <c r="V195"/>
  <c r="V194"/>
  <c r="AE193"/>
  <c r="V193"/>
  <c r="S186"/>
  <c r="V203"/>
  <c r="AE198"/>
  <c r="AB195"/>
  <c r="AD195" s="1"/>
  <c r="W194"/>
  <c r="W193"/>
  <c r="S188"/>
  <c r="V200"/>
  <c r="W197"/>
  <c r="AB194"/>
  <c r="AD194" s="1"/>
  <c r="T194"/>
  <c r="X193"/>
  <c r="Z193" s="1"/>
  <c r="AA193" s="1"/>
  <c r="T193"/>
  <c r="AB185"/>
  <c r="V184"/>
  <c r="Z200"/>
  <c r="U194"/>
  <c r="AB193"/>
  <c r="AD193" s="1"/>
  <c r="U193"/>
  <c r="S187"/>
  <c r="AE196"/>
  <c r="AB198"/>
  <c r="AD198" s="1"/>
  <c r="X195"/>
  <c r="Z195" s="1"/>
  <c r="AB197"/>
  <c r="AD197" s="1"/>
  <c r="X200"/>
  <c r="R195"/>
  <c r="X196"/>
  <c r="Z196" s="1"/>
  <c r="AA196" s="1"/>
  <c r="W198"/>
  <c r="V196"/>
  <c r="U198"/>
  <c r="V202"/>
  <c r="T195"/>
  <c r="U197"/>
  <c r="T200"/>
  <c r="AC204"/>
  <c r="AE194"/>
  <c r="T196"/>
  <c r="AB200"/>
  <c r="AE197"/>
  <c r="Y200"/>
  <c r="V204"/>
  <c r="X194"/>
  <c r="Z194" s="1"/>
  <c r="AB196"/>
  <c r="AD196" s="1"/>
  <c r="X198"/>
  <c r="Z198" s="1"/>
  <c r="AD202"/>
  <c r="R208"/>
  <c r="AE195"/>
  <c r="X197"/>
  <c r="Z197" s="1"/>
  <c r="W200"/>
  <c r="U195"/>
  <c r="V197"/>
  <c r="U200"/>
  <c r="AD203"/>
  <c r="W208"/>
  <c r="U196"/>
  <c r="T198"/>
  <c r="AC200"/>
  <c r="W195"/>
  <c r="AA195" s="1"/>
  <c r="T197"/>
  <c r="R200"/>
  <c r="AI28" i="9"/>
  <c r="AI8"/>
  <c r="DH79"/>
  <c r="DH87"/>
  <c r="AI33"/>
  <c r="AI25"/>
  <c r="AI17"/>
  <c r="AI12"/>
  <c r="AI10"/>
  <c r="AI20"/>
  <c r="AI36"/>
  <c r="BZ18"/>
  <c r="BZ22"/>
  <c r="BZ26"/>
  <c r="BZ30"/>
  <c r="BZ34"/>
  <c r="DF15"/>
  <c r="DH15" s="1"/>
  <c r="BZ8"/>
  <c r="DG17"/>
  <c r="DG20"/>
  <c r="DH26"/>
  <c r="CO17"/>
  <c r="CO21"/>
  <c r="CO25"/>
  <c r="CO29"/>
  <c r="CO33"/>
  <c r="CO37"/>
  <c r="DF13"/>
  <c r="DH13" s="1"/>
  <c r="DF21"/>
  <c r="DG9"/>
  <c r="DH9" s="1"/>
  <c r="DH30"/>
  <c r="AI26"/>
  <c r="AI7"/>
  <c r="BL13"/>
  <c r="BL17"/>
  <c r="BL21"/>
  <c r="BL25"/>
  <c r="BL29"/>
  <c r="BL33"/>
  <c r="BL37"/>
  <c r="CO18"/>
  <c r="CO22"/>
  <c r="CO26"/>
  <c r="CO30"/>
  <c r="CO34"/>
  <c r="DH21"/>
  <c r="DG24"/>
  <c r="DG10"/>
  <c r="DH31"/>
  <c r="DG16"/>
  <c r="DH16" s="1"/>
  <c r="DG74"/>
  <c r="DG82"/>
  <c r="DG90"/>
  <c r="DG93"/>
  <c r="AI29"/>
  <c r="AI21"/>
  <c r="AI13"/>
  <c r="DG89"/>
  <c r="DH32"/>
  <c r="DH36"/>
  <c r="DG7"/>
  <c r="DG14"/>
  <c r="DH14" s="1"/>
  <c r="DG11"/>
  <c r="DH27"/>
  <c r="DG12"/>
  <c r="DH20"/>
  <c r="DG78"/>
  <c r="DG86"/>
  <c r="DG85"/>
  <c r="DG81"/>
  <c r="DH24"/>
  <c r="CO12"/>
  <c r="CO15"/>
  <c r="DH29"/>
  <c r="DH33"/>
  <c r="DH35"/>
  <c r="DH37"/>
  <c r="DF10"/>
  <c r="DG22"/>
  <c r="DH28"/>
  <c r="DF7"/>
  <c r="DH7" s="1"/>
  <c r="HT7" s="1"/>
  <c r="DH11"/>
  <c r="DF23"/>
  <c r="DH8"/>
  <c r="DH74"/>
  <c r="DH78"/>
  <c r="DH82"/>
  <c r="DH86"/>
  <c r="DH90"/>
  <c r="DG75"/>
  <c r="DG79"/>
  <c r="DG83"/>
  <c r="DG87"/>
  <c r="DG91"/>
  <c r="DH76"/>
  <c r="DH80"/>
  <c r="DH84"/>
  <c r="DH88"/>
  <c r="DH92"/>
  <c r="DH100"/>
  <c r="DF104"/>
  <c r="DG108"/>
  <c r="DH116"/>
  <c r="DF120"/>
  <c r="DG124"/>
  <c r="DH132"/>
  <c r="DF136"/>
  <c r="DG140"/>
  <c r="DF77"/>
  <c r="DF81"/>
  <c r="DF85"/>
  <c r="DF89"/>
  <c r="DF93"/>
  <c r="DG119"/>
  <c r="DH123"/>
  <c r="DF131"/>
  <c r="DH17"/>
  <c r="DG76"/>
  <c r="DG80"/>
  <c r="DG84"/>
  <c r="DG88"/>
  <c r="DG92"/>
  <c r="DH96"/>
  <c r="DH104"/>
  <c r="DF108"/>
  <c r="DG112"/>
  <c r="DH120"/>
  <c r="DF124"/>
  <c r="DG128"/>
  <c r="DH136"/>
  <c r="DF140"/>
  <c r="DH77"/>
  <c r="DH81"/>
  <c r="DH85"/>
  <c r="DH89"/>
  <c r="DH93"/>
  <c r="DF119"/>
  <c r="DG123"/>
  <c r="DH127"/>
  <c r="DH25"/>
  <c r="DH34"/>
  <c r="DG18"/>
  <c r="DH18" s="1"/>
  <c r="DF22"/>
  <c r="DG19"/>
  <c r="DH19" s="1"/>
  <c r="DH23"/>
  <c r="DF12"/>
  <c r="DH12" s="1"/>
  <c r="DF75"/>
  <c r="DF79"/>
  <c r="DF83"/>
  <c r="DF87"/>
  <c r="DF91"/>
  <c r="DG96"/>
  <c r="DG100"/>
  <c r="DF112"/>
  <c r="DG116"/>
  <c r="DF128"/>
  <c r="DG132"/>
  <c r="DG127"/>
  <c r="DH131"/>
  <c r="BZ13"/>
  <c r="CO13"/>
  <c r="CO19"/>
  <c r="CO23"/>
  <c r="CO27"/>
  <c r="CO31"/>
  <c r="CO35"/>
  <c r="CO10"/>
  <c r="BZ16"/>
  <c r="BZ20"/>
  <c r="BZ24"/>
  <c r="BZ28"/>
  <c r="BZ32"/>
  <c r="BZ36"/>
  <c r="CO9"/>
  <c r="CO16"/>
  <c r="CO7"/>
  <c r="CO11"/>
  <c r="CO14"/>
  <c r="CO8"/>
  <c r="CO20"/>
  <c r="CO24"/>
  <c r="CO28"/>
  <c r="CO32"/>
  <c r="CO36"/>
  <c r="BZ11"/>
  <c r="BZ7"/>
  <c r="AI30"/>
  <c r="AI22"/>
  <c r="AI14"/>
  <c r="AI9"/>
  <c r="BZ19"/>
  <c r="BZ23"/>
  <c r="BZ27"/>
  <c r="BZ31"/>
  <c r="BZ35"/>
  <c r="AI32"/>
  <c r="AI24"/>
  <c r="AI16"/>
  <c r="AX37"/>
  <c r="AX14"/>
  <c r="AX18"/>
  <c r="BL8"/>
  <c r="BZ17"/>
  <c r="BZ21"/>
  <c r="BZ25"/>
  <c r="BZ29"/>
  <c r="BZ33"/>
  <c r="BZ37"/>
  <c r="BZ15"/>
  <c r="BZ14"/>
  <c r="BZ9"/>
  <c r="BZ12"/>
  <c r="BL9"/>
  <c r="BL15"/>
  <c r="BL19"/>
  <c r="BL23"/>
  <c r="BL27"/>
  <c r="BL31"/>
  <c r="BL35"/>
  <c r="BZ10"/>
  <c r="AX22"/>
  <c r="AX26"/>
  <c r="AX30"/>
  <c r="AX36"/>
  <c r="BL14"/>
  <c r="BL18"/>
  <c r="BL22"/>
  <c r="BL26"/>
  <c r="BL10"/>
  <c r="AX8"/>
  <c r="BL30"/>
  <c r="BL34"/>
  <c r="AI11"/>
  <c r="AX33"/>
  <c r="BL7"/>
  <c r="BN7" s="1"/>
  <c r="BL11"/>
  <c r="BL16"/>
  <c r="BL20"/>
  <c r="BL24"/>
  <c r="BL28"/>
  <c r="BL32"/>
  <c r="BL36"/>
  <c r="BL12"/>
  <c r="AX16"/>
  <c r="AX20"/>
  <c r="AX24"/>
  <c r="AI31"/>
  <c r="AI23"/>
  <c r="AI15"/>
  <c r="AI35"/>
  <c r="AI27"/>
  <c r="AI19"/>
  <c r="AX13"/>
  <c r="AX17"/>
  <c r="AX21"/>
  <c r="AX25"/>
  <c r="AX29"/>
  <c r="AX10"/>
  <c r="AX9"/>
  <c r="AX15"/>
  <c r="AX19"/>
  <c r="AX23"/>
  <c r="AX27"/>
  <c r="AX31"/>
  <c r="AX12"/>
  <c r="AX7"/>
  <c r="AI37"/>
  <c r="AX28"/>
  <c r="AX32"/>
  <c r="N43"/>
  <c r="AX35"/>
  <c r="AX34"/>
  <c r="AX11"/>
  <c r="N9"/>
  <c r="P9" s="1"/>
  <c r="R9" s="1"/>
  <c r="N36"/>
  <c r="P36" s="1"/>
  <c r="N32"/>
  <c r="P32" s="1"/>
  <c r="N28"/>
  <c r="P28" s="1"/>
  <c r="N24"/>
  <c r="P24" s="1"/>
  <c r="N20"/>
  <c r="P20" s="1"/>
  <c r="N16"/>
  <c r="P16" s="1"/>
  <c r="N12"/>
  <c r="P12" s="1"/>
  <c r="N8"/>
  <c r="P8" s="1"/>
  <c r="N203"/>
  <c r="P203" s="1"/>
  <c r="R203" s="1"/>
  <c r="HT203" s="1"/>
  <c r="U203"/>
  <c r="N204"/>
  <c r="P204" s="1"/>
  <c r="R204" s="1"/>
  <c r="HT204" s="1"/>
  <c r="U204"/>
  <c r="N200"/>
  <c r="P200" s="1"/>
  <c r="R200" s="1"/>
  <c r="HT200" s="1"/>
  <c r="U200"/>
  <c r="N196"/>
  <c r="P196" s="1"/>
  <c r="R196" s="1"/>
  <c r="HT196" s="1"/>
  <c r="U196"/>
  <c r="N192"/>
  <c r="P192" s="1"/>
  <c r="R192" s="1"/>
  <c r="HT192" s="1"/>
  <c r="U192"/>
  <c r="N188"/>
  <c r="P188" s="1"/>
  <c r="R188" s="1"/>
  <c r="HT188" s="1"/>
  <c r="U188"/>
  <c r="N184"/>
  <c r="P184" s="1"/>
  <c r="R184" s="1"/>
  <c r="HT184" s="1"/>
  <c r="U184"/>
  <c r="N180"/>
  <c r="P180" s="1"/>
  <c r="R180" s="1"/>
  <c r="HT180" s="1"/>
  <c r="U180"/>
  <c r="N176"/>
  <c r="P176" s="1"/>
  <c r="R176" s="1"/>
  <c r="HT176" s="1"/>
  <c r="U176"/>
  <c r="N172"/>
  <c r="P172" s="1"/>
  <c r="R172" s="1"/>
  <c r="HT172" s="1"/>
  <c r="U172"/>
  <c r="N168"/>
  <c r="P168" s="1"/>
  <c r="R168" s="1"/>
  <c r="HT168" s="1"/>
  <c r="U168"/>
  <c r="N164"/>
  <c r="P164" s="1"/>
  <c r="R164" s="1"/>
  <c r="HT164" s="1"/>
  <c r="U164"/>
  <c r="N160"/>
  <c r="P160" s="1"/>
  <c r="R160" s="1"/>
  <c r="HT160" s="1"/>
  <c r="U160"/>
  <c r="N156"/>
  <c r="P156" s="1"/>
  <c r="R156" s="1"/>
  <c r="HT156" s="1"/>
  <c r="U156"/>
  <c r="N152"/>
  <c r="P152" s="1"/>
  <c r="R152" s="1"/>
  <c r="HT152" s="1"/>
  <c r="U152"/>
  <c r="N148"/>
  <c r="P148" s="1"/>
  <c r="R148" s="1"/>
  <c r="HT148" s="1"/>
  <c r="U148"/>
  <c r="N144"/>
  <c r="P144" s="1"/>
  <c r="R144" s="1"/>
  <c r="HT144" s="1"/>
  <c r="U144"/>
  <c r="N140"/>
  <c r="P140" s="1"/>
  <c r="R140" s="1"/>
  <c r="HT140" s="1"/>
  <c r="U140"/>
  <c r="N136"/>
  <c r="P136" s="1"/>
  <c r="R136" s="1"/>
  <c r="HT136" s="1"/>
  <c r="U136"/>
  <c r="N131"/>
  <c r="P131" s="1"/>
  <c r="R131" s="1"/>
  <c r="HT131" s="1"/>
  <c r="U131"/>
  <c r="U128"/>
  <c r="N123"/>
  <c r="P123" s="1"/>
  <c r="R123" s="1"/>
  <c r="HT123" s="1"/>
  <c r="U123"/>
  <c r="U120"/>
  <c r="N115"/>
  <c r="P115" s="1"/>
  <c r="R115" s="1"/>
  <c r="HT115" s="1"/>
  <c r="U115"/>
  <c r="U112"/>
  <c r="U108"/>
  <c r="U104"/>
  <c r="U100"/>
  <c r="U96"/>
  <c r="U92"/>
  <c r="N88"/>
  <c r="P88" s="1"/>
  <c r="R88" s="1"/>
  <c r="HT88" s="1"/>
  <c r="U88"/>
  <c r="N84"/>
  <c r="P84" s="1"/>
  <c r="R84" s="1"/>
  <c r="HT84" s="1"/>
  <c r="U84"/>
  <c r="N80"/>
  <c r="P80" s="1"/>
  <c r="R80" s="1"/>
  <c r="HT80" s="1"/>
  <c r="U80"/>
  <c r="N76"/>
  <c r="P76" s="1"/>
  <c r="R76" s="1"/>
  <c r="HT76" s="1"/>
  <c r="U76"/>
  <c r="N72"/>
  <c r="P72" s="1"/>
  <c r="R72" s="1"/>
  <c r="HT72" s="1"/>
  <c r="U72"/>
  <c r="N68"/>
  <c r="P68" s="1"/>
  <c r="R68" s="1"/>
  <c r="HT68" s="1"/>
  <c r="U68"/>
  <c r="N64"/>
  <c r="P64" s="1"/>
  <c r="R64" s="1"/>
  <c r="HT64" s="1"/>
  <c r="U64"/>
  <c r="N60"/>
  <c r="P60" s="1"/>
  <c r="R60" s="1"/>
  <c r="HT60" s="1"/>
  <c r="U60"/>
  <c r="N56"/>
  <c r="P56" s="1"/>
  <c r="R56" s="1"/>
  <c r="HT56" s="1"/>
  <c r="U56"/>
  <c r="N52"/>
  <c r="P52" s="1"/>
  <c r="R52" s="1"/>
  <c r="HT52" s="1"/>
  <c r="U52"/>
  <c r="N48"/>
  <c r="P48" s="1"/>
  <c r="R48" s="1"/>
  <c r="HT48" s="1"/>
  <c r="U48"/>
  <c r="N44"/>
  <c r="P44" s="1"/>
  <c r="R44" s="1"/>
  <c r="HT44" s="1"/>
  <c r="U44"/>
  <c r="N40"/>
  <c r="P40" s="1"/>
  <c r="R40" s="1"/>
  <c r="HT40" s="1"/>
  <c r="U40"/>
  <c r="R36"/>
  <c r="N205"/>
  <c r="P205" s="1"/>
  <c r="R205" s="1"/>
  <c r="HT205" s="1"/>
  <c r="U205"/>
  <c r="N201"/>
  <c r="P201" s="1"/>
  <c r="R201" s="1"/>
  <c r="HT201" s="1"/>
  <c r="U201"/>
  <c r="N197"/>
  <c r="P197" s="1"/>
  <c r="R197" s="1"/>
  <c r="HT197" s="1"/>
  <c r="U197"/>
  <c r="N193"/>
  <c r="P193" s="1"/>
  <c r="R193" s="1"/>
  <c r="HT193" s="1"/>
  <c r="U193"/>
  <c r="N189"/>
  <c r="P189" s="1"/>
  <c r="R189" s="1"/>
  <c r="HT189" s="1"/>
  <c r="U189"/>
  <c r="N185"/>
  <c r="P185" s="1"/>
  <c r="R185" s="1"/>
  <c r="HT185" s="1"/>
  <c r="U185"/>
  <c r="N181"/>
  <c r="P181" s="1"/>
  <c r="R181" s="1"/>
  <c r="HT181" s="1"/>
  <c r="U181"/>
  <c r="N177"/>
  <c r="P177" s="1"/>
  <c r="R177" s="1"/>
  <c r="HT177" s="1"/>
  <c r="U177"/>
  <c r="N173"/>
  <c r="P173" s="1"/>
  <c r="R173" s="1"/>
  <c r="HT173" s="1"/>
  <c r="U173"/>
  <c r="N169"/>
  <c r="P169" s="1"/>
  <c r="R169" s="1"/>
  <c r="HT169" s="1"/>
  <c r="U169"/>
  <c r="N165"/>
  <c r="P165" s="1"/>
  <c r="R165" s="1"/>
  <c r="HT165" s="1"/>
  <c r="U165"/>
  <c r="N161"/>
  <c r="P161" s="1"/>
  <c r="R161" s="1"/>
  <c r="HT161" s="1"/>
  <c r="U161"/>
  <c r="N157"/>
  <c r="P157" s="1"/>
  <c r="R157" s="1"/>
  <c r="HT157" s="1"/>
  <c r="U157"/>
  <c r="N153"/>
  <c r="P153" s="1"/>
  <c r="R153" s="1"/>
  <c r="HT153" s="1"/>
  <c r="U153"/>
  <c r="N149"/>
  <c r="P149" s="1"/>
  <c r="R149" s="1"/>
  <c r="HT149" s="1"/>
  <c r="U149"/>
  <c r="N145"/>
  <c r="P145" s="1"/>
  <c r="R145" s="1"/>
  <c r="HT145" s="1"/>
  <c r="U145"/>
  <c r="N141"/>
  <c r="P141" s="1"/>
  <c r="R141" s="1"/>
  <c r="HT141" s="1"/>
  <c r="U141"/>
  <c r="N137"/>
  <c r="P137" s="1"/>
  <c r="R137" s="1"/>
  <c r="HT137" s="1"/>
  <c r="U137"/>
  <c r="U134"/>
  <c r="N129"/>
  <c r="P129" s="1"/>
  <c r="R129" s="1"/>
  <c r="HT129" s="1"/>
  <c r="U129"/>
  <c r="U126"/>
  <c r="N121"/>
  <c r="P121" s="1"/>
  <c r="R121" s="1"/>
  <c r="HT121" s="1"/>
  <c r="U121"/>
  <c r="U118"/>
  <c r="N113"/>
  <c r="P113" s="1"/>
  <c r="R113" s="1"/>
  <c r="HT113" s="1"/>
  <c r="U113"/>
  <c r="U109"/>
  <c r="U105"/>
  <c r="U101"/>
  <c r="U97"/>
  <c r="U93"/>
  <c r="N89"/>
  <c r="P89" s="1"/>
  <c r="R89" s="1"/>
  <c r="HT89" s="1"/>
  <c r="U89"/>
  <c r="N85"/>
  <c r="P85" s="1"/>
  <c r="R85" s="1"/>
  <c r="HT85" s="1"/>
  <c r="U85"/>
  <c r="N81"/>
  <c r="P81" s="1"/>
  <c r="R81" s="1"/>
  <c r="HT81" s="1"/>
  <c r="U81"/>
  <c r="N77"/>
  <c r="P77" s="1"/>
  <c r="R77" s="1"/>
  <c r="HT77" s="1"/>
  <c r="U77"/>
  <c r="N73"/>
  <c r="P73" s="1"/>
  <c r="R73" s="1"/>
  <c r="HT73" s="1"/>
  <c r="U73"/>
  <c r="N69"/>
  <c r="P69" s="1"/>
  <c r="R69" s="1"/>
  <c r="HT69" s="1"/>
  <c r="U69"/>
  <c r="N65"/>
  <c r="P65" s="1"/>
  <c r="R65" s="1"/>
  <c r="HT65" s="1"/>
  <c r="U65"/>
  <c r="N61"/>
  <c r="P61" s="1"/>
  <c r="R61" s="1"/>
  <c r="HT61" s="1"/>
  <c r="U61"/>
  <c r="N57"/>
  <c r="P57" s="1"/>
  <c r="R57" s="1"/>
  <c r="HT57" s="1"/>
  <c r="U57"/>
  <c r="N53"/>
  <c r="P53" s="1"/>
  <c r="R53" s="1"/>
  <c r="HT53" s="1"/>
  <c r="U53"/>
  <c r="N49"/>
  <c r="P49" s="1"/>
  <c r="R49" s="1"/>
  <c r="HT49" s="1"/>
  <c r="U49"/>
  <c r="N45"/>
  <c r="P45" s="1"/>
  <c r="R45" s="1"/>
  <c r="HT45" s="1"/>
  <c r="U45"/>
  <c r="N206"/>
  <c r="P206" s="1"/>
  <c r="R206" s="1"/>
  <c r="HT206" s="1"/>
  <c r="U206"/>
  <c r="N202"/>
  <c r="P202" s="1"/>
  <c r="R202" s="1"/>
  <c r="HT202" s="1"/>
  <c r="U202"/>
  <c r="N198"/>
  <c r="P198" s="1"/>
  <c r="R198" s="1"/>
  <c r="HT198" s="1"/>
  <c r="U198"/>
  <c r="N194"/>
  <c r="P194" s="1"/>
  <c r="R194" s="1"/>
  <c r="HT194" s="1"/>
  <c r="U194"/>
  <c r="N190"/>
  <c r="P190" s="1"/>
  <c r="R190" s="1"/>
  <c r="HT190" s="1"/>
  <c r="U190"/>
  <c r="N186"/>
  <c r="P186" s="1"/>
  <c r="R186" s="1"/>
  <c r="HT186" s="1"/>
  <c r="U186"/>
  <c r="N182"/>
  <c r="P182" s="1"/>
  <c r="R182" s="1"/>
  <c r="HT182" s="1"/>
  <c r="U182"/>
  <c r="N178"/>
  <c r="P178" s="1"/>
  <c r="R178" s="1"/>
  <c r="HT178" s="1"/>
  <c r="U178"/>
  <c r="N174"/>
  <c r="P174" s="1"/>
  <c r="R174" s="1"/>
  <c r="HT174" s="1"/>
  <c r="U174"/>
  <c r="N170"/>
  <c r="P170" s="1"/>
  <c r="R170" s="1"/>
  <c r="HT170" s="1"/>
  <c r="U170"/>
  <c r="N166"/>
  <c r="P166" s="1"/>
  <c r="R166" s="1"/>
  <c r="HT166" s="1"/>
  <c r="U166"/>
  <c r="N162"/>
  <c r="P162" s="1"/>
  <c r="R162" s="1"/>
  <c r="HT162" s="1"/>
  <c r="U162"/>
  <c r="N158"/>
  <c r="P158" s="1"/>
  <c r="R158" s="1"/>
  <c r="HT158" s="1"/>
  <c r="U158"/>
  <c r="N154"/>
  <c r="P154" s="1"/>
  <c r="R154" s="1"/>
  <c r="HT154" s="1"/>
  <c r="U154"/>
  <c r="N150"/>
  <c r="P150" s="1"/>
  <c r="R150" s="1"/>
  <c r="HT150" s="1"/>
  <c r="U150"/>
  <c r="N146"/>
  <c r="P146" s="1"/>
  <c r="R146" s="1"/>
  <c r="HT146" s="1"/>
  <c r="U146"/>
  <c r="N142"/>
  <c r="P142" s="1"/>
  <c r="R142" s="1"/>
  <c r="HT142" s="1"/>
  <c r="U142"/>
  <c r="N138"/>
  <c r="P138" s="1"/>
  <c r="R138" s="1"/>
  <c r="HT138" s="1"/>
  <c r="U138"/>
  <c r="N135"/>
  <c r="P135" s="1"/>
  <c r="R135" s="1"/>
  <c r="HT135" s="1"/>
  <c r="U135"/>
  <c r="U132"/>
  <c r="N127"/>
  <c r="P127" s="1"/>
  <c r="R127" s="1"/>
  <c r="HT127" s="1"/>
  <c r="U127"/>
  <c r="U124"/>
  <c r="N119"/>
  <c r="P119" s="1"/>
  <c r="R119" s="1"/>
  <c r="HT119" s="1"/>
  <c r="U119"/>
  <c r="U116"/>
  <c r="N110"/>
  <c r="P110" s="1"/>
  <c r="R110" s="1"/>
  <c r="HT110" s="1"/>
  <c r="U110"/>
  <c r="N106"/>
  <c r="P106" s="1"/>
  <c r="R106" s="1"/>
  <c r="HT106" s="1"/>
  <c r="U106"/>
  <c r="N102"/>
  <c r="P102" s="1"/>
  <c r="R102" s="1"/>
  <c r="HT102" s="1"/>
  <c r="U102"/>
  <c r="N98"/>
  <c r="P98" s="1"/>
  <c r="U98"/>
  <c r="N94"/>
  <c r="P94" s="1"/>
  <c r="R94" s="1"/>
  <c r="HT94" s="1"/>
  <c r="U94"/>
  <c r="N90"/>
  <c r="P90" s="1"/>
  <c r="R90" s="1"/>
  <c r="HT90" s="1"/>
  <c r="U90"/>
  <c r="N86"/>
  <c r="P86" s="1"/>
  <c r="R86" s="1"/>
  <c r="HT86" s="1"/>
  <c r="U86"/>
  <c r="N82"/>
  <c r="P82" s="1"/>
  <c r="R82" s="1"/>
  <c r="HT82" s="1"/>
  <c r="U82"/>
  <c r="N78"/>
  <c r="P78" s="1"/>
  <c r="R78" s="1"/>
  <c r="HT78" s="1"/>
  <c r="U78"/>
  <c r="N74"/>
  <c r="P74" s="1"/>
  <c r="R74" s="1"/>
  <c r="HT74" s="1"/>
  <c r="U74"/>
  <c r="N70"/>
  <c r="P70" s="1"/>
  <c r="R70" s="1"/>
  <c r="HT70" s="1"/>
  <c r="U70"/>
  <c r="N66"/>
  <c r="P66" s="1"/>
  <c r="R66" s="1"/>
  <c r="HT66" s="1"/>
  <c r="U66"/>
  <c r="N62"/>
  <c r="P62" s="1"/>
  <c r="R62" s="1"/>
  <c r="HT62" s="1"/>
  <c r="U62"/>
  <c r="N58"/>
  <c r="P58" s="1"/>
  <c r="R58" s="1"/>
  <c r="HT58" s="1"/>
  <c r="U58"/>
  <c r="N54"/>
  <c r="P54" s="1"/>
  <c r="R54" s="1"/>
  <c r="HT54" s="1"/>
  <c r="U54"/>
  <c r="N50"/>
  <c r="P50" s="1"/>
  <c r="R50" s="1"/>
  <c r="HT50" s="1"/>
  <c r="U50"/>
  <c r="N46"/>
  <c r="P46" s="1"/>
  <c r="R46" s="1"/>
  <c r="HT46" s="1"/>
  <c r="U46"/>
  <c r="N199"/>
  <c r="P199" s="1"/>
  <c r="R199" s="1"/>
  <c r="HT199" s="1"/>
  <c r="U199"/>
  <c r="N195"/>
  <c r="P195" s="1"/>
  <c r="R195" s="1"/>
  <c r="HT195" s="1"/>
  <c r="U195"/>
  <c r="N191"/>
  <c r="P191" s="1"/>
  <c r="R191" s="1"/>
  <c r="HT191" s="1"/>
  <c r="U191"/>
  <c r="N187"/>
  <c r="P187" s="1"/>
  <c r="R187" s="1"/>
  <c r="HT187" s="1"/>
  <c r="U187"/>
  <c r="N183"/>
  <c r="P183" s="1"/>
  <c r="R183" s="1"/>
  <c r="HT183" s="1"/>
  <c r="U183"/>
  <c r="N179"/>
  <c r="P179" s="1"/>
  <c r="R179" s="1"/>
  <c r="HT179" s="1"/>
  <c r="U179"/>
  <c r="N175"/>
  <c r="P175" s="1"/>
  <c r="R175" s="1"/>
  <c r="HT175" s="1"/>
  <c r="U175"/>
  <c r="N171"/>
  <c r="P171" s="1"/>
  <c r="R171" s="1"/>
  <c r="HT171" s="1"/>
  <c r="U171"/>
  <c r="N167"/>
  <c r="P167" s="1"/>
  <c r="R167" s="1"/>
  <c r="HT167" s="1"/>
  <c r="U167"/>
  <c r="N163"/>
  <c r="P163" s="1"/>
  <c r="R163" s="1"/>
  <c r="HT163" s="1"/>
  <c r="U163"/>
  <c r="N159"/>
  <c r="P159" s="1"/>
  <c r="R159" s="1"/>
  <c r="HT159" s="1"/>
  <c r="U159"/>
  <c r="N155"/>
  <c r="P155" s="1"/>
  <c r="R155" s="1"/>
  <c r="HT155" s="1"/>
  <c r="U155"/>
  <c r="N151"/>
  <c r="P151" s="1"/>
  <c r="R151" s="1"/>
  <c r="HT151" s="1"/>
  <c r="U151"/>
  <c r="N147"/>
  <c r="P147" s="1"/>
  <c r="R147" s="1"/>
  <c r="HT147" s="1"/>
  <c r="U147"/>
  <c r="N143"/>
  <c r="P143" s="1"/>
  <c r="R143" s="1"/>
  <c r="HT143" s="1"/>
  <c r="U143"/>
  <c r="N139"/>
  <c r="P139" s="1"/>
  <c r="R139" s="1"/>
  <c r="HT139" s="1"/>
  <c r="U139"/>
  <c r="N133"/>
  <c r="P133" s="1"/>
  <c r="R133" s="1"/>
  <c r="HT133" s="1"/>
  <c r="U133"/>
  <c r="U130"/>
  <c r="N125"/>
  <c r="P125" s="1"/>
  <c r="R125" s="1"/>
  <c r="HT125" s="1"/>
  <c r="U125"/>
  <c r="U122"/>
  <c r="N117"/>
  <c r="P117" s="1"/>
  <c r="R117" s="1"/>
  <c r="HT117" s="1"/>
  <c r="U117"/>
  <c r="U114"/>
  <c r="N111"/>
  <c r="P111" s="1"/>
  <c r="R111" s="1"/>
  <c r="HT111" s="1"/>
  <c r="U111"/>
  <c r="N107"/>
  <c r="P107" s="1"/>
  <c r="R107" s="1"/>
  <c r="HT107" s="1"/>
  <c r="U107"/>
  <c r="N103"/>
  <c r="U103"/>
  <c r="N99"/>
  <c r="P99" s="1"/>
  <c r="R99" s="1"/>
  <c r="HT99" s="1"/>
  <c r="U99"/>
  <c r="N95"/>
  <c r="P95" s="1"/>
  <c r="R95" s="1"/>
  <c r="HT95" s="1"/>
  <c r="U95"/>
  <c r="N91"/>
  <c r="P91" s="1"/>
  <c r="R91" s="1"/>
  <c r="HT91" s="1"/>
  <c r="U91"/>
  <c r="N87"/>
  <c r="P87" s="1"/>
  <c r="R87" s="1"/>
  <c r="HT87" s="1"/>
  <c r="U87"/>
  <c r="N83"/>
  <c r="P83" s="1"/>
  <c r="R83" s="1"/>
  <c r="HT83" s="1"/>
  <c r="U83"/>
  <c r="N79"/>
  <c r="P79" s="1"/>
  <c r="R79" s="1"/>
  <c r="HT79" s="1"/>
  <c r="U79"/>
  <c r="N75"/>
  <c r="P75" s="1"/>
  <c r="R75" s="1"/>
  <c r="HT75" s="1"/>
  <c r="U75"/>
  <c r="N71"/>
  <c r="P71" s="1"/>
  <c r="R71" s="1"/>
  <c r="HT71" s="1"/>
  <c r="U71"/>
  <c r="N67"/>
  <c r="P67" s="1"/>
  <c r="R67" s="1"/>
  <c r="HT67" s="1"/>
  <c r="U67"/>
  <c r="N63"/>
  <c r="P63" s="1"/>
  <c r="R63" s="1"/>
  <c r="HT63" s="1"/>
  <c r="U63"/>
  <c r="N59"/>
  <c r="P59" s="1"/>
  <c r="R59" s="1"/>
  <c r="HT59" s="1"/>
  <c r="U59"/>
  <c r="N55"/>
  <c r="P55" s="1"/>
  <c r="R55" s="1"/>
  <c r="HT55" s="1"/>
  <c r="U55"/>
  <c r="N51"/>
  <c r="P51" s="1"/>
  <c r="R51" s="1"/>
  <c r="HT51" s="1"/>
  <c r="U51"/>
  <c r="N47"/>
  <c r="P47" s="1"/>
  <c r="R47" s="1"/>
  <c r="HT47" s="1"/>
  <c r="U47"/>
  <c r="P43"/>
  <c r="R43" s="1"/>
  <c r="HT43" s="1"/>
  <c r="N41"/>
  <c r="P41" s="1"/>
  <c r="R41" s="1"/>
  <c r="HT41" s="1"/>
  <c r="N37"/>
  <c r="P37" s="1"/>
  <c r="R37" s="1"/>
  <c r="N33"/>
  <c r="P33" s="1"/>
  <c r="R33" s="1"/>
  <c r="N29"/>
  <c r="P29" s="1"/>
  <c r="R29" s="1"/>
  <c r="N25"/>
  <c r="P25" s="1"/>
  <c r="R25" s="1"/>
  <c r="N21"/>
  <c r="P21" s="1"/>
  <c r="N42"/>
  <c r="P42" s="1"/>
  <c r="R42" s="1"/>
  <c r="HT42" s="1"/>
  <c r="N38"/>
  <c r="P38" s="1"/>
  <c r="R38" s="1"/>
  <c r="HT38" s="1"/>
  <c r="N34"/>
  <c r="P34" s="1"/>
  <c r="R34" s="1"/>
  <c r="N30"/>
  <c r="P30" s="1"/>
  <c r="R30" s="1"/>
  <c r="N26"/>
  <c r="P26" s="1"/>
  <c r="R26" s="1"/>
  <c r="N22"/>
  <c r="P22" s="1"/>
  <c r="R22" s="1"/>
  <c r="N14"/>
  <c r="P14" s="1"/>
  <c r="R14" s="1"/>
  <c r="N10"/>
  <c r="P10" s="1"/>
  <c r="R10" s="1"/>
  <c r="U41"/>
  <c r="N39"/>
  <c r="P39" s="1"/>
  <c r="R39" s="1"/>
  <c r="HT39" s="1"/>
  <c r="N35"/>
  <c r="P35" s="1"/>
  <c r="R35" s="1"/>
  <c r="N31"/>
  <c r="P31" s="1"/>
  <c r="R31" s="1"/>
  <c r="N27"/>
  <c r="P27" s="1"/>
  <c r="R27" s="1"/>
  <c r="N23"/>
  <c r="P23" s="1"/>
  <c r="R23" s="1"/>
  <c r="N19"/>
  <c r="P19" s="1"/>
  <c r="R19" s="1"/>
  <c r="N15"/>
  <c r="P15" s="1"/>
  <c r="R15" s="1"/>
  <c r="N11"/>
  <c r="P11" s="1"/>
  <c r="R11" s="1"/>
  <c r="U35"/>
  <c r="U31"/>
  <c r="U27"/>
  <c r="U23"/>
  <c r="U42"/>
  <c r="U38"/>
  <c r="R32"/>
  <c r="R28"/>
  <c r="R24"/>
  <c r="R20"/>
  <c r="R16"/>
  <c r="R12"/>
  <c r="R8"/>
  <c r="U34"/>
  <c r="U30"/>
  <c r="U28"/>
  <c r="U26"/>
  <c r="U24"/>
  <c r="U22"/>
  <c r="U43"/>
  <c r="U39"/>
  <c r="U9"/>
  <c r="N18"/>
  <c r="P18" s="1"/>
  <c r="R18" s="1"/>
  <c r="N17"/>
  <c r="P17" s="1"/>
  <c r="R17" s="1"/>
  <c r="R21"/>
  <c r="N13"/>
  <c r="P13" s="1"/>
  <c r="R13" s="1"/>
  <c r="U13"/>
  <c r="N134"/>
  <c r="P134" s="1"/>
  <c r="R134" s="1"/>
  <c r="HT134" s="1"/>
  <c r="N132"/>
  <c r="P132" s="1"/>
  <c r="R132" s="1"/>
  <c r="HT132" s="1"/>
  <c r="N130"/>
  <c r="P130" s="1"/>
  <c r="R130" s="1"/>
  <c r="HT130" s="1"/>
  <c r="N128"/>
  <c r="P128" s="1"/>
  <c r="R128" s="1"/>
  <c r="HT128" s="1"/>
  <c r="N126"/>
  <c r="P126" s="1"/>
  <c r="R126" s="1"/>
  <c r="HT126" s="1"/>
  <c r="N124"/>
  <c r="P124" s="1"/>
  <c r="R124" s="1"/>
  <c r="HT124" s="1"/>
  <c r="N122"/>
  <c r="P122" s="1"/>
  <c r="R122" s="1"/>
  <c r="HT122" s="1"/>
  <c r="N120"/>
  <c r="P120" s="1"/>
  <c r="R120" s="1"/>
  <c r="HT120" s="1"/>
  <c r="N118"/>
  <c r="P118" s="1"/>
  <c r="R118" s="1"/>
  <c r="HT118" s="1"/>
  <c r="N116"/>
  <c r="P116" s="1"/>
  <c r="R116" s="1"/>
  <c r="HT116" s="1"/>
  <c r="N114"/>
  <c r="P114" s="1"/>
  <c r="R114" s="1"/>
  <c r="HT114" s="1"/>
  <c r="N112"/>
  <c r="P112" s="1"/>
  <c r="R112" s="1"/>
  <c r="HT112" s="1"/>
  <c r="N108"/>
  <c r="P108" s="1"/>
  <c r="R108" s="1"/>
  <c r="HT108" s="1"/>
  <c r="N104"/>
  <c r="P104" s="1"/>
  <c r="R104" s="1"/>
  <c r="HT104" s="1"/>
  <c r="N100"/>
  <c r="P100" s="1"/>
  <c r="R100" s="1"/>
  <c r="HT100" s="1"/>
  <c r="N96"/>
  <c r="P96" s="1"/>
  <c r="R96" s="1"/>
  <c r="HT96" s="1"/>
  <c r="N92"/>
  <c r="P92" s="1"/>
  <c r="R92" s="1"/>
  <c r="HT92" s="1"/>
  <c r="N109"/>
  <c r="P109" s="1"/>
  <c r="R109" s="1"/>
  <c r="HT109" s="1"/>
  <c r="N105"/>
  <c r="P105" s="1"/>
  <c r="R105" s="1"/>
  <c r="HT105" s="1"/>
  <c r="N101"/>
  <c r="P101" s="1"/>
  <c r="R101" s="1"/>
  <c r="HT101" s="1"/>
  <c r="N97"/>
  <c r="P97" s="1"/>
  <c r="R97" s="1"/>
  <c r="HT97" s="1"/>
  <c r="N93"/>
  <c r="P93" s="1"/>
  <c r="R93" s="1"/>
  <c r="HT93" s="1"/>
  <c r="R98"/>
  <c r="HT98" s="1"/>
  <c r="P103"/>
  <c r="R103" s="1"/>
  <c r="HT103" s="1"/>
  <c r="K238" i="19" l="1"/>
  <c r="AB218"/>
  <c r="E215"/>
  <c r="BA186"/>
  <c r="BB186"/>
  <c r="BC186"/>
  <c r="L157"/>
  <c r="AA197"/>
  <c r="AA198"/>
  <c r="AA194"/>
  <c r="BB160"/>
  <c r="AV189"/>
  <c r="AW187"/>
  <c r="AW189"/>
  <c r="AX189"/>
  <c r="BB158"/>
  <c r="AA200"/>
  <c r="S198"/>
  <c r="AE201"/>
  <c r="HU100" i="9"/>
  <c r="J98" i="15" s="1"/>
  <c r="K97" i="11"/>
  <c r="HU130" i="9"/>
  <c r="J128" i="15" s="1"/>
  <c r="K127" i="11"/>
  <c r="HU55" i="9"/>
  <c r="J53" i="15" s="1"/>
  <c r="K52" i="11"/>
  <c r="HU67" i="9"/>
  <c r="J65" i="15" s="1"/>
  <c r="K64" i="11"/>
  <c r="HU79" i="9"/>
  <c r="J77" i="15" s="1"/>
  <c r="K76" i="11"/>
  <c r="HU91" i="9"/>
  <c r="J89" i="15" s="1"/>
  <c r="K88" i="11"/>
  <c r="HU99" i="9"/>
  <c r="J97" i="15" s="1"/>
  <c r="K96" i="11"/>
  <c r="HU129" i="9"/>
  <c r="J127" i="15" s="1"/>
  <c r="K126" i="11"/>
  <c r="HU44" i="9"/>
  <c r="J42" i="15" s="1"/>
  <c r="K41" i="11"/>
  <c r="HU56" i="9"/>
  <c r="J54" i="15" s="1"/>
  <c r="K53" i="11"/>
  <c r="HU68" i="9"/>
  <c r="J66" i="15" s="1"/>
  <c r="K65" i="11"/>
  <c r="HU80" i="9"/>
  <c r="J78" i="15" s="1"/>
  <c r="K77" i="11"/>
  <c r="HU88" i="9"/>
  <c r="J86" i="15" s="1"/>
  <c r="K85" i="11"/>
  <c r="HU103" i="9"/>
  <c r="J101" i="15" s="1"/>
  <c r="K100" i="11"/>
  <c r="HU112" i="9"/>
  <c r="J110" i="15" s="1"/>
  <c r="K109" i="11"/>
  <c r="HU41" i="9"/>
  <c r="J39" i="15" s="1"/>
  <c r="K38" i="11"/>
  <c r="HU138" i="9"/>
  <c r="J136" i="15" s="1"/>
  <c r="K135" i="11"/>
  <c r="HU150" i="9"/>
  <c r="J148" i="15" s="1"/>
  <c r="K147" i="11"/>
  <c r="HU162" i="9"/>
  <c r="J160" i="15" s="1"/>
  <c r="K159" i="11"/>
  <c r="HU170" i="9"/>
  <c r="J168" i="15" s="1"/>
  <c r="K167" i="11"/>
  <c r="HU182" i="9"/>
  <c r="J180" i="15" s="1"/>
  <c r="K179" i="11"/>
  <c r="HU194" i="9"/>
  <c r="J192" i="15" s="1"/>
  <c r="K191" i="11"/>
  <c r="HU97" i="9"/>
  <c r="J95" i="15" s="1"/>
  <c r="K94" i="11"/>
  <c r="HU92" i="9"/>
  <c r="J90" i="15" s="1"/>
  <c r="K89" i="11"/>
  <c r="HU108" i="9"/>
  <c r="J106" i="15" s="1"/>
  <c r="K105" i="11"/>
  <c r="HU118" i="9"/>
  <c r="J116" i="15" s="1"/>
  <c r="K115" i="11"/>
  <c r="HU126" i="9"/>
  <c r="J124" i="15" s="1"/>
  <c r="K123" i="11"/>
  <c r="HU134" i="9"/>
  <c r="J132" i="15" s="1"/>
  <c r="K131" i="11"/>
  <c r="HU125" i="9"/>
  <c r="J123" i="15" s="1"/>
  <c r="K122" i="11"/>
  <c r="HU46" i="9"/>
  <c r="J44" i="15" s="1"/>
  <c r="K43" i="11"/>
  <c r="HU50" i="9"/>
  <c r="J48" i="15" s="1"/>
  <c r="K47" i="11"/>
  <c r="HU54" i="9"/>
  <c r="J52" i="15" s="1"/>
  <c r="K51" i="11"/>
  <c r="HU58" i="9"/>
  <c r="J56" i="15" s="1"/>
  <c r="K55" i="11"/>
  <c r="HU62" i="9"/>
  <c r="J60" i="15" s="1"/>
  <c r="K59" i="11"/>
  <c r="HU66" i="9"/>
  <c r="J64" i="15" s="1"/>
  <c r="K63" i="11"/>
  <c r="HU70" i="9"/>
  <c r="J68" i="15" s="1"/>
  <c r="K67" i="11"/>
  <c r="HU74" i="9"/>
  <c r="J72" i="15" s="1"/>
  <c r="K71" i="11"/>
  <c r="HU78" i="9"/>
  <c r="J76" i="15" s="1"/>
  <c r="K75" i="11"/>
  <c r="HU82" i="9"/>
  <c r="J80" i="15" s="1"/>
  <c r="K79" i="11"/>
  <c r="HU86" i="9"/>
  <c r="J84" i="15" s="1"/>
  <c r="K83" i="11"/>
  <c r="HU90" i="9"/>
  <c r="J88" i="15" s="1"/>
  <c r="K87" i="11"/>
  <c r="HU94" i="9"/>
  <c r="J92" i="15" s="1"/>
  <c r="K91" i="11"/>
  <c r="HU102" i="9"/>
  <c r="J100" i="15" s="1"/>
  <c r="K99" i="11"/>
  <c r="HU106" i="9"/>
  <c r="J104" i="15" s="1"/>
  <c r="K103" i="11"/>
  <c r="HU110" i="9"/>
  <c r="J108" i="15" s="1"/>
  <c r="K107" i="11"/>
  <c r="HU113" i="9"/>
  <c r="J111" i="15" s="1"/>
  <c r="K110" i="11"/>
  <c r="HU115" i="9"/>
  <c r="J113" i="15" s="1"/>
  <c r="K112" i="11"/>
  <c r="HU105" i="9"/>
  <c r="J103" i="15" s="1"/>
  <c r="K102" i="11"/>
  <c r="HU122" i="9"/>
  <c r="J120" i="15" s="1"/>
  <c r="K119" i="11"/>
  <c r="HU43" i="9"/>
  <c r="J41" i="15" s="1"/>
  <c r="K40" i="11"/>
  <c r="HU59" i="9"/>
  <c r="J57" i="15" s="1"/>
  <c r="K56" i="11"/>
  <c r="HU71" i="9"/>
  <c r="J69" i="15" s="1"/>
  <c r="K68" i="11"/>
  <c r="HU83" i="9"/>
  <c r="J81" i="15" s="1"/>
  <c r="K80" i="11"/>
  <c r="HU95" i="9"/>
  <c r="J93" i="15" s="1"/>
  <c r="K92" i="11"/>
  <c r="HU111" i="9"/>
  <c r="J109" i="15" s="1"/>
  <c r="K108" i="11"/>
  <c r="HU40" i="9"/>
  <c r="J38" i="15" s="1"/>
  <c r="K37" i="11"/>
  <c r="HU52" i="9"/>
  <c r="J50" i="15" s="1"/>
  <c r="K49" i="11"/>
  <c r="HU64" i="9"/>
  <c r="J62" i="15" s="1"/>
  <c r="K61" i="11"/>
  <c r="HU76" i="9"/>
  <c r="J74" i="15" s="1"/>
  <c r="K73" i="11"/>
  <c r="HU101" i="9"/>
  <c r="J99" i="15" s="1"/>
  <c r="K98" i="11"/>
  <c r="HU120" i="9"/>
  <c r="J118" i="15" s="1"/>
  <c r="K117" i="11"/>
  <c r="HU117" i="9"/>
  <c r="J115" i="15" s="1"/>
  <c r="K114" i="11"/>
  <c r="HU142" i="9"/>
  <c r="J140" i="15" s="1"/>
  <c r="K139" i="11"/>
  <c r="HU154" i="9"/>
  <c r="J152" i="15" s="1"/>
  <c r="K151" i="11"/>
  <c r="HU178" i="9"/>
  <c r="J176" i="15" s="1"/>
  <c r="K175" i="11"/>
  <c r="HU93" i="9"/>
  <c r="J91" i="15" s="1"/>
  <c r="K90" i="11"/>
  <c r="HU109" i="9"/>
  <c r="J107" i="15" s="1"/>
  <c r="K106" i="11"/>
  <c r="HU104" i="9"/>
  <c r="J102" i="15" s="1"/>
  <c r="K101" i="11"/>
  <c r="HU116" i="9"/>
  <c r="J114" i="15" s="1"/>
  <c r="K113" i="11"/>
  <c r="HU124" i="9"/>
  <c r="J122" i="15" s="1"/>
  <c r="K121" i="11"/>
  <c r="HU132" i="9"/>
  <c r="J130" i="15" s="1"/>
  <c r="K129" i="11"/>
  <c r="HU39" i="9"/>
  <c r="J37" i="15" s="1"/>
  <c r="K36" i="11"/>
  <c r="HU42" i="9"/>
  <c r="J40" i="15" s="1"/>
  <c r="K39" i="11"/>
  <c r="HU133" i="9"/>
  <c r="J131" i="15" s="1"/>
  <c r="K130" i="11"/>
  <c r="HU139" i="9"/>
  <c r="J137" i="15" s="1"/>
  <c r="K136" i="11"/>
  <c r="HU143" i="9"/>
  <c r="J141" i="15" s="1"/>
  <c r="K140" i="11"/>
  <c r="HU147" i="9"/>
  <c r="J145" i="15" s="1"/>
  <c r="K144" i="11"/>
  <c r="HU151" i="9"/>
  <c r="J149" i="15" s="1"/>
  <c r="K148" i="11"/>
  <c r="HU155" i="9"/>
  <c r="J153" i="15" s="1"/>
  <c r="K152" i="11"/>
  <c r="HU159" i="9"/>
  <c r="J157" i="15" s="1"/>
  <c r="K156" i="11"/>
  <c r="HU163" i="9"/>
  <c r="J161" i="15" s="1"/>
  <c r="K160" i="11"/>
  <c r="HU167" i="9"/>
  <c r="J165" i="15" s="1"/>
  <c r="K164" i="11"/>
  <c r="HU171" i="9"/>
  <c r="J169" i="15" s="1"/>
  <c r="K168" i="11"/>
  <c r="HU175" i="9"/>
  <c r="J173" i="15" s="1"/>
  <c r="K172" i="11"/>
  <c r="HU179" i="9"/>
  <c r="J177" i="15" s="1"/>
  <c r="K176" i="11"/>
  <c r="HU183" i="9"/>
  <c r="J181" i="15" s="1"/>
  <c r="K180" i="11"/>
  <c r="HU187" i="9"/>
  <c r="J185" i="15" s="1"/>
  <c r="K184" i="11"/>
  <c r="HU191" i="9"/>
  <c r="J189" i="15" s="1"/>
  <c r="K188" i="11"/>
  <c r="HU195" i="9"/>
  <c r="J193" i="15" s="1"/>
  <c r="K192" i="11"/>
  <c r="HU199" i="9"/>
  <c r="J197" i="15" s="1"/>
  <c r="K196" i="11"/>
  <c r="HU119" i="9"/>
  <c r="J117" i="15" s="1"/>
  <c r="K116" i="11"/>
  <c r="HU121" i="9"/>
  <c r="J119" i="15" s="1"/>
  <c r="K118" i="11"/>
  <c r="HU123" i="9"/>
  <c r="J121" i="15" s="1"/>
  <c r="K120" i="11"/>
  <c r="HU47" i="9"/>
  <c r="J45" i="15" s="1"/>
  <c r="K44" i="11"/>
  <c r="HU136" i="9"/>
  <c r="J134" i="15" s="1"/>
  <c r="K133" i="11"/>
  <c r="HU140" i="9"/>
  <c r="J138" i="15" s="1"/>
  <c r="K137" i="11"/>
  <c r="HU144" i="9"/>
  <c r="J142" i="15" s="1"/>
  <c r="K141" i="11"/>
  <c r="HU148" i="9"/>
  <c r="J146" i="15" s="1"/>
  <c r="K145" i="11"/>
  <c r="HU152" i="9"/>
  <c r="J150" i="15" s="1"/>
  <c r="K149" i="11"/>
  <c r="HU156" i="9"/>
  <c r="J154" i="15" s="1"/>
  <c r="K153" i="11"/>
  <c r="HU160" i="9"/>
  <c r="J158" i="15" s="1"/>
  <c r="K157" i="11"/>
  <c r="HU164" i="9"/>
  <c r="J162" i="15" s="1"/>
  <c r="K161" i="11"/>
  <c r="HU168" i="9"/>
  <c r="J166" i="15" s="1"/>
  <c r="K165" i="11"/>
  <c r="HU172" i="9"/>
  <c r="J170" i="15" s="1"/>
  <c r="K169" i="11"/>
  <c r="HU176" i="9"/>
  <c r="J174" i="15" s="1"/>
  <c r="K173" i="11"/>
  <c r="HU180" i="9"/>
  <c r="J178" i="15" s="1"/>
  <c r="K177" i="11"/>
  <c r="HU184" i="9"/>
  <c r="J182" i="15" s="1"/>
  <c r="K181" i="11"/>
  <c r="HU188" i="9"/>
  <c r="J186" i="15" s="1"/>
  <c r="K185" i="11"/>
  <c r="HU192" i="9"/>
  <c r="J190" i="15" s="1"/>
  <c r="K189" i="11"/>
  <c r="HU196" i="9"/>
  <c r="J194" i="15" s="1"/>
  <c r="K193" i="11"/>
  <c r="HU200" i="9"/>
  <c r="J198" i="15" s="1"/>
  <c r="K197" i="11"/>
  <c r="HU204" i="9"/>
  <c r="J202" i="15" s="1"/>
  <c r="K201" i="11"/>
  <c r="HU203" i="9"/>
  <c r="J201" i="15" s="1"/>
  <c r="K200" i="11"/>
  <c r="HU98" i="9"/>
  <c r="J96" i="15" s="1"/>
  <c r="K95" i="11"/>
  <c r="HU114" i="9"/>
  <c r="J112" i="15" s="1"/>
  <c r="K111" i="11"/>
  <c r="HU38" i="9"/>
  <c r="J36" i="15" s="1"/>
  <c r="K35" i="11"/>
  <c r="HU51" i="9"/>
  <c r="J49" i="15" s="1"/>
  <c r="K48" i="11"/>
  <c r="HU63" i="9"/>
  <c r="J61" i="15" s="1"/>
  <c r="K60" i="11"/>
  <c r="HU75" i="9"/>
  <c r="J73" i="15" s="1"/>
  <c r="K72" i="11"/>
  <c r="HU87" i="9"/>
  <c r="J85" i="15" s="1"/>
  <c r="K84" i="11"/>
  <c r="HU107" i="9"/>
  <c r="J105" i="15" s="1"/>
  <c r="K104" i="11"/>
  <c r="HU127" i="9"/>
  <c r="J125" i="15" s="1"/>
  <c r="K124" i="11"/>
  <c r="HU48" i="9"/>
  <c r="J46" i="15" s="1"/>
  <c r="K45" i="11"/>
  <c r="HU60" i="9"/>
  <c r="J58" i="15" s="1"/>
  <c r="K57" i="11"/>
  <c r="HU72" i="9"/>
  <c r="J70" i="15" s="1"/>
  <c r="K69" i="11"/>
  <c r="HU84" i="9"/>
  <c r="J82" i="15" s="1"/>
  <c r="K81" i="11"/>
  <c r="HU131" i="9"/>
  <c r="J129" i="15" s="1"/>
  <c r="K128" i="11"/>
  <c r="HU96" i="9"/>
  <c r="J94" i="15" s="1"/>
  <c r="K93" i="11"/>
  <c r="HU128" i="9"/>
  <c r="J126" i="15" s="1"/>
  <c r="K125" i="11"/>
  <c r="HU135" i="9"/>
  <c r="J133" i="15" s="1"/>
  <c r="K132" i="11"/>
  <c r="HU146" i="9"/>
  <c r="J144" i="15" s="1"/>
  <c r="K143" i="11"/>
  <c r="HU158" i="9"/>
  <c r="J156" i="15" s="1"/>
  <c r="K155" i="11"/>
  <c r="HU166" i="9"/>
  <c r="J164" i="15" s="1"/>
  <c r="K163" i="11"/>
  <c r="HU174" i="9"/>
  <c r="J172" i="15" s="1"/>
  <c r="K171" i="11"/>
  <c r="HU186" i="9"/>
  <c r="J184" i="15" s="1"/>
  <c r="K183" i="11"/>
  <c r="HU190" i="9"/>
  <c r="J188" i="15" s="1"/>
  <c r="K187" i="11"/>
  <c r="HU198" i="9"/>
  <c r="J196" i="15" s="1"/>
  <c r="K195" i="11"/>
  <c r="HU202" i="9"/>
  <c r="J200" i="15" s="1"/>
  <c r="K199" i="11"/>
  <c r="HU206" i="9"/>
  <c r="J204" i="15" s="1"/>
  <c r="K203" i="11"/>
  <c r="HU45" i="9"/>
  <c r="J43" i="15" s="1"/>
  <c r="K42" i="11"/>
  <c r="HU49" i="9"/>
  <c r="J47" i="15" s="1"/>
  <c r="K46" i="11"/>
  <c r="HU53" i="9"/>
  <c r="J51" i="15" s="1"/>
  <c r="K50" i="11"/>
  <c r="HU57" i="9"/>
  <c r="J55" i="15" s="1"/>
  <c r="K54" i="11"/>
  <c r="HU61" i="9"/>
  <c r="J59" i="15" s="1"/>
  <c r="K58" i="11"/>
  <c r="HU65" i="9"/>
  <c r="J63" i="15" s="1"/>
  <c r="K62" i="11"/>
  <c r="HU69" i="9"/>
  <c r="J67" i="15" s="1"/>
  <c r="K66" i="11"/>
  <c r="HU73" i="9"/>
  <c r="J71" i="15" s="1"/>
  <c r="K70" i="11"/>
  <c r="HU77" i="9"/>
  <c r="J75" i="15" s="1"/>
  <c r="K74" i="11"/>
  <c r="HU81" i="9"/>
  <c r="J79" i="15" s="1"/>
  <c r="K78" i="11"/>
  <c r="HU85" i="9"/>
  <c r="J83" i="15" s="1"/>
  <c r="K82" i="11"/>
  <c r="HU89" i="9"/>
  <c r="J87" i="15" s="1"/>
  <c r="K86" i="11"/>
  <c r="HU137" i="9"/>
  <c r="J135" i="15" s="1"/>
  <c r="K134" i="11"/>
  <c r="HU141" i="9"/>
  <c r="J139" i="15" s="1"/>
  <c r="K138" i="11"/>
  <c r="HU145" i="9"/>
  <c r="J143" i="15" s="1"/>
  <c r="K142" i="11"/>
  <c r="HU149" i="9"/>
  <c r="J147" i="15" s="1"/>
  <c r="K146" i="11"/>
  <c r="HU153" i="9"/>
  <c r="J151" i="15" s="1"/>
  <c r="K150" i="11"/>
  <c r="HU157" i="9"/>
  <c r="J155" i="15" s="1"/>
  <c r="K154" i="11"/>
  <c r="HU161" i="9"/>
  <c r="J159" i="15" s="1"/>
  <c r="K158" i="11"/>
  <c r="HU165" i="9"/>
  <c r="J163" i="15" s="1"/>
  <c r="K162" i="11"/>
  <c r="HU169" i="9"/>
  <c r="J167" i="15" s="1"/>
  <c r="K166" i="11"/>
  <c r="HU173" i="9"/>
  <c r="J171" i="15" s="1"/>
  <c r="K170" i="11"/>
  <c r="HU177" i="9"/>
  <c r="J175" i="15" s="1"/>
  <c r="K174" i="11"/>
  <c r="HU181" i="9"/>
  <c r="J179" i="15" s="1"/>
  <c r="K178" i="11"/>
  <c r="HU185" i="9"/>
  <c r="J183" i="15" s="1"/>
  <c r="K182" i="11"/>
  <c r="HU189" i="9"/>
  <c r="J187" i="15" s="1"/>
  <c r="K186" i="11"/>
  <c r="HU193" i="9"/>
  <c r="J191" i="15" s="1"/>
  <c r="K190" i="11"/>
  <c r="HU197" i="9"/>
  <c r="J195" i="15" s="1"/>
  <c r="K194" i="11"/>
  <c r="HU201" i="9"/>
  <c r="J199" i="15" s="1"/>
  <c r="K198" i="11"/>
  <c r="HU205" i="9"/>
  <c r="J203" i="15" s="1"/>
  <c r="K202" i="11"/>
  <c r="AD200" i="19"/>
  <c r="G238"/>
  <c r="C216"/>
  <c r="A21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C217"/>
  <c r="L216"/>
  <c r="AW215" s="1"/>
  <c r="L215"/>
  <c r="F214"/>
  <c r="L224"/>
  <c r="N224" s="1"/>
  <c r="E226"/>
  <c r="D230"/>
  <c r="F233"/>
  <c r="B238"/>
  <c r="F224"/>
  <c r="O227"/>
  <c r="O230"/>
  <c r="O224"/>
  <c r="H228"/>
  <c r="J228" s="1"/>
  <c r="D224"/>
  <c r="L227"/>
  <c r="N227" s="1"/>
  <c r="L228"/>
  <c r="N228" s="1"/>
  <c r="G224"/>
  <c r="H225"/>
  <c r="J225" s="1"/>
  <c r="F228"/>
  <c r="L223"/>
  <c r="N223" s="1"/>
  <c r="L225"/>
  <c r="N225" s="1"/>
  <c r="E227"/>
  <c r="G230"/>
  <c r="N233"/>
  <c r="E224"/>
  <c r="L226"/>
  <c r="N226" s="1"/>
  <c r="D228"/>
  <c r="J230"/>
  <c r="C218"/>
  <c r="O223"/>
  <c r="E225"/>
  <c r="G227"/>
  <c r="G228"/>
  <c r="M230"/>
  <c r="H223"/>
  <c r="J223" s="1"/>
  <c r="D225"/>
  <c r="F227"/>
  <c r="L230"/>
  <c r="M234"/>
  <c r="G223"/>
  <c r="G225"/>
  <c r="H226"/>
  <c r="J226" s="1"/>
  <c r="O228"/>
  <c r="F223"/>
  <c r="G226"/>
  <c r="H227"/>
  <c r="J227" s="1"/>
  <c r="F230"/>
  <c r="F226"/>
  <c r="I230"/>
  <c r="D223"/>
  <c r="O226"/>
  <c r="H230"/>
  <c r="B225"/>
  <c r="D226"/>
  <c r="E228"/>
  <c r="F232"/>
  <c r="F225"/>
  <c r="D227"/>
  <c r="B230"/>
  <c r="N232"/>
  <c r="E223"/>
  <c r="H224"/>
  <c r="J224" s="1"/>
  <c r="O225"/>
  <c r="E230"/>
  <c r="F234"/>
  <c r="S200"/>
  <c r="U36" i="9"/>
  <c r="U25"/>
  <c r="U17"/>
  <c r="U14"/>
  <c r="U21"/>
  <c r="U32"/>
  <c r="U15"/>
  <c r="U11"/>
  <c r="U29"/>
  <c r="U8"/>
  <c r="U33"/>
  <c r="U19"/>
  <c r="U10"/>
  <c r="U12"/>
  <c r="U20"/>
  <c r="U37"/>
  <c r="U16"/>
  <c r="U18"/>
  <c r="BB189" i="19" l="1"/>
  <c r="BB187"/>
  <c r="BC189"/>
  <c r="AA238"/>
  <c r="U215"/>
  <c r="BA189"/>
  <c r="AB157"/>
  <c r="AX216"/>
  <c r="AW216"/>
  <c r="AV216"/>
  <c r="AW188"/>
  <c r="AW190"/>
  <c r="K228"/>
  <c r="K224"/>
  <c r="C228"/>
  <c r="O231"/>
  <c r="K223"/>
  <c r="K227"/>
  <c r="K225"/>
  <c r="K226"/>
  <c r="N230"/>
  <c r="K230"/>
  <c r="L248"/>
  <c r="V232"/>
  <c r="V228"/>
  <c r="AE225"/>
  <c r="T224"/>
  <c r="S217"/>
  <c r="AE230"/>
  <c r="AB226"/>
  <c r="AD226" s="1"/>
  <c r="R238"/>
  <c r="AB230"/>
  <c r="X228"/>
  <c r="Z228" s="1"/>
  <c r="U227"/>
  <c r="T226"/>
  <c r="V224"/>
  <c r="W238"/>
  <c r="AD232"/>
  <c r="AE228"/>
  <c r="V227"/>
  <c r="W224"/>
  <c r="R230"/>
  <c r="V226"/>
  <c r="X224"/>
  <c r="Z224" s="1"/>
  <c r="S218"/>
  <c r="W228"/>
  <c r="T227"/>
  <c r="AE224"/>
  <c r="AB215"/>
  <c r="X226"/>
  <c r="Z226" s="1"/>
  <c r="R225"/>
  <c r="AB216"/>
  <c r="BB215" s="1"/>
  <c r="V234"/>
  <c r="U230"/>
  <c r="U226"/>
  <c r="AB224"/>
  <c r="AD224" s="1"/>
  <c r="T223"/>
  <c r="AD233"/>
  <c r="V230"/>
  <c r="W227"/>
  <c r="U223"/>
  <c r="V214"/>
  <c r="V233"/>
  <c r="AB228"/>
  <c r="AD228" s="1"/>
  <c r="X227"/>
  <c r="Z227" s="1"/>
  <c r="V225"/>
  <c r="V223"/>
  <c r="AC234"/>
  <c r="T230"/>
  <c r="AE227"/>
  <c r="W225"/>
  <c r="W223"/>
  <c r="Y230"/>
  <c r="U228"/>
  <c r="T225"/>
  <c r="X223"/>
  <c r="Z223" s="1"/>
  <c r="Z230"/>
  <c r="AB227"/>
  <c r="AD227" s="1"/>
  <c r="U225"/>
  <c r="AE223"/>
  <c r="S216"/>
  <c r="W230"/>
  <c r="W226"/>
  <c r="U224"/>
  <c r="X230"/>
  <c r="T228"/>
  <c r="AB225"/>
  <c r="AD225" s="1"/>
  <c r="AB223"/>
  <c r="AD223" s="1"/>
  <c r="AC230"/>
  <c r="AE226"/>
  <c r="X225"/>
  <c r="Z225" s="1"/>
  <c r="C230"/>
  <c r="Q4" i="9"/>
  <c r="P4" i="8"/>
  <c r="O4" i="9"/>
  <c r="O4" i="8"/>
  <c r="K4" i="9"/>
  <c r="L4" i="8"/>
  <c r="M5" i="9"/>
  <c r="L5"/>
  <c r="K5"/>
  <c r="L6"/>
  <c r="M6"/>
  <c r="GK8"/>
  <c r="T25" i="19" s="1"/>
  <c r="GK9" i="9"/>
  <c r="D55" i="19" s="1"/>
  <c r="GK10" i="9"/>
  <c r="T55" i="19" s="1"/>
  <c r="GK11" i="9"/>
  <c r="D85" i="19" s="1"/>
  <c r="GK12" i="9"/>
  <c r="T85" i="19" s="1"/>
  <c r="GK13" i="9"/>
  <c r="GK14"/>
  <c r="T115" i="19" s="1"/>
  <c r="GK15" i="9"/>
  <c r="D145" i="19" s="1"/>
  <c r="GK16" i="9"/>
  <c r="T145" i="19" s="1"/>
  <c r="GK17" i="9"/>
  <c r="D175" i="19" s="1"/>
  <c r="EX22" i="9"/>
  <c r="EX23"/>
  <c r="EX24"/>
  <c r="EX25"/>
  <c r="EX26"/>
  <c r="EX27"/>
  <c r="EX28"/>
  <c r="EX29"/>
  <c r="EX30"/>
  <c r="EX31"/>
  <c r="EX32"/>
  <c r="EX33"/>
  <c r="EX34"/>
  <c r="EX35"/>
  <c r="EX36"/>
  <c r="EX37"/>
  <c r="EX38"/>
  <c r="GK38"/>
  <c r="EX39"/>
  <c r="GK39"/>
  <c r="EX40"/>
  <c r="GK40"/>
  <c r="EX41"/>
  <c r="GK41"/>
  <c r="EX42"/>
  <c r="GK42"/>
  <c r="EX43"/>
  <c r="GK43"/>
  <c r="EX44"/>
  <c r="GK44"/>
  <c r="EX45"/>
  <c r="GK45"/>
  <c r="EX46"/>
  <c r="GK46"/>
  <c r="EX47"/>
  <c r="GK47"/>
  <c r="EX48"/>
  <c r="GK48"/>
  <c r="EX49"/>
  <c r="GK49"/>
  <c r="EX50"/>
  <c r="GK50"/>
  <c r="EX51"/>
  <c r="GK51"/>
  <c r="EX52"/>
  <c r="GK52"/>
  <c r="EX53"/>
  <c r="GK53"/>
  <c r="EX54"/>
  <c r="GK54"/>
  <c r="EX55"/>
  <c r="GK55"/>
  <c r="EX56"/>
  <c r="GK56"/>
  <c r="EX57"/>
  <c r="GK57"/>
  <c r="EX58"/>
  <c r="GK58"/>
  <c r="EX59"/>
  <c r="GK59"/>
  <c r="EX60"/>
  <c r="GK60"/>
  <c r="EX61"/>
  <c r="GK61"/>
  <c r="EX62"/>
  <c r="GK62"/>
  <c r="EX63"/>
  <c r="GK63"/>
  <c r="EX64"/>
  <c r="GK64"/>
  <c r="EX65"/>
  <c r="GK65"/>
  <c r="EX66"/>
  <c r="GK66"/>
  <c r="EX67"/>
  <c r="GK67"/>
  <c r="EX68"/>
  <c r="GK68"/>
  <c r="EX69"/>
  <c r="GK69"/>
  <c r="EX70"/>
  <c r="GK70"/>
  <c r="EX71"/>
  <c r="GK71"/>
  <c r="EX72"/>
  <c r="GK72"/>
  <c r="EX73"/>
  <c r="GK73"/>
  <c r="EX74"/>
  <c r="GK74"/>
  <c r="EX75"/>
  <c r="GK75"/>
  <c r="EX76"/>
  <c r="GK76"/>
  <c r="EX77"/>
  <c r="GK77"/>
  <c r="EX78"/>
  <c r="GK78"/>
  <c r="EX79"/>
  <c r="GK79"/>
  <c r="EX80"/>
  <c r="GK80"/>
  <c r="EX81"/>
  <c r="GK81"/>
  <c r="EX82"/>
  <c r="GK82"/>
  <c r="EX83"/>
  <c r="GK83"/>
  <c r="EX84"/>
  <c r="GK84"/>
  <c r="EX85"/>
  <c r="GK85"/>
  <c r="EX86"/>
  <c r="GK86"/>
  <c r="EX87"/>
  <c r="GK87"/>
  <c r="EX88"/>
  <c r="GK88"/>
  <c r="EX89"/>
  <c r="GK89"/>
  <c r="EX90"/>
  <c r="GK90"/>
  <c r="EX91"/>
  <c r="GK91"/>
  <c r="EX92"/>
  <c r="GK92"/>
  <c r="EX93"/>
  <c r="GK93"/>
  <c r="EX94"/>
  <c r="GK94"/>
  <c r="EX95"/>
  <c r="GK95"/>
  <c r="EX96"/>
  <c r="GK96"/>
  <c r="EX97"/>
  <c r="GK97"/>
  <c r="EX98"/>
  <c r="GK98"/>
  <c r="EX99"/>
  <c r="GK99"/>
  <c r="EX100"/>
  <c r="GK100"/>
  <c r="EX101"/>
  <c r="GK101"/>
  <c r="EX102"/>
  <c r="GK102"/>
  <c r="EX103"/>
  <c r="GK103"/>
  <c r="EX104"/>
  <c r="GK104"/>
  <c r="EX105"/>
  <c r="GK105"/>
  <c r="EX106"/>
  <c r="GK106"/>
  <c r="EX107"/>
  <c r="GK107"/>
  <c r="EX108"/>
  <c r="GK108"/>
  <c r="EX109"/>
  <c r="GK109"/>
  <c r="EX110"/>
  <c r="GK110"/>
  <c r="EX111"/>
  <c r="GK111"/>
  <c r="EX112"/>
  <c r="GK112"/>
  <c r="EX113"/>
  <c r="GK113"/>
  <c r="EX114"/>
  <c r="GK114"/>
  <c r="EX115"/>
  <c r="GK115"/>
  <c r="EX116"/>
  <c r="GK116"/>
  <c r="EX117"/>
  <c r="GK117"/>
  <c r="EX118"/>
  <c r="GK118"/>
  <c r="EX119"/>
  <c r="GK119"/>
  <c r="EX120"/>
  <c r="GK120"/>
  <c r="EX121"/>
  <c r="GK121"/>
  <c r="EX122"/>
  <c r="GK122"/>
  <c r="EX123"/>
  <c r="GK123"/>
  <c r="EX124"/>
  <c r="GK124"/>
  <c r="EX125"/>
  <c r="GK125"/>
  <c r="EX126"/>
  <c r="GK126"/>
  <c r="EX127"/>
  <c r="GK127"/>
  <c r="EX128"/>
  <c r="GK128"/>
  <c r="EX129"/>
  <c r="GK129"/>
  <c r="EX130"/>
  <c r="GK130"/>
  <c r="EX131"/>
  <c r="GK131"/>
  <c r="EX132"/>
  <c r="GK132"/>
  <c r="EX133"/>
  <c r="GK133"/>
  <c r="EX134"/>
  <c r="GK134"/>
  <c r="EX135"/>
  <c r="GK135"/>
  <c r="EX136"/>
  <c r="GK136"/>
  <c r="EX137"/>
  <c r="GK137"/>
  <c r="EX138"/>
  <c r="GK138"/>
  <c r="EX139"/>
  <c r="GK139"/>
  <c r="EX140"/>
  <c r="GK140"/>
  <c r="EX141"/>
  <c r="GK141"/>
  <c r="EX142"/>
  <c r="GK142"/>
  <c r="EX143"/>
  <c r="GK143"/>
  <c r="EX144"/>
  <c r="GK144"/>
  <c r="EX145"/>
  <c r="GK145"/>
  <c r="EX146"/>
  <c r="GK146"/>
  <c r="EX147"/>
  <c r="GK147"/>
  <c r="EX148"/>
  <c r="GK148"/>
  <c r="EX149"/>
  <c r="GK149"/>
  <c r="EX150"/>
  <c r="GK150"/>
  <c r="EX151"/>
  <c r="GK151"/>
  <c r="EX152"/>
  <c r="GK152"/>
  <c r="EX153"/>
  <c r="GK153"/>
  <c r="EX154"/>
  <c r="GK154"/>
  <c r="EX155"/>
  <c r="GK155"/>
  <c r="EX156"/>
  <c r="GK156"/>
  <c r="EX157"/>
  <c r="GK157"/>
  <c r="EX158"/>
  <c r="GK158"/>
  <c r="EX159"/>
  <c r="GK159"/>
  <c r="EX160"/>
  <c r="GK160"/>
  <c r="EX161"/>
  <c r="GK161"/>
  <c r="EX162"/>
  <c r="GK162"/>
  <c r="EX163"/>
  <c r="GK163"/>
  <c r="EX164"/>
  <c r="GK164"/>
  <c r="EX165"/>
  <c r="GK165"/>
  <c r="EX166"/>
  <c r="GK166"/>
  <c r="EX167"/>
  <c r="GK167"/>
  <c r="EX168"/>
  <c r="GK168"/>
  <c r="EX169"/>
  <c r="GK169"/>
  <c r="EX170"/>
  <c r="GK170"/>
  <c r="EX171"/>
  <c r="GK171"/>
  <c r="EX172"/>
  <c r="GK172"/>
  <c r="EX173"/>
  <c r="GK173"/>
  <c r="EX174"/>
  <c r="GK174"/>
  <c r="EX175"/>
  <c r="GK175"/>
  <c r="EX176"/>
  <c r="GK176"/>
  <c r="EX177"/>
  <c r="GK177"/>
  <c r="EX178"/>
  <c r="GK178"/>
  <c r="EX179"/>
  <c r="GK179"/>
  <c r="EX180"/>
  <c r="GK180"/>
  <c r="EX181"/>
  <c r="GK181"/>
  <c r="EX182"/>
  <c r="GK182"/>
  <c r="EX183"/>
  <c r="GK183"/>
  <c r="EX184"/>
  <c r="GK184"/>
  <c r="EX185"/>
  <c r="GK185"/>
  <c r="EX186"/>
  <c r="GK186"/>
  <c r="EX187"/>
  <c r="GK187"/>
  <c r="EX188"/>
  <c r="GK188"/>
  <c r="EX189"/>
  <c r="GK189"/>
  <c r="EX190"/>
  <c r="GK190"/>
  <c r="EX191"/>
  <c r="GK191"/>
  <c r="EX192"/>
  <c r="GK192"/>
  <c r="EX193"/>
  <c r="GK193"/>
  <c r="EX194"/>
  <c r="GK194"/>
  <c r="EX195"/>
  <c r="GK195"/>
  <c r="EX196"/>
  <c r="GK196"/>
  <c r="EX197"/>
  <c r="GK197"/>
  <c r="EX198"/>
  <c r="GK198"/>
  <c r="EX199"/>
  <c r="GK199"/>
  <c r="EX200"/>
  <c r="GK200"/>
  <c r="EX201"/>
  <c r="GK201"/>
  <c r="EX202"/>
  <c r="GK202"/>
  <c r="EX203"/>
  <c r="GK203"/>
  <c r="EX204"/>
  <c r="GK204"/>
  <c r="EX205"/>
  <c r="GK205"/>
  <c r="EX206"/>
  <c r="GK206"/>
  <c r="C7"/>
  <c r="B7"/>
  <c r="HV217" s="1"/>
  <c r="D4" i="8"/>
  <c r="C4" i="9" s="1"/>
  <c r="H3"/>
  <c r="G3" i="20" s="1"/>
  <c r="H3" i="8"/>
  <c r="A2" i="9"/>
  <c r="A1" i="8"/>
  <c r="BY4"/>
  <c r="BZ4"/>
  <c r="BW4"/>
  <c r="BV4"/>
  <c r="BU4"/>
  <c r="E245" i="19" l="1"/>
  <c r="K268"/>
  <c r="BB190"/>
  <c r="BB188"/>
  <c r="AB187" s="1"/>
  <c r="L187"/>
  <c r="AX219"/>
  <c r="AW217"/>
  <c r="AW219"/>
  <c r="AV219"/>
  <c r="BA216"/>
  <c r="BC216"/>
  <c r="BB216"/>
  <c r="AA225"/>
  <c r="L28" i="4"/>
  <c r="L28" i="18"/>
  <c r="D115" i="19"/>
  <c r="AA223"/>
  <c r="S228"/>
  <c r="AA230"/>
  <c r="AA226"/>
  <c r="AA224"/>
  <c r="AA227"/>
  <c r="AA228"/>
  <c r="AD230"/>
  <c r="AE231"/>
  <c r="G268"/>
  <c r="F244"/>
  <c r="L246"/>
  <c r="AW245" s="1"/>
  <c r="A241"/>
  <c r="A242" s="1"/>
  <c r="A243" s="1"/>
  <c r="A244" s="1"/>
  <c r="D253"/>
  <c r="O256"/>
  <c r="H260"/>
  <c r="AB248"/>
  <c r="B255"/>
  <c r="D256"/>
  <c r="E258"/>
  <c r="F262"/>
  <c r="F253"/>
  <c r="G256"/>
  <c r="H257"/>
  <c r="J257" s="1"/>
  <c r="F260"/>
  <c r="C246"/>
  <c r="O253"/>
  <c r="E255"/>
  <c r="G257"/>
  <c r="G258"/>
  <c r="M260"/>
  <c r="L254"/>
  <c r="N254" s="1"/>
  <c r="E256"/>
  <c r="D260"/>
  <c r="F263"/>
  <c r="B268"/>
  <c r="F254"/>
  <c r="O257"/>
  <c r="O260"/>
  <c r="C247"/>
  <c r="F255"/>
  <c r="D257"/>
  <c r="B260"/>
  <c r="F256"/>
  <c r="I260"/>
  <c r="G254"/>
  <c r="H255"/>
  <c r="J255" s="1"/>
  <c r="F258"/>
  <c r="L253"/>
  <c r="N253" s="1"/>
  <c r="L255"/>
  <c r="N255" s="1"/>
  <c r="E257"/>
  <c r="G260"/>
  <c r="N263"/>
  <c r="L245"/>
  <c r="O254"/>
  <c r="H258"/>
  <c r="J258" s="1"/>
  <c r="N262"/>
  <c r="E253"/>
  <c r="H254"/>
  <c r="J254" s="1"/>
  <c r="O255"/>
  <c r="E260"/>
  <c r="F264"/>
  <c r="H253"/>
  <c r="J253" s="1"/>
  <c r="D255"/>
  <c r="F257"/>
  <c r="L260"/>
  <c r="M264"/>
  <c r="G253"/>
  <c r="G255"/>
  <c r="H256"/>
  <c r="J256" s="1"/>
  <c r="O258"/>
  <c r="P262"/>
  <c r="A245"/>
  <c r="A246" s="1"/>
  <c r="A247" s="1"/>
  <c r="A248" s="1"/>
  <c r="A249" s="1"/>
  <c r="A250" s="1"/>
  <c r="A251" s="1"/>
  <c r="A252" s="1"/>
  <c r="A253" s="1"/>
  <c r="A254" s="1"/>
  <c r="A255" s="1"/>
  <c r="A256" s="1"/>
  <c r="A257" s="1"/>
  <c r="A258" s="1"/>
  <c r="A259" s="1"/>
  <c r="A260" s="1"/>
  <c r="A261" s="1"/>
  <c r="A262" s="1"/>
  <c r="A263" s="1"/>
  <c r="A264" s="1"/>
  <c r="A265" s="1"/>
  <c r="A266" s="1"/>
  <c r="A267" s="1"/>
  <c r="A268" s="1"/>
  <c r="A269" s="1"/>
  <c r="E254"/>
  <c r="L256"/>
  <c r="N256" s="1"/>
  <c r="D258"/>
  <c r="J260"/>
  <c r="C248"/>
  <c r="D254"/>
  <c r="L257"/>
  <c r="N257" s="1"/>
  <c r="L258"/>
  <c r="N258" s="1"/>
  <c r="S230"/>
  <c r="GL206" i="9"/>
  <c r="S203" i="11" s="1"/>
  <c r="GG206" i="9"/>
  <c r="FY206"/>
  <c r="GB206"/>
  <c r="GJ206"/>
  <c r="GG202"/>
  <c r="FY202"/>
  <c r="GL202"/>
  <c r="S199" i="11" s="1"/>
  <c r="GB202" i="9"/>
  <c r="GJ202"/>
  <c r="GL198"/>
  <c r="S195" i="11" s="1"/>
  <c r="GG198" i="9"/>
  <c r="FY198"/>
  <c r="GB198"/>
  <c r="GJ198"/>
  <c r="GG194"/>
  <c r="FY194"/>
  <c r="GL194"/>
  <c r="S191" i="11" s="1"/>
  <c r="GB194" i="9"/>
  <c r="GJ194"/>
  <c r="GL190"/>
  <c r="S187" i="11" s="1"/>
  <c r="GG190" i="9"/>
  <c r="FY190"/>
  <c r="GB190"/>
  <c r="GJ190"/>
  <c r="GG186"/>
  <c r="FY186"/>
  <c r="GL186"/>
  <c r="S183" i="11" s="1"/>
  <c r="GB186" i="9"/>
  <c r="GJ186"/>
  <c r="GL182"/>
  <c r="S179" i="11" s="1"/>
  <c r="GG182" i="9"/>
  <c r="FY182"/>
  <c r="GB182"/>
  <c r="GJ182"/>
  <c r="GG178"/>
  <c r="FY178"/>
  <c r="GL178"/>
  <c r="S175" i="11" s="1"/>
  <c r="GB178" i="9"/>
  <c r="GJ178"/>
  <c r="GL174"/>
  <c r="S171" i="11" s="1"/>
  <c r="GG174" i="9"/>
  <c r="FY174"/>
  <c r="GB174"/>
  <c r="GJ174"/>
  <c r="GG170"/>
  <c r="FY170"/>
  <c r="GL170"/>
  <c r="S167" i="11" s="1"/>
  <c r="GB170" i="9"/>
  <c r="GJ170"/>
  <c r="GL166"/>
  <c r="S163" i="11" s="1"/>
  <c r="GG166" i="9"/>
  <c r="FY166"/>
  <c r="GB166"/>
  <c r="GJ166"/>
  <c r="GG162"/>
  <c r="FY162"/>
  <c r="GL162"/>
  <c r="S159" i="11" s="1"/>
  <c r="GB162" i="9"/>
  <c r="GJ162"/>
  <c r="GG158"/>
  <c r="FY158"/>
  <c r="GL158"/>
  <c r="S155" i="11" s="1"/>
  <c r="GB158" i="9"/>
  <c r="GJ158"/>
  <c r="GL154"/>
  <c r="S151" i="11" s="1"/>
  <c r="GG154" i="9"/>
  <c r="FY154"/>
  <c r="GB154"/>
  <c r="GJ154"/>
  <c r="GL150"/>
  <c r="S147" i="11" s="1"/>
  <c r="GG150" i="9"/>
  <c r="FY150"/>
  <c r="GB150"/>
  <c r="GJ150"/>
  <c r="GG146"/>
  <c r="FY146"/>
  <c r="GL146"/>
  <c r="S143" i="11" s="1"/>
  <c r="GB146" i="9"/>
  <c r="GJ146"/>
  <c r="GG142"/>
  <c r="FY142"/>
  <c r="GL142"/>
  <c r="S139" i="11" s="1"/>
  <c r="GB142" i="9"/>
  <c r="GJ142"/>
  <c r="GL138"/>
  <c r="S135" i="11" s="1"/>
  <c r="GG138" i="9"/>
  <c r="FY138"/>
  <c r="GB138"/>
  <c r="GJ138"/>
  <c r="GL134"/>
  <c r="S131" i="11" s="1"/>
  <c r="GG134" i="9"/>
  <c r="FY134"/>
  <c r="GB134"/>
  <c r="GJ134"/>
  <c r="GG130"/>
  <c r="FY130"/>
  <c r="GL130"/>
  <c r="S127" i="11" s="1"/>
  <c r="GB130" i="9"/>
  <c r="GJ130"/>
  <c r="GG126"/>
  <c r="FY126"/>
  <c r="GL126"/>
  <c r="S123" i="11" s="1"/>
  <c r="GB126" i="9"/>
  <c r="GJ126"/>
  <c r="GL122"/>
  <c r="S119" i="11" s="1"/>
  <c r="GG122" i="9"/>
  <c r="FY122"/>
  <c r="GB122"/>
  <c r="GJ122"/>
  <c r="GL118"/>
  <c r="S115" i="11" s="1"/>
  <c r="GG118" i="9"/>
  <c r="FY118"/>
  <c r="GB118"/>
  <c r="GJ118"/>
  <c r="GG114"/>
  <c r="FY114"/>
  <c r="GL114"/>
  <c r="S111" i="11" s="1"/>
  <c r="GB114" i="9"/>
  <c r="GJ114"/>
  <c r="GG110"/>
  <c r="FY110"/>
  <c r="GL110"/>
  <c r="S107" i="11" s="1"/>
  <c r="GB110" i="9"/>
  <c r="GJ110"/>
  <c r="GL106"/>
  <c r="S103" i="11" s="1"/>
  <c r="GG106" i="9"/>
  <c r="FY106"/>
  <c r="GB106"/>
  <c r="GJ106"/>
  <c r="GL102"/>
  <c r="S99" i="11" s="1"/>
  <c r="GG102" i="9"/>
  <c r="FY102"/>
  <c r="GB102"/>
  <c r="GJ102"/>
  <c r="GG98"/>
  <c r="FY98"/>
  <c r="GL98"/>
  <c r="S95" i="11" s="1"/>
  <c r="GB98" i="9"/>
  <c r="GJ98"/>
  <c r="GG94"/>
  <c r="FY94"/>
  <c r="GL94"/>
  <c r="S91" i="11" s="1"/>
  <c r="GB94" i="9"/>
  <c r="GJ94"/>
  <c r="GL90"/>
  <c r="S87" i="11" s="1"/>
  <c r="GG90" i="9"/>
  <c r="FY90"/>
  <c r="GB90"/>
  <c r="GJ90"/>
  <c r="GL86"/>
  <c r="S83" i="11" s="1"/>
  <c r="GG86" i="9"/>
  <c r="FY86"/>
  <c r="GB86"/>
  <c r="GJ86"/>
  <c r="GG82"/>
  <c r="FY82"/>
  <c r="GL82"/>
  <c r="S79" i="11" s="1"/>
  <c r="GB82" i="9"/>
  <c r="GJ82"/>
  <c r="GG78"/>
  <c r="FY78"/>
  <c r="GL78"/>
  <c r="S75" i="11" s="1"/>
  <c r="GB78" i="9"/>
  <c r="GJ78"/>
  <c r="GL74"/>
  <c r="S71" i="11" s="1"/>
  <c r="GG74" i="9"/>
  <c r="FY74"/>
  <c r="GB74"/>
  <c r="GJ74"/>
  <c r="GL70"/>
  <c r="S67" i="11" s="1"/>
  <c r="GG70" i="9"/>
  <c r="FY70"/>
  <c r="GB70"/>
  <c r="GJ70"/>
  <c r="GG66"/>
  <c r="FY66"/>
  <c r="GL66"/>
  <c r="S63" i="11" s="1"/>
  <c r="GB66" i="9"/>
  <c r="GJ66"/>
  <c r="GG62"/>
  <c r="FY62"/>
  <c r="GL62"/>
  <c r="S59" i="11" s="1"/>
  <c r="GB62" i="9"/>
  <c r="GJ62"/>
  <c r="GL58"/>
  <c r="S55" i="11" s="1"/>
  <c r="GG58" i="9"/>
  <c r="FY58"/>
  <c r="GB58"/>
  <c r="GJ58"/>
  <c r="GL54"/>
  <c r="S51" i="11" s="1"/>
  <c r="GG54" i="9"/>
  <c r="FY54"/>
  <c r="GB54"/>
  <c r="GJ54"/>
  <c r="GG50"/>
  <c r="FY50"/>
  <c r="GL50"/>
  <c r="S47" i="11" s="1"/>
  <c r="GB50" i="9"/>
  <c r="GJ50"/>
  <c r="GG46"/>
  <c r="FY46"/>
  <c r="GL46"/>
  <c r="S43" i="11" s="1"/>
  <c r="GB46" i="9"/>
  <c r="GJ46"/>
  <c r="GL42"/>
  <c r="S39" i="11" s="1"/>
  <c r="GG42" i="9"/>
  <c r="FY42"/>
  <c r="GB42"/>
  <c r="GJ42"/>
  <c r="GL38"/>
  <c r="S35" i="11" s="1"/>
  <c r="GG38" i="9"/>
  <c r="FY38"/>
  <c r="GB38"/>
  <c r="GJ38"/>
  <c r="GG34"/>
  <c r="FY34"/>
  <c r="GB34"/>
  <c r="GJ34"/>
  <c r="GG30"/>
  <c r="FY30"/>
  <c r="GB30"/>
  <c r="GJ30"/>
  <c r="GG26"/>
  <c r="FY26"/>
  <c r="GB26"/>
  <c r="GJ26"/>
  <c r="GG22"/>
  <c r="FY22"/>
  <c r="GB22"/>
  <c r="GJ22"/>
  <c r="GB18"/>
  <c r="GL17"/>
  <c r="GB17"/>
  <c r="GL16"/>
  <c r="GB16"/>
  <c r="GL15"/>
  <c r="GB15"/>
  <c r="GL14"/>
  <c r="GB14"/>
  <c r="GL13"/>
  <c r="GB13"/>
  <c r="GL9"/>
  <c r="GB9"/>
  <c r="GM206"/>
  <c r="GM202"/>
  <c r="GM198"/>
  <c r="GM194"/>
  <c r="GM190"/>
  <c r="GM186"/>
  <c r="GM182"/>
  <c r="GM178"/>
  <c r="GM174"/>
  <c r="GM170"/>
  <c r="GM166"/>
  <c r="GM162"/>
  <c r="GM158"/>
  <c r="GM154"/>
  <c r="GM150"/>
  <c r="GM146"/>
  <c r="GM142"/>
  <c r="GM138"/>
  <c r="GM134"/>
  <c r="GM130"/>
  <c r="GM126"/>
  <c r="GM122"/>
  <c r="GM118"/>
  <c r="GM114"/>
  <c r="GM110"/>
  <c r="GM106"/>
  <c r="GM102"/>
  <c r="GM98"/>
  <c r="GM94"/>
  <c r="GM90"/>
  <c r="GM86"/>
  <c r="GM82"/>
  <c r="GM78"/>
  <c r="GM74"/>
  <c r="GM70"/>
  <c r="GM66"/>
  <c r="GM62"/>
  <c r="GM58"/>
  <c r="GM54"/>
  <c r="GM50"/>
  <c r="GM46"/>
  <c r="GM42"/>
  <c r="GM38"/>
  <c r="GG203"/>
  <c r="FY203"/>
  <c r="GL203"/>
  <c r="S200" i="11" s="1"/>
  <c r="GB203" i="9"/>
  <c r="GJ203"/>
  <c r="GG199"/>
  <c r="FY199"/>
  <c r="GL199"/>
  <c r="S196" i="11" s="1"/>
  <c r="GB199" i="9"/>
  <c r="GJ199"/>
  <c r="GG195"/>
  <c r="FY195"/>
  <c r="GL195"/>
  <c r="S192" i="11" s="1"/>
  <c r="GB195" i="9"/>
  <c r="GJ195"/>
  <c r="GG191"/>
  <c r="FY191"/>
  <c r="GL191"/>
  <c r="S188" i="11" s="1"/>
  <c r="GB191" i="9"/>
  <c r="GJ191"/>
  <c r="GG187"/>
  <c r="FY187"/>
  <c r="GL187"/>
  <c r="S184" i="11" s="1"/>
  <c r="GB187" i="9"/>
  <c r="GJ187"/>
  <c r="GG183"/>
  <c r="FY183"/>
  <c r="GL183"/>
  <c r="S180" i="11" s="1"/>
  <c r="GB183" i="9"/>
  <c r="GJ183"/>
  <c r="GG179"/>
  <c r="FY179"/>
  <c r="GL179"/>
  <c r="S176" i="11" s="1"/>
  <c r="GB179" i="9"/>
  <c r="GJ179"/>
  <c r="GG175"/>
  <c r="FY175"/>
  <c r="GL175"/>
  <c r="S172" i="11" s="1"/>
  <c r="GB175" i="9"/>
  <c r="GJ175"/>
  <c r="GG171"/>
  <c r="FY171"/>
  <c r="GL171"/>
  <c r="S168" i="11" s="1"/>
  <c r="GB171" i="9"/>
  <c r="GJ171"/>
  <c r="GG167"/>
  <c r="FY167"/>
  <c r="GL167"/>
  <c r="S164" i="11" s="1"/>
  <c r="GB167" i="9"/>
  <c r="GJ167"/>
  <c r="GG163"/>
  <c r="FY163"/>
  <c r="GL163"/>
  <c r="S160" i="11" s="1"/>
  <c r="GB163" i="9"/>
  <c r="GJ163"/>
  <c r="GL159"/>
  <c r="S156" i="11" s="1"/>
  <c r="GG159" i="9"/>
  <c r="FY159"/>
  <c r="GB159"/>
  <c r="GJ159"/>
  <c r="GG155"/>
  <c r="FY155"/>
  <c r="GL155"/>
  <c r="S152" i="11" s="1"/>
  <c r="GB155" i="9"/>
  <c r="GJ155"/>
  <c r="GG151"/>
  <c r="FY151"/>
  <c r="GL151"/>
  <c r="S148" i="11" s="1"/>
  <c r="GB151" i="9"/>
  <c r="GJ151"/>
  <c r="GG147"/>
  <c r="FY147"/>
  <c r="GL147"/>
  <c r="S144" i="11" s="1"/>
  <c r="GB147" i="9"/>
  <c r="GJ147"/>
  <c r="GL143"/>
  <c r="S140" i="11" s="1"/>
  <c r="GG143" i="9"/>
  <c r="FY143"/>
  <c r="GB143"/>
  <c r="GJ143"/>
  <c r="GG139"/>
  <c r="FY139"/>
  <c r="GL139"/>
  <c r="S136" i="11" s="1"/>
  <c r="GB139" i="9"/>
  <c r="GJ139"/>
  <c r="GG135"/>
  <c r="FY135"/>
  <c r="GL135"/>
  <c r="S132" i="11" s="1"/>
  <c r="GB135" i="9"/>
  <c r="GJ135"/>
  <c r="GG131"/>
  <c r="FY131"/>
  <c r="GL131"/>
  <c r="S128" i="11" s="1"/>
  <c r="GB131" i="9"/>
  <c r="GJ131"/>
  <c r="GL127"/>
  <c r="S124" i="11" s="1"/>
  <c r="GG127" i="9"/>
  <c r="FY127"/>
  <c r="GB127"/>
  <c r="GJ127"/>
  <c r="GG123"/>
  <c r="FY123"/>
  <c r="GL123"/>
  <c r="S120" i="11" s="1"/>
  <c r="GB123" i="9"/>
  <c r="GJ123"/>
  <c r="GG119"/>
  <c r="FY119"/>
  <c r="GL119"/>
  <c r="S116" i="11" s="1"/>
  <c r="GB119" i="9"/>
  <c r="GJ119"/>
  <c r="GG115"/>
  <c r="FY115"/>
  <c r="GL115"/>
  <c r="S112" i="11" s="1"/>
  <c r="GB115" i="9"/>
  <c r="GJ115"/>
  <c r="GL111"/>
  <c r="GG111"/>
  <c r="FY111"/>
  <c r="GB111"/>
  <c r="GJ111"/>
  <c r="GG107"/>
  <c r="FY107"/>
  <c r="GL107"/>
  <c r="S104" i="11" s="1"/>
  <c r="GB107" i="9"/>
  <c r="GJ107"/>
  <c r="GG103"/>
  <c r="FY103"/>
  <c r="GL103"/>
  <c r="S100" i="11" s="1"/>
  <c r="GB103" i="9"/>
  <c r="GJ103"/>
  <c r="GG99"/>
  <c r="FY99"/>
  <c r="GL99"/>
  <c r="S96" i="11" s="1"/>
  <c r="GB99" i="9"/>
  <c r="GJ99"/>
  <c r="GL95"/>
  <c r="S92" i="11" s="1"/>
  <c r="GG95" i="9"/>
  <c r="FY95"/>
  <c r="GB95"/>
  <c r="GJ95"/>
  <c r="GG91"/>
  <c r="FY91"/>
  <c r="GL91"/>
  <c r="S88" i="11" s="1"/>
  <c r="GB91" i="9"/>
  <c r="GJ91"/>
  <c r="GG87"/>
  <c r="FY87"/>
  <c r="GL87"/>
  <c r="S84" i="11" s="1"/>
  <c r="GB87" i="9"/>
  <c r="GJ87"/>
  <c r="GG83"/>
  <c r="FY83"/>
  <c r="GL83"/>
  <c r="S80" i="11" s="1"/>
  <c r="GB83" i="9"/>
  <c r="GJ83"/>
  <c r="GL79"/>
  <c r="S76" i="11" s="1"/>
  <c r="GG79" i="9"/>
  <c r="FY79"/>
  <c r="GB79"/>
  <c r="GJ79"/>
  <c r="GG75"/>
  <c r="FY75"/>
  <c r="GL75"/>
  <c r="GB75"/>
  <c r="GJ75"/>
  <c r="GG71"/>
  <c r="FY71"/>
  <c r="GL71"/>
  <c r="S68" i="11" s="1"/>
  <c r="GB71" i="9"/>
  <c r="GJ71"/>
  <c r="GG67"/>
  <c r="FY67"/>
  <c r="GL67"/>
  <c r="S64" i="11" s="1"/>
  <c r="GB67" i="9"/>
  <c r="GJ67"/>
  <c r="GL63"/>
  <c r="S60" i="11" s="1"/>
  <c r="GG63" i="9"/>
  <c r="FY63"/>
  <c r="GB63"/>
  <c r="GJ63"/>
  <c r="GG59"/>
  <c r="FY59"/>
  <c r="GL59"/>
  <c r="S56" i="11" s="1"/>
  <c r="GB59" i="9"/>
  <c r="GJ59"/>
  <c r="GG55"/>
  <c r="FY55"/>
  <c r="GL55"/>
  <c r="S52" i="11" s="1"/>
  <c r="GB55" i="9"/>
  <c r="GJ55"/>
  <c r="GG51"/>
  <c r="FY51"/>
  <c r="GL51"/>
  <c r="S48" i="11" s="1"/>
  <c r="GB51" i="9"/>
  <c r="GJ51"/>
  <c r="GL47"/>
  <c r="S44" i="11" s="1"/>
  <c r="GG47" i="9"/>
  <c r="FY47"/>
  <c r="GB47"/>
  <c r="GJ47"/>
  <c r="GG43"/>
  <c r="FY43"/>
  <c r="GL43"/>
  <c r="S40" i="11" s="1"/>
  <c r="GB43" i="9"/>
  <c r="GJ43"/>
  <c r="GG39"/>
  <c r="FY39"/>
  <c r="GL39"/>
  <c r="S36" i="11" s="1"/>
  <c r="GB39" i="9"/>
  <c r="GJ39"/>
  <c r="GG37"/>
  <c r="FY37"/>
  <c r="GB37"/>
  <c r="GJ37"/>
  <c r="GG33"/>
  <c r="FY33"/>
  <c r="GB33"/>
  <c r="GJ33"/>
  <c r="GG29"/>
  <c r="FY29"/>
  <c r="GB29"/>
  <c r="GJ29"/>
  <c r="GG25"/>
  <c r="FY25"/>
  <c r="GB25"/>
  <c r="GJ25"/>
  <c r="GB21"/>
  <c r="GL10"/>
  <c r="GB10"/>
  <c r="GM203"/>
  <c r="GM199"/>
  <c r="GM195"/>
  <c r="GM191"/>
  <c r="GM187"/>
  <c r="GM183"/>
  <c r="GM179"/>
  <c r="GM175"/>
  <c r="GM171"/>
  <c r="GM167"/>
  <c r="GM163"/>
  <c r="GM159"/>
  <c r="GM155"/>
  <c r="GM151"/>
  <c r="GM147"/>
  <c r="GM143"/>
  <c r="GM139"/>
  <c r="GM135"/>
  <c r="GM131"/>
  <c r="GM127"/>
  <c r="GM123"/>
  <c r="GM119"/>
  <c r="GM115"/>
  <c r="GM107"/>
  <c r="GM103"/>
  <c r="GM99"/>
  <c r="GM95"/>
  <c r="GM91"/>
  <c r="GM87"/>
  <c r="GM83"/>
  <c r="GM79"/>
  <c r="GM71"/>
  <c r="GM67"/>
  <c r="GM63"/>
  <c r="GM59"/>
  <c r="GM55"/>
  <c r="GM51"/>
  <c r="GM47"/>
  <c r="GM43"/>
  <c r="GM39"/>
  <c r="GL204"/>
  <c r="S201" i="11" s="1"/>
  <c r="GG204" i="9"/>
  <c r="FY204"/>
  <c r="GB204"/>
  <c r="GJ204"/>
  <c r="GL200"/>
  <c r="S197" i="11" s="1"/>
  <c r="GG200" i="9"/>
  <c r="FY200"/>
  <c r="GB200"/>
  <c r="GJ200"/>
  <c r="GL196"/>
  <c r="S193" i="11" s="1"/>
  <c r="GG196" i="9"/>
  <c r="FY196"/>
  <c r="GB196"/>
  <c r="GJ196"/>
  <c r="GL192"/>
  <c r="S189" i="11" s="1"/>
  <c r="GG192" i="9"/>
  <c r="FY192"/>
  <c r="GB192"/>
  <c r="GJ192"/>
  <c r="GL188"/>
  <c r="S185" i="11" s="1"/>
  <c r="GG188" i="9"/>
  <c r="FY188"/>
  <c r="GB188"/>
  <c r="GJ188"/>
  <c r="GL184"/>
  <c r="S181" i="11" s="1"/>
  <c r="GG184" i="9"/>
  <c r="FY184"/>
  <c r="GB184"/>
  <c r="GJ184"/>
  <c r="GL180"/>
  <c r="S177" i="11" s="1"/>
  <c r="GG180" i="9"/>
  <c r="FY180"/>
  <c r="GB180"/>
  <c r="GJ180"/>
  <c r="GL176"/>
  <c r="S173" i="11" s="1"/>
  <c r="GG176" i="9"/>
  <c r="FY176"/>
  <c r="GB176"/>
  <c r="GJ176"/>
  <c r="GL172"/>
  <c r="S169" i="11" s="1"/>
  <c r="GG172" i="9"/>
  <c r="FY172"/>
  <c r="GB172"/>
  <c r="GJ172"/>
  <c r="GL168"/>
  <c r="S165" i="11" s="1"/>
  <c r="GG168" i="9"/>
  <c r="FY168"/>
  <c r="GB168"/>
  <c r="GJ168"/>
  <c r="GL164"/>
  <c r="S161" i="11" s="1"/>
  <c r="GG164" i="9"/>
  <c r="FY164"/>
  <c r="GB164"/>
  <c r="GJ164"/>
  <c r="GL160"/>
  <c r="S157" i="11" s="1"/>
  <c r="GG160" i="9"/>
  <c r="FY160"/>
  <c r="GB160"/>
  <c r="GJ160"/>
  <c r="GL156"/>
  <c r="S153" i="11" s="1"/>
  <c r="GG156" i="9"/>
  <c r="FY156"/>
  <c r="GB156"/>
  <c r="GJ156"/>
  <c r="GL152"/>
  <c r="S149" i="11" s="1"/>
  <c r="GG152" i="9"/>
  <c r="FY152"/>
  <c r="GB152"/>
  <c r="GJ152"/>
  <c r="GL148"/>
  <c r="S145" i="11" s="1"/>
  <c r="GG148" i="9"/>
  <c r="FY148"/>
  <c r="GB148"/>
  <c r="GJ148"/>
  <c r="GL144"/>
  <c r="S141" i="11" s="1"/>
  <c r="GG144" i="9"/>
  <c r="FY144"/>
  <c r="GB144"/>
  <c r="GJ144"/>
  <c r="GL140"/>
  <c r="S137" i="11" s="1"/>
  <c r="GG140" i="9"/>
  <c r="FY140"/>
  <c r="GJ140"/>
  <c r="GB140"/>
  <c r="GL136"/>
  <c r="S133" i="11" s="1"/>
  <c r="GG136" i="9"/>
  <c r="FY136"/>
  <c r="GJ136"/>
  <c r="GB136"/>
  <c r="GL132"/>
  <c r="S129" i="11" s="1"/>
  <c r="GG132" i="9"/>
  <c r="FY132"/>
  <c r="GB132"/>
  <c r="GJ132"/>
  <c r="GL128"/>
  <c r="S125" i="11" s="1"/>
  <c r="GG128" i="9"/>
  <c r="FY128"/>
  <c r="GB128"/>
  <c r="GJ128"/>
  <c r="GL124"/>
  <c r="S121" i="11" s="1"/>
  <c r="GG124" i="9"/>
  <c r="FY124"/>
  <c r="GB124"/>
  <c r="GJ124"/>
  <c r="GL120"/>
  <c r="S117" i="11" s="1"/>
  <c r="GG120" i="9"/>
  <c r="FY120"/>
  <c r="GB120"/>
  <c r="GJ120"/>
  <c r="GL116"/>
  <c r="S113" i="11" s="1"/>
  <c r="GG116" i="9"/>
  <c r="FY116"/>
  <c r="GB116"/>
  <c r="GJ116"/>
  <c r="GL112"/>
  <c r="S109" i="11" s="1"/>
  <c r="GG112" i="9"/>
  <c r="FY112"/>
  <c r="GB112"/>
  <c r="GJ112"/>
  <c r="GL108"/>
  <c r="S105" i="11" s="1"/>
  <c r="GG108" i="9"/>
  <c r="FY108"/>
  <c r="GB108"/>
  <c r="GJ108"/>
  <c r="GL104"/>
  <c r="S101" i="11" s="1"/>
  <c r="GG104" i="9"/>
  <c r="FY104"/>
  <c r="GB104"/>
  <c r="GJ104"/>
  <c r="GL100"/>
  <c r="S97" i="11" s="1"/>
  <c r="GG100" i="9"/>
  <c r="FY100"/>
  <c r="GB100"/>
  <c r="GJ100"/>
  <c r="GL96"/>
  <c r="S93" i="11" s="1"/>
  <c r="GG96" i="9"/>
  <c r="FY96"/>
  <c r="GB96"/>
  <c r="GJ96"/>
  <c r="GL92"/>
  <c r="S89" i="11" s="1"/>
  <c r="GG92" i="9"/>
  <c r="FY92"/>
  <c r="GB92"/>
  <c r="GJ92"/>
  <c r="GL88"/>
  <c r="S85" i="11" s="1"/>
  <c r="GG88" i="9"/>
  <c r="FY88"/>
  <c r="GB88"/>
  <c r="GJ88"/>
  <c r="GL84"/>
  <c r="S81" i="11" s="1"/>
  <c r="GG84" i="9"/>
  <c r="FY84"/>
  <c r="GB84"/>
  <c r="GJ84"/>
  <c r="GL80"/>
  <c r="S77" i="11" s="1"/>
  <c r="GG80" i="9"/>
  <c r="FY80"/>
  <c r="GB80"/>
  <c r="GJ80"/>
  <c r="GL76"/>
  <c r="S73" i="11" s="1"/>
  <c r="GG76" i="9"/>
  <c r="FY76"/>
  <c r="GB76"/>
  <c r="GJ76"/>
  <c r="GL72"/>
  <c r="S69" i="11" s="1"/>
  <c r="GG72" i="9"/>
  <c r="FY72"/>
  <c r="GB72"/>
  <c r="GJ72"/>
  <c r="GL68"/>
  <c r="S65" i="11" s="1"/>
  <c r="GG68" i="9"/>
  <c r="FY68"/>
  <c r="GB68"/>
  <c r="GJ68"/>
  <c r="GL64"/>
  <c r="S61" i="11" s="1"/>
  <c r="GG64" i="9"/>
  <c r="FY64"/>
  <c r="GB64"/>
  <c r="GJ64"/>
  <c r="GL60"/>
  <c r="S57" i="11" s="1"/>
  <c r="GG60" i="9"/>
  <c r="FY60"/>
  <c r="GB60"/>
  <c r="GJ60"/>
  <c r="GL56"/>
  <c r="S53" i="11" s="1"/>
  <c r="GG56" i="9"/>
  <c r="FY56"/>
  <c r="GB56"/>
  <c r="GJ56"/>
  <c r="GL52"/>
  <c r="S49" i="11" s="1"/>
  <c r="GG52" i="9"/>
  <c r="FY52"/>
  <c r="GB52"/>
  <c r="GJ52"/>
  <c r="GL48"/>
  <c r="S45" i="11" s="1"/>
  <c r="GG48" i="9"/>
  <c r="FY48"/>
  <c r="GB48"/>
  <c r="GJ48"/>
  <c r="GL44"/>
  <c r="S41" i="11" s="1"/>
  <c r="GG44" i="9"/>
  <c r="FY44"/>
  <c r="GB44"/>
  <c r="GJ44"/>
  <c r="GL40"/>
  <c r="S37" i="11" s="1"/>
  <c r="GG40" i="9"/>
  <c r="FY40"/>
  <c r="GB40"/>
  <c r="GJ40"/>
  <c r="GG36"/>
  <c r="FY36"/>
  <c r="GB36"/>
  <c r="GJ36"/>
  <c r="GG32"/>
  <c r="FY32"/>
  <c r="GB32"/>
  <c r="GJ32"/>
  <c r="GG28"/>
  <c r="FY28"/>
  <c r="GB28"/>
  <c r="GJ28"/>
  <c r="GG24"/>
  <c r="FY24"/>
  <c r="GB24"/>
  <c r="GJ24"/>
  <c r="GB20"/>
  <c r="GL11"/>
  <c r="GB11"/>
  <c r="GM204"/>
  <c r="GM200"/>
  <c r="GM196"/>
  <c r="GM192"/>
  <c r="GM188"/>
  <c r="GM184"/>
  <c r="GM180"/>
  <c r="GM176"/>
  <c r="GM172"/>
  <c r="GM168"/>
  <c r="GM164"/>
  <c r="GM160"/>
  <c r="GM156"/>
  <c r="GM152"/>
  <c r="GM148"/>
  <c r="GM144"/>
  <c r="GM140"/>
  <c r="GM136"/>
  <c r="GM132"/>
  <c r="GM128"/>
  <c r="GM124"/>
  <c r="GM120"/>
  <c r="GM112"/>
  <c r="GM108"/>
  <c r="GM104"/>
  <c r="GM96"/>
  <c r="GM92"/>
  <c r="GM88"/>
  <c r="GM80"/>
  <c r="GM76"/>
  <c r="GM72"/>
  <c r="GM64"/>
  <c r="GM60"/>
  <c r="GM56"/>
  <c r="GM48"/>
  <c r="GM44"/>
  <c r="GM40"/>
  <c r="GM11"/>
  <c r="GL205"/>
  <c r="S202" i="11" s="1"/>
  <c r="GG205" i="9"/>
  <c r="FY205"/>
  <c r="GB205"/>
  <c r="GJ205"/>
  <c r="GL201"/>
  <c r="S198" i="11" s="1"/>
  <c r="GG201" i="9"/>
  <c r="FY201"/>
  <c r="GB201"/>
  <c r="GJ201"/>
  <c r="GL197"/>
  <c r="S194" i="11" s="1"/>
  <c r="GG197" i="9"/>
  <c r="FY197"/>
  <c r="GB197"/>
  <c r="GJ197"/>
  <c r="GL193"/>
  <c r="S190" i="11" s="1"/>
  <c r="GG193" i="9"/>
  <c r="FY193"/>
  <c r="GB193"/>
  <c r="GJ193"/>
  <c r="GL189"/>
  <c r="S186" i="11" s="1"/>
  <c r="GG189" i="9"/>
  <c r="FY189"/>
  <c r="GB189"/>
  <c r="GJ189"/>
  <c r="GL185"/>
  <c r="S182" i="11" s="1"/>
  <c r="GG185" i="9"/>
  <c r="FY185"/>
  <c r="GB185"/>
  <c r="GJ185"/>
  <c r="GL181"/>
  <c r="S178" i="11" s="1"/>
  <c r="GG181" i="9"/>
  <c r="FY181"/>
  <c r="GB181"/>
  <c r="GJ181"/>
  <c r="GL177"/>
  <c r="S174" i="11" s="1"/>
  <c r="GG177" i="9"/>
  <c r="FY177"/>
  <c r="GB177"/>
  <c r="GJ177"/>
  <c r="GL173"/>
  <c r="S170" i="11" s="1"/>
  <c r="GG173" i="9"/>
  <c r="FY173"/>
  <c r="GB173"/>
  <c r="GJ173"/>
  <c r="GL169"/>
  <c r="S166" i="11" s="1"/>
  <c r="GG169" i="9"/>
  <c r="FY169"/>
  <c r="GB169"/>
  <c r="GJ169"/>
  <c r="GL165"/>
  <c r="S162" i="11" s="1"/>
  <c r="GG165" i="9"/>
  <c r="FY165"/>
  <c r="GB165"/>
  <c r="GJ165"/>
  <c r="GL161"/>
  <c r="S158" i="11" s="1"/>
  <c r="GG161" i="9"/>
  <c r="FY161"/>
  <c r="GB161"/>
  <c r="GJ161"/>
  <c r="GL157"/>
  <c r="S154" i="11" s="1"/>
  <c r="GG157" i="9"/>
  <c r="FY157"/>
  <c r="GB157"/>
  <c r="GJ157"/>
  <c r="GL153"/>
  <c r="S150" i="11" s="1"/>
  <c r="GG153" i="9"/>
  <c r="FY153"/>
  <c r="GB153"/>
  <c r="GJ153"/>
  <c r="GG149"/>
  <c r="FY149"/>
  <c r="GL149"/>
  <c r="S146" i="11" s="1"/>
  <c r="GB149" i="9"/>
  <c r="GJ149"/>
  <c r="GL145"/>
  <c r="S142" i="11" s="1"/>
  <c r="GG145" i="9"/>
  <c r="FY145"/>
  <c r="GB145"/>
  <c r="GJ145"/>
  <c r="GL141"/>
  <c r="GG141"/>
  <c r="FY141"/>
  <c r="GJ141"/>
  <c r="GB141"/>
  <c r="GL137"/>
  <c r="GG137"/>
  <c r="FY137"/>
  <c r="GJ137"/>
  <c r="GB137"/>
  <c r="GG133"/>
  <c r="FY133"/>
  <c r="GL133"/>
  <c r="GB133"/>
  <c r="GJ133"/>
  <c r="GL129"/>
  <c r="GG129"/>
  <c r="FY129"/>
  <c r="GB129"/>
  <c r="GJ129"/>
  <c r="GL125"/>
  <c r="GG125"/>
  <c r="FY125"/>
  <c r="GB125"/>
  <c r="GJ125"/>
  <c r="GL121"/>
  <c r="S118" i="11" s="1"/>
  <c r="GG121" i="9"/>
  <c r="FY121"/>
  <c r="GB121"/>
  <c r="GJ121"/>
  <c r="GG117"/>
  <c r="FY117"/>
  <c r="GL117"/>
  <c r="S114" i="11" s="1"/>
  <c r="GB117" i="9"/>
  <c r="GJ117"/>
  <c r="GL113"/>
  <c r="S110" i="11" s="1"/>
  <c r="GG113" i="9"/>
  <c r="FY113"/>
  <c r="GB113"/>
  <c r="GJ113"/>
  <c r="GL109"/>
  <c r="GG109"/>
  <c r="FY109"/>
  <c r="GB109"/>
  <c r="GJ109"/>
  <c r="GL105"/>
  <c r="GG105"/>
  <c r="FY105"/>
  <c r="GB105"/>
  <c r="GJ105"/>
  <c r="GG101"/>
  <c r="FY101"/>
  <c r="GL101"/>
  <c r="GB101"/>
  <c r="GJ101"/>
  <c r="GL97"/>
  <c r="S94" i="11" s="1"/>
  <c r="GG97" i="9"/>
  <c r="FY97"/>
  <c r="GB97"/>
  <c r="GJ97"/>
  <c r="GL93"/>
  <c r="GG93"/>
  <c r="FY93"/>
  <c r="GB93"/>
  <c r="GJ93"/>
  <c r="GL89"/>
  <c r="GG89"/>
  <c r="FY89"/>
  <c r="GB89"/>
  <c r="GJ89"/>
  <c r="GG85"/>
  <c r="FY85"/>
  <c r="GL85"/>
  <c r="S82" i="11" s="1"/>
  <c r="GB85" i="9"/>
  <c r="GJ85"/>
  <c r="GL81"/>
  <c r="S78" i="11" s="1"/>
  <c r="GG81" i="9"/>
  <c r="FY81"/>
  <c r="GB81"/>
  <c r="GJ81"/>
  <c r="GL77"/>
  <c r="S74" i="11" s="1"/>
  <c r="GG77" i="9"/>
  <c r="FY77"/>
  <c r="GB77"/>
  <c r="GJ77"/>
  <c r="GL73"/>
  <c r="S70" i="11" s="1"/>
  <c r="GG73" i="9"/>
  <c r="FY73"/>
  <c r="GB73"/>
  <c r="GJ73"/>
  <c r="GG69"/>
  <c r="FY69"/>
  <c r="GL69"/>
  <c r="GB69"/>
  <c r="GJ69"/>
  <c r="GL65"/>
  <c r="GG65"/>
  <c r="FY65"/>
  <c r="GB65"/>
  <c r="GJ65"/>
  <c r="GL61"/>
  <c r="GG61"/>
  <c r="FY61"/>
  <c r="GB61"/>
  <c r="GJ61"/>
  <c r="GL57"/>
  <c r="GG57"/>
  <c r="FY57"/>
  <c r="GB57"/>
  <c r="GJ57"/>
  <c r="GG53"/>
  <c r="FY53"/>
  <c r="GL53"/>
  <c r="S50" i="11" s="1"/>
  <c r="GB53" i="9"/>
  <c r="GJ53"/>
  <c r="GL49"/>
  <c r="S46" i="11" s="1"/>
  <c r="GG49" i="9"/>
  <c r="FY49"/>
  <c r="GB49"/>
  <c r="GJ49"/>
  <c r="GL45"/>
  <c r="GG45"/>
  <c r="FY45"/>
  <c r="GB45"/>
  <c r="GJ45"/>
  <c r="GL41"/>
  <c r="S38" i="11" s="1"/>
  <c r="GG41" i="9"/>
  <c r="FY41"/>
  <c r="GB41"/>
  <c r="GJ41"/>
  <c r="GG35"/>
  <c r="FY35"/>
  <c r="GB35"/>
  <c r="GJ35"/>
  <c r="GG31"/>
  <c r="FY31"/>
  <c r="GB31"/>
  <c r="GJ31"/>
  <c r="GG27"/>
  <c r="FY27"/>
  <c r="GB27"/>
  <c r="GJ27"/>
  <c r="GG23"/>
  <c r="H264" i="19" s="1"/>
  <c r="FY23" i="9"/>
  <c r="P263" i="19" s="1"/>
  <c r="GB23" i="9"/>
  <c r="GJ23"/>
  <c r="GB19"/>
  <c r="GL12"/>
  <c r="GB12"/>
  <c r="GL8"/>
  <c r="GB8"/>
  <c r="GM205"/>
  <c r="GM201"/>
  <c r="GM197"/>
  <c r="GM193"/>
  <c r="GM189"/>
  <c r="GM185"/>
  <c r="GM181"/>
  <c r="GM177"/>
  <c r="GM173"/>
  <c r="GM169"/>
  <c r="GM165"/>
  <c r="GM161"/>
  <c r="GM157"/>
  <c r="GM153"/>
  <c r="GM149"/>
  <c r="GM145"/>
  <c r="GM117"/>
  <c r="GM113"/>
  <c r="GM97"/>
  <c r="GM85"/>
  <c r="GM81"/>
  <c r="GM77"/>
  <c r="GM73"/>
  <c r="GM53"/>
  <c r="GM49"/>
  <c r="GM41"/>
  <c r="GM16"/>
  <c r="GM15"/>
  <c r="GM14"/>
  <c r="GM12"/>
  <c r="GM8"/>
  <c r="FA206"/>
  <c r="FQ206"/>
  <c r="FT206"/>
  <c r="FA202"/>
  <c r="FQ202"/>
  <c r="FT202"/>
  <c r="FA198"/>
  <c r="FQ198"/>
  <c r="FT198"/>
  <c r="FA194"/>
  <c r="FQ194"/>
  <c r="FT194"/>
  <c r="FA190"/>
  <c r="FQ190"/>
  <c r="FT190"/>
  <c r="FA186"/>
  <c r="FQ186"/>
  <c r="FT186"/>
  <c r="FA182"/>
  <c r="FQ182"/>
  <c r="FT182"/>
  <c r="FA178"/>
  <c r="FQ178"/>
  <c r="FT178"/>
  <c r="FA174"/>
  <c r="FQ174"/>
  <c r="FT174"/>
  <c r="FA170"/>
  <c r="FQ170"/>
  <c r="FT170"/>
  <c r="FA166"/>
  <c r="FQ166"/>
  <c r="FT166"/>
  <c r="FA162"/>
  <c r="FQ162"/>
  <c r="FT162"/>
  <c r="FA158"/>
  <c r="FQ158"/>
  <c r="FT158"/>
  <c r="FA154"/>
  <c r="FQ154"/>
  <c r="FT154"/>
  <c r="FA150"/>
  <c r="FQ150"/>
  <c r="FT150"/>
  <c r="FA146"/>
  <c r="FQ146"/>
  <c r="FT146"/>
  <c r="FA142"/>
  <c r="FQ142"/>
  <c r="FT142"/>
  <c r="FA138"/>
  <c r="FQ138"/>
  <c r="FT138"/>
  <c r="FA134"/>
  <c r="FQ134"/>
  <c r="FT134"/>
  <c r="FA130"/>
  <c r="FQ130"/>
  <c r="FT130"/>
  <c r="FA126"/>
  <c r="FQ126"/>
  <c r="FT126"/>
  <c r="FA122"/>
  <c r="FQ122"/>
  <c r="FT122"/>
  <c r="FA118"/>
  <c r="FQ118"/>
  <c r="FT118"/>
  <c r="FA114"/>
  <c r="FQ114"/>
  <c r="FT114"/>
  <c r="FA110"/>
  <c r="FQ110"/>
  <c r="FT110"/>
  <c r="FA106"/>
  <c r="FQ106"/>
  <c r="FT106"/>
  <c r="FA102"/>
  <c r="FQ102"/>
  <c r="FT102"/>
  <c r="FA98"/>
  <c r="FQ98"/>
  <c r="FT98"/>
  <c r="FA94"/>
  <c r="FQ94"/>
  <c r="FT94"/>
  <c r="FA90"/>
  <c r="FQ90"/>
  <c r="FT90"/>
  <c r="FA86"/>
  <c r="FQ86"/>
  <c r="FT86"/>
  <c r="FA82"/>
  <c r="FQ82"/>
  <c r="FT82"/>
  <c r="FA78"/>
  <c r="FQ78"/>
  <c r="FT78"/>
  <c r="FA74"/>
  <c r="FQ74"/>
  <c r="FT74"/>
  <c r="FA70"/>
  <c r="FQ70"/>
  <c r="FT70"/>
  <c r="FA66"/>
  <c r="FQ66"/>
  <c r="FT66"/>
  <c r="FA62"/>
  <c r="FQ62"/>
  <c r="FT62"/>
  <c r="FA58"/>
  <c r="FQ58"/>
  <c r="FT58"/>
  <c r="FA54"/>
  <c r="FQ54"/>
  <c r="FT54"/>
  <c r="FA50"/>
  <c r="FQ50"/>
  <c r="FT50"/>
  <c r="FA46"/>
  <c r="FQ46"/>
  <c r="FT46"/>
  <c r="FA42"/>
  <c r="FQ42"/>
  <c r="FT42"/>
  <c r="FA38"/>
  <c r="FQ38"/>
  <c r="FT38"/>
  <c r="FA34"/>
  <c r="FQ34"/>
  <c r="FT34"/>
  <c r="FA30"/>
  <c r="FQ30"/>
  <c r="FT30"/>
  <c r="FA26"/>
  <c r="FQ26"/>
  <c r="FT26"/>
  <c r="FA22"/>
  <c r="FQ22"/>
  <c r="FT22"/>
  <c r="FA203"/>
  <c r="FT203"/>
  <c r="FQ203"/>
  <c r="FA199"/>
  <c r="FT199"/>
  <c r="FQ199"/>
  <c r="FA195"/>
  <c r="FT195"/>
  <c r="FQ195"/>
  <c r="FA191"/>
  <c r="FT191"/>
  <c r="FQ191"/>
  <c r="FA187"/>
  <c r="FT187"/>
  <c r="FQ187"/>
  <c r="FA183"/>
  <c r="FT183"/>
  <c r="FQ183"/>
  <c r="FA179"/>
  <c r="FT179"/>
  <c r="FQ179"/>
  <c r="FA175"/>
  <c r="FT175"/>
  <c r="FQ175"/>
  <c r="FA171"/>
  <c r="FT171"/>
  <c r="FQ171"/>
  <c r="FA167"/>
  <c r="FT167"/>
  <c r="FQ167"/>
  <c r="FA163"/>
  <c r="FT163"/>
  <c r="FQ163"/>
  <c r="FA159"/>
  <c r="FT159"/>
  <c r="FQ159"/>
  <c r="FA155"/>
  <c r="FT155"/>
  <c r="FQ155"/>
  <c r="FA151"/>
  <c r="FT151"/>
  <c r="FQ151"/>
  <c r="FA147"/>
  <c r="FT147"/>
  <c r="FQ147"/>
  <c r="FA143"/>
  <c r="FT143"/>
  <c r="FQ143"/>
  <c r="FA139"/>
  <c r="FT139"/>
  <c r="FQ139"/>
  <c r="FA135"/>
  <c r="FT135"/>
  <c r="FQ135"/>
  <c r="FA131"/>
  <c r="FT131"/>
  <c r="FQ131"/>
  <c r="FA127"/>
  <c r="FT127"/>
  <c r="FQ127"/>
  <c r="FA123"/>
  <c r="FT123"/>
  <c r="FQ123"/>
  <c r="FA119"/>
  <c r="FT119"/>
  <c r="FQ119"/>
  <c r="FA115"/>
  <c r="FT115"/>
  <c r="FQ115"/>
  <c r="FA111"/>
  <c r="FT111"/>
  <c r="FQ111"/>
  <c r="FA107"/>
  <c r="FT107"/>
  <c r="FQ107"/>
  <c r="FA103"/>
  <c r="FT103"/>
  <c r="FQ103"/>
  <c r="FA99"/>
  <c r="FT99"/>
  <c r="FQ99"/>
  <c r="FA95"/>
  <c r="FT95"/>
  <c r="FQ95"/>
  <c r="FA91"/>
  <c r="FT91"/>
  <c r="FQ91"/>
  <c r="FA87"/>
  <c r="FT87"/>
  <c r="FQ87"/>
  <c r="FA83"/>
  <c r="FT83"/>
  <c r="FQ83"/>
  <c r="FA79"/>
  <c r="FT79"/>
  <c r="FQ79"/>
  <c r="FA75"/>
  <c r="FT75"/>
  <c r="FQ75"/>
  <c r="FA71"/>
  <c r="FT71"/>
  <c r="FQ71"/>
  <c r="FA67"/>
  <c r="FT67"/>
  <c r="FQ67"/>
  <c r="FA63"/>
  <c r="FT63"/>
  <c r="FQ63"/>
  <c r="FA59"/>
  <c r="FT59"/>
  <c r="FQ59"/>
  <c r="FA55"/>
  <c r="FT55"/>
  <c r="FQ55"/>
  <c r="FA51"/>
  <c r="FT51"/>
  <c r="FQ51"/>
  <c r="FA47"/>
  <c r="FT47"/>
  <c r="FQ47"/>
  <c r="FA43"/>
  <c r="FT43"/>
  <c r="FQ43"/>
  <c r="FA39"/>
  <c r="FT39"/>
  <c r="FQ39"/>
  <c r="FA37"/>
  <c r="FT37"/>
  <c r="FQ37"/>
  <c r="FA33"/>
  <c r="FT33"/>
  <c r="FQ33"/>
  <c r="FA29"/>
  <c r="FT29"/>
  <c r="FQ29"/>
  <c r="FA25"/>
  <c r="FT25"/>
  <c r="FQ25"/>
  <c r="FA204"/>
  <c r="FT204"/>
  <c r="FQ204"/>
  <c r="FA200"/>
  <c r="FT200"/>
  <c r="FQ200"/>
  <c r="FA196"/>
  <c r="FT196"/>
  <c r="FQ196"/>
  <c r="FA192"/>
  <c r="FT192"/>
  <c r="FQ192"/>
  <c r="FA188"/>
  <c r="FT188"/>
  <c r="FQ188"/>
  <c r="FA184"/>
  <c r="FT184"/>
  <c r="FQ184"/>
  <c r="FA180"/>
  <c r="FT180"/>
  <c r="FQ180"/>
  <c r="FA176"/>
  <c r="FT176"/>
  <c r="FQ176"/>
  <c r="FA172"/>
  <c r="FT172"/>
  <c r="FQ172"/>
  <c r="FA168"/>
  <c r="FT168"/>
  <c r="FQ168"/>
  <c r="FA164"/>
  <c r="FT164"/>
  <c r="FQ164"/>
  <c r="FA160"/>
  <c r="FT160"/>
  <c r="FQ160"/>
  <c r="FA156"/>
  <c r="FT156"/>
  <c r="FQ156"/>
  <c r="FA152"/>
  <c r="FT152"/>
  <c r="FQ152"/>
  <c r="FA148"/>
  <c r="FT148"/>
  <c r="FQ148"/>
  <c r="FA144"/>
  <c r="FT144"/>
  <c r="FQ144"/>
  <c r="FA140"/>
  <c r="FT140"/>
  <c r="FQ140"/>
  <c r="FA136"/>
  <c r="FT136"/>
  <c r="FQ136"/>
  <c r="FA132"/>
  <c r="FT132"/>
  <c r="FQ132"/>
  <c r="FA128"/>
  <c r="FT128"/>
  <c r="FQ128"/>
  <c r="FA124"/>
  <c r="FT124"/>
  <c r="FQ124"/>
  <c r="FA120"/>
  <c r="FT120"/>
  <c r="FQ120"/>
  <c r="FA116"/>
  <c r="FT116"/>
  <c r="FQ116"/>
  <c r="FA112"/>
  <c r="FT112"/>
  <c r="FQ112"/>
  <c r="FA108"/>
  <c r="FT108"/>
  <c r="FQ108"/>
  <c r="FA104"/>
  <c r="FT104"/>
  <c r="FQ104"/>
  <c r="FA100"/>
  <c r="FT100"/>
  <c r="FQ100"/>
  <c r="FA96"/>
  <c r="FT96"/>
  <c r="FQ96"/>
  <c r="FA92"/>
  <c r="FT92"/>
  <c r="FQ92"/>
  <c r="FA88"/>
  <c r="FT88"/>
  <c r="FQ88"/>
  <c r="FA84"/>
  <c r="FT84"/>
  <c r="FQ84"/>
  <c r="FA80"/>
  <c r="FT80"/>
  <c r="FQ80"/>
  <c r="FA76"/>
  <c r="FT76"/>
  <c r="FQ76"/>
  <c r="FA72"/>
  <c r="FT72"/>
  <c r="FQ72"/>
  <c r="FA68"/>
  <c r="FT68"/>
  <c r="FQ68"/>
  <c r="FA64"/>
  <c r="FT64"/>
  <c r="FQ64"/>
  <c r="FA60"/>
  <c r="FT60"/>
  <c r="FQ60"/>
  <c r="FA56"/>
  <c r="FT56"/>
  <c r="FQ56"/>
  <c r="FA52"/>
  <c r="FT52"/>
  <c r="FQ52"/>
  <c r="FA48"/>
  <c r="FT48"/>
  <c r="FQ48"/>
  <c r="FA44"/>
  <c r="FT44"/>
  <c r="FQ44"/>
  <c r="FA40"/>
  <c r="FT40"/>
  <c r="FQ40"/>
  <c r="FA36"/>
  <c r="FT36"/>
  <c r="FQ36"/>
  <c r="FA32"/>
  <c r="FT32"/>
  <c r="FQ32"/>
  <c r="FA28"/>
  <c r="FT28"/>
  <c r="FQ28"/>
  <c r="FA24"/>
  <c r="FT24"/>
  <c r="FQ24"/>
  <c r="FA205"/>
  <c r="FT205"/>
  <c r="FQ205"/>
  <c r="FA201"/>
  <c r="FT201"/>
  <c r="FQ201"/>
  <c r="FA197"/>
  <c r="FT197"/>
  <c r="FQ197"/>
  <c r="FA193"/>
  <c r="FT193"/>
  <c r="FQ193"/>
  <c r="FA189"/>
  <c r="FT189"/>
  <c r="FQ189"/>
  <c r="FA185"/>
  <c r="FT185"/>
  <c r="FQ185"/>
  <c r="FA181"/>
  <c r="FT181"/>
  <c r="FQ181"/>
  <c r="FA177"/>
  <c r="FT177"/>
  <c r="FQ177"/>
  <c r="FA173"/>
  <c r="FT173"/>
  <c r="FQ173"/>
  <c r="FA169"/>
  <c r="FT169"/>
  <c r="FQ169"/>
  <c r="FA165"/>
  <c r="FT165"/>
  <c r="FQ165"/>
  <c r="FA161"/>
  <c r="FT161"/>
  <c r="FQ161"/>
  <c r="FA157"/>
  <c r="FT157"/>
  <c r="FQ157"/>
  <c r="FA153"/>
  <c r="FT153"/>
  <c r="FQ153"/>
  <c r="FA149"/>
  <c r="FT149"/>
  <c r="FQ149"/>
  <c r="FA145"/>
  <c r="FT145"/>
  <c r="FQ145"/>
  <c r="FA141"/>
  <c r="FT141"/>
  <c r="FQ141"/>
  <c r="FA137"/>
  <c r="FT137"/>
  <c r="FQ137"/>
  <c r="FA133"/>
  <c r="FT133"/>
  <c r="FQ133"/>
  <c r="FA129"/>
  <c r="FT129"/>
  <c r="FQ129"/>
  <c r="FA125"/>
  <c r="FT125"/>
  <c r="FQ125"/>
  <c r="FA121"/>
  <c r="FT121"/>
  <c r="FQ121"/>
  <c r="FA117"/>
  <c r="FT117"/>
  <c r="FQ117"/>
  <c r="FA113"/>
  <c r="FT113"/>
  <c r="FQ113"/>
  <c r="FA109"/>
  <c r="FT109"/>
  <c r="FQ109"/>
  <c r="FA105"/>
  <c r="FT105"/>
  <c r="FQ105"/>
  <c r="FA101"/>
  <c r="FT101"/>
  <c r="FQ101"/>
  <c r="FA97"/>
  <c r="FT97"/>
  <c r="FQ97"/>
  <c r="FA93"/>
  <c r="FT93"/>
  <c r="FQ93"/>
  <c r="FA89"/>
  <c r="FT89"/>
  <c r="FQ89"/>
  <c r="FA85"/>
  <c r="FT85"/>
  <c r="FQ85"/>
  <c r="FA81"/>
  <c r="FT81"/>
  <c r="FQ81"/>
  <c r="FA77"/>
  <c r="FT77"/>
  <c r="FQ77"/>
  <c r="FA73"/>
  <c r="FT73"/>
  <c r="FQ73"/>
  <c r="FA69"/>
  <c r="FT69"/>
  <c r="FQ69"/>
  <c r="FA65"/>
  <c r="FT65"/>
  <c r="FQ65"/>
  <c r="FA61"/>
  <c r="FT61"/>
  <c r="FQ61"/>
  <c r="FA57"/>
  <c r="FT57"/>
  <c r="FQ57"/>
  <c r="FA53"/>
  <c r="FT53"/>
  <c r="FQ53"/>
  <c r="FA49"/>
  <c r="FT49"/>
  <c r="FQ49"/>
  <c r="FA45"/>
  <c r="FT45"/>
  <c r="FQ45"/>
  <c r="FA41"/>
  <c r="FT41"/>
  <c r="FQ41"/>
  <c r="FA35"/>
  <c r="FT35"/>
  <c r="FQ35"/>
  <c r="FA31"/>
  <c r="FT31"/>
  <c r="FQ31"/>
  <c r="FA27"/>
  <c r="FT27"/>
  <c r="FQ27"/>
  <c r="FA23"/>
  <c r="FT23"/>
  <c r="FQ23"/>
  <c r="H263" i="19" s="1"/>
  <c r="EK206" i="9"/>
  <c r="EH206"/>
  <c r="EK202"/>
  <c r="EH202"/>
  <c r="EK198"/>
  <c r="EH198"/>
  <c r="EK194"/>
  <c r="EH194"/>
  <c r="EK190"/>
  <c r="EH190"/>
  <c r="EK186"/>
  <c r="EH186"/>
  <c r="EK182"/>
  <c r="EH182"/>
  <c r="EK178"/>
  <c r="EH178"/>
  <c r="EK174"/>
  <c r="EH174"/>
  <c r="EK170"/>
  <c r="EH170"/>
  <c r="EK166"/>
  <c r="EH166"/>
  <c r="EK162"/>
  <c r="EH162"/>
  <c r="EK158"/>
  <c r="EH158"/>
  <c r="EK154"/>
  <c r="EH154"/>
  <c r="EK150"/>
  <c r="EH150"/>
  <c r="EK146"/>
  <c r="EH146"/>
  <c r="EK142"/>
  <c r="EH142"/>
  <c r="EK138"/>
  <c r="EH138"/>
  <c r="EK134"/>
  <c r="EH134"/>
  <c r="EK130"/>
  <c r="EH130"/>
  <c r="EK126"/>
  <c r="EH126"/>
  <c r="EK122"/>
  <c r="EH122"/>
  <c r="EK118"/>
  <c r="EH118"/>
  <c r="EK114"/>
  <c r="EH114"/>
  <c r="EK110"/>
  <c r="EH110"/>
  <c r="EK106"/>
  <c r="EH106"/>
  <c r="EK102"/>
  <c r="EH102"/>
  <c r="EK98"/>
  <c r="EH98"/>
  <c r="EK94"/>
  <c r="EH94"/>
  <c r="EK90"/>
  <c r="EH90"/>
  <c r="EK86"/>
  <c r="EH86"/>
  <c r="EK82"/>
  <c r="EH82"/>
  <c r="EK78"/>
  <c r="EH78"/>
  <c r="EK74"/>
  <c r="EH74"/>
  <c r="EK70"/>
  <c r="EH70"/>
  <c r="EK66"/>
  <c r="EH66"/>
  <c r="EK62"/>
  <c r="EH62"/>
  <c r="EK58"/>
  <c r="EH58"/>
  <c r="EK54"/>
  <c r="EH54"/>
  <c r="EK50"/>
  <c r="EH50"/>
  <c r="EK46"/>
  <c r="EH46"/>
  <c r="EK42"/>
  <c r="EH42"/>
  <c r="EK38"/>
  <c r="EH38"/>
  <c r="EK34"/>
  <c r="EH34"/>
  <c r="EK30"/>
  <c r="EH30"/>
  <c r="EK26"/>
  <c r="EH26"/>
  <c r="EK22"/>
  <c r="EH22"/>
  <c r="DI16"/>
  <c r="DI15"/>
  <c r="EH203"/>
  <c r="EK203"/>
  <c r="EH199"/>
  <c r="EK199"/>
  <c r="EH195"/>
  <c r="EK195"/>
  <c r="EH191"/>
  <c r="EK191"/>
  <c r="EH187"/>
  <c r="EK187"/>
  <c r="EH183"/>
  <c r="EK183"/>
  <c r="EH179"/>
  <c r="EK179"/>
  <c r="EH175"/>
  <c r="EK175"/>
  <c r="EH171"/>
  <c r="EK171"/>
  <c r="EH167"/>
  <c r="EK167"/>
  <c r="EH163"/>
  <c r="EK163"/>
  <c r="EH159"/>
  <c r="EK159"/>
  <c r="EH155"/>
  <c r="EK155"/>
  <c r="EH151"/>
  <c r="EK151"/>
  <c r="EH147"/>
  <c r="EK147"/>
  <c r="EH143"/>
  <c r="EK143"/>
  <c r="EH139"/>
  <c r="EK139"/>
  <c r="EH135"/>
  <c r="EK135"/>
  <c r="EH131"/>
  <c r="EK131"/>
  <c r="EH127"/>
  <c r="EK127"/>
  <c r="EH123"/>
  <c r="EK123"/>
  <c r="EH119"/>
  <c r="EK119"/>
  <c r="EH115"/>
  <c r="EK115"/>
  <c r="EH111"/>
  <c r="EK111"/>
  <c r="EH107"/>
  <c r="EK107"/>
  <c r="EH103"/>
  <c r="EK103"/>
  <c r="EH99"/>
  <c r="EK99"/>
  <c r="EH95"/>
  <c r="EK95"/>
  <c r="EH91"/>
  <c r="EK91"/>
  <c r="EH87"/>
  <c r="EK87"/>
  <c r="EH83"/>
  <c r="EK83"/>
  <c r="EH79"/>
  <c r="EK79"/>
  <c r="EH75"/>
  <c r="EK75"/>
  <c r="EH71"/>
  <c r="EK71"/>
  <c r="EH67"/>
  <c r="EK67"/>
  <c r="EH63"/>
  <c r="EK63"/>
  <c r="EH59"/>
  <c r="EK59"/>
  <c r="EH55"/>
  <c r="EK55"/>
  <c r="EH51"/>
  <c r="EK51"/>
  <c r="EH47"/>
  <c r="EK47"/>
  <c r="EH43"/>
  <c r="EK43"/>
  <c r="EH39"/>
  <c r="EK39"/>
  <c r="EK37"/>
  <c r="EH37"/>
  <c r="EK33"/>
  <c r="EH33"/>
  <c r="EK29"/>
  <c r="EH29"/>
  <c r="EK25"/>
  <c r="EH25"/>
  <c r="EK204"/>
  <c r="EH204"/>
  <c r="EK200"/>
  <c r="EH200"/>
  <c r="EK196"/>
  <c r="EH196"/>
  <c r="EK192"/>
  <c r="EH192"/>
  <c r="EK188"/>
  <c r="EH188"/>
  <c r="EK184"/>
  <c r="EH184"/>
  <c r="EK180"/>
  <c r="EH180"/>
  <c r="EK176"/>
  <c r="EH176"/>
  <c r="EK172"/>
  <c r="EH172"/>
  <c r="EK168"/>
  <c r="EH168"/>
  <c r="EK164"/>
  <c r="EH164"/>
  <c r="EK160"/>
  <c r="EH160"/>
  <c r="EK156"/>
  <c r="EH156"/>
  <c r="EK152"/>
  <c r="EH152"/>
  <c r="EK148"/>
  <c r="EH148"/>
  <c r="EK144"/>
  <c r="EH144"/>
  <c r="EK140"/>
  <c r="EH140"/>
  <c r="EK136"/>
  <c r="EH136"/>
  <c r="EK132"/>
  <c r="EH132"/>
  <c r="EK128"/>
  <c r="EH128"/>
  <c r="EK124"/>
  <c r="EH124"/>
  <c r="EK120"/>
  <c r="EH120"/>
  <c r="EK116"/>
  <c r="EH116"/>
  <c r="EK112"/>
  <c r="EH112"/>
  <c r="EK108"/>
  <c r="EH108"/>
  <c r="EK104"/>
  <c r="EH104"/>
  <c r="EK100"/>
  <c r="EH100"/>
  <c r="EK96"/>
  <c r="EH96"/>
  <c r="EK92"/>
  <c r="EH92"/>
  <c r="EK88"/>
  <c r="EH88"/>
  <c r="EK84"/>
  <c r="EH84"/>
  <c r="EK80"/>
  <c r="EH80"/>
  <c r="EK76"/>
  <c r="EH76"/>
  <c r="EK72"/>
  <c r="EH72"/>
  <c r="EK68"/>
  <c r="EH68"/>
  <c r="EK64"/>
  <c r="EH64"/>
  <c r="EK60"/>
  <c r="EH60"/>
  <c r="EK56"/>
  <c r="EH56"/>
  <c r="EK52"/>
  <c r="EH52"/>
  <c r="EK48"/>
  <c r="EH48"/>
  <c r="EK44"/>
  <c r="EH44"/>
  <c r="EK40"/>
  <c r="EH40"/>
  <c r="EK36"/>
  <c r="EH36"/>
  <c r="EK32"/>
  <c r="EH32"/>
  <c r="EK28"/>
  <c r="EH28"/>
  <c r="EK24"/>
  <c r="EH24"/>
  <c r="EK205"/>
  <c r="EH205"/>
  <c r="EK201"/>
  <c r="EH201"/>
  <c r="EK197"/>
  <c r="EH197"/>
  <c r="EK193"/>
  <c r="EH193"/>
  <c r="EK189"/>
  <c r="EH189"/>
  <c r="EK185"/>
  <c r="EH185"/>
  <c r="EK181"/>
  <c r="EH181"/>
  <c r="EK177"/>
  <c r="EH177"/>
  <c r="EK173"/>
  <c r="EH173"/>
  <c r="EK169"/>
  <c r="EH169"/>
  <c r="EK165"/>
  <c r="EH165"/>
  <c r="EK161"/>
  <c r="EH161"/>
  <c r="EK157"/>
  <c r="EH157"/>
  <c r="EK153"/>
  <c r="EH153"/>
  <c r="EK149"/>
  <c r="EH149"/>
  <c r="EK145"/>
  <c r="EH145"/>
  <c r="EK141"/>
  <c r="EH141"/>
  <c r="EK137"/>
  <c r="EH137"/>
  <c r="EK133"/>
  <c r="EH133"/>
  <c r="EK129"/>
  <c r="EH129"/>
  <c r="EK125"/>
  <c r="EH125"/>
  <c r="EK121"/>
  <c r="EH121"/>
  <c r="EK117"/>
  <c r="EH117"/>
  <c r="EK113"/>
  <c r="EH113"/>
  <c r="EK109"/>
  <c r="EH109"/>
  <c r="EK105"/>
  <c r="EH105"/>
  <c r="EK101"/>
  <c r="EH101"/>
  <c r="EK97"/>
  <c r="EH97"/>
  <c r="EK93"/>
  <c r="EH93"/>
  <c r="EK89"/>
  <c r="EH89"/>
  <c r="EK85"/>
  <c r="EH85"/>
  <c r="EK81"/>
  <c r="EH81"/>
  <c r="EK77"/>
  <c r="EH77"/>
  <c r="EK73"/>
  <c r="EH73"/>
  <c r="EK69"/>
  <c r="EH69"/>
  <c r="EK65"/>
  <c r="EH65"/>
  <c r="EK61"/>
  <c r="EH61"/>
  <c r="EK57"/>
  <c r="EH57"/>
  <c r="EK53"/>
  <c r="EH53"/>
  <c r="EK49"/>
  <c r="EH49"/>
  <c r="EK45"/>
  <c r="EH45"/>
  <c r="EK41"/>
  <c r="EH41"/>
  <c r="EH35"/>
  <c r="EK35"/>
  <c r="EH31"/>
  <c r="EK31"/>
  <c r="EH27"/>
  <c r="EK27"/>
  <c r="EH23"/>
  <c r="H262" i="19" s="1"/>
  <c r="EK23" i="9"/>
  <c r="DY206"/>
  <c r="DK206"/>
  <c r="DI206"/>
  <c r="DY202"/>
  <c r="DK202"/>
  <c r="DI202"/>
  <c r="DY198"/>
  <c r="DK198"/>
  <c r="DI198"/>
  <c r="DY194"/>
  <c r="DK194"/>
  <c r="DI194"/>
  <c r="DY190"/>
  <c r="DK190"/>
  <c r="DI190"/>
  <c r="DY186"/>
  <c r="DK186"/>
  <c r="DI186"/>
  <c r="DY182"/>
  <c r="DK182"/>
  <c r="DI182"/>
  <c r="DY178"/>
  <c r="DK178"/>
  <c r="DI178"/>
  <c r="DY174"/>
  <c r="DK174"/>
  <c r="DI174"/>
  <c r="DY170"/>
  <c r="DK170"/>
  <c r="DI170"/>
  <c r="DY166"/>
  <c r="DK166"/>
  <c r="DI166"/>
  <c r="DY162"/>
  <c r="DK162"/>
  <c r="DI162"/>
  <c r="DY158"/>
  <c r="DK158"/>
  <c r="DI158"/>
  <c r="DY154"/>
  <c r="DK154"/>
  <c r="DI154"/>
  <c r="DY150"/>
  <c r="DK150"/>
  <c r="DI150"/>
  <c r="DY146"/>
  <c r="DK146"/>
  <c r="DI146"/>
  <c r="DY142"/>
  <c r="DK142"/>
  <c r="DI142"/>
  <c r="DY138"/>
  <c r="DK138"/>
  <c r="DI138"/>
  <c r="DY134"/>
  <c r="DK134"/>
  <c r="DI134"/>
  <c r="DY130"/>
  <c r="DK130"/>
  <c r="DI130"/>
  <c r="DY126"/>
  <c r="DK126"/>
  <c r="DI126"/>
  <c r="DY122"/>
  <c r="DK122"/>
  <c r="DI122"/>
  <c r="DY118"/>
  <c r="DK118"/>
  <c r="DI118"/>
  <c r="DY114"/>
  <c r="DK114"/>
  <c r="DI114"/>
  <c r="DY110"/>
  <c r="DK110"/>
  <c r="DI110"/>
  <c r="DY106"/>
  <c r="DK106"/>
  <c r="DI106"/>
  <c r="DY102"/>
  <c r="DK102"/>
  <c r="DI102"/>
  <c r="DY98"/>
  <c r="DI98"/>
  <c r="DK98"/>
  <c r="DY94"/>
  <c r="DK94"/>
  <c r="DI94"/>
  <c r="DY90"/>
  <c r="DK90"/>
  <c r="DI90"/>
  <c r="DY86"/>
  <c r="DK86"/>
  <c r="DI86"/>
  <c r="DY82"/>
  <c r="DK82"/>
  <c r="DI82"/>
  <c r="DY78"/>
  <c r="DK78"/>
  <c r="DI78"/>
  <c r="DY74"/>
  <c r="DK74"/>
  <c r="DI74"/>
  <c r="DY70"/>
  <c r="DK70"/>
  <c r="DI70"/>
  <c r="DY66"/>
  <c r="DK66"/>
  <c r="DI66"/>
  <c r="DY62"/>
  <c r="DK62"/>
  <c r="DI62"/>
  <c r="DY58"/>
  <c r="DK58"/>
  <c r="DI58"/>
  <c r="DY54"/>
  <c r="DK54"/>
  <c r="DI54"/>
  <c r="DY50"/>
  <c r="DK50"/>
  <c r="DI50"/>
  <c r="DY46"/>
  <c r="DK46"/>
  <c r="DI46"/>
  <c r="DY42"/>
  <c r="DK42"/>
  <c r="DI42"/>
  <c r="DY38"/>
  <c r="DK38"/>
  <c r="DI38"/>
  <c r="CP34"/>
  <c r="DI34"/>
  <c r="CP30"/>
  <c r="DI30"/>
  <c r="CP26"/>
  <c r="DI26"/>
  <c r="CP22"/>
  <c r="DK22"/>
  <c r="DI22"/>
  <c r="CP18"/>
  <c r="DI18"/>
  <c r="CP17"/>
  <c r="DI17"/>
  <c r="CP14"/>
  <c r="DI14"/>
  <c r="CP13"/>
  <c r="DI13"/>
  <c r="CP9"/>
  <c r="DI9"/>
  <c r="DY203"/>
  <c r="DI203"/>
  <c r="DK203"/>
  <c r="DY199"/>
  <c r="DI199"/>
  <c r="DK199"/>
  <c r="DY195"/>
  <c r="DI195"/>
  <c r="DK195"/>
  <c r="DY191"/>
  <c r="DI191"/>
  <c r="DK191"/>
  <c r="DY187"/>
  <c r="DI187"/>
  <c r="DK187"/>
  <c r="DY183"/>
  <c r="DI183"/>
  <c r="DK183"/>
  <c r="DY179"/>
  <c r="DI179"/>
  <c r="DK179"/>
  <c r="DY175"/>
  <c r="DI175"/>
  <c r="DK175"/>
  <c r="DY171"/>
  <c r="DI171"/>
  <c r="DK171"/>
  <c r="DY167"/>
  <c r="DI167"/>
  <c r="DK167"/>
  <c r="DY163"/>
  <c r="DI163"/>
  <c r="DK163"/>
  <c r="DY159"/>
  <c r="DI159"/>
  <c r="DK159"/>
  <c r="DY155"/>
  <c r="DI155"/>
  <c r="DK155"/>
  <c r="DY151"/>
  <c r="DI151"/>
  <c r="DK151"/>
  <c r="DY147"/>
  <c r="DI147"/>
  <c r="DK147"/>
  <c r="DY143"/>
  <c r="DI143"/>
  <c r="DK143"/>
  <c r="DY139"/>
  <c r="DI139"/>
  <c r="DK139"/>
  <c r="DY135"/>
  <c r="DI135"/>
  <c r="DK135"/>
  <c r="DY131"/>
  <c r="DI131"/>
  <c r="DK131"/>
  <c r="DY127"/>
  <c r="DI127"/>
  <c r="DK127"/>
  <c r="DY123"/>
  <c r="DI123"/>
  <c r="DK123"/>
  <c r="DY119"/>
  <c r="DI119"/>
  <c r="DK119"/>
  <c r="DY115"/>
  <c r="DI115"/>
  <c r="DK115"/>
  <c r="DY111"/>
  <c r="DI111"/>
  <c r="DK111"/>
  <c r="DY107"/>
  <c r="DI107"/>
  <c r="DK107"/>
  <c r="DY103"/>
  <c r="DI103"/>
  <c r="DK103"/>
  <c r="DY99"/>
  <c r="DI99"/>
  <c r="DK99"/>
  <c r="DY95"/>
  <c r="DK95"/>
  <c r="DI95"/>
  <c r="DY91"/>
  <c r="DK91"/>
  <c r="DI91"/>
  <c r="DY87"/>
  <c r="DK87"/>
  <c r="DI87"/>
  <c r="DY83"/>
  <c r="DK83"/>
  <c r="DI83"/>
  <c r="DY79"/>
  <c r="DK79"/>
  <c r="DI79"/>
  <c r="DY75"/>
  <c r="DK75"/>
  <c r="DI75"/>
  <c r="DY71"/>
  <c r="DK71"/>
  <c r="DI71"/>
  <c r="DY67"/>
  <c r="DK67"/>
  <c r="DI67"/>
  <c r="DY63"/>
  <c r="DK63"/>
  <c r="DI63"/>
  <c r="DY59"/>
  <c r="DK59"/>
  <c r="DI59"/>
  <c r="DY55"/>
  <c r="DK55"/>
  <c r="DI55"/>
  <c r="DY51"/>
  <c r="DK51"/>
  <c r="DI51"/>
  <c r="DY47"/>
  <c r="DK47"/>
  <c r="DI47"/>
  <c r="DY43"/>
  <c r="DK43"/>
  <c r="DI43"/>
  <c r="DY39"/>
  <c r="DK39"/>
  <c r="DI39"/>
  <c r="CP37"/>
  <c r="DI37"/>
  <c r="CP33"/>
  <c r="DI33"/>
  <c r="CP29"/>
  <c r="DI29"/>
  <c r="CP25"/>
  <c r="DI25"/>
  <c r="CP21"/>
  <c r="DK21"/>
  <c r="DI21"/>
  <c r="DK10"/>
  <c r="DI10"/>
  <c r="DI7"/>
  <c r="DY204"/>
  <c r="DK204"/>
  <c r="DI204"/>
  <c r="DY200"/>
  <c r="DK200"/>
  <c r="DI200"/>
  <c r="DY196"/>
  <c r="DK196"/>
  <c r="DI196"/>
  <c r="DY192"/>
  <c r="DK192"/>
  <c r="DI192"/>
  <c r="DY188"/>
  <c r="DK188"/>
  <c r="DI188"/>
  <c r="DY184"/>
  <c r="DK184"/>
  <c r="DI184"/>
  <c r="DY180"/>
  <c r="DK180"/>
  <c r="DI180"/>
  <c r="DY176"/>
  <c r="DK176"/>
  <c r="DI176"/>
  <c r="DY172"/>
  <c r="DK172"/>
  <c r="DI172"/>
  <c r="DY168"/>
  <c r="DK168"/>
  <c r="DI168"/>
  <c r="DY164"/>
  <c r="DK164"/>
  <c r="DI164"/>
  <c r="DY160"/>
  <c r="DK160"/>
  <c r="DI160"/>
  <c r="DY156"/>
  <c r="DK156"/>
  <c r="DI156"/>
  <c r="DY152"/>
  <c r="DK152"/>
  <c r="DI152"/>
  <c r="DY148"/>
  <c r="DK148"/>
  <c r="DI148"/>
  <c r="DY144"/>
  <c r="DK144"/>
  <c r="DI144"/>
  <c r="DY140"/>
  <c r="DK140"/>
  <c r="DI140"/>
  <c r="DY136"/>
  <c r="DK136"/>
  <c r="DI136"/>
  <c r="DY132"/>
  <c r="DK132"/>
  <c r="DI132"/>
  <c r="DY128"/>
  <c r="DK128"/>
  <c r="DI128"/>
  <c r="DY124"/>
  <c r="DK124"/>
  <c r="DI124"/>
  <c r="DY120"/>
  <c r="DK120"/>
  <c r="DI120"/>
  <c r="DY116"/>
  <c r="DK116"/>
  <c r="DI116"/>
  <c r="DY112"/>
  <c r="DK112"/>
  <c r="DI112"/>
  <c r="DY108"/>
  <c r="DK108"/>
  <c r="DI108"/>
  <c r="DY104"/>
  <c r="DK104"/>
  <c r="DI104"/>
  <c r="DY100"/>
  <c r="DK100"/>
  <c r="DI100"/>
  <c r="DY96"/>
  <c r="DK96"/>
  <c r="DI96"/>
  <c r="DY92"/>
  <c r="DK92"/>
  <c r="DI92"/>
  <c r="DY88"/>
  <c r="DK88"/>
  <c r="DI88"/>
  <c r="DY84"/>
  <c r="DK84"/>
  <c r="DI84"/>
  <c r="DY80"/>
  <c r="DK80"/>
  <c r="DI80"/>
  <c r="DY76"/>
  <c r="DK76"/>
  <c r="DI76"/>
  <c r="DY72"/>
  <c r="DK72"/>
  <c r="DI72"/>
  <c r="DY68"/>
  <c r="DK68"/>
  <c r="DI68"/>
  <c r="DY64"/>
  <c r="DK64"/>
  <c r="DI64"/>
  <c r="DY60"/>
  <c r="DK60"/>
  <c r="DI60"/>
  <c r="DY56"/>
  <c r="DK56"/>
  <c r="DI56"/>
  <c r="DY52"/>
  <c r="DK52"/>
  <c r="DI52"/>
  <c r="DY48"/>
  <c r="DK48"/>
  <c r="DI48"/>
  <c r="DY44"/>
  <c r="DK44"/>
  <c r="DI44"/>
  <c r="DY40"/>
  <c r="DK40"/>
  <c r="DI40"/>
  <c r="DI36"/>
  <c r="DI32"/>
  <c r="DI28"/>
  <c r="DI24"/>
  <c r="DK20"/>
  <c r="DI20"/>
  <c r="DK11"/>
  <c r="DI11"/>
  <c r="DY205"/>
  <c r="DI205"/>
  <c r="DK205"/>
  <c r="DY201"/>
  <c r="DI201"/>
  <c r="DK201"/>
  <c r="DY197"/>
  <c r="DI197"/>
  <c r="DK197"/>
  <c r="DY193"/>
  <c r="DI193"/>
  <c r="DK193"/>
  <c r="DY189"/>
  <c r="DI189"/>
  <c r="DK189"/>
  <c r="DY185"/>
  <c r="DI185"/>
  <c r="DK185"/>
  <c r="DY181"/>
  <c r="DI181"/>
  <c r="DK181"/>
  <c r="DY177"/>
  <c r="DI177"/>
  <c r="DK177"/>
  <c r="DY173"/>
  <c r="DI173"/>
  <c r="DK173"/>
  <c r="DY169"/>
  <c r="DI169"/>
  <c r="DK169"/>
  <c r="DY165"/>
  <c r="DI165"/>
  <c r="DK165"/>
  <c r="DY161"/>
  <c r="DI161"/>
  <c r="DK161"/>
  <c r="DY157"/>
  <c r="DI157"/>
  <c r="DK157"/>
  <c r="DY153"/>
  <c r="DI153"/>
  <c r="DK153"/>
  <c r="DY149"/>
  <c r="DI149"/>
  <c r="DK149"/>
  <c r="DY145"/>
  <c r="DI145"/>
  <c r="DK145"/>
  <c r="DY141"/>
  <c r="DI141"/>
  <c r="DK141"/>
  <c r="DY137"/>
  <c r="DI137"/>
  <c r="DK137"/>
  <c r="DY133"/>
  <c r="DI133"/>
  <c r="DK133"/>
  <c r="DY129"/>
  <c r="DI129"/>
  <c r="DK129"/>
  <c r="DY125"/>
  <c r="DI125"/>
  <c r="DK125"/>
  <c r="DY121"/>
  <c r="DI121"/>
  <c r="DK121"/>
  <c r="DY117"/>
  <c r="DI117"/>
  <c r="DK117"/>
  <c r="DY113"/>
  <c r="DI113"/>
  <c r="DK113"/>
  <c r="DY109"/>
  <c r="DI109"/>
  <c r="DK109"/>
  <c r="DY105"/>
  <c r="DI105"/>
  <c r="DK105"/>
  <c r="DY101"/>
  <c r="DI101"/>
  <c r="DK101"/>
  <c r="DY97"/>
  <c r="DI97"/>
  <c r="DK97"/>
  <c r="DY93"/>
  <c r="DK93"/>
  <c r="DI93"/>
  <c r="DY89"/>
  <c r="DK89"/>
  <c r="DI89"/>
  <c r="DY85"/>
  <c r="DK85"/>
  <c r="DI85"/>
  <c r="DY81"/>
  <c r="DK81"/>
  <c r="DI81"/>
  <c r="DY77"/>
  <c r="DK77"/>
  <c r="DI77"/>
  <c r="DY73"/>
  <c r="DK73"/>
  <c r="DI73"/>
  <c r="DY69"/>
  <c r="DK69"/>
  <c r="DI69"/>
  <c r="DY65"/>
  <c r="DK65"/>
  <c r="DI65"/>
  <c r="DY61"/>
  <c r="DK61"/>
  <c r="DI61"/>
  <c r="DY57"/>
  <c r="DK57"/>
  <c r="DI57"/>
  <c r="DY53"/>
  <c r="DK53"/>
  <c r="DI53"/>
  <c r="DY49"/>
  <c r="DK49"/>
  <c r="DI49"/>
  <c r="DY45"/>
  <c r="DK45"/>
  <c r="DI45"/>
  <c r="DY41"/>
  <c r="DK41"/>
  <c r="DI41"/>
  <c r="DI35"/>
  <c r="DI31"/>
  <c r="DI27"/>
  <c r="DK23"/>
  <c r="DI23"/>
  <c r="DI19"/>
  <c r="DI12"/>
  <c r="DI8"/>
  <c r="DJ8" s="1"/>
  <c r="CR190"/>
  <c r="DQ190" s="1"/>
  <c r="CP190"/>
  <c r="CR186"/>
  <c r="DQ186" s="1"/>
  <c r="CP186"/>
  <c r="CR182"/>
  <c r="DQ182" s="1"/>
  <c r="CP182"/>
  <c r="CR178"/>
  <c r="DQ178" s="1"/>
  <c r="CP178"/>
  <c r="CR174"/>
  <c r="DQ174" s="1"/>
  <c r="CP174"/>
  <c r="CR170"/>
  <c r="DQ170" s="1"/>
  <c r="CP170"/>
  <c r="CR166"/>
  <c r="DQ166" s="1"/>
  <c r="CP166"/>
  <c r="CR162"/>
  <c r="DQ162" s="1"/>
  <c r="CP162"/>
  <c r="CR158"/>
  <c r="DQ158" s="1"/>
  <c r="CP158"/>
  <c r="CR154"/>
  <c r="DQ154" s="1"/>
  <c r="CP154"/>
  <c r="CR150"/>
  <c r="DQ150" s="1"/>
  <c r="CP150"/>
  <c r="CR146"/>
  <c r="DQ146" s="1"/>
  <c r="CP146"/>
  <c r="CR142"/>
  <c r="DQ142" s="1"/>
  <c r="CP142"/>
  <c r="CR138"/>
  <c r="DQ138" s="1"/>
  <c r="CP138"/>
  <c r="CR134"/>
  <c r="DQ134" s="1"/>
  <c r="CP134"/>
  <c r="CR130"/>
  <c r="DQ130" s="1"/>
  <c r="CP130"/>
  <c r="CR126"/>
  <c r="DQ126" s="1"/>
  <c r="CP126"/>
  <c r="CR122"/>
  <c r="DQ122" s="1"/>
  <c r="CP122"/>
  <c r="CR118"/>
  <c r="DQ118" s="1"/>
  <c r="CP118"/>
  <c r="CR114"/>
  <c r="DQ114" s="1"/>
  <c r="CP114"/>
  <c r="CR110"/>
  <c r="DQ110" s="1"/>
  <c r="CP110"/>
  <c r="CR106"/>
  <c r="DQ106" s="1"/>
  <c r="CP106"/>
  <c r="CR102"/>
  <c r="DQ102" s="1"/>
  <c r="CP102"/>
  <c r="CR98"/>
  <c r="DQ98" s="1"/>
  <c r="CP98"/>
  <c r="CR94"/>
  <c r="DQ94" s="1"/>
  <c r="CP94"/>
  <c r="CR90"/>
  <c r="DQ90" s="1"/>
  <c r="CP90"/>
  <c r="CR86"/>
  <c r="DQ86" s="1"/>
  <c r="CP86"/>
  <c r="CR82"/>
  <c r="DQ82" s="1"/>
  <c r="CP82"/>
  <c r="CR78"/>
  <c r="DQ78" s="1"/>
  <c r="CP78"/>
  <c r="CR74"/>
  <c r="DQ74" s="1"/>
  <c r="CP74"/>
  <c r="CR70"/>
  <c r="DQ70" s="1"/>
  <c r="CP70"/>
  <c r="CR66"/>
  <c r="DQ66" s="1"/>
  <c r="CP66"/>
  <c r="CR62"/>
  <c r="DQ62" s="1"/>
  <c r="CP62"/>
  <c r="CR58"/>
  <c r="DQ58" s="1"/>
  <c r="CP58"/>
  <c r="CR54"/>
  <c r="DQ54" s="1"/>
  <c r="CP54"/>
  <c r="CR50"/>
  <c r="DQ50" s="1"/>
  <c r="CP50"/>
  <c r="CR46"/>
  <c r="DQ46" s="1"/>
  <c r="CP46"/>
  <c r="CR42"/>
  <c r="DQ42" s="1"/>
  <c r="CP42"/>
  <c r="CR38"/>
  <c r="DQ38" s="1"/>
  <c r="CP38"/>
  <c r="CA16"/>
  <c r="CP16"/>
  <c r="CP15"/>
  <c r="CP202"/>
  <c r="CR202"/>
  <c r="DQ202" s="1"/>
  <c r="CP198"/>
  <c r="CR198"/>
  <c r="DQ198" s="1"/>
  <c r="CP183"/>
  <c r="CR183"/>
  <c r="DQ183" s="1"/>
  <c r="CP179"/>
  <c r="CR179"/>
  <c r="DQ179" s="1"/>
  <c r="CP175"/>
  <c r="CR175"/>
  <c r="DQ175" s="1"/>
  <c r="CP171"/>
  <c r="CR171"/>
  <c r="DQ171" s="1"/>
  <c r="CP167"/>
  <c r="CR167"/>
  <c r="DQ167" s="1"/>
  <c r="CP163"/>
  <c r="CR163"/>
  <c r="DQ163" s="1"/>
  <c r="CP159"/>
  <c r="CR159"/>
  <c r="DQ159" s="1"/>
  <c r="CP155"/>
  <c r="CR155"/>
  <c r="DQ155" s="1"/>
  <c r="CP151"/>
  <c r="CR151"/>
  <c r="DQ151" s="1"/>
  <c r="CP147"/>
  <c r="CR147"/>
  <c r="DQ147" s="1"/>
  <c r="CP143"/>
  <c r="CR143"/>
  <c r="DQ143" s="1"/>
  <c r="CP139"/>
  <c r="CR139"/>
  <c r="DQ139" s="1"/>
  <c r="CP135"/>
  <c r="CR135"/>
  <c r="DQ135" s="1"/>
  <c r="CP131"/>
  <c r="CR131"/>
  <c r="DQ131" s="1"/>
  <c r="CP127"/>
  <c r="CR127"/>
  <c r="DQ127" s="1"/>
  <c r="CP123"/>
  <c r="CR123"/>
  <c r="DQ123" s="1"/>
  <c r="CP119"/>
  <c r="CR119"/>
  <c r="DQ119" s="1"/>
  <c r="CP115"/>
  <c r="CR115"/>
  <c r="DQ115" s="1"/>
  <c r="CP111"/>
  <c r="CR111"/>
  <c r="DQ111" s="1"/>
  <c r="CP107"/>
  <c r="CR107"/>
  <c r="DQ107" s="1"/>
  <c r="CP103"/>
  <c r="CR103"/>
  <c r="DQ103" s="1"/>
  <c r="CP99"/>
  <c r="CR99"/>
  <c r="DQ99" s="1"/>
  <c r="CP95"/>
  <c r="CR95"/>
  <c r="DQ95" s="1"/>
  <c r="CP91"/>
  <c r="CR91"/>
  <c r="DQ91" s="1"/>
  <c r="CP87"/>
  <c r="CR87"/>
  <c r="DQ87" s="1"/>
  <c r="CP83"/>
  <c r="CR83"/>
  <c r="DQ83" s="1"/>
  <c r="CP79"/>
  <c r="CR79"/>
  <c r="DQ79" s="1"/>
  <c r="CP75"/>
  <c r="CR75"/>
  <c r="DQ75" s="1"/>
  <c r="CP71"/>
  <c r="CR71"/>
  <c r="DQ71" s="1"/>
  <c r="CP67"/>
  <c r="CR67"/>
  <c r="DQ67" s="1"/>
  <c r="CP63"/>
  <c r="CR63"/>
  <c r="DQ63" s="1"/>
  <c r="CP59"/>
  <c r="CR59"/>
  <c r="DQ59" s="1"/>
  <c r="CP55"/>
  <c r="CR55"/>
  <c r="DQ55" s="1"/>
  <c r="CP51"/>
  <c r="CR51"/>
  <c r="DQ51" s="1"/>
  <c r="CP47"/>
  <c r="CR47"/>
  <c r="DQ47" s="1"/>
  <c r="CP43"/>
  <c r="CR43"/>
  <c r="DQ43" s="1"/>
  <c r="CP39"/>
  <c r="CR39"/>
  <c r="DQ39" s="1"/>
  <c r="CP10"/>
  <c r="CP206"/>
  <c r="CR206"/>
  <c r="DQ206" s="1"/>
  <c r="CR203"/>
  <c r="DQ203" s="1"/>
  <c r="CP203"/>
  <c r="CR195"/>
  <c r="DQ195" s="1"/>
  <c r="CP195"/>
  <c r="CP187"/>
  <c r="CR187"/>
  <c r="DQ187" s="1"/>
  <c r="CP7"/>
  <c r="CR7" s="1"/>
  <c r="CP204"/>
  <c r="CR204"/>
  <c r="DQ204" s="1"/>
  <c r="CP200"/>
  <c r="CR200"/>
  <c r="DQ200" s="1"/>
  <c r="CP196"/>
  <c r="CR196"/>
  <c r="DQ196" s="1"/>
  <c r="CP192"/>
  <c r="CR192"/>
  <c r="DQ192" s="1"/>
  <c r="CR188"/>
  <c r="DQ188" s="1"/>
  <c r="CP188"/>
  <c r="CR184"/>
  <c r="DQ184" s="1"/>
  <c r="CP184"/>
  <c r="CR180"/>
  <c r="DQ180" s="1"/>
  <c r="CP180"/>
  <c r="CR176"/>
  <c r="DQ176" s="1"/>
  <c r="CP176"/>
  <c r="CR172"/>
  <c r="DQ172" s="1"/>
  <c r="CP172"/>
  <c r="CR168"/>
  <c r="DQ168" s="1"/>
  <c r="CP168"/>
  <c r="CR164"/>
  <c r="DQ164" s="1"/>
  <c r="CP164"/>
  <c r="CR160"/>
  <c r="DQ160" s="1"/>
  <c r="CP160"/>
  <c r="CR156"/>
  <c r="DQ156" s="1"/>
  <c r="CP156"/>
  <c r="CR152"/>
  <c r="DQ152" s="1"/>
  <c r="CP152"/>
  <c r="CR148"/>
  <c r="DQ148" s="1"/>
  <c r="CP148"/>
  <c r="CR144"/>
  <c r="DQ144" s="1"/>
  <c r="CP144"/>
  <c r="CR140"/>
  <c r="DQ140" s="1"/>
  <c r="CP140"/>
  <c r="CR136"/>
  <c r="DQ136" s="1"/>
  <c r="CP136"/>
  <c r="CR132"/>
  <c r="DQ132" s="1"/>
  <c r="CP132"/>
  <c r="CR128"/>
  <c r="DQ128" s="1"/>
  <c r="CP128"/>
  <c r="CR124"/>
  <c r="DQ124" s="1"/>
  <c r="CP124"/>
  <c r="CR120"/>
  <c r="DQ120" s="1"/>
  <c r="CP120"/>
  <c r="CR116"/>
  <c r="DQ116" s="1"/>
  <c r="CP116"/>
  <c r="CR112"/>
  <c r="DQ112" s="1"/>
  <c r="CP112"/>
  <c r="CR108"/>
  <c r="DQ108" s="1"/>
  <c r="CP108"/>
  <c r="CR104"/>
  <c r="DQ104" s="1"/>
  <c r="CP104"/>
  <c r="CR100"/>
  <c r="DQ100" s="1"/>
  <c r="CP100"/>
  <c r="CR96"/>
  <c r="DQ96" s="1"/>
  <c r="CP96"/>
  <c r="CR92"/>
  <c r="DQ92" s="1"/>
  <c r="CP92"/>
  <c r="CR88"/>
  <c r="DQ88" s="1"/>
  <c r="CP88"/>
  <c r="CR84"/>
  <c r="DQ84" s="1"/>
  <c r="CP84"/>
  <c r="CR80"/>
  <c r="DQ80" s="1"/>
  <c r="CP80"/>
  <c r="CR76"/>
  <c r="DQ76" s="1"/>
  <c r="CP76"/>
  <c r="CR72"/>
  <c r="DQ72" s="1"/>
  <c r="CP72"/>
  <c r="CR68"/>
  <c r="DQ68" s="1"/>
  <c r="CP68"/>
  <c r="CR64"/>
  <c r="DQ64" s="1"/>
  <c r="CP64"/>
  <c r="CR60"/>
  <c r="DQ60" s="1"/>
  <c r="CP60"/>
  <c r="CR56"/>
  <c r="DQ56" s="1"/>
  <c r="CP56"/>
  <c r="CR52"/>
  <c r="DQ52" s="1"/>
  <c r="CP52"/>
  <c r="CR48"/>
  <c r="DQ48" s="1"/>
  <c r="CP48"/>
  <c r="CR44"/>
  <c r="DQ44" s="1"/>
  <c r="CP44"/>
  <c r="CR40"/>
  <c r="DQ40" s="1"/>
  <c r="CP40"/>
  <c r="CP36"/>
  <c r="CP32"/>
  <c r="CA28"/>
  <c r="CP28"/>
  <c r="CA24"/>
  <c r="CP24"/>
  <c r="CA20"/>
  <c r="CP20"/>
  <c r="CP11"/>
  <c r="CP194"/>
  <c r="CR194"/>
  <c r="DQ194" s="1"/>
  <c r="CR199"/>
  <c r="DQ199" s="1"/>
  <c r="CP199"/>
  <c r="CP191"/>
  <c r="CR191"/>
  <c r="DQ191" s="1"/>
  <c r="CR205"/>
  <c r="DQ205" s="1"/>
  <c r="CP205"/>
  <c r="CR201"/>
  <c r="DQ201" s="1"/>
  <c r="CP201"/>
  <c r="CR197"/>
  <c r="DQ197" s="1"/>
  <c r="CP197"/>
  <c r="CR193"/>
  <c r="DQ193" s="1"/>
  <c r="CP193"/>
  <c r="CP189"/>
  <c r="CR189"/>
  <c r="DQ189" s="1"/>
  <c r="CP185"/>
  <c r="CR185"/>
  <c r="DQ185" s="1"/>
  <c r="CP181"/>
  <c r="CR181"/>
  <c r="DQ181" s="1"/>
  <c r="CP177"/>
  <c r="CR177"/>
  <c r="DQ177" s="1"/>
  <c r="CP173"/>
  <c r="CR173"/>
  <c r="DQ173" s="1"/>
  <c r="CP169"/>
  <c r="CR169"/>
  <c r="DQ169" s="1"/>
  <c r="CP165"/>
  <c r="CR165"/>
  <c r="DQ165" s="1"/>
  <c r="CP161"/>
  <c r="CR161"/>
  <c r="DQ161" s="1"/>
  <c r="CP157"/>
  <c r="CR157"/>
  <c r="DQ157" s="1"/>
  <c r="CP153"/>
  <c r="CR153"/>
  <c r="DQ153" s="1"/>
  <c r="CP149"/>
  <c r="CR149"/>
  <c r="DQ149" s="1"/>
  <c r="CP145"/>
  <c r="CR145"/>
  <c r="DQ145" s="1"/>
  <c r="CP141"/>
  <c r="CR141"/>
  <c r="DQ141" s="1"/>
  <c r="CP137"/>
  <c r="CR137"/>
  <c r="DQ137" s="1"/>
  <c r="CP133"/>
  <c r="CR133"/>
  <c r="DQ133" s="1"/>
  <c r="CP129"/>
  <c r="CR129"/>
  <c r="DQ129" s="1"/>
  <c r="CP125"/>
  <c r="CR125"/>
  <c r="DQ125" s="1"/>
  <c r="CP121"/>
  <c r="CR121"/>
  <c r="DQ121" s="1"/>
  <c r="CP117"/>
  <c r="CR117"/>
  <c r="DQ117" s="1"/>
  <c r="CP113"/>
  <c r="CR113"/>
  <c r="DQ113" s="1"/>
  <c r="CP109"/>
  <c r="CR109"/>
  <c r="DQ109" s="1"/>
  <c r="CP105"/>
  <c r="CR105"/>
  <c r="DQ105" s="1"/>
  <c r="CP101"/>
  <c r="CR101"/>
  <c r="DQ101" s="1"/>
  <c r="CP97"/>
  <c r="CR97"/>
  <c r="DQ97" s="1"/>
  <c r="CP93"/>
  <c r="CR93"/>
  <c r="DQ93" s="1"/>
  <c r="CP89"/>
  <c r="CR89"/>
  <c r="DQ89" s="1"/>
  <c r="CP85"/>
  <c r="CR85"/>
  <c r="DQ85" s="1"/>
  <c r="CP81"/>
  <c r="CR81"/>
  <c r="DQ81" s="1"/>
  <c r="CP77"/>
  <c r="CR77"/>
  <c r="DQ77" s="1"/>
  <c r="CP73"/>
  <c r="CR73"/>
  <c r="DQ73" s="1"/>
  <c r="CP69"/>
  <c r="CR69"/>
  <c r="DQ69" s="1"/>
  <c r="CP65"/>
  <c r="CR65"/>
  <c r="DQ65" s="1"/>
  <c r="CP61"/>
  <c r="CR61"/>
  <c r="DQ61" s="1"/>
  <c r="CP57"/>
  <c r="CR57"/>
  <c r="DQ57" s="1"/>
  <c r="CP53"/>
  <c r="CR53"/>
  <c r="DQ53" s="1"/>
  <c r="CP49"/>
  <c r="CR49"/>
  <c r="DQ49" s="1"/>
  <c r="CP45"/>
  <c r="CR45"/>
  <c r="DQ45" s="1"/>
  <c r="CP41"/>
  <c r="CR41"/>
  <c r="DQ41" s="1"/>
  <c r="CP35"/>
  <c r="CP31"/>
  <c r="CP27"/>
  <c r="CP23"/>
  <c r="CP19"/>
  <c r="CA12"/>
  <c r="CP12"/>
  <c r="CA8"/>
  <c r="CP8"/>
  <c r="CC206"/>
  <c r="DP206" s="1"/>
  <c r="CA206"/>
  <c r="CC202"/>
  <c r="DP202" s="1"/>
  <c r="CA202"/>
  <c r="CC198"/>
  <c r="DP198" s="1"/>
  <c r="CA198"/>
  <c r="CC194"/>
  <c r="DP194" s="1"/>
  <c r="CA194"/>
  <c r="CC190"/>
  <c r="DP190" s="1"/>
  <c r="CA190"/>
  <c r="CC186"/>
  <c r="DP186" s="1"/>
  <c r="CA186"/>
  <c r="CC182"/>
  <c r="DP182" s="1"/>
  <c r="CA182"/>
  <c r="CC178"/>
  <c r="DP178" s="1"/>
  <c r="CA178"/>
  <c r="CC174"/>
  <c r="DP174" s="1"/>
  <c r="CA174"/>
  <c r="CC170"/>
  <c r="DP170" s="1"/>
  <c r="CA170"/>
  <c r="CC166"/>
  <c r="DP166" s="1"/>
  <c r="CA166"/>
  <c r="CC162"/>
  <c r="DP162" s="1"/>
  <c r="CA162"/>
  <c r="CC158"/>
  <c r="DP158" s="1"/>
  <c r="CA158"/>
  <c r="CC154"/>
  <c r="DP154" s="1"/>
  <c r="CA154"/>
  <c r="CC150"/>
  <c r="DP150" s="1"/>
  <c r="CA150"/>
  <c r="CC146"/>
  <c r="DP146" s="1"/>
  <c r="CA146"/>
  <c r="CC142"/>
  <c r="DP142" s="1"/>
  <c r="CA142"/>
  <c r="CC138"/>
  <c r="DP138" s="1"/>
  <c r="CA138"/>
  <c r="CC134"/>
  <c r="DP134" s="1"/>
  <c r="CA134"/>
  <c r="CC130"/>
  <c r="DP130" s="1"/>
  <c r="CA130"/>
  <c r="CC126"/>
  <c r="DP126" s="1"/>
  <c r="CA126"/>
  <c r="CC122"/>
  <c r="DP122" s="1"/>
  <c r="CA122"/>
  <c r="CC118"/>
  <c r="DP118" s="1"/>
  <c r="CA118"/>
  <c r="CC114"/>
  <c r="DP114" s="1"/>
  <c r="CA114"/>
  <c r="CC110"/>
  <c r="DP110" s="1"/>
  <c r="CA110"/>
  <c r="CC106"/>
  <c r="DP106" s="1"/>
  <c r="CA106"/>
  <c r="CC102"/>
  <c r="DP102" s="1"/>
  <c r="CA102"/>
  <c r="CC98"/>
  <c r="DP98" s="1"/>
  <c r="CA98"/>
  <c r="CC94"/>
  <c r="DP94" s="1"/>
  <c r="CA94"/>
  <c r="CC90"/>
  <c r="DP90" s="1"/>
  <c r="CA90"/>
  <c r="CC86"/>
  <c r="DP86" s="1"/>
  <c r="CA86"/>
  <c r="CC82"/>
  <c r="DP82" s="1"/>
  <c r="CA82"/>
  <c r="CC78"/>
  <c r="DP78" s="1"/>
  <c r="CA78"/>
  <c r="CC74"/>
  <c r="DP74" s="1"/>
  <c r="CA74"/>
  <c r="CC70"/>
  <c r="DP70" s="1"/>
  <c r="CA70"/>
  <c r="CC66"/>
  <c r="DP66" s="1"/>
  <c r="CA66"/>
  <c r="CC62"/>
  <c r="DP62" s="1"/>
  <c r="CA62"/>
  <c r="CC58"/>
  <c r="DP58" s="1"/>
  <c r="CA58"/>
  <c r="CC54"/>
  <c r="DP54" s="1"/>
  <c r="CA54"/>
  <c r="CC50"/>
  <c r="DP50" s="1"/>
  <c r="CA50"/>
  <c r="CC46"/>
  <c r="DP46" s="1"/>
  <c r="CA46"/>
  <c r="CC42"/>
  <c r="DP42" s="1"/>
  <c r="CA42"/>
  <c r="CC38"/>
  <c r="DP38" s="1"/>
  <c r="CA38"/>
  <c r="CA34"/>
  <c r="CA30"/>
  <c r="CA26"/>
  <c r="CA22"/>
  <c r="CA18"/>
  <c r="CA17"/>
  <c r="BM15"/>
  <c r="CA15"/>
  <c r="CA14"/>
  <c r="CA13"/>
  <c r="CA9"/>
  <c r="CC203"/>
  <c r="DP203" s="1"/>
  <c r="CA203"/>
  <c r="CC199"/>
  <c r="DP199" s="1"/>
  <c r="CA199"/>
  <c r="CC195"/>
  <c r="DP195" s="1"/>
  <c r="CA195"/>
  <c r="CC191"/>
  <c r="DP191" s="1"/>
  <c r="CA191"/>
  <c r="CC187"/>
  <c r="DP187" s="1"/>
  <c r="CA187"/>
  <c r="CC183"/>
  <c r="DP183" s="1"/>
  <c r="CA183"/>
  <c r="CC179"/>
  <c r="DP179" s="1"/>
  <c r="CA179"/>
  <c r="CC175"/>
  <c r="DP175" s="1"/>
  <c r="CA175"/>
  <c r="CC171"/>
  <c r="DP171" s="1"/>
  <c r="CA171"/>
  <c r="CC167"/>
  <c r="DP167" s="1"/>
  <c r="CA167"/>
  <c r="CC163"/>
  <c r="DP163" s="1"/>
  <c r="CA163"/>
  <c r="CC159"/>
  <c r="DP159" s="1"/>
  <c r="CA159"/>
  <c r="CC155"/>
  <c r="DP155" s="1"/>
  <c r="CA155"/>
  <c r="CC151"/>
  <c r="DP151" s="1"/>
  <c r="CA151"/>
  <c r="CC147"/>
  <c r="DP147" s="1"/>
  <c r="CA147"/>
  <c r="CC143"/>
  <c r="DP143" s="1"/>
  <c r="CA143"/>
  <c r="CC139"/>
  <c r="DP139" s="1"/>
  <c r="CA139"/>
  <c r="CC135"/>
  <c r="DP135" s="1"/>
  <c r="CA135"/>
  <c r="CC131"/>
  <c r="DP131" s="1"/>
  <c r="CA131"/>
  <c r="CC127"/>
  <c r="DP127" s="1"/>
  <c r="CA127"/>
  <c r="CC123"/>
  <c r="DP123" s="1"/>
  <c r="CA123"/>
  <c r="CC119"/>
  <c r="DP119" s="1"/>
  <c r="CA119"/>
  <c r="CC115"/>
  <c r="DP115" s="1"/>
  <c r="CA115"/>
  <c r="CC111"/>
  <c r="DP111" s="1"/>
  <c r="CA111"/>
  <c r="CC107"/>
  <c r="DP107" s="1"/>
  <c r="CA107"/>
  <c r="CC103"/>
  <c r="DP103" s="1"/>
  <c r="CA103"/>
  <c r="CC99"/>
  <c r="DP99" s="1"/>
  <c r="CA99"/>
  <c r="CC95"/>
  <c r="DP95" s="1"/>
  <c r="CA95"/>
  <c r="CC91"/>
  <c r="DP91" s="1"/>
  <c r="CA91"/>
  <c r="CC87"/>
  <c r="DP87" s="1"/>
  <c r="CA87"/>
  <c r="CC83"/>
  <c r="DP83" s="1"/>
  <c r="CA83"/>
  <c r="CC79"/>
  <c r="DP79" s="1"/>
  <c r="CA79"/>
  <c r="CC75"/>
  <c r="DP75" s="1"/>
  <c r="CA75"/>
  <c r="CC71"/>
  <c r="DP71" s="1"/>
  <c r="CA71"/>
  <c r="CC67"/>
  <c r="DP67" s="1"/>
  <c r="CA67"/>
  <c r="CC63"/>
  <c r="DP63" s="1"/>
  <c r="CA63"/>
  <c r="CC59"/>
  <c r="DP59" s="1"/>
  <c r="CA59"/>
  <c r="CC55"/>
  <c r="DP55" s="1"/>
  <c r="CA55"/>
  <c r="CC51"/>
  <c r="DP51" s="1"/>
  <c r="CA51"/>
  <c r="CC47"/>
  <c r="DP47" s="1"/>
  <c r="CA47"/>
  <c r="CC43"/>
  <c r="DP43" s="1"/>
  <c r="CA43"/>
  <c r="CC39"/>
  <c r="DP39" s="1"/>
  <c r="CA39"/>
  <c r="CA37"/>
  <c r="CA33"/>
  <c r="CA29"/>
  <c r="CA25"/>
  <c r="CA21"/>
  <c r="CA10"/>
  <c r="BM7"/>
  <c r="BO7" s="1"/>
  <c r="CA7"/>
  <c r="CC7" s="1"/>
  <c r="CC204"/>
  <c r="DP204" s="1"/>
  <c r="CA204"/>
  <c r="CC200"/>
  <c r="DP200" s="1"/>
  <c r="CA200"/>
  <c r="CC196"/>
  <c r="DP196" s="1"/>
  <c r="CA196"/>
  <c r="CC192"/>
  <c r="DP192" s="1"/>
  <c r="CA192"/>
  <c r="CC188"/>
  <c r="DP188" s="1"/>
  <c r="CA188"/>
  <c r="CC184"/>
  <c r="DP184" s="1"/>
  <c r="CA184"/>
  <c r="CC180"/>
  <c r="DP180" s="1"/>
  <c r="CA180"/>
  <c r="CC176"/>
  <c r="DP176" s="1"/>
  <c r="CA176"/>
  <c r="CC172"/>
  <c r="DP172" s="1"/>
  <c r="CA172"/>
  <c r="CC168"/>
  <c r="DP168" s="1"/>
  <c r="CA168"/>
  <c r="CC164"/>
  <c r="DP164" s="1"/>
  <c r="CA164"/>
  <c r="CC160"/>
  <c r="DP160" s="1"/>
  <c r="CA160"/>
  <c r="CC156"/>
  <c r="DP156" s="1"/>
  <c r="CA156"/>
  <c r="CC152"/>
  <c r="DP152" s="1"/>
  <c r="CA152"/>
  <c r="CC148"/>
  <c r="DP148" s="1"/>
  <c r="CA148"/>
  <c r="CC144"/>
  <c r="DP144" s="1"/>
  <c r="CA144"/>
  <c r="CC140"/>
  <c r="DP140" s="1"/>
  <c r="CA140"/>
  <c r="CC136"/>
  <c r="DP136" s="1"/>
  <c r="CA136"/>
  <c r="CC132"/>
  <c r="DP132" s="1"/>
  <c r="CA132"/>
  <c r="CC128"/>
  <c r="DP128" s="1"/>
  <c r="CA128"/>
  <c r="CC124"/>
  <c r="DP124" s="1"/>
  <c r="CA124"/>
  <c r="CC120"/>
  <c r="DP120" s="1"/>
  <c r="CA120"/>
  <c r="CC116"/>
  <c r="DP116" s="1"/>
  <c r="CA116"/>
  <c r="CC112"/>
  <c r="DP112" s="1"/>
  <c r="CA112"/>
  <c r="CC108"/>
  <c r="DP108" s="1"/>
  <c r="CA108"/>
  <c r="CC104"/>
  <c r="DP104" s="1"/>
  <c r="CA104"/>
  <c r="CC100"/>
  <c r="DP100" s="1"/>
  <c r="CA100"/>
  <c r="CC96"/>
  <c r="DP96" s="1"/>
  <c r="CA96"/>
  <c r="CC92"/>
  <c r="DP92" s="1"/>
  <c r="CA92"/>
  <c r="CC88"/>
  <c r="DP88" s="1"/>
  <c r="CA88"/>
  <c r="CC84"/>
  <c r="DP84" s="1"/>
  <c r="CA84"/>
  <c r="CC80"/>
  <c r="DP80" s="1"/>
  <c r="CA80"/>
  <c r="CC76"/>
  <c r="DP76" s="1"/>
  <c r="CA76"/>
  <c r="CC72"/>
  <c r="DP72" s="1"/>
  <c r="CA72"/>
  <c r="CC68"/>
  <c r="DP68" s="1"/>
  <c r="CA68"/>
  <c r="CC64"/>
  <c r="DP64" s="1"/>
  <c r="CA64"/>
  <c r="CC60"/>
  <c r="DP60" s="1"/>
  <c r="CA60"/>
  <c r="CC56"/>
  <c r="DP56" s="1"/>
  <c r="CA56"/>
  <c r="CC52"/>
  <c r="DP52" s="1"/>
  <c r="CA52"/>
  <c r="CC48"/>
  <c r="DP48" s="1"/>
  <c r="CA48"/>
  <c r="CC44"/>
  <c r="DP44" s="1"/>
  <c r="CA44"/>
  <c r="CC40"/>
  <c r="DP40" s="1"/>
  <c r="CA40"/>
  <c r="BM36"/>
  <c r="CA36"/>
  <c r="BM32"/>
  <c r="CA32"/>
  <c r="BM11"/>
  <c r="CA11"/>
  <c r="CC205"/>
  <c r="DP205" s="1"/>
  <c r="CA205"/>
  <c r="CC201"/>
  <c r="DP201" s="1"/>
  <c r="CA201"/>
  <c r="CC197"/>
  <c r="DP197" s="1"/>
  <c r="CA197"/>
  <c r="CC193"/>
  <c r="DP193" s="1"/>
  <c r="CA193"/>
  <c r="CC189"/>
  <c r="DP189" s="1"/>
  <c r="CA189"/>
  <c r="CC185"/>
  <c r="DP185" s="1"/>
  <c r="CA185"/>
  <c r="CC181"/>
  <c r="DP181" s="1"/>
  <c r="CA181"/>
  <c r="CC177"/>
  <c r="DP177" s="1"/>
  <c r="CA177"/>
  <c r="CC173"/>
  <c r="DP173" s="1"/>
  <c r="CA173"/>
  <c r="CC169"/>
  <c r="DP169" s="1"/>
  <c r="CA169"/>
  <c r="CC165"/>
  <c r="DP165" s="1"/>
  <c r="CA165"/>
  <c r="CC161"/>
  <c r="DP161" s="1"/>
  <c r="CA161"/>
  <c r="CC157"/>
  <c r="DP157" s="1"/>
  <c r="CA157"/>
  <c r="CC153"/>
  <c r="DP153" s="1"/>
  <c r="CA153"/>
  <c r="CC149"/>
  <c r="DP149" s="1"/>
  <c r="CA149"/>
  <c r="CC145"/>
  <c r="DP145" s="1"/>
  <c r="CA145"/>
  <c r="CC141"/>
  <c r="DP141" s="1"/>
  <c r="CA141"/>
  <c r="CC137"/>
  <c r="DP137" s="1"/>
  <c r="CA137"/>
  <c r="CC133"/>
  <c r="DP133" s="1"/>
  <c r="CA133"/>
  <c r="CC129"/>
  <c r="DP129" s="1"/>
  <c r="CA129"/>
  <c r="CC125"/>
  <c r="DP125" s="1"/>
  <c r="CA125"/>
  <c r="CC121"/>
  <c r="DP121" s="1"/>
  <c r="CA121"/>
  <c r="CC117"/>
  <c r="DP117" s="1"/>
  <c r="CA117"/>
  <c r="CC113"/>
  <c r="DP113" s="1"/>
  <c r="CA113"/>
  <c r="CC109"/>
  <c r="DP109" s="1"/>
  <c r="CA109"/>
  <c r="CC105"/>
  <c r="DP105" s="1"/>
  <c r="CA105"/>
  <c r="CC101"/>
  <c r="DP101" s="1"/>
  <c r="CA101"/>
  <c r="CC97"/>
  <c r="DP97" s="1"/>
  <c r="CA97"/>
  <c r="CC93"/>
  <c r="DP93" s="1"/>
  <c r="CA93"/>
  <c r="CC89"/>
  <c r="DP89" s="1"/>
  <c r="CA89"/>
  <c r="CC85"/>
  <c r="DP85" s="1"/>
  <c r="CA85"/>
  <c r="CC81"/>
  <c r="DP81" s="1"/>
  <c r="CA81"/>
  <c r="CC77"/>
  <c r="DP77" s="1"/>
  <c r="CA77"/>
  <c r="CC73"/>
  <c r="DP73" s="1"/>
  <c r="CA73"/>
  <c r="CC69"/>
  <c r="DP69" s="1"/>
  <c r="CA69"/>
  <c r="CC65"/>
  <c r="DP65" s="1"/>
  <c r="CA65"/>
  <c r="CC61"/>
  <c r="DP61" s="1"/>
  <c r="CA61"/>
  <c r="CC57"/>
  <c r="DP57" s="1"/>
  <c r="CA57"/>
  <c r="CC53"/>
  <c r="DP53" s="1"/>
  <c r="CA53"/>
  <c r="CC49"/>
  <c r="DP49" s="1"/>
  <c r="CA49"/>
  <c r="CC45"/>
  <c r="DP45" s="1"/>
  <c r="CA45"/>
  <c r="CC41"/>
  <c r="DP41" s="1"/>
  <c r="CA41"/>
  <c r="CA35"/>
  <c r="BM31"/>
  <c r="CA31"/>
  <c r="BM27"/>
  <c r="CA27"/>
  <c r="BM23"/>
  <c r="CA23"/>
  <c r="BM19"/>
  <c r="CA19"/>
  <c r="BO206"/>
  <c r="DO206" s="1"/>
  <c r="BM206"/>
  <c r="BO202"/>
  <c r="DO202" s="1"/>
  <c r="BM202"/>
  <c r="BO198"/>
  <c r="DO198" s="1"/>
  <c r="BM198"/>
  <c r="BO194"/>
  <c r="DO194" s="1"/>
  <c r="BM194"/>
  <c r="BO190"/>
  <c r="DO190" s="1"/>
  <c r="BM190"/>
  <c r="BO186"/>
  <c r="DO186" s="1"/>
  <c r="BM186"/>
  <c r="BO182"/>
  <c r="DO182" s="1"/>
  <c r="BM182"/>
  <c r="BO178"/>
  <c r="DO178" s="1"/>
  <c r="BM178"/>
  <c r="BO174"/>
  <c r="DO174" s="1"/>
  <c r="BM174"/>
  <c r="BO170"/>
  <c r="DO170" s="1"/>
  <c r="BM170"/>
  <c r="BO166"/>
  <c r="DO166" s="1"/>
  <c r="BM166"/>
  <c r="BO162"/>
  <c r="DO162" s="1"/>
  <c r="BM162"/>
  <c r="BO158"/>
  <c r="DO158" s="1"/>
  <c r="BM158"/>
  <c r="BO154"/>
  <c r="DO154" s="1"/>
  <c r="BM154"/>
  <c r="BO150"/>
  <c r="DO150" s="1"/>
  <c r="BM150"/>
  <c r="BO146"/>
  <c r="DO146" s="1"/>
  <c r="BM146"/>
  <c r="BO142"/>
  <c r="DO142" s="1"/>
  <c r="BM142"/>
  <c r="BO138"/>
  <c r="DO138" s="1"/>
  <c r="BM138"/>
  <c r="BO134"/>
  <c r="DO134" s="1"/>
  <c r="BM134"/>
  <c r="BO130"/>
  <c r="DO130" s="1"/>
  <c r="BM130"/>
  <c r="BO126"/>
  <c r="DO126" s="1"/>
  <c r="BM126"/>
  <c r="BO122"/>
  <c r="DO122" s="1"/>
  <c r="BM122"/>
  <c r="BO118"/>
  <c r="DO118" s="1"/>
  <c r="BM118"/>
  <c r="BO114"/>
  <c r="DO114" s="1"/>
  <c r="BM114"/>
  <c r="BO110"/>
  <c r="DO110" s="1"/>
  <c r="BM110"/>
  <c r="BO106"/>
  <c r="DO106" s="1"/>
  <c r="BM106"/>
  <c r="BO102"/>
  <c r="DO102" s="1"/>
  <c r="BM102"/>
  <c r="BO98"/>
  <c r="DO98" s="1"/>
  <c r="BM98"/>
  <c r="BO94"/>
  <c r="DO94" s="1"/>
  <c r="BM94"/>
  <c r="BO90"/>
  <c r="DO90" s="1"/>
  <c r="BM90"/>
  <c r="BO86"/>
  <c r="DO86" s="1"/>
  <c r="BM86"/>
  <c r="BO82"/>
  <c r="DO82" s="1"/>
  <c r="BM82"/>
  <c r="BO78"/>
  <c r="DO78" s="1"/>
  <c r="BM78"/>
  <c r="BO74"/>
  <c r="DO74" s="1"/>
  <c r="BM74"/>
  <c r="BO70"/>
  <c r="DO70" s="1"/>
  <c r="BM70"/>
  <c r="BO66"/>
  <c r="DO66" s="1"/>
  <c r="BM66"/>
  <c r="BO62"/>
  <c r="DO62" s="1"/>
  <c r="BM62"/>
  <c r="BO58"/>
  <c r="DO58" s="1"/>
  <c r="BM58"/>
  <c r="BO54"/>
  <c r="DO54" s="1"/>
  <c r="BM54"/>
  <c r="BO50"/>
  <c r="DO50" s="1"/>
  <c r="BM50"/>
  <c r="BO46"/>
  <c r="DO46" s="1"/>
  <c r="BM46"/>
  <c r="BO42"/>
  <c r="DO42" s="1"/>
  <c r="BM42"/>
  <c r="BO38"/>
  <c r="DO38" s="1"/>
  <c r="BM38"/>
  <c r="AY34"/>
  <c r="BM34"/>
  <c r="AY30"/>
  <c r="BM30"/>
  <c r="AY26"/>
  <c r="BM26"/>
  <c r="AY22"/>
  <c r="BM22"/>
  <c r="AY18"/>
  <c r="BM18"/>
  <c r="BM17"/>
  <c r="BM16"/>
  <c r="AY14"/>
  <c r="BM14"/>
  <c r="BM13"/>
  <c r="AY9"/>
  <c r="BM9"/>
  <c r="BO203"/>
  <c r="DO203" s="1"/>
  <c r="BM203"/>
  <c r="BO199"/>
  <c r="DO199" s="1"/>
  <c r="BM199"/>
  <c r="BO195"/>
  <c r="DO195" s="1"/>
  <c r="BM195"/>
  <c r="BM191"/>
  <c r="BO191"/>
  <c r="DO191" s="1"/>
  <c r="BM187"/>
  <c r="BO187"/>
  <c r="DO187" s="1"/>
  <c r="BM183"/>
  <c r="BO183"/>
  <c r="DO183" s="1"/>
  <c r="BM179"/>
  <c r="BO179"/>
  <c r="DO179" s="1"/>
  <c r="BM175"/>
  <c r="BO175"/>
  <c r="DO175" s="1"/>
  <c r="BM171"/>
  <c r="BO171"/>
  <c r="DO171" s="1"/>
  <c r="BM167"/>
  <c r="BO167"/>
  <c r="DO167" s="1"/>
  <c r="BM163"/>
  <c r="BO163"/>
  <c r="DO163" s="1"/>
  <c r="BM159"/>
  <c r="BO159"/>
  <c r="DO159" s="1"/>
  <c r="BM155"/>
  <c r="BO155"/>
  <c r="DO155" s="1"/>
  <c r="BM151"/>
  <c r="BO151"/>
  <c r="DO151" s="1"/>
  <c r="BM147"/>
  <c r="BO147"/>
  <c r="DO147" s="1"/>
  <c r="BM143"/>
  <c r="BO143"/>
  <c r="DO143" s="1"/>
  <c r="BM139"/>
  <c r="BO139"/>
  <c r="DO139" s="1"/>
  <c r="BM135"/>
  <c r="BO135"/>
  <c r="DO135" s="1"/>
  <c r="BM131"/>
  <c r="BO131"/>
  <c r="DO131" s="1"/>
  <c r="BM127"/>
  <c r="BO127"/>
  <c r="DO127" s="1"/>
  <c r="BM123"/>
  <c r="BO123"/>
  <c r="DO123" s="1"/>
  <c r="BM119"/>
  <c r="BO119"/>
  <c r="DO119" s="1"/>
  <c r="BM115"/>
  <c r="BO115"/>
  <c r="DO115" s="1"/>
  <c r="BM111"/>
  <c r="BO111"/>
  <c r="DO111" s="1"/>
  <c r="BM107"/>
  <c r="BO107"/>
  <c r="DO107" s="1"/>
  <c r="BM103"/>
  <c r="BO103"/>
  <c r="DO103" s="1"/>
  <c r="BM99"/>
  <c r="BO99"/>
  <c r="DO99" s="1"/>
  <c r="BM95"/>
  <c r="BO95"/>
  <c r="DO95" s="1"/>
  <c r="BM91"/>
  <c r="BO91"/>
  <c r="DO91" s="1"/>
  <c r="BM87"/>
  <c r="BO87"/>
  <c r="DO87" s="1"/>
  <c r="BM83"/>
  <c r="BO83"/>
  <c r="DO83" s="1"/>
  <c r="BM79"/>
  <c r="BO79"/>
  <c r="DO79" s="1"/>
  <c r="BM75"/>
  <c r="BO75"/>
  <c r="DO75" s="1"/>
  <c r="BM71"/>
  <c r="BO71"/>
  <c r="DO71" s="1"/>
  <c r="BM67"/>
  <c r="BO67"/>
  <c r="DO67" s="1"/>
  <c r="BM63"/>
  <c r="BO63"/>
  <c r="DO63" s="1"/>
  <c r="BM59"/>
  <c r="BO59"/>
  <c r="DO59" s="1"/>
  <c r="BM55"/>
  <c r="BO55"/>
  <c r="DO55" s="1"/>
  <c r="BM51"/>
  <c r="BO51"/>
  <c r="DO51" s="1"/>
  <c r="BM47"/>
  <c r="BO47"/>
  <c r="DO47" s="1"/>
  <c r="BM43"/>
  <c r="BO43"/>
  <c r="DO43" s="1"/>
  <c r="BM39"/>
  <c r="BO39"/>
  <c r="DO39" s="1"/>
  <c r="BM37"/>
  <c r="BM33"/>
  <c r="BM29"/>
  <c r="BM25"/>
  <c r="BM21"/>
  <c r="AY10"/>
  <c r="BM10"/>
  <c r="BO204"/>
  <c r="DO204" s="1"/>
  <c r="BM204"/>
  <c r="BO200"/>
  <c r="DO200" s="1"/>
  <c r="BM200"/>
  <c r="BO196"/>
  <c r="DO196" s="1"/>
  <c r="BM196"/>
  <c r="BO192"/>
  <c r="DO192" s="1"/>
  <c r="BM192"/>
  <c r="BO188"/>
  <c r="DO188" s="1"/>
  <c r="BM188"/>
  <c r="BO184"/>
  <c r="DO184" s="1"/>
  <c r="BM184"/>
  <c r="BO180"/>
  <c r="DO180" s="1"/>
  <c r="BM180"/>
  <c r="BO176"/>
  <c r="DO176" s="1"/>
  <c r="BM176"/>
  <c r="BO172"/>
  <c r="DO172" s="1"/>
  <c r="BM172"/>
  <c r="BO168"/>
  <c r="DO168" s="1"/>
  <c r="BM168"/>
  <c r="BO164"/>
  <c r="DO164" s="1"/>
  <c r="BM164"/>
  <c r="BO160"/>
  <c r="DO160" s="1"/>
  <c r="BM160"/>
  <c r="BO156"/>
  <c r="DO156" s="1"/>
  <c r="BM156"/>
  <c r="BO152"/>
  <c r="DO152" s="1"/>
  <c r="BM152"/>
  <c r="BO148"/>
  <c r="DO148" s="1"/>
  <c r="BM148"/>
  <c r="BO144"/>
  <c r="DO144" s="1"/>
  <c r="BM144"/>
  <c r="BO140"/>
  <c r="DO140" s="1"/>
  <c r="BM140"/>
  <c r="BO136"/>
  <c r="DO136" s="1"/>
  <c r="BM136"/>
  <c r="BO132"/>
  <c r="DO132" s="1"/>
  <c r="BM132"/>
  <c r="BO128"/>
  <c r="DO128" s="1"/>
  <c r="BM128"/>
  <c r="BO124"/>
  <c r="DO124" s="1"/>
  <c r="BM124"/>
  <c r="BO120"/>
  <c r="DO120" s="1"/>
  <c r="BM120"/>
  <c r="BO116"/>
  <c r="DO116" s="1"/>
  <c r="BM116"/>
  <c r="BO112"/>
  <c r="DO112" s="1"/>
  <c r="BM112"/>
  <c r="BO108"/>
  <c r="DO108" s="1"/>
  <c r="BM108"/>
  <c r="BO104"/>
  <c r="DO104" s="1"/>
  <c r="BM104"/>
  <c r="BO100"/>
  <c r="DO100" s="1"/>
  <c r="BM100"/>
  <c r="BO96"/>
  <c r="DO96" s="1"/>
  <c r="BM96"/>
  <c r="BO92"/>
  <c r="DO92" s="1"/>
  <c r="BM92"/>
  <c r="BO88"/>
  <c r="DO88" s="1"/>
  <c r="BM88"/>
  <c r="BO84"/>
  <c r="DO84" s="1"/>
  <c r="BM84"/>
  <c r="BO80"/>
  <c r="DO80" s="1"/>
  <c r="BM80"/>
  <c r="BO76"/>
  <c r="DO76" s="1"/>
  <c r="BM76"/>
  <c r="BO72"/>
  <c r="DO72" s="1"/>
  <c r="BM72"/>
  <c r="BO68"/>
  <c r="DO68" s="1"/>
  <c r="BM68"/>
  <c r="BO64"/>
  <c r="DO64" s="1"/>
  <c r="BM64"/>
  <c r="BO60"/>
  <c r="DO60" s="1"/>
  <c r="BM60"/>
  <c r="BO56"/>
  <c r="DO56" s="1"/>
  <c r="BM56"/>
  <c r="BO52"/>
  <c r="DO52" s="1"/>
  <c r="BM52"/>
  <c r="BO48"/>
  <c r="DO48" s="1"/>
  <c r="BM48"/>
  <c r="BO44"/>
  <c r="DO44" s="1"/>
  <c r="BM44"/>
  <c r="BO40"/>
  <c r="DO40" s="1"/>
  <c r="BM40"/>
  <c r="BM28"/>
  <c r="BM24"/>
  <c r="BM20"/>
  <c r="BO205"/>
  <c r="DO205" s="1"/>
  <c r="BM205"/>
  <c r="BO201"/>
  <c r="DO201" s="1"/>
  <c r="BM201"/>
  <c r="BO197"/>
  <c r="DO197" s="1"/>
  <c r="BM197"/>
  <c r="BO193"/>
  <c r="DO193" s="1"/>
  <c r="BM193"/>
  <c r="BM189"/>
  <c r="BO189"/>
  <c r="DO189" s="1"/>
  <c r="BM185"/>
  <c r="BO185"/>
  <c r="DO185" s="1"/>
  <c r="BM181"/>
  <c r="BO181"/>
  <c r="DO181" s="1"/>
  <c r="BM177"/>
  <c r="BO177"/>
  <c r="DO177" s="1"/>
  <c r="BM173"/>
  <c r="BO173"/>
  <c r="DO173" s="1"/>
  <c r="BM169"/>
  <c r="BO169"/>
  <c r="DO169" s="1"/>
  <c r="BM165"/>
  <c r="BO165"/>
  <c r="DO165" s="1"/>
  <c r="BM161"/>
  <c r="BO161"/>
  <c r="DO161" s="1"/>
  <c r="BM157"/>
  <c r="BO157"/>
  <c r="DO157" s="1"/>
  <c r="BM153"/>
  <c r="BO153"/>
  <c r="DO153" s="1"/>
  <c r="BM149"/>
  <c r="BO149"/>
  <c r="DO149" s="1"/>
  <c r="BM145"/>
  <c r="BO145"/>
  <c r="DO145" s="1"/>
  <c r="BM141"/>
  <c r="BO141"/>
  <c r="DO141" s="1"/>
  <c r="BM137"/>
  <c r="BO137"/>
  <c r="DO137" s="1"/>
  <c r="BM133"/>
  <c r="BO133"/>
  <c r="DO133" s="1"/>
  <c r="BM129"/>
  <c r="BO129"/>
  <c r="DO129" s="1"/>
  <c r="BM125"/>
  <c r="BO125"/>
  <c r="DO125" s="1"/>
  <c r="BM121"/>
  <c r="BO121"/>
  <c r="DO121" s="1"/>
  <c r="BM117"/>
  <c r="BO117"/>
  <c r="DO117" s="1"/>
  <c r="BM113"/>
  <c r="BO113"/>
  <c r="DO113" s="1"/>
  <c r="BM109"/>
  <c r="BO109"/>
  <c r="DO109" s="1"/>
  <c r="BM105"/>
  <c r="BO105"/>
  <c r="DO105" s="1"/>
  <c r="BM101"/>
  <c r="BO101"/>
  <c r="DO101" s="1"/>
  <c r="BM97"/>
  <c r="BO97"/>
  <c r="DO97" s="1"/>
  <c r="BM93"/>
  <c r="BO93"/>
  <c r="DO93" s="1"/>
  <c r="BM89"/>
  <c r="BO89"/>
  <c r="DO89" s="1"/>
  <c r="BM85"/>
  <c r="BO85"/>
  <c r="DO85" s="1"/>
  <c r="BM81"/>
  <c r="BO81"/>
  <c r="DO81" s="1"/>
  <c r="BM77"/>
  <c r="BO77"/>
  <c r="DO77" s="1"/>
  <c r="BM73"/>
  <c r="BO73"/>
  <c r="DO73" s="1"/>
  <c r="BM69"/>
  <c r="BO69"/>
  <c r="DO69" s="1"/>
  <c r="BM65"/>
  <c r="BO65"/>
  <c r="DO65" s="1"/>
  <c r="BM61"/>
  <c r="BO61"/>
  <c r="DO61" s="1"/>
  <c r="BM57"/>
  <c r="BO57"/>
  <c r="DO57" s="1"/>
  <c r="BM53"/>
  <c r="BO53"/>
  <c r="DO53" s="1"/>
  <c r="BM49"/>
  <c r="BO49"/>
  <c r="DO49" s="1"/>
  <c r="BM45"/>
  <c r="BO45"/>
  <c r="DO45" s="1"/>
  <c r="BM41"/>
  <c r="BO41"/>
  <c r="DO41" s="1"/>
  <c r="AY35"/>
  <c r="BM35"/>
  <c r="BM12"/>
  <c r="AY8"/>
  <c r="BM8"/>
  <c r="AY206"/>
  <c r="BA206"/>
  <c r="DN206" s="1"/>
  <c r="BA186"/>
  <c r="DN186" s="1"/>
  <c r="AY186"/>
  <c r="BA182"/>
  <c r="DN182" s="1"/>
  <c r="AY182"/>
  <c r="BA178"/>
  <c r="DN178" s="1"/>
  <c r="AY178"/>
  <c r="BA174"/>
  <c r="DN174" s="1"/>
  <c r="AY174"/>
  <c r="BA170"/>
  <c r="DN170" s="1"/>
  <c r="AY170"/>
  <c r="BA166"/>
  <c r="DN166" s="1"/>
  <c r="AY166"/>
  <c r="BA162"/>
  <c r="DN162" s="1"/>
  <c r="AY162"/>
  <c r="BA158"/>
  <c r="DN158" s="1"/>
  <c r="AY158"/>
  <c r="BA154"/>
  <c r="DN154" s="1"/>
  <c r="AY154"/>
  <c r="BA150"/>
  <c r="DN150" s="1"/>
  <c r="AY150"/>
  <c r="BA146"/>
  <c r="DN146" s="1"/>
  <c r="AY146"/>
  <c r="BA142"/>
  <c r="DN142" s="1"/>
  <c r="AY142"/>
  <c r="BA138"/>
  <c r="DN138" s="1"/>
  <c r="AY138"/>
  <c r="BA134"/>
  <c r="DN134" s="1"/>
  <c r="AY134"/>
  <c r="BA130"/>
  <c r="DN130" s="1"/>
  <c r="AY130"/>
  <c r="BA126"/>
  <c r="DN126" s="1"/>
  <c r="AY126"/>
  <c r="BA122"/>
  <c r="DN122" s="1"/>
  <c r="AY122"/>
  <c r="BA118"/>
  <c r="DN118" s="1"/>
  <c r="AY118"/>
  <c r="BA114"/>
  <c r="DN114" s="1"/>
  <c r="AY114"/>
  <c r="BA110"/>
  <c r="DN110" s="1"/>
  <c r="AY110"/>
  <c r="BA106"/>
  <c r="DN106" s="1"/>
  <c r="AY106"/>
  <c r="BA102"/>
  <c r="DN102" s="1"/>
  <c r="AY102"/>
  <c r="BA98"/>
  <c r="DN98" s="1"/>
  <c r="AY98"/>
  <c r="BA94"/>
  <c r="DN94" s="1"/>
  <c r="AY94"/>
  <c r="BA90"/>
  <c r="DN90" s="1"/>
  <c r="AY90"/>
  <c r="BA86"/>
  <c r="DN86" s="1"/>
  <c r="AY86"/>
  <c r="BA82"/>
  <c r="DN82" s="1"/>
  <c r="AY82"/>
  <c r="BA78"/>
  <c r="DN78" s="1"/>
  <c r="AY78"/>
  <c r="BA74"/>
  <c r="DN74" s="1"/>
  <c r="AY74"/>
  <c r="BA70"/>
  <c r="DN70" s="1"/>
  <c r="AY70"/>
  <c r="BA66"/>
  <c r="DN66" s="1"/>
  <c r="AY66"/>
  <c r="BA62"/>
  <c r="DN62" s="1"/>
  <c r="AY62"/>
  <c r="BA58"/>
  <c r="DN58" s="1"/>
  <c r="AY58"/>
  <c r="BA54"/>
  <c r="DN54" s="1"/>
  <c r="AY54"/>
  <c r="BA50"/>
  <c r="DN50" s="1"/>
  <c r="AY50"/>
  <c r="BA46"/>
  <c r="DN46" s="1"/>
  <c r="AY46"/>
  <c r="BA42"/>
  <c r="DN42" s="1"/>
  <c r="AY42"/>
  <c r="BA38"/>
  <c r="DN38" s="1"/>
  <c r="AY38"/>
  <c r="AY17"/>
  <c r="AY16"/>
  <c r="AY15"/>
  <c r="AY13"/>
  <c r="BA203"/>
  <c r="DN203" s="1"/>
  <c r="AY203"/>
  <c r="BA199"/>
  <c r="DN199" s="1"/>
  <c r="AY199"/>
  <c r="BA195"/>
  <c r="DN195" s="1"/>
  <c r="AY195"/>
  <c r="AY191"/>
  <c r="BA191"/>
  <c r="DN191" s="1"/>
  <c r="AY187"/>
  <c r="BA187"/>
  <c r="DN187" s="1"/>
  <c r="AY183"/>
  <c r="BA183"/>
  <c r="DN183" s="1"/>
  <c r="AY179"/>
  <c r="BA179"/>
  <c r="DN179" s="1"/>
  <c r="AY175"/>
  <c r="BA175"/>
  <c r="DN175" s="1"/>
  <c r="AY171"/>
  <c r="BA171"/>
  <c r="DN171" s="1"/>
  <c r="AY167"/>
  <c r="BA167"/>
  <c r="DN167" s="1"/>
  <c r="AY163"/>
  <c r="BA163"/>
  <c r="DN163" s="1"/>
  <c r="AY159"/>
  <c r="BA159"/>
  <c r="DN159" s="1"/>
  <c r="AY155"/>
  <c r="BA155"/>
  <c r="DN155" s="1"/>
  <c r="AY151"/>
  <c r="BA151"/>
  <c r="DN151" s="1"/>
  <c r="AY147"/>
  <c r="BA147"/>
  <c r="DN147" s="1"/>
  <c r="AY143"/>
  <c r="BA143"/>
  <c r="DN143" s="1"/>
  <c r="AY139"/>
  <c r="BA139"/>
  <c r="DN139" s="1"/>
  <c r="AY135"/>
  <c r="BA135"/>
  <c r="DN135" s="1"/>
  <c r="AY131"/>
  <c r="BA131"/>
  <c r="DN131" s="1"/>
  <c r="AY127"/>
  <c r="BA127"/>
  <c r="DN127" s="1"/>
  <c r="AY123"/>
  <c r="BA123"/>
  <c r="DN123" s="1"/>
  <c r="AY119"/>
  <c r="BA119"/>
  <c r="DN119" s="1"/>
  <c r="AY115"/>
  <c r="BA115"/>
  <c r="DN115" s="1"/>
  <c r="AY111"/>
  <c r="BA111"/>
  <c r="DN111" s="1"/>
  <c r="AY107"/>
  <c r="BA107"/>
  <c r="DN107" s="1"/>
  <c r="AY103"/>
  <c r="BA103"/>
  <c r="DN103" s="1"/>
  <c r="AY99"/>
  <c r="BA99"/>
  <c r="DN99" s="1"/>
  <c r="AY95"/>
  <c r="BA95"/>
  <c r="DN95" s="1"/>
  <c r="AY91"/>
  <c r="BA91"/>
  <c r="DN91" s="1"/>
  <c r="AY87"/>
  <c r="BA87"/>
  <c r="DN87" s="1"/>
  <c r="AY83"/>
  <c r="BA83"/>
  <c r="DN83" s="1"/>
  <c r="AY79"/>
  <c r="BA79"/>
  <c r="DN79" s="1"/>
  <c r="AY75"/>
  <c r="BA75"/>
  <c r="DN75" s="1"/>
  <c r="AY71"/>
  <c r="BA71"/>
  <c r="DN71" s="1"/>
  <c r="AY67"/>
  <c r="BA67"/>
  <c r="DN67" s="1"/>
  <c r="AY63"/>
  <c r="BA63"/>
  <c r="DN63" s="1"/>
  <c r="AY59"/>
  <c r="BA59"/>
  <c r="DN59" s="1"/>
  <c r="AY55"/>
  <c r="BA55"/>
  <c r="DN55" s="1"/>
  <c r="AY51"/>
  <c r="BA51"/>
  <c r="DN51" s="1"/>
  <c r="AY47"/>
  <c r="BA47"/>
  <c r="DN47" s="1"/>
  <c r="AY43"/>
  <c r="BA43"/>
  <c r="DN43" s="1"/>
  <c r="AY39"/>
  <c r="BA39"/>
  <c r="DN39" s="1"/>
  <c r="AY37"/>
  <c r="AY33"/>
  <c r="AY29"/>
  <c r="AY25"/>
  <c r="AY21"/>
  <c r="AY202"/>
  <c r="BA202"/>
  <c r="DN202" s="1"/>
  <c r="AY194"/>
  <c r="BA194"/>
  <c r="DN194" s="1"/>
  <c r="AY7"/>
  <c r="BA7" s="1"/>
  <c r="AY204"/>
  <c r="BA204"/>
  <c r="DN204" s="1"/>
  <c r="AY200"/>
  <c r="BA200"/>
  <c r="DN200" s="1"/>
  <c r="AY196"/>
  <c r="BA196"/>
  <c r="DN196" s="1"/>
  <c r="AY192"/>
  <c r="BA192"/>
  <c r="DN192" s="1"/>
  <c r="BA188"/>
  <c r="DN188" s="1"/>
  <c r="AY188"/>
  <c r="BA184"/>
  <c r="DN184" s="1"/>
  <c r="AY184"/>
  <c r="BA180"/>
  <c r="DN180" s="1"/>
  <c r="AY180"/>
  <c r="BA176"/>
  <c r="DN176" s="1"/>
  <c r="AY176"/>
  <c r="BA172"/>
  <c r="DN172" s="1"/>
  <c r="AY172"/>
  <c r="BA168"/>
  <c r="DN168" s="1"/>
  <c r="AY168"/>
  <c r="BA164"/>
  <c r="DN164" s="1"/>
  <c r="AY164"/>
  <c r="BA160"/>
  <c r="DN160" s="1"/>
  <c r="AY160"/>
  <c r="BA156"/>
  <c r="DN156" s="1"/>
  <c r="AY156"/>
  <c r="BA152"/>
  <c r="DN152" s="1"/>
  <c r="AY152"/>
  <c r="BA148"/>
  <c r="DN148" s="1"/>
  <c r="AY148"/>
  <c r="BA144"/>
  <c r="DN144" s="1"/>
  <c r="AY144"/>
  <c r="BA140"/>
  <c r="DN140" s="1"/>
  <c r="AY140"/>
  <c r="BA136"/>
  <c r="DN136" s="1"/>
  <c r="AY136"/>
  <c r="BA132"/>
  <c r="DN132" s="1"/>
  <c r="AY132"/>
  <c r="BA128"/>
  <c r="DN128" s="1"/>
  <c r="AY128"/>
  <c r="BA124"/>
  <c r="DN124" s="1"/>
  <c r="AY124"/>
  <c r="BA120"/>
  <c r="DN120" s="1"/>
  <c r="AY120"/>
  <c r="BA116"/>
  <c r="DN116" s="1"/>
  <c r="AY116"/>
  <c r="BA112"/>
  <c r="DN112" s="1"/>
  <c r="AY112"/>
  <c r="BA108"/>
  <c r="DN108" s="1"/>
  <c r="AY108"/>
  <c r="BA104"/>
  <c r="DN104" s="1"/>
  <c r="AY104"/>
  <c r="BA100"/>
  <c r="DN100" s="1"/>
  <c r="AY100"/>
  <c r="BA96"/>
  <c r="DN96" s="1"/>
  <c r="AY96"/>
  <c r="BA92"/>
  <c r="DN92" s="1"/>
  <c r="AY92"/>
  <c r="BA88"/>
  <c r="DN88" s="1"/>
  <c r="AY88"/>
  <c r="BA84"/>
  <c r="DN84" s="1"/>
  <c r="AY84"/>
  <c r="BA80"/>
  <c r="DN80" s="1"/>
  <c r="AY80"/>
  <c r="BA76"/>
  <c r="DN76" s="1"/>
  <c r="AY76"/>
  <c r="BA72"/>
  <c r="DN72" s="1"/>
  <c r="AY72"/>
  <c r="BA68"/>
  <c r="DN68" s="1"/>
  <c r="AY68"/>
  <c r="BA64"/>
  <c r="DN64" s="1"/>
  <c r="AY64"/>
  <c r="BA60"/>
  <c r="DN60" s="1"/>
  <c r="AY60"/>
  <c r="BA56"/>
  <c r="DN56" s="1"/>
  <c r="AY56"/>
  <c r="BA52"/>
  <c r="DN52" s="1"/>
  <c r="AY52"/>
  <c r="BA48"/>
  <c r="DN48" s="1"/>
  <c r="AY48"/>
  <c r="BA44"/>
  <c r="DN44" s="1"/>
  <c r="AY44"/>
  <c r="BA40"/>
  <c r="DN40" s="1"/>
  <c r="AY40"/>
  <c r="AY36"/>
  <c r="AY32"/>
  <c r="AY28"/>
  <c r="AY24"/>
  <c r="AY20"/>
  <c r="AY11"/>
  <c r="AY198"/>
  <c r="BA198"/>
  <c r="DN198" s="1"/>
  <c r="BA190"/>
  <c r="DN190" s="1"/>
  <c r="AY190"/>
  <c r="BA205"/>
  <c r="DN205" s="1"/>
  <c r="AY205"/>
  <c r="BA201"/>
  <c r="DN201" s="1"/>
  <c r="AY201"/>
  <c r="BA197"/>
  <c r="DN197" s="1"/>
  <c r="AY197"/>
  <c r="BA193"/>
  <c r="DN193" s="1"/>
  <c r="AY193"/>
  <c r="AY189"/>
  <c r="BA189"/>
  <c r="DN189" s="1"/>
  <c r="AY185"/>
  <c r="BA185"/>
  <c r="DN185" s="1"/>
  <c r="AY181"/>
  <c r="BA181"/>
  <c r="DN181" s="1"/>
  <c r="AY177"/>
  <c r="BA177"/>
  <c r="DN177" s="1"/>
  <c r="AY173"/>
  <c r="BA173"/>
  <c r="DN173" s="1"/>
  <c r="AY169"/>
  <c r="BA169"/>
  <c r="DN169" s="1"/>
  <c r="AY165"/>
  <c r="BA165"/>
  <c r="DN165" s="1"/>
  <c r="AY161"/>
  <c r="BA161"/>
  <c r="DN161" s="1"/>
  <c r="AY157"/>
  <c r="BA157"/>
  <c r="DN157" s="1"/>
  <c r="AY153"/>
  <c r="BA153"/>
  <c r="DN153" s="1"/>
  <c r="AY149"/>
  <c r="BA149"/>
  <c r="DN149" s="1"/>
  <c r="AY145"/>
  <c r="BA145"/>
  <c r="DN145" s="1"/>
  <c r="AY141"/>
  <c r="BA141"/>
  <c r="DN141" s="1"/>
  <c r="AY137"/>
  <c r="BA137"/>
  <c r="DN137" s="1"/>
  <c r="AY133"/>
  <c r="BA133"/>
  <c r="DN133" s="1"/>
  <c r="AY129"/>
  <c r="BA129"/>
  <c r="DN129" s="1"/>
  <c r="AY125"/>
  <c r="BA125"/>
  <c r="DN125" s="1"/>
  <c r="AY121"/>
  <c r="BA121"/>
  <c r="DN121" s="1"/>
  <c r="AY117"/>
  <c r="BA117"/>
  <c r="DN117" s="1"/>
  <c r="AY113"/>
  <c r="BA113"/>
  <c r="DN113" s="1"/>
  <c r="AY109"/>
  <c r="BA109"/>
  <c r="DN109" s="1"/>
  <c r="AY105"/>
  <c r="BA105"/>
  <c r="DN105" s="1"/>
  <c r="AY101"/>
  <c r="BA101"/>
  <c r="DN101" s="1"/>
  <c r="AY97"/>
  <c r="BA97"/>
  <c r="DN97" s="1"/>
  <c r="AY93"/>
  <c r="BA93"/>
  <c r="DN93" s="1"/>
  <c r="AY89"/>
  <c r="BA89"/>
  <c r="DN89" s="1"/>
  <c r="AY85"/>
  <c r="BA85"/>
  <c r="DN85" s="1"/>
  <c r="AY81"/>
  <c r="BA81"/>
  <c r="DN81" s="1"/>
  <c r="AY77"/>
  <c r="BA77"/>
  <c r="DN77" s="1"/>
  <c r="AY73"/>
  <c r="BA73"/>
  <c r="DN73" s="1"/>
  <c r="AY69"/>
  <c r="BA69"/>
  <c r="DN69" s="1"/>
  <c r="AY65"/>
  <c r="BA65"/>
  <c r="DN65" s="1"/>
  <c r="AY61"/>
  <c r="BA61"/>
  <c r="DN61" s="1"/>
  <c r="AY57"/>
  <c r="BA57"/>
  <c r="DN57" s="1"/>
  <c r="AY53"/>
  <c r="BA53"/>
  <c r="DN53" s="1"/>
  <c r="AY49"/>
  <c r="BA49"/>
  <c r="DN49" s="1"/>
  <c r="AY45"/>
  <c r="BA45"/>
  <c r="DN45" s="1"/>
  <c r="AY41"/>
  <c r="BA41"/>
  <c r="DN41" s="1"/>
  <c r="AY31"/>
  <c r="AY27"/>
  <c r="AY23"/>
  <c r="AY19"/>
  <c r="AY12"/>
  <c r="AL206"/>
  <c r="DM206" s="1"/>
  <c r="AJ206"/>
  <c r="AJ202"/>
  <c r="AL202"/>
  <c r="DM202" s="1"/>
  <c r="AJ198"/>
  <c r="AL198"/>
  <c r="DM198" s="1"/>
  <c r="AJ194"/>
  <c r="AL194"/>
  <c r="DM194" s="1"/>
  <c r="AJ190"/>
  <c r="AL190"/>
  <c r="DM190" s="1"/>
  <c r="AJ186"/>
  <c r="AL186"/>
  <c r="DM186" s="1"/>
  <c r="AJ182"/>
  <c r="AL182"/>
  <c r="DM182" s="1"/>
  <c r="AJ178"/>
  <c r="AL178"/>
  <c r="DM178" s="1"/>
  <c r="AJ174"/>
  <c r="AL174"/>
  <c r="DM174" s="1"/>
  <c r="AJ170"/>
  <c r="AL170"/>
  <c r="DM170" s="1"/>
  <c r="AJ166"/>
  <c r="AL166"/>
  <c r="DM166" s="1"/>
  <c r="AJ162"/>
  <c r="AL162"/>
  <c r="DM162" s="1"/>
  <c r="AJ158"/>
  <c r="AL158"/>
  <c r="DM158" s="1"/>
  <c r="AJ154"/>
  <c r="AL154"/>
  <c r="DM154" s="1"/>
  <c r="AJ150"/>
  <c r="AL150"/>
  <c r="DM150" s="1"/>
  <c r="AJ146"/>
  <c r="AL146"/>
  <c r="DM146" s="1"/>
  <c r="AJ142"/>
  <c r="AL142"/>
  <c r="DM142" s="1"/>
  <c r="AJ138"/>
  <c r="AL138"/>
  <c r="DM138" s="1"/>
  <c r="AJ134"/>
  <c r="AL134"/>
  <c r="DM134" s="1"/>
  <c r="AJ130"/>
  <c r="AL130"/>
  <c r="DM130" s="1"/>
  <c r="AJ126"/>
  <c r="AL126"/>
  <c r="DM126" s="1"/>
  <c r="AL122"/>
  <c r="DM122" s="1"/>
  <c r="AJ122"/>
  <c r="AL118"/>
  <c r="DM118" s="1"/>
  <c r="AJ118"/>
  <c r="AL114"/>
  <c r="DM114" s="1"/>
  <c r="AJ114"/>
  <c r="AL110"/>
  <c r="DM110" s="1"/>
  <c r="AJ110"/>
  <c r="AL106"/>
  <c r="DM106" s="1"/>
  <c r="AJ106"/>
  <c r="AL102"/>
  <c r="DM102" s="1"/>
  <c r="AJ102"/>
  <c r="AL98"/>
  <c r="DM98" s="1"/>
  <c r="AJ98"/>
  <c r="AL94"/>
  <c r="DM94" s="1"/>
  <c r="AJ94"/>
  <c r="AL90"/>
  <c r="DM90" s="1"/>
  <c r="AJ90"/>
  <c r="AL86"/>
  <c r="DM86" s="1"/>
  <c r="AJ86"/>
  <c r="AL82"/>
  <c r="DM82" s="1"/>
  <c r="AJ82"/>
  <c r="AL78"/>
  <c r="DM78" s="1"/>
  <c r="AJ78"/>
  <c r="AL74"/>
  <c r="DM74" s="1"/>
  <c r="AJ74"/>
  <c r="AJ70"/>
  <c r="AL70"/>
  <c r="DM70" s="1"/>
  <c r="AJ66"/>
  <c r="AL66"/>
  <c r="DM66" s="1"/>
  <c r="AJ62"/>
  <c r="AL62"/>
  <c r="DM62" s="1"/>
  <c r="AL58"/>
  <c r="DM58" s="1"/>
  <c r="AJ58"/>
  <c r="AL54"/>
  <c r="DM54" s="1"/>
  <c r="AJ54"/>
  <c r="AJ50"/>
  <c r="AL50"/>
  <c r="DM50" s="1"/>
  <c r="AJ46"/>
  <c r="AL46"/>
  <c r="DM46" s="1"/>
  <c r="AL42"/>
  <c r="DM42" s="1"/>
  <c r="AJ42"/>
  <c r="AJ38"/>
  <c r="AL38"/>
  <c r="DM38" s="1"/>
  <c r="AJ17"/>
  <c r="AJ16"/>
  <c r="AJ15"/>
  <c r="AJ14"/>
  <c r="AJ13"/>
  <c r="AJ9"/>
  <c r="AJ203"/>
  <c r="AL203"/>
  <c r="DM203" s="1"/>
  <c r="AJ199"/>
  <c r="AL199"/>
  <c r="DM199" s="1"/>
  <c r="AJ195"/>
  <c r="AL195"/>
  <c r="DM195" s="1"/>
  <c r="AJ191"/>
  <c r="AL191"/>
  <c r="DM191" s="1"/>
  <c r="AJ187"/>
  <c r="AL187"/>
  <c r="DM187" s="1"/>
  <c r="AJ183"/>
  <c r="AL183"/>
  <c r="DM183" s="1"/>
  <c r="AJ179"/>
  <c r="AL179"/>
  <c r="DM179" s="1"/>
  <c r="AJ175"/>
  <c r="AL175"/>
  <c r="DM175" s="1"/>
  <c r="AJ171"/>
  <c r="AL171"/>
  <c r="DM171" s="1"/>
  <c r="AJ167"/>
  <c r="AL167"/>
  <c r="DM167" s="1"/>
  <c r="AJ163"/>
  <c r="AL163"/>
  <c r="DM163" s="1"/>
  <c r="AJ159"/>
  <c r="AL159"/>
  <c r="DM159" s="1"/>
  <c r="AJ155"/>
  <c r="AL155"/>
  <c r="DM155" s="1"/>
  <c r="AJ151"/>
  <c r="AL151"/>
  <c r="DM151" s="1"/>
  <c r="AJ147"/>
  <c r="AL147"/>
  <c r="DM147" s="1"/>
  <c r="AJ143"/>
  <c r="AL143"/>
  <c r="DM143" s="1"/>
  <c r="AJ139"/>
  <c r="AL139"/>
  <c r="DM139" s="1"/>
  <c r="AJ135"/>
  <c r="AL135"/>
  <c r="DM135" s="1"/>
  <c r="AJ131"/>
  <c r="AL131"/>
  <c r="DM131" s="1"/>
  <c r="AJ127"/>
  <c r="AL127"/>
  <c r="DM127" s="1"/>
  <c r="AJ123"/>
  <c r="AL123"/>
  <c r="DM123" s="1"/>
  <c r="AJ119"/>
  <c r="AL119"/>
  <c r="DM119" s="1"/>
  <c r="AJ115"/>
  <c r="AL115"/>
  <c r="DM115" s="1"/>
  <c r="AJ111"/>
  <c r="AL111"/>
  <c r="DM111" s="1"/>
  <c r="AJ107"/>
  <c r="AL107"/>
  <c r="DM107" s="1"/>
  <c r="AJ103"/>
  <c r="AL103"/>
  <c r="DM103" s="1"/>
  <c r="AJ99"/>
  <c r="AL99"/>
  <c r="DM99" s="1"/>
  <c r="AJ95"/>
  <c r="AL95"/>
  <c r="DM95" s="1"/>
  <c r="AL91"/>
  <c r="DM91" s="1"/>
  <c r="AJ91"/>
  <c r="AJ87"/>
  <c r="AL87"/>
  <c r="DM87" s="1"/>
  <c r="AJ83"/>
  <c r="AL83"/>
  <c r="DM83" s="1"/>
  <c r="AL79"/>
  <c r="DM79" s="1"/>
  <c r="AJ79"/>
  <c r="AL75"/>
  <c r="DM75" s="1"/>
  <c r="AJ75"/>
  <c r="AJ71"/>
  <c r="AL71"/>
  <c r="DM71" s="1"/>
  <c r="AL67"/>
  <c r="DM67" s="1"/>
  <c r="AJ67"/>
  <c r="AL63"/>
  <c r="DM63" s="1"/>
  <c r="AJ63"/>
  <c r="AL59"/>
  <c r="DM59" s="1"/>
  <c r="AJ59"/>
  <c r="AJ55"/>
  <c r="AL55"/>
  <c r="DM55" s="1"/>
  <c r="AL51"/>
  <c r="DM51" s="1"/>
  <c r="AJ51"/>
  <c r="AL47"/>
  <c r="DM47" s="1"/>
  <c r="AJ47"/>
  <c r="AJ43"/>
  <c r="AL43"/>
  <c r="DM43" s="1"/>
  <c r="AJ39"/>
  <c r="AL39"/>
  <c r="DM39" s="1"/>
  <c r="AJ10"/>
  <c r="AJ7"/>
  <c r="AL7" s="1"/>
  <c r="AJ204"/>
  <c r="AL204"/>
  <c r="DM204" s="1"/>
  <c r="AJ200"/>
  <c r="AL200"/>
  <c r="DM200" s="1"/>
  <c r="AL196"/>
  <c r="DM196" s="1"/>
  <c r="AJ196"/>
  <c r="AJ192"/>
  <c r="AL192"/>
  <c r="DM192" s="1"/>
  <c r="AL188"/>
  <c r="DM188" s="1"/>
  <c r="AJ188"/>
  <c r="AJ184"/>
  <c r="AL184"/>
  <c r="DM184" s="1"/>
  <c r="AL180"/>
  <c r="DM180" s="1"/>
  <c r="AJ180"/>
  <c r="AJ176"/>
  <c r="AL176"/>
  <c r="DM176" s="1"/>
  <c r="AL172"/>
  <c r="DM172" s="1"/>
  <c r="AJ172"/>
  <c r="AJ168"/>
  <c r="AL168"/>
  <c r="DM168" s="1"/>
  <c r="AL164"/>
  <c r="DM164" s="1"/>
  <c r="AJ164"/>
  <c r="AJ160"/>
  <c r="AL160"/>
  <c r="DM160" s="1"/>
  <c r="AL156"/>
  <c r="DM156" s="1"/>
  <c r="AJ156"/>
  <c r="AJ152"/>
  <c r="AL152"/>
  <c r="DM152" s="1"/>
  <c r="AL148"/>
  <c r="DM148" s="1"/>
  <c r="AJ148"/>
  <c r="AJ144"/>
  <c r="AL144"/>
  <c r="DM144" s="1"/>
  <c r="AL140"/>
  <c r="DM140" s="1"/>
  <c r="AJ140"/>
  <c r="AJ136"/>
  <c r="AL136"/>
  <c r="DM136" s="1"/>
  <c r="AL132"/>
  <c r="DM132" s="1"/>
  <c r="AJ132"/>
  <c r="AJ128"/>
  <c r="AL128"/>
  <c r="DM128" s="1"/>
  <c r="AL124"/>
  <c r="DM124" s="1"/>
  <c r="AJ124"/>
  <c r="AL120"/>
  <c r="DM120" s="1"/>
  <c r="AJ120"/>
  <c r="AL116"/>
  <c r="DM116" s="1"/>
  <c r="AJ116"/>
  <c r="AL112"/>
  <c r="DM112" s="1"/>
  <c r="AJ112"/>
  <c r="AL108"/>
  <c r="DM108" s="1"/>
  <c r="AJ108"/>
  <c r="AL104"/>
  <c r="DM104" s="1"/>
  <c r="AJ104"/>
  <c r="AL100"/>
  <c r="DM100" s="1"/>
  <c r="AJ100"/>
  <c r="AL96"/>
  <c r="DM96" s="1"/>
  <c r="AJ96"/>
  <c r="AL92"/>
  <c r="DM92" s="1"/>
  <c r="AJ92"/>
  <c r="AL88"/>
  <c r="DM88" s="1"/>
  <c r="AJ88"/>
  <c r="AL84"/>
  <c r="DM84" s="1"/>
  <c r="AJ84"/>
  <c r="AL80"/>
  <c r="DM80" s="1"/>
  <c r="AJ80"/>
  <c r="AL76"/>
  <c r="DM76" s="1"/>
  <c r="AJ76"/>
  <c r="AL72"/>
  <c r="DM72" s="1"/>
  <c r="AJ72"/>
  <c r="AL68"/>
  <c r="DM68" s="1"/>
  <c r="AJ68"/>
  <c r="AJ64"/>
  <c r="AL64"/>
  <c r="DM64" s="1"/>
  <c r="AJ60"/>
  <c r="AL60"/>
  <c r="DM60" s="1"/>
  <c r="AL56"/>
  <c r="DM56" s="1"/>
  <c r="AJ56"/>
  <c r="AL52"/>
  <c r="DM52" s="1"/>
  <c r="AJ52"/>
  <c r="AJ48"/>
  <c r="AL48"/>
  <c r="DM48" s="1"/>
  <c r="AJ44"/>
  <c r="AL44"/>
  <c r="DM44" s="1"/>
  <c r="AL40"/>
  <c r="DM40" s="1"/>
  <c r="AJ40"/>
  <c r="AJ11"/>
  <c r="AJ205"/>
  <c r="AL205"/>
  <c r="DM205" s="1"/>
  <c r="AJ201"/>
  <c r="AL201"/>
  <c r="DM201" s="1"/>
  <c r="AJ197"/>
  <c r="AL197"/>
  <c r="DM197" s="1"/>
  <c r="AJ193"/>
  <c r="AL193"/>
  <c r="DM193" s="1"/>
  <c r="AJ189"/>
  <c r="AL189"/>
  <c r="DM189" s="1"/>
  <c r="AJ185"/>
  <c r="AL185"/>
  <c r="DM185" s="1"/>
  <c r="AJ181"/>
  <c r="AL181"/>
  <c r="DM181" s="1"/>
  <c r="AJ177"/>
  <c r="AL177"/>
  <c r="DM177" s="1"/>
  <c r="AJ173"/>
  <c r="AL173"/>
  <c r="DM173" s="1"/>
  <c r="AJ169"/>
  <c r="AL169"/>
  <c r="DM169" s="1"/>
  <c r="AJ165"/>
  <c r="AL165"/>
  <c r="DM165" s="1"/>
  <c r="AJ161"/>
  <c r="AL161"/>
  <c r="DM161" s="1"/>
  <c r="AJ157"/>
  <c r="AL157"/>
  <c r="DM157" s="1"/>
  <c r="AJ153"/>
  <c r="AL153"/>
  <c r="DM153" s="1"/>
  <c r="AJ149"/>
  <c r="AL149"/>
  <c r="DM149" s="1"/>
  <c r="AJ145"/>
  <c r="AL145"/>
  <c r="DM145" s="1"/>
  <c r="AJ141"/>
  <c r="AL141"/>
  <c r="DM141" s="1"/>
  <c r="AJ137"/>
  <c r="AL137"/>
  <c r="DM137" s="1"/>
  <c r="AJ133"/>
  <c r="AL133"/>
  <c r="DM133" s="1"/>
  <c r="AJ129"/>
  <c r="AL129"/>
  <c r="DM129" s="1"/>
  <c r="AJ125"/>
  <c r="AL125"/>
  <c r="DM125" s="1"/>
  <c r="AJ121"/>
  <c r="AL121"/>
  <c r="DM121" s="1"/>
  <c r="AJ117"/>
  <c r="AL117"/>
  <c r="DM117" s="1"/>
  <c r="AJ113"/>
  <c r="AL113"/>
  <c r="DM113" s="1"/>
  <c r="AJ109"/>
  <c r="AL109"/>
  <c r="DM109" s="1"/>
  <c r="AJ105"/>
  <c r="AL105"/>
  <c r="DM105" s="1"/>
  <c r="AJ101"/>
  <c r="AL101"/>
  <c r="DM101" s="1"/>
  <c r="AJ97"/>
  <c r="AL97"/>
  <c r="DM97" s="1"/>
  <c r="AJ93"/>
  <c r="AL93"/>
  <c r="DM93" s="1"/>
  <c r="AJ89"/>
  <c r="AL89"/>
  <c r="DM89" s="1"/>
  <c r="AJ85"/>
  <c r="AL85"/>
  <c r="DM85" s="1"/>
  <c r="AJ81"/>
  <c r="AL81"/>
  <c r="DM81" s="1"/>
  <c r="AJ77"/>
  <c r="AL77"/>
  <c r="DM77" s="1"/>
  <c r="AJ73"/>
  <c r="AL73"/>
  <c r="DM73" s="1"/>
  <c r="AL69"/>
  <c r="DM69" s="1"/>
  <c r="AJ69"/>
  <c r="AJ65"/>
  <c r="AL65"/>
  <c r="DM65" s="1"/>
  <c r="AL61"/>
  <c r="DM61" s="1"/>
  <c r="AJ61"/>
  <c r="AJ57"/>
  <c r="AL57"/>
  <c r="DM57" s="1"/>
  <c r="AL53"/>
  <c r="DM53" s="1"/>
  <c r="AJ53"/>
  <c r="AJ49"/>
  <c r="AL49"/>
  <c r="DM49" s="1"/>
  <c r="AJ45"/>
  <c r="AL45"/>
  <c r="DM45" s="1"/>
  <c r="AJ41"/>
  <c r="AL41"/>
  <c r="DM41" s="1"/>
  <c r="AJ12"/>
  <c r="AJ8"/>
  <c r="AJ37"/>
  <c r="AJ33"/>
  <c r="AJ29"/>
  <c r="AJ25"/>
  <c r="AJ21"/>
  <c r="AJ34"/>
  <c r="AJ30"/>
  <c r="AJ26"/>
  <c r="AJ22"/>
  <c r="AJ18"/>
  <c r="AJ35"/>
  <c r="AJ31"/>
  <c r="AJ27"/>
  <c r="AJ23"/>
  <c r="AJ19"/>
  <c r="AJ36"/>
  <c r="AJ32"/>
  <c r="AJ28"/>
  <c r="AJ24"/>
  <c r="AJ20"/>
  <c r="V205"/>
  <c r="X205"/>
  <c r="DL205" s="1"/>
  <c r="V201"/>
  <c r="X201"/>
  <c r="DL201" s="1"/>
  <c r="V197"/>
  <c r="X197"/>
  <c r="DL197" s="1"/>
  <c r="V193"/>
  <c r="X193"/>
  <c r="DL193" s="1"/>
  <c r="V189"/>
  <c r="X189"/>
  <c r="DL189" s="1"/>
  <c r="V185"/>
  <c r="X185"/>
  <c r="DL185" s="1"/>
  <c r="V181"/>
  <c r="X181"/>
  <c r="DL181" s="1"/>
  <c r="V177"/>
  <c r="X177"/>
  <c r="DL177" s="1"/>
  <c r="V173"/>
  <c r="X173"/>
  <c r="DL173" s="1"/>
  <c r="V169"/>
  <c r="X169"/>
  <c r="DL169" s="1"/>
  <c r="V165"/>
  <c r="X165"/>
  <c r="DL165" s="1"/>
  <c r="V161"/>
  <c r="X161"/>
  <c r="DL161" s="1"/>
  <c r="V157"/>
  <c r="X157"/>
  <c r="DL157" s="1"/>
  <c r="V153"/>
  <c r="X153"/>
  <c r="DL153" s="1"/>
  <c r="V149"/>
  <c r="X149"/>
  <c r="DL149" s="1"/>
  <c r="V145"/>
  <c r="X145"/>
  <c r="DL145" s="1"/>
  <c r="V141"/>
  <c r="X141"/>
  <c r="DL141" s="1"/>
  <c r="V137"/>
  <c r="X137"/>
  <c r="DL137" s="1"/>
  <c r="V133"/>
  <c r="X133"/>
  <c r="DL133" s="1"/>
  <c r="V129"/>
  <c r="X129"/>
  <c r="DL129" s="1"/>
  <c r="V125"/>
  <c r="X125"/>
  <c r="DL125" s="1"/>
  <c r="V121"/>
  <c r="X121"/>
  <c r="DL121" s="1"/>
  <c r="V117"/>
  <c r="X117"/>
  <c r="DL117" s="1"/>
  <c r="V113"/>
  <c r="X113"/>
  <c r="DL113" s="1"/>
  <c r="V109"/>
  <c r="X109"/>
  <c r="DL109" s="1"/>
  <c r="V105"/>
  <c r="X105"/>
  <c r="DL105" s="1"/>
  <c r="V101"/>
  <c r="X101"/>
  <c r="DL101" s="1"/>
  <c r="V97"/>
  <c r="X97"/>
  <c r="DL97" s="1"/>
  <c r="V93"/>
  <c r="X93"/>
  <c r="DL93" s="1"/>
  <c r="V89"/>
  <c r="X89"/>
  <c r="DL89" s="1"/>
  <c r="V85"/>
  <c r="X85"/>
  <c r="DL85" s="1"/>
  <c r="V81"/>
  <c r="X81"/>
  <c r="DL81" s="1"/>
  <c r="V77"/>
  <c r="X77"/>
  <c r="DL77" s="1"/>
  <c r="V73"/>
  <c r="X73"/>
  <c r="DL73" s="1"/>
  <c r="V69"/>
  <c r="X69"/>
  <c r="DL69" s="1"/>
  <c r="V65"/>
  <c r="X65"/>
  <c r="DL65" s="1"/>
  <c r="V61"/>
  <c r="X61"/>
  <c r="DL61" s="1"/>
  <c r="V57"/>
  <c r="X57"/>
  <c r="DL57" s="1"/>
  <c r="V53"/>
  <c r="X53"/>
  <c r="DL53" s="1"/>
  <c r="V49"/>
  <c r="X49"/>
  <c r="DL49" s="1"/>
  <c r="V45"/>
  <c r="X45"/>
  <c r="DL45" s="1"/>
  <c r="V41"/>
  <c r="X41"/>
  <c r="DL41" s="1"/>
  <c r="V37"/>
  <c r="V33"/>
  <c r="V29"/>
  <c r="V25"/>
  <c r="V21"/>
  <c r="X21" s="1"/>
  <c r="DL21" s="1"/>
  <c r="V17"/>
  <c r="V13"/>
  <c r="V9"/>
  <c r="V206"/>
  <c r="X206"/>
  <c r="DL206" s="1"/>
  <c r="V202"/>
  <c r="X202"/>
  <c r="DL202" s="1"/>
  <c r="V198"/>
  <c r="X198"/>
  <c r="DL198" s="1"/>
  <c r="V194"/>
  <c r="X194"/>
  <c r="DL194" s="1"/>
  <c r="V190"/>
  <c r="X190"/>
  <c r="DL190" s="1"/>
  <c r="V186"/>
  <c r="X186"/>
  <c r="DL186" s="1"/>
  <c r="V182"/>
  <c r="X182"/>
  <c r="DL182" s="1"/>
  <c r="V178"/>
  <c r="X178"/>
  <c r="DL178" s="1"/>
  <c r="V174"/>
  <c r="X174"/>
  <c r="DL174" s="1"/>
  <c r="V170"/>
  <c r="X170"/>
  <c r="DL170" s="1"/>
  <c r="V166"/>
  <c r="X166"/>
  <c r="DL166" s="1"/>
  <c r="V162"/>
  <c r="X162"/>
  <c r="DL162" s="1"/>
  <c r="V158"/>
  <c r="X158"/>
  <c r="DL158" s="1"/>
  <c r="V154"/>
  <c r="X154"/>
  <c r="DL154" s="1"/>
  <c r="V150"/>
  <c r="X150"/>
  <c r="DL150" s="1"/>
  <c r="V146"/>
  <c r="X146"/>
  <c r="DL146" s="1"/>
  <c r="V142"/>
  <c r="X142"/>
  <c r="DL142" s="1"/>
  <c r="V138"/>
  <c r="X138"/>
  <c r="DL138" s="1"/>
  <c r="V134"/>
  <c r="X134"/>
  <c r="DL134" s="1"/>
  <c r="V130"/>
  <c r="X130"/>
  <c r="DL130" s="1"/>
  <c r="V126"/>
  <c r="X126"/>
  <c r="DL126" s="1"/>
  <c r="V122"/>
  <c r="X122"/>
  <c r="DL122" s="1"/>
  <c r="V118"/>
  <c r="X118"/>
  <c r="DL118" s="1"/>
  <c r="V114"/>
  <c r="X114"/>
  <c r="DL114" s="1"/>
  <c r="V110"/>
  <c r="X110"/>
  <c r="DL110" s="1"/>
  <c r="V106"/>
  <c r="X106"/>
  <c r="DL106" s="1"/>
  <c r="V102"/>
  <c r="X102"/>
  <c r="DL102" s="1"/>
  <c r="V98"/>
  <c r="X98"/>
  <c r="DL98" s="1"/>
  <c r="V94"/>
  <c r="X94"/>
  <c r="DL94" s="1"/>
  <c r="V90"/>
  <c r="X90"/>
  <c r="DL90" s="1"/>
  <c r="V86"/>
  <c r="X86"/>
  <c r="DL86" s="1"/>
  <c r="V82"/>
  <c r="X82"/>
  <c r="DL82" s="1"/>
  <c r="V78"/>
  <c r="X78"/>
  <c r="DL78" s="1"/>
  <c r="V74"/>
  <c r="X74"/>
  <c r="DL74" s="1"/>
  <c r="V70"/>
  <c r="X70"/>
  <c r="DL70" s="1"/>
  <c r="V66"/>
  <c r="X66"/>
  <c r="DL66" s="1"/>
  <c r="V62"/>
  <c r="X62"/>
  <c r="DL62" s="1"/>
  <c r="V58"/>
  <c r="X58"/>
  <c r="DL58" s="1"/>
  <c r="V54"/>
  <c r="X54"/>
  <c r="DL54" s="1"/>
  <c r="V50"/>
  <c r="X50"/>
  <c r="DL50" s="1"/>
  <c r="V46"/>
  <c r="X46"/>
  <c r="DL46" s="1"/>
  <c r="V42"/>
  <c r="X42"/>
  <c r="DL42" s="1"/>
  <c r="V38"/>
  <c r="X38"/>
  <c r="DL38" s="1"/>
  <c r="V34"/>
  <c r="V30"/>
  <c r="V26"/>
  <c r="V22"/>
  <c r="V18"/>
  <c r="V14"/>
  <c r="V10"/>
  <c r="V203"/>
  <c r="X203"/>
  <c r="DL203" s="1"/>
  <c r="V199"/>
  <c r="X199"/>
  <c r="DL199" s="1"/>
  <c r="V195"/>
  <c r="X195"/>
  <c r="DL195" s="1"/>
  <c r="V191"/>
  <c r="X191"/>
  <c r="DL191" s="1"/>
  <c r="V187"/>
  <c r="X187"/>
  <c r="DL187" s="1"/>
  <c r="V183"/>
  <c r="X183"/>
  <c r="DL183" s="1"/>
  <c r="V179"/>
  <c r="X179"/>
  <c r="DL179" s="1"/>
  <c r="V175"/>
  <c r="X175"/>
  <c r="DL175" s="1"/>
  <c r="V171"/>
  <c r="X171"/>
  <c r="DL171" s="1"/>
  <c r="V167"/>
  <c r="X167"/>
  <c r="DL167" s="1"/>
  <c r="V163"/>
  <c r="X163"/>
  <c r="DL163" s="1"/>
  <c r="V159"/>
  <c r="X159"/>
  <c r="DL159" s="1"/>
  <c r="V155"/>
  <c r="X155"/>
  <c r="DL155" s="1"/>
  <c r="V151"/>
  <c r="X151"/>
  <c r="DL151" s="1"/>
  <c r="V147"/>
  <c r="X147"/>
  <c r="DL147" s="1"/>
  <c r="V143"/>
  <c r="X143"/>
  <c r="DL143" s="1"/>
  <c r="V139"/>
  <c r="X139"/>
  <c r="DL139" s="1"/>
  <c r="V135"/>
  <c r="X135"/>
  <c r="DL135" s="1"/>
  <c r="V131"/>
  <c r="X131"/>
  <c r="DL131" s="1"/>
  <c r="V127"/>
  <c r="X127"/>
  <c r="DL127" s="1"/>
  <c r="V123"/>
  <c r="X123"/>
  <c r="DL123" s="1"/>
  <c r="V119"/>
  <c r="X119"/>
  <c r="DL119" s="1"/>
  <c r="V115"/>
  <c r="X115"/>
  <c r="DL115" s="1"/>
  <c r="V111"/>
  <c r="X111"/>
  <c r="DL111" s="1"/>
  <c r="V107"/>
  <c r="X107"/>
  <c r="DL107" s="1"/>
  <c r="V103"/>
  <c r="X103"/>
  <c r="DL103" s="1"/>
  <c r="V99"/>
  <c r="X99"/>
  <c r="DL99" s="1"/>
  <c r="V95"/>
  <c r="X95"/>
  <c r="DL95" s="1"/>
  <c r="V91"/>
  <c r="X91"/>
  <c r="DL91" s="1"/>
  <c r="V87"/>
  <c r="X87"/>
  <c r="DL87" s="1"/>
  <c r="V83"/>
  <c r="X83"/>
  <c r="DL83" s="1"/>
  <c r="V79"/>
  <c r="X79"/>
  <c r="DL79" s="1"/>
  <c r="V75"/>
  <c r="X75"/>
  <c r="DL75" s="1"/>
  <c r="V71"/>
  <c r="X71"/>
  <c r="DL71" s="1"/>
  <c r="V67"/>
  <c r="X67"/>
  <c r="DL67" s="1"/>
  <c r="V63"/>
  <c r="X63"/>
  <c r="DL63" s="1"/>
  <c r="V59"/>
  <c r="X59"/>
  <c r="DL59" s="1"/>
  <c r="V55"/>
  <c r="X55"/>
  <c r="DL55" s="1"/>
  <c r="V51"/>
  <c r="X51"/>
  <c r="DL51" s="1"/>
  <c r="V47"/>
  <c r="X47"/>
  <c r="DL47" s="1"/>
  <c r="V43"/>
  <c r="X43"/>
  <c r="DL43" s="1"/>
  <c r="V39"/>
  <c r="X39"/>
  <c r="DL39" s="1"/>
  <c r="V35"/>
  <c r="V31"/>
  <c r="V27"/>
  <c r="V23"/>
  <c r="V19"/>
  <c r="V15"/>
  <c r="V11"/>
  <c r="X204"/>
  <c r="DL204" s="1"/>
  <c r="V204"/>
  <c r="X200"/>
  <c r="DL200" s="1"/>
  <c r="V200"/>
  <c r="X196"/>
  <c r="DL196" s="1"/>
  <c r="V196"/>
  <c r="X192"/>
  <c r="DL192" s="1"/>
  <c r="V192"/>
  <c r="X188"/>
  <c r="DL188" s="1"/>
  <c r="V188"/>
  <c r="X184"/>
  <c r="DL184" s="1"/>
  <c r="V184"/>
  <c r="X180"/>
  <c r="DL180" s="1"/>
  <c r="V180"/>
  <c r="X176"/>
  <c r="DL176" s="1"/>
  <c r="V176"/>
  <c r="X172"/>
  <c r="DL172" s="1"/>
  <c r="V172"/>
  <c r="X168"/>
  <c r="DL168" s="1"/>
  <c r="V168"/>
  <c r="X164"/>
  <c r="DL164" s="1"/>
  <c r="V164"/>
  <c r="X160"/>
  <c r="DL160" s="1"/>
  <c r="V160"/>
  <c r="X156"/>
  <c r="DL156" s="1"/>
  <c r="V156"/>
  <c r="X152"/>
  <c r="DL152" s="1"/>
  <c r="V152"/>
  <c r="X148"/>
  <c r="DL148" s="1"/>
  <c r="V148"/>
  <c r="X144"/>
  <c r="DL144" s="1"/>
  <c r="V144"/>
  <c r="X140"/>
  <c r="DL140" s="1"/>
  <c r="V140"/>
  <c r="X136"/>
  <c r="DL136" s="1"/>
  <c r="V136"/>
  <c r="X132"/>
  <c r="DL132" s="1"/>
  <c r="V132"/>
  <c r="X128"/>
  <c r="DL128" s="1"/>
  <c r="V128"/>
  <c r="X124"/>
  <c r="DL124" s="1"/>
  <c r="V124"/>
  <c r="X120"/>
  <c r="DL120" s="1"/>
  <c r="V120"/>
  <c r="X116"/>
  <c r="DL116" s="1"/>
  <c r="V116"/>
  <c r="X112"/>
  <c r="DL112" s="1"/>
  <c r="V112"/>
  <c r="X108"/>
  <c r="DL108" s="1"/>
  <c r="V108"/>
  <c r="X104"/>
  <c r="DL104" s="1"/>
  <c r="V104"/>
  <c r="X100"/>
  <c r="DL100" s="1"/>
  <c r="V100"/>
  <c r="X96"/>
  <c r="DL96" s="1"/>
  <c r="V96"/>
  <c r="X92"/>
  <c r="DL92" s="1"/>
  <c r="V92"/>
  <c r="X88"/>
  <c r="DL88" s="1"/>
  <c r="V88"/>
  <c r="X84"/>
  <c r="DL84" s="1"/>
  <c r="V84"/>
  <c r="X80"/>
  <c r="DL80" s="1"/>
  <c r="V80"/>
  <c r="X76"/>
  <c r="DL76" s="1"/>
  <c r="V76"/>
  <c r="X72"/>
  <c r="DL72" s="1"/>
  <c r="V72"/>
  <c r="X68"/>
  <c r="DL68" s="1"/>
  <c r="V68"/>
  <c r="X64"/>
  <c r="DL64" s="1"/>
  <c r="V64"/>
  <c r="X60"/>
  <c r="DL60" s="1"/>
  <c r="V60"/>
  <c r="X56"/>
  <c r="DL56" s="1"/>
  <c r="V56"/>
  <c r="X52"/>
  <c r="DL52" s="1"/>
  <c r="V52"/>
  <c r="X48"/>
  <c r="DL48" s="1"/>
  <c r="V48"/>
  <c r="X44"/>
  <c r="DL44" s="1"/>
  <c r="V44"/>
  <c r="X40"/>
  <c r="DL40" s="1"/>
  <c r="V40"/>
  <c r="V36"/>
  <c r="V32"/>
  <c r="V28"/>
  <c r="V24"/>
  <c r="V20"/>
  <c r="V16"/>
  <c r="V12"/>
  <c r="V8"/>
  <c r="BR5" i="8"/>
  <c r="BQ5"/>
  <c r="BP5"/>
  <c r="BO5"/>
  <c r="BN5"/>
  <c r="BM5"/>
  <c r="BL5"/>
  <c r="BK5"/>
  <c r="BO4"/>
  <c r="BF5"/>
  <c r="BM4"/>
  <c r="BE5"/>
  <c r="BK4"/>
  <c r="BD5"/>
  <c r="BD4"/>
  <c r="BQ4"/>
  <c r="BG5"/>
  <c r="BG4"/>
  <c r="BA5"/>
  <c r="AZ5"/>
  <c r="AY5"/>
  <c r="BC4"/>
  <c r="BB4"/>
  <c r="AY4"/>
  <c r="AP4"/>
  <c r="AO4"/>
  <c r="AK4"/>
  <c r="AJ4"/>
  <c r="AF4"/>
  <c r="AE4"/>
  <c r="AA4"/>
  <c r="Z4"/>
  <c r="U4"/>
  <c r="T4"/>
  <c r="AX5"/>
  <c r="BX4"/>
  <c r="BT5"/>
  <c r="BS5"/>
  <c r="BS4"/>
  <c r="BJ5"/>
  <c r="BI5"/>
  <c r="BH5"/>
  <c r="BI4"/>
  <c r="AW5"/>
  <c r="AV5"/>
  <c r="AU5"/>
  <c r="J3"/>
  <c r="K3"/>
  <c r="I3" i="11" s="1"/>
  <c r="I4" i="8"/>
  <c r="H4" i="9" s="1"/>
  <c r="U245" i="19" l="1"/>
  <c r="AA268"/>
  <c r="AW218"/>
  <c r="AW220"/>
  <c r="BA219"/>
  <c r="BC219"/>
  <c r="AX246"/>
  <c r="AV246"/>
  <c r="AW246"/>
  <c r="BB217"/>
  <c r="BB219"/>
  <c r="K256"/>
  <c r="X20" i="9"/>
  <c r="DL20" s="1"/>
  <c r="X16"/>
  <c r="DL16" s="1"/>
  <c r="X32"/>
  <c r="DL32" s="1"/>
  <c r="X19"/>
  <c r="DL19" s="1"/>
  <c r="X35"/>
  <c r="DL35" s="1"/>
  <c r="X22"/>
  <c r="DL22" s="1"/>
  <c r="X17"/>
  <c r="DL17" s="1"/>
  <c r="X33"/>
  <c r="DL33" s="1"/>
  <c r="AK28"/>
  <c r="AL28" s="1"/>
  <c r="DM28" s="1"/>
  <c r="AK23"/>
  <c r="AL23" s="1"/>
  <c r="DM23" s="1"/>
  <c r="AK18"/>
  <c r="AL18" s="1"/>
  <c r="DM18" s="1"/>
  <c r="AK34"/>
  <c r="AL34" s="1"/>
  <c r="DM34" s="1"/>
  <c r="AK33"/>
  <c r="AL33" s="1"/>
  <c r="DM33" s="1"/>
  <c r="AK11"/>
  <c r="AL11" s="1"/>
  <c r="DM11" s="1"/>
  <c r="AK13"/>
  <c r="AL13" s="1"/>
  <c r="DM13" s="1"/>
  <c r="AK17"/>
  <c r="AL17" s="1"/>
  <c r="DM17" s="1"/>
  <c r="AZ19"/>
  <c r="BA19" s="1"/>
  <c r="DN19" s="1"/>
  <c r="AZ11"/>
  <c r="BA11" s="1"/>
  <c r="DN11" s="1"/>
  <c r="AZ32"/>
  <c r="BA32" s="1"/>
  <c r="DN32" s="1"/>
  <c r="AZ25"/>
  <c r="BA25" s="1"/>
  <c r="DN25" s="1"/>
  <c r="AZ13"/>
  <c r="BA13" s="1"/>
  <c r="DN13" s="1"/>
  <c r="BN12"/>
  <c r="BO12" s="1"/>
  <c r="BN24"/>
  <c r="BO24" s="1"/>
  <c r="BN21"/>
  <c r="BO21" s="1"/>
  <c r="BN37"/>
  <c r="BO37" s="1"/>
  <c r="DO37" s="1"/>
  <c r="BN14"/>
  <c r="BO14" s="1"/>
  <c r="BN18"/>
  <c r="BO18" s="1"/>
  <c r="BN26"/>
  <c r="BO26" s="1"/>
  <c r="DO26" s="1"/>
  <c r="BN34"/>
  <c r="BO34" s="1"/>
  <c r="DO34" s="1"/>
  <c r="CB19"/>
  <c r="CC19" s="1"/>
  <c r="DP19" s="1"/>
  <c r="CB27"/>
  <c r="CC27" s="1"/>
  <c r="DP27" s="1"/>
  <c r="CB35"/>
  <c r="CC35" s="1"/>
  <c r="DP35" s="1"/>
  <c r="BN32"/>
  <c r="BO32" s="1"/>
  <c r="DO32" s="1"/>
  <c r="CB29"/>
  <c r="CC29" s="1"/>
  <c r="DP29" s="1"/>
  <c r="CB13"/>
  <c r="CC13" s="1"/>
  <c r="DP13" s="1"/>
  <c r="CB17"/>
  <c r="CC17" s="1"/>
  <c r="DP17" s="1"/>
  <c r="CB30"/>
  <c r="CC30" s="1"/>
  <c r="DP30" s="1"/>
  <c r="CQ8"/>
  <c r="CR8" s="1"/>
  <c r="DQ8" s="1"/>
  <c r="CQ19"/>
  <c r="CR19" s="1"/>
  <c r="DQ19" s="1"/>
  <c r="CQ35"/>
  <c r="CR35" s="1"/>
  <c r="DQ35" s="1"/>
  <c r="CQ20"/>
  <c r="CR20" s="1"/>
  <c r="DQ20" s="1"/>
  <c r="CQ28"/>
  <c r="CR28" s="1"/>
  <c r="DQ28" s="1"/>
  <c r="CQ15"/>
  <c r="CR15" s="1"/>
  <c r="DQ15" s="1"/>
  <c r="CQ25"/>
  <c r="CR25" s="1"/>
  <c r="DQ25" s="1"/>
  <c r="CQ33"/>
  <c r="CR33" s="1"/>
  <c r="DQ33" s="1"/>
  <c r="CQ13"/>
  <c r="CR13" s="1"/>
  <c r="DQ13" s="1"/>
  <c r="CQ17"/>
  <c r="CR17" s="1"/>
  <c r="DQ17" s="1"/>
  <c r="GM10"/>
  <c r="X55" i="19"/>
  <c r="S7" i="11"/>
  <c r="GM111" i="9"/>
  <c r="S108" i="11"/>
  <c r="GM9" i="9"/>
  <c r="H55" i="19"/>
  <c r="S6" i="11"/>
  <c r="S11"/>
  <c r="X115" i="19"/>
  <c r="S13" i="11"/>
  <c r="X145" i="19"/>
  <c r="X28" i="9"/>
  <c r="DL28" s="1"/>
  <c r="X31"/>
  <c r="DL31" s="1"/>
  <c r="X18"/>
  <c r="DL18" s="1"/>
  <c r="X29"/>
  <c r="DL29" s="1"/>
  <c r="AK24"/>
  <c r="AL24" s="1"/>
  <c r="DM24" s="1"/>
  <c r="AK19"/>
  <c r="AL19" s="1"/>
  <c r="DM19" s="1"/>
  <c r="AK35"/>
  <c r="AL35" s="1"/>
  <c r="DM35" s="1"/>
  <c r="AK30"/>
  <c r="AL30" s="1"/>
  <c r="DM30" s="1"/>
  <c r="AK29"/>
  <c r="AL29" s="1"/>
  <c r="DM29" s="1"/>
  <c r="AK12"/>
  <c r="AL12" s="1"/>
  <c r="DM12" s="1"/>
  <c r="AK9"/>
  <c r="AL9" s="1"/>
  <c r="DM9" s="1"/>
  <c r="AK16"/>
  <c r="AL16" s="1"/>
  <c r="DM16" s="1"/>
  <c r="AZ12"/>
  <c r="BA12" s="1"/>
  <c r="DN12" s="1"/>
  <c r="AZ31"/>
  <c r="BA31" s="1"/>
  <c r="DN31" s="1"/>
  <c r="AZ28"/>
  <c r="BA28" s="1"/>
  <c r="DN28" s="1"/>
  <c r="AZ21"/>
  <c r="BA21" s="1"/>
  <c r="DN21" s="1"/>
  <c r="AZ37"/>
  <c r="BA37" s="1"/>
  <c r="DN37" s="1"/>
  <c r="AZ17"/>
  <c r="BA17" s="1"/>
  <c r="DN17" s="1"/>
  <c r="AZ8"/>
  <c r="BA8" s="1"/>
  <c r="DN8" s="1"/>
  <c r="BN20"/>
  <c r="BO20" s="1"/>
  <c r="AZ10"/>
  <c r="BA10" s="1"/>
  <c r="DN10" s="1"/>
  <c r="BN33"/>
  <c r="BO33" s="1"/>
  <c r="DO33" s="1"/>
  <c r="BN13"/>
  <c r="BO13" s="1"/>
  <c r="BN17"/>
  <c r="BO17" s="1"/>
  <c r="AZ22"/>
  <c r="BA22" s="1"/>
  <c r="DN22" s="1"/>
  <c r="AZ30"/>
  <c r="BA30" s="1"/>
  <c r="DN30" s="1"/>
  <c r="BN23"/>
  <c r="BO23" s="1"/>
  <c r="BN31"/>
  <c r="BO31" s="1"/>
  <c r="DO31" s="1"/>
  <c r="CB32"/>
  <c r="CC32" s="1"/>
  <c r="DP32" s="1"/>
  <c r="CB25"/>
  <c r="CC25" s="1"/>
  <c r="DP25" s="1"/>
  <c r="CB9"/>
  <c r="CC9" s="1"/>
  <c r="DP9" s="1"/>
  <c r="BN15"/>
  <c r="BO15" s="1"/>
  <c r="CB26"/>
  <c r="CC26" s="1"/>
  <c r="DP26" s="1"/>
  <c r="CB12"/>
  <c r="CC12" s="1"/>
  <c r="DP12" s="1"/>
  <c r="CQ31"/>
  <c r="CR31" s="1"/>
  <c r="DQ31" s="1"/>
  <c r="CQ11"/>
  <c r="CR11" s="1"/>
  <c r="DQ11" s="1"/>
  <c r="CB24"/>
  <c r="CC24" s="1"/>
  <c r="DP24" s="1"/>
  <c r="CQ36"/>
  <c r="CR36" s="1"/>
  <c r="DQ36" s="1"/>
  <c r="CQ26"/>
  <c r="CR26" s="1"/>
  <c r="DQ26" s="1"/>
  <c r="CQ34"/>
  <c r="CR34" s="1"/>
  <c r="DQ34" s="1"/>
  <c r="S9" i="11"/>
  <c r="X85" i="19"/>
  <c r="GM65" i="9"/>
  <c r="S62" i="11"/>
  <c r="GM129" i="9"/>
  <c r="S126" i="11"/>
  <c r="H85" i="19"/>
  <c r="S8" i="11"/>
  <c r="GM121" i="9"/>
  <c r="GM52"/>
  <c r="GM68"/>
  <c r="GM84"/>
  <c r="GM100"/>
  <c r="GM116"/>
  <c r="X36"/>
  <c r="DL36" s="1"/>
  <c r="X12"/>
  <c r="DL12" s="1"/>
  <c r="X15"/>
  <c r="DL15" s="1"/>
  <c r="X34"/>
  <c r="DL34" s="1"/>
  <c r="X13"/>
  <c r="DL13" s="1"/>
  <c r="X8"/>
  <c r="DL8" s="1"/>
  <c r="X24"/>
  <c r="DL24" s="1"/>
  <c r="X11"/>
  <c r="DL11" s="1"/>
  <c r="X27"/>
  <c r="DL27" s="1"/>
  <c r="X14"/>
  <c r="DL14" s="1"/>
  <c r="X30"/>
  <c r="DL30" s="1"/>
  <c r="X9"/>
  <c r="DL9" s="1"/>
  <c r="X25"/>
  <c r="DL25" s="1"/>
  <c r="AK20"/>
  <c r="AL20" s="1"/>
  <c r="DM20" s="1"/>
  <c r="AK36"/>
  <c r="AL36" s="1"/>
  <c r="DM36" s="1"/>
  <c r="AK31"/>
  <c r="AL31" s="1"/>
  <c r="DM31" s="1"/>
  <c r="AK26"/>
  <c r="AL26" s="1"/>
  <c r="DM26" s="1"/>
  <c r="AK25"/>
  <c r="AL25" s="1"/>
  <c r="DM25" s="1"/>
  <c r="AK8"/>
  <c r="AL8" s="1"/>
  <c r="DM8" s="1"/>
  <c r="AK10"/>
  <c r="AL10" s="1"/>
  <c r="DM10" s="1"/>
  <c r="AK15"/>
  <c r="AL15" s="1"/>
  <c r="DM15" s="1"/>
  <c r="AZ27"/>
  <c r="BA27" s="1"/>
  <c r="DN27" s="1"/>
  <c r="AZ24"/>
  <c r="BA24" s="1"/>
  <c r="DN24" s="1"/>
  <c r="AZ33"/>
  <c r="BA33" s="1"/>
  <c r="DN33" s="1"/>
  <c r="AZ16"/>
  <c r="BA16" s="1"/>
  <c r="DN16" s="1"/>
  <c r="BN8"/>
  <c r="BO8" s="1"/>
  <c r="AZ35"/>
  <c r="BA35" s="1"/>
  <c r="DN35" s="1"/>
  <c r="BN10"/>
  <c r="BO10" s="1"/>
  <c r="BN29"/>
  <c r="BO29" s="1"/>
  <c r="DO29" s="1"/>
  <c r="AZ9"/>
  <c r="BA9" s="1"/>
  <c r="DN9" s="1"/>
  <c r="BN16"/>
  <c r="BO16" s="1"/>
  <c r="BN22"/>
  <c r="BO22" s="1"/>
  <c r="BN30"/>
  <c r="BO30" s="1"/>
  <c r="DO30" s="1"/>
  <c r="CB23"/>
  <c r="CC23" s="1"/>
  <c r="DP23" s="1"/>
  <c r="CB31"/>
  <c r="CC31" s="1"/>
  <c r="DP31" s="1"/>
  <c r="BN11"/>
  <c r="BO11" s="1"/>
  <c r="BN36"/>
  <c r="BO36" s="1"/>
  <c r="DO36" s="1"/>
  <c r="CB21"/>
  <c r="CC21" s="1"/>
  <c r="DP21" s="1"/>
  <c r="CB37"/>
  <c r="CC37" s="1"/>
  <c r="DP37" s="1"/>
  <c r="CB15"/>
  <c r="CC15" s="1"/>
  <c r="DP15" s="1"/>
  <c r="CB22"/>
  <c r="CC22" s="1"/>
  <c r="DP22" s="1"/>
  <c r="CQ12"/>
  <c r="CR12" s="1"/>
  <c r="DQ12" s="1"/>
  <c r="CQ27"/>
  <c r="CR27" s="1"/>
  <c r="DQ27" s="1"/>
  <c r="CQ24"/>
  <c r="CR24" s="1"/>
  <c r="DQ24" s="1"/>
  <c r="CQ32"/>
  <c r="CR32" s="1"/>
  <c r="DQ32" s="1"/>
  <c r="CB16"/>
  <c r="CC16" s="1"/>
  <c r="DP16" s="1"/>
  <c r="CQ21"/>
  <c r="CR21" s="1"/>
  <c r="DQ21" s="1"/>
  <c r="CQ29"/>
  <c r="CR29" s="1"/>
  <c r="DQ29" s="1"/>
  <c r="CQ37"/>
  <c r="CR37" s="1"/>
  <c r="DQ37" s="1"/>
  <c r="CQ9"/>
  <c r="CR9" s="1"/>
  <c r="DQ9" s="1"/>
  <c r="CQ14"/>
  <c r="CR14" s="1"/>
  <c r="DQ14" s="1"/>
  <c r="CQ18"/>
  <c r="CR18" s="1"/>
  <c r="DQ18" s="1"/>
  <c r="GM45"/>
  <c r="S42" i="11"/>
  <c r="GM61" i="9"/>
  <c r="S58" i="11"/>
  <c r="GM69" i="9"/>
  <c r="S66" i="11"/>
  <c r="GM93" i="9"/>
  <c r="S90" i="11"/>
  <c r="GM101" i="9"/>
  <c r="S98" i="11"/>
  <c r="GM109" i="9"/>
  <c r="S106" i="11"/>
  <c r="GM125" i="9"/>
  <c r="S122" i="11"/>
  <c r="GM133" i="9"/>
  <c r="S130" i="11"/>
  <c r="GM141" i="9"/>
  <c r="S138" i="11"/>
  <c r="GM13" i="9"/>
  <c r="P28" i="4"/>
  <c r="P28" i="18"/>
  <c r="S10" i="11"/>
  <c r="H115" i="19"/>
  <c r="S12" i="11"/>
  <c r="H145" i="19"/>
  <c r="GM17" i="9"/>
  <c r="S14" i="11"/>
  <c r="H175" i="19"/>
  <c r="X23" i="9"/>
  <c r="DL23" s="1"/>
  <c r="X10"/>
  <c r="DL10" s="1"/>
  <c r="X26"/>
  <c r="DL26" s="1"/>
  <c r="X37"/>
  <c r="DL37" s="1"/>
  <c r="AK32"/>
  <c r="AL32" s="1"/>
  <c r="DM32" s="1"/>
  <c r="AK27"/>
  <c r="AL27" s="1"/>
  <c r="DM27" s="1"/>
  <c r="AK22"/>
  <c r="AL22" s="1"/>
  <c r="DM22" s="1"/>
  <c r="AK21"/>
  <c r="AL21" s="1"/>
  <c r="DM21" s="1"/>
  <c r="AK37"/>
  <c r="AL37" s="1"/>
  <c r="DM37" s="1"/>
  <c r="AK14"/>
  <c r="AL14" s="1"/>
  <c r="DM14" s="1"/>
  <c r="AZ23"/>
  <c r="BA23" s="1"/>
  <c r="DN23" s="1"/>
  <c r="AZ20"/>
  <c r="BA20" s="1"/>
  <c r="DN20" s="1"/>
  <c r="AZ36"/>
  <c r="BA36" s="1"/>
  <c r="DN36" s="1"/>
  <c r="AZ29"/>
  <c r="BA29" s="1"/>
  <c r="DN29" s="1"/>
  <c r="AZ15"/>
  <c r="BA15" s="1"/>
  <c r="DN15" s="1"/>
  <c r="BN35"/>
  <c r="BO35" s="1"/>
  <c r="DO35" s="1"/>
  <c r="BN28"/>
  <c r="BO28" s="1"/>
  <c r="DO28" s="1"/>
  <c r="BN25"/>
  <c r="BO25" s="1"/>
  <c r="DO25" s="1"/>
  <c r="BN9"/>
  <c r="BO9" s="1"/>
  <c r="AZ14"/>
  <c r="BA14" s="1"/>
  <c r="DN14" s="1"/>
  <c r="AZ18"/>
  <c r="BA18" s="1"/>
  <c r="DN18" s="1"/>
  <c r="AZ26"/>
  <c r="BA26" s="1"/>
  <c r="DN26" s="1"/>
  <c r="AZ34"/>
  <c r="BA34" s="1"/>
  <c r="DN34" s="1"/>
  <c r="BN19"/>
  <c r="BO19" s="1"/>
  <c r="BN27"/>
  <c r="BO27" s="1"/>
  <c r="DO27" s="1"/>
  <c r="CB11"/>
  <c r="CC11" s="1"/>
  <c r="DP11" s="1"/>
  <c r="CB36"/>
  <c r="CC36" s="1"/>
  <c r="DP36" s="1"/>
  <c r="CB10"/>
  <c r="CC10" s="1"/>
  <c r="DP10" s="1"/>
  <c r="CB33"/>
  <c r="CC33" s="1"/>
  <c r="DP33" s="1"/>
  <c r="CB14"/>
  <c r="CC14" s="1"/>
  <c r="DP14" s="1"/>
  <c r="CB18"/>
  <c r="CC18" s="1"/>
  <c r="DP18" s="1"/>
  <c r="CB34"/>
  <c r="CC34" s="1"/>
  <c r="DP34" s="1"/>
  <c r="CB8"/>
  <c r="CC8" s="1"/>
  <c r="DP8" s="1"/>
  <c r="CQ23"/>
  <c r="CR23" s="1"/>
  <c r="DQ23" s="1"/>
  <c r="CB20"/>
  <c r="CC20" s="1"/>
  <c r="DP20" s="1"/>
  <c r="CB28"/>
  <c r="CC28" s="1"/>
  <c r="DP28" s="1"/>
  <c r="CQ10"/>
  <c r="CR10" s="1"/>
  <c r="DQ10" s="1"/>
  <c r="CQ16"/>
  <c r="CR16" s="1"/>
  <c r="DQ16" s="1"/>
  <c r="CQ22"/>
  <c r="CR22" s="1"/>
  <c r="DQ22" s="1"/>
  <c r="CQ30"/>
  <c r="CR30" s="1"/>
  <c r="DQ30" s="1"/>
  <c r="S5" i="11"/>
  <c r="X25" i="19"/>
  <c r="GM57" i="9"/>
  <c r="S54" i="11"/>
  <c r="GM89" i="9"/>
  <c r="S86" i="11"/>
  <c r="GM105" i="9"/>
  <c r="S102" i="11"/>
  <c r="GM137" i="9"/>
  <c r="S134" i="11"/>
  <c r="GM75" i="9"/>
  <c r="S72" i="11"/>
  <c r="O27" i="18"/>
  <c r="O27" i="4"/>
  <c r="C260" i="19"/>
  <c r="K254"/>
  <c r="K255"/>
  <c r="K257"/>
  <c r="DJ12" i="9"/>
  <c r="DK12" s="1"/>
  <c r="DR12" s="1"/>
  <c r="DJ27"/>
  <c r="DK27" s="1"/>
  <c r="DJ36"/>
  <c r="DK36" s="1"/>
  <c r="DJ17"/>
  <c r="DK17" s="1"/>
  <c r="DK8"/>
  <c r="DJ32"/>
  <c r="DK32" s="1"/>
  <c r="DJ7"/>
  <c r="DK7" s="1"/>
  <c r="DJ29"/>
  <c r="DK29" s="1"/>
  <c r="DJ37"/>
  <c r="DK37" s="1"/>
  <c r="DJ9"/>
  <c r="DK9" s="1"/>
  <c r="DR9" s="1"/>
  <c r="DJ14"/>
  <c r="DK14" s="1"/>
  <c r="DJ26"/>
  <c r="DK26" s="1"/>
  <c r="DJ34"/>
  <c r="DK34" s="1"/>
  <c r="DJ16"/>
  <c r="DK16" s="1"/>
  <c r="DJ35"/>
  <c r="DK35" s="1"/>
  <c r="DJ28"/>
  <c r="DK28" s="1"/>
  <c r="DJ18"/>
  <c r="DK18" s="1"/>
  <c r="DJ15"/>
  <c r="DK15" s="1"/>
  <c r="DJ19"/>
  <c r="DK19" s="1"/>
  <c r="DJ31"/>
  <c r="DK31" s="1"/>
  <c r="DJ24"/>
  <c r="DK24" s="1"/>
  <c r="DJ25"/>
  <c r="DK25" s="1"/>
  <c r="DJ33"/>
  <c r="DK33" s="1"/>
  <c r="DJ13"/>
  <c r="DK13" s="1"/>
  <c r="DJ30"/>
  <c r="DK30" s="1"/>
  <c r="K253" i="19"/>
  <c r="N260"/>
  <c r="K260"/>
  <c r="K258"/>
  <c r="O261"/>
  <c r="L278"/>
  <c r="X264"/>
  <c r="Z260"/>
  <c r="AB257"/>
  <c r="AD257" s="1"/>
  <c r="U255"/>
  <c r="AE253"/>
  <c r="S246"/>
  <c r="AF263"/>
  <c r="W260"/>
  <c r="W256"/>
  <c r="U254"/>
  <c r="X260"/>
  <c r="T258"/>
  <c r="AB255"/>
  <c r="AD255" s="1"/>
  <c r="AB253"/>
  <c r="AD253" s="1"/>
  <c r="AC260"/>
  <c r="AE256"/>
  <c r="X255"/>
  <c r="Z255" s="1"/>
  <c r="V262"/>
  <c r="V258"/>
  <c r="AE255"/>
  <c r="T254"/>
  <c r="S247"/>
  <c r="AE260"/>
  <c r="AB256"/>
  <c r="AD256" s="1"/>
  <c r="R268"/>
  <c r="AB260"/>
  <c r="X258"/>
  <c r="Z258" s="1"/>
  <c r="U257"/>
  <c r="T256"/>
  <c r="V254"/>
  <c r="W268"/>
  <c r="AD262"/>
  <c r="AE258"/>
  <c r="V257"/>
  <c r="W254"/>
  <c r="AF262"/>
  <c r="R260"/>
  <c r="V256"/>
  <c r="X254"/>
  <c r="Z254" s="1"/>
  <c r="S248"/>
  <c r="X262"/>
  <c r="W258"/>
  <c r="T257"/>
  <c r="AE254"/>
  <c r="AB245"/>
  <c r="X263"/>
  <c r="X256"/>
  <c r="Z256" s="1"/>
  <c r="R255"/>
  <c r="AB246"/>
  <c r="BB245" s="1"/>
  <c r="V264"/>
  <c r="U260"/>
  <c r="U256"/>
  <c r="AB254"/>
  <c r="AD254" s="1"/>
  <c r="T253"/>
  <c r="AD263"/>
  <c r="V260"/>
  <c r="W257"/>
  <c r="U253"/>
  <c r="V244"/>
  <c r="V263"/>
  <c r="AB258"/>
  <c r="AD258" s="1"/>
  <c r="X257"/>
  <c r="Z257" s="1"/>
  <c r="V255"/>
  <c r="V253"/>
  <c r="AC264"/>
  <c r="T260"/>
  <c r="AE257"/>
  <c r="W255"/>
  <c r="W253"/>
  <c r="Y260"/>
  <c r="U258"/>
  <c r="T255"/>
  <c r="X253"/>
  <c r="Z253" s="1"/>
  <c r="C258"/>
  <c r="H3" i="11"/>
  <c r="I4" i="9"/>
  <c r="G3" i="15"/>
  <c r="G2" i="11"/>
  <c r="DX41" i="9"/>
  <c r="DR41"/>
  <c r="DV41" s="1"/>
  <c r="DX57"/>
  <c r="DR57"/>
  <c r="DW57" s="1"/>
  <c r="DX73"/>
  <c r="DR73"/>
  <c r="DS73" s="1"/>
  <c r="DX89"/>
  <c r="DR89"/>
  <c r="DU89" s="1"/>
  <c r="DX101"/>
  <c r="DR101"/>
  <c r="DU101" s="1"/>
  <c r="DX117"/>
  <c r="DR117"/>
  <c r="DW117" s="1"/>
  <c r="DX133"/>
  <c r="DR133"/>
  <c r="DU133" s="1"/>
  <c r="DX149"/>
  <c r="DR149"/>
  <c r="DW149" s="1"/>
  <c r="DX165"/>
  <c r="DR165"/>
  <c r="DU165" s="1"/>
  <c r="DX181"/>
  <c r="DR181"/>
  <c r="DT181" s="1"/>
  <c r="DX197"/>
  <c r="DR197"/>
  <c r="DU197" s="1"/>
  <c r="DX52"/>
  <c r="DR52"/>
  <c r="DU52" s="1"/>
  <c r="DX68"/>
  <c r="DR68"/>
  <c r="DT68" s="1"/>
  <c r="DX84"/>
  <c r="DR84"/>
  <c r="DU84" s="1"/>
  <c r="DX100"/>
  <c r="DR100"/>
  <c r="DT100" s="1"/>
  <c r="DX116"/>
  <c r="DR116"/>
  <c r="DT116" s="1"/>
  <c r="DX132"/>
  <c r="DR132"/>
  <c r="DW132" s="1"/>
  <c r="DX148"/>
  <c r="DR148"/>
  <c r="DU148" s="1"/>
  <c r="DX164"/>
  <c r="DR164"/>
  <c r="DT164" s="1"/>
  <c r="DX180"/>
  <c r="DR180"/>
  <c r="DS180" s="1"/>
  <c r="DX196"/>
  <c r="DR196"/>
  <c r="DS196" s="1"/>
  <c r="DX10"/>
  <c r="DR10"/>
  <c r="DX47"/>
  <c r="DR47"/>
  <c r="DU47" s="1"/>
  <c r="DX63"/>
  <c r="DR63"/>
  <c r="DS63" s="1"/>
  <c r="DX79"/>
  <c r="DR79"/>
  <c r="DW79" s="1"/>
  <c r="DX95"/>
  <c r="DR95"/>
  <c r="DV95" s="1"/>
  <c r="DX107"/>
  <c r="DR107"/>
  <c r="DX123"/>
  <c r="DR123"/>
  <c r="DX139"/>
  <c r="DR139"/>
  <c r="DX155"/>
  <c r="DR155"/>
  <c r="DX171"/>
  <c r="DR171"/>
  <c r="DX187"/>
  <c r="DR187"/>
  <c r="DX203"/>
  <c r="DR203"/>
  <c r="DX42"/>
  <c r="DR42"/>
  <c r="DU42" s="1"/>
  <c r="DX58"/>
  <c r="DR58"/>
  <c r="DS58" s="1"/>
  <c r="DX74"/>
  <c r="DR74"/>
  <c r="DU74" s="1"/>
  <c r="DX90"/>
  <c r="DR90"/>
  <c r="DS90" s="1"/>
  <c r="DX106"/>
  <c r="DR106"/>
  <c r="DU106" s="1"/>
  <c r="DX122"/>
  <c r="DR122"/>
  <c r="DS122" s="1"/>
  <c r="DX138"/>
  <c r="DR138"/>
  <c r="DU138" s="1"/>
  <c r="DX154"/>
  <c r="DR154"/>
  <c r="DS154" s="1"/>
  <c r="DX170"/>
  <c r="DR170"/>
  <c r="DT170" s="1"/>
  <c r="DX186"/>
  <c r="DR186"/>
  <c r="DS186" s="1"/>
  <c r="DX202"/>
  <c r="DR202"/>
  <c r="DU202" s="1"/>
  <c r="DW52"/>
  <c r="DW68"/>
  <c r="DS84"/>
  <c r="DT47"/>
  <c r="DU63"/>
  <c r="DW95"/>
  <c r="DX23"/>
  <c r="DR23"/>
  <c r="DX45"/>
  <c r="DR45"/>
  <c r="DV45" s="1"/>
  <c r="DX61"/>
  <c r="DR61"/>
  <c r="DS61" s="1"/>
  <c r="DX77"/>
  <c r="DR77"/>
  <c r="DV77" s="1"/>
  <c r="DX93"/>
  <c r="DR93"/>
  <c r="DS93" s="1"/>
  <c r="DX105"/>
  <c r="DR105"/>
  <c r="DX121"/>
  <c r="DR121"/>
  <c r="DX137"/>
  <c r="DR137"/>
  <c r="DX153"/>
  <c r="DR153"/>
  <c r="DX169"/>
  <c r="DR169"/>
  <c r="DX185"/>
  <c r="DR185"/>
  <c r="DX201"/>
  <c r="DR201"/>
  <c r="DX40"/>
  <c r="DR40"/>
  <c r="DU40" s="1"/>
  <c r="DX56"/>
  <c r="DR56"/>
  <c r="DS56" s="1"/>
  <c r="DX72"/>
  <c r="DR72"/>
  <c r="DU72" s="1"/>
  <c r="DX88"/>
  <c r="DR88"/>
  <c r="DW88" s="1"/>
  <c r="DX104"/>
  <c r="DR104"/>
  <c r="DX120"/>
  <c r="DR120"/>
  <c r="DX136"/>
  <c r="DR136"/>
  <c r="DX152"/>
  <c r="DR152"/>
  <c r="DX168"/>
  <c r="DR168"/>
  <c r="DX184"/>
  <c r="DR184"/>
  <c r="DX200"/>
  <c r="DR200"/>
  <c r="DX21"/>
  <c r="DR21"/>
  <c r="DX51"/>
  <c r="DR51"/>
  <c r="DX67"/>
  <c r="DR67"/>
  <c r="DX83"/>
  <c r="DR83"/>
  <c r="DX111"/>
  <c r="DR111"/>
  <c r="DU111" s="1"/>
  <c r="DX127"/>
  <c r="DR127"/>
  <c r="DW127" s="1"/>
  <c r="DX143"/>
  <c r="DR143"/>
  <c r="DU143" s="1"/>
  <c r="DX159"/>
  <c r="DR159"/>
  <c r="DW159" s="1"/>
  <c r="DX175"/>
  <c r="DR175"/>
  <c r="DW175" s="1"/>
  <c r="DX191"/>
  <c r="DR191"/>
  <c r="DW191" s="1"/>
  <c r="DX46"/>
  <c r="DR46"/>
  <c r="DT46" s="1"/>
  <c r="DX62"/>
  <c r="DR62"/>
  <c r="DU62" s="1"/>
  <c r="DX78"/>
  <c r="DR78"/>
  <c r="DU78" s="1"/>
  <c r="DX94"/>
  <c r="DR94"/>
  <c r="DS94" s="1"/>
  <c r="DX110"/>
  <c r="DR110"/>
  <c r="DW110" s="1"/>
  <c r="DX126"/>
  <c r="DR126"/>
  <c r="DS126" s="1"/>
  <c r="DX142"/>
  <c r="DR142"/>
  <c r="DT142" s="1"/>
  <c r="DX158"/>
  <c r="DR158"/>
  <c r="DU158" s="1"/>
  <c r="DX174"/>
  <c r="DR174"/>
  <c r="DU174" s="1"/>
  <c r="DX190"/>
  <c r="DR190"/>
  <c r="DU190" s="1"/>
  <c r="DX206"/>
  <c r="DR206"/>
  <c r="DT206" s="1"/>
  <c r="DW40"/>
  <c r="DS100"/>
  <c r="DU116"/>
  <c r="DS116"/>
  <c r="DV116"/>
  <c r="DT132"/>
  <c r="DV132"/>
  <c r="DT148"/>
  <c r="DW148"/>
  <c r="DU164"/>
  <c r="DW164"/>
  <c r="DT180"/>
  <c r="DU180"/>
  <c r="DW180"/>
  <c r="DT196"/>
  <c r="DW196"/>
  <c r="DU46"/>
  <c r="DW46"/>
  <c r="DT62"/>
  <c r="DW62"/>
  <c r="DT78"/>
  <c r="DW78"/>
  <c r="DU94"/>
  <c r="DW94"/>
  <c r="DU110"/>
  <c r="DS110"/>
  <c r="DV110"/>
  <c r="DT126"/>
  <c r="DW126"/>
  <c r="DU142"/>
  <c r="DS142"/>
  <c r="DV142"/>
  <c r="DT158"/>
  <c r="DW158"/>
  <c r="DT174"/>
  <c r="DW174"/>
  <c r="DS174"/>
  <c r="DT190"/>
  <c r="DS190"/>
  <c r="DW190"/>
  <c r="DV190"/>
  <c r="DU206"/>
  <c r="DS206"/>
  <c r="DV206"/>
  <c r="DW41"/>
  <c r="DU41"/>
  <c r="DS57"/>
  <c r="DV57"/>
  <c r="DT57"/>
  <c r="DW73"/>
  <c r="DU73"/>
  <c r="DS89"/>
  <c r="DV89"/>
  <c r="DT89"/>
  <c r="DS105"/>
  <c r="DW105"/>
  <c r="DV105"/>
  <c r="DU105"/>
  <c r="DT105"/>
  <c r="DS121"/>
  <c r="DW121"/>
  <c r="DV121"/>
  <c r="DU121"/>
  <c r="DT121"/>
  <c r="DS137"/>
  <c r="DW137"/>
  <c r="DV137"/>
  <c r="DU137"/>
  <c r="DT137"/>
  <c r="DS153"/>
  <c r="DW153"/>
  <c r="DV153"/>
  <c r="DU153"/>
  <c r="DT153"/>
  <c r="DV169"/>
  <c r="DU169"/>
  <c r="DT169"/>
  <c r="DW169"/>
  <c r="DS169"/>
  <c r="DS185"/>
  <c r="DW185"/>
  <c r="DV185"/>
  <c r="DU185"/>
  <c r="DT185"/>
  <c r="DS201"/>
  <c r="DW201"/>
  <c r="DV201"/>
  <c r="DU201"/>
  <c r="DT201"/>
  <c r="DX49"/>
  <c r="DR49"/>
  <c r="DS49" s="1"/>
  <c r="DX65"/>
  <c r="DR65"/>
  <c r="DV65" s="1"/>
  <c r="DX81"/>
  <c r="DR81"/>
  <c r="DS81" s="1"/>
  <c r="DX109"/>
  <c r="DR109"/>
  <c r="DV109" s="1"/>
  <c r="DX125"/>
  <c r="DR125"/>
  <c r="DS125" s="1"/>
  <c r="DX141"/>
  <c r="DR141"/>
  <c r="DV141" s="1"/>
  <c r="DX157"/>
  <c r="DR157"/>
  <c r="DS157" s="1"/>
  <c r="DX173"/>
  <c r="DR173"/>
  <c r="DW173" s="1"/>
  <c r="DX189"/>
  <c r="DR189"/>
  <c r="DS189" s="1"/>
  <c r="DX205"/>
  <c r="DR205"/>
  <c r="DV205" s="1"/>
  <c r="DX11"/>
  <c r="DR11"/>
  <c r="DX44"/>
  <c r="DR44"/>
  <c r="DS44" s="1"/>
  <c r="DX60"/>
  <c r="DR60"/>
  <c r="DT60" s="1"/>
  <c r="DX76"/>
  <c r="DR76"/>
  <c r="DU76" s="1"/>
  <c r="DX92"/>
  <c r="DR92"/>
  <c r="DW92" s="1"/>
  <c r="DX108"/>
  <c r="DR108"/>
  <c r="DT108" s="1"/>
  <c r="DX124"/>
  <c r="DR124"/>
  <c r="DU124" s="1"/>
  <c r="DX140"/>
  <c r="DR140"/>
  <c r="DW140" s="1"/>
  <c r="DX156"/>
  <c r="DR156"/>
  <c r="DS156" s="1"/>
  <c r="DX172"/>
  <c r="DR172"/>
  <c r="DV172" s="1"/>
  <c r="DX188"/>
  <c r="DR188"/>
  <c r="DU188" s="1"/>
  <c r="DX204"/>
  <c r="DR204"/>
  <c r="DS204" s="1"/>
  <c r="DX39"/>
  <c r="DR39"/>
  <c r="DW39" s="1"/>
  <c r="DX55"/>
  <c r="DR55"/>
  <c r="DV55" s="1"/>
  <c r="DX71"/>
  <c r="DR71"/>
  <c r="DS71" s="1"/>
  <c r="DX87"/>
  <c r="DR87"/>
  <c r="DV87" s="1"/>
  <c r="DX99"/>
  <c r="DR99"/>
  <c r="DV99" s="1"/>
  <c r="DX115"/>
  <c r="DR115"/>
  <c r="DS115" s="1"/>
  <c r="DX131"/>
  <c r="DR131"/>
  <c r="DV131" s="1"/>
  <c r="DX147"/>
  <c r="DR147"/>
  <c r="DX163"/>
  <c r="DR163"/>
  <c r="DV163" s="1"/>
  <c r="DX179"/>
  <c r="DR179"/>
  <c r="DX195"/>
  <c r="DR195"/>
  <c r="DV195" s="1"/>
  <c r="DX50"/>
  <c r="DR50"/>
  <c r="DW50" s="1"/>
  <c r="DX66"/>
  <c r="DR66"/>
  <c r="DT66" s="1"/>
  <c r="DX82"/>
  <c r="DR82"/>
  <c r="DW82" s="1"/>
  <c r="DX114"/>
  <c r="DR114"/>
  <c r="DW114" s="1"/>
  <c r="DX130"/>
  <c r="DR130"/>
  <c r="DT130" s="1"/>
  <c r="DX146"/>
  <c r="DR146"/>
  <c r="DW146" s="1"/>
  <c r="DX162"/>
  <c r="DR162"/>
  <c r="DT162" s="1"/>
  <c r="DX178"/>
  <c r="DR178"/>
  <c r="DU178" s="1"/>
  <c r="DX194"/>
  <c r="DR194"/>
  <c r="DT194" s="1"/>
  <c r="DU104"/>
  <c r="DT104"/>
  <c r="DS104"/>
  <c r="DW104"/>
  <c r="DV104"/>
  <c r="DU120"/>
  <c r="DT120"/>
  <c r="DS120"/>
  <c r="DW120"/>
  <c r="DV120"/>
  <c r="DU136"/>
  <c r="DT136"/>
  <c r="DS136"/>
  <c r="DW136"/>
  <c r="DV136"/>
  <c r="DU152"/>
  <c r="DT152"/>
  <c r="DS152"/>
  <c r="DW152"/>
  <c r="DV152"/>
  <c r="DT168"/>
  <c r="DS168"/>
  <c r="DW168"/>
  <c r="DV168"/>
  <c r="DU168"/>
  <c r="DT184"/>
  <c r="DU184"/>
  <c r="DS184"/>
  <c r="DW184"/>
  <c r="DV184"/>
  <c r="DU200"/>
  <c r="DT200"/>
  <c r="DS200"/>
  <c r="DW200"/>
  <c r="DV200"/>
  <c r="DS51"/>
  <c r="DW51"/>
  <c r="DV51"/>
  <c r="DU51"/>
  <c r="DT51"/>
  <c r="DS67"/>
  <c r="DW67"/>
  <c r="DV67"/>
  <c r="DU67"/>
  <c r="DT67"/>
  <c r="DS83"/>
  <c r="DW83"/>
  <c r="DV83"/>
  <c r="DU83"/>
  <c r="DT83"/>
  <c r="DS107"/>
  <c r="DW107"/>
  <c r="DV107"/>
  <c r="DU107"/>
  <c r="DT107"/>
  <c r="DW115"/>
  <c r="DU115"/>
  <c r="DT115"/>
  <c r="DS123"/>
  <c r="DW123"/>
  <c r="DV123"/>
  <c r="DU123"/>
  <c r="DT123"/>
  <c r="DU131"/>
  <c r="DS139"/>
  <c r="DW139"/>
  <c r="DV139"/>
  <c r="DU139"/>
  <c r="DT139"/>
  <c r="DS147"/>
  <c r="DW147"/>
  <c r="DV147"/>
  <c r="DU147"/>
  <c r="DT147"/>
  <c r="DS155"/>
  <c r="DW155"/>
  <c r="DV155"/>
  <c r="DU155"/>
  <c r="DT155"/>
  <c r="DU163"/>
  <c r="DV171"/>
  <c r="DT171"/>
  <c r="DS171"/>
  <c r="DW171"/>
  <c r="DU171"/>
  <c r="DV179"/>
  <c r="DT179"/>
  <c r="DS179"/>
  <c r="DW179"/>
  <c r="DU179"/>
  <c r="DS187"/>
  <c r="DW187"/>
  <c r="DV187"/>
  <c r="DU187"/>
  <c r="DT187"/>
  <c r="DW195"/>
  <c r="DU195"/>
  <c r="DS203"/>
  <c r="DW203"/>
  <c r="DV203"/>
  <c r="DU203"/>
  <c r="DT203"/>
  <c r="DX53"/>
  <c r="DR53"/>
  <c r="DW53" s="1"/>
  <c r="DX69"/>
  <c r="DR69"/>
  <c r="DU69" s="1"/>
  <c r="DX85"/>
  <c r="DR85"/>
  <c r="DW85" s="1"/>
  <c r="DX97"/>
  <c r="DR97"/>
  <c r="DV97" s="1"/>
  <c r="DX113"/>
  <c r="DR113"/>
  <c r="DS113" s="1"/>
  <c r="DX129"/>
  <c r="DR129"/>
  <c r="DV129" s="1"/>
  <c r="DX145"/>
  <c r="DR145"/>
  <c r="DS145" s="1"/>
  <c r="DX161"/>
  <c r="DR161"/>
  <c r="DV161" s="1"/>
  <c r="DX177"/>
  <c r="DR177"/>
  <c r="DV177" s="1"/>
  <c r="DX193"/>
  <c r="DR193"/>
  <c r="DV193" s="1"/>
  <c r="DX20"/>
  <c r="DR20"/>
  <c r="DX48"/>
  <c r="DR48"/>
  <c r="DS48" s="1"/>
  <c r="DX64"/>
  <c r="DR64"/>
  <c r="DW64" s="1"/>
  <c r="DX80"/>
  <c r="DR80"/>
  <c r="DT80" s="1"/>
  <c r="DX96"/>
  <c r="DR96"/>
  <c r="DU96" s="1"/>
  <c r="DX112"/>
  <c r="DR112"/>
  <c r="DS112" s="1"/>
  <c r="DX128"/>
  <c r="DR128"/>
  <c r="DU128" s="1"/>
  <c r="DX144"/>
  <c r="DR144"/>
  <c r="DS144" s="1"/>
  <c r="DX160"/>
  <c r="DR160"/>
  <c r="DU160" s="1"/>
  <c r="DX176"/>
  <c r="DR176"/>
  <c r="DU176" s="1"/>
  <c r="DX192"/>
  <c r="DR192"/>
  <c r="DU192" s="1"/>
  <c r="DX43"/>
  <c r="DR43"/>
  <c r="DW43" s="1"/>
  <c r="DX59"/>
  <c r="DR59"/>
  <c r="DU59" s="1"/>
  <c r="DX75"/>
  <c r="DR75"/>
  <c r="DW75" s="1"/>
  <c r="DX91"/>
  <c r="DR91"/>
  <c r="DU91" s="1"/>
  <c r="DX103"/>
  <c r="DR103"/>
  <c r="DS103" s="1"/>
  <c r="DX119"/>
  <c r="DR119"/>
  <c r="DV119" s="1"/>
  <c r="DX135"/>
  <c r="DR135"/>
  <c r="DS135" s="1"/>
  <c r="DX151"/>
  <c r="DR151"/>
  <c r="DV151" s="1"/>
  <c r="DX167"/>
  <c r="DR167"/>
  <c r="DS167" s="1"/>
  <c r="DX183"/>
  <c r="DR183"/>
  <c r="DS183" s="1"/>
  <c r="DX199"/>
  <c r="DR199"/>
  <c r="DS199" s="1"/>
  <c r="DX22"/>
  <c r="DR22"/>
  <c r="DX38"/>
  <c r="DR38"/>
  <c r="DU38" s="1"/>
  <c r="DX54"/>
  <c r="DR54"/>
  <c r="DS54" s="1"/>
  <c r="DX70"/>
  <c r="DR70"/>
  <c r="DU70" s="1"/>
  <c r="DX86"/>
  <c r="DR86"/>
  <c r="DS86" s="1"/>
  <c r="DX98"/>
  <c r="DR98"/>
  <c r="DT98" s="1"/>
  <c r="DX102"/>
  <c r="DR102"/>
  <c r="DU102" s="1"/>
  <c r="DX118"/>
  <c r="DR118"/>
  <c r="DS118" s="1"/>
  <c r="DX134"/>
  <c r="DR134"/>
  <c r="DU134" s="1"/>
  <c r="DX150"/>
  <c r="DR150"/>
  <c r="DS150" s="1"/>
  <c r="DX166"/>
  <c r="DR166"/>
  <c r="DU166" s="1"/>
  <c r="DX182"/>
  <c r="DR182"/>
  <c r="DW182" s="1"/>
  <c r="DX198"/>
  <c r="DR198"/>
  <c r="DU198" s="1"/>
  <c r="AR5" i="8"/>
  <c r="AW4"/>
  <c r="AT5"/>
  <c r="AS5"/>
  <c r="AR4"/>
  <c r="AQ4"/>
  <c r="AN5"/>
  <c r="AM5"/>
  <c r="AL5"/>
  <c r="AL4"/>
  <c r="AI5"/>
  <c r="AH5"/>
  <c r="AG5"/>
  <c r="AG4"/>
  <c r="AD5"/>
  <c r="AC5"/>
  <c r="AB5"/>
  <c r="AB4"/>
  <c r="V4"/>
  <c r="W5"/>
  <c r="Y5"/>
  <c r="X5"/>
  <c r="W4"/>
  <c r="S5"/>
  <c r="R5"/>
  <c r="Q5"/>
  <c r="Q4"/>
  <c r="AY1"/>
  <c r="N5"/>
  <c r="L1"/>
  <c r="L5"/>
  <c r="M5"/>
  <c r="H4"/>
  <c r="G4" i="9" s="1"/>
  <c r="F4" i="8"/>
  <c r="E4" i="9" s="1"/>
  <c r="B4" i="8"/>
  <c r="B4" i="9" s="1"/>
  <c r="C4" i="8"/>
  <c r="E4"/>
  <c r="D4" i="9" s="1"/>
  <c r="A4" i="8"/>
  <c r="A4" i="9" s="1"/>
  <c r="B8" i="8"/>
  <c r="C8"/>
  <c r="D8"/>
  <c r="E8"/>
  <c r="F8"/>
  <c r="G8"/>
  <c r="H8"/>
  <c r="I8"/>
  <c r="J8"/>
  <c r="K8"/>
  <c r="B9"/>
  <c r="C9"/>
  <c r="D9"/>
  <c r="E9"/>
  <c r="F9"/>
  <c r="G9"/>
  <c r="H9"/>
  <c r="I9"/>
  <c r="J9"/>
  <c r="K9"/>
  <c r="B10"/>
  <c r="C10"/>
  <c r="D10"/>
  <c r="E10"/>
  <c r="F10"/>
  <c r="G10"/>
  <c r="H10"/>
  <c r="I10"/>
  <c r="J10"/>
  <c r="K10"/>
  <c r="B11"/>
  <c r="C11"/>
  <c r="D11"/>
  <c r="E11"/>
  <c r="F11"/>
  <c r="G11"/>
  <c r="H11"/>
  <c r="I11"/>
  <c r="J11"/>
  <c r="K11"/>
  <c r="B12"/>
  <c r="C12"/>
  <c r="D12"/>
  <c r="E12"/>
  <c r="F12"/>
  <c r="G12"/>
  <c r="H12"/>
  <c r="I12"/>
  <c r="J12"/>
  <c r="K12"/>
  <c r="B13"/>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C18"/>
  <c r="D18"/>
  <c r="E18"/>
  <c r="F18"/>
  <c r="G18"/>
  <c r="H18"/>
  <c r="I18"/>
  <c r="J18"/>
  <c r="K18"/>
  <c r="C19"/>
  <c r="D19"/>
  <c r="E19"/>
  <c r="F19"/>
  <c r="G19"/>
  <c r="H19"/>
  <c r="I19"/>
  <c r="J19"/>
  <c r="K19"/>
  <c r="C20"/>
  <c r="D20"/>
  <c r="E20"/>
  <c r="F20"/>
  <c r="G20"/>
  <c r="H20"/>
  <c r="I20"/>
  <c r="J20"/>
  <c r="K20"/>
  <c r="C21"/>
  <c r="D21"/>
  <c r="E21"/>
  <c r="F21"/>
  <c r="G21"/>
  <c r="H21"/>
  <c r="I21"/>
  <c r="J21"/>
  <c r="K21"/>
  <c r="C22"/>
  <c r="D22"/>
  <c r="E22"/>
  <c r="F22"/>
  <c r="G22"/>
  <c r="H22"/>
  <c r="I22"/>
  <c r="J22"/>
  <c r="K22"/>
  <c r="C23"/>
  <c r="D23"/>
  <c r="E23"/>
  <c r="F23"/>
  <c r="G23"/>
  <c r="H23"/>
  <c r="I23"/>
  <c r="J23"/>
  <c r="K23"/>
  <c r="C24"/>
  <c r="D24"/>
  <c r="E24"/>
  <c r="F24"/>
  <c r="G24"/>
  <c r="H24"/>
  <c r="I24"/>
  <c r="J24"/>
  <c r="K24"/>
  <c r="C25"/>
  <c r="D25"/>
  <c r="E25"/>
  <c r="F25"/>
  <c r="G25"/>
  <c r="H25"/>
  <c r="I25"/>
  <c r="J25"/>
  <c r="K25"/>
  <c r="C26"/>
  <c r="D26"/>
  <c r="E26"/>
  <c r="F26"/>
  <c r="G26"/>
  <c r="H26"/>
  <c r="I26"/>
  <c r="J26"/>
  <c r="K26"/>
  <c r="C27"/>
  <c r="D27"/>
  <c r="E27"/>
  <c r="F27"/>
  <c r="G27"/>
  <c r="H27"/>
  <c r="I27"/>
  <c r="J27"/>
  <c r="K27"/>
  <c r="C28"/>
  <c r="D28"/>
  <c r="E28"/>
  <c r="F28"/>
  <c r="G28"/>
  <c r="H28"/>
  <c r="I28"/>
  <c r="J28"/>
  <c r="K28"/>
  <c r="C29"/>
  <c r="D29"/>
  <c r="E29"/>
  <c r="F29"/>
  <c r="G29"/>
  <c r="H29"/>
  <c r="I29"/>
  <c r="J29"/>
  <c r="K29"/>
  <c r="C30"/>
  <c r="D30"/>
  <c r="E30"/>
  <c r="F30"/>
  <c r="G30"/>
  <c r="H30"/>
  <c r="I30"/>
  <c r="J30"/>
  <c r="K30"/>
  <c r="C31"/>
  <c r="D31"/>
  <c r="E31"/>
  <c r="F31"/>
  <c r="G31"/>
  <c r="H31"/>
  <c r="I31"/>
  <c r="J31"/>
  <c r="K31"/>
  <c r="C32"/>
  <c r="D32"/>
  <c r="E32"/>
  <c r="F32"/>
  <c r="G32"/>
  <c r="H32"/>
  <c r="I32"/>
  <c r="J32"/>
  <c r="K32"/>
  <c r="C33"/>
  <c r="D33"/>
  <c r="E33"/>
  <c r="F33"/>
  <c r="G33"/>
  <c r="H33"/>
  <c r="I33"/>
  <c r="J33"/>
  <c r="K33"/>
  <c r="C34"/>
  <c r="D34"/>
  <c r="E34"/>
  <c r="F34"/>
  <c r="G34"/>
  <c r="H34"/>
  <c r="I34"/>
  <c r="J34"/>
  <c r="K34"/>
  <c r="C35"/>
  <c r="D35"/>
  <c r="E35"/>
  <c r="F35"/>
  <c r="G35"/>
  <c r="H35"/>
  <c r="I35"/>
  <c r="J35"/>
  <c r="K35"/>
  <c r="C36"/>
  <c r="D36"/>
  <c r="E36"/>
  <c r="F36"/>
  <c r="G36"/>
  <c r="H36"/>
  <c r="I36"/>
  <c r="J36"/>
  <c r="K36"/>
  <c r="C37"/>
  <c r="D37"/>
  <c r="E37"/>
  <c r="F37"/>
  <c r="G37"/>
  <c r="H37"/>
  <c r="I37"/>
  <c r="J37"/>
  <c r="K37"/>
  <c r="B38"/>
  <c r="C38"/>
  <c r="D38"/>
  <c r="E38"/>
  <c r="F38"/>
  <c r="G38"/>
  <c r="H38"/>
  <c r="I38"/>
  <c r="J38"/>
  <c r="K38"/>
  <c r="B39"/>
  <c r="C39"/>
  <c r="D39"/>
  <c r="E39"/>
  <c r="F39"/>
  <c r="G39"/>
  <c r="H39"/>
  <c r="I39"/>
  <c r="J39"/>
  <c r="K39"/>
  <c r="B40"/>
  <c r="C40"/>
  <c r="D40"/>
  <c r="E40"/>
  <c r="F40"/>
  <c r="G40"/>
  <c r="H40"/>
  <c r="I40"/>
  <c r="J40"/>
  <c r="K40"/>
  <c r="B41"/>
  <c r="C41"/>
  <c r="D41"/>
  <c r="E41"/>
  <c r="F41"/>
  <c r="G41"/>
  <c r="H41"/>
  <c r="I41"/>
  <c r="J41"/>
  <c r="K41"/>
  <c r="B42"/>
  <c r="C42"/>
  <c r="D42"/>
  <c r="E42"/>
  <c r="F42"/>
  <c r="G42"/>
  <c r="H42"/>
  <c r="I42"/>
  <c r="J42"/>
  <c r="K42"/>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7"/>
  <c r="C47"/>
  <c r="D47"/>
  <c r="E47"/>
  <c r="F47"/>
  <c r="G47"/>
  <c r="H47"/>
  <c r="I47"/>
  <c r="J47"/>
  <c r="K47"/>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4"/>
  <c r="C54"/>
  <c r="D54"/>
  <c r="E54"/>
  <c r="F54"/>
  <c r="G54"/>
  <c r="H54"/>
  <c r="I54"/>
  <c r="J54"/>
  <c r="K54"/>
  <c r="B55"/>
  <c r="C55"/>
  <c r="D55"/>
  <c r="E55"/>
  <c r="F55"/>
  <c r="G55"/>
  <c r="H55"/>
  <c r="I55"/>
  <c r="J55"/>
  <c r="K55"/>
  <c r="B56"/>
  <c r="C56"/>
  <c r="D56"/>
  <c r="E56"/>
  <c r="F56"/>
  <c r="G56"/>
  <c r="H56"/>
  <c r="I56"/>
  <c r="J56"/>
  <c r="K56"/>
  <c r="B57"/>
  <c r="C57"/>
  <c r="D57"/>
  <c r="E57"/>
  <c r="F57"/>
  <c r="G57"/>
  <c r="H57"/>
  <c r="I57"/>
  <c r="J57"/>
  <c r="K57"/>
  <c r="B58"/>
  <c r="C58"/>
  <c r="D58"/>
  <c r="E58"/>
  <c r="F58"/>
  <c r="G58"/>
  <c r="H58"/>
  <c r="I58"/>
  <c r="J58"/>
  <c r="K58"/>
  <c r="B59"/>
  <c r="C59"/>
  <c r="D59"/>
  <c r="E59"/>
  <c r="F59"/>
  <c r="G59"/>
  <c r="H59"/>
  <c r="I59"/>
  <c r="J59"/>
  <c r="K59"/>
  <c r="B60"/>
  <c r="C60"/>
  <c r="D60"/>
  <c r="E60"/>
  <c r="F60"/>
  <c r="G60"/>
  <c r="H60"/>
  <c r="I60"/>
  <c r="J60"/>
  <c r="K60"/>
  <c r="B61"/>
  <c r="C61"/>
  <c r="D61"/>
  <c r="E61"/>
  <c r="F61"/>
  <c r="G61"/>
  <c r="H61"/>
  <c r="I61"/>
  <c r="J61"/>
  <c r="K61"/>
  <c r="B62"/>
  <c r="C62"/>
  <c r="D62"/>
  <c r="E62"/>
  <c r="F62"/>
  <c r="G62"/>
  <c r="H62"/>
  <c r="I62"/>
  <c r="J62"/>
  <c r="K62"/>
  <c r="B63"/>
  <c r="C63"/>
  <c r="D63"/>
  <c r="E63"/>
  <c r="F63"/>
  <c r="G63"/>
  <c r="H63"/>
  <c r="I63"/>
  <c r="J63"/>
  <c r="K63"/>
  <c r="B64"/>
  <c r="C64"/>
  <c r="D64"/>
  <c r="E64"/>
  <c r="F64"/>
  <c r="G64"/>
  <c r="H64"/>
  <c r="I64"/>
  <c r="J64"/>
  <c r="K64"/>
  <c r="B65"/>
  <c r="C65"/>
  <c r="D65"/>
  <c r="E65"/>
  <c r="F65"/>
  <c r="G65"/>
  <c r="H65"/>
  <c r="I65"/>
  <c r="J65"/>
  <c r="K65"/>
  <c r="B66"/>
  <c r="C66"/>
  <c r="D66"/>
  <c r="E66"/>
  <c r="F66"/>
  <c r="G66"/>
  <c r="H66"/>
  <c r="I66"/>
  <c r="J66"/>
  <c r="K66"/>
  <c r="B67"/>
  <c r="C67"/>
  <c r="D67"/>
  <c r="E67"/>
  <c r="F67"/>
  <c r="G67"/>
  <c r="H67"/>
  <c r="I67"/>
  <c r="J67"/>
  <c r="K67"/>
  <c r="B68"/>
  <c r="C68"/>
  <c r="D68"/>
  <c r="E68"/>
  <c r="F68"/>
  <c r="G68"/>
  <c r="H68"/>
  <c r="I68"/>
  <c r="J68"/>
  <c r="K68"/>
  <c r="B69"/>
  <c r="C69"/>
  <c r="D69"/>
  <c r="E69"/>
  <c r="F69"/>
  <c r="G69"/>
  <c r="H69"/>
  <c r="I69"/>
  <c r="J69"/>
  <c r="K69"/>
  <c r="B70"/>
  <c r="C70"/>
  <c r="D70"/>
  <c r="E70"/>
  <c r="F70"/>
  <c r="G70"/>
  <c r="H70"/>
  <c r="I70"/>
  <c r="J70"/>
  <c r="K70"/>
  <c r="B71"/>
  <c r="C71"/>
  <c r="D71"/>
  <c r="E71"/>
  <c r="F71"/>
  <c r="G71"/>
  <c r="H71"/>
  <c r="I71"/>
  <c r="J71"/>
  <c r="K71"/>
  <c r="B72"/>
  <c r="C72"/>
  <c r="D72"/>
  <c r="E72"/>
  <c r="F72"/>
  <c r="G72"/>
  <c r="H72"/>
  <c r="I72"/>
  <c r="J72"/>
  <c r="K72"/>
  <c r="B73"/>
  <c r="C73"/>
  <c r="D73"/>
  <c r="E73"/>
  <c r="F73"/>
  <c r="G73"/>
  <c r="H73"/>
  <c r="I73"/>
  <c r="J73"/>
  <c r="K73"/>
  <c r="B74"/>
  <c r="C74"/>
  <c r="D74"/>
  <c r="E74"/>
  <c r="F74"/>
  <c r="G74"/>
  <c r="H74"/>
  <c r="I74"/>
  <c r="J74"/>
  <c r="K74"/>
  <c r="B75"/>
  <c r="C75"/>
  <c r="D75"/>
  <c r="E75"/>
  <c r="F75"/>
  <c r="G75"/>
  <c r="H75"/>
  <c r="I75"/>
  <c r="J75"/>
  <c r="K75"/>
  <c r="B76"/>
  <c r="C76"/>
  <c r="D76"/>
  <c r="E76"/>
  <c r="F76"/>
  <c r="G76"/>
  <c r="H76"/>
  <c r="I76"/>
  <c r="J76"/>
  <c r="K76"/>
  <c r="B77"/>
  <c r="C77"/>
  <c r="D77"/>
  <c r="E77"/>
  <c r="F77"/>
  <c r="G77"/>
  <c r="H77"/>
  <c r="I77"/>
  <c r="J77"/>
  <c r="K77"/>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2"/>
  <c r="C82"/>
  <c r="D82"/>
  <c r="E82"/>
  <c r="F82"/>
  <c r="G82"/>
  <c r="H82"/>
  <c r="I82"/>
  <c r="J82"/>
  <c r="K82"/>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89"/>
  <c r="C89"/>
  <c r="D89"/>
  <c r="E89"/>
  <c r="F89"/>
  <c r="G89"/>
  <c r="H89"/>
  <c r="I89"/>
  <c r="J89"/>
  <c r="K89"/>
  <c r="B90"/>
  <c r="C90"/>
  <c r="D90"/>
  <c r="E90"/>
  <c r="F90"/>
  <c r="G90"/>
  <c r="H90"/>
  <c r="I90"/>
  <c r="J90"/>
  <c r="K90"/>
  <c r="B91"/>
  <c r="C91"/>
  <c r="D91"/>
  <c r="E91"/>
  <c r="F91"/>
  <c r="G91"/>
  <c r="H91"/>
  <c r="I91"/>
  <c r="J91"/>
  <c r="K91"/>
  <c r="B92"/>
  <c r="C92"/>
  <c r="D92"/>
  <c r="E92"/>
  <c r="F92"/>
  <c r="G92"/>
  <c r="H92"/>
  <c r="I92"/>
  <c r="J92"/>
  <c r="K92"/>
  <c r="B93"/>
  <c r="C93"/>
  <c r="D93"/>
  <c r="E93"/>
  <c r="F93"/>
  <c r="G93"/>
  <c r="H93"/>
  <c r="I93"/>
  <c r="J93"/>
  <c r="K93"/>
  <c r="B94"/>
  <c r="C94"/>
  <c r="D94"/>
  <c r="E94"/>
  <c r="F94"/>
  <c r="G94"/>
  <c r="H94"/>
  <c r="I94"/>
  <c r="J94"/>
  <c r="K94"/>
  <c r="B95"/>
  <c r="C95"/>
  <c r="D95"/>
  <c r="E95"/>
  <c r="F95"/>
  <c r="G95"/>
  <c r="H95"/>
  <c r="I95"/>
  <c r="J95"/>
  <c r="K95"/>
  <c r="B96"/>
  <c r="C96"/>
  <c r="D96"/>
  <c r="E96"/>
  <c r="F96"/>
  <c r="G96"/>
  <c r="H96"/>
  <c r="I96"/>
  <c r="J96"/>
  <c r="K96"/>
  <c r="B97"/>
  <c r="C97"/>
  <c r="D97"/>
  <c r="E97"/>
  <c r="F97"/>
  <c r="G97"/>
  <c r="H97"/>
  <c r="I97"/>
  <c r="J97"/>
  <c r="K97"/>
  <c r="B98"/>
  <c r="C98"/>
  <c r="D98"/>
  <c r="E98"/>
  <c r="F98"/>
  <c r="G98"/>
  <c r="H98"/>
  <c r="I98"/>
  <c r="J98"/>
  <c r="K98"/>
  <c r="B99"/>
  <c r="C99"/>
  <c r="D99"/>
  <c r="E99"/>
  <c r="F99"/>
  <c r="G99"/>
  <c r="H99"/>
  <c r="I99"/>
  <c r="J99"/>
  <c r="K99"/>
  <c r="B100"/>
  <c r="C100"/>
  <c r="D100"/>
  <c r="E100"/>
  <c r="F100"/>
  <c r="G100"/>
  <c r="H100"/>
  <c r="I100"/>
  <c r="J100"/>
  <c r="K100"/>
  <c r="B101"/>
  <c r="C101"/>
  <c r="D101"/>
  <c r="E101"/>
  <c r="F101"/>
  <c r="G101"/>
  <c r="H101"/>
  <c r="I101"/>
  <c r="J101"/>
  <c r="K101"/>
  <c r="B102"/>
  <c r="C102"/>
  <c r="D102"/>
  <c r="E102"/>
  <c r="F102"/>
  <c r="G102"/>
  <c r="H102"/>
  <c r="I102"/>
  <c r="J102"/>
  <c r="K102"/>
  <c r="B103"/>
  <c r="C103"/>
  <c r="D103"/>
  <c r="E103"/>
  <c r="F103"/>
  <c r="G103"/>
  <c r="H103"/>
  <c r="I103"/>
  <c r="J103"/>
  <c r="K103"/>
  <c r="B104"/>
  <c r="C104"/>
  <c r="D104"/>
  <c r="E104"/>
  <c r="F104"/>
  <c r="G104"/>
  <c r="H104"/>
  <c r="I104"/>
  <c r="J104"/>
  <c r="K104"/>
  <c r="B105"/>
  <c r="C105"/>
  <c r="D105"/>
  <c r="E105"/>
  <c r="F105"/>
  <c r="G105"/>
  <c r="H105"/>
  <c r="I105"/>
  <c r="J105"/>
  <c r="K105"/>
  <c r="B106"/>
  <c r="C106"/>
  <c r="D106"/>
  <c r="E106"/>
  <c r="F106"/>
  <c r="G106"/>
  <c r="H106"/>
  <c r="I106"/>
  <c r="J106"/>
  <c r="K106"/>
  <c r="B107"/>
  <c r="C107"/>
  <c r="D107"/>
  <c r="E107"/>
  <c r="F107"/>
  <c r="G107"/>
  <c r="H107"/>
  <c r="I107"/>
  <c r="J107"/>
  <c r="K107"/>
  <c r="B108"/>
  <c r="C108"/>
  <c r="D108"/>
  <c r="E108"/>
  <c r="F108"/>
  <c r="G108"/>
  <c r="H108"/>
  <c r="I108"/>
  <c r="J108"/>
  <c r="K108"/>
  <c r="B109"/>
  <c r="C109"/>
  <c r="D109"/>
  <c r="E109"/>
  <c r="F109"/>
  <c r="G109"/>
  <c r="H109"/>
  <c r="I109"/>
  <c r="J109"/>
  <c r="K109"/>
  <c r="B110"/>
  <c r="C110"/>
  <c r="D110"/>
  <c r="E110"/>
  <c r="F110"/>
  <c r="G110"/>
  <c r="H110"/>
  <c r="I110"/>
  <c r="J110"/>
  <c r="K110"/>
  <c r="B111"/>
  <c r="C111"/>
  <c r="D111"/>
  <c r="E111"/>
  <c r="F111"/>
  <c r="G111"/>
  <c r="H111"/>
  <c r="I111"/>
  <c r="J111"/>
  <c r="K111"/>
  <c r="B112"/>
  <c r="C112"/>
  <c r="D112"/>
  <c r="E112"/>
  <c r="F112"/>
  <c r="G112"/>
  <c r="H112"/>
  <c r="I112"/>
  <c r="J112"/>
  <c r="K112"/>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7"/>
  <c r="C117"/>
  <c r="D117"/>
  <c r="E117"/>
  <c r="F117"/>
  <c r="G117"/>
  <c r="H117"/>
  <c r="I117"/>
  <c r="J117"/>
  <c r="K117"/>
  <c r="B118"/>
  <c r="C118"/>
  <c r="D118"/>
  <c r="E118"/>
  <c r="F118"/>
  <c r="G118"/>
  <c r="H118"/>
  <c r="I118"/>
  <c r="J118"/>
  <c r="K118"/>
  <c r="B119"/>
  <c r="C119"/>
  <c r="D119"/>
  <c r="E119"/>
  <c r="F119"/>
  <c r="G119"/>
  <c r="H119"/>
  <c r="I119"/>
  <c r="J119"/>
  <c r="K119"/>
  <c r="B120"/>
  <c r="C120"/>
  <c r="D120"/>
  <c r="E120"/>
  <c r="F120"/>
  <c r="G120"/>
  <c r="H120"/>
  <c r="I120"/>
  <c r="J120"/>
  <c r="K120"/>
  <c r="B121"/>
  <c r="C121"/>
  <c r="D121"/>
  <c r="E121"/>
  <c r="F121"/>
  <c r="G121"/>
  <c r="H121"/>
  <c r="I121"/>
  <c r="J121"/>
  <c r="K121"/>
  <c r="B122"/>
  <c r="C122"/>
  <c r="D122"/>
  <c r="E122"/>
  <c r="F122"/>
  <c r="G122"/>
  <c r="H122"/>
  <c r="I122"/>
  <c r="J122"/>
  <c r="K122"/>
  <c r="B123"/>
  <c r="C123"/>
  <c r="D123"/>
  <c r="E123"/>
  <c r="F123"/>
  <c r="G123"/>
  <c r="H123"/>
  <c r="I123"/>
  <c r="J123"/>
  <c r="K123"/>
  <c r="B124"/>
  <c r="C124"/>
  <c r="D124"/>
  <c r="E124"/>
  <c r="F124"/>
  <c r="G124"/>
  <c r="H124"/>
  <c r="I124"/>
  <c r="J124"/>
  <c r="K124"/>
  <c r="B125"/>
  <c r="C125"/>
  <c r="D125"/>
  <c r="E125"/>
  <c r="F125"/>
  <c r="G125"/>
  <c r="H125"/>
  <c r="I125"/>
  <c r="J125"/>
  <c r="K125"/>
  <c r="B126"/>
  <c r="C126"/>
  <c r="D126"/>
  <c r="E126"/>
  <c r="F126"/>
  <c r="G126"/>
  <c r="H126"/>
  <c r="I126"/>
  <c r="J126"/>
  <c r="K126"/>
  <c r="B127"/>
  <c r="C127"/>
  <c r="D127"/>
  <c r="E127"/>
  <c r="F127"/>
  <c r="G127"/>
  <c r="H127"/>
  <c r="I127"/>
  <c r="J127"/>
  <c r="K127"/>
  <c r="B128"/>
  <c r="C128"/>
  <c r="D128"/>
  <c r="E128"/>
  <c r="F128"/>
  <c r="G128"/>
  <c r="H128"/>
  <c r="I128"/>
  <c r="J128"/>
  <c r="K128"/>
  <c r="B129"/>
  <c r="C129"/>
  <c r="D129"/>
  <c r="E129"/>
  <c r="F129"/>
  <c r="G129"/>
  <c r="H129"/>
  <c r="I129"/>
  <c r="J129"/>
  <c r="K129"/>
  <c r="B130"/>
  <c r="C130"/>
  <c r="D130"/>
  <c r="E130"/>
  <c r="F130"/>
  <c r="G130"/>
  <c r="H130"/>
  <c r="I130"/>
  <c r="J130"/>
  <c r="K130"/>
  <c r="B131"/>
  <c r="C131"/>
  <c r="D131"/>
  <c r="E131"/>
  <c r="F131"/>
  <c r="G131"/>
  <c r="H131"/>
  <c r="I131"/>
  <c r="J131"/>
  <c r="K131"/>
  <c r="B132"/>
  <c r="C132"/>
  <c r="D132"/>
  <c r="E132"/>
  <c r="F132"/>
  <c r="G132"/>
  <c r="H132"/>
  <c r="I132"/>
  <c r="J132"/>
  <c r="K132"/>
  <c r="B133"/>
  <c r="C133"/>
  <c r="D133"/>
  <c r="E133"/>
  <c r="F133"/>
  <c r="G133"/>
  <c r="H133"/>
  <c r="I133"/>
  <c r="J133"/>
  <c r="K133"/>
  <c r="B134"/>
  <c r="C134"/>
  <c r="D134"/>
  <c r="E134"/>
  <c r="F134"/>
  <c r="G134"/>
  <c r="H134"/>
  <c r="I134"/>
  <c r="J134"/>
  <c r="K134"/>
  <c r="B135"/>
  <c r="C135"/>
  <c r="D135"/>
  <c r="E135"/>
  <c r="F135"/>
  <c r="G135"/>
  <c r="H135"/>
  <c r="I135"/>
  <c r="J135"/>
  <c r="K135"/>
  <c r="B136"/>
  <c r="C136"/>
  <c r="D136"/>
  <c r="E136"/>
  <c r="F136"/>
  <c r="G136"/>
  <c r="H136"/>
  <c r="I136"/>
  <c r="J136"/>
  <c r="K136"/>
  <c r="B137"/>
  <c r="C137"/>
  <c r="D137"/>
  <c r="E137"/>
  <c r="F137"/>
  <c r="G137"/>
  <c r="H137"/>
  <c r="I137"/>
  <c r="J137"/>
  <c r="K137"/>
  <c r="B138"/>
  <c r="C138"/>
  <c r="D138"/>
  <c r="E138"/>
  <c r="F138"/>
  <c r="G138"/>
  <c r="H138"/>
  <c r="I138"/>
  <c r="J138"/>
  <c r="K138"/>
  <c r="B139"/>
  <c r="C139"/>
  <c r="D139"/>
  <c r="E139"/>
  <c r="F139"/>
  <c r="G139"/>
  <c r="H139"/>
  <c r="I139"/>
  <c r="J139"/>
  <c r="K139"/>
  <c r="B140"/>
  <c r="C140"/>
  <c r="D140"/>
  <c r="E140"/>
  <c r="F140"/>
  <c r="G140"/>
  <c r="H140"/>
  <c r="I140"/>
  <c r="J140"/>
  <c r="K140"/>
  <c r="B141"/>
  <c r="C141"/>
  <c r="D141"/>
  <c r="E141"/>
  <c r="F141"/>
  <c r="G141"/>
  <c r="H141"/>
  <c r="I141"/>
  <c r="J141"/>
  <c r="K141"/>
  <c r="B142"/>
  <c r="C142"/>
  <c r="D142"/>
  <c r="E142"/>
  <c r="F142"/>
  <c r="G142"/>
  <c r="H142"/>
  <c r="I142"/>
  <c r="J142"/>
  <c r="K142"/>
  <c r="B143"/>
  <c r="C143"/>
  <c r="D143"/>
  <c r="E143"/>
  <c r="F143"/>
  <c r="G143"/>
  <c r="H143"/>
  <c r="I143"/>
  <c r="J143"/>
  <c r="K143"/>
  <c r="B144"/>
  <c r="C144"/>
  <c r="D144"/>
  <c r="E144"/>
  <c r="F144"/>
  <c r="G144"/>
  <c r="H144"/>
  <c r="I144"/>
  <c r="J144"/>
  <c r="K144"/>
  <c r="B145"/>
  <c r="C145"/>
  <c r="D145"/>
  <c r="E145"/>
  <c r="F145"/>
  <c r="G145"/>
  <c r="H145"/>
  <c r="I145"/>
  <c r="J145"/>
  <c r="K145"/>
  <c r="B146"/>
  <c r="C146"/>
  <c r="D146"/>
  <c r="E146"/>
  <c r="F146"/>
  <c r="G146"/>
  <c r="H146"/>
  <c r="I146"/>
  <c r="J146"/>
  <c r="K146"/>
  <c r="B147"/>
  <c r="C147"/>
  <c r="D147"/>
  <c r="E147"/>
  <c r="F147"/>
  <c r="G147"/>
  <c r="H147"/>
  <c r="I147"/>
  <c r="J147"/>
  <c r="K147"/>
  <c r="B148"/>
  <c r="C148"/>
  <c r="D148"/>
  <c r="E148"/>
  <c r="F148"/>
  <c r="G148"/>
  <c r="H148"/>
  <c r="I148"/>
  <c r="J148"/>
  <c r="K148"/>
  <c r="B149"/>
  <c r="C149"/>
  <c r="D149"/>
  <c r="E149"/>
  <c r="F149"/>
  <c r="G149"/>
  <c r="H149"/>
  <c r="I149"/>
  <c r="J149"/>
  <c r="K149"/>
  <c r="B150"/>
  <c r="C150"/>
  <c r="D150"/>
  <c r="E150"/>
  <c r="F150"/>
  <c r="G150"/>
  <c r="H150"/>
  <c r="I150"/>
  <c r="J150"/>
  <c r="K150"/>
  <c r="B151"/>
  <c r="C151"/>
  <c r="D151"/>
  <c r="E151"/>
  <c r="F151"/>
  <c r="G151"/>
  <c r="H151"/>
  <c r="I151"/>
  <c r="J151"/>
  <c r="K151"/>
  <c r="B152"/>
  <c r="C152"/>
  <c r="D152"/>
  <c r="E152"/>
  <c r="F152"/>
  <c r="G152"/>
  <c r="H152"/>
  <c r="I152"/>
  <c r="J152"/>
  <c r="K152"/>
  <c r="B153"/>
  <c r="C153"/>
  <c r="D153"/>
  <c r="E153"/>
  <c r="F153"/>
  <c r="G153"/>
  <c r="H153"/>
  <c r="I153"/>
  <c r="J153"/>
  <c r="K153"/>
  <c r="B154"/>
  <c r="C154"/>
  <c r="D154"/>
  <c r="E154"/>
  <c r="F154"/>
  <c r="G154"/>
  <c r="H154"/>
  <c r="I154"/>
  <c r="J154"/>
  <c r="K154"/>
  <c r="B155"/>
  <c r="C155"/>
  <c r="D155"/>
  <c r="E155"/>
  <c r="F155"/>
  <c r="G155"/>
  <c r="H155"/>
  <c r="I155"/>
  <c r="J155"/>
  <c r="K155"/>
  <c r="B156"/>
  <c r="C156"/>
  <c r="D156"/>
  <c r="E156"/>
  <c r="F156"/>
  <c r="G156"/>
  <c r="H156"/>
  <c r="I156"/>
  <c r="J156"/>
  <c r="K156"/>
  <c r="B157"/>
  <c r="C157"/>
  <c r="D157"/>
  <c r="E157"/>
  <c r="F157"/>
  <c r="G157"/>
  <c r="H157"/>
  <c r="I157"/>
  <c r="J157"/>
  <c r="K157"/>
  <c r="B158"/>
  <c r="C158"/>
  <c r="D158"/>
  <c r="E158"/>
  <c r="F158"/>
  <c r="G158"/>
  <c r="H158"/>
  <c r="I158"/>
  <c r="J158"/>
  <c r="K158"/>
  <c r="B159"/>
  <c r="C159"/>
  <c r="D159"/>
  <c r="E159"/>
  <c r="F159"/>
  <c r="G159"/>
  <c r="H159"/>
  <c r="I159"/>
  <c r="J159"/>
  <c r="K159"/>
  <c r="B160"/>
  <c r="C160"/>
  <c r="D160"/>
  <c r="E160"/>
  <c r="F160"/>
  <c r="G160"/>
  <c r="H160"/>
  <c r="I160"/>
  <c r="J160"/>
  <c r="K160"/>
  <c r="B161"/>
  <c r="C161"/>
  <c r="D161"/>
  <c r="E161"/>
  <c r="F161"/>
  <c r="G161"/>
  <c r="H161"/>
  <c r="I161"/>
  <c r="J161"/>
  <c r="K161"/>
  <c r="B162"/>
  <c r="C162"/>
  <c r="D162"/>
  <c r="E162"/>
  <c r="F162"/>
  <c r="G162"/>
  <c r="H162"/>
  <c r="I162"/>
  <c r="J162"/>
  <c r="K162"/>
  <c r="B163"/>
  <c r="C163"/>
  <c r="D163"/>
  <c r="E163"/>
  <c r="F163"/>
  <c r="G163"/>
  <c r="H163"/>
  <c r="I163"/>
  <c r="J163"/>
  <c r="K163"/>
  <c r="B164"/>
  <c r="C164"/>
  <c r="D164"/>
  <c r="E164"/>
  <c r="F164"/>
  <c r="G164"/>
  <c r="H164"/>
  <c r="I164"/>
  <c r="J164"/>
  <c r="K164"/>
  <c r="B165"/>
  <c r="C165"/>
  <c r="D165"/>
  <c r="E165"/>
  <c r="F165"/>
  <c r="G165"/>
  <c r="H165"/>
  <c r="I165"/>
  <c r="J165"/>
  <c r="K165"/>
  <c r="B166"/>
  <c r="C166"/>
  <c r="D166"/>
  <c r="E166"/>
  <c r="F166"/>
  <c r="G166"/>
  <c r="H166"/>
  <c r="I166"/>
  <c r="J166"/>
  <c r="K166"/>
  <c r="B167"/>
  <c r="C167"/>
  <c r="D167"/>
  <c r="E167"/>
  <c r="F167"/>
  <c r="G167"/>
  <c r="H167"/>
  <c r="I167"/>
  <c r="J167"/>
  <c r="K167"/>
  <c r="B168"/>
  <c r="C168"/>
  <c r="D168"/>
  <c r="E168"/>
  <c r="F168"/>
  <c r="G168"/>
  <c r="H168"/>
  <c r="I168"/>
  <c r="J168"/>
  <c r="K168"/>
  <c r="B169"/>
  <c r="C169"/>
  <c r="D169"/>
  <c r="E169"/>
  <c r="F169"/>
  <c r="G169"/>
  <c r="H169"/>
  <c r="I169"/>
  <c r="J169"/>
  <c r="K169"/>
  <c r="B170"/>
  <c r="C170"/>
  <c r="D170"/>
  <c r="E170"/>
  <c r="F170"/>
  <c r="G170"/>
  <c r="H170"/>
  <c r="I170"/>
  <c r="J170"/>
  <c r="K170"/>
  <c r="B171"/>
  <c r="C171"/>
  <c r="D171"/>
  <c r="E171"/>
  <c r="F171"/>
  <c r="G171"/>
  <c r="H171"/>
  <c r="I171"/>
  <c r="J171"/>
  <c r="K171"/>
  <c r="B172"/>
  <c r="C172"/>
  <c r="D172"/>
  <c r="E172"/>
  <c r="F172"/>
  <c r="G172"/>
  <c r="H172"/>
  <c r="I172"/>
  <c r="J172"/>
  <c r="K172"/>
  <c r="B173"/>
  <c r="C173"/>
  <c r="D173"/>
  <c r="E173"/>
  <c r="F173"/>
  <c r="G173"/>
  <c r="H173"/>
  <c r="I173"/>
  <c r="J173"/>
  <c r="K173"/>
  <c r="B174"/>
  <c r="C174"/>
  <c r="D174"/>
  <c r="E174"/>
  <c r="F174"/>
  <c r="G174"/>
  <c r="H174"/>
  <c r="I174"/>
  <c r="J174"/>
  <c r="K174"/>
  <c r="B175"/>
  <c r="C175"/>
  <c r="D175"/>
  <c r="E175"/>
  <c r="F175"/>
  <c r="G175"/>
  <c r="H175"/>
  <c r="I175"/>
  <c r="J175"/>
  <c r="K175"/>
  <c r="B176"/>
  <c r="C176"/>
  <c r="D176"/>
  <c r="E176"/>
  <c r="F176"/>
  <c r="G176"/>
  <c r="H176"/>
  <c r="I176"/>
  <c r="J176"/>
  <c r="K176"/>
  <c r="B177"/>
  <c r="C177"/>
  <c r="D177"/>
  <c r="E177"/>
  <c r="F177"/>
  <c r="G177"/>
  <c r="H177"/>
  <c r="I177"/>
  <c r="J177"/>
  <c r="K177"/>
  <c r="B178"/>
  <c r="C178"/>
  <c r="D178"/>
  <c r="E178"/>
  <c r="F178"/>
  <c r="G178"/>
  <c r="H178"/>
  <c r="I178"/>
  <c r="J178"/>
  <c r="K178"/>
  <c r="B179"/>
  <c r="C179"/>
  <c r="D179"/>
  <c r="E179"/>
  <c r="F179"/>
  <c r="G179"/>
  <c r="H179"/>
  <c r="I179"/>
  <c r="J179"/>
  <c r="K179"/>
  <c r="B180"/>
  <c r="C180"/>
  <c r="D180"/>
  <c r="E180"/>
  <c r="F180"/>
  <c r="G180"/>
  <c r="H180"/>
  <c r="I180"/>
  <c r="J180"/>
  <c r="K180"/>
  <c r="B181"/>
  <c r="C181"/>
  <c r="D181"/>
  <c r="E181"/>
  <c r="F181"/>
  <c r="G181"/>
  <c r="H181"/>
  <c r="I181"/>
  <c r="J181"/>
  <c r="K181"/>
  <c r="B182"/>
  <c r="C182"/>
  <c r="D182"/>
  <c r="E182"/>
  <c r="F182"/>
  <c r="G182"/>
  <c r="H182"/>
  <c r="I182"/>
  <c r="J182"/>
  <c r="K182"/>
  <c r="B183"/>
  <c r="C183"/>
  <c r="D183"/>
  <c r="E183"/>
  <c r="F183"/>
  <c r="G183"/>
  <c r="H183"/>
  <c r="I183"/>
  <c r="J183"/>
  <c r="K183"/>
  <c r="B184"/>
  <c r="C184"/>
  <c r="D184"/>
  <c r="E184"/>
  <c r="F184"/>
  <c r="G184"/>
  <c r="H184"/>
  <c r="I184"/>
  <c r="J184"/>
  <c r="K184"/>
  <c r="B185"/>
  <c r="C185"/>
  <c r="D185"/>
  <c r="E185"/>
  <c r="F185"/>
  <c r="G185"/>
  <c r="H185"/>
  <c r="I185"/>
  <c r="J185"/>
  <c r="K185"/>
  <c r="B186"/>
  <c r="C186"/>
  <c r="D186"/>
  <c r="E186"/>
  <c r="F186"/>
  <c r="G186"/>
  <c r="H186"/>
  <c r="I186"/>
  <c r="J186"/>
  <c r="K186"/>
  <c r="B187"/>
  <c r="C187"/>
  <c r="D187"/>
  <c r="E187"/>
  <c r="F187"/>
  <c r="G187"/>
  <c r="H187"/>
  <c r="I187"/>
  <c r="J187"/>
  <c r="K187"/>
  <c r="B188"/>
  <c r="C188"/>
  <c r="D188"/>
  <c r="E188"/>
  <c r="F188"/>
  <c r="G188"/>
  <c r="H188"/>
  <c r="I188"/>
  <c r="J188"/>
  <c r="K188"/>
  <c r="B189"/>
  <c r="C189"/>
  <c r="D189"/>
  <c r="E189"/>
  <c r="F189"/>
  <c r="G189"/>
  <c r="H189"/>
  <c r="I189"/>
  <c r="J189"/>
  <c r="K189"/>
  <c r="B190"/>
  <c r="C190"/>
  <c r="D190"/>
  <c r="E190"/>
  <c r="F190"/>
  <c r="G190"/>
  <c r="H190"/>
  <c r="I190"/>
  <c r="J190"/>
  <c r="K190"/>
  <c r="B191"/>
  <c r="C191"/>
  <c r="D191"/>
  <c r="E191"/>
  <c r="F191"/>
  <c r="G191"/>
  <c r="H191"/>
  <c r="I191"/>
  <c r="J191"/>
  <c r="K191"/>
  <c r="B192"/>
  <c r="C192"/>
  <c r="D192"/>
  <c r="E192"/>
  <c r="F192"/>
  <c r="G192"/>
  <c r="H192"/>
  <c r="I192"/>
  <c r="J192"/>
  <c r="K192"/>
  <c r="B193"/>
  <c r="C193"/>
  <c r="D193"/>
  <c r="E193"/>
  <c r="F193"/>
  <c r="G193"/>
  <c r="H193"/>
  <c r="I193"/>
  <c r="J193"/>
  <c r="K193"/>
  <c r="B194"/>
  <c r="C194"/>
  <c r="D194"/>
  <c r="E194"/>
  <c r="F194"/>
  <c r="G194"/>
  <c r="H194"/>
  <c r="I194"/>
  <c r="J194"/>
  <c r="K194"/>
  <c r="B195"/>
  <c r="C195"/>
  <c r="D195"/>
  <c r="E195"/>
  <c r="F195"/>
  <c r="G195"/>
  <c r="H195"/>
  <c r="I195"/>
  <c r="J195"/>
  <c r="K195"/>
  <c r="B196"/>
  <c r="C196"/>
  <c r="D196"/>
  <c r="E196"/>
  <c r="F196"/>
  <c r="G196"/>
  <c r="H196"/>
  <c r="I196"/>
  <c r="J196"/>
  <c r="K196"/>
  <c r="B197"/>
  <c r="C197"/>
  <c r="D197"/>
  <c r="E197"/>
  <c r="F197"/>
  <c r="G197"/>
  <c r="H197"/>
  <c r="I197"/>
  <c r="J197"/>
  <c r="K197"/>
  <c r="B198"/>
  <c r="C198"/>
  <c r="D198"/>
  <c r="E198"/>
  <c r="F198"/>
  <c r="G198"/>
  <c r="H198"/>
  <c r="I198"/>
  <c r="J198"/>
  <c r="K198"/>
  <c r="B199"/>
  <c r="C199"/>
  <c r="D199"/>
  <c r="E199"/>
  <c r="F199"/>
  <c r="G199"/>
  <c r="H199"/>
  <c r="I199"/>
  <c r="J199"/>
  <c r="K199"/>
  <c r="B200"/>
  <c r="C200"/>
  <c r="D200"/>
  <c r="E200"/>
  <c r="F200"/>
  <c r="G200"/>
  <c r="H200"/>
  <c r="I200"/>
  <c r="J200"/>
  <c r="K200"/>
  <c r="B201"/>
  <c r="C201"/>
  <c r="D201"/>
  <c r="E201"/>
  <c r="F201"/>
  <c r="G201"/>
  <c r="H201"/>
  <c r="I201"/>
  <c r="J201"/>
  <c r="K201"/>
  <c r="B202"/>
  <c r="C202"/>
  <c r="D202"/>
  <c r="E202"/>
  <c r="F202"/>
  <c r="G202"/>
  <c r="H202"/>
  <c r="I202"/>
  <c r="J202"/>
  <c r="K202"/>
  <c r="B203"/>
  <c r="C203"/>
  <c r="D203"/>
  <c r="E203"/>
  <c r="F203"/>
  <c r="G203"/>
  <c r="H203"/>
  <c r="I203"/>
  <c r="J203"/>
  <c r="K203"/>
  <c r="B204"/>
  <c r="C204"/>
  <c r="D204"/>
  <c r="E204"/>
  <c r="F204"/>
  <c r="G204"/>
  <c r="H204"/>
  <c r="I204"/>
  <c r="J204"/>
  <c r="K204"/>
  <c r="B205"/>
  <c r="C205"/>
  <c r="D205"/>
  <c r="E205"/>
  <c r="F205"/>
  <c r="G205"/>
  <c r="H205"/>
  <c r="I205"/>
  <c r="J205"/>
  <c r="K205"/>
  <c r="B206"/>
  <c r="C206"/>
  <c r="D206"/>
  <c r="E206"/>
  <c r="F206"/>
  <c r="G206"/>
  <c r="H206"/>
  <c r="I206"/>
  <c r="J206"/>
  <c r="K206"/>
  <c r="A2"/>
  <c r="C3"/>
  <c r="B1" i="3"/>
  <c r="C7" i="8"/>
  <c r="D7"/>
  <c r="B7"/>
  <c r="E275" i="19" l="1"/>
  <c r="K298"/>
  <c r="DW206" i="9"/>
  <c r="DV174"/>
  <c r="DS158"/>
  <c r="DW142"/>
  <c r="DV126"/>
  <c r="DU126"/>
  <c r="DT110"/>
  <c r="DT94"/>
  <c r="DS78"/>
  <c r="DS62"/>
  <c r="DS46"/>
  <c r="DV158"/>
  <c r="DV94"/>
  <c r="DV78"/>
  <c r="DV46"/>
  <c r="DT40"/>
  <c r="DV115"/>
  <c r="DU99"/>
  <c r="DU95"/>
  <c r="DW63"/>
  <c r="DV79"/>
  <c r="L217" i="19"/>
  <c r="BB220"/>
  <c r="BA246"/>
  <c r="BB246"/>
  <c r="BC246"/>
  <c r="AX249"/>
  <c r="AV249"/>
  <c r="AW247"/>
  <c r="AW249"/>
  <c r="BB218"/>
  <c r="AB217" s="1"/>
  <c r="AD260"/>
  <c r="DO23" i="9"/>
  <c r="DO13"/>
  <c r="DO14"/>
  <c r="DO12"/>
  <c r="DO22"/>
  <c r="DO8"/>
  <c r="DO15"/>
  <c r="DO17"/>
  <c r="DO20"/>
  <c r="DO18"/>
  <c r="DO24"/>
  <c r="DO19"/>
  <c r="DW21"/>
  <c r="DO11"/>
  <c r="DO10"/>
  <c r="DS10" s="1"/>
  <c r="DO9"/>
  <c r="DO16"/>
  <c r="DO21"/>
  <c r="DV21" s="1"/>
  <c r="DU11"/>
  <c r="DW89"/>
  <c r="DV73"/>
  <c r="DU57"/>
  <c r="DT41"/>
  <c r="DS41"/>
  <c r="DV196"/>
  <c r="DU196"/>
  <c r="DV180"/>
  <c r="DS164"/>
  <c r="DS148"/>
  <c r="DS132"/>
  <c r="DW116"/>
  <c r="DW100"/>
  <c r="DT95"/>
  <c r="DS95"/>
  <c r="DV63"/>
  <c r="DW84"/>
  <c r="DV52"/>
  <c r="DT22"/>
  <c r="DS20"/>
  <c r="DT73"/>
  <c r="DV164"/>
  <c r="DV148"/>
  <c r="DU132"/>
  <c r="DS23"/>
  <c r="DT63"/>
  <c r="DT84"/>
  <c r="DT52"/>
  <c r="S258" i="19"/>
  <c r="AA255"/>
  <c r="DT195" i="9"/>
  <c r="DS195"/>
  <c r="DT163"/>
  <c r="DS163"/>
  <c r="DT131"/>
  <c r="DS131"/>
  <c r="DT99"/>
  <c r="DS99"/>
  <c r="DU79"/>
  <c r="DS47"/>
  <c r="DV68"/>
  <c r="DW163"/>
  <c r="DW131"/>
  <c r="DW99"/>
  <c r="DV100"/>
  <c r="DU100"/>
  <c r="DT79"/>
  <c r="DS79"/>
  <c r="DW47"/>
  <c r="DU68"/>
  <c r="DV47"/>
  <c r="DS68"/>
  <c r="AE261" i="19"/>
  <c r="DV20" i="9"/>
  <c r="DR30"/>
  <c r="DX30"/>
  <c r="DR24"/>
  <c r="DT24" s="1"/>
  <c r="DX24"/>
  <c r="DR18"/>
  <c r="DT18" s="1"/>
  <c r="DX18"/>
  <c r="DX34"/>
  <c r="DR34"/>
  <c r="DR37"/>
  <c r="DV37" s="1"/>
  <c r="DX37"/>
  <c r="DX8"/>
  <c r="DR8"/>
  <c r="DU12"/>
  <c r="DX12"/>
  <c r="DR25"/>
  <c r="DV25" s="1"/>
  <c r="DX25"/>
  <c r="DR15"/>
  <c r="DX15"/>
  <c r="DR16"/>
  <c r="DX16"/>
  <c r="DX9"/>
  <c r="DX32"/>
  <c r="DR32"/>
  <c r="DU32" s="1"/>
  <c r="DR27"/>
  <c r="DU27" s="1"/>
  <c r="DX27"/>
  <c r="DR33"/>
  <c r="DU33" s="1"/>
  <c r="DX33"/>
  <c r="DR19"/>
  <c r="DX19"/>
  <c r="DR35"/>
  <c r="DV35" s="1"/>
  <c r="DX35"/>
  <c r="DR14"/>
  <c r="DW14" s="1"/>
  <c r="DX14"/>
  <c r="DR36"/>
  <c r="DX36"/>
  <c r="DX13"/>
  <c r="DR13"/>
  <c r="DR31"/>
  <c r="DX31"/>
  <c r="DR28"/>
  <c r="DT28" s="1"/>
  <c r="DX28"/>
  <c r="DR26"/>
  <c r="DX26"/>
  <c r="DR29"/>
  <c r="DW29" s="1"/>
  <c r="DX29"/>
  <c r="DR17"/>
  <c r="DW17" s="1"/>
  <c r="DX17"/>
  <c r="DV62"/>
  <c r="DS40"/>
  <c r="DV84"/>
  <c r="DS52"/>
  <c r="DV40"/>
  <c r="AA253" i="19"/>
  <c r="AA254"/>
  <c r="AA257"/>
  <c r="AA256"/>
  <c r="AA258"/>
  <c r="AA260"/>
  <c r="S260"/>
  <c r="G298"/>
  <c r="F274"/>
  <c r="L276"/>
  <c r="AW275" s="1"/>
  <c r="A271"/>
  <c r="A272" s="1"/>
  <c r="A273" s="1"/>
  <c r="A274" s="1"/>
  <c r="D283"/>
  <c r="O286"/>
  <c r="H290"/>
  <c r="P293"/>
  <c r="AB278"/>
  <c r="B285"/>
  <c r="D286"/>
  <c r="E288"/>
  <c r="F292"/>
  <c r="F283"/>
  <c r="G286"/>
  <c r="H287"/>
  <c r="J287" s="1"/>
  <c r="F290"/>
  <c r="C276"/>
  <c r="O283"/>
  <c r="E285"/>
  <c r="G287"/>
  <c r="G288"/>
  <c r="M290"/>
  <c r="L284"/>
  <c r="N284" s="1"/>
  <c r="E286"/>
  <c r="D290"/>
  <c r="F293"/>
  <c r="B298"/>
  <c r="F284"/>
  <c r="O287"/>
  <c r="O290"/>
  <c r="C277"/>
  <c r="F285"/>
  <c r="D287"/>
  <c r="B290"/>
  <c r="H294"/>
  <c r="F286"/>
  <c r="I290"/>
  <c r="G284"/>
  <c r="H285"/>
  <c r="F288"/>
  <c r="H292"/>
  <c r="L283"/>
  <c r="N283" s="1"/>
  <c r="L285"/>
  <c r="N285" s="1"/>
  <c r="E287"/>
  <c r="G290"/>
  <c r="N293"/>
  <c r="L275"/>
  <c r="O284"/>
  <c r="H288"/>
  <c r="J288" s="1"/>
  <c r="N292"/>
  <c r="E283"/>
  <c r="H284"/>
  <c r="J284" s="1"/>
  <c r="O285"/>
  <c r="E290"/>
  <c r="F294"/>
  <c r="H283"/>
  <c r="J283" s="1"/>
  <c r="D285"/>
  <c r="F287"/>
  <c r="L290"/>
  <c r="M294"/>
  <c r="G283"/>
  <c r="G285"/>
  <c r="H286"/>
  <c r="J286" s="1"/>
  <c r="K286" s="1"/>
  <c r="O288"/>
  <c r="P292"/>
  <c r="A275"/>
  <c r="A276" s="1"/>
  <c r="A277" s="1"/>
  <c r="A278" s="1"/>
  <c r="A279" s="1"/>
  <c r="A280" s="1"/>
  <c r="A281" s="1"/>
  <c r="A282" s="1"/>
  <c r="A283" s="1"/>
  <c r="A284" s="1"/>
  <c r="A285" s="1"/>
  <c r="A286" s="1"/>
  <c r="A287" s="1"/>
  <c r="A288" s="1"/>
  <c r="A289" s="1"/>
  <c r="A290" s="1"/>
  <c r="A291" s="1"/>
  <c r="A292" s="1"/>
  <c r="A293" s="1"/>
  <c r="A294" s="1"/>
  <c r="A295" s="1"/>
  <c r="A296" s="1"/>
  <c r="A297" s="1"/>
  <c r="A298" s="1"/>
  <c r="A299" s="1"/>
  <c r="E284"/>
  <c r="L286"/>
  <c r="N286" s="1"/>
  <c r="D288"/>
  <c r="J290"/>
  <c r="C278"/>
  <c r="D284"/>
  <c r="J285"/>
  <c r="L287"/>
  <c r="N287" s="1"/>
  <c r="L288"/>
  <c r="N288" s="1"/>
  <c r="H293"/>
  <c r="F7" i="12"/>
  <c r="F6" i="11"/>
  <c r="C3" i="15"/>
  <c r="C3" i="11"/>
  <c r="F3" i="15"/>
  <c r="F2" i="11"/>
  <c r="A3"/>
  <c r="A3" i="15"/>
  <c r="D3"/>
  <c r="D2" i="11"/>
  <c r="B3" i="15"/>
  <c r="B3" i="11"/>
  <c r="DW20" i="9"/>
  <c r="DS18"/>
  <c r="GK35"/>
  <c r="GL35"/>
  <c r="S32" i="11" s="1"/>
  <c r="GK31" i="9"/>
  <c r="GL31"/>
  <c r="S28" i="11" s="1"/>
  <c r="GK27" i="9"/>
  <c r="GL27"/>
  <c r="S24" i="11" s="1"/>
  <c r="GK23" i="9"/>
  <c r="D265" i="19" s="1"/>
  <c r="GL23" i="9"/>
  <c r="GK19"/>
  <c r="D205" i="19" s="1"/>
  <c r="GL19" i="9"/>
  <c r="GK36"/>
  <c r="GL36"/>
  <c r="S33" i="11" s="1"/>
  <c r="GK32" i="9"/>
  <c r="GL32"/>
  <c r="S29" i="11" s="1"/>
  <c r="GK28" i="9"/>
  <c r="GL28"/>
  <c r="S25" i="11" s="1"/>
  <c r="GK24" i="9"/>
  <c r="T265" i="19" s="1"/>
  <c r="GL24" i="9"/>
  <c r="GK20"/>
  <c r="T205" i="19" s="1"/>
  <c r="GL20" i="9"/>
  <c r="GK37"/>
  <c r="GL37"/>
  <c r="S34" i="11" s="1"/>
  <c r="GK33" i="9"/>
  <c r="GL33"/>
  <c r="S30" i="11" s="1"/>
  <c r="GK29" i="9"/>
  <c r="GL29"/>
  <c r="S26" i="11" s="1"/>
  <c r="GK25" i="9"/>
  <c r="D295" i="19" s="1"/>
  <c r="GL25" i="9"/>
  <c r="S22" i="11" s="1"/>
  <c r="GK21" i="9"/>
  <c r="D235" i="19" s="1"/>
  <c r="GL21" i="9"/>
  <c r="GK34"/>
  <c r="GL34"/>
  <c r="S31" i="11" s="1"/>
  <c r="GK30" i="9"/>
  <c r="GL30"/>
  <c r="S27" i="11" s="1"/>
  <c r="GK26" i="9"/>
  <c r="GM26" s="1"/>
  <c r="GL26"/>
  <c r="S23" i="11" s="1"/>
  <c r="GK22" i="9"/>
  <c r="T235" i="19" s="1"/>
  <c r="GL22" i="9"/>
  <c r="GK18"/>
  <c r="GL18"/>
  <c r="DU18"/>
  <c r="DT8"/>
  <c r="DT20"/>
  <c r="DS37"/>
  <c r="DT37"/>
  <c r="DW18"/>
  <c r="DV18"/>
  <c r="DU20"/>
  <c r="DU37"/>
  <c r="DT91"/>
  <c r="DS91"/>
  <c r="DV75"/>
  <c r="DT59"/>
  <c r="DS59"/>
  <c r="DV43"/>
  <c r="DT192"/>
  <c r="DS176"/>
  <c r="DT160"/>
  <c r="DW144"/>
  <c r="DT128"/>
  <c r="DW112"/>
  <c r="DT96"/>
  <c r="DS80"/>
  <c r="DW48"/>
  <c r="DU193"/>
  <c r="DT177"/>
  <c r="DU161"/>
  <c r="DW145"/>
  <c r="DU129"/>
  <c r="DW113"/>
  <c r="DU97"/>
  <c r="DW81"/>
  <c r="DU65"/>
  <c r="DW49"/>
  <c r="DU25"/>
  <c r="DT198"/>
  <c r="DU182"/>
  <c r="DT166"/>
  <c r="DW150"/>
  <c r="DT134"/>
  <c r="DW118"/>
  <c r="DT102"/>
  <c r="DW86"/>
  <c r="DT70"/>
  <c r="DW54"/>
  <c r="DT38"/>
  <c r="DS22"/>
  <c r="DU35"/>
  <c r="DT32"/>
  <c r="DV39"/>
  <c r="DW204"/>
  <c r="DT188"/>
  <c r="DV92"/>
  <c r="DU92"/>
  <c r="DT76"/>
  <c r="DS60"/>
  <c r="DW44"/>
  <c r="DV64"/>
  <c r="DU64"/>
  <c r="DV29"/>
  <c r="DV17"/>
  <c r="DW199"/>
  <c r="DV191"/>
  <c r="DW183"/>
  <c r="DU175"/>
  <c r="DV175"/>
  <c r="DV167"/>
  <c r="DV159"/>
  <c r="DU151"/>
  <c r="DT143"/>
  <c r="DS143"/>
  <c r="DW135"/>
  <c r="DV127"/>
  <c r="DU119"/>
  <c r="DT111"/>
  <c r="DS111"/>
  <c r="DW103"/>
  <c r="DU87"/>
  <c r="DW71"/>
  <c r="DU55"/>
  <c r="DW23"/>
  <c r="DU172"/>
  <c r="DW156"/>
  <c r="DV140"/>
  <c r="DU140"/>
  <c r="DT124"/>
  <c r="DS108"/>
  <c r="DW56"/>
  <c r="DT12"/>
  <c r="DS12"/>
  <c r="DU205"/>
  <c r="DT197"/>
  <c r="DS197"/>
  <c r="DW189"/>
  <c r="DW181"/>
  <c r="DU173"/>
  <c r="DT165"/>
  <c r="DS165"/>
  <c r="DW157"/>
  <c r="DV149"/>
  <c r="DU141"/>
  <c r="DT133"/>
  <c r="DS133"/>
  <c r="DW125"/>
  <c r="DV117"/>
  <c r="DU109"/>
  <c r="DT101"/>
  <c r="DS101"/>
  <c r="DW93"/>
  <c r="DV85"/>
  <c r="DU77"/>
  <c r="DT69"/>
  <c r="DS69"/>
  <c r="DW61"/>
  <c r="DV53"/>
  <c r="DU45"/>
  <c r="DT33"/>
  <c r="DS33"/>
  <c r="DT202"/>
  <c r="DS194"/>
  <c r="DW186"/>
  <c r="DS178"/>
  <c r="DT178"/>
  <c r="DV170"/>
  <c r="DS162"/>
  <c r="DW154"/>
  <c r="DV146"/>
  <c r="DU146"/>
  <c r="DT138"/>
  <c r="DS130"/>
  <c r="DW122"/>
  <c r="DV114"/>
  <c r="DU114"/>
  <c r="DT106"/>
  <c r="DS98"/>
  <c r="DW90"/>
  <c r="DV82"/>
  <c r="DU82"/>
  <c r="DT74"/>
  <c r="DS66"/>
  <c r="DW58"/>
  <c r="DV50"/>
  <c r="DU50"/>
  <c r="DT42"/>
  <c r="DV14"/>
  <c r="DT27"/>
  <c r="DS27"/>
  <c r="DT11"/>
  <c r="DS24"/>
  <c r="DS8"/>
  <c r="DV88"/>
  <c r="DU88"/>
  <c r="DT72"/>
  <c r="DS28"/>
  <c r="DW91"/>
  <c r="DU75"/>
  <c r="DW59"/>
  <c r="DU43"/>
  <c r="DS192"/>
  <c r="DW176"/>
  <c r="DT176"/>
  <c r="DS160"/>
  <c r="DV144"/>
  <c r="DU144"/>
  <c r="DS128"/>
  <c r="DV112"/>
  <c r="DU112"/>
  <c r="DS96"/>
  <c r="DW80"/>
  <c r="DV48"/>
  <c r="DU48"/>
  <c r="DT193"/>
  <c r="DS193"/>
  <c r="DW177"/>
  <c r="DT161"/>
  <c r="DS161"/>
  <c r="DV145"/>
  <c r="DT129"/>
  <c r="DS129"/>
  <c r="DV113"/>
  <c r="DT97"/>
  <c r="DS97"/>
  <c r="DV81"/>
  <c r="DT65"/>
  <c r="DS65"/>
  <c r="DV49"/>
  <c r="DT25"/>
  <c r="DS25"/>
  <c r="DS198"/>
  <c r="DS182"/>
  <c r="DT182"/>
  <c r="DS166"/>
  <c r="DV150"/>
  <c r="DU150"/>
  <c r="DS134"/>
  <c r="DV118"/>
  <c r="DU118"/>
  <c r="DS102"/>
  <c r="DV86"/>
  <c r="DU86"/>
  <c r="DS70"/>
  <c r="DV54"/>
  <c r="DU54"/>
  <c r="DS38"/>
  <c r="DW22"/>
  <c r="DT35"/>
  <c r="DS35"/>
  <c r="DS32"/>
  <c r="DU39"/>
  <c r="DV204"/>
  <c r="DU204"/>
  <c r="DS188"/>
  <c r="DT92"/>
  <c r="DS76"/>
  <c r="DW60"/>
  <c r="DV44"/>
  <c r="DU44"/>
  <c r="DT64"/>
  <c r="DU29"/>
  <c r="DU17"/>
  <c r="DT17"/>
  <c r="DV199"/>
  <c r="DU191"/>
  <c r="DU183"/>
  <c r="DV183"/>
  <c r="DT175"/>
  <c r="DU167"/>
  <c r="DU159"/>
  <c r="DT151"/>
  <c r="DS151"/>
  <c r="DW143"/>
  <c r="DV135"/>
  <c r="DU127"/>
  <c r="DT119"/>
  <c r="DS119"/>
  <c r="DW111"/>
  <c r="DV103"/>
  <c r="DT87"/>
  <c r="DS87"/>
  <c r="DV71"/>
  <c r="DT55"/>
  <c r="DS55"/>
  <c r="DV23"/>
  <c r="DS172"/>
  <c r="DV156"/>
  <c r="DU156"/>
  <c r="DT140"/>
  <c r="DS124"/>
  <c r="DW108"/>
  <c r="DV56"/>
  <c r="DU56"/>
  <c r="DW12"/>
  <c r="DT205"/>
  <c r="DS205"/>
  <c r="DW197"/>
  <c r="DV189"/>
  <c r="DU181"/>
  <c r="DS173"/>
  <c r="DV173"/>
  <c r="DW165"/>
  <c r="DV157"/>
  <c r="DU149"/>
  <c r="DT141"/>
  <c r="DS141"/>
  <c r="DW133"/>
  <c r="DV125"/>
  <c r="DU117"/>
  <c r="DT109"/>
  <c r="DS109"/>
  <c r="DW101"/>
  <c r="DV93"/>
  <c r="DU85"/>
  <c r="DT77"/>
  <c r="DS77"/>
  <c r="DW69"/>
  <c r="DV61"/>
  <c r="DU53"/>
  <c r="DT45"/>
  <c r="DS45"/>
  <c r="DW33"/>
  <c r="DS202"/>
  <c r="DW194"/>
  <c r="DV186"/>
  <c r="DU186"/>
  <c r="DV178"/>
  <c r="DW170"/>
  <c r="DW162"/>
  <c r="DV154"/>
  <c r="DU154"/>
  <c r="DT146"/>
  <c r="DS138"/>
  <c r="DW130"/>
  <c r="DV122"/>
  <c r="DU122"/>
  <c r="DT114"/>
  <c r="DS106"/>
  <c r="DW98"/>
  <c r="DV90"/>
  <c r="DU90"/>
  <c r="DT82"/>
  <c r="DS74"/>
  <c r="DW66"/>
  <c r="DV58"/>
  <c r="DU58"/>
  <c r="DT50"/>
  <c r="DS42"/>
  <c r="DU14"/>
  <c r="DT14"/>
  <c r="DW27"/>
  <c r="DS11"/>
  <c r="DW24"/>
  <c r="DT88"/>
  <c r="DS72"/>
  <c r="DW28"/>
  <c r="DW37"/>
  <c r="DY37" s="1"/>
  <c r="DV91"/>
  <c r="DT75"/>
  <c r="DS75"/>
  <c r="DV59"/>
  <c r="DT43"/>
  <c r="DS43"/>
  <c r="DW192"/>
  <c r="DV176"/>
  <c r="DW160"/>
  <c r="DT144"/>
  <c r="DW128"/>
  <c r="DT112"/>
  <c r="DW96"/>
  <c r="DV80"/>
  <c r="DU80"/>
  <c r="DT48"/>
  <c r="DW193"/>
  <c r="DU177"/>
  <c r="DW161"/>
  <c r="DU145"/>
  <c r="DW129"/>
  <c r="DU113"/>
  <c r="DW97"/>
  <c r="DU81"/>
  <c r="DW65"/>
  <c r="DU49"/>
  <c r="DW25"/>
  <c r="DW198"/>
  <c r="DV182"/>
  <c r="DW166"/>
  <c r="DT150"/>
  <c r="DW134"/>
  <c r="DT118"/>
  <c r="DW102"/>
  <c r="DT86"/>
  <c r="DW70"/>
  <c r="DT54"/>
  <c r="DW38"/>
  <c r="DV22"/>
  <c r="DU22"/>
  <c r="DW35"/>
  <c r="DW32"/>
  <c r="DT39"/>
  <c r="DS39"/>
  <c r="DT204"/>
  <c r="DW188"/>
  <c r="DS92"/>
  <c r="DW76"/>
  <c r="DV60"/>
  <c r="DU60"/>
  <c r="DT44"/>
  <c r="DS64"/>
  <c r="DT29"/>
  <c r="DS29"/>
  <c r="DS17"/>
  <c r="DU199"/>
  <c r="DT191"/>
  <c r="DS191"/>
  <c r="DT183"/>
  <c r="DS175"/>
  <c r="DT167"/>
  <c r="DT159"/>
  <c r="DS159"/>
  <c r="DW151"/>
  <c r="DV143"/>
  <c r="DU135"/>
  <c r="DT127"/>
  <c r="DS127"/>
  <c r="DW119"/>
  <c r="DV111"/>
  <c r="DU103"/>
  <c r="DW87"/>
  <c r="DU71"/>
  <c r="DW55"/>
  <c r="DU23"/>
  <c r="DW172"/>
  <c r="DT172"/>
  <c r="DT156"/>
  <c r="DS140"/>
  <c r="DW124"/>
  <c r="DV108"/>
  <c r="DU108"/>
  <c r="DT56"/>
  <c r="DV12"/>
  <c r="DW205"/>
  <c r="DV197"/>
  <c r="DU189"/>
  <c r="DS181"/>
  <c r="DV181"/>
  <c r="DT173"/>
  <c r="DV165"/>
  <c r="DU157"/>
  <c r="DT149"/>
  <c r="DS149"/>
  <c r="DW141"/>
  <c r="DV133"/>
  <c r="DU125"/>
  <c r="DT117"/>
  <c r="DS117"/>
  <c r="DW109"/>
  <c r="DV101"/>
  <c r="DU93"/>
  <c r="DT85"/>
  <c r="DS85"/>
  <c r="DW77"/>
  <c r="DV69"/>
  <c r="DU61"/>
  <c r="DT53"/>
  <c r="DS53"/>
  <c r="DW45"/>
  <c r="DV33"/>
  <c r="DW202"/>
  <c r="DV194"/>
  <c r="DU194"/>
  <c r="DT186"/>
  <c r="DW178"/>
  <c r="DU170"/>
  <c r="DV162"/>
  <c r="DU162"/>
  <c r="DT154"/>
  <c r="DS146"/>
  <c r="DW138"/>
  <c r="DV130"/>
  <c r="DU130"/>
  <c r="DT122"/>
  <c r="DS114"/>
  <c r="DW106"/>
  <c r="DV98"/>
  <c r="DU98"/>
  <c r="DT90"/>
  <c r="DS82"/>
  <c r="DW74"/>
  <c r="DV66"/>
  <c r="DU66"/>
  <c r="DT58"/>
  <c r="DS50"/>
  <c r="DW42"/>
  <c r="DS14"/>
  <c r="DV27"/>
  <c r="DW11"/>
  <c r="DV24"/>
  <c r="DU24"/>
  <c r="DS88"/>
  <c r="DW72"/>
  <c r="DV28"/>
  <c r="DU28"/>
  <c r="DV192"/>
  <c r="DV160"/>
  <c r="DV128"/>
  <c r="DV96"/>
  <c r="DS177"/>
  <c r="DT145"/>
  <c r="DT113"/>
  <c r="DT81"/>
  <c r="DT49"/>
  <c r="DV198"/>
  <c r="DV166"/>
  <c r="DV134"/>
  <c r="DV102"/>
  <c r="DV70"/>
  <c r="DV38"/>
  <c r="DV32"/>
  <c r="DV188"/>
  <c r="DV76"/>
  <c r="DT199"/>
  <c r="DW167"/>
  <c r="DT135"/>
  <c r="DT103"/>
  <c r="DT71"/>
  <c r="DT23"/>
  <c r="DV124"/>
  <c r="DT189"/>
  <c r="DT157"/>
  <c r="DT125"/>
  <c r="DT93"/>
  <c r="DT61"/>
  <c r="DV202"/>
  <c r="DS170"/>
  <c r="DV138"/>
  <c r="DV106"/>
  <c r="DV74"/>
  <c r="DV42"/>
  <c r="DV11"/>
  <c r="DV72"/>
  <c r="DY20"/>
  <c r="J5" i="7"/>
  <c r="G16"/>
  <c r="AG2" i="8" s="1"/>
  <c r="BP3" i="9" s="1"/>
  <c r="AJ12" i="20" s="1"/>
  <c r="G19" i="7"/>
  <c r="U275" i="19" l="1"/>
  <c r="AA298"/>
  <c r="DT21" i="9"/>
  <c r="DS21"/>
  <c r="AW248" i="19"/>
  <c r="AV276"/>
  <c r="AX276"/>
  <c r="AW276"/>
  <c r="BA249"/>
  <c r="AW250"/>
  <c r="BB249"/>
  <c r="BB247"/>
  <c r="BC249"/>
  <c r="K284"/>
  <c r="C288"/>
  <c r="S19" i="11"/>
  <c r="X235" i="19"/>
  <c r="S18" i="11"/>
  <c r="H235" i="19"/>
  <c r="S21" i="11"/>
  <c r="X265" i="19"/>
  <c r="S16" i="11"/>
  <c r="H205" i="19"/>
  <c r="DT10" i="9"/>
  <c r="GM18"/>
  <c r="T175" i="19"/>
  <c r="DU10" i="9"/>
  <c r="S15" i="11"/>
  <c r="X175" i="19"/>
  <c r="S17" i="11"/>
  <c r="X205" i="19"/>
  <c r="S20" i="11"/>
  <c r="H265" i="19"/>
  <c r="DU21" i="9"/>
  <c r="DW10"/>
  <c r="DV10"/>
  <c r="H295" i="19"/>
  <c r="B257"/>
  <c r="B197"/>
  <c r="B137"/>
  <c r="B77"/>
  <c r="R257"/>
  <c r="R197"/>
  <c r="R137"/>
  <c r="R77"/>
  <c r="B287"/>
  <c r="B227"/>
  <c r="B167"/>
  <c r="B107"/>
  <c r="R47"/>
  <c r="B47"/>
  <c r="R287"/>
  <c r="R227"/>
  <c r="R167"/>
  <c r="R107"/>
  <c r="DT19" i="9"/>
  <c r="DU19"/>
  <c r="DV19"/>
  <c r="DW19"/>
  <c r="DS19"/>
  <c r="DW9"/>
  <c r="DS9"/>
  <c r="DT9"/>
  <c r="DU9"/>
  <c r="DV9"/>
  <c r="DT15"/>
  <c r="DU15"/>
  <c r="DV15"/>
  <c r="DW15"/>
  <c r="DS15"/>
  <c r="DU30"/>
  <c r="DV30"/>
  <c r="DW30"/>
  <c r="DS30"/>
  <c r="DT30"/>
  <c r="DU13"/>
  <c r="DV13"/>
  <c r="DW13"/>
  <c r="DS13"/>
  <c r="DT13"/>
  <c r="DS26"/>
  <c r="DT26"/>
  <c r="DU26"/>
  <c r="DV26"/>
  <c r="DW26"/>
  <c r="DW31"/>
  <c r="DS31"/>
  <c r="DT31"/>
  <c r="DU31"/>
  <c r="DV31"/>
  <c r="DS36"/>
  <c r="DT36"/>
  <c r="DU36"/>
  <c r="DV36"/>
  <c r="DW36"/>
  <c r="DT16"/>
  <c r="DU16"/>
  <c r="DV16"/>
  <c r="DW16"/>
  <c r="DS16"/>
  <c r="DU8"/>
  <c r="DW8"/>
  <c r="DV8"/>
  <c r="DW34"/>
  <c r="DS34"/>
  <c r="DT34"/>
  <c r="DU34"/>
  <c r="DV34"/>
  <c r="K285" i="19"/>
  <c r="K287"/>
  <c r="K283"/>
  <c r="K288"/>
  <c r="O291"/>
  <c r="N290"/>
  <c r="K290"/>
  <c r="AF292"/>
  <c r="R290"/>
  <c r="V286"/>
  <c r="X284"/>
  <c r="Z284" s="1"/>
  <c r="S278"/>
  <c r="X292"/>
  <c r="W288"/>
  <c r="T287"/>
  <c r="AE284"/>
  <c r="AB275"/>
  <c r="X293"/>
  <c r="X286"/>
  <c r="Z286" s="1"/>
  <c r="R285"/>
  <c r="AB276"/>
  <c r="BB275" s="1"/>
  <c r="V294"/>
  <c r="U290"/>
  <c r="U286"/>
  <c r="T285"/>
  <c r="X283"/>
  <c r="Z283" s="1"/>
  <c r="AD293"/>
  <c r="V290"/>
  <c r="W287"/>
  <c r="U283"/>
  <c r="V274"/>
  <c r="V293"/>
  <c r="AB288"/>
  <c r="AD288" s="1"/>
  <c r="X287"/>
  <c r="Z287" s="1"/>
  <c r="V285"/>
  <c r="V283"/>
  <c r="AC294"/>
  <c r="T290"/>
  <c r="AE287"/>
  <c r="W285"/>
  <c r="W283"/>
  <c r="X295"/>
  <c r="Y290"/>
  <c r="U288"/>
  <c r="X285"/>
  <c r="Z285" s="1"/>
  <c r="X294"/>
  <c r="Z290"/>
  <c r="AB287"/>
  <c r="AD287" s="1"/>
  <c r="U285"/>
  <c r="AE283"/>
  <c r="S276"/>
  <c r="AF293"/>
  <c r="W290"/>
  <c r="W286"/>
  <c r="U284"/>
  <c r="T295"/>
  <c r="X290"/>
  <c r="T288"/>
  <c r="AB285"/>
  <c r="AD285" s="1"/>
  <c r="AB283"/>
  <c r="AD283" s="1"/>
  <c r="AC290"/>
  <c r="AE286"/>
  <c r="W284"/>
  <c r="V292"/>
  <c r="V288"/>
  <c r="AE285"/>
  <c r="T284"/>
  <c r="S277"/>
  <c r="AE290"/>
  <c r="AB286"/>
  <c r="AD286" s="1"/>
  <c r="R298"/>
  <c r="AB290"/>
  <c r="X288"/>
  <c r="Z288" s="1"/>
  <c r="U287"/>
  <c r="T286"/>
  <c r="V284"/>
  <c r="W298"/>
  <c r="AD292"/>
  <c r="AE288"/>
  <c r="V287"/>
  <c r="AB284"/>
  <c r="AD284" s="1"/>
  <c r="T283"/>
  <c r="C290"/>
  <c r="B17"/>
  <c r="R17"/>
  <c r="CJ208" i="9"/>
  <c r="O3" i="15"/>
  <c r="DY18" i="9"/>
  <c r="FY18" s="1"/>
  <c r="AF173" i="19" s="1"/>
  <c r="GM34" i="9"/>
  <c r="GM20"/>
  <c r="DY23"/>
  <c r="DY14"/>
  <c r="FY14" s="1"/>
  <c r="AF113" i="19" s="1"/>
  <c r="DY17" i="9"/>
  <c r="FY17" s="1"/>
  <c r="P173" i="19" s="1"/>
  <c r="GM22" i="9"/>
  <c r="GM30"/>
  <c r="GM24"/>
  <c r="GM32"/>
  <c r="GM19"/>
  <c r="GM27"/>
  <c r="GM28"/>
  <c r="GM36"/>
  <c r="GM23"/>
  <c r="GM31"/>
  <c r="GM35"/>
  <c r="FY20"/>
  <c r="AF203" i="19" s="1"/>
  <c r="GM21" i="9"/>
  <c r="GM29"/>
  <c r="GM37"/>
  <c r="GM25"/>
  <c r="GM33"/>
  <c r="DY32"/>
  <c r="DY25"/>
  <c r="DY28"/>
  <c r="DY27"/>
  <c r="DY29"/>
  <c r="DY11"/>
  <c r="DY35"/>
  <c r="DY24"/>
  <c r="DY33"/>
  <c r="DY12"/>
  <c r="DY22"/>
  <c r="G22" i="7"/>
  <c r="DY21" i="9" l="1"/>
  <c r="FY21" s="1"/>
  <c r="P233" i="19" s="1"/>
  <c r="L247"/>
  <c r="DY10" i="9"/>
  <c r="FY10" s="1"/>
  <c r="AF53" i="19" s="1"/>
  <c r="AF233"/>
  <c r="BB250"/>
  <c r="BB248"/>
  <c r="AB247" s="1"/>
  <c r="AV279"/>
  <c r="BA276"/>
  <c r="BB276"/>
  <c r="BC276"/>
  <c r="AX279"/>
  <c r="AW277"/>
  <c r="AW279"/>
  <c r="S290"/>
  <c r="AA286"/>
  <c r="AA285"/>
  <c r="DY19" i="9"/>
  <c r="FY19" s="1"/>
  <c r="P203" i="19" s="1"/>
  <c r="DY8" i="9"/>
  <c r="FY8" s="1"/>
  <c r="AF23" i="19" s="1"/>
  <c r="DY30" i="9"/>
  <c r="DY15"/>
  <c r="FY15" s="1"/>
  <c r="P143" i="19" s="1"/>
  <c r="DY16" i="9"/>
  <c r="FY16" s="1"/>
  <c r="AF143" i="19" s="1"/>
  <c r="DY34" i="9"/>
  <c r="DY26"/>
  <c r="DY9"/>
  <c r="DY36"/>
  <c r="DY31"/>
  <c r="DY13"/>
  <c r="FY13" s="1"/>
  <c r="P113" i="19" s="1"/>
  <c r="AA283"/>
  <c r="AA290"/>
  <c r="AE291"/>
  <c r="AA284"/>
  <c r="AA287"/>
  <c r="AD290"/>
  <c r="AA288"/>
  <c r="S288"/>
  <c r="CJ209" i="9"/>
  <c r="A13" i="6" s="1"/>
  <c r="B13"/>
  <c r="FY12" i="9"/>
  <c r="AF83" i="19" s="1"/>
  <c r="FY11" i="9"/>
  <c r="P83" i="19" s="1"/>
  <c r="G17" i="7"/>
  <c r="AL2" i="8" s="1"/>
  <c r="CE3" i="9" s="1"/>
  <c r="AJ13" i="20" s="1"/>
  <c r="G15" i="7"/>
  <c r="AB2" i="8" s="1"/>
  <c r="BB3" i="9" s="1"/>
  <c r="AJ11" i="20" s="1"/>
  <c r="G8" i="7"/>
  <c r="Q2" i="8" s="1"/>
  <c r="Y3" i="9" s="1"/>
  <c r="AJ9" i="20" s="1"/>
  <c r="G7" i="7"/>
  <c r="L2" i="8" s="1"/>
  <c r="K3" i="9" s="1"/>
  <c r="AJ8" i="20" s="1"/>
  <c r="AW280" i="19" l="1"/>
  <c r="BC279"/>
  <c r="BA279"/>
  <c r="BB279"/>
  <c r="BB277"/>
  <c r="AW278"/>
  <c r="L277" s="1"/>
  <c r="B286"/>
  <c r="B226"/>
  <c r="B166"/>
  <c r="B106"/>
  <c r="R286"/>
  <c r="R226"/>
  <c r="R166"/>
  <c r="R106"/>
  <c r="R46"/>
  <c r="B46"/>
  <c r="B256"/>
  <c r="B196"/>
  <c r="B136"/>
  <c r="B76"/>
  <c r="R256"/>
  <c r="R196"/>
  <c r="R136"/>
  <c r="R76"/>
  <c r="B254"/>
  <c r="B194"/>
  <c r="B134"/>
  <c r="B74"/>
  <c r="R44"/>
  <c r="B44"/>
  <c r="R254"/>
  <c r="R194"/>
  <c r="R134"/>
  <c r="R74"/>
  <c r="B284"/>
  <c r="B224"/>
  <c r="B164"/>
  <c r="B104"/>
  <c r="R284"/>
  <c r="R224"/>
  <c r="R164"/>
  <c r="R104"/>
  <c r="B283"/>
  <c r="B223"/>
  <c r="B163"/>
  <c r="B103"/>
  <c r="R283"/>
  <c r="R223"/>
  <c r="R163"/>
  <c r="R103"/>
  <c r="B253"/>
  <c r="B193"/>
  <c r="B133"/>
  <c r="B73"/>
  <c r="R253"/>
  <c r="R193"/>
  <c r="R133"/>
  <c r="R73"/>
  <c r="R43"/>
  <c r="B43"/>
  <c r="B288"/>
  <c r="B228"/>
  <c r="B168"/>
  <c r="B108"/>
  <c r="R288"/>
  <c r="R228"/>
  <c r="R168"/>
  <c r="R108"/>
  <c r="B258"/>
  <c r="B198"/>
  <c r="B138"/>
  <c r="B78"/>
  <c r="R258"/>
  <c r="R198"/>
  <c r="R138"/>
  <c r="R78"/>
  <c r="R48"/>
  <c r="B48"/>
  <c r="R27" i="18"/>
  <c r="GT9" i="9"/>
  <c r="FY9"/>
  <c r="P53" i="19" s="1"/>
  <c r="R13"/>
  <c r="B13"/>
  <c r="R18"/>
  <c r="B18"/>
  <c r="B16"/>
  <c r="R16"/>
  <c r="B14"/>
  <c r="R14"/>
  <c r="CE208" i="9"/>
  <c r="B12" i="6" s="1"/>
  <c r="N3" i="15"/>
  <c r="CU208" i="9"/>
  <c r="P3" i="15"/>
  <c r="CE209" i="9"/>
  <c r="A12" i="6" s="1"/>
  <c r="V2" i="8"/>
  <c r="GU4" i="9"/>
  <c r="BX3" i="8"/>
  <c r="BU3"/>
  <c r="BK3"/>
  <c r="BD3"/>
  <c r="AY3"/>
  <c r="JM207" i="9"/>
  <c r="JM208"/>
  <c r="JM209"/>
  <c r="JM210"/>
  <c r="JM211"/>
  <c r="JM212"/>
  <c r="JM213"/>
  <c r="JM214"/>
  <c r="JM215"/>
  <c r="JM216"/>
  <c r="JM217"/>
  <c r="JM218"/>
  <c r="JF207"/>
  <c r="JF208"/>
  <c r="JF209"/>
  <c r="JF210"/>
  <c r="JF211"/>
  <c r="JF212"/>
  <c r="JF213"/>
  <c r="JF214"/>
  <c r="JF215"/>
  <c r="JF216"/>
  <c r="JF217"/>
  <c r="JF218"/>
  <c r="IY8"/>
  <c r="IY9"/>
  <c r="IY10"/>
  <c r="IY11"/>
  <c r="IY12"/>
  <c r="IY13"/>
  <c r="IY14"/>
  <c r="IY15"/>
  <c r="IY16"/>
  <c r="IY17"/>
  <c r="IY18"/>
  <c r="IY19"/>
  <c r="IY20"/>
  <c r="IY21"/>
  <c r="IY22"/>
  <c r="IY23"/>
  <c r="IY24"/>
  <c r="IY25"/>
  <c r="IY26"/>
  <c r="IY27"/>
  <c r="IY28"/>
  <c r="IY29"/>
  <c r="IY30"/>
  <c r="IY31"/>
  <c r="IY32"/>
  <c r="IY33"/>
  <c r="IY34"/>
  <c r="IY35"/>
  <c r="IY36"/>
  <c r="IY37"/>
  <c r="IY38"/>
  <c r="IY39"/>
  <c r="IY40"/>
  <c r="IY41"/>
  <c r="IY42"/>
  <c r="IY43"/>
  <c r="IY44"/>
  <c r="IY45"/>
  <c r="IY46"/>
  <c r="IY47"/>
  <c r="IY48"/>
  <c r="IY49"/>
  <c r="IY50"/>
  <c r="IY51"/>
  <c r="IY52"/>
  <c r="IY53"/>
  <c r="IY54"/>
  <c r="IY55"/>
  <c r="IY56"/>
  <c r="IY57"/>
  <c r="IY58"/>
  <c r="IY59"/>
  <c r="IY60"/>
  <c r="IY61"/>
  <c r="IY62"/>
  <c r="IY63"/>
  <c r="IY64"/>
  <c r="IY65"/>
  <c r="IY66"/>
  <c r="IY67"/>
  <c r="IY68"/>
  <c r="IY69"/>
  <c r="IY70"/>
  <c r="IY71"/>
  <c r="IY72"/>
  <c r="IY73"/>
  <c r="IY74"/>
  <c r="IY75"/>
  <c r="IY76"/>
  <c r="IY77"/>
  <c r="IY78"/>
  <c r="IY79"/>
  <c r="IY80"/>
  <c r="IY81"/>
  <c r="IY82"/>
  <c r="IY83"/>
  <c r="IY84"/>
  <c r="IY85"/>
  <c r="IY86"/>
  <c r="IY87"/>
  <c r="IY88"/>
  <c r="IY89"/>
  <c r="IY90"/>
  <c r="IY91"/>
  <c r="IY92"/>
  <c r="IY93"/>
  <c r="IY94"/>
  <c r="IY95"/>
  <c r="IY96"/>
  <c r="IY97"/>
  <c r="IY98"/>
  <c r="IY99"/>
  <c r="IY100"/>
  <c r="IY101"/>
  <c r="IY102"/>
  <c r="IY103"/>
  <c r="IY104"/>
  <c r="IY105"/>
  <c r="IY106"/>
  <c r="IY107"/>
  <c r="IY108"/>
  <c r="IY109"/>
  <c r="IY110"/>
  <c r="IY111"/>
  <c r="IY112"/>
  <c r="IY113"/>
  <c r="IY114"/>
  <c r="IY115"/>
  <c r="IY116"/>
  <c r="IY117"/>
  <c r="IY118"/>
  <c r="IY119"/>
  <c r="IY120"/>
  <c r="IY121"/>
  <c r="IY122"/>
  <c r="IY123"/>
  <c r="IY124"/>
  <c r="IY125"/>
  <c r="IY126"/>
  <c r="IY127"/>
  <c r="IY128"/>
  <c r="IY129"/>
  <c r="IY130"/>
  <c r="IY131"/>
  <c r="IY132"/>
  <c r="IY133"/>
  <c r="IY134"/>
  <c r="IY135"/>
  <c r="IY136"/>
  <c r="IY137"/>
  <c r="IY138"/>
  <c r="IY139"/>
  <c r="IY140"/>
  <c r="IY141"/>
  <c r="IY142"/>
  <c r="IY143"/>
  <c r="IY144"/>
  <c r="IY145"/>
  <c r="IY146"/>
  <c r="IY147"/>
  <c r="IY148"/>
  <c r="IY149"/>
  <c r="IY150"/>
  <c r="IY151"/>
  <c r="IY152"/>
  <c r="IY153"/>
  <c r="IY154"/>
  <c r="IY155"/>
  <c r="IY156"/>
  <c r="IY157"/>
  <c r="IY158"/>
  <c r="IY159"/>
  <c r="IY160"/>
  <c r="IY161"/>
  <c r="IY162"/>
  <c r="IY163"/>
  <c r="IY164"/>
  <c r="IY165"/>
  <c r="IY166"/>
  <c r="IY167"/>
  <c r="IY168"/>
  <c r="IY169"/>
  <c r="IY170"/>
  <c r="IY171"/>
  <c r="IY172"/>
  <c r="IY173"/>
  <c r="IY174"/>
  <c r="IY175"/>
  <c r="IY176"/>
  <c r="IY177"/>
  <c r="IY178"/>
  <c r="IY179"/>
  <c r="IY180"/>
  <c r="IY181"/>
  <c r="IY182"/>
  <c r="IY183"/>
  <c r="IY184"/>
  <c r="IY185"/>
  <c r="IY186"/>
  <c r="IY187"/>
  <c r="IY188"/>
  <c r="IY189"/>
  <c r="IY190"/>
  <c r="IY191"/>
  <c r="IY192"/>
  <c r="IY193"/>
  <c r="IY194"/>
  <c r="IY195"/>
  <c r="IY196"/>
  <c r="IY197"/>
  <c r="IY198"/>
  <c r="IY199"/>
  <c r="IY200"/>
  <c r="IY201"/>
  <c r="IY202"/>
  <c r="IY203"/>
  <c r="IY204"/>
  <c r="IY205"/>
  <c r="IY206"/>
  <c r="IY207"/>
  <c r="IY208"/>
  <c r="IY209"/>
  <c r="IY210"/>
  <c r="IY211"/>
  <c r="IY212"/>
  <c r="IY213"/>
  <c r="IY214"/>
  <c r="IY215"/>
  <c r="IY216"/>
  <c r="IY217"/>
  <c r="IY218"/>
  <c r="IY7"/>
  <c r="IX7"/>
  <c r="IY6"/>
  <c r="JF6" s="1"/>
  <c r="JM6" s="1"/>
  <c r="DC6"/>
  <c r="CY6"/>
  <c r="R27" i="4" l="1"/>
  <c r="P45" i="19"/>
  <c r="M7" i="15"/>
  <c r="BB280" i="19"/>
  <c r="BB278"/>
  <c r="CU209" i="9"/>
  <c r="A14" i="6" s="1"/>
  <c r="B14"/>
  <c r="AN6" i="15"/>
  <c r="JM8" i="9" s="1"/>
  <c r="AN7" i="15"/>
  <c r="JM9" i="9" s="1"/>
  <c r="AN8" i="15"/>
  <c r="JM10" i="9" s="1"/>
  <c r="AN9" i="15"/>
  <c r="JM11" i="9" s="1"/>
  <c r="AN10" i="15"/>
  <c r="JM12" i="9" s="1"/>
  <c r="AN11" i="15"/>
  <c r="JM13" i="9" s="1"/>
  <c r="AN12" i="15"/>
  <c r="JM14" i="9" s="1"/>
  <c r="AN13" i="15"/>
  <c r="JM15" i="9" s="1"/>
  <c r="AN14" i="15"/>
  <c r="JM16" i="9" s="1"/>
  <c r="AN15" i="15"/>
  <c r="JM17" i="9" s="1"/>
  <c r="AN16" i="15"/>
  <c r="JM18" i="9" s="1"/>
  <c r="AN17" i="15"/>
  <c r="JM19" i="9" s="1"/>
  <c r="AN18" i="15"/>
  <c r="JM20" i="9" s="1"/>
  <c r="AN19" i="15"/>
  <c r="JM21" i="9" s="1"/>
  <c r="AN20" i="15"/>
  <c r="JM22" i="9" s="1"/>
  <c r="AN21" i="15"/>
  <c r="JM23" i="9" s="1"/>
  <c r="AN22" i="15"/>
  <c r="JM24" i="9" s="1"/>
  <c r="AN23" i="15"/>
  <c r="JM25" i="9" s="1"/>
  <c r="AN24" i="15"/>
  <c r="JM26" i="9" s="1"/>
  <c r="AN25" i="15"/>
  <c r="JM27" i="9" s="1"/>
  <c r="AN26" i="15"/>
  <c r="JM28" i="9" s="1"/>
  <c r="AN27" i="15"/>
  <c r="JM29" i="9" s="1"/>
  <c r="AN28" i="15"/>
  <c r="JM30" i="9" s="1"/>
  <c r="AN29" i="15"/>
  <c r="JM31" i="9" s="1"/>
  <c r="AN30" i="15"/>
  <c r="JM32" i="9" s="1"/>
  <c r="AN31" i="15"/>
  <c r="JM33" i="9" s="1"/>
  <c r="AN32" i="15"/>
  <c r="JM34" i="9" s="1"/>
  <c r="AN33" i="15"/>
  <c r="JM35" i="9" s="1"/>
  <c r="AN34" i="15"/>
  <c r="JM36" i="9" s="1"/>
  <c r="AN35" i="15"/>
  <c r="JM37" i="9" s="1"/>
  <c r="AN36" i="15"/>
  <c r="JM38" i="9" s="1"/>
  <c r="AN37" i="15"/>
  <c r="JM39" i="9" s="1"/>
  <c r="AN38" i="15"/>
  <c r="JM40" i="9" s="1"/>
  <c r="AN39" i="15"/>
  <c r="JM41" i="9" s="1"/>
  <c r="AN40" i="15"/>
  <c r="JM42" i="9" s="1"/>
  <c r="AN41" i="15"/>
  <c r="JM43" i="9" s="1"/>
  <c r="AN42" i="15"/>
  <c r="JM44" i="9" s="1"/>
  <c r="AN43" i="15"/>
  <c r="JM45" i="9" s="1"/>
  <c r="AN44" i="15"/>
  <c r="JM46" i="9" s="1"/>
  <c r="AN45" i="15"/>
  <c r="JM47" i="9" s="1"/>
  <c r="AN46" i="15"/>
  <c r="JM48" i="9" s="1"/>
  <c r="AN47" i="15"/>
  <c r="JM49" i="9" s="1"/>
  <c r="AN48" i="15"/>
  <c r="JM50" i="9" s="1"/>
  <c r="AN49" i="15"/>
  <c r="JM51" i="9" s="1"/>
  <c r="AN50" i="15"/>
  <c r="JM52" i="9" s="1"/>
  <c r="AN51" i="15"/>
  <c r="JM53" i="9" s="1"/>
  <c r="AN52" i="15"/>
  <c r="JM54" i="9" s="1"/>
  <c r="AN53" i="15"/>
  <c r="JM55" i="9" s="1"/>
  <c r="AN54" i="15"/>
  <c r="JM56" i="9" s="1"/>
  <c r="AN55" i="15"/>
  <c r="JM57" i="9" s="1"/>
  <c r="AN56" i="15"/>
  <c r="JM58" i="9" s="1"/>
  <c r="AN57" i="15"/>
  <c r="JM59" i="9" s="1"/>
  <c r="AN58" i="15"/>
  <c r="JM60" i="9" s="1"/>
  <c r="AN59" i="15"/>
  <c r="JM61" i="9" s="1"/>
  <c r="AN60" i="15"/>
  <c r="JM62" i="9" s="1"/>
  <c r="AN61" i="15"/>
  <c r="JM63" i="9" s="1"/>
  <c r="AN62" i="15"/>
  <c r="JM64" i="9" s="1"/>
  <c r="AN63" i="15"/>
  <c r="JM65" i="9" s="1"/>
  <c r="AN64" i="15"/>
  <c r="JM66" i="9" s="1"/>
  <c r="AN65" i="15"/>
  <c r="JM67" i="9" s="1"/>
  <c r="AN66" i="15"/>
  <c r="JM68" i="9" s="1"/>
  <c r="AN67" i="15"/>
  <c r="JM69" i="9" s="1"/>
  <c r="AN68" i="15"/>
  <c r="JM70" i="9" s="1"/>
  <c r="AN69" i="15"/>
  <c r="JM71" i="9" s="1"/>
  <c r="AN70" i="15"/>
  <c r="JM72" i="9" s="1"/>
  <c r="AN71" i="15"/>
  <c r="JM73" i="9" s="1"/>
  <c r="AN72" i="15"/>
  <c r="JM74" i="9" s="1"/>
  <c r="AN73" i="15"/>
  <c r="JM75" i="9" s="1"/>
  <c r="AN74" i="15"/>
  <c r="JM76" i="9" s="1"/>
  <c r="AN75" i="15"/>
  <c r="JM77" i="9" s="1"/>
  <c r="AN76" i="15"/>
  <c r="JM78" i="9" s="1"/>
  <c r="AN77" i="15"/>
  <c r="JM79" i="9" s="1"/>
  <c r="AN78" i="15"/>
  <c r="JM80" i="9" s="1"/>
  <c r="AN79" i="15"/>
  <c r="JM81" i="9" s="1"/>
  <c r="AN80" i="15"/>
  <c r="JM82" i="9" s="1"/>
  <c r="AN81" i="15"/>
  <c r="JM83" i="9" s="1"/>
  <c r="AN82" i="15"/>
  <c r="JM84" i="9" s="1"/>
  <c r="AN83" i="15"/>
  <c r="JM85" i="9" s="1"/>
  <c r="AN84" i="15"/>
  <c r="JM86" i="9" s="1"/>
  <c r="AN85" i="15"/>
  <c r="JM87" i="9" s="1"/>
  <c r="AN86" i="15"/>
  <c r="JM88" i="9" s="1"/>
  <c r="AN87" i="15"/>
  <c r="JM89" i="9" s="1"/>
  <c r="AN88" i="15"/>
  <c r="JM90" i="9" s="1"/>
  <c r="AN89" i="15"/>
  <c r="JM91" i="9" s="1"/>
  <c r="AN90" i="15"/>
  <c r="JM92" i="9" s="1"/>
  <c r="AN91" i="15"/>
  <c r="JM93" i="9" s="1"/>
  <c r="AN92" i="15"/>
  <c r="JM94" i="9" s="1"/>
  <c r="AN93" i="15"/>
  <c r="JM95" i="9" s="1"/>
  <c r="AN94" i="15"/>
  <c r="JM96" i="9" s="1"/>
  <c r="AN95" i="15"/>
  <c r="JM97" i="9" s="1"/>
  <c r="AN96" i="15"/>
  <c r="JM98" i="9" s="1"/>
  <c r="AN97" i="15"/>
  <c r="JM99" i="9" s="1"/>
  <c r="AN98" i="15"/>
  <c r="JM100" i="9" s="1"/>
  <c r="AN99" i="15"/>
  <c r="JM101" i="9" s="1"/>
  <c r="AN100" i="15"/>
  <c r="JM102" i="9" s="1"/>
  <c r="AN101" i="15"/>
  <c r="JM103" i="9" s="1"/>
  <c r="AN102" i="15"/>
  <c r="JM104" i="9" s="1"/>
  <c r="AN103" i="15"/>
  <c r="JM105" i="9" s="1"/>
  <c r="AN104" i="15"/>
  <c r="JM106" i="9" s="1"/>
  <c r="AN105" i="15"/>
  <c r="JM107" i="9" s="1"/>
  <c r="AN106" i="15"/>
  <c r="JM108" i="9" s="1"/>
  <c r="AN107" i="15"/>
  <c r="JM109" i="9" s="1"/>
  <c r="AN108" i="15"/>
  <c r="JM110" i="9" s="1"/>
  <c r="AN109" i="15"/>
  <c r="JM111" i="9" s="1"/>
  <c r="AN110" i="15"/>
  <c r="JM112" i="9" s="1"/>
  <c r="AN111" i="15"/>
  <c r="JM113" i="9" s="1"/>
  <c r="AN112" i="15"/>
  <c r="JM114" i="9" s="1"/>
  <c r="AN113" i="15"/>
  <c r="JM115" i="9" s="1"/>
  <c r="AN114" i="15"/>
  <c r="JM116" i="9" s="1"/>
  <c r="AN115" i="15"/>
  <c r="JM117" i="9" s="1"/>
  <c r="AN116" i="15"/>
  <c r="JM118" i="9" s="1"/>
  <c r="AN117" i="15"/>
  <c r="JM119" i="9" s="1"/>
  <c r="AN118" i="15"/>
  <c r="JM120" i="9" s="1"/>
  <c r="AN119" i="15"/>
  <c r="JM121" i="9" s="1"/>
  <c r="AN120" i="15"/>
  <c r="JM122" i="9" s="1"/>
  <c r="AN121" i="15"/>
  <c r="JM123" i="9" s="1"/>
  <c r="AN122" i="15"/>
  <c r="JM124" i="9" s="1"/>
  <c r="AN123" i="15"/>
  <c r="JM125" i="9" s="1"/>
  <c r="AN124" i="15"/>
  <c r="JM126" i="9" s="1"/>
  <c r="AN125" i="15"/>
  <c r="JM127" i="9" s="1"/>
  <c r="AN126" i="15"/>
  <c r="JM128" i="9" s="1"/>
  <c r="AN127" i="15"/>
  <c r="JM129" i="9" s="1"/>
  <c r="AN128" i="15"/>
  <c r="JM130" i="9" s="1"/>
  <c r="AN129" i="15"/>
  <c r="JM131" i="9" s="1"/>
  <c r="AN130" i="15"/>
  <c r="JM132" i="9" s="1"/>
  <c r="AN131" i="15"/>
  <c r="JM133" i="9" s="1"/>
  <c r="AN132" i="15"/>
  <c r="JM134" i="9" s="1"/>
  <c r="AN133" i="15"/>
  <c r="JM135" i="9" s="1"/>
  <c r="AN134" i="15"/>
  <c r="JM136" i="9" s="1"/>
  <c r="AN135" i="15"/>
  <c r="JM137" i="9" s="1"/>
  <c r="AN136" i="15"/>
  <c r="JM138" i="9" s="1"/>
  <c r="AN137" i="15"/>
  <c r="JM139" i="9" s="1"/>
  <c r="AN138" i="15"/>
  <c r="JM140" i="9" s="1"/>
  <c r="AN139" i="15"/>
  <c r="JM141" i="9" s="1"/>
  <c r="AN140" i="15"/>
  <c r="JM142" i="9" s="1"/>
  <c r="AN141" i="15"/>
  <c r="JM143" i="9" s="1"/>
  <c r="AN142" i="15"/>
  <c r="JM144" i="9" s="1"/>
  <c r="AN143" i="15"/>
  <c r="JM145" i="9" s="1"/>
  <c r="AN144" i="15"/>
  <c r="JM146" i="9" s="1"/>
  <c r="AN145" i="15"/>
  <c r="JM147" i="9" s="1"/>
  <c r="AN146" i="15"/>
  <c r="JM148" i="9" s="1"/>
  <c r="AN147" i="15"/>
  <c r="JM149" i="9" s="1"/>
  <c r="AN148" i="15"/>
  <c r="JM150" i="9" s="1"/>
  <c r="AN149" i="15"/>
  <c r="JM151" i="9" s="1"/>
  <c r="AN150" i="15"/>
  <c r="JM152" i="9" s="1"/>
  <c r="AN151" i="15"/>
  <c r="JM153" i="9" s="1"/>
  <c r="AN152" i="15"/>
  <c r="JM154" i="9" s="1"/>
  <c r="AN153" i="15"/>
  <c r="JM155" i="9" s="1"/>
  <c r="AN154" i="15"/>
  <c r="JM156" i="9" s="1"/>
  <c r="AN155" i="15"/>
  <c r="JM157" i="9" s="1"/>
  <c r="AN156" i="15"/>
  <c r="JM158" i="9" s="1"/>
  <c r="AN157" i="15"/>
  <c r="JM159" i="9" s="1"/>
  <c r="AN158" i="15"/>
  <c r="JM160" i="9" s="1"/>
  <c r="AN159" i="15"/>
  <c r="JM161" i="9" s="1"/>
  <c r="AN160" i="15"/>
  <c r="JM162" i="9" s="1"/>
  <c r="AN161" i="15"/>
  <c r="JM163" i="9" s="1"/>
  <c r="AN162" i="15"/>
  <c r="JM164" i="9" s="1"/>
  <c r="AN163" i="15"/>
  <c r="JM165" i="9" s="1"/>
  <c r="AN164" i="15"/>
  <c r="JM166" i="9" s="1"/>
  <c r="AN165" i="15"/>
  <c r="JM167" i="9" s="1"/>
  <c r="AN166" i="15"/>
  <c r="JM168" i="9" s="1"/>
  <c r="AN167" i="15"/>
  <c r="JM169" i="9" s="1"/>
  <c r="AN168" i="15"/>
  <c r="JM170" i="9" s="1"/>
  <c r="AN169" i="15"/>
  <c r="JM171" i="9" s="1"/>
  <c r="AN170" i="15"/>
  <c r="JM172" i="9" s="1"/>
  <c r="AN171" i="15"/>
  <c r="JM173" i="9" s="1"/>
  <c r="AN172" i="15"/>
  <c r="JM174" i="9" s="1"/>
  <c r="AN173" i="15"/>
  <c r="JM175" i="9" s="1"/>
  <c r="AN174" i="15"/>
  <c r="JM176" i="9" s="1"/>
  <c r="AN175" i="15"/>
  <c r="JM177" i="9" s="1"/>
  <c r="AN176" i="15"/>
  <c r="JM178" i="9" s="1"/>
  <c r="AN177" i="15"/>
  <c r="JM179" i="9" s="1"/>
  <c r="AN178" i="15"/>
  <c r="JM180" i="9" s="1"/>
  <c r="AN179" i="15"/>
  <c r="JM181" i="9" s="1"/>
  <c r="AN180" i="15"/>
  <c r="JM182" i="9" s="1"/>
  <c r="AN181" i="15"/>
  <c r="JM183" i="9" s="1"/>
  <c r="AN182" i="15"/>
  <c r="JM184" i="9" s="1"/>
  <c r="AN183" i="15"/>
  <c r="JM185" i="9" s="1"/>
  <c r="AN184" i="15"/>
  <c r="JM186" i="9" s="1"/>
  <c r="AN185" i="15"/>
  <c r="JM187" i="9" s="1"/>
  <c r="AN186" i="15"/>
  <c r="JM188" i="9" s="1"/>
  <c r="AN187" i="15"/>
  <c r="JM189" i="9" s="1"/>
  <c r="AN188" i="15"/>
  <c r="JM190" i="9" s="1"/>
  <c r="AN189" i="15"/>
  <c r="JM191" i="9" s="1"/>
  <c r="AN190" i="15"/>
  <c r="JM192" i="9" s="1"/>
  <c r="AN191" i="15"/>
  <c r="JM193" i="9" s="1"/>
  <c r="AN192" i="15"/>
  <c r="JM194" i="9" s="1"/>
  <c r="AN193" i="15"/>
  <c r="JM195" i="9" s="1"/>
  <c r="AN194" i="15"/>
  <c r="JM196" i="9" s="1"/>
  <c r="AN195" i="15"/>
  <c r="JM197" i="9" s="1"/>
  <c r="AN196" i="15"/>
  <c r="JM198" i="9" s="1"/>
  <c r="AN197" i="15"/>
  <c r="JM199" i="9" s="1"/>
  <c r="AN198" i="15"/>
  <c r="JM200" i="9" s="1"/>
  <c r="AN199" i="15"/>
  <c r="JM201" i="9" s="1"/>
  <c r="AN200" i="15"/>
  <c r="JM202" i="9" s="1"/>
  <c r="AN201" i="15"/>
  <c r="JM203" i="9" s="1"/>
  <c r="AN202" i="15"/>
  <c r="JM204" i="9" s="1"/>
  <c r="AN203" i="15"/>
  <c r="JM205" i="9" s="1"/>
  <c r="AN204" i="15"/>
  <c r="JM206" i="9" s="1"/>
  <c r="AN5" i="15"/>
  <c r="JM7" i="9" s="1"/>
  <c r="AK5" i="15"/>
  <c r="AM6"/>
  <c r="JF8" i="9" s="1"/>
  <c r="AM7" i="15"/>
  <c r="JF9" i="9" s="1"/>
  <c r="AM8" i="15"/>
  <c r="JF10" i="9" s="1"/>
  <c r="AM9" i="15"/>
  <c r="JF11" i="9" s="1"/>
  <c r="AM10" i="15"/>
  <c r="JF12" i="9" s="1"/>
  <c r="AM11" i="15"/>
  <c r="JF13" i="9" s="1"/>
  <c r="AM12" i="15"/>
  <c r="JF14" i="9" s="1"/>
  <c r="AM13" i="15"/>
  <c r="JF15" i="9" s="1"/>
  <c r="AM14" i="15"/>
  <c r="JF16" i="9" s="1"/>
  <c r="AM15" i="15"/>
  <c r="JF17" i="9" s="1"/>
  <c r="AM16" i="15"/>
  <c r="JF18" i="9" s="1"/>
  <c r="AM17" i="15"/>
  <c r="JF19" i="9" s="1"/>
  <c r="AM18" i="15"/>
  <c r="JF20" i="9" s="1"/>
  <c r="AM19" i="15"/>
  <c r="JF21" i="9" s="1"/>
  <c r="AM20" i="15"/>
  <c r="JF22" i="9" s="1"/>
  <c r="AM21" i="15"/>
  <c r="JF23" i="9" s="1"/>
  <c r="AM22" i="15"/>
  <c r="JF24" i="9" s="1"/>
  <c r="AM23" i="15"/>
  <c r="JF25" i="9" s="1"/>
  <c r="AM24" i="15"/>
  <c r="JF26" i="9" s="1"/>
  <c r="AM25" i="15"/>
  <c r="JF27" i="9" s="1"/>
  <c r="AM26" i="15"/>
  <c r="JF28" i="9" s="1"/>
  <c r="AM27" i="15"/>
  <c r="JF29" i="9" s="1"/>
  <c r="AM28" i="15"/>
  <c r="JF30" i="9" s="1"/>
  <c r="AM29" i="15"/>
  <c r="JF31" i="9" s="1"/>
  <c r="AM30" i="15"/>
  <c r="JF32" i="9" s="1"/>
  <c r="AM31" i="15"/>
  <c r="JF33" i="9" s="1"/>
  <c r="AM32" i="15"/>
  <c r="JF34" i="9" s="1"/>
  <c r="AM33" i="15"/>
  <c r="JF35" i="9" s="1"/>
  <c r="AM34" i="15"/>
  <c r="JF36" i="9" s="1"/>
  <c r="AM35" i="15"/>
  <c r="JF37" i="9" s="1"/>
  <c r="AM36" i="15"/>
  <c r="JF38" i="9" s="1"/>
  <c r="AM37" i="15"/>
  <c r="JF39" i="9" s="1"/>
  <c r="AM38" i="15"/>
  <c r="JF40" i="9" s="1"/>
  <c r="AM39" i="15"/>
  <c r="JF41" i="9" s="1"/>
  <c r="AM40" i="15"/>
  <c r="JF42" i="9" s="1"/>
  <c r="AM41" i="15"/>
  <c r="JF43" i="9" s="1"/>
  <c r="AM42" i="15"/>
  <c r="JF44" i="9" s="1"/>
  <c r="AM43" i="15"/>
  <c r="JF45" i="9" s="1"/>
  <c r="AM44" i="15"/>
  <c r="JF46" i="9" s="1"/>
  <c r="AM45" i="15"/>
  <c r="JF47" i="9" s="1"/>
  <c r="AM46" i="15"/>
  <c r="JF48" i="9" s="1"/>
  <c r="AM47" i="15"/>
  <c r="JF49" i="9" s="1"/>
  <c r="AM48" i="15"/>
  <c r="JF50" i="9" s="1"/>
  <c r="AM49" i="15"/>
  <c r="JF51" i="9" s="1"/>
  <c r="AM50" i="15"/>
  <c r="JF52" i="9" s="1"/>
  <c r="AM51" i="15"/>
  <c r="JF53" i="9" s="1"/>
  <c r="AM52" i="15"/>
  <c r="JF54" i="9" s="1"/>
  <c r="AM53" i="15"/>
  <c r="JF55" i="9" s="1"/>
  <c r="AM54" i="15"/>
  <c r="JF56" i="9" s="1"/>
  <c r="AM55" i="15"/>
  <c r="JF57" i="9" s="1"/>
  <c r="AM56" i="15"/>
  <c r="JF58" i="9" s="1"/>
  <c r="AM57" i="15"/>
  <c r="JF59" i="9" s="1"/>
  <c r="AM58" i="15"/>
  <c r="JF60" i="9" s="1"/>
  <c r="AM59" i="15"/>
  <c r="JF61" i="9" s="1"/>
  <c r="AM60" i="15"/>
  <c r="JF62" i="9" s="1"/>
  <c r="AM61" i="15"/>
  <c r="JF63" i="9" s="1"/>
  <c r="AM62" i="15"/>
  <c r="JF64" i="9" s="1"/>
  <c r="AM63" i="15"/>
  <c r="JF65" i="9" s="1"/>
  <c r="AM64" i="15"/>
  <c r="JF66" i="9" s="1"/>
  <c r="AM65" i="15"/>
  <c r="JF67" i="9" s="1"/>
  <c r="AM66" i="15"/>
  <c r="JF68" i="9" s="1"/>
  <c r="AM67" i="15"/>
  <c r="JF69" i="9" s="1"/>
  <c r="AM68" i="15"/>
  <c r="JF70" i="9" s="1"/>
  <c r="AM69" i="15"/>
  <c r="JF71" i="9" s="1"/>
  <c r="AM70" i="15"/>
  <c r="JF72" i="9" s="1"/>
  <c r="AM71" i="15"/>
  <c r="JF73" i="9" s="1"/>
  <c r="AM72" i="15"/>
  <c r="JF74" i="9" s="1"/>
  <c r="AM73" i="15"/>
  <c r="JF75" i="9" s="1"/>
  <c r="AM74" i="15"/>
  <c r="JF76" i="9" s="1"/>
  <c r="AM75" i="15"/>
  <c r="JF77" i="9" s="1"/>
  <c r="AM76" i="15"/>
  <c r="JF78" i="9" s="1"/>
  <c r="AM77" i="15"/>
  <c r="JF79" i="9" s="1"/>
  <c r="AM78" i="15"/>
  <c r="JF80" i="9" s="1"/>
  <c r="AM79" i="15"/>
  <c r="JF81" i="9" s="1"/>
  <c r="AM80" i="15"/>
  <c r="JF82" i="9" s="1"/>
  <c r="AM81" i="15"/>
  <c r="JF83" i="9" s="1"/>
  <c r="AM82" i="15"/>
  <c r="JF84" i="9" s="1"/>
  <c r="AM83" i="15"/>
  <c r="JF85" i="9" s="1"/>
  <c r="AM84" i="15"/>
  <c r="JF86" i="9" s="1"/>
  <c r="AM85" i="15"/>
  <c r="JF87" i="9" s="1"/>
  <c r="AM86" i="15"/>
  <c r="JF88" i="9" s="1"/>
  <c r="AM87" i="15"/>
  <c r="JF89" i="9" s="1"/>
  <c r="AM88" i="15"/>
  <c r="JF90" i="9" s="1"/>
  <c r="AM89" i="15"/>
  <c r="JF91" i="9" s="1"/>
  <c r="AM90" i="15"/>
  <c r="JF92" i="9" s="1"/>
  <c r="AM91" i="15"/>
  <c r="JF93" i="9" s="1"/>
  <c r="AM92" i="15"/>
  <c r="JF94" i="9" s="1"/>
  <c r="AM93" i="15"/>
  <c r="JF95" i="9" s="1"/>
  <c r="AM94" i="15"/>
  <c r="JF96" i="9" s="1"/>
  <c r="AM95" i="15"/>
  <c r="JF97" i="9" s="1"/>
  <c r="AM96" i="15"/>
  <c r="JF98" i="9" s="1"/>
  <c r="AM97" i="15"/>
  <c r="JF99" i="9" s="1"/>
  <c r="AM98" i="15"/>
  <c r="JF100" i="9" s="1"/>
  <c r="AM99" i="15"/>
  <c r="JF101" i="9" s="1"/>
  <c r="AM100" i="15"/>
  <c r="JF102" i="9" s="1"/>
  <c r="AM101" i="15"/>
  <c r="JF103" i="9" s="1"/>
  <c r="AM102" i="15"/>
  <c r="JF104" i="9" s="1"/>
  <c r="AM103" i="15"/>
  <c r="JF105" i="9" s="1"/>
  <c r="AM104" i="15"/>
  <c r="JF106" i="9" s="1"/>
  <c r="AM105" i="15"/>
  <c r="JF107" i="9" s="1"/>
  <c r="AM106" i="15"/>
  <c r="JF108" i="9" s="1"/>
  <c r="AM107" i="15"/>
  <c r="JF109" i="9" s="1"/>
  <c r="AM108" i="15"/>
  <c r="JF110" i="9" s="1"/>
  <c r="AM109" i="15"/>
  <c r="JF111" i="9" s="1"/>
  <c r="AM110" i="15"/>
  <c r="JF112" i="9" s="1"/>
  <c r="AM111" i="15"/>
  <c r="JF113" i="9" s="1"/>
  <c r="AM112" i="15"/>
  <c r="JF114" i="9" s="1"/>
  <c r="AM113" i="15"/>
  <c r="JF115" i="9" s="1"/>
  <c r="AM114" i="15"/>
  <c r="JF116" i="9" s="1"/>
  <c r="AM115" i="15"/>
  <c r="JF117" i="9" s="1"/>
  <c r="AM116" i="15"/>
  <c r="JF118" i="9" s="1"/>
  <c r="AM117" i="15"/>
  <c r="JF119" i="9" s="1"/>
  <c r="AM118" i="15"/>
  <c r="JF120" i="9" s="1"/>
  <c r="AM119" i="15"/>
  <c r="JF121" i="9" s="1"/>
  <c r="AM120" i="15"/>
  <c r="JF122" i="9" s="1"/>
  <c r="AM121" i="15"/>
  <c r="JF123" i="9" s="1"/>
  <c r="AM122" i="15"/>
  <c r="JF124" i="9" s="1"/>
  <c r="AM123" i="15"/>
  <c r="JF125" i="9" s="1"/>
  <c r="AM124" i="15"/>
  <c r="JF126" i="9" s="1"/>
  <c r="AM125" i="15"/>
  <c r="JF127" i="9" s="1"/>
  <c r="AM126" i="15"/>
  <c r="JF128" i="9" s="1"/>
  <c r="AM127" i="15"/>
  <c r="JF129" i="9" s="1"/>
  <c r="AM128" i="15"/>
  <c r="JF130" i="9" s="1"/>
  <c r="AM129" i="15"/>
  <c r="JF131" i="9" s="1"/>
  <c r="AM130" i="15"/>
  <c r="JF132" i="9" s="1"/>
  <c r="AM131" i="15"/>
  <c r="JF133" i="9" s="1"/>
  <c r="AM132" i="15"/>
  <c r="JF134" i="9" s="1"/>
  <c r="AM133" i="15"/>
  <c r="JF135" i="9" s="1"/>
  <c r="AM134" i="15"/>
  <c r="JF136" i="9" s="1"/>
  <c r="AM135" i="15"/>
  <c r="JF137" i="9" s="1"/>
  <c r="AM136" i="15"/>
  <c r="JF138" i="9" s="1"/>
  <c r="AM137" i="15"/>
  <c r="JF139" i="9" s="1"/>
  <c r="AM138" i="15"/>
  <c r="JF140" i="9" s="1"/>
  <c r="AM139" i="15"/>
  <c r="JF141" i="9" s="1"/>
  <c r="AM140" i="15"/>
  <c r="JF142" i="9" s="1"/>
  <c r="AM141" i="15"/>
  <c r="JF143" i="9" s="1"/>
  <c r="AM142" i="15"/>
  <c r="JF144" i="9" s="1"/>
  <c r="AM143" i="15"/>
  <c r="JF145" i="9" s="1"/>
  <c r="AM144" i="15"/>
  <c r="JF146" i="9" s="1"/>
  <c r="AM145" i="15"/>
  <c r="JF147" i="9" s="1"/>
  <c r="AM146" i="15"/>
  <c r="JF148" i="9" s="1"/>
  <c r="AM147" i="15"/>
  <c r="JF149" i="9" s="1"/>
  <c r="AM148" i="15"/>
  <c r="JF150" i="9" s="1"/>
  <c r="AM149" i="15"/>
  <c r="JF151" i="9" s="1"/>
  <c r="AM150" i="15"/>
  <c r="JF152" i="9" s="1"/>
  <c r="AM151" i="15"/>
  <c r="JF153" i="9" s="1"/>
  <c r="AM152" i="15"/>
  <c r="JF154" i="9" s="1"/>
  <c r="AM153" i="15"/>
  <c r="JF155" i="9" s="1"/>
  <c r="AM154" i="15"/>
  <c r="JF156" i="9" s="1"/>
  <c r="AM155" i="15"/>
  <c r="JF157" i="9" s="1"/>
  <c r="AM156" i="15"/>
  <c r="JF158" i="9" s="1"/>
  <c r="AM157" i="15"/>
  <c r="JF159" i="9" s="1"/>
  <c r="AM158" i="15"/>
  <c r="JF160" i="9" s="1"/>
  <c r="AM159" i="15"/>
  <c r="JF161" i="9" s="1"/>
  <c r="AM160" i="15"/>
  <c r="JF162" i="9" s="1"/>
  <c r="AM161" i="15"/>
  <c r="JF163" i="9" s="1"/>
  <c r="AM162" i="15"/>
  <c r="JF164" i="9" s="1"/>
  <c r="AM163" i="15"/>
  <c r="JF165" i="9" s="1"/>
  <c r="AM164" i="15"/>
  <c r="JF166" i="9" s="1"/>
  <c r="AM165" i="15"/>
  <c r="JF167" i="9" s="1"/>
  <c r="AM166" i="15"/>
  <c r="JF168" i="9" s="1"/>
  <c r="AM167" i="15"/>
  <c r="JF169" i="9" s="1"/>
  <c r="AM168" i="15"/>
  <c r="JF170" i="9" s="1"/>
  <c r="AM169" i="15"/>
  <c r="JF171" i="9" s="1"/>
  <c r="AM170" i="15"/>
  <c r="JF172" i="9" s="1"/>
  <c r="AM171" i="15"/>
  <c r="JF173" i="9" s="1"/>
  <c r="AM172" i="15"/>
  <c r="JF174" i="9" s="1"/>
  <c r="AM173" i="15"/>
  <c r="JF175" i="9" s="1"/>
  <c r="AM174" i="15"/>
  <c r="JF176" i="9" s="1"/>
  <c r="AM175" i="15"/>
  <c r="JF177" i="9" s="1"/>
  <c r="AM176" i="15"/>
  <c r="JF178" i="9" s="1"/>
  <c r="AM177" i="15"/>
  <c r="JF179" i="9" s="1"/>
  <c r="AM178" i="15"/>
  <c r="JF180" i="9" s="1"/>
  <c r="AM179" i="15"/>
  <c r="JF181" i="9" s="1"/>
  <c r="AM180" i="15"/>
  <c r="JF182" i="9" s="1"/>
  <c r="AM181" i="15"/>
  <c r="JF183" i="9" s="1"/>
  <c r="AM182" i="15"/>
  <c r="JF184" i="9" s="1"/>
  <c r="AM183" i="15"/>
  <c r="JF185" i="9" s="1"/>
  <c r="AM184" i="15"/>
  <c r="JF186" i="9" s="1"/>
  <c r="AM185" i="15"/>
  <c r="JF187" i="9" s="1"/>
  <c r="AM186" i="15"/>
  <c r="JF188" i="9" s="1"/>
  <c r="AM187" i="15"/>
  <c r="JF189" i="9" s="1"/>
  <c r="AM188" i="15"/>
  <c r="JF190" i="9" s="1"/>
  <c r="AM189" i="15"/>
  <c r="JF191" i="9" s="1"/>
  <c r="AM190" i="15"/>
  <c r="JF192" i="9" s="1"/>
  <c r="AM191" i="15"/>
  <c r="JF193" i="9" s="1"/>
  <c r="AM192" i="15"/>
  <c r="JF194" i="9" s="1"/>
  <c r="AM193" i="15"/>
  <c r="JF195" i="9" s="1"/>
  <c r="AM194" i="15"/>
  <c r="JF196" i="9" s="1"/>
  <c r="AM195" i="15"/>
  <c r="JF197" i="9" s="1"/>
  <c r="AM196" i="15"/>
  <c r="JF198" i="9" s="1"/>
  <c r="AM197" i="15"/>
  <c r="JF199" i="9" s="1"/>
  <c r="AM198" i="15"/>
  <c r="JF200" i="9" s="1"/>
  <c r="AM199" i="15"/>
  <c r="JF201" i="9" s="1"/>
  <c r="AM200" i="15"/>
  <c r="JF202" i="9" s="1"/>
  <c r="AM201" i="15"/>
  <c r="JF203" i="9" s="1"/>
  <c r="AM202" i="15"/>
  <c r="JF204" i="9" s="1"/>
  <c r="AM203" i="15"/>
  <c r="JF205" i="9" s="1"/>
  <c r="AM204" i="15"/>
  <c r="JF206" i="9" s="1"/>
  <c r="AM5" i="15"/>
  <c r="JF7" i="9" s="1"/>
  <c r="AJ5" i="15"/>
  <c r="JE7" i="9" s="1"/>
  <c r="AG5" i="15"/>
  <c r="AD5"/>
  <c r="U5"/>
  <c r="BU2" i="8"/>
  <c r="BK2"/>
  <c r="FB209" i="9"/>
  <c r="EL209"/>
  <c r="GY8"/>
  <c r="Q6" i="12" s="1"/>
  <c r="GY9" i="9"/>
  <c r="Q7" i="12" s="1"/>
  <c r="GY10" i="9"/>
  <c r="Q8" i="12" s="1"/>
  <c r="GY11" i="9"/>
  <c r="Q9" i="12" s="1"/>
  <c r="GY12" i="9"/>
  <c r="Q10" i="12" s="1"/>
  <c r="GY13" i="9"/>
  <c r="Q11" i="12" s="1"/>
  <c r="GY14" i="9"/>
  <c r="Q12" i="12" s="1"/>
  <c r="GY15" i="9"/>
  <c r="Q13" i="12" s="1"/>
  <c r="GY16" i="9"/>
  <c r="Q14" i="12" s="1"/>
  <c r="GY17" i="9"/>
  <c r="Q15" i="12" s="1"/>
  <c r="GY18" i="9"/>
  <c r="Q16" i="12" s="1"/>
  <c r="GY19" i="9"/>
  <c r="Q17" i="12" s="1"/>
  <c r="GY20" i="9"/>
  <c r="Q18" i="12" s="1"/>
  <c r="GY21" i="9"/>
  <c r="Q19" i="12" s="1"/>
  <c r="GY24" i="9"/>
  <c r="Q22" i="12" s="1"/>
  <c r="GY25" i="9"/>
  <c r="Q23" i="12" s="1"/>
  <c r="GY26" i="9"/>
  <c r="Q24" i="12" s="1"/>
  <c r="GY27" i="9"/>
  <c r="Q25" i="12" s="1"/>
  <c r="GY28" i="9"/>
  <c r="Q26" i="12" s="1"/>
  <c r="GY29" i="9"/>
  <c r="Q27" i="12" s="1"/>
  <c r="GY30" i="9"/>
  <c r="Q28" i="12" s="1"/>
  <c r="GY31" i="9"/>
  <c r="Q29" i="12" s="1"/>
  <c r="GY32" i="9"/>
  <c r="Q30" i="12" s="1"/>
  <c r="GY34" i="9"/>
  <c r="Q32" i="12" s="1"/>
  <c r="GY35" i="9"/>
  <c r="Q33" i="12" s="1"/>
  <c r="GY36" i="9"/>
  <c r="Q34" i="12" s="1"/>
  <c r="GY37" i="9"/>
  <c r="Q35" i="12" s="1"/>
  <c r="GY38" i="9"/>
  <c r="Q36" i="12" s="1"/>
  <c r="GY39" i="9"/>
  <c r="Q37" i="12" s="1"/>
  <c r="GY40" i="9"/>
  <c r="Q38" i="12" s="1"/>
  <c r="GY41" i="9"/>
  <c r="Q39" i="12" s="1"/>
  <c r="GY42" i="9"/>
  <c r="Q40" i="12" s="1"/>
  <c r="GY43" i="9"/>
  <c r="Q41" i="12" s="1"/>
  <c r="GY44" i="9"/>
  <c r="Q42" i="12" s="1"/>
  <c r="GY45" i="9"/>
  <c r="Q43" i="12" s="1"/>
  <c r="GY46" i="9"/>
  <c r="Q44" i="12" s="1"/>
  <c r="GY47" i="9"/>
  <c r="Q45" i="12" s="1"/>
  <c r="GY48" i="9"/>
  <c r="Q46" i="12" s="1"/>
  <c r="GY49" i="9"/>
  <c r="Q47" i="12" s="1"/>
  <c r="GY50" i="9"/>
  <c r="Q48" i="12" s="1"/>
  <c r="GY51" i="9"/>
  <c r="Q49" i="12" s="1"/>
  <c r="GY52" i="9"/>
  <c r="Q50" i="12" s="1"/>
  <c r="GY53" i="9"/>
  <c r="Q51" i="12" s="1"/>
  <c r="GY54" i="9"/>
  <c r="Q52" i="12" s="1"/>
  <c r="GY55" i="9"/>
  <c r="Q53" i="12" s="1"/>
  <c r="GY56" i="9"/>
  <c r="Q54" i="12" s="1"/>
  <c r="GY57" i="9"/>
  <c r="Q55" i="12" s="1"/>
  <c r="GY58" i="9"/>
  <c r="Q56" i="12" s="1"/>
  <c r="GY59" i="9"/>
  <c r="Q57" i="12" s="1"/>
  <c r="GY60" i="9"/>
  <c r="Q58" i="12" s="1"/>
  <c r="GY61" i="9"/>
  <c r="Q59" i="12" s="1"/>
  <c r="GY62" i="9"/>
  <c r="Q60" i="12" s="1"/>
  <c r="GY63" i="9"/>
  <c r="Q61" i="12" s="1"/>
  <c r="GY64" i="9"/>
  <c r="Q62" i="12" s="1"/>
  <c r="GY65" i="9"/>
  <c r="Q63" i="12" s="1"/>
  <c r="GY66" i="9"/>
  <c r="Q64" i="12" s="1"/>
  <c r="GY67" i="9"/>
  <c r="Q65" i="12" s="1"/>
  <c r="GY68" i="9"/>
  <c r="Q66" i="12" s="1"/>
  <c r="GY69" i="9"/>
  <c r="Q67" i="12" s="1"/>
  <c r="GY70" i="9"/>
  <c r="Q68" i="12" s="1"/>
  <c r="GY71" i="9"/>
  <c r="Q69" i="12" s="1"/>
  <c r="GY72" i="9"/>
  <c r="Q70" i="12" s="1"/>
  <c r="GY73" i="9"/>
  <c r="Q71" i="12" s="1"/>
  <c r="GY74" i="9"/>
  <c r="Q72" i="12" s="1"/>
  <c r="GY75" i="9"/>
  <c r="Q73" i="12" s="1"/>
  <c r="GY76" i="9"/>
  <c r="Q74" i="12" s="1"/>
  <c r="GY77" i="9"/>
  <c r="Q75" i="12" s="1"/>
  <c r="GY78" i="9"/>
  <c r="Q76" i="12" s="1"/>
  <c r="GY79" i="9"/>
  <c r="Q77" i="12" s="1"/>
  <c r="GY80" i="9"/>
  <c r="Q78" i="12" s="1"/>
  <c r="GY81" i="9"/>
  <c r="Q79" i="12" s="1"/>
  <c r="GY82" i="9"/>
  <c r="Q80" i="12" s="1"/>
  <c r="GY83" i="9"/>
  <c r="Q81" i="12" s="1"/>
  <c r="GY84" i="9"/>
  <c r="Q82" i="12" s="1"/>
  <c r="GY85" i="9"/>
  <c r="Q83" i="12" s="1"/>
  <c r="GY86" i="9"/>
  <c r="Q84" i="12" s="1"/>
  <c r="GY87" i="9"/>
  <c r="Q85" i="12" s="1"/>
  <c r="GY88" i="9"/>
  <c r="Q86" i="12" s="1"/>
  <c r="GY89" i="9"/>
  <c r="Q87" i="12" s="1"/>
  <c r="GY90" i="9"/>
  <c r="Q88" i="12" s="1"/>
  <c r="GY91" i="9"/>
  <c r="Q89" i="12" s="1"/>
  <c r="GY92" i="9"/>
  <c r="Q90" i="12" s="1"/>
  <c r="GY93" i="9"/>
  <c r="Q91" i="12" s="1"/>
  <c r="GY94" i="9"/>
  <c r="Q92" i="12" s="1"/>
  <c r="GY95" i="9"/>
  <c r="Q93" i="12" s="1"/>
  <c r="GY96" i="9"/>
  <c r="Q94" i="12" s="1"/>
  <c r="GY97" i="9"/>
  <c r="Q95" i="12" s="1"/>
  <c r="GY98" i="9"/>
  <c r="Q96" i="12" s="1"/>
  <c r="GY99" i="9"/>
  <c r="Q97" i="12" s="1"/>
  <c r="GY100" i="9"/>
  <c r="Q98" i="12" s="1"/>
  <c r="GY101" i="9"/>
  <c r="Q99" i="12" s="1"/>
  <c r="GY102" i="9"/>
  <c r="Q100" i="12" s="1"/>
  <c r="GY103" i="9"/>
  <c r="Q101" i="12" s="1"/>
  <c r="GY104" i="9"/>
  <c r="Q102" i="12" s="1"/>
  <c r="GY105" i="9"/>
  <c r="Q103" i="12" s="1"/>
  <c r="GY106" i="9"/>
  <c r="Q104" i="12" s="1"/>
  <c r="GY107" i="9"/>
  <c r="Q105" i="12" s="1"/>
  <c r="GY108" i="9"/>
  <c r="Q106" i="12" s="1"/>
  <c r="GY109" i="9"/>
  <c r="Q107" i="12" s="1"/>
  <c r="GY110" i="9"/>
  <c r="Q108" i="12" s="1"/>
  <c r="GY111" i="9"/>
  <c r="Q109" i="12" s="1"/>
  <c r="GY112" i="9"/>
  <c r="Q110" i="12" s="1"/>
  <c r="GY113" i="9"/>
  <c r="Q111" i="12" s="1"/>
  <c r="GY114" i="9"/>
  <c r="Q112" i="12" s="1"/>
  <c r="GY115" i="9"/>
  <c r="Q113" i="12" s="1"/>
  <c r="GY116" i="9"/>
  <c r="Q114" i="12" s="1"/>
  <c r="GY117" i="9"/>
  <c r="Q115" i="12" s="1"/>
  <c r="GY118" i="9"/>
  <c r="Q116" i="12" s="1"/>
  <c r="GY119" i="9"/>
  <c r="Q117" i="12" s="1"/>
  <c r="GY120" i="9"/>
  <c r="Q118" i="12" s="1"/>
  <c r="GY121" i="9"/>
  <c r="Q119" i="12" s="1"/>
  <c r="GY122" i="9"/>
  <c r="Q120" i="12" s="1"/>
  <c r="GY123" i="9"/>
  <c r="Q121" i="12" s="1"/>
  <c r="GY124" i="9"/>
  <c r="Q122" i="12" s="1"/>
  <c r="GY125" i="9"/>
  <c r="Q123" i="12" s="1"/>
  <c r="GY126" i="9"/>
  <c r="Q124" i="12" s="1"/>
  <c r="GY127" i="9"/>
  <c r="Q125" i="12" s="1"/>
  <c r="GY128" i="9"/>
  <c r="Q126" i="12" s="1"/>
  <c r="GY129" i="9"/>
  <c r="Q127" i="12" s="1"/>
  <c r="GY130" i="9"/>
  <c r="Q128" i="12" s="1"/>
  <c r="GY131" i="9"/>
  <c r="Q129" i="12" s="1"/>
  <c r="GY132" i="9"/>
  <c r="Q130" i="12" s="1"/>
  <c r="GY133" i="9"/>
  <c r="Q131" i="12" s="1"/>
  <c r="GY134" i="9"/>
  <c r="Q132" i="12" s="1"/>
  <c r="GY135" i="9"/>
  <c r="Q133" i="12" s="1"/>
  <c r="GY136" i="9"/>
  <c r="Q134" i="12" s="1"/>
  <c r="GY137" i="9"/>
  <c r="Q135" i="12" s="1"/>
  <c r="GY138" i="9"/>
  <c r="Q136" i="12" s="1"/>
  <c r="GY139" i="9"/>
  <c r="Q137" i="12" s="1"/>
  <c r="GY140" i="9"/>
  <c r="Q138" i="12" s="1"/>
  <c r="GY141" i="9"/>
  <c r="Q139" i="12" s="1"/>
  <c r="GY142" i="9"/>
  <c r="Q140" i="12" s="1"/>
  <c r="GY143" i="9"/>
  <c r="Q141" i="12" s="1"/>
  <c r="GY144" i="9"/>
  <c r="Q142" i="12" s="1"/>
  <c r="GY145" i="9"/>
  <c r="Q143" i="12" s="1"/>
  <c r="GY146" i="9"/>
  <c r="Q144" i="12" s="1"/>
  <c r="GY147" i="9"/>
  <c r="Q145" i="12" s="1"/>
  <c r="GY148" i="9"/>
  <c r="Q146" i="12" s="1"/>
  <c r="GY149" i="9"/>
  <c r="Q147" i="12" s="1"/>
  <c r="GY150" i="9"/>
  <c r="Q148" i="12" s="1"/>
  <c r="GY151" i="9"/>
  <c r="Q149" i="12" s="1"/>
  <c r="GY152" i="9"/>
  <c r="Q150" i="12" s="1"/>
  <c r="GY153" i="9"/>
  <c r="Q151" i="12" s="1"/>
  <c r="GY154" i="9"/>
  <c r="Q152" i="12" s="1"/>
  <c r="GY155" i="9"/>
  <c r="Q153" i="12" s="1"/>
  <c r="GY156" i="9"/>
  <c r="Q154" i="12" s="1"/>
  <c r="GY157" i="9"/>
  <c r="Q155" i="12" s="1"/>
  <c r="GY158" i="9"/>
  <c r="Q156" i="12" s="1"/>
  <c r="GY159" i="9"/>
  <c r="Q157" i="12" s="1"/>
  <c r="GY160" i="9"/>
  <c r="Q158" i="12" s="1"/>
  <c r="GY161" i="9"/>
  <c r="Q159" i="12" s="1"/>
  <c r="GY162" i="9"/>
  <c r="Q160" i="12" s="1"/>
  <c r="GY163" i="9"/>
  <c r="Q161" i="12" s="1"/>
  <c r="GY164" i="9"/>
  <c r="Q162" i="12" s="1"/>
  <c r="GY165" i="9"/>
  <c r="Q163" i="12" s="1"/>
  <c r="GY166" i="9"/>
  <c r="Q164" i="12" s="1"/>
  <c r="GY167" i="9"/>
  <c r="Q165" i="12" s="1"/>
  <c r="GY168" i="9"/>
  <c r="Q166" i="12" s="1"/>
  <c r="GY169" i="9"/>
  <c r="Q167" i="12" s="1"/>
  <c r="GY170" i="9"/>
  <c r="Q168" i="12" s="1"/>
  <c r="GY171" i="9"/>
  <c r="Q169" i="12" s="1"/>
  <c r="GY172" i="9"/>
  <c r="Q170" i="12" s="1"/>
  <c r="GY173" i="9"/>
  <c r="Q171" i="12" s="1"/>
  <c r="GY174" i="9"/>
  <c r="Q172" i="12" s="1"/>
  <c r="GY175" i="9"/>
  <c r="Q173" i="12" s="1"/>
  <c r="GY176" i="9"/>
  <c r="Q174" i="12" s="1"/>
  <c r="GY177" i="9"/>
  <c r="Q175" i="12" s="1"/>
  <c r="GY178" i="9"/>
  <c r="Q176" i="12" s="1"/>
  <c r="GY179" i="9"/>
  <c r="Q177" i="12" s="1"/>
  <c r="GY180" i="9"/>
  <c r="Q178" i="12" s="1"/>
  <c r="GY181" i="9"/>
  <c r="Q179" i="12" s="1"/>
  <c r="GY182" i="9"/>
  <c r="Q180" i="12" s="1"/>
  <c r="GY183" i="9"/>
  <c r="Q181" i="12" s="1"/>
  <c r="GY184" i="9"/>
  <c r="Q182" i="12" s="1"/>
  <c r="GY185" i="9"/>
  <c r="Q183" i="12" s="1"/>
  <c r="GY186" i="9"/>
  <c r="Q184" i="12" s="1"/>
  <c r="GY187" i="9"/>
  <c r="Q185" i="12" s="1"/>
  <c r="GY188" i="9"/>
  <c r="Q186" i="12" s="1"/>
  <c r="GY189" i="9"/>
  <c r="Q187" i="12" s="1"/>
  <c r="GY190" i="9"/>
  <c r="Q188" i="12" s="1"/>
  <c r="GY191" i="9"/>
  <c r="Q189" i="12" s="1"/>
  <c r="GY192" i="9"/>
  <c r="Q190" i="12" s="1"/>
  <c r="GY193" i="9"/>
  <c r="Q191" i="12" s="1"/>
  <c r="GY194" i="9"/>
  <c r="Q192" i="12" s="1"/>
  <c r="GY195" i="9"/>
  <c r="Q193" i="12" s="1"/>
  <c r="GY196" i="9"/>
  <c r="Q194" i="12" s="1"/>
  <c r="GY197" i="9"/>
  <c r="Q195" i="12" s="1"/>
  <c r="GY198" i="9"/>
  <c r="Q196" i="12" s="1"/>
  <c r="GY199" i="9"/>
  <c r="Q197" i="12" s="1"/>
  <c r="GY200" i="9"/>
  <c r="Q198" i="12" s="1"/>
  <c r="GY201" i="9"/>
  <c r="Q199" i="12" s="1"/>
  <c r="GY202" i="9"/>
  <c r="Q200" i="12" s="1"/>
  <c r="GY203" i="9"/>
  <c r="Q201" i="12" s="1"/>
  <c r="GY204" i="9"/>
  <c r="Q202" i="12" s="1"/>
  <c r="GY205" i="9"/>
  <c r="Q203" i="12" s="1"/>
  <c r="GY206" i="9"/>
  <c r="Q204" i="12" s="1"/>
  <c r="GX8" i="9"/>
  <c r="P6" i="12" s="1"/>
  <c r="GX9" i="9"/>
  <c r="P7" i="12" s="1"/>
  <c r="GX10" i="9"/>
  <c r="P8" i="12" s="1"/>
  <c r="GX11" i="9"/>
  <c r="P9" i="12" s="1"/>
  <c r="GX12" i="9"/>
  <c r="P10" i="12" s="1"/>
  <c r="GX13" i="9"/>
  <c r="P11" i="12" s="1"/>
  <c r="GX14" i="9"/>
  <c r="P12" i="12" s="1"/>
  <c r="GX15" i="9"/>
  <c r="P13" i="12" s="1"/>
  <c r="GX16" i="9"/>
  <c r="P14" i="12" s="1"/>
  <c r="GX17" i="9"/>
  <c r="P15" i="12" s="1"/>
  <c r="GX18" i="9"/>
  <c r="P16" i="12" s="1"/>
  <c r="GX19" i="9"/>
  <c r="P17" i="12" s="1"/>
  <c r="GX22" i="9"/>
  <c r="P20" i="12" s="1"/>
  <c r="GX23" i="9"/>
  <c r="P21" i="12" s="1"/>
  <c r="GX24" i="9"/>
  <c r="P22" i="12" s="1"/>
  <c r="GX25" i="9"/>
  <c r="P23" i="12" s="1"/>
  <c r="GX27" i="9"/>
  <c r="P25" i="12" s="1"/>
  <c r="GX28" i="9"/>
  <c r="P26" i="12" s="1"/>
  <c r="GX29" i="9"/>
  <c r="P27" i="12" s="1"/>
  <c r="GX30" i="9"/>
  <c r="P28" i="12" s="1"/>
  <c r="GX31" i="9"/>
  <c r="P29" i="12" s="1"/>
  <c r="GX33" i="9"/>
  <c r="P31" i="12" s="1"/>
  <c r="GX34" i="9"/>
  <c r="P32" i="12" s="1"/>
  <c r="GX35" i="9"/>
  <c r="P33" i="12" s="1"/>
  <c r="GX36" i="9"/>
  <c r="P34" i="12" s="1"/>
  <c r="GX37" i="9"/>
  <c r="P35" i="12" s="1"/>
  <c r="GX38" i="9"/>
  <c r="P36" i="12" s="1"/>
  <c r="GX39" i="9"/>
  <c r="P37" i="12" s="1"/>
  <c r="GX40" i="9"/>
  <c r="P38" i="12" s="1"/>
  <c r="GX41" i="9"/>
  <c r="P39" i="12" s="1"/>
  <c r="GX42" i="9"/>
  <c r="P40" i="12" s="1"/>
  <c r="GX43" i="9"/>
  <c r="P41" i="12" s="1"/>
  <c r="GX44" i="9"/>
  <c r="P42" i="12" s="1"/>
  <c r="GX45" i="9"/>
  <c r="P43" i="12" s="1"/>
  <c r="GX46" i="9"/>
  <c r="P44" i="12" s="1"/>
  <c r="GX47" i="9"/>
  <c r="P45" i="12" s="1"/>
  <c r="GX48" i="9"/>
  <c r="P46" i="12" s="1"/>
  <c r="GX49" i="9"/>
  <c r="P47" i="12" s="1"/>
  <c r="GX50" i="9"/>
  <c r="P48" i="12" s="1"/>
  <c r="GX51" i="9"/>
  <c r="P49" i="12" s="1"/>
  <c r="GX52" i="9"/>
  <c r="P50" i="12" s="1"/>
  <c r="GX53" i="9"/>
  <c r="P51" i="12" s="1"/>
  <c r="GX54" i="9"/>
  <c r="P52" i="12" s="1"/>
  <c r="GX55" i="9"/>
  <c r="P53" i="12" s="1"/>
  <c r="GX56" i="9"/>
  <c r="P54" i="12" s="1"/>
  <c r="GX57" i="9"/>
  <c r="P55" i="12" s="1"/>
  <c r="GX58" i="9"/>
  <c r="P56" i="12" s="1"/>
  <c r="GX59" i="9"/>
  <c r="P57" i="12" s="1"/>
  <c r="GX60" i="9"/>
  <c r="P58" i="12" s="1"/>
  <c r="GX61" i="9"/>
  <c r="P59" i="12" s="1"/>
  <c r="GX62" i="9"/>
  <c r="P60" i="12" s="1"/>
  <c r="GX63" i="9"/>
  <c r="P61" i="12" s="1"/>
  <c r="GX64" i="9"/>
  <c r="P62" i="12" s="1"/>
  <c r="GX65" i="9"/>
  <c r="P63" i="12" s="1"/>
  <c r="GX66" i="9"/>
  <c r="P64" i="12" s="1"/>
  <c r="GX67" i="9"/>
  <c r="P65" i="12" s="1"/>
  <c r="GX68" i="9"/>
  <c r="P66" i="12" s="1"/>
  <c r="GX69" i="9"/>
  <c r="P67" i="12" s="1"/>
  <c r="GX70" i="9"/>
  <c r="P68" i="12" s="1"/>
  <c r="GX71" i="9"/>
  <c r="P69" i="12" s="1"/>
  <c r="GX72" i="9"/>
  <c r="P70" i="12" s="1"/>
  <c r="GX73" i="9"/>
  <c r="P71" i="12" s="1"/>
  <c r="GX74" i="9"/>
  <c r="P72" i="12" s="1"/>
  <c r="GX75" i="9"/>
  <c r="P73" i="12" s="1"/>
  <c r="GX76" i="9"/>
  <c r="P74" i="12" s="1"/>
  <c r="GX77" i="9"/>
  <c r="P75" i="12" s="1"/>
  <c r="GX78" i="9"/>
  <c r="P76" i="12" s="1"/>
  <c r="GX79" i="9"/>
  <c r="P77" i="12" s="1"/>
  <c r="GX80" i="9"/>
  <c r="P78" i="12" s="1"/>
  <c r="GX81" i="9"/>
  <c r="P79" i="12" s="1"/>
  <c r="GX82" i="9"/>
  <c r="P80" i="12" s="1"/>
  <c r="GX83" i="9"/>
  <c r="P81" i="12" s="1"/>
  <c r="GX84" i="9"/>
  <c r="P82" i="12" s="1"/>
  <c r="GX85" i="9"/>
  <c r="P83" i="12" s="1"/>
  <c r="GX86" i="9"/>
  <c r="P84" i="12" s="1"/>
  <c r="GX87" i="9"/>
  <c r="P85" i="12" s="1"/>
  <c r="GX88" i="9"/>
  <c r="P86" i="12" s="1"/>
  <c r="GX89" i="9"/>
  <c r="P87" i="12" s="1"/>
  <c r="GX90" i="9"/>
  <c r="P88" i="12" s="1"/>
  <c r="GX91" i="9"/>
  <c r="P89" i="12" s="1"/>
  <c r="GX92" i="9"/>
  <c r="P90" i="12" s="1"/>
  <c r="GX93" i="9"/>
  <c r="P91" i="12" s="1"/>
  <c r="GX94" i="9"/>
  <c r="P92" i="12" s="1"/>
  <c r="GX95" i="9"/>
  <c r="P93" i="12" s="1"/>
  <c r="GX96" i="9"/>
  <c r="P94" i="12" s="1"/>
  <c r="GX97" i="9"/>
  <c r="P95" i="12" s="1"/>
  <c r="GX98" i="9"/>
  <c r="P96" i="12" s="1"/>
  <c r="GX99" i="9"/>
  <c r="P97" i="12" s="1"/>
  <c r="GX100" i="9"/>
  <c r="P98" i="12" s="1"/>
  <c r="GX101" i="9"/>
  <c r="P99" i="12" s="1"/>
  <c r="GX102" i="9"/>
  <c r="P100" i="12" s="1"/>
  <c r="GX103" i="9"/>
  <c r="P101" i="12" s="1"/>
  <c r="GX104" i="9"/>
  <c r="P102" i="12" s="1"/>
  <c r="GX105" i="9"/>
  <c r="P103" i="12" s="1"/>
  <c r="GX106" i="9"/>
  <c r="P104" i="12" s="1"/>
  <c r="GX107" i="9"/>
  <c r="P105" i="12" s="1"/>
  <c r="GX108" i="9"/>
  <c r="P106" i="12" s="1"/>
  <c r="GX109" i="9"/>
  <c r="P107" i="12" s="1"/>
  <c r="GX110" i="9"/>
  <c r="P108" i="12" s="1"/>
  <c r="GX111" i="9"/>
  <c r="P109" i="12" s="1"/>
  <c r="GX112" i="9"/>
  <c r="P110" i="12" s="1"/>
  <c r="GX113" i="9"/>
  <c r="P111" i="12" s="1"/>
  <c r="GX114" i="9"/>
  <c r="P112" i="12" s="1"/>
  <c r="GX115" i="9"/>
  <c r="P113" i="12" s="1"/>
  <c r="GX116" i="9"/>
  <c r="P114" i="12" s="1"/>
  <c r="GX117" i="9"/>
  <c r="P115" i="12" s="1"/>
  <c r="GX118" i="9"/>
  <c r="P116" i="12" s="1"/>
  <c r="GX119" i="9"/>
  <c r="P117" i="12" s="1"/>
  <c r="GX120" i="9"/>
  <c r="P118" i="12" s="1"/>
  <c r="GX121" i="9"/>
  <c r="P119" i="12" s="1"/>
  <c r="GX122" i="9"/>
  <c r="P120" i="12" s="1"/>
  <c r="GX123" i="9"/>
  <c r="P121" i="12" s="1"/>
  <c r="GX124" i="9"/>
  <c r="P122" i="12" s="1"/>
  <c r="GX125" i="9"/>
  <c r="P123" i="12" s="1"/>
  <c r="GX126" i="9"/>
  <c r="P124" i="12" s="1"/>
  <c r="GX127" i="9"/>
  <c r="P125" i="12" s="1"/>
  <c r="GX128" i="9"/>
  <c r="P126" i="12" s="1"/>
  <c r="GX129" i="9"/>
  <c r="P127" i="12" s="1"/>
  <c r="GX130" i="9"/>
  <c r="P128" i="12" s="1"/>
  <c r="GX131" i="9"/>
  <c r="P129" i="12" s="1"/>
  <c r="GX132" i="9"/>
  <c r="P130" i="12" s="1"/>
  <c r="GX133" i="9"/>
  <c r="P131" i="12" s="1"/>
  <c r="GX134" i="9"/>
  <c r="P132" i="12" s="1"/>
  <c r="GX135" i="9"/>
  <c r="P133" i="12" s="1"/>
  <c r="GX136" i="9"/>
  <c r="P134" i="12" s="1"/>
  <c r="GX137" i="9"/>
  <c r="P135" i="12" s="1"/>
  <c r="GX138" i="9"/>
  <c r="P136" i="12" s="1"/>
  <c r="GX139" i="9"/>
  <c r="P137" i="12" s="1"/>
  <c r="GX140" i="9"/>
  <c r="P138" i="12" s="1"/>
  <c r="GX141" i="9"/>
  <c r="P139" i="12" s="1"/>
  <c r="GX142" i="9"/>
  <c r="P140" i="12" s="1"/>
  <c r="GX143" i="9"/>
  <c r="P141" i="12" s="1"/>
  <c r="GX144" i="9"/>
  <c r="P142" i="12" s="1"/>
  <c r="GX145" i="9"/>
  <c r="P143" i="12" s="1"/>
  <c r="GX146" i="9"/>
  <c r="P144" i="12" s="1"/>
  <c r="GX147" i="9"/>
  <c r="P145" i="12" s="1"/>
  <c r="GX148" i="9"/>
  <c r="P146" i="12" s="1"/>
  <c r="GX149" i="9"/>
  <c r="P147" i="12" s="1"/>
  <c r="GX150" i="9"/>
  <c r="P148" i="12" s="1"/>
  <c r="GX151" i="9"/>
  <c r="P149" i="12" s="1"/>
  <c r="GX152" i="9"/>
  <c r="P150" i="12" s="1"/>
  <c r="GX153" i="9"/>
  <c r="P151" i="12" s="1"/>
  <c r="GX154" i="9"/>
  <c r="P152" i="12" s="1"/>
  <c r="GX155" i="9"/>
  <c r="P153" i="12" s="1"/>
  <c r="GX156" i="9"/>
  <c r="P154" i="12" s="1"/>
  <c r="GX157" i="9"/>
  <c r="P155" i="12" s="1"/>
  <c r="GX158" i="9"/>
  <c r="P156" i="12" s="1"/>
  <c r="GX159" i="9"/>
  <c r="P157" i="12" s="1"/>
  <c r="GX160" i="9"/>
  <c r="P158" i="12" s="1"/>
  <c r="GX161" i="9"/>
  <c r="P159" i="12" s="1"/>
  <c r="GX162" i="9"/>
  <c r="P160" i="12" s="1"/>
  <c r="GX163" i="9"/>
  <c r="P161" i="12" s="1"/>
  <c r="GX164" i="9"/>
  <c r="P162" i="12" s="1"/>
  <c r="GX165" i="9"/>
  <c r="P163" i="12" s="1"/>
  <c r="GX166" i="9"/>
  <c r="P164" i="12" s="1"/>
  <c r="GX167" i="9"/>
  <c r="P165" i="12" s="1"/>
  <c r="GX168" i="9"/>
  <c r="P166" i="12" s="1"/>
  <c r="GX169" i="9"/>
  <c r="P167" i="12" s="1"/>
  <c r="GX170" i="9"/>
  <c r="P168" i="12" s="1"/>
  <c r="GX171" i="9"/>
  <c r="P169" i="12" s="1"/>
  <c r="GX172" i="9"/>
  <c r="P170" i="12" s="1"/>
  <c r="GX173" i="9"/>
  <c r="P171" i="12" s="1"/>
  <c r="GX174" i="9"/>
  <c r="P172" i="12" s="1"/>
  <c r="GX175" i="9"/>
  <c r="P173" i="12" s="1"/>
  <c r="GX176" i="9"/>
  <c r="P174" i="12" s="1"/>
  <c r="GX177" i="9"/>
  <c r="P175" i="12" s="1"/>
  <c r="GX178" i="9"/>
  <c r="P176" i="12" s="1"/>
  <c r="GX179" i="9"/>
  <c r="P177" i="12" s="1"/>
  <c r="GX180" i="9"/>
  <c r="P178" i="12" s="1"/>
  <c r="GX181" i="9"/>
  <c r="P179" i="12" s="1"/>
  <c r="GX182" i="9"/>
  <c r="P180" i="12" s="1"/>
  <c r="GX183" i="9"/>
  <c r="P181" i="12" s="1"/>
  <c r="GX184" i="9"/>
  <c r="P182" i="12" s="1"/>
  <c r="GX185" i="9"/>
  <c r="P183" i="12" s="1"/>
  <c r="GX186" i="9"/>
  <c r="P184" i="12" s="1"/>
  <c r="GX187" i="9"/>
  <c r="P185" i="12" s="1"/>
  <c r="GX188" i="9"/>
  <c r="P186" i="12" s="1"/>
  <c r="GX189" i="9"/>
  <c r="P187" i="12" s="1"/>
  <c r="GX190" i="9"/>
  <c r="P188" i="12" s="1"/>
  <c r="GX191" i="9"/>
  <c r="P189" i="12" s="1"/>
  <c r="GX192" i="9"/>
  <c r="P190" i="12" s="1"/>
  <c r="GX193" i="9"/>
  <c r="P191" i="12" s="1"/>
  <c r="GX194" i="9"/>
  <c r="P192" i="12" s="1"/>
  <c r="GX195" i="9"/>
  <c r="P193" i="12" s="1"/>
  <c r="GX196" i="9"/>
  <c r="P194" i="12" s="1"/>
  <c r="GX197" i="9"/>
  <c r="P195" i="12" s="1"/>
  <c r="GX198" i="9"/>
  <c r="P196" i="12" s="1"/>
  <c r="GX199" i="9"/>
  <c r="P197" i="12" s="1"/>
  <c r="GX200" i="9"/>
  <c r="P198" i="12" s="1"/>
  <c r="GX201" i="9"/>
  <c r="P199" i="12" s="1"/>
  <c r="GX202" i="9"/>
  <c r="P200" i="12" s="1"/>
  <c r="GX203" i="9"/>
  <c r="P201" i="12" s="1"/>
  <c r="GX204" i="9"/>
  <c r="P202" i="12" s="1"/>
  <c r="GX205" i="9"/>
  <c r="P203" i="12" s="1"/>
  <c r="GX206" i="9"/>
  <c r="P204" i="12" s="1"/>
  <c r="GW8" i="9"/>
  <c r="O6" i="12" s="1"/>
  <c r="GW9" i="9"/>
  <c r="O7" i="12" s="1"/>
  <c r="GW10" i="9"/>
  <c r="O8" i="12" s="1"/>
  <c r="GW11" i="9"/>
  <c r="O9" i="12" s="1"/>
  <c r="GW12" i="9"/>
  <c r="O10" i="12" s="1"/>
  <c r="GW15" i="9"/>
  <c r="O13" i="12" s="1"/>
  <c r="GW16" i="9"/>
  <c r="O14" i="12" s="1"/>
  <c r="GW17" i="9"/>
  <c r="O15" i="12" s="1"/>
  <c r="GW18" i="9"/>
  <c r="O16" i="12" s="1"/>
  <c r="GW19" i="9"/>
  <c r="O17" i="12" s="1"/>
  <c r="GW20" i="9"/>
  <c r="O18" i="12" s="1"/>
  <c r="GW21" i="9"/>
  <c r="O19" i="12" s="1"/>
  <c r="GW22" i="9"/>
  <c r="O20" i="12" s="1"/>
  <c r="GW23" i="9"/>
  <c r="O21" i="12" s="1"/>
  <c r="GW24" i="9"/>
  <c r="O22" i="12" s="1"/>
  <c r="GW25" i="9"/>
  <c r="O23" i="12" s="1"/>
  <c r="GW26" i="9"/>
  <c r="O24" i="12" s="1"/>
  <c r="GW27" i="9"/>
  <c r="O25" i="12" s="1"/>
  <c r="GW28" i="9"/>
  <c r="O26" i="12" s="1"/>
  <c r="GW30" i="9"/>
  <c r="O28" i="12" s="1"/>
  <c r="GW32" i="9"/>
  <c r="O30" i="12" s="1"/>
  <c r="GW33" i="9"/>
  <c r="O31" i="12" s="1"/>
  <c r="GW34" i="9"/>
  <c r="O32" i="12" s="1"/>
  <c r="GW35" i="9"/>
  <c r="O33" i="12" s="1"/>
  <c r="GW36" i="9"/>
  <c r="O34" i="12" s="1"/>
  <c r="GW37" i="9"/>
  <c r="O35" i="12" s="1"/>
  <c r="GW38" i="9"/>
  <c r="O36" i="12" s="1"/>
  <c r="GW39" i="9"/>
  <c r="O37" i="12" s="1"/>
  <c r="GW40" i="9"/>
  <c r="O38" i="12" s="1"/>
  <c r="GW41" i="9"/>
  <c r="O39" i="12" s="1"/>
  <c r="GW42" i="9"/>
  <c r="O40" i="12" s="1"/>
  <c r="GW43" i="9"/>
  <c r="O41" i="12" s="1"/>
  <c r="GW44" i="9"/>
  <c r="O42" i="12" s="1"/>
  <c r="GW45" i="9"/>
  <c r="O43" i="12" s="1"/>
  <c r="GW46" i="9"/>
  <c r="O44" i="12" s="1"/>
  <c r="GW47" i="9"/>
  <c r="O45" i="12" s="1"/>
  <c r="GW48" i="9"/>
  <c r="O46" i="12" s="1"/>
  <c r="GW49" i="9"/>
  <c r="O47" i="12" s="1"/>
  <c r="GW50" i="9"/>
  <c r="O48" i="12" s="1"/>
  <c r="GW51" i="9"/>
  <c r="O49" i="12" s="1"/>
  <c r="GW52" i="9"/>
  <c r="O50" i="12" s="1"/>
  <c r="GW53" i="9"/>
  <c r="O51" i="12" s="1"/>
  <c r="GW54" i="9"/>
  <c r="O52" i="12" s="1"/>
  <c r="GW55" i="9"/>
  <c r="O53" i="12" s="1"/>
  <c r="GW56" i="9"/>
  <c r="O54" i="12" s="1"/>
  <c r="GW57" i="9"/>
  <c r="O55" i="12" s="1"/>
  <c r="GW58" i="9"/>
  <c r="O56" i="12" s="1"/>
  <c r="GW59" i="9"/>
  <c r="O57" i="12" s="1"/>
  <c r="GW60" i="9"/>
  <c r="O58" i="12" s="1"/>
  <c r="GW61" i="9"/>
  <c r="O59" i="12" s="1"/>
  <c r="GW62" i="9"/>
  <c r="O60" i="12" s="1"/>
  <c r="GW63" i="9"/>
  <c r="O61" i="12" s="1"/>
  <c r="GW64" i="9"/>
  <c r="O62" i="12" s="1"/>
  <c r="GW65" i="9"/>
  <c r="O63" i="12" s="1"/>
  <c r="GW66" i="9"/>
  <c r="O64" i="12" s="1"/>
  <c r="GW67" i="9"/>
  <c r="O65" i="12" s="1"/>
  <c r="GW68" i="9"/>
  <c r="O66" i="12" s="1"/>
  <c r="GW69" i="9"/>
  <c r="O67" i="12" s="1"/>
  <c r="GW70" i="9"/>
  <c r="O68" i="12" s="1"/>
  <c r="GW71" i="9"/>
  <c r="O69" i="12" s="1"/>
  <c r="GW72" i="9"/>
  <c r="O70" i="12" s="1"/>
  <c r="GW73" i="9"/>
  <c r="O71" i="12" s="1"/>
  <c r="GW74" i="9"/>
  <c r="O72" i="12" s="1"/>
  <c r="GW75" i="9"/>
  <c r="O73" i="12" s="1"/>
  <c r="GW76" i="9"/>
  <c r="O74" i="12" s="1"/>
  <c r="GW77" i="9"/>
  <c r="O75" i="12" s="1"/>
  <c r="GW78" i="9"/>
  <c r="O76" i="12" s="1"/>
  <c r="GW79" i="9"/>
  <c r="O77" i="12" s="1"/>
  <c r="GW80" i="9"/>
  <c r="O78" i="12" s="1"/>
  <c r="GW81" i="9"/>
  <c r="O79" i="12" s="1"/>
  <c r="GW82" i="9"/>
  <c r="O80" i="12" s="1"/>
  <c r="GW83" i="9"/>
  <c r="O81" i="12" s="1"/>
  <c r="GW84" i="9"/>
  <c r="O82" i="12" s="1"/>
  <c r="GW85" i="9"/>
  <c r="O83" i="12" s="1"/>
  <c r="GW86" i="9"/>
  <c r="O84" i="12" s="1"/>
  <c r="GW87" i="9"/>
  <c r="O85" i="12" s="1"/>
  <c r="GW88" i="9"/>
  <c r="O86" i="12" s="1"/>
  <c r="GW89" i="9"/>
  <c r="O87" i="12" s="1"/>
  <c r="GW90" i="9"/>
  <c r="O88" i="12" s="1"/>
  <c r="GW91" i="9"/>
  <c r="O89" i="12" s="1"/>
  <c r="GW92" i="9"/>
  <c r="O90" i="12" s="1"/>
  <c r="GW93" i="9"/>
  <c r="O91" i="12" s="1"/>
  <c r="GW94" i="9"/>
  <c r="O92" i="12" s="1"/>
  <c r="GW95" i="9"/>
  <c r="O93" i="12" s="1"/>
  <c r="GW96" i="9"/>
  <c r="O94" i="12" s="1"/>
  <c r="GW97" i="9"/>
  <c r="O95" i="12" s="1"/>
  <c r="GW98" i="9"/>
  <c r="O96" i="12" s="1"/>
  <c r="GW99" i="9"/>
  <c r="O97" i="12" s="1"/>
  <c r="GW100" i="9"/>
  <c r="O98" i="12" s="1"/>
  <c r="GW101" i="9"/>
  <c r="O99" i="12" s="1"/>
  <c r="GW102" i="9"/>
  <c r="O100" i="12" s="1"/>
  <c r="GW103" i="9"/>
  <c r="O101" i="12" s="1"/>
  <c r="GW104" i="9"/>
  <c r="O102" i="12" s="1"/>
  <c r="GW105" i="9"/>
  <c r="O103" i="12" s="1"/>
  <c r="GW106" i="9"/>
  <c r="O104" i="12" s="1"/>
  <c r="GW107" i="9"/>
  <c r="O105" i="12" s="1"/>
  <c r="GW108" i="9"/>
  <c r="O106" i="12" s="1"/>
  <c r="GW109" i="9"/>
  <c r="O107" i="12" s="1"/>
  <c r="GW110" i="9"/>
  <c r="O108" i="12" s="1"/>
  <c r="GW111" i="9"/>
  <c r="O109" i="12" s="1"/>
  <c r="GW112" i="9"/>
  <c r="O110" i="12" s="1"/>
  <c r="GW113" i="9"/>
  <c r="O111" i="12" s="1"/>
  <c r="GW114" i="9"/>
  <c r="O112" i="12" s="1"/>
  <c r="GW115" i="9"/>
  <c r="O113" i="12" s="1"/>
  <c r="GW116" i="9"/>
  <c r="O114" i="12" s="1"/>
  <c r="GW117" i="9"/>
  <c r="O115" i="12" s="1"/>
  <c r="GW118" i="9"/>
  <c r="O116" i="12" s="1"/>
  <c r="GW119" i="9"/>
  <c r="O117" i="12" s="1"/>
  <c r="GW120" i="9"/>
  <c r="O118" i="12" s="1"/>
  <c r="GW121" i="9"/>
  <c r="O119" i="12" s="1"/>
  <c r="GW122" i="9"/>
  <c r="O120" i="12" s="1"/>
  <c r="GW123" i="9"/>
  <c r="O121" i="12" s="1"/>
  <c r="GW124" i="9"/>
  <c r="O122" i="12" s="1"/>
  <c r="GW125" i="9"/>
  <c r="O123" i="12" s="1"/>
  <c r="GW126" i="9"/>
  <c r="O124" i="12" s="1"/>
  <c r="GW127" i="9"/>
  <c r="O125" i="12" s="1"/>
  <c r="GW128" i="9"/>
  <c r="O126" i="12" s="1"/>
  <c r="GW129" i="9"/>
  <c r="O127" i="12" s="1"/>
  <c r="GW130" i="9"/>
  <c r="O128" i="12" s="1"/>
  <c r="GW131" i="9"/>
  <c r="O129" i="12" s="1"/>
  <c r="GW132" i="9"/>
  <c r="O130" i="12" s="1"/>
  <c r="GW133" i="9"/>
  <c r="O131" i="12" s="1"/>
  <c r="GW134" i="9"/>
  <c r="O132" i="12" s="1"/>
  <c r="GW135" i="9"/>
  <c r="O133" i="12" s="1"/>
  <c r="GW136" i="9"/>
  <c r="O134" i="12" s="1"/>
  <c r="GW137" i="9"/>
  <c r="O135" i="12" s="1"/>
  <c r="GW138" i="9"/>
  <c r="O136" i="12" s="1"/>
  <c r="GW139" i="9"/>
  <c r="O137" i="12" s="1"/>
  <c r="GW140" i="9"/>
  <c r="O138" i="12" s="1"/>
  <c r="GW141" i="9"/>
  <c r="O139" i="12" s="1"/>
  <c r="GW142" i="9"/>
  <c r="O140" i="12" s="1"/>
  <c r="GW143" i="9"/>
  <c r="O141" i="12" s="1"/>
  <c r="GW144" i="9"/>
  <c r="O142" i="12" s="1"/>
  <c r="GW145" i="9"/>
  <c r="O143" i="12" s="1"/>
  <c r="GW146" i="9"/>
  <c r="O144" i="12" s="1"/>
  <c r="GW147" i="9"/>
  <c r="O145" i="12" s="1"/>
  <c r="GW148" i="9"/>
  <c r="O146" i="12" s="1"/>
  <c r="GW149" i="9"/>
  <c r="O147" i="12" s="1"/>
  <c r="GW150" i="9"/>
  <c r="O148" i="12" s="1"/>
  <c r="GW151" i="9"/>
  <c r="O149" i="12" s="1"/>
  <c r="GW152" i="9"/>
  <c r="O150" i="12" s="1"/>
  <c r="GW153" i="9"/>
  <c r="O151" i="12" s="1"/>
  <c r="GW154" i="9"/>
  <c r="O152" i="12" s="1"/>
  <c r="GW155" i="9"/>
  <c r="O153" i="12" s="1"/>
  <c r="GW156" i="9"/>
  <c r="O154" i="12" s="1"/>
  <c r="GW157" i="9"/>
  <c r="O155" i="12" s="1"/>
  <c r="GW158" i="9"/>
  <c r="O156" i="12" s="1"/>
  <c r="GW159" i="9"/>
  <c r="O157" i="12" s="1"/>
  <c r="GW160" i="9"/>
  <c r="O158" i="12" s="1"/>
  <c r="GW161" i="9"/>
  <c r="O159" i="12" s="1"/>
  <c r="GW162" i="9"/>
  <c r="O160" i="12" s="1"/>
  <c r="GW163" i="9"/>
  <c r="O161" i="12" s="1"/>
  <c r="GW164" i="9"/>
  <c r="O162" i="12" s="1"/>
  <c r="GW165" i="9"/>
  <c r="O163" i="12" s="1"/>
  <c r="GW166" i="9"/>
  <c r="O164" i="12" s="1"/>
  <c r="GW167" i="9"/>
  <c r="O165" i="12" s="1"/>
  <c r="GW168" i="9"/>
  <c r="O166" i="12" s="1"/>
  <c r="GW169" i="9"/>
  <c r="O167" i="12" s="1"/>
  <c r="GW170" i="9"/>
  <c r="O168" i="12" s="1"/>
  <c r="GW171" i="9"/>
  <c r="O169" i="12" s="1"/>
  <c r="GW172" i="9"/>
  <c r="O170" i="12" s="1"/>
  <c r="GW173" i="9"/>
  <c r="O171" i="12" s="1"/>
  <c r="GW174" i="9"/>
  <c r="O172" i="12" s="1"/>
  <c r="GW175" i="9"/>
  <c r="O173" i="12" s="1"/>
  <c r="GW176" i="9"/>
  <c r="O174" i="12" s="1"/>
  <c r="GW177" i="9"/>
  <c r="O175" i="12" s="1"/>
  <c r="GW178" i="9"/>
  <c r="O176" i="12" s="1"/>
  <c r="GW179" i="9"/>
  <c r="O177" i="12" s="1"/>
  <c r="GW180" i="9"/>
  <c r="O178" i="12" s="1"/>
  <c r="GW181" i="9"/>
  <c r="O179" i="12" s="1"/>
  <c r="GW182" i="9"/>
  <c r="O180" i="12" s="1"/>
  <c r="GW183" i="9"/>
  <c r="O181" i="12" s="1"/>
  <c r="GW184" i="9"/>
  <c r="O182" i="12" s="1"/>
  <c r="GW185" i="9"/>
  <c r="O183" i="12" s="1"/>
  <c r="GW186" i="9"/>
  <c r="O184" i="12" s="1"/>
  <c r="GW187" i="9"/>
  <c r="O185" i="12" s="1"/>
  <c r="GW188" i="9"/>
  <c r="O186" i="12" s="1"/>
  <c r="GW189" i="9"/>
  <c r="O187" i="12" s="1"/>
  <c r="GW190" i="9"/>
  <c r="O188" i="12" s="1"/>
  <c r="GW191" i="9"/>
  <c r="O189" i="12" s="1"/>
  <c r="GW192" i="9"/>
  <c r="O190" i="12" s="1"/>
  <c r="GW193" i="9"/>
  <c r="O191" i="12" s="1"/>
  <c r="GW194" i="9"/>
  <c r="O192" i="12" s="1"/>
  <c r="GW195" i="9"/>
  <c r="O193" i="12" s="1"/>
  <c r="GW196" i="9"/>
  <c r="O194" i="12" s="1"/>
  <c r="GW197" i="9"/>
  <c r="O195" i="12" s="1"/>
  <c r="GW198" i="9"/>
  <c r="O196" i="12" s="1"/>
  <c r="GW199" i="9"/>
  <c r="O197" i="12" s="1"/>
  <c r="GW200" i="9"/>
  <c r="O198" i="12" s="1"/>
  <c r="GW201" i="9"/>
  <c r="O199" i="12" s="1"/>
  <c r="GW202" i="9"/>
  <c r="O200" i="12" s="1"/>
  <c r="GW203" i="9"/>
  <c r="O201" i="12" s="1"/>
  <c r="GW204" i="9"/>
  <c r="O202" i="12" s="1"/>
  <c r="GW205" i="9"/>
  <c r="O203" i="12" s="1"/>
  <c r="GW206" i="9"/>
  <c r="O204" i="12" s="1"/>
  <c r="GV8" i="9"/>
  <c r="N6" i="12" s="1"/>
  <c r="GV9" i="9"/>
  <c r="N7" i="12" s="1"/>
  <c r="GV10" i="9"/>
  <c r="N8" i="12" s="1"/>
  <c r="GV13" i="9"/>
  <c r="N11" i="12" s="1"/>
  <c r="GV14" i="9"/>
  <c r="N12" i="12" s="1"/>
  <c r="GV16" i="9"/>
  <c r="N14" i="12" s="1"/>
  <c r="GV17" i="9"/>
  <c r="N15" i="12" s="1"/>
  <c r="GV18" i="9"/>
  <c r="N16" i="12" s="1"/>
  <c r="GV20" i="9"/>
  <c r="N18" i="12" s="1"/>
  <c r="GV21" i="9"/>
  <c r="N19" i="12" s="1"/>
  <c r="GV22" i="9"/>
  <c r="N20" i="12" s="1"/>
  <c r="GV23" i="9"/>
  <c r="N21" i="12" s="1"/>
  <c r="GV26" i="9"/>
  <c r="N24" i="12" s="1"/>
  <c r="GV29" i="9"/>
  <c r="N27" i="12" s="1"/>
  <c r="GV30" i="9"/>
  <c r="N28" i="12" s="1"/>
  <c r="GV31" i="9"/>
  <c r="N29" i="12" s="1"/>
  <c r="GV32" i="9"/>
  <c r="N30" i="12" s="1"/>
  <c r="GV33" i="9"/>
  <c r="N31" i="12" s="1"/>
  <c r="GV34" i="9"/>
  <c r="N32" i="12" s="1"/>
  <c r="GV36" i="9"/>
  <c r="N34" i="12" s="1"/>
  <c r="GV37" i="9"/>
  <c r="N35" i="12" s="1"/>
  <c r="GV38" i="9"/>
  <c r="N36" i="12" s="1"/>
  <c r="GV39" i="9"/>
  <c r="N37" i="12" s="1"/>
  <c r="GV40" i="9"/>
  <c r="N38" i="12" s="1"/>
  <c r="GV41" i="9"/>
  <c r="N39" i="12" s="1"/>
  <c r="GV42" i="9"/>
  <c r="N40" i="12" s="1"/>
  <c r="GV43" i="9"/>
  <c r="N41" i="12" s="1"/>
  <c r="GV44" i="9"/>
  <c r="N42" i="12" s="1"/>
  <c r="GV45" i="9"/>
  <c r="N43" i="12" s="1"/>
  <c r="GV46" i="9"/>
  <c r="N44" i="12" s="1"/>
  <c r="GV47" i="9"/>
  <c r="N45" i="12" s="1"/>
  <c r="GV48" i="9"/>
  <c r="N46" i="12" s="1"/>
  <c r="GV49" i="9"/>
  <c r="N47" i="12" s="1"/>
  <c r="GV50" i="9"/>
  <c r="N48" i="12" s="1"/>
  <c r="GV51" i="9"/>
  <c r="N49" i="12" s="1"/>
  <c r="GV52" i="9"/>
  <c r="N50" i="12" s="1"/>
  <c r="GV53" i="9"/>
  <c r="N51" i="12" s="1"/>
  <c r="GV54" i="9"/>
  <c r="N52" i="12" s="1"/>
  <c r="GV55" i="9"/>
  <c r="N53" i="12" s="1"/>
  <c r="GV56" i="9"/>
  <c r="N54" i="12" s="1"/>
  <c r="GV57" i="9"/>
  <c r="N55" i="12" s="1"/>
  <c r="GV58" i="9"/>
  <c r="N56" i="12" s="1"/>
  <c r="GV59" i="9"/>
  <c r="N57" i="12" s="1"/>
  <c r="GV60" i="9"/>
  <c r="N58" i="12" s="1"/>
  <c r="GV61" i="9"/>
  <c r="N59" i="12" s="1"/>
  <c r="GV62" i="9"/>
  <c r="N60" i="12" s="1"/>
  <c r="GV63" i="9"/>
  <c r="N61" i="12" s="1"/>
  <c r="GV64" i="9"/>
  <c r="N62" i="12" s="1"/>
  <c r="GV65" i="9"/>
  <c r="N63" i="12" s="1"/>
  <c r="GV66" i="9"/>
  <c r="N64" i="12" s="1"/>
  <c r="GV67" i="9"/>
  <c r="N65" i="12" s="1"/>
  <c r="GV68" i="9"/>
  <c r="N66" i="12" s="1"/>
  <c r="GV69" i="9"/>
  <c r="N67" i="12" s="1"/>
  <c r="GV70" i="9"/>
  <c r="N68" i="12" s="1"/>
  <c r="GV71" i="9"/>
  <c r="N69" i="12" s="1"/>
  <c r="GV72" i="9"/>
  <c r="N70" i="12" s="1"/>
  <c r="GV73" i="9"/>
  <c r="N71" i="12" s="1"/>
  <c r="GV74" i="9"/>
  <c r="N72" i="12" s="1"/>
  <c r="GV75" i="9"/>
  <c r="N73" i="12" s="1"/>
  <c r="GV76" i="9"/>
  <c r="N74" i="12" s="1"/>
  <c r="GV77" i="9"/>
  <c r="N75" i="12" s="1"/>
  <c r="GV78" i="9"/>
  <c r="N76" i="12" s="1"/>
  <c r="GV79" i="9"/>
  <c r="N77" i="12" s="1"/>
  <c r="GV80" i="9"/>
  <c r="N78" i="12" s="1"/>
  <c r="GV81" i="9"/>
  <c r="N79" i="12" s="1"/>
  <c r="GV82" i="9"/>
  <c r="N80" i="12" s="1"/>
  <c r="GV83" i="9"/>
  <c r="N81" i="12" s="1"/>
  <c r="GV84" i="9"/>
  <c r="N82" i="12" s="1"/>
  <c r="GV85" i="9"/>
  <c r="N83" i="12" s="1"/>
  <c r="GV86" i="9"/>
  <c r="N84" i="12" s="1"/>
  <c r="GV87" i="9"/>
  <c r="N85" i="12" s="1"/>
  <c r="GV88" i="9"/>
  <c r="N86" i="12" s="1"/>
  <c r="GV89" i="9"/>
  <c r="N87" i="12" s="1"/>
  <c r="GV90" i="9"/>
  <c r="N88" i="12" s="1"/>
  <c r="GV91" i="9"/>
  <c r="N89" i="12" s="1"/>
  <c r="GV92" i="9"/>
  <c r="N90" i="12" s="1"/>
  <c r="GV93" i="9"/>
  <c r="N91" i="12" s="1"/>
  <c r="GV94" i="9"/>
  <c r="N92" i="12" s="1"/>
  <c r="GV95" i="9"/>
  <c r="N93" i="12" s="1"/>
  <c r="GV96" i="9"/>
  <c r="N94" i="12" s="1"/>
  <c r="GV97" i="9"/>
  <c r="N95" i="12" s="1"/>
  <c r="GV98" i="9"/>
  <c r="N96" i="12" s="1"/>
  <c r="GV99" i="9"/>
  <c r="N97" i="12" s="1"/>
  <c r="GV100" i="9"/>
  <c r="N98" i="12" s="1"/>
  <c r="GV101" i="9"/>
  <c r="N99" i="12" s="1"/>
  <c r="GV102" i="9"/>
  <c r="N100" i="12" s="1"/>
  <c r="GV103" i="9"/>
  <c r="N101" i="12" s="1"/>
  <c r="GV104" i="9"/>
  <c r="N102" i="12" s="1"/>
  <c r="GV105" i="9"/>
  <c r="N103" i="12" s="1"/>
  <c r="GV106" i="9"/>
  <c r="N104" i="12" s="1"/>
  <c r="GV107" i="9"/>
  <c r="N105" i="12" s="1"/>
  <c r="GV108" i="9"/>
  <c r="N106" i="12" s="1"/>
  <c r="GV109" i="9"/>
  <c r="N107" i="12" s="1"/>
  <c r="GV110" i="9"/>
  <c r="N108" i="12" s="1"/>
  <c r="GV111" i="9"/>
  <c r="N109" i="12" s="1"/>
  <c r="GV112" i="9"/>
  <c r="N110" i="12" s="1"/>
  <c r="GV113" i="9"/>
  <c r="N111" i="12" s="1"/>
  <c r="GV114" i="9"/>
  <c r="N112" i="12" s="1"/>
  <c r="GV115" i="9"/>
  <c r="N113" i="12" s="1"/>
  <c r="GV116" i="9"/>
  <c r="N114" i="12" s="1"/>
  <c r="GV117" i="9"/>
  <c r="N115" i="12" s="1"/>
  <c r="GV118" i="9"/>
  <c r="N116" i="12" s="1"/>
  <c r="GV119" i="9"/>
  <c r="N117" i="12" s="1"/>
  <c r="GV120" i="9"/>
  <c r="N118" i="12" s="1"/>
  <c r="GV121" i="9"/>
  <c r="N119" i="12" s="1"/>
  <c r="GV122" i="9"/>
  <c r="N120" i="12" s="1"/>
  <c r="GV123" i="9"/>
  <c r="N121" i="12" s="1"/>
  <c r="GV124" i="9"/>
  <c r="N122" i="12" s="1"/>
  <c r="GV125" i="9"/>
  <c r="N123" i="12" s="1"/>
  <c r="GV126" i="9"/>
  <c r="N124" i="12" s="1"/>
  <c r="GV127" i="9"/>
  <c r="N125" i="12" s="1"/>
  <c r="GV128" i="9"/>
  <c r="N126" i="12" s="1"/>
  <c r="GV129" i="9"/>
  <c r="N127" i="12" s="1"/>
  <c r="GV130" i="9"/>
  <c r="N128" i="12" s="1"/>
  <c r="GV131" i="9"/>
  <c r="N129" i="12" s="1"/>
  <c r="GV132" i="9"/>
  <c r="N130" i="12" s="1"/>
  <c r="GV133" i="9"/>
  <c r="N131" i="12" s="1"/>
  <c r="GV134" i="9"/>
  <c r="N132" i="12" s="1"/>
  <c r="GV135" i="9"/>
  <c r="N133" i="12" s="1"/>
  <c r="GV136" i="9"/>
  <c r="N134" i="12" s="1"/>
  <c r="GV137" i="9"/>
  <c r="N135" i="12" s="1"/>
  <c r="GV138" i="9"/>
  <c r="N136" i="12" s="1"/>
  <c r="GV139" i="9"/>
  <c r="N137" i="12" s="1"/>
  <c r="GV140" i="9"/>
  <c r="N138" i="12" s="1"/>
  <c r="GV141" i="9"/>
  <c r="N139" i="12" s="1"/>
  <c r="GV142" i="9"/>
  <c r="N140" i="12" s="1"/>
  <c r="GV143" i="9"/>
  <c r="N141" i="12" s="1"/>
  <c r="GV144" i="9"/>
  <c r="N142" i="12" s="1"/>
  <c r="GV145" i="9"/>
  <c r="N143" i="12" s="1"/>
  <c r="GV146" i="9"/>
  <c r="N144" i="12" s="1"/>
  <c r="GV147" i="9"/>
  <c r="N145" i="12" s="1"/>
  <c r="GV148" i="9"/>
  <c r="N146" i="12" s="1"/>
  <c r="GV149" i="9"/>
  <c r="N147" i="12" s="1"/>
  <c r="GV150" i="9"/>
  <c r="N148" i="12" s="1"/>
  <c r="GV151" i="9"/>
  <c r="N149" i="12" s="1"/>
  <c r="GV152" i="9"/>
  <c r="N150" i="12" s="1"/>
  <c r="GV153" i="9"/>
  <c r="N151" i="12" s="1"/>
  <c r="GV154" i="9"/>
  <c r="N152" i="12" s="1"/>
  <c r="GV155" i="9"/>
  <c r="N153" i="12" s="1"/>
  <c r="GV156" i="9"/>
  <c r="N154" i="12" s="1"/>
  <c r="GV157" i="9"/>
  <c r="N155" i="12" s="1"/>
  <c r="GV158" i="9"/>
  <c r="N156" i="12" s="1"/>
  <c r="GV159" i="9"/>
  <c r="N157" i="12" s="1"/>
  <c r="GV160" i="9"/>
  <c r="N158" i="12" s="1"/>
  <c r="GV161" i="9"/>
  <c r="N159" i="12" s="1"/>
  <c r="GV162" i="9"/>
  <c r="N160" i="12" s="1"/>
  <c r="GV163" i="9"/>
  <c r="N161" i="12" s="1"/>
  <c r="GV164" i="9"/>
  <c r="N162" i="12" s="1"/>
  <c r="GV165" i="9"/>
  <c r="N163" i="12" s="1"/>
  <c r="GV166" i="9"/>
  <c r="N164" i="12" s="1"/>
  <c r="GV167" i="9"/>
  <c r="N165" i="12" s="1"/>
  <c r="GV168" i="9"/>
  <c r="N166" i="12" s="1"/>
  <c r="GV169" i="9"/>
  <c r="N167" i="12" s="1"/>
  <c r="GV170" i="9"/>
  <c r="N168" i="12" s="1"/>
  <c r="GV171" i="9"/>
  <c r="N169" i="12" s="1"/>
  <c r="GV172" i="9"/>
  <c r="N170" i="12" s="1"/>
  <c r="GV173" i="9"/>
  <c r="N171" i="12" s="1"/>
  <c r="GV174" i="9"/>
  <c r="N172" i="12" s="1"/>
  <c r="GV175" i="9"/>
  <c r="N173" i="12" s="1"/>
  <c r="GV176" i="9"/>
  <c r="N174" i="12" s="1"/>
  <c r="GV177" i="9"/>
  <c r="N175" i="12" s="1"/>
  <c r="GV178" i="9"/>
  <c r="N176" i="12" s="1"/>
  <c r="GV179" i="9"/>
  <c r="N177" i="12" s="1"/>
  <c r="GV180" i="9"/>
  <c r="N178" i="12" s="1"/>
  <c r="GV181" i="9"/>
  <c r="N179" i="12" s="1"/>
  <c r="GV182" i="9"/>
  <c r="N180" i="12" s="1"/>
  <c r="GV183" i="9"/>
  <c r="N181" i="12" s="1"/>
  <c r="GV184" i="9"/>
  <c r="N182" i="12" s="1"/>
  <c r="GV185" i="9"/>
  <c r="N183" i="12" s="1"/>
  <c r="GV186" i="9"/>
  <c r="N184" i="12" s="1"/>
  <c r="GV187" i="9"/>
  <c r="N185" i="12" s="1"/>
  <c r="GV188" i="9"/>
  <c r="N186" i="12" s="1"/>
  <c r="GV189" i="9"/>
  <c r="N187" i="12" s="1"/>
  <c r="GV190" i="9"/>
  <c r="N188" i="12" s="1"/>
  <c r="GV191" i="9"/>
  <c r="N189" i="12" s="1"/>
  <c r="GV192" i="9"/>
  <c r="N190" i="12" s="1"/>
  <c r="GV193" i="9"/>
  <c r="N191" i="12" s="1"/>
  <c r="GV194" i="9"/>
  <c r="N192" i="12" s="1"/>
  <c r="GV195" i="9"/>
  <c r="N193" i="12" s="1"/>
  <c r="GV196" i="9"/>
  <c r="N194" i="12" s="1"/>
  <c r="GV197" i="9"/>
  <c r="N195" i="12" s="1"/>
  <c r="GV198" i="9"/>
  <c r="N196" i="12" s="1"/>
  <c r="GV199" i="9"/>
  <c r="N197" i="12" s="1"/>
  <c r="GV200" i="9"/>
  <c r="N198" i="12" s="1"/>
  <c r="GV201" i="9"/>
  <c r="N199" i="12" s="1"/>
  <c r="GV202" i="9"/>
  <c r="N200" i="12" s="1"/>
  <c r="GV203" i="9"/>
  <c r="N201" i="12" s="1"/>
  <c r="GV204" i="9"/>
  <c r="N202" i="12" s="1"/>
  <c r="GV205" i="9"/>
  <c r="N203" i="12" s="1"/>
  <c r="GV206" i="9"/>
  <c r="N204" i="12" s="1"/>
  <c r="GU11" i="9"/>
  <c r="M9" i="12" s="1"/>
  <c r="GU12" i="9"/>
  <c r="M10" i="12" s="1"/>
  <c r="GU13" i="9"/>
  <c r="M11" i="12" s="1"/>
  <c r="GU14" i="9"/>
  <c r="M12" i="12" s="1"/>
  <c r="GU15" i="9"/>
  <c r="M13" i="12" s="1"/>
  <c r="GU19" i="9"/>
  <c r="M17" i="12" s="1"/>
  <c r="GU20" i="9"/>
  <c r="M18" i="12" s="1"/>
  <c r="GU21" i="9"/>
  <c r="M19" i="12" s="1"/>
  <c r="GU22" i="9"/>
  <c r="M20" i="12" s="1"/>
  <c r="GU23" i="9"/>
  <c r="M21" i="12" s="1"/>
  <c r="GU24" i="9"/>
  <c r="M22" i="12" s="1"/>
  <c r="GU25" i="9"/>
  <c r="M23" i="12" s="1"/>
  <c r="GU26" i="9"/>
  <c r="M24" i="12" s="1"/>
  <c r="GU27" i="9"/>
  <c r="M25" i="12" s="1"/>
  <c r="GU28" i="9"/>
  <c r="M26" i="12" s="1"/>
  <c r="GU29" i="9"/>
  <c r="M27" i="12" s="1"/>
  <c r="GU31" i="9"/>
  <c r="M29" i="12" s="1"/>
  <c r="GU32" i="9"/>
  <c r="M30" i="12" s="1"/>
  <c r="GU33" i="9"/>
  <c r="M31" i="12" s="1"/>
  <c r="GU35" i="9"/>
  <c r="M33" i="12" s="1"/>
  <c r="GU38" i="9"/>
  <c r="M36" i="12" s="1"/>
  <c r="GU39" i="9"/>
  <c r="M37" i="12" s="1"/>
  <c r="GU40" i="9"/>
  <c r="M38" i="12" s="1"/>
  <c r="GU41" i="9"/>
  <c r="M39" i="12" s="1"/>
  <c r="GU42" i="9"/>
  <c r="M40" i="12" s="1"/>
  <c r="GU43" i="9"/>
  <c r="M41" i="12" s="1"/>
  <c r="GU44" i="9"/>
  <c r="M42" i="12" s="1"/>
  <c r="GU45" i="9"/>
  <c r="M43" i="12" s="1"/>
  <c r="GU46" i="9"/>
  <c r="M44" i="12" s="1"/>
  <c r="GU47" i="9"/>
  <c r="M45" i="12" s="1"/>
  <c r="GU48" i="9"/>
  <c r="M46" i="12" s="1"/>
  <c r="GU49" i="9"/>
  <c r="M47" i="12" s="1"/>
  <c r="GU50" i="9"/>
  <c r="M48" i="12" s="1"/>
  <c r="GU51" i="9"/>
  <c r="M49" i="12" s="1"/>
  <c r="GU52" i="9"/>
  <c r="M50" i="12" s="1"/>
  <c r="GU53" i="9"/>
  <c r="M51" i="12" s="1"/>
  <c r="GU54" i="9"/>
  <c r="M52" i="12" s="1"/>
  <c r="GU55" i="9"/>
  <c r="M53" i="12" s="1"/>
  <c r="GU56" i="9"/>
  <c r="M54" i="12" s="1"/>
  <c r="GU57" i="9"/>
  <c r="M55" i="12" s="1"/>
  <c r="GU58" i="9"/>
  <c r="M56" i="12" s="1"/>
  <c r="GU59" i="9"/>
  <c r="M57" i="12" s="1"/>
  <c r="GU60" i="9"/>
  <c r="M58" i="12" s="1"/>
  <c r="GU61" i="9"/>
  <c r="M59" i="12" s="1"/>
  <c r="GU62" i="9"/>
  <c r="M60" i="12" s="1"/>
  <c r="GU63" i="9"/>
  <c r="M61" i="12" s="1"/>
  <c r="GU64" i="9"/>
  <c r="M62" i="12" s="1"/>
  <c r="GU65" i="9"/>
  <c r="M63" i="12" s="1"/>
  <c r="GU66" i="9"/>
  <c r="M64" i="12" s="1"/>
  <c r="GU67" i="9"/>
  <c r="M65" i="12" s="1"/>
  <c r="GU68" i="9"/>
  <c r="M66" i="12" s="1"/>
  <c r="GU69" i="9"/>
  <c r="M67" i="12" s="1"/>
  <c r="GU70" i="9"/>
  <c r="M68" i="12" s="1"/>
  <c r="GU71" i="9"/>
  <c r="M69" i="12" s="1"/>
  <c r="GU72" i="9"/>
  <c r="M70" i="12" s="1"/>
  <c r="GU73" i="9"/>
  <c r="M71" i="12" s="1"/>
  <c r="GU74" i="9"/>
  <c r="M72" i="12" s="1"/>
  <c r="GU75" i="9"/>
  <c r="M73" i="12" s="1"/>
  <c r="GU76" i="9"/>
  <c r="M74" i="12" s="1"/>
  <c r="GU77" i="9"/>
  <c r="M75" i="12" s="1"/>
  <c r="GU78" i="9"/>
  <c r="M76" i="12" s="1"/>
  <c r="GU79" i="9"/>
  <c r="M77" i="12" s="1"/>
  <c r="GU80" i="9"/>
  <c r="M78" i="12" s="1"/>
  <c r="GU81" i="9"/>
  <c r="M79" i="12" s="1"/>
  <c r="GU82" i="9"/>
  <c r="M80" i="12" s="1"/>
  <c r="GU83" i="9"/>
  <c r="M81" i="12" s="1"/>
  <c r="GU84" i="9"/>
  <c r="M82" i="12" s="1"/>
  <c r="GU85" i="9"/>
  <c r="M83" i="12" s="1"/>
  <c r="GU86" i="9"/>
  <c r="M84" i="12" s="1"/>
  <c r="GU87" i="9"/>
  <c r="M85" i="12" s="1"/>
  <c r="GU88" i="9"/>
  <c r="M86" i="12" s="1"/>
  <c r="GU89" i="9"/>
  <c r="M87" i="12" s="1"/>
  <c r="GU90" i="9"/>
  <c r="M88" i="12" s="1"/>
  <c r="GU91" i="9"/>
  <c r="M89" i="12" s="1"/>
  <c r="GU92" i="9"/>
  <c r="M90" i="12" s="1"/>
  <c r="GU93" i="9"/>
  <c r="M91" i="12" s="1"/>
  <c r="GU94" i="9"/>
  <c r="M92" i="12" s="1"/>
  <c r="GU95" i="9"/>
  <c r="M93" i="12" s="1"/>
  <c r="GU96" i="9"/>
  <c r="M94" i="12" s="1"/>
  <c r="GU97" i="9"/>
  <c r="M95" i="12" s="1"/>
  <c r="GU98" i="9"/>
  <c r="M96" i="12" s="1"/>
  <c r="GU99" i="9"/>
  <c r="M97" i="12" s="1"/>
  <c r="GU100" i="9"/>
  <c r="M98" i="12" s="1"/>
  <c r="GU101" i="9"/>
  <c r="M99" i="12" s="1"/>
  <c r="GU102" i="9"/>
  <c r="M100" i="12" s="1"/>
  <c r="GU103" i="9"/>
  <c r="M101" i="12" s="1"/>
  <c r="GU104" i="9"/>
  <c r="M102" i="12" s="1"/>
  <c r="GU105" i="9"/>
  <c r="M103" i="12" s="1"/>
  <c r="GU106" i="9"/>
  <c r="M104" i="12" s="1"/>
  <c r="GU107" i="9"/>
  <c r="M105" i="12" s="1"/>
  <c r="GU108" i="9"/>
  <c r="M106" i="12" s="1"/>
  <c r="GU109" i="9"/>
  <c r="M107" i="12" s="1"/>
  <c r="GU110" i="9"/>
  <c r="M108" i="12" s="1"/>
  <c r="GU111" i="9"/>
  <c r="M109" i="12" s="1"/>
  <c r="GU112" i="9"/>
  <c r="M110" i="12" s="1"/>
  <c r="GU113" i="9"/>
  <c r="M111" i="12" s="1"/>
  <c r="GU114" i="9"/>
  <c r="M112" i="12" s="1"/>
  <c r="GU115" i="9"/>
  <c r="M113" i="12" s="1"/>
  <c r="GU116" i="9"/>
  <c r="M114" i="12" s="1"/>
  <c r="GU117" i="9"/>
  <c r="M115" i="12" s="1"/>
  <c r="GU118" i="9"/>
  <c r="M116" i="12" s="1"/>
  <c r="GU119" i="9"/>
  <c r="M117" i="12" s="1"/>
  <c r="GU120" i="9"/>
  <c r="M118" i="12" s="1"/>
  <c r="GU121" i="9"/>
  <c r="M119" i="12" s="1"/>
  <c r="GU122" i="9"/>
  <c r="M120" i="12" s="1"/>
  <c r="GU123" i="9"/>
  <c r="M121" i="12" s="1"/>
  <c r="GU124" i="9"/>
  <c r="M122" i="12" s="1"/>
  <c r="GU125" i="9"/>
  <c r="M123" i="12" s="1"/>
  <c r="GU126" i="9"/>
  <c r="M124" i="12" s="1"/>
  <c r="GU127" i="9"/>
  <c r="M125" i="12" s="1"/>
  <c r="GU128" i="9"/>
  <c r="M126" i="12" s="1"/>
  <c r="GU129" i="9"/>
  <c r="M127" i="12" s="1"/>
  <c r="GU130" i="9"/>
  <c r="M128" i="12" s="1"/>
  <c r="GU131" i="9"/>
  <c r="M129" i="12" s="1"/>
  <c r="GU132" i="9"/>
  <c r="M130" i="12" s="1"/>
  <c r="GU133" i="9"/>
  <c r="M131" i="12" s="1"/>
  <c r="GU134" i="9"/>
  <c r="M132" i="12" s="1"/>
  <c r="GU135" i="9"/>
  <c r="M133" i="12" s="1"/>
  <c r="GU136" i="9"/>
  <c r="M134" i="12" s="1"/>
  <c r="GU137" i="9"/>
  <c r="M135" i="12" s="1"/>
  <c r="GU138" i="9"/>
  <c r="M136" i="12" s="1"/>
  <c r="GU139" i="9"/>
  <c r="M137" i="12" s="1"/>
  <c r="GU140" i="9"/>
  <c r="M138" i="12" s="1"/>
  <c r="GU141" i="9"/>
  <c r="M139" i="12" s="1"/>
  <c r="GU142" i="9"/>
  <c r="M140" i="12" s="1"/>
  <c r="GU143" i="9"/>
  <c r="M141" i="12" s="1"/>
  <c r="GU144" i="9"/>
  <c r="M142" i="12" s="1"/>
  <c r="GU145" i="9"/>
  <c r="M143" i="12" s="1"/>
  <c r="GU146" i="9"/>
  <c r="M144" i="12" s="1"/>
  <c r="GU147" i="9"/>
  <c r="M145" i="12" s="1"/>
  <c r="GU148" i="9"/>
  <c r="M146" i="12" s="1"/>
  <c r="GU149" i="9"/>
  <c r="M147" i="12" s="1"/>
  <c r="GU150" i="9"/>
  <c r="M148" i="12" s="1"/>
  <c r="GU151" i="9"/>
  <c r="M149" i="12" s="1"/>
  <c r="GU152" i="9"/>
  <c r="M150" i="12" s="1"/>
  <c r="GU153" i="9"/>
  <c r="M151" i="12" s="1"/>
  <c r="GU154" i="9"/>
  <c r="M152" i="12" s="1"/>
  <c r="GU155" i="9"/>
  <c r="M153" i="12" s="1"/>
  <c r="GU156" i="9"/>
  <c r="M154" i="12" s="1"/>
  <c r="GU157" i="9"/>
  <c r="M155" i="12" s="1"/>
  <c r="GU158" i="9"/>
  <c r="M156" i="12" s="1"/>
  <c r="GU159" i="9"/>
  <c r="M157" i="12" s="1"/>
  <c r="GU160" i="9"/>
  <c r="M158" i="12" s="1"/>
  <c r="GU161" i="9"/>
  <c r="M159" i="12" s="1"/>
  <c r="GU162" i="9"/>
  <c r="M160" i="12" s="1"/>
  <c r="GU163" i="9"/>
  <c r="M161" i="12" s="1"/>
  <c r="GU164" i="9"/>
  <c r="M162" i="12" s="1"/>
  <c r="GU165" i="9"/>
  <c r="M163" i="12" s="1"/>
  <c r="GU166" i="9"/>
  <c r="M164" i="12" s="1"/>
  <c r="GU167" i="9"/>
  <c r="M165" i="12" s="1"/>
  <c r="GU168" i="9"/>
  <c r="M166" i="12" s="1"/>
  <c r="GU169" i="9"/>
  <c r="M167" i="12" s="1"/>
  <c r="GU170" i="9"/>
  <c r="M168" i="12" s="1"/>
  <c r="GU171" i="9"/>
  <c r="M169" i="12" s="1"/>
  <c r="GU172" i="9"/>
  <c r="M170" i="12" s="1"/>
  <c r="GU173" i="9"/>
  <c r="M171" i="12" s="1"/>
  <c r="GU174" i="9"/>
  <c r="M172" i="12" s="1"/>
  <c r="GU175" i="9"/>
  <c r="M173" i="12" s="1"/>
  <c r="GU176" i="9"/>
  <c r="M174" i="12" s="1"/>
  <c r="GU177" i="9"/>
  <c r="M175" i="12" s="1"/>
  <c r="GU178" i="9"/>
  <c r="M176" i="12" s="1"/>
  <c r="GU179" i="9"/>
  <c r="M177" i="12" s="1"/>
  <c r="GU180" i="9"/>
  <c r="M178" i="12" s="1"/>
  <c r="GU181" i="9"/>
  <c r="M179" i="12" s="1"/>
  <c r="GU182" i="9"/>
  <c r="M180" i="12" s="1"/>
  <c r="GU183" i="9"/>
  <c r="M181" i="12" s="1"/>
  <c r="GU184" i="9"/>
  <c r="M182" i="12" s="1"/>
  <c r="GU185" i="9"/>
  <c r="M183" i="12" s="1"/>
  <c r="GU186" i="9"/>
  <c r="M184" i="12" s="1"/>
  <c r="GU187" i="9"/>
  <c r="M185" i="12" s="1"/>
  <c r="GU188" i="9"/>
  <c r="M186" i="12" s="1"/>
  <c r="GU189" i="9"/>
  <c r="M187" i="12" s="1"/>
  <c r="GU190" i="9"/>
  <c r="M188" i="12" s="1"/>
  <c r="GU191" i="9"/>
  <c r="M189" i="12" s="1"/>
  <c r="GU192" i="9"/>
  <c r="M190" i="12" s="1"/>
  <c r="GU193" i="9"/>
  <c r="M191" i="12" s="1"/>
  <c r="GU194" i="9"/>
  <c r="M192" i="12" s="1"/>
  <c r="GU195" i="9"/>
  <c r="M193" i="12" s="1"/>
  <c r="GU196" i="9"/>
  <c r="M194" i="12" s="1"/>
  <c r="GU197" i="9"/>
  <c r="M195" i="12" s="1"/>
  <c r="GU198" i="9"/>
  <c r="M196" i="12" s="1"/>
  <c r="GU199" i="9"/>
  <c r="M197" i="12" s="1"/>
  <c r="GU200" i="9"/>
  <c r="M198" i="12" s="1"/>
  <c r="GU201" i="9"/>
  <c r="M199" i="12" s="1"/>
  <c r="GU202" i="9"/>
  <c r="M200" i="12" s="1"/>
  <c r="GU203" i="9"/>
  <c r="M201" i="12" s="1"/>
  <c r="GU204" i="9"/>
  <c r="M202" i="12" s="1"/>
  <c r="GU205" i="9"/>
  <c r="M203" i="12" s="1"/>
  <c r="GU206" i="9"/>
  <c r="M204" i="12" s="1"/>
  <c r="GY7" i="9"/>
  <c r="GX7"/>
  <c r="GW7"/>
  <c r="O5" i="12" s="1"/>
  <c r="GV7" i="9"/>
  <c r="N5" i="12" s="1"/>
  <c r="HT9" i="9"/>
  <c r="K6" i="11" s="1"/>
  <c r="HT10" i="9"/>
  <c r="K7" i="11" s="1"/>
  <c r="HT11" i="9"/>
  <c r="K8" i="11" s="1"/>
  <c r="HT12" i="9"/>
  <c r="K9" i="11" s="1"/>
  <c r="HT13" i="9"/>
  <c r="K10" i="11" s="1"/>
  <c r="HT14" i="9"/>
  <c r="K11" i="11" s="1"/>
  <c r="HT15" i="9"/>
  <c r="K12" i="11" s="1"/>
  <c r="HT16" i="9"/>
  <c r="K13" i="11" s="1"/>
  <c r="HT17" i="9"/>
  <c r="K14" i="11" s="1"/>
  <c r="HT18" i="9"/>
  <c r="K15" i="11" s="1"/>
  <c r="HT19" i="9"/>
  <c r="K16" i="11" s="1"/>
  <c r="HT20" i="9"/>
  <c r="K17" i="11" s="1"/>
  <c r="HT21" i="9"/>
  <c r="K18" i="11" s="1"/>
  <c r="HT22" i="9"/>
  <c r="K19" i="11" s="1"/>
  <c r="HT23" i="9"/>
  <c r="K20" i="11" s="1"/>
  <c r="HT24" i="9"/>
  <c r="K21" i="11" s="1"/>
  <c r="HT25" i="9"/>
  <c r="K22" i="11" s="1"/>
  <c r="HT26" i="9"/>
  <c r="K23" i="11" s="1"/>
  <c r="HT27" i="9"/>
  <c r="K24" i="11" s="1"/>
  <c r="HT28" i="9"/>
  <c r="K25" i="11" s="1"/>
  <c r="HT29" i="9"/>
  <c r="K26" i="11" s="1"/>
  <c r="HT30" i="9"/>
  <c r="K27" i="11" s="1"/>
  <c r="HT31" i="9"/>
  <c r="K28" i="11" s="1"/>
  <c r="HT32" i="9"/>
  <c r="K29" i="11" s="1"/>
  <c r="HT33" i="9"/>
  <c r="K30" i="11" s="1"/>
  <c r="HT34" i="9"/>
  <c r="K31" i="11" s="1"/>
  <c r="HT35" i="9"/>
  <c r="K32" i="11" s="1"/>
  <c r="HT36" i="9"/>
  <c r="K33" i="11" s="1"/>
  <c r="HT37" i="9"/>
  <c r="K34" i="11" s="1"/>
  <c r="HT8" i="9"/>
  <c r="AL3" i="8"/>
  <c r="AG3"/>
  <c r="AB3"/>
  <c r="V3"/>
  <c r="Q3"/>
  <c r="AB277" i="19" l="1"/>
  <c r="K5" i="11"/>
  <c r="Q5" i="12"/>
  <c r="P5"/>
  <c r="FU3" i="9"/>
  <c r="FB3"/>
  <c r="GC6"/>
  <c r="GF6" s="1"/>
  <c r="GJ6"/>
  <c r="FU7"/>
  <c r="GB6"/>
  <c r="FB6"/>
  <c r="FH6" s="1"/>
  <c r="FL6" s="1"/>
  <c r="FP6" s="1"/>
  <c r="FT6"/>
  <c r="EL6"/>
  <c r="EO6" s="1"/>
  <c r="ES6" s="1"/>
  <c r="EW6" s="1"/>
  <c r="FA7" s="1"/>
  <c r="FA6"/>
  <c r="EK6"/>
  <c r="ED6"/>
  <c r="DB6"/>
  <c r="DD6" s="1"/>
  <c r="CX6"/>
  <c r="CT6"/>
  <c r="CW6" s="1"/>
  <c r="DZ6"/>
  <c r="EC6" s="1"/>
  <c r="EE6" s="1"/>
  <c r="EG6" s="1"/>
  <c r="B19" i="18"/>
  <c r="B18"/>
  <c r="B17"/>
  <c r="AQ3" i="9"/>
  <c r="BC208" s="1"/>
  <c r="B9" i="6" s="1"/>
  <c r="AN3" i="9"/>
  <c r="AR208" s="1"/>
  <c r="B8" i="6" s="1"/>
  <c r="AM3" i="9"/>
  <c r="AM208" s="1"/>
  <c r="BX2" i="8"/>
  <c r="BD2"/>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FJ208" i="9" l="1"/>
  <c r="I173" i="19" s="1"/>
  <c r="AJ18" i="20"/>
  <c r="FB208" i="9"/>
  <c r="AJ17" i="20"/>
  <c r="I293" i="19"/>
  <c r="Y233"/>
  <c r="I263"/>
  <c r="I203"/>
  <c r="I143"/>
  <c r="O25" i="4"/>
  <c r="Y263" i="19"/>
  <c r="Y203"/>
  <c r="Y83"/>
  <c r="Y53"/>
  <c r="I53"/>
  <c r="R293"/>
  <c r="R233"/>
  <c r="R173"/>
  <c r="R113"/>
  <c r="R53"/>
  <c r="B23"/>
  <c r="K25" i="18"/>
  <c r="B293" i="19"/>
  <c r="B233"/>
  <c r="B173"/>
  <c r="B113"/>
  <c r="B53"/>
  <c r="R263"/>
  <c r="R203"/>
  <c r="R143"/>
  <c r="R83"/>
  <c r="R23"/>
  <c r="K25" i="4"/>
  <c r="B263" i="19"/>
  <c r="B203"/>
  <c r="B143"/>
  <c r="B83"/>
  <c r="AR209" i="9"/>
  <c r="A8" i="6" s="1"/>
  <c r="AM209" i="9"/>
  <c r="BC209"/>
  <c r="A9" i="6" s="1"/>
  <c r="GC3" i="9"/>
  <c r="EL3"/>
  <c r="GI20"/>
  <c r="GI16"/>
  <c r="GI12"/>
  <c r="GI8"/>
  <c r="GI7"/>
  <c r="GJ7" s="1"/>
  <c r="GI21"/>
  <c r="GI17"/>
  <c r="GI13"/>
  <c r="GI9"/>
  <c r="GJ9" s="1"/>
  <c r="GG9" s="1"/>
  <c r="H54" i="19" s="1"/>
  <c r="GI18" i="9"/>
  <c r="GJ18" s="1"/>
  <c r="GG18" s="1"/>
  <c r="X174" i="19" s="1"/>
  <c r="GI14" i="9"/>
  <c r="GI10"/>
  <c r="GI19"/>
  <c r="GJ19" s="1"/>
  <c r="GG19" s="1"/>
  <c r="H204" i="19" s="1"/>
  <c r="GI15" i="9"/>
  <c r="GI11"/>
  <c r="GJ16"/>
  <c r="GG16" s="1"/>
  <c r="X144" i="19" s="1"/>
  <c r="GJ14" i="9"/>
  <c r="GG14" s="1"/>
  <c r="X114" i="19" s="1"/>
  <c r="GJ21" i="9"/>
  <c r="GG21" s="1"/>
  <c r="GJ20"/>
  <c r="GG20" s="1"/>
  <c r="X204" i="19" s="1"/>
  <c r="GJ13" i="9"/>
  <c r="GJ10"/>
  <c r="GG10" s="1"/>
  <c r="X54" i="19" s="1"/>
  <c r="GJ11" i="9"/>
  <c r="GG11" s="1"/>
  <c r="H84" i="19" s="1"/>
  <c r="GJ12" i="9"/>
  <c r="GG12" s="1"/>
  <c r="X84" i="19" s="1"/>
  <c r="GJ17" i="9"/>
  <c r="GG17" s="1"/>
  <c r="H174" i="19" s="1"/>
  <c r="GJ15" i="9"/>
  <c r="GG15" s="1"/>
  <c r="H144" i="19" s="1"/>
  <c r="GJ8" i="9"/>
  <c r="GG8" s="1"/>
  <c r="X24" i="19" s="1"/>
  <c r="FX7" i="9"/>
  <c r="FZ7"/>
  <c r="GA7"/>
  <c r="FT17"/>
  <c r="FQ17" s="1"/>
  <c r="H173" i="19" s="1"/>
  <c r="FT13" i="9"/>
  <c r="FT16"/>
  <c r="FQ16" s="1"/>
  <c r="X143" i="19" s="1"/>
  <c r="FT21" i="9"/>
  <c r="FQ21" s="1"/>
  <c r="FT8"/>
  <c r="FQ8" s="1"/>
  <c r="X23" i="19" s="1"/>
  <c r="FT14" i="9"/>
  <c r="FQ14" s="1"/>
  <c r="X113" i="19" s="1"/>
  <c r="FT12" i="9"/>
  <c r="FQ12" s="1"/>
  <c r="X83" i="19" s="1"/>
  <c r="FT18" i="9"/>
  <c r="FQ18" s="1"/>
  <c r="X173" i="19" s="1"/>
  <c r="FT9" i="9"/>
  <c r="FQ9" s="1"/>
  <c r="H53" i="19" s="1"/>
  <c r="FT10" i="9"/>
  <c r="FQ10" s="1"/>
  <c r="X53" i="19" s="1"/>
  <c r="FT11" i="9"/>
  <c r="FQ11" s="1"/>
  <c r="H83" i="19" s="1"/>
  <c r="FT15" i="9"/>
  <c r="FQ15" s="1"/>
  <c r="H143" i="19" s="1"/>
  <c r="FT7" i="9"/>
  <c r="FT20"/>
  <c r="FQ20" s="1"/>
  <c r="X203" i="19" s="1"/>
  <c r="FT19" i="9"/>
  <c r="FQ19" s="1"/>
  <c r="H203" i="19" s="1"/>
  <c r="FA15" i="9"/>
  <c r="EX15" s="1"/>
  <c r="P142" i="19" s="1"/>
  <c r="FA21" i="9"/>
  <c r="EX21" s="1"/>
  <c r="FA11"/>
  <c r="EX11" s="1"/>
  <c r="P82" i="19" s="1"/>
  <c r="FA16" i="9"/>
  <c r="EX16" s="1"/>
  <c r="AF142" i="19" s="1"/>
  <c r="FA9" i="9"/>
  <c r="EX9" s="1"/>
  <c r="P52" i="19" s="1"/>
  <c r="FA20" i="9"/>
  <c r="EX20" s="1"/>
  <c r="AF202" i="19" s="1"/>
  <c r="FA8" i="9"/>
  <c r="EX8" s="1"/>
  <c r="AF22" i="19" s="1"/>
  <c r="FA17" i="9"/>
  <c r="EX17" s="1"/>
  <c r="P172" i="19" s="1"/>
  <c r="FA13" i="9"/>
  <c r="FA12"/>
  <c r="EX12" s="1"/>
  <c r="AF82" i="19" s="1"/>
  <c r="FA18" i="9"/>
  <c r="EX18" s="1"/>
  <c r="AF172" i="19" s="1"/>
  <c r="FA14" i="9"/>
  <c r="EX14" s="1"/>
  <c r="AF112" i="19" s="1"/>
  <c r="FA10" i="9"/>
  <c r="EX10" s="1"/>
  <c r="AF52" i="19" s="1"/>
  <c r="FA19" i="9"/>
  <c r="EX19" s="1"/>
  <c r="P202" i="19" s="1"/>
  <c r="EK16" i="9"/>
  <c r="EH16" s="1"/>
  <c r="X142" i="19" s="1"/>
  <c r="EK9" i="9"/>
  <c r="EH9" s="1"/>
  <c r="H52" i="19" s="1"/>
  <c r="EK19" i="9"/>
  <c r="EH19" s="1"/>
  <c r="H202" i="19" s="1"/>
  <c r="EK18" i="9"/>
  <c r="EH18" s="1"/>
  <c r="X172" i="19" s="1"/>
  <c r="EK14" i="9"/>
  <c r="EH14" s="1"/>
  <c r="X112" i="19" s="1"/>
  <c r="EK10" i="9"/>
  <c r="EH10" s="1"/>
  <c r="X52" i="19" s="1"/>
  <c r="EK11" i="9"/>
  <c r="EH11" s="1"/>
  <c r="H82" i="19" s="1"/>
  <c r="EK17" i="9"/>
  <c r="EH17" s="1"/>
  <c r="H172" i="19" s="1"/>
  <c r="EK15" i="9"/>
  <c r="EH15" s="1"/>
  <c r="H142" i="19" s="1"/>
  <c r="EK20" i="9"/>
  <c r="EH20" s="1"/>
  <c r="X202" i="19" s="1"/>
  <c r="EK8" i="9"/>
  <c r="EH8" s="1"/>
  <c r="X22" i="19" s="1"/>
  <c r="EK13" i="9"/>
  <c r="EK21"/>
  <c r="EH21" s="1"/>
  <c r="EK7"/>
  <c r="EK12"/>
  <c r="EH12" s="1"/>
  <c r="X82" i="19" s="1"/>
  <c r="DI6" i="9"/>
  <c r="DK6"/>
  <c r="CZ6"/>
  <c r="DA6" s="1"/>
  <c r="DE6" s="1"/>
  <c r="GW5"/>
  <c r="O4" i="12" s="1"/>
  <c r="GV5" i="9"/>
  <c r="N4" i="12" s="1"/>
  <c r="B7" i="6"/>
  <c r="Q4" i="12"/>
  <c r="GX5" i="9"/>
  <c r="P4" i="12" s="1"/>
  <c r="HE4" i="9"/>
  <c r="B18" i="4"/>
  <c r="AF2" i="15"/>
  <c r="HB4" i="9"/>
  <c r="B17" i="4"/>
  <c r="AC2" i="15"/>
  <c r="HH4" i="9"/>
  <c r="IX6" s="1"/>
  <c r="JE6" s="1"/>
  <c r="JL6" s="1"/>
  <c r="B19" i="4"/>
  <c r="AI2" i="15"/>
  <c r="Y173" i="19" l="1"/>
  <c r="I233"/>
  <c r="Y23"/>
  <c r="I113"/>
  <c r="Y143"/>
  <c r="I83"/>
  <c r="I23"/>
  <c r="Y293"/>
  <c r="Y113"/>
  <c r="O25" i="18"/>
  <c r="EL208" i="9"/>
  <c r="AJ16" i="20"/>
  <c r="FU208" i="9"/>
  <c r="AJ19" i="20"/>
  <c r="J6" s="1"/>
  <c r="H232" i="19"/>
  <c r="X232"/>
  <c r="H233"/>
  <c r="X233"/>
  <c r="P232"/>
  <c r="AF232"/>
  <c r="H234"/>
  <c r="X234"/>
  <c r="GG13" i="9"/>
  <c r="S27" i="4"/>
  <c r="S27" i="18"/>
  <c r="EX13" i="9"/>
  <c r="J27" i="18" s="1"/>
  <c r="G27"/>
  <c r="G27" i="4"/>
  <c r="EH13" i="9"/>
  <c r="B27" i="4"/>
  <c r="B27" i="18"/>
  <c r="FQ13" i="9"/>
  <c r="H113" i="19" s="1"/>
  <c r="K27" i="4"/>
  <c r="K27" i="18"/>
  <c r="I262" i="19"/>
  <c r="I202"/>
  <c r="I142"/>
  <c r="I82"/>
  <c r="Y22"/>
  <c r="I22"/>
  <c r="G25" i="4"/>
  <c r="Y262" i="19"/>
  <c r="Y202"/>
  <c r="Y142"/>
  <c r="Y82"/>
  <c r="I292"/>
  <c r="I232"/>
  <c r="I172"/>
  <c r="I112"/>
  <c r="Y52"/>
  <c r="I52"/>
  <c r="G25" i="18"/>
  <c r="Y292" i="19"/>
  <c r="Y232"/>
  <c r="Y172"/>
  <c r="Y112"/>
  <c r="B264"/>
  <c r="B204"/>
  <c r="B144"/>
  <c r="B84"/>
  <c r="S25" i="4"/>
  <c r="R294" i="19"/>
  <c r="R234"/>
  <c r="R174"/>
  <c r="R114"/>
  <c r="R54"/>
  <c r="B294"/>
  <c r="B234"/>
  <c r="B174"/>
  <c r="B114"/>
  <c r="B54"/>
  <c r="S25" i="18"/>
  <c r="B24" i="19"/>
  <c r="R264"/>
  <c r="R204"/>
  <c r="R144"/>
  <c r="R84"/>
  <c r="R24"/>
  <c r="U27" i="4"/>
  <c r="V27" i="18"/>
  <c r="H114" i="19"/>
  <c r="J27" i="4"/>
  <c r="F27"/>
  <c r="F27" i="18"/>
  <c r="H112" i="19"/>
  <c r="N27" i="4"/>
  <c r="GB7" i="9"/>
  <c r="DG6"/>
  <c r="DF6"/>
  <c r="HE5"/>
  <c r="IW6"/>
  <c r="HB5"/>
  <c r="IV6"/>
  <c r="HH5"/>
  <c r="T3" i="12"/>
  <c r="Y6" i="9"/>
  <c r="O5" i="20" l="1"/>
  <c r="P5"/>
  <c r="J5"/>
  <c r="M6"/>
  <c r="K6"/>
  <c r="N5"/>
  <c r="L6"/>
  <c r="N27" i="18"/>
  <c r="P112" i="19"/>
  <c r="DH6" i="9"/>
  <c r="S3" i="12"/>
  <c r="R3"/>
  <c r="AY2" i="8"/>
  <c r="DZ3" i="9" l="1"/>
  <c r="A206" i="8"/>
  <c r="A8"/>
  <c r="A7"/>
  <c r="DZ208" i="9" l="1"/>
  <c r="B292" i="19" s="1"/>
  <c r="AJ15" i="20"/>
  <c r="R292" i="19"/>
  <c r="R232"/>
  <c r="R52"/>
  <c r="G7" i="8"/>
  <c r="B22" i="19" l="1"/>
  <c r="B202"/>
  <c r="R202"/>
  <c r="R172"/>
  <c r="B112"/>
  <c r="B142"/>
  <c r="R82"/>
  <c r="B82"/>
  <c r="R22"/>
  <c r="R112"/>
  <c r="B25" i="18"/>
  <c r="B262" i="19"/>
  <c r="B25" i="4"/>
  <c r="B172" i="19"/>
  <c r="R262"/>
  <c r="B232"/>
  <c r="P17" i="20"/>
  <c r="P33"/>
  <c r="P49"/>
  <c r="P65"/>
  <c r="P81"/>
  <c r="P97"/>
  <c r="P113"/>
  <c r="P129"/>
  <c r="P145"/>
  <c r="P161"/>
  <c r="P177"/>
  <c r="P193"/>
  <c r="N9"/>
  <c r="N25"/>
  <c r="N41"/>
  <c r="N57"/>
  <c r="N73"/>
  <c r="N89"/>
  <c r="N105"/>
  <c r="N121"/>
  <c r="N137"/>
  <c r="N153"/>
  <c r="N169"/>
  <c r="N185"/>
  <c r="N201"/>
  <c r="L16"/>
  <c r="L32"/>
  <c r="L48"/>
  <c r="L64"/>
  <c r="L80"/>
  <c r="L96"/>
  <c r="L112"/>
  <c r="L128"/>
  <c r="L144"/>
  <c r="L160"/>
  <c r="L176"/>
  <c r="L192"/>
  <c r="L8"/>
  <c r="K23"/>
  <c r="K39"/>
  <c r="K55"/>
  <c r="K71"/>
  <c r="K87"/>
  <c r="K103"/>
  <c r="K119"/>
  <c r="K135"/>
  <c r="K151"/>
  <c r="K167"/>
  <c r="K183"/>
  <c r="K199"/>
  <c r="J13"/>
  <c r="J29"/>
  <c r="J45"/>
  <c r="J61"/>
  <c r="J77"/>
  <c r="J93"/>
  <c r="J109"/>
  <c r="J125"/>
  <c r="J141"/>
  <c r="J157"/>
  <c r="J173"/>
  <c r="J189"/>
  <c r="J205"/>
  <c r="P20"/>
  <c r="P36"/>
  <c r="P52"/>
  <c r="P68"/>
  <c r="P84"/>
  <c r="P100"/>
  <c r="P116"/>
  <c r="P132"/>
  <c r="P148"/>
  <c r="P164"/>
  <c r="P180"/>
  <c r="P196"/>
  <c r="N12"/>
  <c r="N28"/>
  <c r="N44"/>
  <c r="N60"/>
  <c r="N76"/>
  <c r="N92"/>
  <c r="N108"/>
  <c r="N124"/>
  <c r="N140"/>
  <c r="N156"/>
  <c r="N172"/>
  <c r="N188"/>
  <c r="N204"/>
  <c r="L19"/>
  <c r="L35"/>
  <c r="L51"/>
  <c r="L67"/>
  <c r="L83"/>
  <c r="L99"/>
  <c r="L115"/>
  <c r="L131"/>
  <c r="L147"/>
  <c r="L163"/>
  <c r="L179"/>
  <c r="L195"/>
  <c r="K10"/>
  <c r="K26"/>
  <c r="K42"/>
  <c r="K58"/>
  <c r="K74"/>
  <c r="K90"/>
  <c r="K106"/>
  <c r="K122"/>
  <c r="K138"/>
  <c r="K154"/>
  <c r="K170"/>
  <c r="K186"/>
  <c r="K202"/>
  <c r="J16"/>
  <c r="J32"/>
  <c r="J48"/>
  <c r="J64"/>
  <c r="J80"/>
  <c r="J96"/>
  <c r="J112"/>
  <c r="J128"/>
  <c r="J144"/>
  <c r="J160"/>
  <c r="J176"/>
  <c r="J192"/>
  <c r="P11"/>
  <c r="P27"/>
  <c r="P43"/>
  <c r="P59"/>
  <c r="P75"/>
  <c r="P91"/>
  <c r="P107"/>
  <c r="P123"/>
  <c r="P139"/>
  <c r="P155"/>
  <c r="P171"/>
  <c r="P187"/>
  <c r="P203"/>
  <c r="N19"/>
  <c r="N35"/>
  <c r="N51"/>
  <c r="N67"/>
  <c r="N83"/>
  <c r="N99"/>
  <c r="N115"/>
  <c r="N131"/>
  <c r="N147"/>
  <c r="N163"/>
  <c r="N179"/>
  <c r="N195"/>
  <c r="L10"/>
  <c r="L26"/>
  <c r="L42"/>
  <c r="L58"/>
  <c r="L74"/>
  <c r="L90"/>
  <c r="L106"/>
  <c r="L122"/>
  <c r="L138"/>
  <c r="L154"/>
  <c r="L170"/>
  <c r="L186"/>
  <c r="L202"/>
  <c r="K17"/>
  <c r="K33"/>
  <c r="K49"/>
  <c r="K65"/>
  <c r="K81"/>
  <c r="K97"/>
  <c r="K113"/>
  <c r="K129"/>
  <c r="K145"/>
  <c r="K161"/>
  <c r="K177"/>
  <c r="K193"/>
  <c r="K7"/>
  <c r="J23"/>
  <c r="J39"/>
  <c r="J55"/>
  <c r="J71"/>
  <c r="J87"/>
  <c r="J103"/>
  <c r="J119"/>
  <c r="J135"/>
  <c r="J151"/>
  <c r="J167"/>
  <c r="J183"/>
  <c r="J199"/>
  <c r="P10"/>
  <c r="P26"/>
  <c r="P42"/>
  <c r="P58"/>
  <c r="P74"/>
  <c r="P90"/>
  <c r="P106"/>
  <c r="P122"/>
  <c r="P138"/>
  <c r="P154"/>
  <c r="P170"/>
  <c r="P186"/>
  <c r="P202"/>
  <c r="N18"/>
  <c r="N34"/>
  <c r="N50"/>
  <c r="N66"/>
  <c r="N82"/>
  <c r="N98"/>
  <c r="N114"/>
  <c r="N130"/>
  <c r="N146"/>
  <c r="N162"/>
  <c r="N178"/>
  <c r="N194"/>
  <c r="L9"/>
  <c r="L25"/>
  <c r="L41"/>
  <c r="L57"/>
  <c r="L73"/>
  <c r="L89"/>
  <c r="L105"/>
  <c r="L121"/>
  <c r="L137"/>
  <c r="L153"/>
  <c r="L169"/>
  <c r="L185"/>
  <c r="L201"/>
  <c r="K16"/>
  <c r="K32"/>
  <c r="K48"/>
  <c r="K64"/>
  <c r="K80"/>
  <c r="K96"/>
  <c r="K112"/>
  <c r="K128"/>
  <c r="K144"/>
  <c r="K160"/>
  <c r="K176"/>
  <c r="K192"/>
  <c r="K8"/>
  <c r="J22"/>
  <c r="J38"/>
  <c r="J54"/>
  <c r="J70"/>
  <c r="J86"/>
  <c r="J102"/>
  <c r="J118"/>
  <c r="J134"/>
  <c r="J150"/>
  <c r="J166"/>
  <c r="J182"/>
  <c r="J198"/>
  <c r="P13"/>
  <c r="P29"/>
  <c r="P45"/>
  <c r="P61"/>
  <c r="P77"/>
  <c r="P93"/>
  <c r="P109"/>
  <c r="P125"/>
  <c r="P141"/>
  <c r="P157"/>
  <c r="P173"/>
  <c r="P189"/>
  <c r="P205"/>
  <c r="N21"/>
  <c r="N37"/>
  <c r="N53"/>
  <c r="N69"/>
  <c r="N85"/>
  <c r="N101"/>
  <c r="N117"/>
  <c r="N133"/>
  <c r="N149"/>
  <c r="N165"/>
  <c r="N181"/>
  <c r="N197"/>
  <c r="L12"/>
  <c r="L28"/>
  <c r="L44"/>
  <c r="L60"/>
  <c r="L76"/>
  <c r="L92"/>
  <c r="L108"/>
  <c r="L124"/>
  <c r="L140"/>
  <c r="L156"/>
  <c r="L172"/>
  <c r="L188"/>
  <c r="L204"/>
  <c r="K19"/>
  <c r="K35"/>
  <c r="K51"/>
  <c r="K67"/>
  <c r="K83"/>
  <c r="K99"/>
  <c r="K115"/>
  <c r="K131"/>
  <c r="K147"/>
  <c r="K163"/>
  <c r="K179"/>
  <c r="K195"/>
  <c r="J9"/>
  <c r="J25"/>
  <c r="J41"/>
  <c r="J57"/>
  <c r="J73"/>
  <c r="J89"/>
  <c r="J105"/>
  <c r="J121"/>
  <c r="J137"/>
  <c r="J153"/>
  <c r="J169"/>
  <c r="J185"/>
  <c r="J201"/>
  <c r="P16"/>
  <c r="P32"/>
  <c r="P48"/>
  <c r="P64"/>
  <c r="P80"/>
  <c r="P96"/>
  <c r="P112"/>
  <c r="P128"/>
  <c r="P144"/>
  <c r="P160"/>
  <c r="P176"/>
  <c r="P192"/>
  <c r="P8"/>
  <c r="N24"/>
  <c r="N40"/>
  <c r="N56"/>
  <c r="N72"/>
  <c r="N88"/>
  <c r="N104"/>
  <c r="N120"/>
  <c r="N136"/>
  <c r="N152"/>
  <c r="N168"/>
  <c r="N184"/>
  <c r="N200"/>
  <c r="L15"/>
  <c r="L31"/>
  <c r="L47"/>
  <c r="L63"/>
  <c r="L79"/>
  <c r="L95"/>
  <c r="L111"/>
  <c r="L127"/>
  <c r="L143"/>
  <c r="L159"/>
  <c r="L175"/>
  <c r="L191"/>
  <c r="L207"/>
  <c r="K22"/>
  <c r="K38"/>
  <c r="K54"/>
  <c r="K70"/>
  <c r="K86"/>
  <c r="K102"/>
  <c r="K118"/>
  <c r="K134"/>
  <c r="K150"/>
  <c r="K166"/>
  <c r="K182"/>
  <c r="K198"/>
  <c r="J12"/>
  <c r="J28"/>
  <c r="J44"/>
  <c r="J60"/>
  <c r="J76"/>
  <c r="J92"/>
  <c r="J108"/>
  <c r="J124"/>
  <c r="J140"/>
  <c r="J156"/>
  <c r="J172"/>
  <c r="J188"/>
  <c r="J204"/>
  <c r="P23"/>
  <c r="P39"/>
  <c r="P55"/>
  <c r="P71"/>
  <c r="P87"/>
  <c r="P103"/>
  <c r="P119"/>
  <c r="P135"/>
  <c r="P151"/>
  <c r="P167"/>
  <c r="P183"/>
  <c r="P199"/>
  <c r="N15"/>
  <c r="N31"/>
  <c r="N47"/>
  <c r="N63"/>
  <c r="N79"/>
  <c r="N95"/>
  <c r="N111"/>
  <c r="N127"/>
  <c r="N143"/>
  <c r="N159"/>
  <c r="N175"/>
  <c r="N191"/>
  <c r="N207"/>
  <c r="L22"/>
  <c r="L38"/>
  <c r="L54"/>
  <c r="L70"/>
  <c r="L86"/>
  <c r="L102"/>
  <c r="L118"/>
  <c r="L134"/>
  <c r="L150"/>
  <c r="L166"/>
  <c r="L182"/>
  <c r="L198"/>
  <c r="K13"/>
  <c r="K29"/>
  <c r="K45"/>
  <c r="K61"/>
  <c r="K77"/>
  <c r="K93"/>
  <c r="K109"/>
  <c r="K125"/>
  <c r="K141"/>
  <c r="K157"/>
  <c r="K173"/>
  <c r="K189"/>
  <c r="K205"/>
  <c r="J19"/>
  <c r="J35"/>
  <c r="J51"/>
  <c r="J67"/>
  <c r="J83"/>
  <c r="J99"/>
  <c r="J115"/>
  <c r="J131"/>
  <c r="J147"/>
  <c r="J163"/>
  <c r="J179"/>
  <c r="J195"/>
  <c r="J8"/>
  <c r="P22"/>
  <c r="P38"/>
  <c r="P54"/>
  <c r="P70"/>
  <c r="P86"/>
  <c r="P102"/>
  <c r="P118"/>
  <c r="P134"/>
  <c r="P150"/>
  <c r="P166"/>
  <c r="P182"/>
  <c r="P198"/>
  <c r="N14"/>
  <c r="N30"/>
  <c r="N46"/>
  <c r="N62"/>
  <c r="N78"/>
  <c r="N94"/>
  <c r="N110"/>
  <c r="N126"/>
  <c r="N142"/>
  <c r="N158"/>
  <c r="N174"/>
  <c r="N190"/>
  <c r="N206"/>
  <c r="L21"/>
  <c r="L37"/>
  <c r="L53"/>
  <c r="L69"/>
  <c r="L85"/>
  <c r="L101"/>
  <c r="L117"/>
  <c r="L133"/>
  <c r="L149"/>
  <c r="L165"/>
  <c r="L181"/>
  <c r="L197"/>
  <c r="K12"/>
  <c r="K28"/>
  <c r="K44"/>
  <c r="K60"/>
  <c r="K76"/>
  <c r="K92"/>
  <c r="K108"/>
  <c r="K124"/>
  <c r="K140"/>
  <c r="K156"/>
  <c r="K172"/>
  <c r="K188"/>
  <c r="K204"/>
  <c r="J18"/>
  <c r="J34"/>
  <c r="J50"/>
  <c r="J66"/>
  <c r="J82"/>
  <c r="J98"/>
  <c r="J114"/>
  <c r="J130"/>
  <c r="J146"/>
  <c r="J162"/>
  <c r="J178"/>
  <c r="J194"/>
  <c r="P9"/>
  <c r="P25"/>
  <c r="P41"/>
  <c r="P57"/>
  <c r="P73"/>
  <c r="P89"/>
  <c r="P105"/>
  <c r="P121"/>
  <c r="P137"/>
  <c r="P153"/>
  <c r="P169"/>
  <c r="P185"/>
  <c r="P201"/>
  <c r="N17"/>
  <c r="N33"/>
  <c r="N49"/>
  <c r="N65"/>
  <c r="N81"/>
  <c r="N97"/>
  <c r="N113"/>
  <c r="N129"/>
  <c r="N145"/>
  <c r="N161"/>
  <c r="N177"/>
  <c r="N193"/>
  <c r="N7"/>
  <c r="L24"/>
  <c r="L40"/>
  <c r="L56"/>
  <c r="L72"/>
  <c r="L88"/>
  <c r="L104"/>
  <c r="L120"/>
  <c r="L136"/>
  <c r="L152"/>
  <c r="L168"/>
  <c r="L184"/>
  <c r="L200"/>
  <c r="K15"/>
  <c r="K31"/>
  <c r="K47"/>
  <c r="K63"/>
  <c r="K79"/>
  <c r="K95"/>
  <c r="K111"/>
  <c r="K127"/>
  <c r="K143"/>
  <c r="K159"/>
  <c r="K175"/>
  <c r="K191"/>
  <c r="K207"/>
  <c r="J21"/>
  <c r="J37"/>
  <c r="J53"/>
  <c r="J69"/>
  <c r="J85"/>
  <c r="J101"/>
  <c r="J117"/>
  <c r="J133"/>
  <c r="J149"/>
  <c r="J165"/>
  <c r="J181"/>
  <c r="J197"/>
  <c r="P12"/>
  <c r="P28"/>
  <c r="P44"/>
  <c r="P60"/>
  <c r="P76"/>
  <c r="P92"/>
  <c r="P108"/>
  <c r="P124"/>
  <c r="P140"/>
  <c r="P156"/>
  <c r="P172"/>
  <c r="P188"/>
  <c r="P204"/>
  <c r="N20"/>
  <c r="N36"/>
  <c r="N52"/>
  <c r="N68"/>
  <c r="N84"/>
  <c r="N100"/>
  <c r="N116"/>
  <c r="N132"/>
  <c r="N148"/>
  <c r="N164"/>
  <c r="N180"/>
  <c r="N196"/>
  <c r="L11"/>
  <c r="L27"/>
  <c r="L43"/>
  <c r="L59"/>
  <c r="L75"/>
  <c r="L91"/>
  <c r="L107"/>
  <c r="L123"/>
  <c r="L139"/>
  <c r="L155"/>
  <c r="L171"/>
  <c r="L187"/>
  <c r="L203"/>
  <c r="K18"/>
  <c r="K34"/>
  <c r="K50"/>
  <c r="K66"/>
  <c r="K82"/>
  <c r="K98"/>
  <c r="K114"/>
  <c r="K130"/>
  <c r="K146"/>
  <c r="K162"/>
  <c r="K178"/>
  <c r="K194"/>
  <c r="J7"/>
  <c r="J24"/>
  <c r="J40"/>
  <c r="J56"/>
  <c r="J72"/>
  <c r="J88"/>
  <c r="J104"/>
  <c r="J120"/>
  <c r="J136"/>
  <c r="J152"/>
  <c r="J168"/>
  <c r="J184"/>
  <c r="J200"/>
  <c r="P19"/>
  <c r="P35"/>
  <c r="P51"/>
  <c r="P67"/>
  <c r="P83"/>
  <c r="P99"/>
  <c r="P115"/>
  <c r="P131"/>
  <c r="P147"/>
  <c r="P163"/>
  <c r="P179"/>
  <c r="P195"/>
  <c r="N11"/>
  <c r="N27"/>
  <c r="N43"/>
  <c r="N59"/>
  <c r="N75"/>
  <c r="N91"/>
  <c r="N107"/>
  <c r="N123"/>
  <c r="N139"/>
  <c r="N155"/>
  <c r="N171"/>
  <c r="N187"/>
  <c r="N203"/>
  <c r="L18"/>
  <c r="L34"/>
  <c r="L50"/>
  <c r="L66"/>
  <c r="L82"/>
  <c r="L98"/>
  <c r="L114"/>
  <c r="L130"/>
  <c r="L146"/>
  <c r="L162"/>
  <c r="L178"/>
  <c r="L194"/>
  <c r="K9"/>
  <c r="K25"/>
  <c r="K41"/>
  <c r="K57"/>
  <c r="K73"/>
  <c r="K89"/>
  <c r="K105"/>
  <c r="K121"/>
  <c r="K137"/>
  <c r="K153"/>
  <c r="K169"/>
  <c r="K185"/>
  <c r="K201"/>
  <c r="J15"/>
  <c r="J31"/>
  <c r="J47"/>
  <c r="J63"/>
  <c r="J79"/>
  <c r="J95"/>
  <c r="J111"/>
  <c r="J127"/>
  <c r="J143"/>
  <c r="J159"/>
  <c r="J175"/>
  <c r="J191"/>
  <c r="J207"/>
  <c r="P18"/>
  <c r="P34"/>
  <c r="P50"/>
  <c r="P66"/>
  <c r="P82"/>
  <c r="P98"/>
  <c r="P114"/>
  <c r="P130"/>
  <c r="P146"/>
  <c r="P162"/>
  <c r="P178"/>
  <c r="P194"/>
  <c r="N10"/>
  <c r="N26"/>
  <c r="N42"/>
  <c r="N58"/>
  <c r="N74"/>
  <c r="N90"/>
  <c r="N106"/>
  <c r="N122"/>
  <c r="N138"/>
  <c r="N154"/>
  <c r="N170"/>
  <c r="N186"/>
  <c r="N202"/>
  <c r="L17"/>
  <c r="L33"/>
  <c r="L49"/>
  <c r="L65"/>
  <c r="L81"/>
  <c r="L97"/>
  <c r="L113"/>
  <c r="L129"/>
  <c r="L145"/>
  <c r="L161"/>
  <c r="L177"/>
  <c r="L193"/>
  <c r="L7"/>
  <c r="K24"/>
  <c r="K40"/>
  <c r="K56"/>
  <c r="K72"/>
  <c r="K88"/>
  <c r="K104"/>
  <c r="K120"/>
  <c r="K136"/>
  <c r="K152"/>
  <c r="K168"/>
  <c r="K184"/>
  <c r="K200"/>
  <c r="J14"/>
  <c r="J30"/>
  <c r="J46"/>
  <c r="J62"/>
  <c r="J78"/>
  <c r="J94"/>
  <c r="J110"/>
  <c r="J126"/>
  <c r="J142"/>
  <c r="J158"/>
  <c r="J174"/>
  <c r="J190"/>
  <c r="J206"/>
  <c r="H210"/>
  <c r="P21"/>
  <c r="P37"/>
  <c r="P53"/>
  <c r="P69"/>
  <c r="P85"/>
  <c r="P101"/>
  <c r="P117"/>
  <c r="P133"/>
  <c r="P149"/>
  <c r="P165"/>
  <c r="P181"/>
  <c r="P197"/>
  <c r="N13"/>
  <c r="N29"/>
  <c r="N45"/>
  <c r="N61"/>
  <c r="N77"/>
  <c r="N93"/>
  <c r="N109"/>
  <c r="N125"/>
  <c r="N141"/>
  <c r="N157"/>
  <c r="N173"/>
  <c r="N189"/>
  <c r="N205"/>
  <c r="L20"/>
  <c r="L36"/>
  <c r="L52"/>
  <c r="L68"/>
  <c r="L84"/>
  <c r="L100"/>
  <c r="L116"/>
  <c r="L132"/>
  <c r="L148"/>
  <c r="L164"/>
  <c r="L180"/>
  <c r="L196"/>
  <c r="K11"/>
  <c r="K27"/>
  <c r="K43"/>
  <c r="K59"/>
  <c r="K75"/>
  <c r="K91"/>
  <c r="K107"/>
  <c r="K123"/>
  <c r="K139"/>
  <c r="K155"/>
  <c r="K171"/>
  <c r="K187"/>
  <c r="K203"/>
  <c r="J17"/>
  <c r="J33"/>
  <c r="J49"/>
  <c r="J65"/>
  <c r="J81"/>
  <c r="J97"/>
  <c r="J113"/>
  <c r="J129"/>
  <c r="J145"/>
  <c r="J161"/>
  <c r="J177"/>
  <c r="J193"/>
  <c r="P7"/>
  <c r="P24"/>
  <c r="P40"/>
  <c r="P56"/>
  <c r="P72"/>
  <c r="P88"/>
  <c r="P104"/>
  <c r="P120"/>
  <c r="P136"/>
  <c r="P152"/>
  <c r="P168"/>
  <c r="P184"/>
  <c r="P200"/>
  <c r="N16"/>
  <c r="N32"/>
  <c r="N48"/>
  <c r="N64"/>
  <c r="N80"/>
  <c r="N96"/>
  <c r="N112"/>
  <c r="N128"/>
  <c r="N144"/>
  <c r="N160"/>
  <c r="N176"/>
  <c r="N192"/>
  <c r="N8"/>
  <c r="L23"/>
  <c r="L39"/>
  <c r="L55"/>
  <c r="L71"/>
  <c r="L87"/>
  <c r="L103"/>
  <c r="L119"/>
  <c r="L135"/>
  <c r="L151"/>
  <c r="L167"/>
  <c r="L183"/>
  <c r="L199"/>
  <c r="K14"/>
  <c r="K30"/>
  <c r="K46"/>
  <c r="K62"/>
  <c r="K78"/>
  <c r="K94"/>
  <c r="K110"/>
  <c r="K126"/>
  <c r="K142"/>
  <c r="K158"/>
  <c r="K174"/>
  <c r="K190"/>
  <c r="K206"/>
  <c r="J20"/>
  <c r="J36"/>
  <c r="J52"/>
  <c r="J68"/>
  <c r="J84"/>
  <c r="J100"/>
  <c r="J116"/>
  <c r="J132"/>
  <c r="J148"/>
  <c r="J164"/>
  <c r="J180"/>
  <c r="J196"/>
  <c r="P15"/>
  <c r="P31"/>
  <c r="P47"/>
  <c r="P63"/>
  <c r="P79"/>
  <c r="P95"/>
  <c r="P111"/>
  <c r="P127"/>
  <c r="P143"/>
  <c r="P159"/>
  <c r="P175"/>
  <c r="P191"/>
  <c r="P207"/>
  <c r="N23"/>
  <c r="N39"/>
  <c r="N55"/>
  <c r="N71"/>
  <c r="N87"/>
  <c r="N103"/>
  <c r="N119"/>
  <c r="N135"/>
  <c r="N151"/>
  <c r="N167"/>
  <c r="N183"/>
  <c r="N199"/>
  <c r="L14"/>
  <c r="L30"/>
  <c r="L46"/>
  <c r="L62"/>
  <c r="L78"/>
  <c r="L94"/>
  <c r="L110"/>
  <c r="L126"/>
  <c r="L142"/>
  <c r="L158"/>
  <c r="L174"/>
  <c r="L190"/>
  <c r="L206"/>
  <c r="K21"/>
  <c r="K37"/>
  <c r="K53"/>
  <c r="K69"/>
  <c r="K85"/>
  <c r="K101"/>
  <c r="K117"/>
  <c r="K133"/>
  <c r="K149"/>
  <c r="K165"/>
  <c r="K181"/>
  <c r="K197"/>
  <c r="J11"/>
  <c r="J27"/>
  <c r="J43"/>
  <c r="J59"/>
  <c r="J75"/>
  <c r="J91"/>
  <c r="J107"/>
  <c r="J123"/>
  <c r="J139"/>
  <c r="J155"/>
  <c r="J171"/>
  <c r="J187"/>
  <c r="J203"/>
  <c r="P14"/>
  <c r="P30"/>
  <c r="P46"/>
  <c r="P62"/>
  <c r="P78"/>
  <c r="P94"/>
  <c r="P110"/>
  <c r="P126"/>
  <c r="P142"/>
  <c r="P158"/>
  <c r="P174"/>
  <c r="P190"/>
  <c r="P206"/>
  <c r="N22"/>
  <c r="N38"/>
  <c r="N54"/>
  <c r="N70"/>
  <c r="N86"/>
  <c r="N102"/>
  <c r="N118"/>
  <c r="N134"/>
  <c r="N150"/>
  <c r="N166"/>
  <c r="N182"/>
  <c r="N198"/>
  <c r="L13"/>
  <c r="L29"/>
  <c r="L45"/>
  <c r="L61"/>
  <c r="L77"/>
  <c r="L93"/>
  <c r="L109"/>
  <c r="L125"/>
  <c r="L141"/>
  <c r="L157"/>
  <c r="L173"/>
  <c r="L189"/>
  <c r="L205"/>
  <c r="K20"/>
  <c r="K36"/>
  <c r="K52"/>
  <c r="K68"/>
  <c r="K84"/>
  <c r="K100"/>
  <c r="K116"/>
  <c r="K132"/>
  <c r="K148"/>
  <c r="K164"/>
  <c r="K180"/>
  <c r="K196"/>
  <c r="J10"/>
  <c r="J26"/>
  <c r="J42"/>
  <c r="J58"/>
  <c r="J74"/>
  <c r="J90"/>
  <c r="J106"/>
  <c r="J122"/>
  <c r="J138"/>
  <c r="J154"/>
  <c r="J170"/>
  <c r="J186"/>
  <c r="J202"/>
  <c r="R142" i="19"/>
  <c r="B52"/>
  <c r="JN207" i="9"/>
  <c r="JO207"/>
  <c r="JO208"/>
  <c r="JO209"/>
  <c r="JO210"/>
  <c r="JO211"/>
  <c r="JO212"/>
  <c r="JO213"/>
  <c r="JO214"/>
  <c r="JO215"/>
  <c r="JO216"/>
  <c r="JO217"/>
  <c r="JO218"/>
  <c r="JG207"/>
  <c r="JH207"/>
  <c r="JI207"/>
  <c r="JJ207"/>
  <c r="JK207"/>
  <c r="JL207"/>
  <c r="JG208"/>
  <c r="JH208"/>
  <c r="JI208"/>
  <c r="JJ208"/>
  <c r="JK208"/>
  <c r="JL208"/>
  <c r="JG209"/>
  <c r="JH209"/>
  <c r="JI209"/>
  <c r="JJ209"/>
  <c r="JK209"/>
  <c r="JL209"/>
  <c r="JG210"/>
  <c r="JH210"/>
  <c r="JI210"/>
  <c r="JJ210"/>
  <c r="JK210"/>
  <c r="JL210"/>
  <c r="JG211"/>
  <c r="JH211"/>
  <c r="JI211"/>
  <c r="JJ211"/>
  <c r="JK211"/>
  <c r="JL211"/>
  <c r="JG212"/>
  <c r="JH212"/>
  <c r="JI212"/>
  <c r="JJ212"/>
  <c r="JK212"/>
  <c r="JL212"/>
  <c r="JG213"/>
  <c r="JH213"/>
  <c r="JI213"/>
  <c r="JJ213"/>
  <c r="JK213"/>
  <c r="JL213"/>
  <c r="JG214"/>
  <c r="JH214"/>
  <c r="JI214"/>
  <c r="JJ214"/>
  <c r="JK214"/>
  <c r="JL214"/>
  <c r="JG215"/>
  <c r="JH215"/>
  <c r="JI215"/>
  <c r="JJ215"/>
  <c r="JK215"/>
  <c r="JL215"/>
  <c r="JG216"/>
  <c r="JH216"/>
  <c r="JI216"/>
  <c r="JJ216"/>
  <c r="JK216"/>
  <c r="JL216"/>
  <c r="JG217"/>
  <c r="JH217"/>
  <c r="JI217"/>
  <c r="JJ217"/>
  <c r="JK217"/>
  <c r="JL217"/>
  <c r="JG218"/>
  <c r="JH218"/>
  <c r="JI218"/>
  <c r="JJ218"/>
  <c r="JK218"/>
  <c r="JL218"/>
  <c r="IZ207"/>
  <c r="JA207"/>
  <c r="JB207"/>
  <c r="JC207"/>
  <c r="JD207"/>
  <c r="JE207"/>
  <c r="IZ208"/>
  <c r="JA208"/>
  <c r="JB208"/>
  <c r="JC208"/>
  <c r="JD208"/>
  <c r="JE208"/>
  <c r="IZ209"/>
  <c r="JA209"/>
  <c r="JB209"/>
  <c r="JC209"/>
  <c r="JD209"/>
  <c r="JE209"/>
  <c r="IZ210"/>
  <c r="JA210"/>
  <c r="JB210"/>
  <c r="JC210"/>
  <c r="JD210"/>
  <c r="JE210"/>
  <c r="IZ211"/>
  <c r="JA211"/>
  <c r="JB211"/>
  <c r="JC211"/>
  <c r="JD211"/>
  <c r="JE211"/>
  <c r="IZ212"/>
  <c r="JA212"/>
  <c r="JB212"/>
  <c r="JC212"/>
  <c r="JD212"/>
  <c r="JE212"/>
  <c r="IZ213"/>
  <c r="JA213"/>
  <c r="JB213"/>
  <c r="JC213"/>
  <c r="JD213"/>
  <c r="JE213"/>
  <c r="IZ214"/>
  <c r="JA214"/>
  <c r="JB214"/>
  <c r="JC214"/>
  <c r="JD214"/>
  <c r="JE214"/>
  <c r="IZ215"/>
  <c r="JA215"/>
  <c r="JB215"/>
  <c r="JC215"/>
  <c r="JD215"/>
  <c r="JE215"/>
  <c r="IZ216"/>
  <c r="JA216"/>
  <c r="JB216"/>
  <c r="JC216"/>
  <c r="JD216"/>
  <c r="JE216"/>
  <c r="IZ217"/>
  <c r="JA217"/>
  <c r="JB217"/>
  <c r="JC217"/>
  <c r="JD217"/>
  <c r="JE217"/>
  <c r="IZ218"/>
  <c r="JA218"/>
  <c r="JB218"/>
  <c r="JC218"/>
  <c r="JD218"/>
  <c r="JE218"/>
  <c r="IS8"/>
  <c r="IT8"/>
  <c r="IS9"/>
  <c r="IT9"/>
  <c r="IS10"/>
  <c r="IT10"/>
  <c r="IS11"/>
  <c r="IT11"/>
  <c r="IS12"/>
  <c r="IT12"/>
  <c r="IS13"/>
  <c r="IT13"/>
  <c r="IS14"/>
  <c r="IT14"/>
  <c r="IS15"/>
  <c r="IT15"/>
  <c r="IS16"/>
  <c r="IT16"/>
  <c r="IS17"/>
  <c r="IT17"/>
  <c r="IS18"/>
  <c r="IT18"/>
  <c r="IS19"/>
  <c r="IT19"/>
  <c r="IS20"/>
  <c r="IT20"/>
  <c r="IS21"/>
  <c r="IT21"/>
  <c r="IS22"/>
  <c r="IT22"/>
  <c r="IS23"/>
  <c r="IT23"/>
  <c r="IS24"/>
  <c r="IT24"/>
  <c r="IS25"/>
  <c r="IT25"/>
  <c r="IS26"/>
  <c r="IT26"/>
  <c r="IS27"/>
  <c r="IT27"/>
  <c r="IS28"/>
  <c r="IT28"/>
  <c r="IS29"/>
  <c r="IT29"/>
  <c r="IS30"/>
  <c r="IT30"/>
  <c r="IS31"/>
  <c r="IT31"/>
  <c r="IS32"/>
  <c r="IT32"/>
  <c r="IS33"/>
  <c r="IT33"/>
  <c r="IS34"/>
  <c r="IT34"/>
  <c r="IS35"/>
  <c r="IT35"/>
  <c r="IS36"/>
  <c r="IT36"/>
  <c r="IS37"/>
  <c r="IT37"/>
  <c r="IS38"/>
  <c r="IT38"/>
  <c r="IS39"/>
  <c r="IT39"/>
  <c r="IS40"/>
  <c r="IT40"/>
  <c r="IS41"/>
  <c r="IT41"/>
  <c r="IS42"/>
  <c r="IT42"/>
  <c r="IS43"/>
  <c r="IT43"/>
  <c r="IS44"/>
  <c r="IT44"/>
  <c r="IS45"/>
  <c r="IT45"/>
  <c r="IS46"/>
  <c r="IT46"/>
  <c r="IS47"/>
  <c r="IT47"/>
  <c r="IS48"/>
  <c r="IT48"/>
  <c r="IS49"/>
  <c r="IT49"/>
  <c r="IS50"/>
  <c r="IT50"/>
  <c r="IS51"/>
  <c r="IT51"/>
  <c r="IS52"/>
  <c r="IT52"/>
  <c r="IS53"/>
  <c r="IT53"/>
  <c r="IS54"/>
  <c r="IT54"/>
  <c r="IS55"/>
  <c r="IT55"/>
  <c r="IS56"/>
  <c r="IT56"/>
  <c r="IS57"/>
  <c r="IT57"/>
  <c r="IS58"/>
  <c r="IT58"/>
  <c r="IS59"/>
  <c r="IT59"/>
  <c r="IS60"/>
  <c r="IT60"/>
  <c r="IS61"/>
  <c r="IT61"/>
  <c r="IS62"/>
  <c r="IT62"/>
  <c r="IS63"/>
  <c r="IT63"/>
  <c r="IS64"/>
  <c r="IT64"/>
  <c r="IS65"/>
  <c r="IT65"/>
  <c r="IS66"/>
  <c r="IT66"/>
  <c r="IS67"/>
  <c r="IT67"/>
  <c r="IS68"/>
  <c r="IT68"/>
  <c r="IS69"/>
  <c r="IT69"/>
  <c r="IS70"/>
  <c r="IT70"/>
  <c r="IS71"/>
  <c r="IT71"/>
  <c r="IS72"/>
  <c r="IT72"/>
  <c r="IS73"/>
  <c r="IT73"/>
  <c r="IS74"/>
  <c r="IT74"/>
  <c r="IS75"/>
  <c r="IT75"/>
  <c r="IS76"/>
  <c r="IT76"/>
  <c r="IS77"/>
  <c r="IT77"/>
  <c r="IS78"/>
  <c r="IT78"/>
  <c r="IS79"/>
  <c r="IT79"/>
  <c r="IS80"/>
  <c r="IT80"/>
  <c r="IS81"/>
  <c r="IT81"/>
  <c r="IS82"/>
  <c r="IT82"/>
  <c r="IS83"/>
  <c r="IT83"/>
  <c r="IS84"/>
  <c r="IT84"/>
  <c r="IS85"/>
  <c r="IT85"/>
  <c r="IS86"/>
  <c r="IT86"/>
  <c r="IS87"/>
  <c r="IT87"/>
  <c r="IS88"/>
  <c r="IT88"/>
  <c r="IS89"/>
  <c r="IT89"/>
  <c r="IS90"/>
  <c r="IT90"/>
  <c r="IS91"/>
  <c r="IT91"/>
  <c r="IS92"/>
  <c r="IT92"/>
  <c r="IS93"/>
  <c r="IT93"/>
  <c r="IS94"/>
  <c r="IT94"/>
  <c r="IS95"/>
  <c r="IT95"/>
  <c r="IS96"/>
  <c r="IT96"/>
  <c r="IS97"/>
  <c r="IT97"/>
  <c r="IS98"/>
  <c r="IT98"/>
  <c r="IS99"/>
  <c r="IT99"/>
  <c r="IS100"/>
  <c r="IT100"/>
  <c r="IS101"/>
  <c r="IT101"/>
  <c r="IS102"/>
  <c r="IT102"/>
  <c r="IS103"/>
  <c r="IT103"/>
  <c r="IS104"/>
  <c r="IT104"/>
  <c r="IS105"/>
  <c r="IT105"/>
  <c r="IS106"/>
  <c r="IT106"/>
  <c r="IS107"/>
  <c r="IT107"/>
  <c r="IS108"/>
  <c r="IT108"/>
  <c r="IS109"/>
  <c r="IT109"/>
  <c r="IS110"/>
  <c r="IT110"/>
  <c r="IS111"/>
  <c r="IT111"/>
  <c r="IS112"/>
  <c r="IT112"/>
  <c r="IS113"/>
  <c r="IT113"/>
  <c r="IS114"/>
  <c r="IT114"/>
  <c r="IS115"/>
  <c r="IT115"/>
  <c r="IS116"/>
  <c r="IT116"/>
  <c r="IS117"/>
  <c r="IT117"/>
  <c r="IS118"/>
  <c r="IT118"/>
  <c r="IS119"/>
  <c r="IT119"/>
  <c r="IS120"/>
  <c r="IT120"/>
  <c r="IS121"/>
  <c r="IT121"/>
  <c r="IS122"/>
  <c r="IT122"/>
  <c r="IS123"/>
  <c r="IT123"/>
  <c r="IS124"/>
  <c r="IT124"/>
  <c r="IS125"/>
  <c r="IT125"/>
  <c r="IS126"/>
  <c r="IT126"/>
  <c r="IS127"/>
  <c r="IT127"/>
  <c r="IS128"/>
  <c r="IT128"/>
  <c r="IS129"/>
  <c r="IT129"/>
  <c r="IS130"/>
  <c r="IT130"/>
  <c r="IS131"/>
  <c r="IT131"/>
  <c r="IS132"/>
  <c r="IT132"/>
  <c r="IS133"/>
  <c r="IT133"/>
  <c r="IS134"/>
  <c r="IT134"/>
  <c r="IS135"/>
  <c r="IT135"/>
  <c r="IS136"/>
  <c r="IT136"/>
  <c r="IS137"/>
  <c r="IT137"/>
  <c r="IS138"/>
  <c r="IT138"/>
  <c r="IS139"/>
  <c r="IT139"/>
  <c r="IS140"/>
  <c r="IT140"/>
  <c r="IS141"/>
  <c r="IT141"/>
  <c r="IS142"/>
  <c r="IT142"/>
  <c r="IS143"/>
  <c r="IT143"/>
  <c r="IS144"/>
  <c r="IT144"/>
  <c r="IS145"/>
  <c r="IT145"/>
  <c r="IS146"/>
  <c r="IT146"/>
  <c r="IS147"/>
  <c r="IT147"/>
  <c r="IS148"/>
  <c r="IT148"/>
  <c r="IS149"/>
  <c r="IT149"/>
  <c r="IS150"/>
  <c r="IT150"/>
  <c r="IS151"/>
  <c r="IT151"/>
  <c r="IS152"/>
  <c r="IT152"/>
  <c r="IS153"/>
  <c r="IT153"/>
  <c r="IS154"/>
  <c r="IT154"/>
  <c r="IS155"/>
  <c r="IT155"/>
  <c r="IS156"/>
  <c r="IT156"/>
  <c r="IS157"/>
  <c r="IT157"/>
  <c r="IS158"/>
  <c r="IT158"/>
  <c r="IS159"/>
  <c r="IT159"/>
  <c r="IS160"/>
  <c r="IT160"/>
  <c r="IS161"/>
  <c r="IT161"/>
  <c r="IS162"/>
  <c r="IT162"/>
  <c r="IS163"/>
  <c r="IT163"/>
  <c r="IS164"/>
  <c r="IT164"/>
  <c r="IS165"/>
  <c r="IT165"/>
  <c r="IS166"/>
  <c r="IT166"/>
  <c r="IS167"/>
  <c r="IT167"/>
  <c r="IS168"/>
  <c r="IT168"/>
  <c r="IS169"/>
  <c r="IT169"/>
  <c r="IS170"/>
  <c r="IT170"/>
  <c r="IS171"/>
  <c r="IT171"/>
  <c r="IS172"/>
  <c r="IT172"/>
  <c r="IS173"/>
  <c r="IT173"/>
  <c r="IS174"/>
  <c r="IT174"/>
  <c r="IS175"/>
  <c r="IT175"/>
  <c r="IS176"/>
  <c r="IT176"/>
  <c r="IS177"/>
  <c r="IT177"/>
  <c r="IS178"/>
  <c r="IT178"/>
  <c r="IS179"/>
  <c r="IT179"/>
  <c r="IS180"/>
  <c r="IT180"/>
  <c r="IS181"/>
  <c r="IT181"/>
  <c r="IS182"/>
  <c r="IT182"/>
  <c r="IS183"/>
  <c r="IT183"/>
  <c r="IS184"/>
  <c r="IT184"/>
  <c r="IS185"/>
  <c r="IT185"/>
  <c r="IS186"/>
  <c r="IT186"/>
  <c r="IS187"/>
  <c r="IT187"/>
  <c r="IS188"/>
  <c r="IT188"/>
  <c r="IS189"/>
  <c r="IT189"/>
  <c r="IS190"/>
  <c r="IT190"/>
  <c r="IS191"/>
  <c r="IT191"/>
  <c r="IS192"/>
  <c r="IT192"/>
  <c r="IS193"/>
  <c r="IT193"/>
  <c r="IS194"/>
  <c r="IT194"/>
  <c r="IS195"/>
  <c r="IT195"/>
  <c r="IS196"/>
  <c r="IT196"/>
  <c r="IS197"/>
  <c r="IT197"/>
  <c r="IS198"/>
  <c r="IT198"/>
  <c r="IS199"/>
  <c r="IT199"/>
  <c r="IS200"/>
  <c r="IT200"/>
  <c r="IS201"/>
  <c r="IT201"/>
  <c r="IS202"/>
  <c r="IT202"/>
  <c r="IS203"/>
  <c r="IT203"/>
  <c r="IS204"/>
  <c r="IT204"/>
  <c r="IS205"/>
  <c r="IT205"/>
  <c r="IS206"/>
  <c r="IT206"/>
  <c r="IS207"/>
  <c r="IT207"/>
  <c r="IS208"/>
  <c r="IT208"/>
  <c r="IS209"/>
  <c r="IT209"/>
  <c r="IS210"/>
  <c r="IT210"/>
  <c r="IS211"/>
  <c r="IT211"/>
  <c r="IS212"/>
  <c r="IT212"/>
  <c r="IS213"/>
  <c r="IT213"/>
  <c r="IS214"/>
  <c r="IT214"/>
  <c r="IS215"/>
  <c r="IT215"/>
  <c r="IS216"/>
  <c r="IT216"/>
  <c r="IS217"/>
  <c r="IT217"/>
  <c r="IS218"/>
  <c r="IT218"/>
  <c r="IT7"/>
  <c r="IS7"/>
  <c r="IU7"/>
  <c r="IU8"/>
  <c r="IV8"/>
  <c r="IW8"/>
  <c r="IX8"/>
  <c r="IU9"/>
  <c r="IV9"/>
  <c r="IW9"/>
  <c r="IX9"/>
  <c r="IU10"/>
  <c r="IV10"/>
  <c r="IW10"/>
  <c r="IX10"/>
  <c r="IU11"/>
  <c r="IV11"/>
  <c r="IW11"/>
  <c r="IX11"/>
  <c r="IU12"/>
  <c r="IV12"/>
  <c r="IW12"/>
  <c r="IX12"/>
  <c r="IU13"/>
  <c r="IV13"/>
  <c r="IW13"/>
  <c r="IX13"/>
  <c r="IU14"/>
  <c r="IV14"/>
  <c r="IW14"/>
  <c r="IX14"/>
  <c r="IU15"/>
  <c r="IV15"/>
  <c r="IW15"/>
  <c r="IX15"/>
  <c r="IU16"/>
  <c r="IV16"/>
  <c r="IW16"/>
  <c r="IX16"/>
  <c r="IU17"/>
  <c r="IV17"/>
  <c r="IW17"/>
  <c r="IX17"/>
  <c r="IU18"/>
  <c r="IV18"/>
  <c r="IW18"/>
  <c r="IX18"/>
  <c r="IU19"/>
  <c r="IV19"/>
  <c r="IW19"/>
  <c r="IX19"/>
  <c r="IU20"/>
  <c r="IV20"/>
  <c r="IW20"/>
  <c r="IX20"/>
  <c r="IU21"/>
  <c r="IV21"/>
  <c r="IW21"/>
  <c r="IX21"/>
  <c r="IU22"/>
  <c r="IV22"/>
  <c r="IW22"/>
  <c r="IX22"/>
  <c r="IU23"/>
  <c r="IV23"/>
  <c r="IW23"/>
  <c r="IX23"/>
  <c r="IU24"/>
  <c r="IV24"/>
  <c r="IW24"/>
  <c r="IX24"/>
  <c r="IU25"/>
  <c r="IV25"/>
  <c r="IW25"/>
  <c r="IX25"/>
  <c r="IU26"/>
  <c r="IV26"/>
  <c r="IW26"/>
  <c r="IX26"/>
  <c r="IU27"/>
  <c r="IV27"/>
  <c r="IW27"/>
  <c r="IX27"/>
  <c r="IU28"/>
  <c r="IV28"/>
  <c r="IW28"/>
  <c r="IX28"/>
  <c r="IU29"/>
  <c r="IV29"/>
  <c r="IW29"/>
  <c r="IX29"/>
  <c r="IU30"/>
  <c r="IV30"/>
  <c r="IW30"/>
  <c r="IX30"/>
  <c r="IU31"/>
  <c r="IV31"/>
  <c r="IW31"/>
  <c r="IX31"/>
  <c r="IU32"/>
  <c r="IV32"/>
  <c r="IW32"/>
  <c r="IX32"/>
  <c r="IU33"/>
  <c r="IV33"/>
  <c r="IW33"/>
  <c r="IX33"/>
  <c r="IU34"/>
  <c r="IV34"/>
  <c r="IW34"/>
  <c r="IX34"/>
  <c r="IU35"/>
  <c r="IV35"/>
  <c r="IW35"/>
  <c r="IX35"/>
  <c r="IU36"/>
  <c r="IV36"/>
  <c r="IW36"/>
  <c r="IX36"/>
  <c r="IU37"/>
  <c r="IV37"/>
  <c r="IW37"/>
  <c r="IX37"/>
  <c r="IU38"/>
  <c r="IV38"/>
  <c r="IW38"/>
  <c r="IX38"/>
  <c r="IU39"/>
  <c r="IV39"/>
  <c r="IW39"/>
  <c r="IX39"/>
  <c r="IU40"/>
  <c r="IV40"/>
  <c r="IW40"/>
  <c r="IX40"/>
  <c r="IU41"/>
  <c r="IV41"/>
  <c r="IW41"/>
  <c r="IX41"/>
  <c r="IU42"/>
  <c r="IV42"/>
  <c r="IW42"/>
  <c r="IX42"/>
  <c r="IU43"/>
  <c r="IV43"/>
  <c r="IW43"/>
  <c r="IX43"/>
  <c r="IU44"/>
  <c r="IV44"/>
  <c r="IW44"/>
  <c r="IX44"/>
  <c r="IU45"/>
  <c r="IV45"/>
  <c r="IW45"/>
  <c r="IX45"/>
  <c r="IU46"/>
  <c r="IV46"/>
  <c r="IW46"/>
  <c r="IX46"/>
  <c r="IU47"/>
  <c r="IV47"/>
  <c r="IW47"/>
  <c r="IX47"/>
  <c r="IU48"/>
  <c r="IV48"/>
  <c r="IW48"/>
  <c r="IX48"/>
  <c r="IU49"/>
  <c r="IV49"/>
  <c r="IW49"/>
  <c r="IX49"/>
  <c r="IU50"/>
  <c r="IV50"/>
  <c r="IW50"/>
  <c r="IX50"/>
  <c r="IU51"/>
  <c r="IV51"/>
  <c r="IW51"/>
  <c r="IX51"/>
  <c r="IU52"/>
  <c r="IV52"/>
  <c r="IW52"/>
  <c r="IX52"/>
  <c r="IU53"/>
  <c r="IV53"/>
  <c r="IW53"/>
  <c r="IX53"/>
  <c r="IU54"/>
  <c r="IV54"/>
  <c r="IW54"/>
  <c r="IX54"/>
  <c r="IU55"/>
  <c r="IV55"/>
  <c r="IW55"/>
  <c r="IX55"/>
  <c r="IU56"/>
  <c r="IV56"/>
  <c r="IW56"/>
  <c r="IX56"/>
  <c r="IU57"/>
  <c r="IV57"/>
  <c r="IW57"/>
  <c r="IX57"/>
  <c r="IU58"/>
  <c r="IV58"/>
  <c r="IW58"/>
  <c r="IX58"/>
  <c r="IU59"/>
  <c r="IV59"/>
  <c r="IW59"/>
  <c r="IX59"/>
  <c r="IU60"/>
  <c r="IV60"/>
  <c r="IW60"/>
  <c r="IX60"/>
  <c r="IU61"/>
  <c r="IV61"/>
  <c r="IW61"/>
  <c r="IX61"/>
  <c r="IU62"/>
  <c r="IV62"/>
  <c r="IW62"/>
  <c r="IX62"/>
  <c r="IU63"/>
  <c r="IV63"/>
  <c r="IW63"/>
  <c r="IX63"/>
  <c r="IU64"/>
  <c r="IV64"/>
  <c r="IW64"/>
  <c r="IX64"/>
  <c r="IU65"/>
  <c r="IV65"/>
  <c r="IW65"/>
  <c r="IX65"/>
  <c r="IU66"/>
  <c r="IV66"/>
  <c r="IW66"/>
  <c r="IX66"/>
  <c r="IU67"/>
  <c r="IV67"/>
  <c r="IW67"/>
  <c r="IX67"/>
  <c r="IU68"/>
  <c r="IV68"/>
  <c r="IW68"/>
  <c r="IX68"/>
  <c r="IU69"/>
  <c r="IV69"/>
  <c r="IW69"/>
  <c r="IX69"/>
  <c r="IU70"/>
  <c r="IV70"/>
  <c r="IW70"/>
  <c r="IX70"/>
  <c r="IU71"/>
  <c r="IV71"/>
  <c r="IW71"/>
  <c r="IX71"/>
  <c r="IU72"/>
  <c r="IV72"/>
  <c r="IW72"/>
  <c r="IX72"/>
  <c r="IU73"/>
  <c r="IV73"/>
  <c r="IW73"/>
  <c r="IX73"/>
  <c r="IU74"/>
  <c r="IV74"/>
  <c r="IW74"/>
  <c r="IX74"/>
  <c r="IU75"/>
  <c r="IV75"/>
  <c r="IW75"/>
  <c r="IX75"/>
  <c r="IU76"/>
  <c r="IV76"/>
  <c r="IW76"/>
  <c r="IX76"/>
  <c r="IU77"/>
  <c r="IV77"/>
  <c r="IW77"/>
  <c r="IX77"/>
  <c r="IU78"/>
  <c r="IV78"/>
  <c r="IW78"/>
  <c r="IX78"/>
  <c r="IU79"/>
  <c r="IV79"/>
  <c r="IW79"/>
  <c r="IX79"/>
  <c r="IU80"/>
  <c r="IV80"/>
  <c r="IW80"/>
  <c r="IX80"/>
  <c r="IU81"/>
  <c r="IV81"/>
  <c r="IW81"/>
  <c r="IX81"/>
  <c r="IU82"/>
  <c r="IV82"/>
  <c r="IW82"/>
  <c r="IX82"/>
  <c r="IU83"/>
  <c r="IV83"/>
  <c r="IW83"/>
  <c r="IX83"/>
  <c r="IU84"/>
  <c r="IV84"/>
  <c r="IW84"/>
  <c r="IX84"/>
  <c r="IU85"/>
  <c r="IV85"/>
  <c r="IW85"/>
  <c r="IX85"/>
  <c r="IU86"/>
  <c r="IV86"/>
  <c r="IW86"/>
  <c r="IX86"/>
  <c r="IU87"/>
  <c r="IV87"/>
  <c r="IW87"/>
  <c r="IX87"/>
  <c r="IU88"/>
  <c r="IV88"/>
  <c r="IW88"/>
  <c r="IX88"/>
  <c r="IU89"/>
  <c r="IV89"/>
  <c r="IW89"/>
  <c r="IX89"/>
  <c r="IU90"/>
  <c r="IV90"/>
  <c r="IW90"/>
  <c r="IX90"/>
  <c r="IU91"/>
  <c r="IV91"/>
  <c r="IW91"/>
  <c r="IX91"/>
  <c r="IU92"/>
  <c r="IV92"/>
  <c r="IW92"/>
  <c r="IX92"/>
  <c r="IU93"/>
  <c r="IV93"/>
  <c r="IW93"/>
  <c r="IX93"/>
  <c r="IU94"/>
  <c r="IV94"/>
  <c r="IW94"/>
  <c r="IX94"/>
  <c r="IU95"/>
  <c r="IV95"/>
  <c r="IW95"/>
  <c r="IX95"/>
  <c r="IU96"/>
  <c r="IV96"/>
  <c r="IW96"/>
  <c r="IX96"/>
  <c r="IU97"/>
  <c r="IV97"/>
  <c r="IW97"/>
  <c r="IX97"/>
  <c r="IU98"/>
  <c r="IV98"/>
  <c r="IW98"/>
  <c r="IX98"/>
  <c r="IU99"/>
  <c r="IV99"/>
  <c r="IW99"/>
  <c r="IX99"/>
  <c r="IU100"/>
  <c r="IV100"/>
  <c r="IW100"/>
  <c r="IX100"/>
  <c r="IU101"/>
  <c r="IV101"/>
  <c r="IW101"/>
  <c r="IX101"/>
  <c r="IU102"/>
  <c r="IV102"/>
  <c r="IW102"/>
  <c r="IX102"/>
  <c r="IU103"/>
  <c r="IV103"/>
  <c r="IW103"/>
  <c r="IX103"/>
  <c r="IU104"/>
  <c r="IV104"/>
  <c r="IW104"/>
  <c r="IX104"/>
  <c r="IU105"/>
  <c r="IV105"/>
  <c r="IW105"/>
  <c r="IX105"/>
  <c r="IU106"/>
  <c r="IV106"/>
  <c r="IW106"/>
  <c r="IX106"/>
  <c r="IU107"/>
  <c r="IV107"/>
  <c r="IW107"/>
  <c r="IX107"/>
  <c r="IU108"/>
  <c r="IV108"/>
  <c r="IW108"/>
  <c r="IX108"/>
  <c r="IU109"/>
  <c r="IV109"/>
  <c r="IW109"/>
  <c r="IX109"/>
  <c r="IU110"/>
  <c r="IV110"/>
  <c r="IW110"/>
  <c r="IX110"/>
  <c r="IU111"/>
  <c r="IV111"/>
  <c r="IW111"/>
  <c r="IX111"/>
  <c r="IU112"/>
  <c r="IV112"/>
  <c r="IW112"/>
  <c r="IX112"/>
  <c r="IU113"/>
  <c r="IV113"/>
  <c r="IW113"/>
  <c r="IX113"/>
  <c r="IU114"/>
  <c r="IV114"/>
  <c r="IW114"/>
  <c r="IX114"/>
  <c r="IU115"/>
  <c r="IV115"/>
  <c r="IW115"/>
  <c r="IX115"/>
  <c r="IU116"/>
  <c r="IV116"/>
  <c r="IW116"/>
  <c r="IX116"/>
  <c r="IU117"/>
  <c r="IV117"/>
  <c r="IW117"/>
  <c r="IX117"/>
  <c r="IU118"/>
  <c r="IV118"/>
  <c r="IW118"/>
  <c r="IX118"/>
  <c r="IU119"/>
  <c r="IV119"/>
  <c r="IW119"/>
  <c r="IX119"/>
  <c r="IU120"/>
  <c r="IV120"/>
  <c r="IW120"/>
  <c r="IX120"/>
  <c r="IU121"/>
  <c r="IV121"/>
  <c r="IW121"/>
  <c r="IX121"/>
  <c r="IU122"/>
  <c r="IV122"/>
  <c r="IW122"/>
  <c r="IX122"/>
  <c r="IU123"/>
  <c r="IV123"/>
  <c r="IW123"/>
  <c r="IX123"/>
  <c r="IU124"/>
  <c r="IV124"/>
  <c r="IW124"/>
  <c r="IX124"/>
  <c r="IU125"/>
  <c r="IV125"/>
  <c r="IW125"/>
  <c r="IX125"/>
  <c r="IU126"/>
  <c r="IV126"/>
  <c r="IW126"/>
  <c r="IX126"/>
  <c r="IU127"/>
  <c r="IV127"/>
  <c r="IW127"/>
  <c r="IX127"/>
  <c r="IU128"/>
  <c r="IV128"/>
  <c r="IW128"/>
  <c r="IX128"/>
  <c r="IU129"/>
  <c r="IV129"/>
  <c r="IW129"/>
  <c r="IX129"/>
  <c r="IU130"/>
  <c r="IV130"/>
  <c r="IW130"/>
  <c r="IX130"/>
  <c r="IU131"/>
  <c r="IV131"/>
  <c r="IW131"/>
  <c r="IX131"/>
  <c r="IU132"/>
  <c r="IV132"/>
  <c r="IW132"/>
  <c r="IX132"/>
  <c r="IU133"/>
  <c r="IV133"/>
  <c r="IW133"/>
  <c r="IX133"/>
  <c r="IU134"/>
  <c r="IV134"/>
  <c r="IW134"/>
  <c r="IX134"/>
  <c r="IU135"/>
  <c r="IV135"/>
  <c r="IW135"/>
  <c r="IX135"/>
  <c r="IU136"/>
  <c r="IV136"/>
  <c r="IW136"/>
  <c r="IX136"/>
  <c r="IU137"/>
  <c r="IV137"/>
  <c r="IW137"/>
  <c r="IX137"/>
  <c r="IU138"/>
  <c r="IV138"/>
  <c r="IW138"/>
  <c r="IX138"/>
  <c r="IU139"/>
  <c r="IV139"/>
  <c r="IW139"/>
  <c r="IX139"/>
  <c r="IU140"/>
  <c r="IV140"/>
  <c r="IW140"/>
  <c r="IX140"/>
  <c r="IU141"/>
  <c r="IV141"/>
  <c r="IW141"/>
  <c r="IX141"/>
  <c r="IU142"/>
  <c r="IV142"/>
  <c r="IW142"/>
  <c r="IX142"/>
  <c r="IU143"/>
  <c r="IV143"/>
  <c r="IW143"/>
  <c r="IX143"/>
  <c r="IU144"/>
  <c r="IV144"/>
  <c r="IW144"/>
  <c r="IX144"/>
  <c r="IU145"/>
  <c r="IV145"/>
  <c r="IW145"/>
  <c r="IX145"/>
  <c r="IU146"/>
  <c r="IV146"/>
  <c r="IW146"/>
  <c r="IX146"/>
  <c r="IU147"/>
  <c r="IV147"/>
  <c r="IW147"/>
  <c r="IX147"/>
  <c r="IU148"/>
  <c r="IV148"/>
  <c r="IW148"/>
  <c r="IX148"/>
  <c r="IU149"/>
  <c r="IV149"/>
  <c r="IW149"/>
  <c r="IX149"/>
  <c r="IU150"/>
  <c r="IV150"/>
  <c r="IW150"/>
  <c r="IX150"/>
  <c r="IU151"/>
  <c r="IV151"/>
  <c r="IW151"/>
  <c r="IX151"/>
  <c r="IU152"/>
  <c r="IV152"/>
  <c r="IW152"/>
  <c r="IX152"/>
  <c r="IU153"/>
  <c r="IV153"/>
  <c r="IW153"/>
  <c r="IX153"/>
  <c r="IU154"/>
  <c r="IV154"/>
  <c r="IW154"/>
  <c r="IX154"/>
  <c r="IU155"/>
  <c r="IV155"/>
  <c r="IW155"/>
  <c r="IX155"/>
  <c r="IU156"/>
  <c r="IV156"/>
  <c r="IW156"/>
  <c r="IX156"/>
  <c r="IU157"/>
  <c r="IV157"/>
  <c r="IW157"/>
  <c r="IX157"/>
  <c r="IU158"/>
  <c r="IV158"/>
  <c r="IW158"/>
  <c r="IX158"/>
  <c r="IU159"/>
  <c r="IV159"/>
  <c r="IW159"/>
  <c r="IX159"/>
  <c r="IU160"/>
  <c r="IV160"/>
  <c r="IW160"/>
  <c r="IX160"/>
  <c r="IU161"/>
  <c r="IV161"/>
  <c r="IW161"/>
  <c r="IX161"/>
  <c r="IU162"/>
  <c r="IV162"/>
  <c r="IW162"/>
  <c r="IX162"/>
  <c r="IU163"/>
  <c r="IV163"/>
  <c r="IW163"/>
  <c r="IX163"/>
  <c r="IU164"/>
  <c r="IV164"/>
  <c r="IW164"/>
  <c r="IX164"/>
  <c r="IU165"/>
  <c r="IV165"/>
  <c r="IW165"/>
  <c r="IX165"/>
  <c r="IU166"/>
  <c r="IV166"/>
  <c r="IW166"/>
  <c r="IX166"/>
  <c r="IU167"/>
  <c r="IV167"/>
  <c r="IW167"/>
  <c r="IX167"/>
  <c r="IU168"/>
  <c r="IV168"/>
  <c r="IW168"/>
  <c r="IX168"/>
  <c r="IU169"/>
  <c r="IV169"/>
  <c r="IW169"/>
  <c r="IX169"/>
  <c r="IU170"/>
  <c r="IV170"/>
  <c r="IW170"/>
  <c r="IX170"/>
  <c r="IU171"/>
  <c r="IV171"/>
  <c r="IW171"/>
  <c r="IX171"/>
  <c r="IU172"/>
  <c r="IV172"/>
  <c r="IW172"/>
  <c r="IX172"/>
  <c r="IU173"/>
  <c r="IV173"/>
  <c r="IW173"/>
  <c r="IX173"/>
  <c r="IU174"/>
  <c r="IV174"/>
  <c r="IW174"/>
  <c r="IX174"/>
  <c r="IU175"/>
  <c r="IV175"/>
  <c r="IW175"/>
  <c r="IX175"/>
  <c r="IU176"/>
  <c r="IV176"/>
  <c r="IW176"/>
  <c r="IX176"/>
  <c r="IU177"/>
  <c r="IV177"/>
  <c r="IW177"/>
  <c r="IX177"/>
  <c r="IU178"/>
  <c r="IV178"/>
  <c r="IW178"/>
  <c r="IX178"/>
  <c r="IU179"/>
  <c r="IV179"/>
  <c r="IW179"/>
  <c r="IX179"/>
  <c r="IU180"/>
  <c r="IV180"/>
  <c r="IW180"/>
  <c r="IX180"/>
  <c r="IU181"/>
  <c r="IV181"/>
  <c r="IW181"/>
  <c r="IX181"/>
  <c r="IU182"/>
  <c r="IV182"/>
  <c r="IW182"/>
  <c r="IX182"/>
  <c r="IU183"/>
  <c r="IV183"/>
  <c r="IW183"/>
  <c r="IX183"/>
  <c r="IU184"/>
  <c r="IV184"/>
  <c r="IW184"/>
  <c r="IX184"/>
  <c r="IU185"/>
  <c r="IV185"/>
  <c r="IW185"/>
  <c r="IX185"/>
  <c r="IU186"/>
  <c r="IV186"/>
  <c r="IW186"/>
  <c r="IX186"/>
  <c r="IU187"/>
  <c r="IV187"/>
  <c r="IW187"/>
  <c r="IX187"/>
  <c r="IU188"/>
  <c r="IV188"/>
  <c r="IW188"/>
  <c r="IX188"/>
  <c r="IU189"/>
  <c r="IV189"/>
  <c r="IW189"/>
  <c r="IX189"/>
  <c r="IU190"/>
  <c r="IV190"/>
  <c r="IW190"/>
  <c r="IX190"/>
  <c r="IU191"/>
  <c r="IV191"/>
  <c r="IW191"/>
  <c r="IX191"/>
  <c r="IU192"/>
  <c r="IV192"/>
  <c r="IW192"/>
  <c r="IX192"/>
  <c r="IU193"/>
  <c r="IV193"/>
  <c r="IW193"/>
  <c r="IX193"/>
  <c r="IU194"/>
  <c r="IV194"/>
  <c r="IW194"/>
  <c r="IX194"/>
  <c r="IU195"/>
  <c r="IV195"/>
  <c r="IW195"/>
  <c r="IX195"/>
  <c r="IU196"/>
  <c r="IV196"/>
  <c r="IW196"/>
  <c r="IX196"/>
  <c r="IU197"/>
  <c r="IV197"/>
  <c r="IW197"/>
  <c r="IX197"/>
  <c r="IU198"/>
  <c r="IV198"/>
  <c r="IW198"/>
  <c r="IX198"/>
  <c r="IU199"/>
  <c r="IV199"/>
  <c r="IW199"/>
  <c r="IX199"/>
  <c r="IU200"/>
  <c r="IV200"/>
  <c r="IW200"/>
  <c r="IX200"/>
  <c r="IU201"/>
  <c r="IV201"/>
  <c r="IW201"/>
  <c r="IX201"/>
  <c r="IU202"/>
  <c r="IV202"/>
  <c r="IW202"/>
  <c r="IX202"/>
  <c r="IU203"/>
  <c r="IV203"/>
  <c r="IW203"/>
  <c r="IX203"/>
  <c r="IU204"/>
  <c r="IV204"/>
  <c r="IW204"/>
  <c r="IX204"/>
  <c r="IU205"/>
  <c r="IV205"/>
  <c r="IW205"/>
  <c r="IX205"/>
  <c r="IU206"/>
  <c r="IV206"/>
  <c r="IW206"/>
  <c r="IX206"/>
  <c r="IU207"/>
  <c r="IV207"/>
  <c r="IW207"/>
  <c r="IX207"/>
  <c r="IU208"/>
  <c r="IV208"/>
  <c r="IW208"/>
  <c r="IX208"/>
  <c r="IU209"/>
  <c r="IV209"/>
  <c r="IW209"/>
  <c r="IX209"/>
  <c r="IU210"/>
  <c r="IV210"/>
  <c r="IW210"/>
  <c r="IX210"/>
  <c r="IU211"/>
  <c r="IV211"/>
  <c r="IW211"/>
  <c r="IX211"/>
  <c r="IU212"/>
  <c r="IV212"/>
  <c r="IW212"/>
  <c r="IX212"/>
  <c r="IU213"/>
  <c r="IV213"/>
  <c r="IW213"/>
  <c r="IX213"/>
  <c r="IU214"/>
  <c r="IV214"/>
  <c r="IW214"/>
  <c r="IX214"/>
  <c r="IU215"/>
  <c r="IV215"/>
  <c r="IW215"/>
  <c r="IX215"/>
  <c r="IU216"/>
  <c r="IV216"/>
  <c r="IW216"/>
  <c r="IX216"/>
  <c r="IU217"/>
  <c r="IV217"/>
  <c r="IW217"/>
  <c r="IX217"/>
  <c r="IU218"/>
  <c r="IV218"/>
  <c r="IW218"/>
  <c r="IX218"/>
  <c r="IW7"/>
  <c r="IV7"/>
  <c r="AJ11" i="15"/>
  <c r="JE13" i="9" s="1"/>
  <c r="AJ6" i="15"/>
  <c r="JE8" i="9" s="1"/>
  <c r="AK6" i="15"/>
  <c r="JL8" i="9" s="1"/>
  <c r="AJ7" i="15"/>
  <c r="JE9" i="9" s="1"/>
  <c r="AK7" i="15"/>
  <c r="JL9" i="9" s="1"/>
  <c r="AJ8" i="15"/>
  <c r="JE10" i="9" s="1"/>
  <c r="AK8" i="15"/>
  <c r="JL10" i="9" s="1"/>
  <c r="AJ9" i="15"/>
  <c r="JE11" i="9" s="1"/>
  <c r="AK9" i="15"/>
  <c r="JL11" i="9" s="1"/>
  <c r="AJ10" i="15"/>
  <c r="JE12" i="9" s="1"/>
  <c r="AK10" i="15"/>
  <c r="JL12" i="9" s="1"/>
  <c r="AK11" i="15"/>
  <c r="JL13" i="9" s="1"/>
  <c r="AJ12" i="15"/>
  <c r="JE14" i="9" s="1"/>
  <c r="AK12" i="15"/>
  <c r="JL14" i="9" s="1"/>
  <c r="AJ13" i="15"/>
  <c r="JE15" i="9" s="1"/>
  <c r="AK13" i="15"/>
  <c r="JL15" i="9" s="1"/>
  <c r="AJ14" i="15"/>
  <c r="JE16" i="9" s="1"/>
  <c r="AK14" i="15"/>
  <c r="JL16" i="9" s="1"/>
  <c r="AJ15" i="15"/>
  <c r="JE17" i="9" s="1"/>
  <c r="AK15" i="15"/>
  <c r="JL17" i="9" s="1"/>
  <c r="AJ16" i="15"/>
  <c r="JE18" i="9" s="1"/>
  <c r="AK16" i="15"/>
  <c r="JL18" i="9" s="1"/>
  <c r="AJ17" i="15"/>
  <c r="JE19" i="9" s="1"/>
  <c r="AK17" i="15"/>
  <c r="JL19" i="9" s="1"/>
  <c r="AJ18" i="15"/>
  <c r="JE20" i="9" s="1"/>
  <c r="AK18" i="15"/>
  <c r="JL20" i="9" s="1"/>
  <c r="AJ19" i="15"/>
  <c r="JE21" i="9" s="1"/>
  <c r="AK19" i="15"/>
  <c r="JL21" i="9" s="1"/>
  <c r="AJ20" i="15"/>
  <c r="JE22" i="9" s="1"/>
  <c r="AK20" i="15"/>
  <c r="JL22" i="9" s="1"/>
  <c r="AJ21" i="15"/>
  <c r="JE23" i="9" s="1"/>
  <c r="AK21" i="15"/>
  <c r="JL23" i="9" s="1"/>
  <c r="AJ22" i="15"/>
  <c r="JE24" i="9" s="1"/>
  <c r="AK22" i="15"/>
  <c r="JL24" i="9" s="1"/>
  <c r="AJ23" i="15"/>
  <c r="JE25" i="9" s="1"/>
  <c r="AK23" i="15"/>
  <c r="JL25" i="9" s="1"/>
  <c r="AJ24" i="15"/>
  <c r="JE26" i="9" s="1"/>
  <c r="AK24" i="15"/>
  <c r="JL26" i="9" s="1"/>
  <c r="AJ25" i="15"/>
  <c r="JE27" i="9" s="1"/>
  <c r="AK25" i="15"/>
  <c r="JL27" i="9" s="1"/>
  <c r="AJ26" i="15"/>
  <c r="JE28" i="9" s="1"/>
  <c r="AK26" i="15"/>
  <c r="JL28" i="9" s="1"/>
  <c r="AJ27" i="15"/>
  <c r="JE29" i="9" s="1"/>
  <c r="AK27" i="15"/>
  <c r="JL29" i="9" s="1"/>
  <c r="AJ28" i="15"/>
  <c r="JE30" i="9" s="1"/>
  <c r="AK28" i="15"/>
  <c r="JL30" i="9" s="1"/>
  <c r="AJ29" i="15"/>
  <c r="JE31" i="9" s="1"/>
  <c r="AK29" i="15"/>
  <c r="JL31" i="9" s="1"/>
  <c r="AJ30" i="15"/>
  <c r="JE32" i="9" s="1"/>
  <c r="AK30" i="15"/>
  <c r="JL32" i="9" s="1"/>
  <c r="AJ31" i="15"/>
  <c r="JE33" i="9" s="1"/>
  <c r="AK31" i="15"/>
  <c r="JL33" i="9" s="1"/>
  <c r="AJ32" i="15"/>
  <c r="JE34" i="9" s="1"/>
  <c r="AK32" i="15"/>
  <c r="JL34" i="9" s="1"/>
  <c r="AJ33" i="15"/>
  <c r="JE35" i="9" s="1"/>
  <c r="AK33" i="15"/>
  <c r="JL35" i="9" s="1"/>
  <c r="AJ34" i="15"/>
  <c r="JE36" i="9" s="1"/>
  <c r="AK34" i="15"/>
  <c r="JL36" i="9" s="1"/>
  <c r="AJ35" i="15"/>
  <c r="JE37" i="9" s="1"/>
  <c r="AK35" i="15"/>
  <c r="JL37" i="9" s="1"/>
  <c r="AJ36" i="15"/>
  <c r="JE38" i="9" s="1"/>
  <c r="AK36" i="15"/>
  <c r="JL38" i="9" s="1"/>
  <c r="AJ37" i="15"/>
  <c r="JE39" i="9" s="1"/>
  <c r="AK37" i="15"/>
  <c r="JL39" i="9" s="1"/>
  <c r="AJ38" i="15"/>
  <c r="JE40" i="9" s="1"/>
  <c r="AK38" i="15"/>
  <c r="JL40" i="9" s="1"/>
  <c r="AJ39" i="15"/>
  <c r="JE41" i="9" s="1"/>
  <c r="AK39" i="15"/>
  <c r="JL41" i="9" s="1"/>
  <c r="AJ40" i="15"/>
  <c r="JE42" i="9" s="1"/>
  <c r="AK40" i="15"/>
  <c r="JL42" i="9" s="1"/>
  <c r="AJ41" i="15"/>
  <c r="JE43" i="9" s="1"/>
  <c r="AK41" i="15"/>
  <c r="JL43" i="9" s="1"/>
  <c r="AJ42" i="15"/>
  <c r="JE44" i="9" s="1"/>
  <c r="AK42" i="15"/>
  <c r="JL44" i="9" s="1"/>
  <c r="AJ43" i="15"/>
  <c r="JE45" i="9" s="1"/>
  <c r="AK43" i="15"/>
  <c r="JL45" i="9" s="1"/>
  <c r="AJ44" i="15"/>
  <c r="JE46" i="9" s="1"/>
  <c r="AK44" i="15"/>
  <c r="JL46" i="9" s="1"/>
  <c r="AJ45" i="15"/>
  <c r="JE47" i="9" s="1"/>
  <c r="AK45" i="15"/>
  <c r="JL47" i="9" s="1"/>
  <c r="AJ46" i="15"/>
  <c r="JE48" i="9" s="1"/>
  <c r="AK46" i="15"/>
  <c r="JL48" i="9" s="1"/>
  <c r="AJ47" i="15"/>
  <c r="JE49" i="9" s="1"/>
  <c r="AK47" i="15"/>
  <c r="JL49" i="9" s="1"/>
  <c r="AJ48" i="15"/>
  <c r="JE50" i="9" s="1"/>
  <c r="AK48" i="15"/>
  <c r="JL50" i="9" s="1"/>
  <c r="AJ49" i="15"/>
  <c r="JE51" i="9" s="1"/>
  <c r="AK49" i="15"/>
  <c r="JL51" i="9" s="1"/>
  <c r="AJ50" i="15"/>
  <c r="JE52" i="9" s="1"/>
  <c r="AK50" i="15"/>
  <c r="JL52" i="9" s="1"/>
  <c r="AJ51" i="15"/>
  <c r="JE53" i="9" s="1"/>
  <c r="AK51" i="15"/>
  <c r="JL53" i="9" s="1"/>
  <c r="AJ52" i="15"/>
  <c r="JE54" i="9" s="1"/>
  <c r="AK52" i="15"/>
  <c r="JL54" i="9" s="1"/>
  <c r="AJ53" i="15"/>
  <c r="JE55" i="9" s="1"/>
  <c r="AK53" i="15"/>
  <c r="JL55" i="9" s="1"/>
  <c r="AJ54" i="15"/>
  <c r="JE56" i="9" s="1"/>
  <c r="AK54" i="15"/>
  <c r="JL56" i="9" s="1"/>
  <c r="AJ55" i="15"/>
  <c r="JE57" i="9" s="1"/>
  <c r="AK55" i="15"/>
  <c r="JL57" i="9" s="1"/>
  <c r="AJ56" i="15"/>
  <c r="JE58" i="9" s="1"/>
  <c r="AK56" i="15"/>
  <c r="JL58" i="9" s="1"/>
  <c r="AJ57" i="15"/>
  <c r="JE59" i="9" s="1"/>
  <c r="AK57" i="15"/>
  <c r="JL59" i="9" s="1"/>
  <c r="AJ58" i="15"/>
  <c r="JE60" i="9" s="1"/>
  <c r="AK58" i="15"/>
  <c r="JL60" i="9" s="1"/>
  <c r="AJ59" i="15"/>
  <c r="JE61" i="9" s="1"/>
  <c r="AK59" i="15"/>
  <c r="JL61" i="9" s="1"/>
  <c r="AJ60" i="15"/>
  <c r="JE62" i="9" s="1"/>
  <c r="AK60" i="15"/>
  <c r="JL62" i="9" s="1"/>
  <c r="AJ61" i="15"/>
  <c r="JE63" i="9" s="1"/>
  <c r="AK61" i="15"/>
  <c r="JL63" i="9" s="1"/>
  <c r="AJ62" i="15"/>
  <c r="JE64" i="9" s="1"/>
  <c r="AK62" i="15"/>
  <c r="JL64" i="9" s="1"/>
  <c r="AJ63" i="15"/>
  <c r="JE65" i="9" s="1"/>
  <c r="AK63" i="15"/>
  <c r="JL65" i="9" s="1"/>
  <c r="AJ64" i="15"/>
  <c r="JE66" i="9" s="1"/>
  <c r="AK64" i="15"/>
  <c r="JL66" i="9" s="1"/>
  <c r="AJ65" i="15"/>
  <c r="JE67" i="9" s="1"/>
  <c r="AK65" i="15"/>
  <c r="JL67" i="9" s="1"/>
  <c r="AJ66" i="15"/>
  <c r="JE68" i="9" s="1"/>
  <c r="AK66" i="15"/>
  <c r="JL68" i="9" s="1"/>
  <c r="AJ67" i="15"/>
  <c r="JE69" i="9" s="1"/>
  <c r="AK67" i="15"/>
  <c r="JL69" i="9" s="1"/>
  <c r="AJ68" i="15"/>
  <c r="JE70" i="9" s="1"/>
  <c r="AK68" i="15"/>
  <c r="JL70" i="9" s="1"/>
  <c r="AJ69" i="15"/>
  <c r="JE71" i="9" s="1"/>
  <c r="AK69" i="15"/>
  <c r="JL71" i="9" s="1"/>
  <c r="AJ70" i="15"/>
  <c r="JE72" i="9" s="1"/>
  <c r="AK70" i="15"/>
  <c r="JL72" i="9" s="1"/>
  <c r="AJ71" i="15"/>
  <c r="JE73" i="9" s="1"/>
  <c r="AK71" i="15"/>
  <c r="JL73" i="9" s="1"/>
  <c r="AJ72" i="15"/>
  <c r="JE74" i="9" s="1"/>
  <c r="AK72" i="15"/>
  <c r="JL74" i="9" s="1"/>
  <c r="AJ73" i="15"/>
  <c r="JE75" i="9" s="1"/>
  <c r="AK73" i="15"/>
  <c r="JL75" i="9" s="1"/>
  <c r="AJ74" i="15"/>
  <c r="JE76" i="9" s="1"/>
  <c r="AK74" i="15"/>
  <c r="JL76" i="9" s="1"/>
  <c r="AJ75" i="15"/>
  <c r="JE77" i="9" s="1"/>
  <c r="AK75" i="15"/>
  <c r="JL77" i="9" s="1"/>
  <c r="AJ76" i="15"/>
  <c r="JE78" i="9" s="1"/>
  <c r="AK76" i="15"/>
  <c r="JL78" i="9" s="1"/>
  <c r="AJ77" i="15"/>
  <c r="JE79" i="9" s="1"/>
  <c r="AK77" i="15"/>
  <c r="JL79" i="9" s="1"/>
  <c r="AJ78" i="15"/>
  <c r="JE80" i="9" s="1"/>
  <c r="AK78" i="15"/>
  <c r="JL80" i="9" s="1"/>
  <c r="AJ79" i="15"/>
  <c r="JE81" i="9" s="1"/>
  <c r="AK79" i="15"/>
  <c r="JL81" i="9" s="1"/>
  <c r="AJ80" i="15"/>
  <c r="JE82" i="9" s="1"/>
  <c r="AK80" i="15"/>
  <c r="JL82" i="9" s="1"/>
  <c r="AJ81" i="15"/>
  <c r="JE83" i="9" s="1"/>
  <c r="AK81" i="15"/>
  <c r="JL83" i="9" s="1"/>
  <c r="AJ82" i="15"/>
  <c r="JE84" i="9" s="1"/>
  <c r="AK82" i="15"/>
  <c r="JL84" i="9" s="1"/>
  <c r="AJ83" i="15"/>
  <c r="JE85" i="9" s="1"/>
  <c r="AK83" i="15"/>
  <c r="JL85" i="9" s="1"/>
  <c r="AJ84" i="15"/>
  <c r="JE86" i="9" s="1"/>
  <c r="AK84" i="15"/>
  <c r="JL86" i="9" s="1"/>
  <c r="AJ85" i="15"/>
  <c r="JE87" i="9" s="1"/>
  <c r="AK85" i="15"/>
  <c r="JL87" i="9" s="1"/>
  <c r="AJ86" i="15"/>
  <c r="JE88" i="9" s="1"/>
  <c r="AK86" i="15"/>
  <c r="JL88" i="9" s="1"/>
  <c r="AJ87" i="15"/>
  <c r="JE89" i="9" s="1"/>
  <c r="AK87" i="15"/>
  <c r="JL89" i="9" s="1"/>
  <c r="AJ88" i="15"/>
  <c r="JE90" i="9" s="1"/>
  <c r="AK88" i="15"/>
  <c r="JL90" i="9" s="1"/>
  <c r="AJ89" i="15"/>
  <c r="JE91" i="9" s="1"/>
  <c r="AK89" i="15"/>
  <c r="JL91" i="9" s="1"/>
  <c r="AJ90" i="15"/>
  <c r="JE92" i="9" s="1"/>
  <c r="AK90" i="15"/>
  <c r="JL92" i="9" s="1"/>
  <c r="AJ91" i="15"/>
  <c r="JE93" i="9" s="1"/>
  <c r="AK91" i="15"/>
  <c r="JL93" i="9" s="1"/>
  <c r="AJ92" i="15"/>
  <c r="JE94" i="9" s="1"/>
  <c r="AK92" i="15"/>
  <c r="JL94" i="9" s="1"/>
  <c r="AJ93" i="15"/>
  <c r="JE95" i="9" s="1"/>
  <c r="AK93" i="15"/>
  <c r="JL95" i="9" s="1"/>
  <c r="AJ94" i="15"/>
  <c r="JE96" i="9" s="1"/>
  <c r="AK94" i="15"/>
  <c r="JL96" i="9" s="1"/>
  <c r="AJ95" i="15"/>
  <c r="JE97" i="9" s="1"/>
  <c r="AK95" i="15"/>
  <c r="JL97" i="9" s="1"/>
  <c r="AJ96" i="15"/>
  <c r="JE98" i="9" s="1"/>
  <c r="AK96" i="15"/>
  <c r="JL98" i="9" s="1"/>
  <c r="AJ97" i="15"/>
  <c r="JE99" i="9" s="1"/>
  <c r="AK97" i="15"/>
  <c r="JL99" i="9" s="1"/>
  <c r="AJ98" i="15"/>
  <c r="JE100" i="9" s="1"/>
  <c r="AK98" i="15"/>
  <c r="JL100" i="9" s="1"/>
  <c r="AJ99" i="15"/>
  <c r="JE101" i="9" s="1"/>
  <c r="AK99" i="15"/>
  <c r="JL101" i="9" s="1"/>
  <c r="AJ100" i="15"/>
  <c r="JE102" i="9" s="1"/>
  <c r="AK100" i="15"/>
  <c r="JL102" i="9" s="1"/>
  <c r="AJ101" i="15"/>
  <c r="JE103" i="9" s="1"/>
  <c r="AK101" i="15"/>
  <c r="JL103" i="9" s="1"/>
  <c r="AJ102" i="15"/>
  <c r="JE104" i="9" s="1"/>
  <c r="AK102" i="15"/>
  <c r="JL104" i="9" s="1"/>
  <c r="AJ103" i="15"/>
  <c r="JE105" i="9" s="1"/>
  <c r="AK103" i="15"/>
  <c r="JL105" i="9" s="1"/>
  <c r="AJ104" i="15"/>
  <c r="JE106" i="9" s="1"/>
  <c r="AK104" i="15"/>
  <c r="JL106" i="9" s="1"/>
  <c r="AJ105" i="15"/>
  <c r="JE107" i="9" s="1"/>
  <c r="AK105" i="15"/>
  <c r="JL107" i="9" s="1"/>
  <c r="AJ106" i="15"/>
  <c r="JE108" i="9" s="1"/>
  <c r="AK106" i="15"/>
  <c r="JL108" i="9" s="1"/>
  <c r="AJ107" i="15"/>
  <c r="JE109" i="9" s="1"/>
  <c r="AK107" i="15"/>
  <c r="JL109" i="9" s="1"/>
  <c r="AJ108" i="15"/>
  <c r="JE110" i="9" s="1"/>
  <c r="AK108" i="15"/>
  <c r="JL110" i="9" s="1"/>
  <c r="AJ109" i="15"/>
  <c r="JE111" i="9" s="1"/>
  <c r="AK109" i="15"/>
  <c r="JL111" i="9" s="1"/>
  <c r="AJ110" i="15"/>
  <c r="JE112" i="9" s="1"/>
  <c r="AK110" i="15"/>
  <c r="JL112" i="9" s="1"/>
  <c r="AJ111" i="15"/>
  <c r="JE113" i="9" s="1"/>
  <c r="AK111" i="15"/>
  <c r="JL113" i="9" s="1"/>
  <c r="AJ112" i="15"/>
  <c r="JE114" i="9" s="1"/>
  <c r="AK112" i="15"/>
  <c r="JL114" i="9" s="1"/>
  <c r="AJ113" i="15"/>
  <c r="JE115" i="9" s="1"/>
  <c r="AK113" i="15"/>
  <c r="JL115" i="9" s="1"/>
  <c r="AJ114" i="15"/>
  <c r="JE116" i="9" s="1"/>
  <c r="AK114" i="15"/>
  <c r="JL116" i="9" s="1"/>
  <c r="AJ115" i="15"/>
  <c r="JE117" i="9" s="1"/>
  <c r="AK115" i="15"/>
  <c r="JL117" i="9" s="1"/>
  <c r="AJ116" i="15"/>
  <c r="JE118" i="9" s="1"/>
  <c r="AK116" i="15"/>
  <c r="JL118" i="9" s="1"/>
  <c r="AJ117" i="15"/>
  <c r="JE119" i="9" s="1"/>
  <c r="AK117" i="15"/>
  <c r="JL119" i="9" s="1"/>
  <c r="AJ118" i="15"/>
  <c r="JE120" i="9" s="1"/>
  <c r="AK118" i="15"/>
  <c r="JL120" i="9" s="1"/>
  <c r="AJ119" i="15"/>
  <c r="JE121" i="9" s="1"/>
  <c r="AK119" i="15"/>
  <c r="JL121" i="9" s="1"/>
  <c r="AJ120" i="15"/>
  <c r="JE122" i="9" s="1"/>
  <c r="AK120" i="15"/>
  <c r="JL122" i="9" s="1"/>
  <c r="AJ121" i="15"/>
  <c r="JE123" i="9" s="1"/>
  <c r="AK121" i="15"/>
  <c r="JL123" i="9" s="1"/>
  <c r="AJ122" i="15"/>
  <c r="JE124" i="9" s="1"/>
  <c r="AK122" i="15"/>
  <c r="JL124" i="9" s="1"/>
  <c r="AJ123" i="15"/>
  <c r="JE125" i="9" s="1"/>
  <c r="AK123" i="15"/>
  <c r="JL125" i="9" s="1"/>
  <c r="AJ124" i="15"/>
  <c r="JE126" i="9" s="1"/>
  <c r="AK124" i="15"/>
  <c r="JL126" i="9" s="1"/>
  <c r="AJ125" i="15"/>
  <c r="JE127" i="9" s="1"/>
  <c r="AK125" i="15"/>
  <c r="JL127" i="9" s="1"/>
  <c r="AJ126" i="15"/>
  <c r="JE128" i="9" s="1"/>
  <c r="AK126" i="15"/>
  <c r="JL128" i="9" s="1"/>
  <c r="AJ127" i="15"/>
  <c r="JE129" i="9" s="1"/>
  <c r="AK127" i="15"/>
  <c r="JL129" i="9" s="1"/>
  <c r="AJ128" i="15"/>
  <c r="JE130" i="9" s="1"/>
  <c r="AK128" i="15"/>
  <c r="JL130" i="9" s="1"/>
  <c r="AJ129" i="15"/>
  <c r="JE131" i="9" s="1"/>
  <c r="AK129" i="15"/>
  <c r="JL131" i="9" s="1"/>
  <c r="AJ130" i="15"/>
  <c r="JE132" i="9" s="1"/>
  <c r="AK130" i="15"/>
  <c r="JL132" i="9" s="1"/>
  <c r="AJ131" i="15"/>
  <c r="JE133" i="9" s="1"/>
  <c r="AK131" i="15"/>
  <c r="JL133" i="9" s="1"/>
  <c r="AJ132" i="15"/>
  <c r="JE134" i="9" s="1"/>
  <c r="AK132" i="15"/>
  <c r="JL134" i="9" s="1"/>
  <c r="AJ133" i="15"/>
  <c r="JE135" i="9" s="1"/>
  <c r="AK133" i="15"/>
  <c r="JL135" i="9" s="1"/>
  <c r="AJ134" i="15"/>
  <c r="JE136" i="9" s="1"/>
  <c r="AK134" i="15"/>
  <c r="JL136" i="9" s="1"/>
  <c r="AJ135" i="15"/>
  <c r="JE137" i="9" s="1"/>
  <c r="AK135" i="15"/>
  <c r="JL137" i="9" s="1"/>
  <c r="AJ136" i="15"/>
  <c r="JE138" i="9" s="1"/>
  <c r="AK136" i="15"/>
  <c r="JL138" i="9" s="1"/>
  <c r="AJ137" i="15"/>
  <c r="JE139" i="9" s="1"/>
  <c r="AK137" i="15"/>
  <c r="JL139" i="9" s="1"/>
  <c r="AJ138" i="15"/>
  <c r="JE140" i="9" s="1"/>
  <c r="AK138" i="15"/>
  <c r="JL140" i="9" s="1"/>
  <c r="AJ139" i="15"/>
  <c r="JE141" i="9" s="1"/>
  <c r="AK139" i="15"/>
  <c r="JL141" i="9" s="1"/>
  <c r="AJ140" i="15"/>
  <c r="JE142" i="9" s="1"/>
  <c r="AK140" i="15"/>
  <c r="JL142" i="9" s="1"/>
  <c r="AJ141" i="15"/>
  <c r="JE143" i="9" s="1"/>
  <c r="AK141" i="15"/>
  <c r="JL143" i="9" s="1"/>
  <c r="AJ142" i="15"/>
  <c r="JE144" i="9" s="1"/>
  <c r="AK142" i="15"/>
  <c r="JL144" i="9" s="1"/>
  <c r="AJ143" i="15"/>
  <c r="JE145" i="9" s="1"/>
  <c r="AK143" i="15"/>
  <c r="JL145" i="9" s="1"/>
  <c r="AJ144" i="15"/>
  <c r="JE146" i="9" s="1"/>
  <c r="AK144" i="15"/>
  <c r="JL146" i="9" s="1"/>
  <c r="AJ145" i="15"/>
  <c r="JE147" i="9" s="1"/>
  <c r="AK145" i="15"/>
  <c r="JL147" i="9" s="1"/>
  <c r="AJ146" i="15"/>
  <c r="JE148" i="9" s="1"/>
  <c r="AK146" i="15"/>
  <c r="JL148" i="9" s="1"/>
  <c r="AJ147" i="15"/>
  <c r="JE149" i="9" s="1"/>
  <c r="AK147" i="15"/>
  <c r="JL149" i="9" s="1"/>
  <c r="AJ148" i="15"/>
  <c r="JE150" i="9" s="1"/>
  <c r="AK148" i="15"/>
  <c r="JL150" i="9" s="1"/>
  <c r="AJ149" i="15"/>
  <c r="JE151" i="9" s="1"/>
  <c r="AK149" i="15"/>
  <c r="JL151" i="9" s="1"/>
  <c r="AJ150" i="15"/>
  <c r="JE152" i="9" s="1"/>
  <c r="AK150" i="15"/>
  <c r="JL152" i="9" s="1"/>
  <c r="AJ151" i="15"/>
  <c r="JE153" i="9" s="1"/>
  <c r="AK151" i="15"/>
  <c r="JL153" i="9" s="1"/>
  <c r="AJ152" i="15"/>
  <c r="JE154" i="9" s="1"/>
  <c r="AK152" i="15"/>
  <c r="JL154" i="9" s="1"/>
  <c r="AJ153" i="15"/>
  <c r="JE155" i="9" s="1"/>
  <c r="AK153" i="15"/>
  <c r="JL155" i="9" s="1"/>
  <c r="AJ154" i="15"/>
  <c r="JE156" i="9" s="1"/>
  <c r="AK154" i="15"/>
  <c r="JL156" i="9" s="1"/>
  <c r="AJ155" i="15"/>
  <c r="JE157" i="9" s="1"/>
  <c r="AK155" i="15"/>
  <c r="JL157" i="9" s="1"/>
  <c r="AJ156" i="15"/>
  <c r="JE158" i="9" s="1"/>
  <c r="AK156" i="15"/>
  <c r="JL158" i="9" s="1"/>
  <c r="AJ157" i="15"/>
  <c r="JE159" i="9" s="1"/>
  <c r="AK157" i="15"/>
  <c r="JL159" i="9" s="1"/>
  <c r="AJ158" i="15"/>
  <c r="JE160" i="9" s="1"/>
  <c r="AK158" i="15"/>
  <c r="JL160" i="9" s="1"/>
  <c r="AJ159" i="15"/>
  <c r="JE161" i="9" s="1"/>
  <c r="AK159" i="15"/>
  <c r="JL161" i="9" s="1"/>
  <c r="AJ160" i="15"/>
  <c r="JE162" i="9" s="1"/>
  <c r="AK160" i="15"/>
  <c r="JL162" i="9" s="1"/>
  <c r="AJ161" i="15"/>
  <c r="JE163" i="9" s="1"/>
  <c r="AK161" i="15"/>
  <c r="JL163" i="9" s="1"/>
  <c r="AJ162" i="15"/>
  <c r="JE164" i="9" s="1"/>
  <c r="AK162" i="15"/>
  <c r="JL164" i="9" s="1"/>
  <c r="AJ163" i="15"/>
  <c r="JE165" i="9" s="1"/>
  <c r="AK163" i="15"/>
  <c r="JL165" i="9" s="1"/>
  <c r="AJ164" i="15"/>
  <c r="JE166" i="9" s="1"/>
  <c r="AK164" i="15"/>
  <c r="JL166" i="9" s="1"/>
  <c r="AJ165" i="15"/>
  <c r="JE167" i="9" s="1"/>
  <c r="AK165" i="15"/>
  <c r="JL167" i="9" s="1"/>
  <c r="AJ166" i="15"/>
  <c r="JE168" i="9" s="1"/>
  <c r="AK166" i="15"/>
  <c r="JL168" i="9" s="1"/>
  <c r="AJ167" i="15"/>
  <c r="JE169" i="9" s="1"/>
  <c r="AK167" i="15"/>
  <c r="JL169" i="9" s="1"/>
  <c r="AJ168" i="15"/>
  <c r="JE170" i="9" s="1"/>
  <c r="AK168" i="15"/>
  <c r="JL170" i="9" s="1"/>
  <c r="AJ169" i="15"/>
  <c r="JE171" i="9" s="1"/>
  <c r="AK169" i="15"/>
  <c r="JL171" i="9" s="1"/>
  <c r="AJ170" i="15"/>
  <c r="JE172" i="9" s="1"/>
  <c r="AK170" i="15"/>
  <c r="JL172" i="9" s="1"/>
  <c r="AJ171" i="15"/>
  <c r="JE173" i="9" s="1"/>
  <c r="AK171" i="15"/>
  <c r="JL173" i="9" s="1"/>
  <c r="AJ172" i="15"/>
  <c r="JE174" i="9" s="1"/>
  <c r="AK172" i="15"/>
  <c r="JL174" i="9" s="1"/>
  <c r="AJ173" i="15"/>
  <c r="JE175" i="9" s="1"/>
  <c r="AK173" i="15"/>
  <c r="JL175" i="9" s="1"/>
  <c r="AJ174" i="15"/>
  <c r="JE176" i="9" s="1"/>
  <c r="AK174" i="15"/>
  <c r="JL176" i="9" s="1"/>
  <c r="AJ175" i="15"/>
  <c r="JE177" i="9" s="1"/>
  <c r="AK175" i="15"/>
  <c r="JL177" i="9" s="1"/>
  <c r="AJ176" i="15"/>
  <c r="JE178" i="9" s="1"/>
  <c r="AK176" i="15"/>
  <c r="JL178" i="9" s="1"/>
  <c r="AJ177" i="15"/>
  <c r="JE179" i="9" s="1"/>
  <c r="AK177" i="15"/>
  <c r="JL179" i="9" s="1"/>
  <c r="AJ178" i="15"/>
  <c r="JE180" i="9" s="1"/>
  <c r="AK178" i="15"/>
  <c r="JL180" i="9" s="1"/>
  <c r="AJ179" i="15"/>
  <c r="JE181" i="9" s="1"/>
  <c r="AK179" i="15"/>
  <c r="JL181" i="9" s="1"/>
  <c r="AJ180" i="15"/>
  <c r="JE182" i="9" s="1"/>
  <c r="AK180" i="15"/>
  <c r="JL182" i="9" s="1"/>
  <c r="AJ181" i="15"/>
  <c r="JE183" i="9" s="1"/>
  <c r="AK181" i="15"/>
  <c r="JL183" i="9" s="1"/>
  <c r="AJ182" i="15"/>
  <c r="JE184" i="9" s="1"/>
  <c r="AK182" i="15"/>
  <c r="JL184" i="9" s="1"/>
  <c r="AJ183" i="15"/>
  <c r="JE185" i="9" s="1"/>
  <c r="AK183" i="15"/>
  <c r="JL185" i="9" s="1"/>
  <c r="AJ184" i="15"/>
  <c r="JE186" i="9" s="1"/>
  <c r="AK184" i="15"/>
  <c r="JL186" i="9" s="1"/>
  <c r="AJ185" i="15"/>
  <c r="JE187" i="9" s="1"/>
  <c r="AK185" i="15"/>
  <c r="JL187" i="9" s="1"/>
  <c r="AJ186" i="15"/>
  <c r="JE188" i="9" s="1"/>
  <c r="AK186" i="15"/>
  <c r="JL188" i="9" s="1"/>
  <c r="AJ187" i="15"/>
  <c r="JE189" i="9" s="1"/>
  <c r="AK187" i="15"/>
  <c r="JL189" i="9" s="1"/>
  <c r="AJ188" i="15"/>
  <c r="JE190" i="9" s="1"/>
  <c r="AK188" i="15"/>
  <c r="JL190" i="9" s="1"/>
  <c r="AJ189" i="15"/>
  <c r="JE191" i="9" s="1"/>
  <c r="AK189" i="15"/>
  <c r="JL191" i="9" s="1"/>
  <c r="AJ190" i="15"/>
  <c r="JE192" i="9" s="1"/>
  <c r="AK190" i="15"/>
  <c r="JL192" i="9" s="1"/>
  <c r="AJ191" i="15"/>
  <c r="JE193" i="9" s="1"/>
  <c r="AK191" i="15"/>
  <c r="JL193" i="9" s="1"/>
  <c r="AJ192" i="15"/>
  <c r="JE194" i="9" s="1"/>
  <c r="AK192" i="15"/>
  <c r="JL194" i="9" s="1"/>
  <c r="AJ193" i="15"/>
  <c r="JE195" i="9" s="1"/>
  <c r="AK193" i="15"/>
  <c r="JL195" i="9" s="1"/>
  <c r="AJ194" i="15"/>
  <c r="JE196" i="9" s="1"/>
  <c r="AK194" i="15"/>
  <c r="JL196" i="9" s="1"/>
  <c r="AJ195" i="15"/>
  <c r="JE197" i="9" s="1"/>
  <c r="AK195" i="15"/>
  <c r="JL197" i="9" s="1"/>
  <c r="AJ196" i="15"/>
  <c r="JE198" i="9" s="1"/>
  <c r="AK196" i="15"/>
  <c r="JL198" i="9" s="1"/>
  <c r="AJ197" i="15"/>
  <c r="JE199" i="9" s="1"/>
  <c r="AK197" i="15"/>
  <c r="JL199" i="9" s="1"/>
  <c r="AJ198" i="15"/>
  <c r="JE200" i="9" s="1"/>
  <c r="AK198" i="15"/>
  <c r="JL200" i="9" s="1"/>
  <c r="AJ199" i="15"/>
  <c r="JE201" i="9" s="1"/>
  <c r="AK199" i="15"/>
  <c r="JL201" i="9" s="1"/>
  <c r="AJ200" i="15"/>
  <c r="JE202" i="9" s="1"/>
  <c r="AK200" i="15"/>
  <c r="JL202" i="9" s="1"/>
  <c r="AJ201" i="15"/>
  <c r="JE203" i="9" s="1"/>
  <c r="AK201" i="15"/>
  <c r="JL203" i="9" s="1"/>
  <c r="AJ202" i="15"/>
  <c r="JE204" i="9" s="1"/>
  <c r="AK202" i="15"/>
  <c r="JL204" i="9" s="1"/>
  <c r="AJ203" i="15"/>
  <c r="JE205" i="9" s="1"/>
  <c r="AK203" i="15"/>
  <c r="JL205" i="9" s="1"/>
  <c r="AJ204" i="15"/>
  <c r="JE206" i="9" s="1"/>
  <c r="AK204" i="15"/>
  <c r="JL206" i="9" s="1"/>
  <c r="JL7"/>
  <c r="AH5" i="15"/>
  <c r="JK7" i="9" s="1"/>
  <c r="JD7"/>
  <c r="AH6" i="15"/>
  <c r="JK8" i="9" s="1"/>
  <c r="AG7" i="15"/>
  <c r="JD9" i="9" s="1"/>
  <c r="AH7" i="15"/>
  <c r="JK9" i="9" s="1"/>
  <c r="AG8" i="15"/>
  <c r="JD10" i="9" s="1"/>
  <c r="AH8" i="15"/>
  <c r="JK10" i="9" s="1"/>
  <c r="AG9" i="15"/>
  <c r="JD11" i="9" s="1"/>
  <c r="AH9" i="15"/>
  <c r="JK11" i="9" s="1"/>
  <c r="AG10" i="15"/>
  <c r="JD12" i="9" s="1"/>
  <c r="AH10" i="15"/>
  <c r="JK12" i="9" s="1"/>
  <c r="AG11" i="15"/>
  <c r="JD13" i="9" s="1"/>
  <c r="AH11" i="15"/>
  <c r="JK13" i="9" s="1"/>
  <c r="AG12" i="15"/>
  <c r="JD14" i="9" s="1"/>
  <c r="AH12" i="15"/>
  <c r="JK14" i="9" s="1"/>
  <c r="AG13" i="15"/>
  <c r="JD15" i="9" s="1"/>
  <c r="AH13" i="15"/>
  <c r="JK15" i="9" s="1"/>
  <c r="AG14" i="15"/>
  <c r="JD16" i="9" s="1"/>
  <c r="AH14" i="15"/>
  <c r="JK16" i="9" s="1"/>
  <c r="AG15" i="15"/>
  <c r="JD17" i="9" s="1"/>
  <c r="AH15" i="15"/>
  <c r="JK17" i="9" s="1"/>
  <c r="AG16" i="15"/>
  <c r="JD18" i="9" s="1"/>
  <c r="AH16" i="15"/>
  <c r="JK18" i="9" s="1"/>
  <c r="AG17" i="15"/>
  <c r="JD19" i="9" s="1"/>
  <c r="AH17" i="15"/>
  <c r="JK19" i="9" s="1"/>
  <c r="AG18" i="15"/>
  <c r="JD20" i="9" s="1"/>
  <c r="AH18" i="15"/>
  <c r="JK20" i="9" s="1"/>
  <c r="AG19" i="15"/>
  <c r="JD21" i="9" s="1"/>
  <c r="AH19" i="15"/>
  <c r="JK21" i="9" s="1"/>
  <c r="AG20" i="15"/>
  <c r="JD22" i="9" s="1"/>
  <c r="AH20" i="15"/>
  <c r="JK22" i="9" s="1"/>
  <c r="AG21" i="15"/>
  <c r="JD23" i="9" s="1"/>
  <c r="AH21" i="15"/>
  <c r="JK23" i="9" s="1"/>
  <c r="AG22" i="15"/>
  <c r="JD24" i="9" s="1"/>
  <c r="AH22" i="15"/>
  <c r="JK24" i="9" s="1"/>
  <c r="AG23" i="15"/>
  <c r="JD25" i="9" s="1"/>
  <c r="AH23" i="15"/>
  <c r="JK25" i="9" s="1"/>
  <c r="AG24" i="15"/>
  <c r="JD26" i="9" s="1"/>
  <c r="AH24" i="15"/>
  <c r="JK26" i="9" s="1"/>
  <c r="AG25" i="15"/>
  <c r="JD27" i="9" s="1"/>
  <c r="AH25" i="15"/>
  <c r="JK27" i="9" s="1"/>
  <c r="AG26" i="15"/>
  <c r="JD28" i="9" s="1"/>
  <c r="AH26" i="15"/>
  <c r="JK28" i="9" s="1"/>
  <c r="AG27" i="15"/>
  <c r="JD29" i="9" s="1"/>
  <c r="AH27" i="15"/>
  <c r="JK29" i="9" s="1"/>
  <c r="AG28" i="15"/>
  <c r="JD30" i="9" s="1"/>
  <c r="AH28" i="15"/>
  <c r="JK30" i="9" s="1"/>
  <c r="AG29" i="15"/>
  <c r="JD31" i="9" s="1"/>
  <c r="AH29" i="15"/>
  <c r="JK31" i="9" s="1"/>
  <c r="AG30" i="15"/>
  <c r="JD32" i="9" s="1"/>
  <c r="AH30" i="15"/>
  <c r="JK32" i="9" s="1"/>
  <c r="AG31" i="15"/>
  <c r="JD33" i="9" s="1"/>
  <c r="AH31" i="15"/>
  <c r="JK33" i="9" s="1"/>
  <c r="AG32" i="15"/>
  <c r="JD34" i="9" s="1"/>
  <c r="AH32" i="15"/>
  <c r="JK34" i="9" s="1"/>
  <c r="AG33" i="15"/>
  <c r="JD35" i="9" s="1"/>
  <c r="AH33" i="15"/>
  <c r="JK35" i="9" s="1"/>
  <c r="AG34" i="15"/>
  <c r="JD36" i="9" s="1"/>
  <c r="AH34" i="15"/>
  <c r="JK36" i="9" s="1"/>
  <c r="AG35" i="15"/>
  <c r="JD37" i="9" s="1"/>
  <c r="AH35" i="15"/>
  <c r="JK37" i="9" s="1"/>
  <c r="AG36" i="15"/>
  <c r="JD38" i="9" s="1"/>
  <c r="AH36" i="15"/>
  <c r="JK38" i="9" s="1"/>
  <c r="AG37" i="15"/>
  <c r="JD39" i="9" s="1"/>
  <c r="AH37" i="15"/>
  <c r="JK39" i="9" s="1"/>
  <c r="AG38" i="15"/>
  <c r="JD40" i="9" s="1"/>
  <c r="AH38" i="15"/>
  <c r="JK40" i="9" s="1"/>
  <c r="AG39" i="15"/>
  <c r="JD41" i="9" s="1"/>
  <c r="AH39" i="15"/>
  <c r="JK41" i="9" s="1"/>
  <c r="AG40" i="15"/>
  <c r="JD42" i="9" s="1"/>
  <c r="AH40" i="15"/>
  <c r="JK42" i="9" s="1"/>
  <c r="AG41" i="15"/>
  <c r="JD43" i="9" s="1"/>
  <c r="AH41" i="15"/>
  <c r="JK43" i="9" s="1"/>
  <c r="AG42" i="15"/>
  <c r="JD44" i="9" s="1"/>
  <c r="AH42" i="15"/>
  <c r="JK44" i="9" s="1"/>
  <c r="AG43" i="15"/>
  <c r="JD45" i="9" s="1"/>
  <c r="AH43" i="15"/>
  <c r="JK45" i="9" s="1"/>
  <c r="AG44" i="15"/>
  <c r="JD46" i="9" s="1"/>
  <c r="AH44" i="15"/>
  <c r="JK46" i="9" s="1"/>
  <c r="AG45" i="15"/>
  <c r="JD47" i="9" s="1"/>
  <c r="AH45" i="15"/>
  <c r="JK47" i="9" s="1"/>
  <c r="AG46" i="15"/>
  <c r="JD48" i="9" s="1"/>
  <c r="AH46" i="15"/>
  <c r="JK48" i="9" s="1"/>
  <c r="AG47" i="15"/>
  <c r="JD49" i="9" s="1"/>
  <c r="AH47" i="15"/>
  <c r="JK49" i="9" s="1"/>
  <c r="AG48" i="15"/>
  <c r="JD50" i="9" s="1"/>
  <c r="AH48" i="15"/>
  <c r="JK50" i="9" s="1"/>
  <c r="AG49" i="15"/>
  <c r="JD51" i="9" s="1"/>
  <c r="AH49" i="15"/>
  <c r="JK51" i="9" s="1"/>
  <c r="AG50" i="15"/>
  <c r="JD52" i="9" s="1"/>
  <c r="AH50" i="15"/>
  <c r="JK52" i="9" s="1"/>
  <c r="AG51" i="15"/>
  <c r="JD53" i="9" s="1"/>
  <c r="AH51" i="15"/>
  <c r="JK53" i="9" s="1"/>
  <c r="AG52" i="15"/>
  <c r="JD54" i="9" s="1"/>
  <c r="AH52" i="15"/>
  <c r="JK54" i="9" s="1"/>
  <c r="AG53" i="15"/>
  <c r="JD55" i="9" s="1"/>
  <c r="AH53" i="15"/>
  <c r="JK55" i="9" s="1"/>
  <c r="AG54" i="15"/>
  <c r="JD56" i="9" s="1"/>
  <c r="AH54" i="15"/>
  <c r="JK56" i="9" s="1"/>
  <c r="AG55" i="15"/>
  <c r="JD57" i="9" s="1"/>
  <c r="AH55" i="15"/>
  <c r="JK57" i="9" s="1"/>
  <c r="AG56" i="15"/>
  <c r="JD58" i="9" s="1"/>
  <c r="AH56" i="15"/>
  <c r="JK58" i="9" s="1"/>
  <c r="AG57" i="15"/>
  <c r="JD59" i="9" s="1"/>
  <c r="AH57" i="15"/>
  <c r="JK59" i="9" s="1"/>
  <c r="AG58" i="15"/>
  <c r="JD60" i="9" s="1"/>
  <c r="AH58" i="15"/>
  <c r="JK60" i="9" s="1"/>
  <c r="AG59" i="15"/>
  <c r="JD61" i="9" s="1"/>
  <c r="AH59" i="15"/>
  <c r="JK61" i="9" s="1"/>
  <c r="AG60" i="15"/>
  <c r="JD62" i="9" s="1"/>
  <c r="AH60" i="15"/>
  <c r="JK62" i="9" s="1"/>
  <c r="AG61" i="15"/>
  <c r="JD63" i="9" s="1"/>
  <c r="AH61" i="15"/>
  <c r="JK63" i="9" s="1"/>
  <c r="AG62" i="15"/>
  <c r="JD64" i="9" s="1"/>
  <c r="AH62" i="15"/>
  <c r="JK64" i="9" s="1"/>
  <c r="AG63" i="15"/>
  <c r="JD65" i="9" s="1"/>
  <c r="AH63" i="15"/>
  <c r="JK65" i="9" s="1"/>
  <c r="AG64" i="15"/>
  <c r="JD66" i="9" s="1"/>
  <c r="AH64" i="15"/>
  <c r="JK66" i="9" s="1"/>
  <c r="AG65" i="15"/>
  <c r="JD67" i="9" s="1"/>
  <c r="AH65" i="15"/>
  <c r="JK67" i="9" s="1"/>
  <c r="AG66" i="15"/>
  <c r="JD68" i="9" s="1"/>
  <c r="AH66" i="15"/>
  <c r="JK68" i="9" s="1"/>
  <c r="AG67" i="15"/>
  <c r="JD69" i="9" s="1"/>
  <c r="AH67" i="15"/>
  <c r="JK69" i="9" s="1"/>
  <c r="AG68" i="15"/>
  <c r="JD70" i="9" s="1"/>
  <c r="AH68" i="15"/>
  <c r="JK70" i="9" s="1"/>
  <c r="AG69" i="15"/>
  <c r="JD71" i="9" s="1"/>
  <c r="AH69" i="15"/>
  <c r="JK71" i="9" s="1"/>
  <c r="AG70" i="15"/>
  <c r="JD72" i="9" s="1"/>
  <c r="AH70" i="15"/>
  <c r="JK72" i="9" s="1"/>
  <c r="AG71" i="15"/>
  <c r="JD73" i="9" s="1"/>
  <c r="AH71" i="15"/>
  <c r="JK73" i="9" s="1"/>
  <c r="AG72" i="15"/>
  <c r="JD74" i="9" s="1"/>
  <c r="AH72" i="15"/>
  <c r="JK74" i="9" s="1"/>
  <c r="AG73" i="15"/>
  <c r="JD75" i="9" s="1"/>
  <c r="AH73" i="15"/>
  <c r="JK75" i="9" s="1"/>
  <c r="AG74" i="15"/>
  <c r="JD76" i="9" s="1"/>
  <c r="AH74" i="15"/>
  <c r="JK76" i="9" s="1"/>
  <c r="AG75" i="15"/>
  <c r="JD77" i="9" s="1"/>
  <c r="AH75" i="15"/>
  <c r="JK77" i="9" s="1"/>
  <c r="AG76" i="15"/>
  <c r="JD78" i="9" s="1"/>
  <c r="AH76" i="15"/>
  <c r="JK78" i="9" s="1"/>
  <c r="AG77" i="15"/>
  <c r="JD79" i="9" s="1"/>
  <c r="AH77" i="15"/>
  <c r="JK79" i="9" s="1"/>
  <c r="AG78" i="15"/>
  <c r="JD80" i="9" s="1"/>
  <c r="AH78" i="15"/>
  <c r="JK80" i="9" s="1"/>
  <c r="AG79" i="15"/>
  <c r="JD81" i="9" s="1"/>
  <c r="AH79" i="15"/>
  <c r="JK81" i="9" s="1"/>
  <c r="AG80" i="15"/>
  <c r="JD82" i="9" s="1"/>
  <c r="AH80" i="15"/>
  <c r="JK82" i="9" s="1"/>
  <c r="AG81" i="15"/>
  <c r="JD83" i="9" s="1"/>
  <c r="AH81" i="15"/>
  <c r="JK83" i="9" s="1"/>
  <c r="AG82" i="15"/>
  <c r="JD84" i="9" s="1"/>
  <c r="AH82" i="15"/>
  <c r="JK84" i="9" s="1"/>
  <c r="AG83" i="15"/>
  <c r="JD85" i="9" s="1"/>
  <c r="AH83" i="15"/>
  <c r="JK85" i="9" s="1"/>
  <c r="AG84" i="15"/>
  <c r="JD86" i="9" s="1"/>
  <c r="AH84" i="15"/>
  <c r="JK86" i="9" s="1"/>
  <c r="AG85" i="15"/>
  <c r="JD87" i="9" s="1"/>
  <c r="AH85" i="15"/>
  <c r="JK87" i="9" s="1"/>
  <c r="AG86" i="15"/>
  <c r="JD88" i="9" s="1"/>
  <c r="AH86" i="15"/>
  <c r="JK88" i="9" s="1"/>
  <c r="AG87" i="15"/>
  <c r="JD89" i="9" s="1"/>
  <c r="AH87" i="15"/>
  <c r="JK89" i="9" s="1"/>
  <c r="AG88" i="15"/>
  <c r="JD90" i="9" s="1"/>
  <c r="AH88" i="15"/>
  <c r="JK90" i="9" s="1"/>
  <c r="AG89" i="15"/>
  <c r="JD91" i="9" s="1"/>
  <c r="AH89" i="15"/>
  <c r="JK91" i="9" s="1"/>
  <c r="AG90" i="15"/>
  <c r="JD92" i="9" s="1"/>
  <c r="AH90" i="15"/>
  <c r="JK92" i="9" s="1"/>
  <c r="AG91" i="15"/>
  <c r="JD93" i="9" s="1"/>
  <c r="AH91" i="15"/>
  <c r="JK93" i="9" s="1"/>
  <c r="AG92" i="15"/>
  <c r="JD94" i="9" s="1"/>
  <c r="AH92" i="15"/>
  <c r="JK94" i="9" s="1"/>
  <c r="AG93" i="15"/>
  <c r="JD95" i="9" s="1"/>
  <c r="AH93" i="15"/>
  <c r="JK95" i="9" s="1"/>
  <c r="AG94" i="15"/>
  <c r="JD96" i="9" s="1"/>
  <c r="AH94" i="15"/>
  <c r="JK96" i="9" s="1"/>
  <c r="AG95" i="15"/>
  <c r="JD97" i="9" s="1"/>
  <c r="AH95" i="15"/>
  <c r="JK97" i="9" s="1"/>
  <c r="AG96" i="15"/>
  <c r="JD98" i="9" s="1"/>
  <c r="AH96" i="15"/>
  <c r="JK98" i="9" s="1"/>
  <c r="AG97" i="15"/>
  <c r="JD99" i="9" s="1"/>
  <c r="AH97" i="15"/>
  <c r="JK99" i="9" s="1"/>
  <c r="AG98" i="15"/>
  <c r="JD100" i="9" s="1"/>
  <c r="AH98" i="15"/>
  <c r="JK100" i="9" s="1"/>
  <c r="AG99" i="15"/>
  <c r="JD101" i="9" s="1"/>
  <c r="AH99" i="15"/>
  <c r="JK101" i="9" s="1"/>
  <c r="AG100" i="15"/>
  <c r="JD102" i="9" s="1"/>
  <c r="AH100" i="15"/>
  <c r="JK102" i="9" s="1"/>
  <c r="AG101" i="15"/>
  <c r="JD103" i="9" s="1"/>
  <c r="AH101" i="15"/>
  <c r="JK103" i="9" s="1"/>
  <c r="AG102" i="15"/>
  <c r="JD104" i="9" s="1"/>
  <c r="AH102" i="15"/>
  <c r="JK104" i="9" s="1"/>
  <c r="AG103" i="15"/>
  <c r="JD105" i="9" s="1"/>
  <c r="AH103" i="15"/>
  <c r="JK105" i="9" s="1"/>
  <c r="AG104" i="15"/>
  <c r="JD106" i="9" s="1"/>
  <c r="AH104" i="15"/>
  <c r="JK106" i="9" s="1"/>
  <c r="AG105" i="15"/>
  <c r="JD107" i="9" s="1"/>
  <c r="AH105" i="15"/>
  <c r="JK107" i="9" s="1"/>
  <c r="AG106" i="15"/>
  <c r="JD108" i="9" s="1"/>
  <c r="AH106" i="15"/>
  <c r="JK108" i="9" s="1"/>
  <c r="AG107" i="15"/>
  <c r="JD109" i="9" s="1"/>
  <c r="AH107" i="15"/>
  <c r="JK109" i="9" s="1"/>
  <c r="AG108" i="15"/>
  <c r="JD110" i="9" s="1"/>
  <c r="AH108" i="15"/>
  <c r="JK110" i="9" s="1"/>
  <c r="AG109" i="15"/>
  <c r="JD111" i="9" s="1"/>
  <c r="AH109" i="15"/>
  <c r="JK111" i="9" s="1"/>
  <c r="AG110" i="15"/>
  <c r="JD112" i="9" s="1"/>
  <c r="AH110" i="15"/>
  <c r="JK112" i="9" s="1"/>
  <c r="AG111" i="15"/>
  <c r="JD113" i="9" s="1"/>
  <c r="AH111" i="15"/>
  <c r="JK113" i="9" s="1"/>
  <c r="AG112" i="15"/>
  <c r="JD114" i="9" s="1"/>
  <c r="AH112" i="15"/>
  <c r="JK114" i="9" s="1"/>
  <c r="AG113" i="15"/>
  <c r="JD115" i="9" s="1"/>
  <c r="AH113" i="15"/>
  <c r="JK115" i="9" s="1"/>
  <c r="AG114" i="15"/>
  <c r="JD116" i="9" s="1"/>
  <c r="AH114" i="15"/>
  <c r="JK116" i="9" s="1"/>
  <c r="AG115" i="15"/>
  <c r="JD117" i="9" s="1"/>
  <c r="AH115" i="15"/>
  <c r="JK117" i="9" s="1"/>
  <c r="AG116" i="15"/>
  <c r="JD118" i="9" s="1"/>
  <c r="AH116" i="15"/>
  <c r="JK118" i="9" s="1"/>
  <c r="AG117" i="15"/>
  <c r="JD119" i="9" s="1"/>
  <c r="AH117" i="15"/>
  <c r="JK119" i="9" s="1"/>
  <c r="AG118" i="15"/>
  <c r="JD120" i="9" s="1"/>
  <c r="AH118" i="15"/>
  <c r="JK120" i="9" s="1"/>
  <c r="AG119" i="15"/>
  <c r="JD121" i="9" s="1"/>
  <c r="AH119" i="15"/>
  <c r="JK121" i="9" s="1"/>
  <c r="AG120" i="15"/>
  <c r="JD122" i="9" s="1"/>
  <c r="AH120" i="15"/>
  <c r="JK122" i="9" s="1"/>
  <c r="AG121" i="15"/>
  <c r="JD123" i="9" s="1"/>
  <c r="AH121" i="15"/>
  <c r="JK123" i="9" s="1"/>
  <c r="AG122" i="15"/>
  <c r="JD124" i="9" s="1"/>
  <c r="AH122" i="15"/>
  <c r="JK124" i="9" s="1"/>
  <c r="AG123" i="15"/>
  <c r="JD125" i="9" s="1"/>
  <c r="AH123" i="15"/>
  <c r="JK125" i="9" s="1"/>
  <c r="AG124" i="15"/>
  <c r="JD126" i="9" s="1"/>
  <c r="AH124" i="15"/>
  <c r="JK126" i="9" s="1"/>
  <c r="AG125" i="15"/>
  <c r="JD127" i="9" s="1"/>
  <c r="AH125" i="15"/>
  <c r="JK127" i="9" s="1"/>
  <c r="AG126" i="15"/>
  <c r="JD128" i="9" s="1"/>
  <c r="AH126" i="15"/>
  <c r="JK128" i="9" s="1"/>
  <c r="AG127" i="15"/>
  <c r="JD129" i="9" s="1"/>
  <c r="AH127" i="15"/>
  <c r="JK129" i="9" s="1"/>
  <c r="AG128" i="15"/>
  <c r="JD130" i="9" s="1"/>
  <c r="AH128" i="15"/>
  <c r="JK130" i="9" s="1"/>
  <c r="AG129" i="15"/>
  <c r="JD131" i="9" s="1"/>
  <c r="AH129" i="15"/>
  <c r="JK131" i="9" s="1"/>
  <c r="AG130" i="15"/>
  <c r="JD132" i="9" s="1"/>
  <c r="AH130" i="15"/>
  <c r="JK132" i="9" s="1"/>
  <c r="AG131" i="15"/>
  <c r="JD133" i="9" s="1"/>
  <c r="AH131" i="15"/>
  <c r="JK133" i="9" s="1"/>
  <c r="AG132" i="15"/>
  <c r="JD134" i="9" s="1"/>
  <c r="AH132" i="15"/>
  <c r="JK134" i="9" s="1"/>
  <c r="AG133" i="15"/>
  <c r="JD135" i="9" s="1"/>
  <c r="AH133" i="15"/>
  <c r="JK135" i="9" s="1"/>
  <c r="AG134" i="15"/>
  <c r="JD136" i="9" s="1"/>
  <c r="AH134" i="15"/>
  <c r="JK136" i="9" s="1"/>
  <c r="AG135" i="15"/>
  <c r="JD137" i="9" s="1"/>
  <c r="AH135" i="15"/>
  <c r="JK137" i="9" s="1"/>
  <c r="AG136" i="15"/>
  <c r="JD138" i="9" s="1"/>
  <c r="AH136" i="15"/>
  <c r="JK138" i="9" s="1"/>
  <c r="AG137" i="15"/>
  <c r="JD139" i="9" s="1"/>
  <c r="AH137" i="15"/>
  <c r="JK139" i="9" s="1"/>
  <c r="AG138" i="15"/>
  <c r="JD140" i="9" s="1"/>
  <c r="AH138" i="15"/>
  <c r="JK140" i="9" s="1"/>
  <c r="AG139" i="15"/>
  <c r="JD141" i="9" s="1"/>
  <c r="AH139" i="15"/>
  <c r="JK141" i="9" s="1"/>
  <c r="AG140" i="15"/>
  <c r="JD142" i="9" s="1"/>
  <c r="AH140" i="15"/>
  <c r="JK142" i="9" s="1"/>
  <c r="AG141" i="15"/>
  <c r="JD143" i="9" s="1"/>
  <c r="AH141" i="15"/>
  <c r="JK143" i="9" s="1"/>
  <c r="AG142" i="15"/>
  <c r="JD144" i="9" s="1"/>
  <c r="AH142" i="15"/>
  <c r="JK144" i="9" s="1"/>
  <c r="AG143" i="15"/>
  <c r="JD145" i="9" s="1"/>
  <c r="AH143" i="15"/>
  <c r="JK145" i="9" s="1"/>
  <c r="AG144" i="15"/>
  <c r="JD146" i="9" s="1"/>
  <c r="AH144" i="15"/>
  <c r="JK146" i="9" s="1"/>
  <c r="AG145" i="15"/>
  <c r="JD147" i="9" s="1"/>
  <c r="AH145" i="15"/>
  <c r="JK147" i="9" s="1"/>
  <c r="AG146" i="15"/>
  <c r="JD148" i="9" s="1"/>
  <c r="AH146" i="15"/>
  <c r="JK148" i="9" s="1"/>
  <c r="AG147" i="15"/>
  <c r="JD149" i="9" s="1"/>
  <c r="AH147" i="15"/>
  <c r="JK149" i="9" s="1"/>
  <c r="AG148" i="15"/>
  <c r="JD150" i="9" s="1"/>
  <c r="AH148" i="15"/>
  <c r="JK150" i="9" s="1"/>
  <c r="AG149" i="15"/>
  <c r="JD151" i="9" s="1"/>
  <c r="AH149" i="15"/>
  <c r="JK151" i="9" s="1"/>
  <c r="AG150" i="15"/>
  <c r="JD152" i="9" s="1"/>
  <c r="AH150" i="15"/>
  <c r="JK152" i="9" s="1"/>
  <c r="AG151" i="15"/>
  <c r="JD153" i="9" s="1"/>
  <c r="AH151" i="15"/>
  <c r="JK153" i="9" s="1"/>
  <c r="AG152" i="15"/>
  <c r="JD154" i="9" s="1"/>
  <c r="AH152" i="15"/>
  <c r="JK154" i="9" s="1"/>
  <c r="AG153" i="15"/>
  <c r="JD155" i="9" s="1"/>
  <c r="AH153" i="15"/>
  <c r="JK155" i="9" s="1"/>
  <c r="AG154" i="15"/>
  <c r="JD156" i="9" s="1"/>
  <c r="AH154" i="15"/>
  <c r="JK156" i="9" s="1"/>
  <c r="AG155" i="15"/>
  <c r="JD157" i="9" s="1"/>
  <c r="AH155" i="15"/>
  <c r="JK157" i="9" s="1"/>
  <c r="AG156" i="15"/>
  <c r="JD158" i="9" s="1"/>
  <c r="AH156" i="15"/>
  <c r="JK158" i="9" s="1"/>
  <c r="AG157" i="15"/>
  <c r="JD159" i="9" s="1"/>
  <c r="AH157" i="15"/>
  <c r="JK159" i="9" s="1"/>
  <c r="AG158" i="15"/>
  <c r="JD160" i="9" s="1"/>
  <c r="AH158" i="15"/>
  <c r="JK160" i="9" s="1"/>
  <c r="AG159" i="15"/>
  <c r="JD161" i="9" s="1"/>
  <c r="AH159" i="15"/>
  <c r="JK161" i="9" s="1"/>
  <c r="AG160" i="15"/>
  <c r="JD162" i="9" s="1"/>
  <c r="AH160" i="15"/>
  <c r="JK162" i="9" s="1"/>
  <c r="AG161" i="15"/>
  <c r="JD163" i="9" s="1"/>
  <c r="AH161" i="15"/>
  <c r="JK163" i="9" s="1"/>
  <c r="AG162" i="15"/>
  <c r="JD164" i="9" s="1"/>
  <c r="AH162" i="15"/>
  <c r="JK164" i="9" s="1"/>
  <c r="AG163" i="15"/>
  <c r="JD165" i="9" s="1"/>
  <c r="AH163" i="15"/>
  <c r="JK165" i="9" s="1"/>
  <c r="AG164" i="15"/>
  <c r="JD166" i="9" s="1"/>
  <c r="AH164" i="15"/>
  <c r="JK166" i="9" s="1"/>
  <c r="AG165" i="15"/>
  <c r="JD167" i="9" s="1"/>
  <c r="AH165" i="15"/>
  <c r="JK167" i="9" s="1"/>
  <c r="AG166" i="15"/>
  <c r="JD168" i="9" s="1"/>
  <c r="AH166" i="15"/>
  <c r="JK168" i="9" s="1"/>
  <c r="AG167" i="15"/>
  <c r="JD169" i="9" s="1"/>
  <c r="AH167" i="15"/>
  <c r="JK169" i="9" s="1"/>
  <c r="AG168" i="15"/>
  <c r="JD170" i="9" s="1"/>
  <c r="AH168" i="15"/>
  <c r="JK170" i="9" s="1"/>
  <c r="AG169" i="15"/>
  <c r="JD171" i="9" s="1"/>
  <c r="AH169" i="15"/>
  <c r="JK171" i="9" s="1"/>
  <c r="AG170" i="15"/>
  <c r="JD172" i="9" s="1"/>
  <c r="AH170" i="15"/>
  <c r="JK172" i="9" s="1"/>
  <c r="AG171" i="15"/>
  <c r="JD173" i="9" s="1"/>
  <c r="AH171" i="15"/>
  <c r="JK173" i="9" s="1"/>
  <c r="AG172" i="15"/>
  <c r="JD174" i="9" s="1"/>
  <c r="AH172" i="15"/>
  <c r="JK174" i="9" s="1"/>
  <c r="AG173" i="15"/>
  <c r="JD175" i="9" s="1"/>
  <c r="AH173" i="15"/>
  <c r="JK175" i="9" s="1"/>
  <c r="AG174" i="15"/>
  <c r="JD176" i="9" s="1"/>
  <c r="AH174" i="15"/>
  <c r="JK176" i="9" s="1"/>
  <c r="AG175" i="15"/>
  <c r="JD177" i="9" s="1"/>
  <c r="AH175" i="15"/>
  <c r="JK177" i="9" s="1"/>
  <c r="AG176" i="15"/>
  <c r="JD178" i="9" s="1"/>
  <c r="AH176" i="15"/>
  <c r="JK178" i="9" s="1"/>
  <c r="AG177" i="15"/>
  <c r="JD179" i="9" s="1"/>
  <c r="AH177" i="15"/>
  <c r="JK179" i="9" s="1"/>
  <c r="AG178" i="15"/>
  <c r="JD180" i="9" s="1"/>
  <c r="AH178" i="15"/>
  <c r="JK180" i="9" s="1"/>
  <c r="AG179" i="15"/>
  <c r="JD181" i="9" s="1"/>
  <c r="AH179" i="15"/>
  <c r="JK181" i="9" s="1"/>
  <c r="AG180" i="15"/>
  <c r="JD182" i="9" s="1"/>
  <c r="AH180" i="15"/>
  <c r="JK182" i="9" s="1"/>
  <c r="AG181" i="15"/>
  <c r="JD183" i="9" s="1"/>
  <c r="AH181" i="15"/>
  <c r="JK183" i="9" s="1"/>
  <c r="AG182" i="15"/>
  <c r="JD184" i="9" s="1"/>
  <c r="AH182" i="15"/>
  <c r="JK184" i="9" s="1"/>
  <c r="AG183" i="15"/>
  <c r="JD185" i="9" s="1"/>
  <c r="AH183" i="15"/>
  <c r="JK185" i="9" s="1"/>
  <c r="AG184" i="15"/>
  <c r="JD186" i="9" s="1"/>
  <c r="AH184" i="15"/>
  <c r="JK186" i="9" s="1"/>
  <c r="AG185" i="15"/>
  <c r="JD187" i="9" s="1"/>
  <c r="AH185" i="15"/>
  <c r="JK187" i="9" s="1"/>
  <c r="AG186" i="15"/>
  <c r="JD188" i="9" s="1"/>
  <c r="AH186" i="15"/>
  <c r="JK188" i="9" s="1"/>
  <c r="AG187" i="15"/>
  <c r="JD189" i="9" s="1"/>
  <c r="AH187" i="15"/>
  <c r="JK189" i="9" s="1"/>
  <c r="AG188" i="15"/>
  <c r="JD190" i="9" s="1"/>
  <c r="AH188" i="15"/>
  <c r="JK190" i="9" s="1"/>
  <c r="AG189" i="15"/>
  <c r="JD191" i="9" s="1"/>
  <c r="AH189" i="15"/>
  <c r="JK191" i="9" s="1"/>
  <c r="AG190" i="15"/>
  <c r="JD192" i="9" s="1"/>
  <c r="AH190" i="15"/>
  <c r="JK192" i="9" s="1"/>
  <c r="AG191" i="15"/>
  <c r="JD193" i="9" s="1"/>
  <c r="AH191" i="15"/>
  <c r="JK193" i="9" s="1"/>
  <c r="AG192" i="15"/>
  <c r="JD194" i="9" s="1"/>
  <c r="AH192" i="15"/>
  <c r="JK194" i="9" s="1"/>
  <c r="AG193" i="15"/>
  <c r="JD195" i="9" s="1"/>
  <c r="AH193" i="15"/>
  <c r="JK195" i="9" s="1"/>
  <c r="AG194" i="15"/>
  <c r="JD196" i="9" s="1"/>
  <c r="AH194" i="15"/>
  <c r="JK196" i="9" s="1"/>
  <c r="AG195" i="15"/>
  <c r="JD197" i="9" s="1"/>
  <c r="AH195" i="15"/>
  <c r="JK197" i="9" s="1"/>
  <c r="AG196" i="15"/>
  <c r="JD198" i="9" s="1"/>
  <c r="AH196" i="15"/>
  <c r="JK198" i="9" s="1"/>
  <c r="AG197" i="15"/>
  <c r="JD199" i="9" s="1"/>
  <c r="AH197" i="15"/>
  <c r="JK199" i="9" s="1"/>
  <c r="AG198" i="15"/>
  <c r="JD200" i="9" s="1"/>
  <c r="AH198" i="15"/>
  <c r="JK200" i="9" s="1"/>
  <c r="AG199" i="15"/>
  <c r="JD201" i="9" s="1"/>
  <c r="AH199" i="15"/>
  <c r="JK201" i="9" s="1"/>
  <c r="AG200" i="15"/>
  <c r="JD202" i="9" s="1"/>
  <c r="AH200" i="15"/>
  <c r="JK202" i="9" s="1"/>
  <c r="AG201" i="15"/>
  <c r="JD203" i="9" s="1"/>
  <c r="AH201" i="15"/>
  <c r="JK203" i="9" s="1"/>
  <c r="AG202" i="15"/>
  <c r="JD204" i="9" s="1"/>
  <c r="AH202" i="15"/>
  <c r="JK204" i="9" s="1"/>
  <c r="AG203" i="15"/>
  <c r="JD205" i="9" s="1"/>
  <c r="AH203" i="15"/>
  <c r="JK205" i="9" s="1"/>
  <c r="AG204" i="15"/>
  <c r="JD206" i="9" s="1"/>
  <c r="AH204" i="15"/>
  <c r="JK206" i="9" s="1"/>
  <c r="AD6" i="15"/>
  <c r="JC8" i="9" s="1"/>
  <c r="AE6" i="15"/>
  <c r="JJ8" i="9" s="1"/>
  <c r="AD7" i="15"/>
  <c r="JC9" i="9" s="1"/>
  <c r="AE7" i="15"/>
  <c r="JJ9" i="9" s="1"/>
  <c r="AE8" i="15"/>
  <c r="AD9"/>
  <c r="JC11" i="9" s="1"/>
  <c r="AE9" i="15"/>
  <c r="JJ11" i="9" s="1"/>
  <c r="AD10" i="15"/>
  <c r="JC12" i="9" s="1"/>
  <c r="AE10" i="15"/>
  <c r="JJ12" i="9" s="1"/>
  <c r="AE11" i="15"/>
  <c r="JJ13" i="9" s="1"/>
  <c r="AD12" i="15"/>
  <c r="JC14" i="9" s="1"/>
  <c r="AE12" i="15"/>
  <c r="JJ14" i="9" s="1"/>
  <c r="AD13" i="15"/>
  <c r="JC15" i="9" s="1"/>
  <c r="AE13" i="15"/>
  <c r="JJ15" i="9" s="1"/>
  <c r="AD14" i="15"/>
  <c r="JC16" i="9" s="1"/>
  <c r="AE14" i="15"/>
  <c r="JJ16" i="9" s="1"/>
  <c r="AD15" i="15"/>
  <c r="JC17" i="9" s="1"/>
  <c r="AE15" i="15"/>
  <c r="JJ17" i="9" s="1"/>
  <c r="AD16" i="15"/>
  <c r="JC18" i="9" s="1"/>
  <c r="AE16" i="15"/>
  <c r="JJ18" i="9" s="1"/>
  <c r="AD17" i="15"/>
  <c r="JC19" i="9" s="1"/>
  <c r="AE17" i="15"/>
  <c r="JJ19" i="9" s="1"/>
  <c r="AD18" i="15"/>
  <c r="JC20" i="9" s="1"/>
  <c r="AE18" i="15"/>
  <c r="JJ20" i="9" s="1"/>
  <c r="AD19" i="15"/>
  <c r="JC21" i="9" s="1"/>
  <c r="AE19" i="15"/>
  <c r="JJ21" i="9" s="1"/>
  <c r="AD20" i="15"/>
  <c r="JC22" i="9" s="1"/>
  <c r="AE20" i="15"/>
  <c r="JJ22" i="9" s="1"/>
  <c r="AD21" i="15"/>
  <c r="JC23" i="9" s="1"/>
  <c r="AE21" i="15"/>
  <c r="JJ23" i="9" s="1"/>
  <c r="AD22" i="15"/>
  <c r="JC24" i="9" s="1"/>
  <c r="AE22" i="15"/>
  <c r="JJ24" i="9" s="1"/>
  <c r="AD23" i="15"/>
  <c r="JC25" i="9" s="1"/>
  <c r="AE23" i="15"/>
  <c r="JJ25" i="9" s="1"/>
  <c r="AD24" i="15"/>
  <c r="JC26" i="9" s="1"/>
  <c r="AE24" i="15"/>
  <c r="JJ26" i="9" s="1"/>
  <c r="AD25" i="15"/>
  <c r="JC27" i="9" s="1"/>
  <c r="AE25" i="15"/>
  <c r="JJ27" i="9" s="1"/>
  <c r="AD26" i="15"/>
  <c r="JC28" i="9" s="1"/>
  <c r="AE26" i="15"/>
  <c r="JJ28" i="9" s="1"/>
  <c r="AD27" i="15"/>
  <c r="JC29" i="9" s="1"/>
  <c r="AE27" i="15"/>
  <c r="JJ29" i="9" s="1"/>
  <c r="AD28" i="15"/>
  <c r="JC30" i="9" s="1"/>
  <c r="AE28" i="15"/>
  <c r="JJ30" i="9" s="1"/>
  <c r="AD29" i="15"/>
  <c r="JC31" i="9" s="1"/>
  <c r="AE29" i="15"/>
  <c r="JJ31" i="9" s="1"/>
  <c r="AD30" i="15"/>
  <c r="JC32" i="9" s="1"/>
  <c r="AE30" i="15"/>
  <c r="JJ32" i="9" s="1"/>
  <c r="AD31" i="15"/>
  <c r="JC33" i="9" s="1"/>
  <c r="AE31" i="15"/>
  <c r="JJ33" i="9" s="1"/>
  <c r="AD32" i="15"/>
  <c r="JC34" i="9" s="1"/>
  <c r="AE32" i="15"/>
  <c r="JJ34" i="9" s="1"/>
  <c r="AD33" i="15"/>
  <c r="JC35" i="9" s="1"/>
  <c r="AE33" i="15"/>
  <c r="JJ35" i="9" s="1"/>
  <c r="AD34" i="15"/>
  <c r="JC36" i="9" s="1"/>
  <c r="AE34" i="15"/>
  <c r="JJ36" i="9" s="1"/>
  <c r="AD35" i="15"/>
  <c r="JC37" i="9" s="1"/>
  <c r="AE35" i="15"/>
  <c r="JJ37" i="9" s="1"/>
  <c r="AD36" i="15"/>
  <c r="JC38" i="9" s="1"/>
  <c r="AE36" i="15"/>
  <c r="JJ38" i="9" s="1"/>
  <c r="AD37" i="15"/>
  <c r="JC39" i="9" s="1"/>
  <c r="AE37" i="15"/>
  <c r="JJ39" i="9" s="1"/>
  <c r="AD38" i="15"/>
  <c r="JC40" i="9" s="1"/>
  <c r="AE38" i="15"/>
  <c r="JJ40" i="9" s="1"/>
  <c r="AD39" i="15"/>
  <c r="JC41" i="9" s="1"/>
  <c r="AE39" i="15"/>
  <c r="JJ41" i="9" s="1"/>
  <c r="AD40" i="15"/>
  <c r="JC42" i="9" s="1"/>
  <c r="AE40" i="15"/>
  <c r="JJ42" i="9" s="1"/>
  <c r="AD41" i="15"/>
  <c r="JC43" i="9" s="1"/>
  <c r="AE41" i="15"/>
  <c r="JJ43" i="9" s="1"/>
  <c r="AD42" i="15"/>
  <c r="JC44" i="9" s="1"/>
  <c r="AE42" i="15"/>
  <c r="JJ44" i="9" s="1"/>
  <c r="AD43" i="15"/>
  <c r="JC45" i="9" s="1"/>
  <c r="AE43" i="15"/>
  <c r="JJ45" i="9" s="1"/>
  <c r="AD44" i="15"/>
  <c r="JC46" i="9" s="1"/>
  <c r="AE44" i="15"/>
  <c r="JJ46" i="9" s="1"/>
  <c r="AD45" i="15"/>
  <c r="JC47" i="9" s="1"/>
  <c r="AE45" i="15"/>
  <c r="JJ47" i="9" s="1"/>
  <c r="AD46" i="15"/>
  <c r="JC48" i="9" s="1"/>
  <c r="AE46" i="15"/>
  <c r="JJ48" i="9" s="1"/>
  <c r="AD47" i="15"/>
  <c r="JC49" i="9" s="1"/>
  <c r="AE47" i="15"/>
  <c r="JJ49" i="9" s="1"/>
  <c r="AD48" i="15"/>
  <c r="JC50" i="9" s="1"/>
  <c r="AE48" i="15"/>
  <c r="JJ50" i="9" s="1"/>
  <c r="AD49" i="15"/>
  <c r="JC51" i="9" s="1"/>
  <c r="AE49" i="15"/>
  <c r="JJ51" i="9" s="1"/>
  <c r="AD50" i="15"/>
  <c r="JC52" i="9" s="1"/>
  <c r="AE50" i="15"/>
  <c r="JJ52" i="9" s="1"/>
  <c r="AD51" i="15"/>
  <c r="JC53" i="9" s="1"/>
  <c r="AE51" i="15"/>
  <c r="JJ53" i="9" s="1"/>
  <c r="AD52" i="15"/>
  <c r="JC54" i="9" s="1"/>
  <c r="AE52" i="15"/>
  <c r="JJ54" i="9" s="1"/>
  <c r="AD53" i="15"/>
  <c r="JC55" i="9" s="1"/>
  <c r="AE53" i="15"/>
  <c r="JJ55" i="9" s="1"/>
  <c r="AD54" i="15"/>
  <c r="JC56" i="9" s="1"/>
  <c r="AE54" i="15"/>
  <c r="JJ56" i="9" s="1"/>
  <c r="AD55" i="15"/>
  <c r="JC57" i="9" s="1"/>
  <c r="AE55" i="15"/>
  <c r="JJ57" i="9" s="1"/>
  <c r="AD56" i="15"/>
  <c r="JC58" i="9" s="1"/>
  <c r="AE56" i="15"/>
  <c r="JJ58" i="9" s="1"/>
  <c r="AD57" i="15"/>
  <c r="JC59" i="9" s="1"/>
  <c r="AE57" i="15"/>
  <c r="JJ59" i="9" s="1"/>
  <c r="AD58" i="15"/>
  <c r="JC60" i="9" s="1"/>
  <c r="AE58" i="15"/>
  <c r="JJ60" i="9" s="1"/>
  <c r="AD59" i="15"/>
  <c r="JC61" i="9" s="1"/>
  <c r="AE59" i="15"/>
  <c r="JJ61" i="9" s="1"/>
  <c r="AD60" i="15"/>
  <c r="JC62" i="9" s="1"/>
  <c r="AE60" i="15"/>
  <c r="JJ62" i="9" s="1"/>
  <c r="AD61" i="15"/>
  <c r="JC63" i="9" s="1"/>
  <c r="AE61" i="15"/>
  <c r="JJ63" i="9" s="1"/>
  <c r="AD62" i="15"/>
  <c r="JC64" i="9" s="1"/>
  <c r="AE62" i="15"/>
  <c r="JJ64" i="9" s="1"/>
  <c r="AD63" i="15"/>
  <c r="JC65" i="9" s="1"/>
  <c r="AE63" i="15"/>
  <c r="JJ65" i="9" s="1"/>
  <c r="AD64" i="15"/>
  <c r="JC66" i="9" s="1"/>
  <c r="AE64" i="15"/>
  <c r="JJ66" i="9" s="1"/>
  <c r="AD65" i="15"/>
  <c r="JC67" i="9" s="1"/>
  <c r="AE65" i="15"/>
  <c r="JJ67" i="9" s="1"/>
  <c r="AD66" i="15"/>
  <c r="JC68" i="9" s="1"/>
  <c r="AE66" i="15"/>
  <c r="JJ68" i="9" s="1"/>
  <c r="AD67" i="15"/>
  <c r="JC69" i="9" s="1"/>
  <c r="AE67" i="15"/>
  <c r="JJ69" i="9" s="1"/>
  <c r="AD68" i="15"/>
  <c r="JC70" i="9" s="1"/>
  <c r="AE68" i="15"/>
  <c r="JJ70" i="9" s="1"/>
  <c r="AD69" i="15"/>
  <c r="JC71" i="9" s="1"/>
  <c r="AE69" i="15"/>
  <c r="JJ71" i="9" s="1"/>
  <c r="AD70" i="15"/>
  <c r="JC72" i="9" s="1"/>
  <c r="AE70" i="15"/>
  <c r="JJ72" i="9" s="1"/>
  <c r="AD71" i="15"/>
  <c r="JC73" i="9" s="1"/>
  <c r="AE71" i="15"/>
  <c r="JJ73" i="9" s="1"/>
  <c r="AD72" i="15"/>
  <c r="JC74" i="9" s="1"/>
  <c r="AE72" i="15"/>
  <c r="JJ74" i="9" s="1"/>
  <c r="AD73" i="15"/>
  <c r="JC75" i="9" s="1"/>
  <c r="AE73" i="15"/>
  <c r="JJ75" i="9" s="1"/>
  <c r="AD74" i="15"/>
  <c r="JC76" i="9" s="1"/>
  <c r="AE74" i="15"/>
  <c r="JJ76" i="9" s="1"/>
  <c r="AD75" i="15"/>
  <c r="JC77" i="9" s="1"/>
  <c r="AE75" i="15"/>
  <c r="JJ77" i="9" s="1"/>
  <c r="AD76" i="15"/>
  <c r="JC78" i="9" s="1"/>
  <c r="AE76" i="15"/>
  <c r="JJ78" i="9" s="1"/>
  <c r="AD77" i="15"/>
  <c r="JC79" i="9" s="1"/>
  <c r="AE77" i="15"/>
  <c r="JJ79" i="9" s="1"/>
  <c r="AD78" i="15"/>
  <c r="JC80" i="9" s="1"/>
  <c r="AE78" i="15"/>
  <c r="JJ80" i="9" s="1"/>
  <c r="AD79" i="15"/>
  <c r="JC81" i="9" s="1"/>
  <c r="AE79" i="15"/>
  <c r="JJ81" i="9" s="1"/>
  <c r="AD80" i="15"/>
  <c r="JC82" i="9" s="1"/>
  <c r="AE80" i="15"/>
  <c r="JJ82" i="9" s="1"/>
  <c r="AD81" i="15"/>
  <c r="JC83" i="9" s="1"/>
  <c r="AE81" i="15"/>
  <c r="JJ83" i="9" s="1"/>
  <c r="AD82" i="15"/>
  <c r="JC84" i="9" s="1"/>
  <c r="AE82" i="15"/>
  <c r="JJ84" i="9" s="1"/>
  <c r="AD83" i="15"/>
  <c r="JC85" i="9" s="1"/>
  <c r="AE83" i="15"/>
  <c r="JJ85" i="9" s="1"/>
  <c r="AD84" i="15"/>
  <c r="JC86" i="9" s="1"/>
  <c r="AE84" i="15"/>
  <c r="JJ86" i="9" s="1"/>
  <c r="AD85" i="15"/>
  <c r="JC87" i="9" s="1"/>
  <c r="AE85" i="15"/>
  <c r="JJ87" i="9" s="1"/>
  <c r="AD86" i="15"/>
  <c r="JC88" i="9" s="1"/>
  <c r="AE86" i="15"/>
  <c r="JJ88" i="9" s="1"/>
  <c r="AD87" i="15"/>
  <c r="JC89" i="9" s="1"/>
  <c r="AE87" i="15"/>
  <c r="JJ89" i="9" s="1"/>
  <c r="AD88" i="15"/>
  <c r="JC90" i="9" s="1"/>
  <c r="AE88" i="15"/>
  <c r="JJ90" i="9" s="1"/>
  <c r="AD89" i="15"/>
  <c r="JC91" i="9" s="1"/>
  <c r="AE89" i="15"/>
  <c r="JJ91" i="9" s="1"/>
  <c r="AD90" i="15"/>
  <c r="JC92" i="9" s="1"/>
  <c r="AE90" i="15"/>
  <c r="JJ92" i="9" s="1"/>
  <c r="AD91" i="15"/>
  <c r="JC93" i="9" s="1"/>
  <c r="AE91" i="15"/>
  <c r="JJ93" i="9" s="1"/>
  <c r="AD92" i="15"/>
  <c r="JC94" i="9" s="1"/>
  <c r="AE92" i="15"/>
  <c r="JJ94" i="9" s="1"/>
  <c r="AD93" i="15"/>
  <c r="JC95" i="9" s="1"/>
  <c r="AE93" i="15"/>
  <c r="JJ95" i="9" s="1"/>
  <c r="AD94" i="15"/>
  <c r="JC96" i="9" s="1"/>
  <c r="AE94" i="15"/>
  <c r="JJ96" i="9" s="1"/>
  <c r="AD95" i="15"/>
  <c r="JC97" i="9" s="1"/>
  <c r="AE95" i="15"/>
  <c r="JJ97" i="9" s="1"/>
  <c r="AD96" i="15"/>
  <c r="JC98" i="9" s="1"/>
  <c r="AE96" i="15"/>
  <c r="JJ98" i="9" s="1"/>
  <c r="AD97" i="15"/>
  <c r="JC99" i="9" s="1"/>
  <c r="AE97" i="15"/>
  <c r="JJ99" i="9" s="1"/>
  <c r="AD98" i="15"/>
  <c r="JC100" i="9" s="1"/>
  <c r="AE98" i="15"/>
  <c r="JJ100" i="9" s="1"/>
  <c r="AD99" i="15"/>
  <c r="JC101" i="9" s="1"/>
  <c r="AE99" i="15"/>
  <c r="JJ101" i="9" s="1"/>
  <c r="AD100" i="15"/>
  <c r="JC102" i="9" s="1"/>
  <c r="AE100" i="15"/>
  <c r="JJ102" i="9" s="1"/>
  <c r="AD101" i="15"/>
  <c r="JC103" i="9" s="1"/>
  <c r="AE101" i="15"/>
  <c r="JJ103" i="9" s="1"/>
  <c r="AD102" i="15"/>
  <c r="JC104" i="9" s="1"/>
  <c r="AE102" i="15"/>
  <c r="JJ104" i="9" s="1"/>
  <c r="AD103" i="15"/>
  <c r="JC105" i="9" s="1"/>
  <c r="AE103" i="15"/>
  <c r="JJ105" i="9" s="1"/>
  <c r="AD104" i="15"/>
  <c r="JC106" i="9" s="1"/>
  <c r="AE104" i="15"/>
  <c r="JJ106" i="9" s="1"/>
  <c r="AD105" i="15"/>
  <c r="JC107" i="9" s="1"/>
  <c r="AE105" i="15"/>
  <c r="JJ107" i="9" s="1"/>
  <c r="AD106" i="15"/>
  <c r="JC108" i="9" s="1"/>
  <c r="AE106" i="15"/>
  <c r="JJ108" i="9" s="1"/>
  <c r="AD107" i="15"/>
  <c r="JC109" i="9" s="1"/>
  <c r="AE107" i="15"/>
  <c r="JJ109" i="9" s="1"/>
  <c r="AD108" i="15"/>
  <c r="JC110" i="9" s="1"/>
  <c r="AE108" i="15"/>
  <c r="JJ110" i="9" s="1"/>
  <c r="AD109" i="15"/>
  <c r="JC111" i="9" s="1"/>
  <c r="AE109" i="15"/>
  <c r="JJ111" i="9" s="1"/>
  <c r="AD110" i="15"/>
  <c r="JC112" i="9" s="1"/>
  <c r="AE110" i="15"/>
  <c r="JJ112" i="9" s="1"/>
  <c r="AD111" i="15"/>
  <c r="JC113" i="9" s="1"/>
  <c r="AE111" i="15"/>
  <c r="JJ113" i="9" s="1"/>
  <c r="AD112" i="15"/>
  <c r="JC114" i="9" s="1"/>
  <c r="AE112" i="15"/>
  <c r="JJ114" i="9" s="1"/>
  <c r="AD113" i="15"/>
  <c r="JC115" i="9" s="1"/>
  <c r="AE113" i="15"/>
  <c r="JJ115" i="9" s="1"/>
  <c r="AD114" i="15"/>
  <c r="JC116" i="9" s="1"/>
  <c r="AE114" i="15"/>
  <c r="JJ116" i="9" s="1"/>
  <c r="AD115" i="15"/>
  <c r="JC117" i="9" s="1"/>
  <c r="AE115" i="15"/>
  <c r="JJ117" i="9" s="1"/>
  <c r="AD116" i="15"/>
  <c r="JC118" i="9" s="1"/>
  <c r="AE116" i="15"/>
  <c r="JJ118" i="9" s="1"/>
  <c r="AD117" i="15"/>
  <c r="JC119" i="9" s="1"/>
  <c r="AE117" i="15"/>
  <c r="JJ119" i="9" s="1"/>
  <c r="AD118" i="15"/>
  <c r="JC120" i="9" s="1"/>
  <c r="AE118" i="15"/>
  <c r="JJ120" i="9" s="1"/>
  <c r="AD119" i="15"/>
  <c r="JC121" i="9" s="1"/>
  <c r="AE119" i="15"/>
  <c r="JJ121" i="9" s="1"/>
  <c r="AD120" i="15"/>
  <c r="JC122" i="9" s="1"/>
  <c r="AE120" i="15"/>
  <c r="JJ122" i="9" s="1"/>
  <c r="AD121" i="15"/>
  <c r="JC123" i="9" s="1"/>
  <c r="AE121" i="15"/>
  <c r="JJ123" i="9" s="1"/>
  <c r="AD122" i="15"/>
  <c r="JC124" i="9" s="1"/>
  <c r="AE122" i="15"/>
  <c r="JJ124" i="9" s="1"/>
  <c r="AD123" i="15"/>
  <c r="JC125" i="9" s="1"/>
  <c r="AE123" i="15"/>
  <c r="JJ125" i="9" s="1"/>
  <c r="AD124" i="15"/>
  <c r="JC126" i="9" s="1"/>
  <c r="AE124" i="15"/>
  <c r="JJ126" i="9" s="1"/>
  <c r="AD125" i="15"/>
  <c r="JC127" i="9" s="1"/>
  <c r="AE125" i="15"/>
  <c r="JJ127" i="9" s="1"/>
  <c r="AD126" i="15"/>
  <c r="JC128" i="9" s="1"/>
  <c r="AE126" i="15"/>
  <c r="JJ128" i="9" s="1"/>
  <c r="AD127" i="15"/>
  <c r="JC129" i="9" s="1"/>
  <c r="AE127" i="15"/>
  <c r="JJ129" i="9" s="1"/>
  <c r="AD128" i="15"/>
  <c r="JC130" i="9" s="1"/>
  <c r="AE128" i="15"/>
  <c r="JJ130" i="9" s="1"/>
  <c r="AD129" i="15"/>
  <c r="JC131" i="9" s="1"/>
  <c r="AE129" i="15"/>
  <c r="JJ131" i="9" s="1"/>
  <c r="AD130" i="15"/>
  <c r="JC132" i="9" s="1"/>
  <c r="AE130" i="15"/>
  <c r="JJ132" i="9" s="1"/>
  <c r="AD131" i="15"/>
  <c r="JC133" i="9" s="1"/>
  <c r="AE131" i="15"/>
  <c r="JJ133" i="9" s="1"/>
  <c r="AD132" i="15"/>
  <c r="JC134" i="9" s="1"/>
  <c r="AE132" i="15"/>
  <c r="JJ134" i="9" s="1"/>
  <c r="AD133" i="15"/>
  <c r="JC135" i="9" s="1"/>
  <c r="AE133" i="15"/>
  <c r="JJ135" i="9" s="1"/>
  <c r="AD134" i="15"/>
  <c r="JC136" i="9" s="1"/>
  <c r="AE134" i="15"/>
  <c r="JJ136" i="9" s="1"/>
  <c r="AD135" i="15"/>
  <c r="JC137" i="9" s="1"/>
  <c r="AE135" i="15"/>
  <c r="JJ137" i="9" s="1"/>
  <c r="AD136" i="15"/>
  <c r="JC138" i="9" s="1"/>
  <c r="AE136" i="15"/>
  <c r="JJ138" i="9" s="1"/>
  <c r="AD137" i="15"/>
  <c r="JC139" i="9" s="1"/>
  <c r="AE137" i="15"/>
  <c r="JJ139" i="9" s="1"/>
  <c r="AD138" i="15"/>
  <c r="JC140" i="9" s="1"/>
  <c r="AE138" i="15"/>
  <c r="JJ140" i="9" s="1"/>
  <c r="AD139" i="15"/>
  <c r="JC141" i="9" s="1"/>
  <c r="AE139" i="15"/>
  <c r="JJ141" i="9" s="1"/>
  <c r="AD140" i="15"/>
  <c r="JC142" i="9" s="1"/>
  <c r="AE140" i="15"/>
  <c r="JJ142" i="9" s="1"/>
  <c r="AD141" i="15"/>
  <c r="JC143" i="9" s="1"/>
  <c r="AE141" i="15"/>
  <c r="JJ143" i="9" s="1"/>
  <c r="AD142" i="15"/>
  <c r="JC144" i="9" s="1"/>
  <c r="AE142" i="15"/>
  <c r="JJ144" i="9" s="1"/>
  <c r="AD143" i="15"/>
  <c r="JC145" i="9" s="1"/>
  <c r="AE143" i="15"/>
  <c r="JJ145" i="9" s="1"/>
  <c r="AD144" i="15"/>
  <c r="JC146" i="9" s="1"/>
  <c r="AE144" i="15"/>
  <c r="JJ146" i="9" s="1"/>
  <c r="AD145" i="15"/>
  <c r="JC147" i="9" s="1"/>
  <c r="AE145" i="15"/>
  <c r="JJ147" i="9" s="1"/>
  <c r="AD146" i="15"/>
  <c r="JC148" i="9" s="1"/>
  <c r="AE146" i="15"/>
  <c r="JJ148" i="9" s="1"/>
  <c r="AD147" i="15"/>
  <c r="JC149" i="9" s="1"/>
  <c r="AE147" i="15"/>
  <c r="JJ149" i="9" s="1"/>
  <c r="AD148" i="15"/>
  <c r="JC150" i="9" s="1"/>
  <c r="AE148" i="15"/>
  <c r="JJ150" i="9" s="1"/>
  <c r="AD149" i="15"/>
  <c r="JC151" i="9" s="1"/>
  <c r="AE149" i="15"/>
  <c r="JJ151" i="9" s="1"/>
  <c r="AD150" i="15"/>
  <c r="JC152" i="9" s="1"/>
  <c r="AE150" i="15"/>
  <c r="JJ152" i="9" s="1"/>
  <c r="AD151" i="15"/>
  <c r="JC153" i="9" s="1"/>
  <c r="AE151" i="15"/>
  <c r="JJ153" i="9" s="1"/>
  <c r="AD152" i="15"/>
  <c r="JC154" i="9" s="1"/>
  <c r="AE152" i="15"/>
  <c r="JJ154" i="9" s="1"/>
  <c r="AD153" i="15"/>
  <c r="JC155" i="9" s="1"/>
  <c r="AE153" i="15"/>
  <c r="JJ155" i="9" s="1"/>
  <c r="AD154" i="15"/>
  <c r="JC156" i="9" s="1"/>
  <c r="AE154" i="15"/>
  <c r="JJ156" i="9" s="1"/>
  <c r="AD155" i="15"/>
  <c r="JC157" i="9" s="1"/>
  <c r="AE155" i="15"/>
  <c r="JJ157" i="9" s="1"/>
  <c r="AD156" i="15"/>
  <c r="JC158" i="9" s="1"/>
  <c r="AE156" i="15"/>
  <c r="JJ158" i="9" s="1"/>
  <c r="AD157" i="15"/>
  <c r="JC159" i="9" s="1"/>
  <c r="AE157" i="15"/>
  <c r="JJ159" i="9" s="1"/>
  <c r="AD158" i="15"/>
  <c r="JC160" i="9" s="1"/>
  <c r="AE158" i="15"/>
  <c r="JJ160" i="9" s="1"/>
  <c r="AD159" i="15"/>
  <c r="JC161" i="9" s="1"/>
  <c r="AE159" i="15"/>
  <c r="JJ161" i="9" s="1"/>
  <c r="AD160" i="15"/>
  <c r="JC162" i="9" s="1"/>
  <c r="AE160" i="15"/>
  <c r="JJ162" i="9" s="1"/>
  <c r="AD161" i="15"/>
  <c r="JC163" i="9" s="1"/>
  <c r="AE161" i="15"/>
  <c r="JJ163" i="9" s="1"/>
  <c r="AD162" i="15"/>
  <c r="JC164" i="9" s="1"/>
  <c r="AE162" i="15"/>
  <c r="JJ164" i="9" s="1"/>
  <c r="AD163" i="15"/>
  <c r="JC165" i="9" s="1"/>
  <c r="AE163" i="15"/>
  <c r="JJ165" i="9" s="1"/>
  <c r="AD164" i="15"/>
  <c r="JC166" i="9" s="1"/>
  <c r="AE164" i="15"/>
  <c r="JJ166" i="9" s="1"/>
  <c r="AD165" i="15"/>
  <c r="JC167" i="9" s="1"/>
  <c r="AE165" i="15"/>
  <c r="JJ167" i="9" s="1"/>
  <c r="AD166" i="15"/>
  <c r="JC168" i="9" s="1"/>
  <c r="AE166" i="15"/>
  <c r="JJ168" i="9" s="1"/>
  <c r="AD167" i="15"/>
  <c r="JC169" i="9" s="1"/>
  <c r="AE167" i="15"/>
  <c r="JJ169" i="9" s="1"/>
  <c r="AD168" i="15"/>
  <c r="JC170" i="9" s="1"/>
  <c r="AE168" i="15"/>
  <c r="JJ170" i="9" s="1"/>
  <c r="AD169" i="15"/>
  <c r="JC171" i="9" s="1"/>
  <c r="AE169" i="15"/>
  <c r="JJ171" i="9" s="1"/>
  <c r="AD170" i="15"/>
  <c r="JC172" i="9" s="1"/>
  <c r="AE170" i="15"/>
  <c r="JJ172" i="9" s="1"/>
  <c r="AD171" i="15"/>
  <c r="JC173" i="9" s="1"/>
  <c r="AE171" i="15"/>
  <c r="JJ173" i="9" s="1"/>
  <c r="AD172" i="15"/>
  <c r="JC174" i="9" s="1"/>
  <c r="AE172" i="15"/>
  <c r="JJ174" i="9" s="1"/>
  <c r="AD173" i="15"/>
  <c r="JC175" i="9" s="1"/>
  <c r="AE173" i="15"/>
  <c r="JJ175" i="9" s="1"/>
  <c r="AD174" i="15"/>
  <c r="JC176" i="9" s="1"/>
  <c r="AE174" i="15"/>
  <c r="JJ176" i="9" s="1"/>
  <c r="AD175" i="15"/>
  <c r="JC177" i="9" s="1"/>
  <c r="AE175" i="15"/>
  <c r="JJ177" i="9" s="1"/>
  <c r="AD176" i="15"/>
  <c r="JC178" i="9" s="1"/>
  <c r="AE176" i="15"/>
  <c r="JJ178" i="9" s="1"/>
  <c r="AD177" i="15"/>
  <c r="JC179" i="9" s="1"/>
  <c r="AE177" i="15"/>
  <c r="JJ179" i="9" s="1"/>
  <c r="AD178" i="15"/>
  <c r="JC180" i="9" s="1"/>
  <c r="AE178" i="15"/>
  <c r="JJ180" i="9" s="1"/>
  <c r="AD179" i="15"/>
  <c r="JC181" i="9" s="1"/>
  <c r="AE179" i="15"/>
  <c r="JJ181" i="9" s="1"/>
  <c r="AD180" i="15"/>
  <c r="JC182" i="9" s="1"/>
  <c r="AE180" i="15"/>
  <c r="JJ182" i="9" s="1"/>
  <c r="AD181" i="15"/>
  <c r="JC183" i="9" s="1"/>
  <c r="AE181" i="15"/>
  <c r="JJ183" i="9" s="1"/>
  <c r="AD182" i="15"/>
  <c r="JC184" i="9" s="1"/>
  <c r="AE182" i="15"/>
  <c r="JJ184" i="9" s="1"/>
  <c r="AD183" i="15"/>
  <c r="JC185" i="9" s="1"/>
  <c r="AE183" i="15"/>
  <c r="JJ185" i="9" s="1"/>
  <c r="AD184" i="15"/>
  <c r="JC186" i="9" s="1"/>
  <c r="AE184" i="15"/>
  <c r="JJ186" i="9" s="1"/>
  <c r="AD185" i="15"/>
  <c r="JC187" i="9" s="1"/>
  <c r="AE185" i="15"/>
  <c r="JJ187" i="9" s="1"/>
  <c r="AD186" i="15"/>
  <c r="JC188" i="9" s="1"/>
  <c r="AE186" i="15"/>
  <c r="JJ188" i="9" s="1"/>
  <c r="AD187" i="15"/>
  <c r="JC189" i="9" s="1"/>
  <c r="AE187" i="15"/>
  <c r="JJ189" i="9" s="1"/>
  <c r="AD188" i="15"/>
  <c r="JC190" i="9" s="1"/>
  <c r="AE188" i="15"/>
  <c r="JJ190" i="9" s="1"/>
  <c r="AD189" i="15"/>
  <c r="JC191" i="9" s="1"/>
  <c r="AE189" i="15"/>
  <c r="JJ191" i="9" s="1"/>
  <c r="AD190" i="15"/>
  <c r="JC192" i="9" s="1"/>
  <c r="AE190" i="15"/>
  <c r="JJ192" i="9" s="1"/>
  <c r="AD191" i="15"/>
  <c r="JC193" i="9" s="1"/>
  <c r="AE191" i="15"/>
  <c r="JJ193" i="9" s="1"/>
  <c r="AD192" i="15"/>
  <c r="JC194" i="9" s="1"/>
  <c r="AE192" i="15"/>
  <c r="JJ194" i="9" s="1"/>
  <c r="AD193" i="15"/>
  <c r="JC195" i="9" s="1"/>
  <c r="AE193" i="15"/>
  <c r="JJ195" i="9" s="1"/>
  <c r="AD194" i="15"/>
  <c r="JC196" i="9" s="1"/>
  <c r="AE194" i="15"/>
  <c r="JJ196" i="9" s="1"/>
  <c r="AD195" i="15"/>
  <c r="JC197" i="9" s="1"/>
  <c r="AE195" i="15"/>
  <c r="JJ197" i="9" s="1"/>
  <c r="AD196" i="15"/>
  <c r="JC198" i="9" s="1"/>
  <c r="AE196" i="15"/>
  <c r="JJ198" i="9" s="1"/>
  <c r="AD197" i="15"/>
  <c r="JC199" i="9" s="1"/>
  <c r="AE197" i="15"/>
  <c r="JJ199" i="9" s="1"/>
  <c r="AD198" i="15"/>
  <c r="JC200" i="9" s="1"/>
  <c r="AE198" i="15"/>
  <c r="JJ200" i="9" s="1"/>
  <c r="AD199" i="15"/>
  <c r="JC201" i="9" s="1"/>
  <c r="AE199" i="15"/>
  <c r="JJ201" i="9" s="1"/>
  <c r="AD200" i="15"/>
  <c r="JC202" i="9" s="1"/>
  <c r="AE200" i="15"/>
  <c r="JJ202" i="9" s="1"/>
  <c r="AD201" i="15"/>
  <c r="JC203" i="9" s="1"/>
  <c r="AE201" i="15"/>
  <c r="JJ203" i="9" s="1"/>
  <c r="AD202" i="15"/>
  <c r="JC204" i="9" s="1"/>
  <c r="AE202" i="15"/>
  <c r="JJ204" i="9" s="1"/>
  <c r="AD203" i="15"/>
  <c r="JC205" i="9" s="1"/>
  <c r="AE203" i="15"/>
  <c r="JJ205" i="9" s="1"/>
  <c r="AD204" i="15"/>
  <c r="JC206" i="9" s="1"/>
  <c r="AE204" i="15"/>
  <c r="JJ206" i="9" s="1"/>
  <c r="AA204" i="15"/>
  <c r="JB206" i="9" s="1"/>
  <c r="AB204" i="15"/>
  <c r="JI206" i="9" s="1"/>
  <c r="AA6" i="15"/>
  <c r="JB8" i="9" s="1"/>
  <c r="AB6" i="15"/>
  <c r="JI8" i="9" s="1"/>
  <c r="AA7" i="15"/>
  <c r="JB9" i="9" s="1"/>
  <c r="AB7" i="15"/>
  <c r="JI9" i="9" s="1"/>
  <c r="AA8" i="15"/>
  <c r="JB10" i="9" s="1"/>
  <c r="AB8" i="15"/>
  <c r="JI10" i="9" s="1"/>
  <c r="AA9" i="15"/>
  <c r="JB11" i="9" s="1"/>
  <c r="AB9" i="15"/>
  <c r="JI11" i="9" s="1"/>
  <c r="AA10" i="15"/>
  <c r="JB12" i="9" s="1"/>
  <c r="AB10" i="15"/>
  <c r="JI12" i="9" s="1"/>
  <c r="AA11" i="15"/>
  <c r="JB13" i="9" s="1"/>
  <c r="AB11" i="15"/>
  <c r="JI13" i="9" s="1"/>
  <c r="AA12" i="15"/>
  <c r="JB14" i="9" s="1"/>
  <c r="AB12" i="15"/>
  <c r="JI14" i="9" s="1"/>
  <c r="AB13" i="15"/>
  <c r="JI15" i="9" s="1"/>
  <c r="AA14" i="15"/>
  <c r="JB16" i="9" s="1"/>
  <c r="AB14" i="15"/>
  <c r="JI16" i="9" s="1"/>
  <c r="AA15" i="15"/>
  <c r="JB17" i="9" s="1"/>
  <c r="AB15" i="15"/>
  <c r="JI17" i="9" s="1"/>
  <c r="AA16" i="15"/>
  <c r="JB18" i="9" s="1"/>
  <c r="AB16" i="15"/>
  <c r="JI18" i="9" s="1"/>
  <c r="AA17" i="15"/>
  <c r="JB19" i="9" s="1"/>
  <c r="AB17" i="15"/>
  <c r="JI19" i="9" s="1"/>
  <c r="AA18" i="15"/>
  <c r="JB20" i="9" s="1"/>
  <c r="AB18" i="15"/>
  <c r="JI20" i="9" s="1"/>
  <c r="AA19" i="15"/>
  <c r="JB21" i="9" s="1"/>
  <c r="AB19" i="15"/>
  <c r="JI21" i="9" s="1"/>
  <c r="AA20" i="15"/>
  <c r="JB22" i="9" s="1"/>
  <c r="AB20" i="15"/>
  <c r="JI22" i="9" s="1"/>
  <c r="AA21" i="15"/>
  <c r="JB23" i="9" s="1"/>
  <c r="AB21" i="15"/>
  <c r="JI23" i="9" s="1"/>
  <c r="AA22" i="15"/>
  <c r="JB24" i="9" s="1"/>
  <c r="AB22" i="15"/>
  <c r="JI24" i="9" s="1"/>
  <c r="AA23" i="15"/>
  <c r="JB25" i="9" s="1"/>
  <c r="AB23" i="15"/>
  <c r="JI25" i="9" s="1"/>
  <c r="AA24" i="15"/>
  <c r="JB26" i="9" s="1"/>
  <c r="AB24" i="15"/>
  <c r="JI26" i="9" s="1"/>
  <c r="AA25" i="15"/>
  <c r="JB27" i="9" s="1"/>
  <c r="AB25" i="15"/>
  <c r="JI27" i="9" s="1"/>
  <c r="AA26" i="15"/>
  <c r="JB28" i="9" s="1"/>
  <c r="AB26" i="15"/>
  <c r="JI28" i="9" s="1"/>
  <c r="AA27" i="15"/>
  <c r="JB29" i="9" s="1"/>
  <c r="AB27" i="15"/>
  <c r="JI29" i="9" s="1"/>
  <c r="AA28" i="15"/>
  <c r="JB30" i="9" s="1"/>
  <c r="AB28" i="15"/>
  <c r="JI30" i="9" s="1"/>
  <c r="AA29" i="15"/>
  <c r="JB31" i="9" s="1"/>
  <c r="AB29" i="15"/>
  <c r="JI31" i="9" s="1"/>
  <c r="AA30" i="15"/>
  <c r="JB32" i="9" s="1"/>
  <c r="AB30" i="15"/>
  <c r="JI32" i="9" s="1"/>
  <c r="AA31" i="15"/>
  <c r="JB33" i="9" s="1"/>
  <c r="AB31" i="15"/>
  <c r="JI33" i="9" s="1"/>
  <c r="AA32" i="15"/>
  <c r="JB34" i="9" s="1"/>
  <c r="AB32" i="15"/>
  <c r="JI34" i="9" s="1"/>
  <c r="AA33" i="15"/>
  <c r="JB35" i="9" s="1"/>
  <c r="AB33" i="15"/>
  <c r="JI35" i="9" s="1"/>
  <c r="AA34" i="15"/>
  <c r="JB36" i="9" s="1"/>
  <c r="AB34" i="15"/>
  <c r="JI36" i="9" s="1"/>
  <c r="AA35" i="15"/>
  <c r="JB37" i="9" s="1"/>
  <c r="AB35" i="15"/>
  <c r="JI37" i="9" s="1"/>
  <c r="AA36" i="15"/>
  <c r="JB38" i="9" s="1"/>
  <c r="AB36" i="15"/>
  <c r="JI38" i="9" s="1"/>
  <c r="AA37" i="15"/>
  <c r="JB39" i="9" s="1"/>
  <c r="AB37" i="15"/>
  <c r="JI39" i="9" s="1"/>
  <c r="AA38" i="15"/>
  <c r="JB40" i="9" s="1"/>
  <c r="AB38" i="15"/>
  <c r="JI40" i="9" s="1"/>
  <c r="AA39" i="15"/>
  <c r="JB41" i="9" s="1"/>
  <c r="AB39" i="15"/>
  <c r="JI41" i="9" s="1"/>
  <c r="AA40" i="15"/>
  <c r="JB42" i="9" s="1"/>
  <c r="AB40" i="15"/>
  <c r="JI42" i="9" s="1"/>
  <c r="AA41" i="15"/>
  <c r="JB43" i="9" s="1"/>
  <c r="AB41" i="15"/>
  <c r="JI43" i="9" s="1"/>
  <c r="AA42" i="15"/>
  <c r="JB44" i="9" s="1"/>
  <c r="AB42" i="15"/>
  <c r="JI44" i="9" s="1"/>
  <c r="AA43" i="15"/>
  <c r="JB45" i="9" s="1"/>
  <c r="AB43" i="15"/>
  <c r="JI45" i="9" s="1"/>
  <c r="AA44" i="15"/>
  <c r="JB46" i="9" s="1"/>
  <c r="AB44" i="15"/>
  <c r="JI46" i="9" s="1"/>
  <c r="AA45" i="15"/>
  <c r="JB47" i="9" s="1"/>
  <c r="AB45" i="15"/>
  <c r="JI47" i="9" s="1"/>
  <c r="AA46" i="15"/>
  <c r="JB48" i="9" s="1"/>
  <c r="AB46" i="15"/>
  <c r="JI48" i="9" s="1"/>
  <c r="AA47" i="15"/>
  <c r="JB49" i="9" s="1"/>
  <c r="AB47" i="15"/>
  <c r="JI49" i="9" s="1"/>
  <c r="AA48" i="15"/>
  <c r="JB50" i="9" s="1"/>
  <c r="AB48" i="15"/>
  <c r="JI50" i="9" s="1"/>
  <c r="AA49" i="15"/>
  <c r="JB51" i="9" s="1"/>
  <c r="AB49" i="15"/>
  <c r="JI51" i="9" s="1"/>
  <c r="AA50" i="15"/>
  <c r="JB52" i="9" s="1"/>
  <c r="AB50" i="15"/>
  <c r="JI52" i="9" s="1"/>
  <c r="AA51" i="15"/>
  <c r="JB53" i="9" s="1"/>
  <c r="AB51" i="15"/>
  <c r="JI53" i="9" s="1"/>
  <c r="AA52" i="15"/>
  <c r="JB54" i="9" s="1"/>
  <c r="AB52" i="15"/>
  <c r="JI54" i="9" s="1"/>
  <c r="AA53" i="15"/>
  <c r="JB55" i="9" s="1"/>
  <c r="AB53" i="15"/>
  <c r="JI55" i="9" s="1"/>
  <c r="AA54" i="15"/>
  <c r="JB56" i="9" s="1"/>
  <c r="AB54" i="15"/>
  <c r="JI56" i="9" s="1"/>
  <c r="AA55" i="15"/>
  <c r="JB57" i="9" s="1"/>
  <c r="AB55" i="15"/>
  <c r="JI57" i="9" s="1"/>
  <c r="AA56" i="15"/>
  <c r="JB58" i="9" s="1"/>
  <c r="AB56" i="15"/>
  <c r="JI58" i="9" s="1"/>
  <c r="AA57" i="15"/>
  <c r="JB59" i="9" s="1"/>
  <c r="AB57" i="15"/>
  <c r="JI59" i="9" s="1"/>
  <c r="AA58" i="15"/>
  <c r="JB60" i="9" s="1"/>
  <c r="AB58" i="15"/>
  <c r="JI60" i="9" s="1"/>
  <c r="AA59" i="15"/>
  <c r="JB61" i="9" s="1"/>
  <c r="AB59" i="15"/>
  <c r="JI61" i="9" s="1"/>
  <c r="AA60" i="15"/>
  <c r="JB62" i="9" s="1"/>
  <c r="AB60" i="15"/>
  <c r="JI62" i="9" s="1"/>
  <c r="AA61" i="15"/>
  <c r="JB63" i="9" s="1"/>
  <c r="AB61" i="15"/>
  <c r="JI63" i="9" s="1"/>
  <c r="AA62" i="15"/>
  <c r="JB64" i="9" s="1"/>
  <c r="AB62" i="15"/>
  <c r="JI64" i="9" s="1"/>
  <c r="AA63" i="15"/>
  <c r="JB65" i="9" s="1"/>
  <c r="AB63" i="15"/>
  <c r="JI65" i="9" s="1"/>
  <c r="AA64" i="15"/>
  <c r="JB66" i="9" s="1"/>
  <c r="AB64" i="15"/>
  <c r="JI66" i="9" s="1"/>
  <c r="AA65" i="15"/>
  <c r="JB67" i="9" s="1"/>
  <c r="AB65" i="15"/>
  <c r="JI67" i="9" s="1"/>
  <c r="AA66" i="15"/>
  <c r="JB68" i="9" s="1"/>
  <c r="AB66" i="15"/>
  <c r="JI68" i="9" s="1"/>
  <c r="AA67" i="15"/>
  <c r="JB69" i="9" s="1"/>
  <c r="AB67" i="15"/>
  <c r="JI69" i="9" s="1"/>
  <c r="AA68" i="15"/>
  <c r="JB70" i="9" s="1"/>
  <c r="AB68" i="15"/>
  <c r="JI70" i="9" s="1"/>
  <c r="AA69" i="15"/>
  <c r="JB71" i="9" s="1"/>
  <c r="AB69" i="15"/>
  <c r="JI71" i="9" s="1"/>
  <c r="AA70" i="15"/>
  <c r="JB72" i="9" s="1"/>
  <c r="AB70" i="15"/>
  <c r="JI72" i="9" s="1"/>
  <c r="AA71" i="15"/>
  <c r="JB73" i="9" s="1"/>
  <c r="AB71" i="15"/>
  <c r="JI73" i="9" s="1"/>
  <c r="AA72" i="15"/>
  <c r="JB74" i="9" s="1"/>
  <c r="AB72" i="15"/>
  <c r="JI74" i="9" s="1"/>
  <c r="AA73" i="15"/>
  <c r="JB75" i="9" s="1"/>
  <c r="AB73" i="15"/>
  <c r="JI75" i="9" s="1"/>
  <c r="AA74" i="15"/>
  <c r="JB76" i="9" s="1"/>
  <c r="AB74" i="15"/>
  <c r="JI76" i="9" s="1"/>
  <c r="AA75" i="15"/>
  <c r="JB77" i="9" s="1"/>
  <c r="AB75" i="15"/>
  <c r="JI77" i="9" s="1"/>
  <c r="AA76" i="15"/>
  <c r="JB78" i="9" s="1"/>
  <c r="AB76" i="15"/>
  <c r="JI78" i="9" s="1"/>
  <c r="AA77" i="15"/>
  <c r="JB79" i="9" s="1"/>
  <c r="AB77" i="15"/>
  <c r="JI79" i="9" s="1"/>
  <c r="AA78" i="15"/>
  <c r="JB80" i="9" s="1"/>
  <c r="AB78" i="15"/>
  <c r="JI80" i="9" s="1"/>
  <c r="AA79" i="15"/>
  <c r="JB81" i="9" s="1"/>
  <c r="AB79" i="15"/>
  <c r="JI81" i="9" s="1"/>
  <c r="AA80" i="15"/>
  <c r="JB82" i="9" s="1"/>
  <c r="AB80" i="15"/>
  <c r="JI82" i="9" s="1"/>
  <c r="AA81" i="15"/>
  <c r="JB83" i="9" s="1"/>
  <c r="AB81" i="15"/>
  <c r="JI83" i="9" s="1"/>
  <c r="AA82" i="15"/>
  <c r="JB84" i="9" s="1"/>
  <c r="AB82" i="15"/>
  <c r="JI84" i="9" s="1"/>
  <c r="AA83" i="15"/>
  <c r="JB85" i="9" s="1"/>
  <c r="AB83" i="15"/>
  <c r="JI85" i="9" s="1"/>
  <c r="AA84" i="15"/>
  <c r="JB86" i="9" s="1"/>
  <c r="AB84" i="15"/>
  <c r="JI86" i="9" s="1"/>
  <c r="AA85" i="15"/>
  <c r="JB87" i="9" s="1"/>
  <c r="AB85" i="15"/>
  <c r="JI87" i="9" s="1"/>
  <c r="AA86" i="15"/>
  <c r="JB88" i="9" s="1"/>
  <c r="AB86" i="15"/>
  <c r="JI88" i="9" s="1"/>
  <c r="AA87" i="15"/>
  <c r="JB89" i="9" s="1"/>
  <c r="AB87" i="15"/>
  <c r="JI89" i="9" s="1"/>
  <c r="AA88" i="15"/>
  <c r="JB90" i="9" s="1"/>
  <c r="AB88" i="15"/>
  <c r="JI90" i="9" s="1"/>
  <c r="AA89" i="15"/>
  <c r="JB91" i="9" s="1"/>
  <c r="AB89" i="15"/>
  <c r="JI91" i="9" s="1"/>
  <c r="AA90" i="15"/>
  <c r="JB92" i="9" s="1"/>
  <c r="AB90" i="15"/>
  <c r="JI92" i="9" s="1"/>
  <c r="AA91" i="15"/>
  <c r="JB93" i="9" s="1"/>
  <c r="AB91" i="15"/>
  <c r="JI93" i="9" s="1"/>
  <c r="AA92" i="15"/>
  <c r="JB94" i="9" s="1"/>
  <c r="AB92" i="15"/>
  <c r="JI94" i="9" s="1"/>
  <c r="AA93" i="15"/>
  <c r="JB95" i="9" s="1"/>
  <c r="AB93" i="15"/>
  <c r="JI95" i="9" s="1"/>
  <c r="AA94" i="15"/>
  <c r="JB96" i="9" s="1"/>
  <c r="AB94" i="15"/>
  <c r="JI96" i="9" s="1"/>
  <c r="AA95" i="15"/>
  <c r="JB97" i="9" s="1"/>
  <c r="AB95" i="15"/>
  <c r="JI97" i="9" s="1"/>
  <c r="AA96" i="15"/>
  <c r="JB98" i="9" s="1"/>
  <c r="AB96" i="15"/>
  <c r="JI98" i="9" s="1"/>
  <c r="AA97" i="15"/>
  <c r="JB99" i="9" s="1"/>
  <c r="AB97" i="15"/>
  <c r="JI99" i="9" s="1"/>
  <c r="AA98" i="15"/>
  <c r="JB100" i="9" s="1"/>
  <c r="AB98" i="15"/>
  <c r="JI100" i="9" s="1"/>
  <c r="AA99" i="15"/>
  <c r="JB101" i="9" s="1"/>
  <c r="AB99" i="15"/>
  <c r="JI101" i="9" s="1"/>
  <c r="AA100" i="15"/>
  <c r="JB102" i="9" s="1"/>
  <c r="AB100" i="15"/>
  <c r="JI102" i="9" s="1"/>
  <c r="AA101" i="15"/>
  <c r="JB103" i="9" s="1"/>
  <c r="AB101" i="15"/>
  <c r="JI103" i="9" s="1"/>
  <c r="AA102" i="15"/>
  <c r="JB104" i="9" s="1"/>
  <c r="AB102" i="15"/>
  <c r="JI104" i="9" s="1"/>
  <c r="AA103" i="15"/>
  <c r="JB105" i="9" s="1"/>
  <c r="AB103" i="15"/>
  <c r="JI105" i="9" s="1"/>
  <c r="AA104" i="15"/>
  <c r="JB106" i="9" s="1"/>
  <c r="AB104" i="15"/>
  <c r="JI106" i="9" s="1"/>
  <c r="AA105" i="15"/>
  <c r="JB107" i="9" s="1"/>
  <c r="AB105" i="15"/>
  <c r="JI107" i="9" s="1"/>
  <c r="AA106" i="15"/>
  <c r="JB108" i="9" s="1"/>
  <c r="AB106" i="15"/>
  <c r="JI108" i="9" s="1"/>
  <c r="AA107" i="15"/>
  <c r="JB109" i="9" s="1"/>
  <c r="AB107" i="15"/>
  <c r="JI109" i="9" s="1"/>
  <c r="AA108" i="15"/>
  <c r="JB110" i="9" s="1"/>
  <c r="AB108" i="15"/>
  <c r="JI110" i="9" s="1"/>
  <c r="AA109" i="15"/>
  <c r="JB111" i="9" s="1"/>
  <c r="AB109" i="15"/>
  <c r="JI111" i="9" s="1"/>
  <c r="AA110" i="15"/>
  <c r="JB112" i="9" s="1"/>
  <c r="AB110" i="15"/>
  <c r="JI112" i="9" s="1"/>
  <c r="AA111" i="15"/>
  <c r="JB113" i="9" s="1"/>
  <c r="AB111" i="15"/>
  <c r="JI113" i="9" s="1"/>
  <c r="AA112" i="15"/>
  <c r="JB114" i="9" s="1"/>
  <c r="AB112" i="15"/>
  <c r="JI114" i="9" s="1"/>
  <c r="AA113" i="15"/>
  <c r="JB115" i="9" s="1"/>
  <c r="AB113" i="15"/>
  <c r="JI115" i="9" s="1"/>
  <c r="AA114" i="15"/>
  <c r="JB116" i="9" s="1"/>
  <c r="AB114" i="15"/>
  <c r="JI116" i="9" s="1"/>
  <c r="AA115" i="15"/>
  <c r="JB117" i="9" s="1"/>
  <c r="AB115" i="15"/>
  <c r="JI117" i="9" s="1"/>
  <c r="AA116" i="15"/>
  <c r="JB118" i="9" s="1"/>
  <c r="AB116" i="15"/>
  <c r="JI118" i="9" s="1"/>
  <c r="AA117" i="15"/>
  <c r="JB119" i="9" s="1"/>
  <c r="AB117" i="15"/>
  <c r="JI119" i="9" s="1"/>
  <c r="AA118" i="15"/>
  <c r="JB120" i="9" s="1"/>
  <c r="AB118" i="15"/>
  <c r="JI120" i="9" s="1"/>
  <c r="AA119" i="15"/>
  <c r="JB121" i="9" s="1"/>
  <c r="AB119" i="15"/>
  <c r="JI121" i="9" s="1"/>
  <c r="AA120" i="15"/>
  <c r="JB122" i="9" s="1"/>
  <c r="AB120" i="15"/>
  <c r="JI122" i="9" s="1"/>
  <c r="AA121" i="15"/>
  <c r="JB123" i="9" s="1"/>
  <c r="AB121" i="15"/>
  <c r="JI123" i="9" s="1"/>
  <c r="AA122" i="15"/>
  <c r="JB124" i="9" s="1"/>
  <c r="AB122" i="15"/>
  <c r="JI124" i="9" s="1"/>
  <c r="AA123" i="15"/>
  <c r="JB125" i="9" s="1"/>
  <c r="AB123" i="15"/>
  <c r="JI125" i="9" s="1"/>
  <c r="AA124" i="15"/>
  <c r="JB126" i="9" s="1"/>
  <c r="AB124" i="15"/>
  <c r="JI126" i="9" s="1"/>
  <c r="AA125" i="15"/>
  <c r="JB127" i="9" s="1"/>
  <c r="AB125" i="15"/>
  <c r="JI127" i="9" s="1"/>
  <c r="AA126" i="15"/>
  <c r="JB128" i="9" s="1"/>
  <c r="AB126" i="15"/>
  <c r="JI128" i="9" s="1"/>
  <c r="AA127" i="15"/>
  <c r="JB129" i="9" s="1"/>
  <c r="AB127" i="15"/>
  <c r="JI129" i="9" s="1"/>
  <c r="AA128" i="15"/>
  <c r="JB130" i="9" s="1"/>
  <c r="AB128" i="15"/>
  <c r="JI130" i="9" s="1"/>
  <c r="AA129" i="15"/>
  <c r="JB131" i="9" s="1"/>
  <c r="AB129" i="15"/>
  <c r="JI131" i="9" s="1"/>
  <c r="AA130" i="15"/>
  <c r="JB132" i="9" s="1"/>
  <c r="AB130" i="15"/>
  <c r="JI132" i="9" s="1"/>
  <c r="AA131" i="15"/>
  <c r="JB133" i="9" s="1"/>
  <c r="AB131" i="15"/>
  <c r="JI133" i="9" s="1"/>
  <c r="AA132" i="15"/>
  <c r="JB134" i="9" s="1"/>
  <c r="AB132" i="15"/>
  <c r="JI134" i="9" s="1"/>
  <c r="AA133" i="15"/>
  <c r="JB135" i="9" s="1"/>
  <c r="AB133" i="15"/>
  <c r="JI135" i="9" s="1"/>
  <c r="AA134" i="15"/>
  <c r="JB136" i="9" s="1"/>
  <c r="AB134" i="15"/>
  <c r="JI136" i="9" s="1"/>
  <c r="AA135" i="15"/>
  <c r="JB137" i="9" s="1"/>
  <c r="AB135" i="15"/>
  <c r="JI137" i="9" s="1"/>
  <c r="AA136" i="15"/>
  <c r="JB138" i="9" s="1"/>
  <c r="AB136" i="15"/>
  <c r="JI138" i="9" s="1"/>
  <c r="AA137" i="15"/>
  <c r="JB139" i="9" s="1"/>
  <c r="AB137" i="15"/>
  <c r="JI139" i="9" s="1"/>
  <c r="AA138" i="15"/>
  <c r="JB140" i="9" s="1"/>
  <c r="AB138" i="15"/>
  <c r="JI140" i="9" s="1"/>
  <c r="AA139" i="15"/>
  <c r="JB141" i="9" s="1"/>
  <c r="AB139" i="15"/>
  <c r="JI141" i="9" s="1"/>
  <c r="AA140" i="15"/>
  <c r="JB142" i="9" s="1"/>
  <c r="AB140" i="15"/>
  <c r="JI142" i="9" s="1"/>
  <c r="AA141" i="15"/>
  <c r="JB143" i="9" s="1"/>
  <c r="AB141" i="15"/>
  <c r="JI143" i="9" s="1"/>
  <c r="AA142" i="15"/>
  <c r="JB144" i="9" s="1"/>
  <c r="AB142" i="15"/>
  <c r="JI144" i="9" s="1"/>
  <c r="AA143" i="15"/>
  <c r="JB145" i="9" s="1"/>
  <c r="AB143" i="15"/>
  <c r="JI145" i="9" s="1"/>
  <c r="AA144" i="15"/>
  <c r="JB146" i="9" s="1"/>
  <c r="AB144" i="15"/>
  <c r="JI146" i="9" s="1"/>
  <c r="AA145" i="15"/>
  <c r="JB147" i="9" s="1"/>
  <c r="AB145" i="15"/>
  <c r="JI147" i="9" s="1"/>
  <c r="AA146" i="15"/>
  <c r="JB148" i="9" s="1"/>
  <c r="AB146" i="15"/>
  <c r="JI148" i="9" s="1"/>
  <c r="AA147" i="15"/>
  <c r="JB149" i="9" s="1"/>
  <c r="AB147" i="15"/>
  <c r="JI149" i="9" s="1"/>
  <c r="AA148" i="15"/>
  <c r="JB150" i="9" s="1"/>
  <c r="AB148" i="15"/>
  <c r="JI150" i="9" s="1"/>
  <c r="AA149" i="15"/>
  <c r="JB151" i="9" s="1"/>
  <c r="AB149" i="15"/>
  <c r="JI151" i="9" s="1"/>
  <c r="AA150" i="15"/>
  <c r="JB152" i="9" s="1"/>
  <c r="AB150" i="15"/>
  <c r="JI152" i="9" s="1"/>
  <c r="AA151" i="15"/>
  <c r="JB153" i="9" s="1"/>
  <c r="AB151" i="15"/>
  <c r="JI153" i="9" s="1"/>
  <c r="AA152" i="15"/>
  <c r="JB154" i="9" s="1"/>
  <c r="AB152" i="15"/>
  <c r="JI154" i="9" s="1"/>
  <c r="AA153" i="15"/>
  <c r="JB155" i="9" s="1"/>
  <c r="AB153" i="15"/>
  <c r="JI155" i="9" s="1"/>
  <c r="AA154" i="15"/>
  <c r="JB156" i="9" s="1"/>
  <c r="AB154" i="15"/>
  <c r="JI156" i="9" s="1"/>
  <c r="AA155" i="15"/>
  <c r="JB157" i="9" s="1"/>
  <c r="AB155" i="15"/>
  <c r="JI157" i="9" s="1"/>
  <c r="AA156" i="15"/>
  <c r="JB158" i="9" s="1"/>
  <c r="AB156" i="15"/>
  <c r="JI158" i="9" s="1"/>
  <c r="AA157" i="15"/>
  <c r="JB159" i="9" s="1"/>
  <c r="AB157" i="15"/>
  <c r="JI159" i="9" s="1"/>
  <c r="AA158" i="15"/>
  <c r="JB160" i="9" s="1"/>
  <c r="AB158" i="15"/>
  <c r="JI160" i="9" s="1"/>
  <c r="AA159" i="15"/>
  <c r="JB161" i="9" s="1"/>
  <c r="AB159" i="15"/>
  <c r="JI161" i="9" s="1"/>
  <c r="AA160" i="15"/>
  <c r="JB162" i="9" s="1"/>
  <c r="AB160" i="15"/>
  <c r="JI162" i="9" s="1"/>
  <c r="AA161" i="15"/>
  <c r="JB163" i="9" s="1"/>
  <c r="AB161" i="15"/>
  <c r="JI163" i="9" s="1"/>
  <c r="AA162" i="15"/>
  <c r="JB164" i="9" s="1"/>
  <c r="AB162" i="15"/>
  <c r="JI164" i="9" s="1"/>
  <c r="AA163" i="15"/>
  <c r="JB165" i="9" s="1"/>
  <c r="AB163" i="15"/>
  <c r="JI165" i="9" s="1"/>
  <c r="AA164" i="15"/>
  <c r="JB166" i="9" s="1"/>
  <c r="AB164" i="15"/>
  <c r="JI166" i="9" s="1"/>
  <c r="AA165" i="15"/>
  <c r="JB167" i="9" s="1"/>
  <c r="AB165" i="15"/>
  <c r="JI167" i="9" s="1"/>
  <c r="AA166" i="15"/>
  <c r="JB168" i="9" s="1"/>
  <c r="AB166" i="15"/>
  <c r="JI168" i="9" s="1"/>
  <c r="AA167" i="15"/>
  <c r="JB169" i="9" s="1"/>
  <c r="AB167" i="15"/>
  <c r="JI169" i="9" s="1"/>
  <c r="AA168" i="15"/>
  <c r="JB170" i="9" s="1"/>
  <c r="AB168" i="15"/>
  <c r="JI170" i="9" s="1"/>
  <c r="AA169" i="15"/>
  <c r="JB171" i="9" s="1"/>
  <c r="AB169" i="15"/>
  <c r="JI171" i="9" s="1"/>
  <c r="AA170" i="15"/>
  <c r="JB172" i="9" s="1"/>
  <c r="AB170" i="15"/>
  <c r="JI172" i="9" s="1"/>
  <c r="AA171" i="15"/>
  <c r="JB173" i="9" s="1"/>
  <c r="AB171" i="15"/>
  <c r="JI173" i="9" s="1"/>
  <c r="AA172" i="15"/>
  <c r="JB174" i="9" s="1"/>
  <c r="AB172" i="15"/>
  <c r="JI174" i="9" s="1"/>
  <c r="AA173" i="15"/>
  <c r="JB175" i="9" s="1"/>
  <c r="AB173" i="15"/>
  <c r="JI175" i="9" s="1"/>
  <c r="AA174" i="15"/>
  <c r="JB176" i="9" s="1"/>
  <c r="AB174" i="15"/>
  <c r="JI176" i="9" s="1"/>
  <c r="AA175" i="15"/>
  <c r="JB177" i="9" s="1"/>
  <c r="AB175" i="15"/>
  <c r="JI177" i="9" s="1"/>
  <c r="AA176" i="15"/>
  <c r="JB178" i="9" s="1"/>
  <c r="AB176" i="15"/>
  <c r="JI178" i="9" s="1"/>
  <c r="AA177" i="15"/>
  <c r="JB179" i="9" s="1"/>
  <c r="AB177" i="15"/>
  <c r="JI179" i="9" s="1"/>
  <c r="AA178" i="15"/>
  <c r="JB180" i="9" s="1"/>
  <c r="AB178" i="15"/>
  <c r="JI180" i="9" s="1"/>
  <c r="AA179" i="15"/>
  <c r="JB181" i="9" s="1"/>
  <c r="AB179" i="15"/>
  <c r="JI181" i="9" s="1"/>
  <c r="AA180" i="15"/>
  <c r="JB182" i="9" s="1"/>
  <c r="AB180" i="15"/>
  <c r="JI182" i="9" s="1"/>
  <c r="AA181" i="15"/>
  <c r="JB183" i="9" s="1"/>
  <c r="AB181" i="15"/>
  <c r="JI183" i="9" s="1"/>
  <c r="AA182" i="15"/>
  <c r="JB184" i="9" s="1"/>
  <c r="AB182" i="15"/>
  <c r="JI184" i="9" s="1"/>
  <c r="AA183" i="15"/>
  <c r="JB185" i="9" s="1"/>
  <c r="AB183" i="15"/>
  <c r="JI185" i="9" s="1"/>
  <c r="AA184" i="15"/>
  <c r="JB186" i="9" s="1"/>
  <c r="AB184" i="15"/>
  <c r="JI186" i="9" s="1"/>
  <c r="AA185" i="15"/>
  <c r="JB187" i="9" s="1"/>
  <c r="AB185" i="15"/>
  <c r="JI187" i="9" s="1"/>
  <c r="AA186" i="15"/>
  <c r="JB188" i="9" s="1"/>
  <c r="AB186" i="15"/>
  <c r="JI188" i="9" s="1"/>
  <c r="AA187" i="15"/>
  <c r="JB189" i="9" s="1"/>
  <c r="AB187" i="15"/>
  <c r="JI189" i="9" s="1"/>
  <c r="AA188" i="15"/>
  <c r="JB190" i="9" s="1"/>
  <c r="AB188" i="15"/>
  <c r="JI190" i="9" s="1"/>
  <c r="AA189" i="15"/>
  <c r="JB191" i="9" s="1"/>
  <c r="AB189" i="15"/>
  <c r="JI191" i="9" s="1"/>
  <c r="AA190" i="15"/>
  <c r="JB192" i="9" s="1"/>
  <c r="AB190" i="15"/>
  <c r="JI192" i="9" s="1"/>
  <c r="AA191" i="15"/>
  <c r="JB193" i="9" s="1"/>
  <c r="AB191" i="15"/>
  <c r="JI193" i="9" s="1"/>
  <c r="AA192" i="15"/>
  <c r="JB194" i="9" s="1"/>
  <c r="AB192" i="15"/>
  <c r="JI194" i="9" s="1"/>
  <c r="AA193" i="15"/>
  <c r="JB195" i="9" s="1"/>
  <c r="AB193" i="15"/>
  <c r="JI195" i="9" s="1"/>
  <c r="AA194" i="15"/>
  <c r="JB196" i="9" s="1"/>
  <c r="AB194" i="15"/>
  <c r="JI196" i="9" s="1"/>
  <c r="AA195" i="15"/>
  <c r="JB197" i="9" s="1"/>
  <c r="AB195" i="15"/>
  <c r="JI197" i="9" s="1"/>
  <c r="AA196" i="15"/>
  <c r="JB198" i="9" s="1"/>
  <c r="AB196" i="15"/>
  <c r="JI198" i="9" s="1"/>
  <c r="AA197" i="15"/>
  <c r="JB199" i="9" s="1"/>
  <c r="AB197" i="15"/>
  <c r="JI199" i="9" s="1"/>
  <c r="AA198" i="15"/>
  <c r="JB200" i="9" s="1"/>
  <c r="AB198" i="15"/>
  <c r="JI200" i="9" s="1"/>
  <c r="AA199" i="15"/>
  <c r="JB201" i="9" s="1"/>
  <c r="AB199" i="15"/>
  <c r="JI201" i="9" s="1"/>
  <c r="AA200" i="15"/>
  <c r="JB202" i="9" s="1"/>
  <c r="AB200" i="15"/>
  <c r="JI202" i="9" s="1"/>
  <c r="AA201" i="15"/>
  <c r="JB203" i="9" s="1"/>
  <c r="AB201" i="15"/>
  <c r="JI203" i="9" s="1"/>
  <c r="AA202" i="15"/>
  <c r="JB204" i="9" s="1"/>
  <c r="AB202" i="15"/>
  <c r="JI204" i="9" s="1"/>
  <c r="AA203" i="15"/>
  <c r="JB205" i="9" s="1"/>
  <c r="AB203" i="15"/>
  <c r="JI205" i="9" s="1"/>
  <c r="X6" i="15"/>
  <c r="JA8" i="9" s="1"/>
  <c r="Y6" i="15"/>
  <c r="JH8" i="9" s="1"/>
  <c r="X7" i="15"/>
  <c r="JA9" i="9" s="1"/>
  <c r="Y7" i="15"/>
  <c r="JH9" i="9" s="1"/>
  <c r="X8" i="15"/>
  <c r="JA10" i="9" s="1"/>
  <c r="Y8" i="15"/>
  <c r="JH10" i="9" s="1"/>
  <c r="X9" i="15"/>
  <c r="JA11" i="9" s="1"/>
  <c r="Y9" i="15"/>
  <c r="JH11" i="9" s="1"/>
  <c r="X10" i="15"/>
  <c r="JA12" i="9" s="1"/>
  <c r="Y10" i="15"/>
  <c r="JH12" i="9" s="1"/>
  <c r="X11" i="15"/>
  <c r="JA13" i="9" s="1"/>
  <c r="Y11" i="15"/>
  <c r="JH13" i="9" s="1"/>
  <c r="X12" i="15"/>
  <c r="JA14" i="9" s="1"/>
  <c r="Y12" i="15"/>
  <c r="JH14" i="9" s="1"/>
  <c r="X13" i="15"/>
  <c r="JA15" i="9" s="1"/>
  <c r="Y13" i="15"/>
  <c r="JH15" i="9" s="1"/>
  <c r="X14" i="15"/>
  <c r="JA16" i="9" s="1"/>
  <c r="Y14" i="15"/>
  <c r="JH16" i="9" s="1"/>
  <c r="X15" i="15"/>
  <c r="JA17" i="9" s="1"/>
  <c r="Y15" i="15"/>
  <c r="JH17" i="9" s="1"/>
  <c r="X16" i="15"/>
  <c r="JA18" i="9" s="1"/>
  <c r="Y16" i="15"/>
  <c r="JH18" i="9" s="1"/>
  <c r="X17" i="15"/>
  <c r="JA19" i="9" s="1"/>
  <c r="Y17" i="15"/>
  <c r="JH19" i="9" s="1"/>
  <c r="X18" i="15"/>
  <c r="JA20" i="9" s="1"/>
  <c r="Y18" i="15"/>
  <c r="JH20" i="9" s="1"/>
  <c r="X19" i="15"/>
  <c r="JA21" i="9" s="1"/>
  <c r="Y19" i="15"/>
  <c r="JH21" i="9" s="1"/>
  <c r="X20" i="15"/>
  <c r="JA22" i="9" s="1"/>
  <c r="Y20" i="15"/>
  <c r="JH22" i="9" s="1"/>
  <c r="X21" i="15"/>
  <c r="JA23" i="9" s="1"/>
  <c r="Y21" i="15"/>
  <c r="JH23" i="9" s="1"/>
  <c r="X22" i="15"/>
  <c r="JA24" i="9" s="1"/>
  <c r="Y22" i="15"/>
  <c r="JH24" i="9" s="1"/>
  <c r="X23" i="15"/>
  <c r="JA25" i="9" s="1"/>
  <c r="Y23" i="15"/>
  <c r="JH25" i="9" s="1"/>
  <c r="X24" i="15"/>
  <c r="JA26" i="9" s="1"/>
  <c r="Y24" i="15"/>
  <c r="JH26" i="9" s="1"/>
  <c r="X25" i="15"/>
  <c r="JA27" i="9" s="1"/>
  <c r="Y25" i="15"/>
  <c r="JH27" i="9" s="1"/>
  <c r="X26" i="15"/>
  <c r="JA28" i="9" s="1"/>
  <c r="Y26" i="15"/>
  <c r="JH28" i="9" s="1"/>
  <c r="X27" i="15"/>
  <c r="JA29" i="9" s="1"/>
  <c r="Y27" i="15"/>
  <c r="JH29" i="9" s="1"/>
  <c r="X28" i="15"/>
  <c r="JA30" i="9" s="1"/>
  <c r="Y28" i="15"/>
  <c r="JH30" i="9" s="1"/>
  <c r="X29" i="15"/>
  <c r="JA31" i="9" s="1"/>
  <c r="Y29" i="15"/>
  <c r="JH31" i="9" s="1"/>
  <c r="X30" i="15"/>
  <c r="JA32" i="9" s="1"/>
  <c r="Y30" i="15"/>
  <c r="JH32" i="9" s="1"/>
  <c r="X31" i="15"/>
  <c r="JA33" i="9" s="1"/>
  <c r="Y31" i="15"/>
  <c r="JH33" i="9" s="1"/>
  <c r="X32" i="15"/>
  <c r="JA34" i="9" s="1"/>
  <c r="Y32" i="15"/>
  <c r="JH34" i="9" s="1"/>
  <c r="X33" i="15"/>
  <c r="JA35" i="9" s="1"/>
  <c r="Y33" i="15"/>
  <c r="JH35" i="9" s="1"/>
  <c r="X34" i="15"/>
  <c r="JA36" i="9" s="1"/>
  <c r="Y34" i="15"/>
  <c r="JH36" i="9" s="1"/>
  <c r="X35" i="15"/>
  <c r="JA37" i="9" s="1"/>
  <c r="Y35" i="15"/>
  <c r="JH37" i="9" s="1"/>
  <c r="X36" i="15"/>
  <c r="JA38" i="9" s="1"/>
  <c r="Y36" i="15"/>
  <c r="JH38" i="9" s="1"/>
  <c r="X37" i="15"/>
  <c r="JA39" i="9" s="1"/>
  <c r="Y37" i="15"/>
  <c r="JH39" i="9" s="1"/>
  <c r="X38" i="15"/>
  <c r="JA40" i="9" s="1"/>
  <c r="Y38" i="15"/>
  <c r="JH40" i="9" s="1"/>
  <c r="X39" i="15"/>
  <c r="JA41" i="9" s="1"/>
  <c r="Y39" i="15"/>
  <c r="JH41" i="9" s="1"/>
  <c r="X40" i="15"/>
  <c r="JA42" i="9" s="1"/>
  <c r="Y40" i="15"/>
  <c r="JH42" i="9" s="1"/>
  <c r="X41" i="15"/>
  <c r="JA43" i="9" s="1"/>
  <c r="Y41" i="15"/>
  <c r="JH43" i="9" s="1"/>
  <c r="X42" i="15"/>
  <c r="JA44" i="9" s="1"/>
  <c r="Y42" i="15"/>
  <c r="JH44" i="9" s="1"/>
  <c r="X43" i="15"/>
  <c r="JA45" i="9" s="1"/>
  <c r="Y43" i="15"/>
  <c r="JH45" i="9" s="1"/>
  <c r="X44" i="15"/>
  <c r="JA46" i="9" s="1"/>
  <c r="Y44" i="15"/>
  <c r="JH46" i="9" s="1"/>
  <c r="X45" i="15"/>
  <c r="JA47" i="9" s="1"/>
  <c r="Y45" i="15"/>
  <c r="JH47" i="9" s="1"/>
  <c r="X46" i="15"/>
  <c r="JA48" i="9" s="1"/>
  <c r="Y46" i="15"/>
  <c r="JH48" i="9" s="1"/>
  <c r="X47" i="15"/>
  <c r="JA49" i="9" s="1"/>
  <c r="Y47" i="15"/>
  <c r="JH49" i="9" s="1"/>
  <c r="X48" i="15"/>
  <c r="JA50" i="9" s="1"/>
  <c r="Y48" i="15"/>
  <c r="JH50" i="9" s="1"/>
  <c r="X49" i="15"/>
  <c r="JA51" i="9" s="1"/>
  <c r="Y49" i="15"/>
  <c r="JH51" i="9" s="1"/>
  <c r="X50" i="15"/>
  <c r="JA52" i="9" s="1"/>
  <c r="Y50" i="15"/>
  <c r="JH52" i="9" s="1"/>
  <c r="X51" i="15"/>
  <c r="JA53" i="9" s="1"/>
  <c r="Y51" i="15"/>
  <c r="JH53" i="9" s="1"/>
  <c r="X52" i="15"/>
  <c r="JA54" i="9" s="1"/>
  <c r="Y52" i="15"/>
  <c r="JH54" i="9" s="1"/>
  <c r="X53" i="15"/>
  <c r="JA55" i="9" s="1"/>
  <c r="Y53" i="15"/>
  <c r="JH55" i="9" s="1"/>
  <c r="X54" i="15"/>
  <c r="JA56" i="9" s="1"/>
  <c r="Y54" i="15"/>
  <c r="JH56" i="9" s="1"/>
  <c r="X55" i="15"/>
  <c r="JA57" i="9" s="1"/>
  <c r="Y55" i="15"/>
  <c r="JH57" i="9" s="1"/>
  <c r="X56" i="15"/>
  <c r="JA58" i="9" s="1"/>
  <c r="Y56" i="15"/>
  <c r="JH58" i="9" s="1"/>
  <c r="X57" i="15"/>
  <c r="JA59" i="9" s="1"/>
  <c r="Y57" i="15"/>
  <c r="JH59" i="9" s="1"/>
  <c r="X58" i="15"/>
  <c r="JA60" i="9" s="1"/>
  <c r="Y58" i="15"/>
  <c r="JH60" i="9" s="1"/>
  <c r="X59" i="15"/>
  <c r="JA61" i="9" s="1"/>
  <c r="Y59" i="15"/>
  <c r="JH61" i="9" s="1"/>
  <c r="X60" i="15"/>
  <c r="JA62" i="9" s="1"/>
  <c r="Y60" i="15"/>
  <c r="JH62" i="9" s="1"/>
  <c r="X61" i="15"/>
  <c r="JA63" i="9" s="1"/>
  <c r="Y61" i="15"/>
  <c r="JH63" i="9" s="1"/>
  <c r="X62" i="15"/>
  <c r="JA64" i="9" s="1"/>
  <c r="Y62" i="15"/>
  <c r="JH64" i="9" s="1"/>
  <c r="X63" i="15"/>
  <c r="JA65" i="9" s="1"/>
  <c r="Y63" i="15"/>
  <c r="JH65" i="9" s="1"/>
  <c r="X64" i="15"/>
  <c r="JA66" i="9" s="1"/>
  <c r="Y64" i="15"/>
  <c r="JH66" i="9" s="1"/>
  <c r="X65" i="15"/>
  <c r="JA67" i="9" s="1"/>
  <c r="Y65" i="15"/>
  <c r="JH67" i="9" s="1"/>
  <c r="X66" i="15"/>
  <c r="JA68" i="9" s="1"/>
  <c r="Y66" i="15"/>
  <c r="JH68" i="9" s="1"/>
  <c r="X67" i="15"/>
  <c r="JA69" i="9" s="1"/>
  <c r="Y67" i="15"/>
  <c r="JH69" i="9" s="1"/>
  <c r="X68" i="15"/>
  <c r="JA70" i="9" s="1"/>
  <c r="Y68" i="15"/>
  <c r="JH70" i="9" s="1"/>
  <c r="X69" i="15"/>
  <c r="JA71" i="9" s="1"/>
  <c r="Y69" i="15"/>
  <c r="JH71" i="9" s="1"/>
  <c r="X70" i="15"/>
  <c r="JA72" i="9" s="1"/>
  <c r="Y70" i="15"/>
  <c r="JH72" i="9" s="1"/>
  <c r="X71" i="15"/>
  <c r="JA73" i="9" s="1"/>
  <c r="Y71" i="15"/>
  <c r="JH73" i="9" s="1"/>
  <c r="X72" i="15"/>
  <c r="JA74" i="9" s="1"/>
  <c r="Y72" i="15"/>
  <c r="JH74" i="9" s="1"/>
  <c r="X73" i="15"/>
  <c r="JA75" i="9" s="1"/>
  <c r="Y73" i="15"/>
  <c r="JH75" i="9" s="1"/>
  <c r="X74" i="15"/>
  <c r="JA76" i="9" s="1"/>
  <c r="Y74" i="15"/>
  <c r="JH76" i="9" s="1"/>
  <c r="X75" i="15"/>
  <c r="JA77" i="9" s="1"/>
  <c r="Y75" i="15"/>
  <c r="JH77" i="9" s="1"/>
  <c r="X76" i="15"/>
  <c r="JA78" i="9" s="1"/>
  <c r="Y76" i="15"/>
  <c r="JH78" i="9" s="1"/>
  <c r="X77" i="15"/>
  <c r="JA79" i="9" s="1"/>
  <c r="Y77" i="15"/>
  <c r="JH79" i="9" s="1"/>
  <c r="X78" i="15"/>
  <c r="JA80" i="9" s="1"/>
  <c r="Y78" i="15"/>
  <c r="JH80" i="9" s="1"/>
  <c r="X79" i="15"/>
  <c r="JA81" i="9" s="1"/>
  <c r="Y79" i="15"/>
  <c r="JH81" i="9" s="1"/>
  <c r="X80" i="15"/>
  <c r="JA82" i="9" s="1"/>
  <c r="Y80" i="15"/>
  <c r="JH82" i="9" s="1"/>
  <c r="X81" i="15"/>
  <c r="JA83" i="9" s="1"/>
  <c r="Y81" i="15"/>
  <c r="JH83" i="9" s="1"/>
  <c r="X82" i="15"/>
  <c r="JA84" i="9" s="1"/>
  <c r="Y82" i="15"/>
  <c r="JH84" i="9" s="1"/>
  <c r="X83" i="15"/>
  <c r="JA85" i="9" s="1"/>
  <c r="Y83" i="15"/>
  <c r="JH85" i="9" s="1"/>
  <c r="X84" i="15"/>
  <c r="JA86" i="9" s="1"/>
  <c r="Y84" i="15"/>
  <c r="JH86" i="9" s="1"/>
  <c r="X85" i="15"/>
  <c r="JA87" i="9" s="1"/>
  <c r="Y85" i="15"/>
  <c r="JH87" i="9" s="1"/>
  <c r="X86" i="15"/>
  <c r="JA88" i="9" s="1"/>
  <c r="Y86" i="15"/>
  <c r="JH88" i="9" s="1"/>
  <c r="X87" i="15"/>
  <c r="JA89" i="9" s="1"/>
  <c r="Y87" i="15"/>
  <c r="JH89" i="9" s="1"/>
  <c r="X88" i="15"/>
  <c r="JA90" i="9" s="1"/>
  <c r="Y88" i="15"/>
  <c r="JH90" i="9" s="1"/>
  <c r="X89" i="15"/>
  <c r="JA91" i="9" s="1"/>
  <c r="Y89" i="15"/>
  <c r="JH91" i="9" s="1"/>
  <c r="X90" i="15"/>
  <c r="JA92" i="9" s="1"/>
  <c r="Y90" i="15"/>
  <c r="JH92" i="9" s="1"/>
  <c r="X91" i="15"/>
  <c r="JA93" i="9" s="1"/>
  <c r="Y91" i="15"/>
  <c r="JH93" i="9" s="1"/>
  <c r="X92" i="15"/>
  <c r="JA94" i="9" s="1"/>
  <c r="Y92" i="15"/>
  <c r="JH94" i="9" s="1"/>
  <c r="X93" i="15"/>
  <c r="JA95" i="9" s="1"/>
  <c r="Y93" i="15"/>
  <c r="JH95" i="9" s="1"/>
  <c r="X94" i="15"/>
  <c r="JA96" i="9" s="1"/>
  <c r="Y94" i="15"/>
  <c r="JH96" i="9" s="1"/>
  <c r="X95" i="15"/>
  <c r="JA97" i="9" s="1"/>
  <c r="Y95" i="15"/>
  <c r="JH97" i="9" s="1"/>
  <c r="X96" i="15"/>
  <c r="JA98" i="9" s="1"/>
  <c r="Y96" i="15"/>
  <c r="JH98" i="9" s="1"/>
  <c r="X97" i="15"/>
  <c r="JA99" i="9" s="1"/>
  <c r="Y97" i="15"/>
  <c r="JH99" i="9" s="1"/>
  <c r="X98" i="15"/>
  <c r="JA100" i="9" s="1"/>
  <c r="Y98" i="15"/>
  <c r="JH100" i="9" s="1"/>
  <c r="X99" i="15"/>
  <c r="JA101" i="9" s="1"/>
  <c r="Y99" i="15"/>
  <c r="JH101" i="9" s="1"/>
  <c r="X100" i="15"/>
  <c r="JA102" i="9" s="1"/>
  <c r="Y100" i="15"/>
  <c r="JH102" i="9" s="1"/>
  <c r="X101" i="15"/>
  <c r="JA103" i="9" s="1"/>
  <c r="Y101" i="15"/>
  <c r="JH103" i="9" s="1"/>
  <c r="X102" i="15"/>
  <c r="JA104" i="9" s="1"/>
  <c r="Y102" i="15"/>
  <c r="JH104" i="9" s="1"/>
  <c r="X103" i="15"/>
  <c r="JA105" i="9" s="1"/>
  <c r="Y103" i="15"/>
  <c r="JH105" i="9" s="1"/>
  <c r="X104" i="15"/>
  <c r="JA106" i="9" s="1"/>
  <c r="Y104" i="15"/>
  <c r="JH106" i="9" s="1"/>
  <c r="X105" i="15"/>
  <c r="JA107" i="9" s="1"/>
  <c r="Y105" i="15"/>
  <c r="JH107" i="9" s="1"/>
  <c r="X106" i="15"/>
  <c r="JA108" i="9" s="1"/>
  <c r="Y106" i="15"/>
  <c r="JH108" i="9" s="1"/>
  <c r="X107" i="15"/>
  <c r="JA109" i="9" s="1"/>
  <c r="Y107" i="15"/>
  <c r="JH109" i="9" s="1"/>
  <c r="X108" i="15"/>
  <c r="JA110" i="9" s="1"/>
  <c r="Y108" i="15"/>
  <c r="JH110" i="9" s="1"/>
  <c r="X109" i="15"/>
  <c r="JA111" i="9" s="1"/>
  <c r="Y109" i="15"/>
  <c r="JH111" i="9" s="1"/>
  <c r="X110" i="15"/>
  <c r="JA112" i="9" s="1"/>
  <c r="Y110" i="15"/>
  <c r="JH112" i="9" s="1"/>
  <c r="X111" i="15"/>
  <c r="JA113" i="9" s="1"/>
  <c r="Y111" i="15"/>
  <c r="JH113" i="9" s="1"/>
  <c r="X112" i="15"/>
  <c r="JA114" i="9" s="1"/>
  <c r="Y112" i="15"/>
  <c r="JH114" i="9" s="1"/>
  <c r="X113" i="15"/>
  <c r="JA115" i="9" s="1"/>
  <c r="Y113" i="15"/>
  <c r="JH115" i="9" s="1"/>
  <c r="X114" i="15"/>
  <c r="JA116" i="9" s="1"/>
  <c r="Y114" i="15"/>
  <c r="JH116" i="9" s="1"/>
  <c r="X115" i="15"/>
  <c r="JA117" i="9" s="1"/>
  <c r="Y115" i="15"/>
  <c r="JH117" i="9" s="1"/>
  <c r="X116" i="15"/>
  <c r="JA118" i="9" s="1"/>
  <c r="Y116" i="15"/>
  <c r="JH118" i="9" s="1"/>
  <c r="X117" i="15"/>
  <c r="JA119" i="9" s="1"/>
  <c r="Y117" i="15"/>
  <c r="JH119" i="9" s="1"/>
  <c r="X118" i="15"/>
  <c r="JA120" i="9" s="1"/>
  <c r="Y118" i="15"/>
  <c r="JH120" i="9" s="1"/>
  <c r="X119" i="15"/>
  <c r="JA121" i="9" s="1"/>
  <c r="Y119" i="15"/>
  <c r="JH121" i="9" s="1"/>
  <c r="X120" i="15"/>
  <c r="JA122" i="9" s="1"/>
  <c r="Y120" i="15"/>
  <c r="JH122" i="9" s="1"/>
  <c r="X121" i="15"/>
  <c r="JA123" i="9" s="1"/>
  <c r="Y121" i="15"/>
  <c r="JH123" i="9" s="1"/>
  <c r="X122" i="15"/>
  <c r="JA124" i="9" s="1"/>
  <c r="Y122" i="15"/>
  <c r="JH124" i="9" s="1"/>
  <c r="X123" i="15"/>
  <c r="JA125" i="9" s="1"/>
  <c r="Y123" i="15"/>
  <c r="JH125" i="9" s="1"/>
  <c r="X124" i="15"/>
  <c r="JA126" i="9" s="1"/>
  <c r="Y124" i="15"/>
  <c r="JH126" i="9" s="1"/>
  <c r="X125" i="15"/>
  <c r="JA127" i="9" s="1"/>
  <c r="Y125" i="15"/>
  <c r="JH127" i="9" s="1"/>
  <c r="X126" i="15"/>
  <c r="JA128" i="9" s="1"/>
  <c r="Y126" i="15"/>
  <c r="JH128" i="9" s="1"/>
  <c r="X127" i="15"/>
  <c r="JA129" i="9" s="1"/>
  <c r="Y127" i="15"/>
  <c r="JH129" i="9" s="1"/>
  <c r="X128" i="15"/>
  <c r="JA130" i="9" s="1"/>
  <c r="Y128" i="15"/>
  <c r="JH130" i="9" s="1"/>
  <c r="X129" i="15"/>
  <c r="JA131" i="9" s="1"/>
  <c r="Y129" i="15"/>
  <c r="JH131" i="9" s="1"/>
  <c r="X130" i="15"/>
  <c r="JA132" i="9" s="1"/>
  <c r="Y130" i="15"/>
  <c r="JH132" i="9" s="1"/>
  <c r="X131" i="15"/>
  <c r="JA133" i="9" s="1"/>
  <c r="Y131" i="15"/>
  <c r="JH133" i="9" s="1"/>
  <c r="X132" i="15"/>
  <c r="JA134" i="9" s="1"/>
  <c r="Y132" i="15"/>
  <c r="JH134" i="9" s="1"/>
  <c r="X133" i="15"/>
  <c r="JA135" i="9" s="1"/>
  <c r="Y133" i="15"/>
  <c r="JH135" i="9" s="1"/>
  <c r="X134" i="15"/>
  <c r="JA136" i="9" s="1"/>
  <c r="Y134" i="15"/>
  <c r="JH136" i="9" s="1"/>
  <c r="X135" i="15"/>
  <c r="JA137" i="9" s="1"/>
  <c r="Y135" i="15"/>
  <c r="JH137" i="9" s="1"/>
  <c r="X136" i="15"/>
  <c r="JA138" i="9" s="1"/>
  <c r="Y136" i="15"/>
  <c r="JH138" i="9" s="1"/>
  <c r="X137" i="15"/>
  <c r="JA139" i="9" s="1"/>
  <c r="Y137" i="15"/>
  <c r="JH139" i="9" s="1"/>
  <c r="X138" i="15"/>
  <c r="JA140" i="9" s="1"/>
  <c r="Y138" i="15"/>
  <c r="JH140" i="9" s="1"/>
  <c r="X139" i="15"/>
  <c r="JA141" i="9" s="1"/>
  <c r="Y139" i="15"/>
  <c r="JH141" i="9" s="1"/>
  <c r="X140" i="15"/>
  <c r="JA142" i="9" s="1"/>
  <c r="Y140" i="15"/>
  <c r="JH142" i="9" s="1"/>
  <c r="X141" i="15"/>
  <c r="JA143" i="9" s="1"/>
  <c r="Y141" i="15"/>
  <c r="JH143" i="9" s="1"/>
  <c r="X142" i="15"/>
  <c r="JA144" i="9" s="1"/>
  <c r="Y142" i="15"/>
  <c r="JH144" i="9" s="1"/>
  <c r="X143" i="15"/>
  <c r="JA145" i="9" s="1"/>
  <c r="Y143" i="15"/>
  <c r="JH145" i="9" s="1"/>
  <c r="X144" i="15"/>
  <c r="JA146" i="9" s="1"/>
  <c r="Y144" i="15"/>
  <c r="JH146" i="9" s="1"/>
  <c r="X145" i="15"/>
  <c r="JA147" i="9" s="1"/>
  <c r="Y145" i="15"/>
  <c r="JH147" i="9" s="1"/>
  <c r="X146" i="15"/>
  <c r="JA148" i="9" s="1"/>
  <c r="Y146" i="15"/>
  <c r="JH148" i="9" s="1"/>
  <c r="X147" i="15"/>
  <c r="JA149" i="9" s="1"/>
  <c r="Y147" i="15"/>
  <c r="JH149" i="9" s="1"/>
  <c r="X148" i="15"/>
  <c r="JA150" i="9" s="1"/>
  <c r="Y148" i="15"/>
  <c r="JH150" i="9" s="1"/>
  <c r="X149" i="15"/>
  <c r="JA151" i="9" s="1"/>
  <c r="Y149" i="15"/>
  <c r="JH151" i="9" s="1"/>
  <c r="X150" i="15"/>
  <c r="JA152" i="9" s="1"/>
  <c r="Y150" i="15"/>
  <c r="JH152" i="9" s="1"/>
  <c r="X151" i="15"/>
  <c r="JA153" i="9" s="1"/>
  <c r="Y151" i="15"/>
  <c r="JH153" i="9" s="1"/>
  <c r="X152" i="15"/>
  <c r="JA154" i="9" s="1"/>
  <c r="Y152" i="15"/>
  <c r="JH154" i="9" s="1"/>
  <c r="X153" i="15"/>
  <c r="JA155" i="9" s="1"/>
  <c r="Y153" i="15"/>
  <c r="JH155" i="9" s="1"/>
  <c r="X154" i="15"/>
  <c r="JA156" i="9" s="1"/>
  <c r="Y154" i="15"/>
  <c r="JH156" i="9" s="1"/>
  <c r="X155" i="15"/>
  <c r="JA157" i="9" s="1"/>
  <c r="Y155" i="15"/>
  <c r="JH157" i="9" s="1"/>
  <c r="X156" i="15"/>
  <c r="JA158" i="9" s="1"/>
  <c r="Y156" i="15"/>
  <c r="JH158" i="9" s="1"/>
  <c r="X157" i="15"/>
  <c r="JA159" i="9" s="1"/>
  <c r="Y157" i="15"/>
  <c r="JH159" i="9" s="1"/>
  <c r="X158" i="15"/>
  <c r="JA160" i="9" s="1"/>
  <c r="Y158" i="15"/>
  <c r="JH160" i="9" s="1"/>
  <c r="X159" i="15"/>
  <c r="JA161" i="9" s="1"/>
  <c r="Y159" i="15"/>
  <c r="JH161" i="9" s="1"/>
  <c r="X160" i="15"/>
  <c r="JA162" i="9" s="1"/>
  <c r="Y160" i="15"/>
  <c r="JH162" i="9" s="1"/>
  <c r="X161" i="15"/>
  <c r="JA163" i="9" s="1"/>
  <c r="Y161" i="15"/>
  <c r="JH163" i="9" s="1"/>
  <c r="X162" i="15"/>
  <c r="JA164" i="9" s="1"/>
  <c r="Y162" i="15"/>
  <c r="JH164" i="9" s="1"/>
  <c r="X163" i="15"/>
  <c r="JA165" i="9" s="1"/>
  <c r="Y163" i="15"/>
  <c r="JH165" i="9" s="1"/>
  <c r="X164" i="15"/>
  <c r="JA166" i="9" s="1"/>
  <c r="Y164" i="15"/>
  <c r="JH166" i="9" s="1"/>
  <c r="X165" i="15"/>
  <c r="JA167" i="9" s="1"/>
  <c r="Y165" i="15"/>
  <c r="JH167" i="9" s="1"/>
  <c r="X166" i="15"/>
  <c r="JA168" i="9" s="1"/>
  <c r="Y166" i="15"/>
  <c r="JH168" i="9" s="1"/>
  <c r="X167" i="15"/>
  <c r="JA169" i="9" s="1"/>
  <c r="Y167" i="15"/>
  <c r="JH169" i="9" s="1"/>
  <c r="X168" i="15"/>
  <c r="JA170" i="9" s="1"/>
  <c r="Y168" i="15"/>
  <c r="JH170" i="9" s="1"/>
  <c r="X169" i="15"/>
  <c r="JA171" i="9" s="1"/>
  <c r="Y169" i="15"/>
  <c r="JH171" i="9" s="1"/>
  <c r="X170" i="15"/>
  <c r="JA172" i="9" s="1"/>
  <c r="Y170" i="15"/>
  <c r="JH172" i="9" s="1"/>
  <c r="X171" i="15"/>
  <c r="JA173" i="9" s="1"/>
  <c r="Y171" i="15"/>
  <c r="JH173" i="9" s="1"/>
  <c r="X172" i="15"/>
  <c r="JA174" i="9" s="1"/>
  <c r="Y172" i="15"/>
  <c r="JH174" i="9" s="1"/>
  <c r="X173" i="15"/>
  <c r="JA175" i="9" s="1"/>
  <c r="Y173" i="15"/>
  <c r="JH175" i="9" s="1"/>
  <c r="X174" i="15"/>
  <c r="JA176" i="9" s="1"/>
  <c r="Y174" i="15"/>
  <c r="JH176" i="9" s="1"/>
  <c r="X175" i="15"/>
  <c r="JA177" i="9" s="1"/>
  <c r="Y175" i="15"/>
  <c r="JH177" i="9" s="1"/>
  <c r="X176" i="15"/>
  <c r="JA178" i="9" s="1"/>
  <c r="Y176" i="15"/>
  <c r="JH178" i="9" s="1"/>
  <c r="X177" i="15"/>
  <c r="JA179" i="9" s="1"/>
  <c r="Y177" i="15"/>
  <c r="JH179" i="9" s="1"/>
  <c r="X178" i="15"/>
  <c r="JA180" i="9" s="1"/>
  <c r="Y178" i="15"/>
  <c r="JH180" i="9" s="1"/>
  <c r="X179" i="15"/>
  <c r="JA181" i="9" s="1"/>
  <c r="Y179" i="15"/>
  <c r="JH181" i="9" s="1"/>
  <c r="X180" i="15"/>
  <c r="JA182" i="9" s="1"/>
  <c r="Y180" i="15"/>
  <c r="JH182" i="9" s="1"/>
  <c r="X181" i="15"/>
  <c r="JA183" i="9" s="1"/>
  <c r="Y181" i="15"/>
  <c r="JH183" i="9" s="1"/>
  <c r="X182" i="15"/>
  <c r="JA184" i="9" s="1"/>
  <c r="Y182" i="15"/>
  <c r="JH184" i="9" s="1"/>
  <c r="X183" i="15"/>
  <c r="JA185" i="9" s="1"/>
  <c r="Y183" i="15"/>
  <c r="JH185" i="9" s="1"/>
  <c r="X184" i="15"/>
  <c r="JA186" i="9" s="1"/>
  <c r="Y184" i="15"/>
  <c r="JH186" i="9" s="1"/>
  <c r="X185" i="15"/>
  <c r="JA187" i="9" s="1"/>
  <c r="Y185" i="15"/>
  <c r="JH187" i="9" s="1"/>
  <c r="X186" i="15"/>
  <c r="JA188" i="9" s="1"/>
  <c r="Y186" i="15"/>
  <c r="JH188" i="9" s="1"/>
  <c r="X187" i="15"/>
  <c r="JA189" i="9" s="1"/>
  <c r="Y187" i="15"/>
  <c r="JH189" i="9" s="1"/>
  <c r="X188" i="15"/>
  <c r="JA190" i="9" s="1"/>
  <c r="Y188" i="15"/>
  <c r="JH190" i="9" s="1"/>
  <c r="X189" i="15"/>
  <c r="JA191" i="9" s="1"/>
  <c r="Y189" i="15"/>
  <c r="JH191" i="9" s="1"/>
  <c r="X190" i="15"/>
  <c r="JA192" i="9" s="1"/>
  <c r="Y190" i="15"/>
  <c r="JH192" i="9" s="1"/>
  <c r="X191" i="15"/>
  <c r="JA193" i="9" s="1"/>
  <c r="Y191" i="15"/>
  <c r="JH193" i="9" s="1"/>
  <c r="X192" i="15"/>
  <c r="JA194" i="9" s="1"/>
  <c r="Y192" i="15"/>
  <c r="JH194" i="9" s="1"/>
  <c r="X193" i="15"/>
  <c r="JA195" i="9" s="1"/>
  <c r="Y193" i="15"/>
  <c r="JH195" i="9" s="1"/>
  <c r="X194" i="15"/>
  <c r="JA196" i="9" s="1"/>
  <c r="Y194" i="15"/>
  <c r="JH196" i="9" s="1"/>
  <c r="X195" i="15"/>
  <c r="JA197" i="9" s="1"/>
  <c r="Y195" i="15"/>
  <c r="JH197" i="9" s="1"/>
  <c r="X196" i="15"/>
  <c r="JA198" i="9" s="1"/>
  <c r="Y196" i="15"/>
  <c r="JH198" i="9" s="1"/>
  <c r="X197" i="15"/>
  <c r="JA199" i="9" s="1"/>
  <c r="Y197" i="15"/>
  <c r="JH199" i="9" s="1"/>
  <c r="X198" i="15"/>
  <c r="JA200" i="9" s="1"/>
  <c r="Y198" i="15"/>
  <c r="JH200" i="9" s="1"/>
  <c r="X199" i="15"/>
  <c r="JA201" i="9" s="1"/>
  <c r="Y199" i="15"/>
  <c r="JH201" i="9" s="1"/>
  <c r="X200" i="15"/>
  <c r="JA202" i="9" s="1"/>
  <c r="Y200" i="15"/>
  <c r="JH202" i="9" s="1"/>
  <c r="X201" i="15"/>
  <c r="JA203" i="9" s="1"/>
  <c r="Y201" i="15"/>
  <c r="JH203" i="9" s="1"/>
  <c r="X202" i="15"/>
  <c r="JA204" i="9" s="1"/>
  <c r="Y202" i="15"/>
  <c r="JH204" i="9" s="1"/>
  <c r="X203" i="15"/>
  <c r="JA205" i="9" s="1"/>
  <c r="Y203" i="15"/>
  <c r="JH205" i="9" s="1"/>
  <c r="X204" i="15"/>
  <c r="JA206" i="9" s="1"/>
  <c r="Y204" i="15"/>
  <c r="JH206" i="9" s="1"/>
  <c r="U6" i="15"/>
  <c r="V6"/>
  <c r="JG8" i="9" s="1"/>
  <c r="U7" i="15"/>
  <c r="V7"/>
  <c r="JG9" i="9" s="1"/>
  <c r="U8" i="15"/>
  <c r="V8"/>
  <c r="JG10" i="9" s="1"/>
  <c r="U9" i="15"/>
  <c r="V9"/>
  <c r="JG11" i="9" s="1"/>
  <c r="U10" i="15"/>
  <c r="V10"/>
  <c r="JG12" i="9" s="1"/>
  <c r="U11" i="15"/>
  <c r="V11"/>
  <c r="JG13" i="9" s="1"/>
  <c r="U12" i="15"/>
  <c r="V12"/>
  <c r="JG14" i="9" s="1"/>
  <c r="U13" i="15"/>
  <c r="V13"/>
  <c r="JG15" i="9" s="1"/>
  <c r="U14" i="15"/>
  <c r="V14"/>
  <c r="JG16" i="9" s="1"/>
  <c r="U15" i="15"/>
  <c r="V15"/>
  <c r="JG17" i="9" s="1"/>
  <c r="U16" i="15"/>
  <c r="V16"/>
  <c r="JG18" i="9" s="1"/>
  <c r="U17" i="15"/>
  <c r="V17"/>
  <c r="JG19" i="9" s="1"/>
  <c r="U18" i="15"/>
  <c r="V18"/>
  <c r="JG20" i="9" s="1"/>
  <c r="U19" i="15"/>
  <c r="V19"/>
  <c r="JG21" i="9" s="1"/>
  <c r="U20" i="15"/>
  <c r="V20"/>
  <c r="JG22" i="9" s="1"/>
  <c r="U21" i="15"/>
  <c r="V21"/>
  <c r="JG23" i="9" s="1"/>
  <c r="U22" i="15"/>
  <c r="V22"/>
  <c r="JG24" i="9" s="1"/>
  <c r="U23" i="15"/>
  <c r="V23"/>
  <c r="JG25" i="9" s="1"/>
  <c r="U24" i="15"/>
  <c r="V24"/>
  <c r="JG26" i="9" s="1"/>
  <c r="U25" i="15"/>
  <c r="V25"/>
  <c r="JG27" i="9" s="1"/>
  <c r="U26" i="15"/>
  <c r="V26"/>
  <c r="JG28" i="9" s="1"/>
  <c r="U27" i="15"/>
  <c r="V27"/>
  <c r="JG29" i="9" s="1"/>
  <c r="U28" i="15"/>
  <c r="V28"/>
  <c r="JG30" i="9" s="1"/>
  <c r="U29" i="15"/>
  <c r="V29"/>
  <c r="JG31" i="9" s="1"/>
  <c r="U30" i="15"/>
  <c r="V30"/>
  <c r="JG32" i="9" s="1"/>
  <c r="U31" i="15"/>
  <c r="V31"/>
  <c r="JG33" i="9" s="1"/>
  <c r="U32" i="15"/>
  <c r="V32"/>
  <c r="JG34" i="9" s="1"/>
  <c r="U33" i="15"/>
  <c r="V33"/>
  <c r="JG35" i="9" s="1"/>
  <c r="U34" i="15"/>
  <c r="V34"/>
  <c r="JG36" i="9" s="1"/>
  <c r="U35" i="15"/>
  <c r="V35"/>
  <c r="JG37" i="9" s="1"/>
  <c r="U36" i="15"/>
  <c r="V36"/>
  <c r="JG38" i="9" s="1"/>
  <c r="U37" i="15"/>
  <c r="V37"/>
  <c r="JG39" i="9" s="1"/>
  <c r="U38" i="15"/>
  <c r="V38"/>
  <c r="JG40" i="9" s="1"/>
  <c r="U39" i="15"/>
  <c r="V39"/>
  <c r="JG41" i="9" s="1"/>
  <c r="U40" i="15"/>
  <c r="V40"/>
  <c r="JG42" i="9" s="1"/>
  <c r="U41" i="15"/>
  <c r="V41"/>
  <c r="JG43" i="9" s="1"/>
  <c r="U42" i="15"/>
  <c r="V42"/>
  <c r="JG44" i="9" s="1"/>
  <c r="U43" i="15"/>
  <c r="V43"/>
  <c r="JG45" i="9" s="1"/>
  <c r="U44" i="15"/>
  <c r="V44"/>
  <c r="JG46" i="9" s="1"/>
  <c r="U45" i="15"/>
  <c r="V45"/>
  <c r="JG47" i="9" s="1"/>
  <c r="U46" i="15"/>
  <c r="V46"/>
  <c r="JG48" i="9" s="1"/>
  <c r="U47" i="15"/>
  <c r="V47"/>
  <c r="JG49" i="9" s="1"/>
  <c r="U48" i="15"/>
  <c r="V48"/>
  <c r="JG50" i="9" s="1"/>
  <c r="U49" i="15"/>
  <c r="V49"/>
  <c r="JG51" i="9" s="1"/>
  <c r="U50" i="15"/>
  <c r="V50"/>
  <c r="JG52" i="9" s="1"/>
  <c r="U51" i="15"/>
  <c r="V51"/>
  <c r="JG53" i="9" s="1"/>
  <c r="U52" i="15"/>
  <c r="V52"/>
  <c r="JG54" i="9" s="1"/>
  <c r="U53" i="15"/>
  <c r="V53"/>
  <c r="JG55" i="9" s="1"/>
  <c r="U54" i="15"/>
  <c r="V54"/>
  <c r="JG56" i="9" s="1"/>
  <c r="U55" i="15"/>
  <c r="V55"/>
  <c r="JG57" i="9" s="1"/>
  <c r="U56" i="15"/>
  <c r="V56"/>
  <c r="JG58" i="9" s="1"/>
  <c r="U57" i="15"/>
  <c r="V57"/>
  <c r="JG59" i="9" s="1"/>
  <c r="U58" i="15"/>
  <c r="V58"/>
  <c r="JG60" i="9" s="1"/>
  <c r="U59" i="15"/>
  <c r="V59"/>
  <c r="JG61" i="9" s="1"/>
  <c r="U60" i="15"/>
  <c r="V60"/>
  <c r="JG62" i="9" s="1"/>
  <c r="U61" i="15"/>
  <c r="V61"/>
  <c r="JG63" i="9" s="1"/>
  <c r="U62" i="15"/>
  <c r="V62"/>
  <c r="JG64" i="9" s="1"/>
  <c r="U63" i="15"/>
  <c r="V63"/>
  <c r="JG65" i="9" s="1"/>
  <c r="U64" i="15"/>
  <c r="V64"/>
  <c r="JG66" i="9" s="1"/>
  <c r="U65" i="15"/>
  <c r="V65"/>
  <c r="JG67" i="9" s="1"/>
  <c r="U66" i="15"/>
  <c r="V66"/>
  <c r="JG68" i="9" s="1"/>
  <c r="U67" i="15"/>
  <c r="V67"/>
  <c r="JG69" i="9" s="1"/>
  <c r="U68" i="15"/>
  <c r="V68"/>
  <c r="JG70" i="9" s="1"/>
  <c r="U69" i="15"/>
  <c r="V69"/>
  <c r="JG71" i="9" s="1"/>
  <c r="U70" i="15"/>
  <c r="V70"/>
  <c r="JG72" i="9" s="1"/>
  <c r="U71" i="15"/>
  <c r="V71"/>
  <c r="JG73" i="9" s="1"/>
  <c r="U72" i="15"/>
  <c r="V72"/>
  <c r="JG74" i="9" s="1"/>
  <c r="U73" i="15"/>
  <c r="V73"/>
  <c r="JG75" i="9" s="1"/>
  <c r="U74" i="15"/>
  <c r="V74"/>
  <c r="JG76" i="9" s="1"/>
  <c r="U75" i="15"/>
  <c r="V75"/>
  <c r="JG77" i="9" s="1"/>
  <c r="U76" i="15"/>
  <c r="V76"/>
  <c r="JG78" i="9" s="1"/>
  <c r="U77" i="15"/>
  <c r="V77"/>
  <c r="JG79" i="9" s="1"/>
  <c r="U78" i="15"/>
  <c r="V78"/>
  <c r="JG80" i="9" s="1"/>
  <c r="U79" i="15"/>
  <c r="V79"/>
  <c r="JG81" i="9" s="1"/>
  <c r="U80" i="15"/>
  <c r="V80"/>
  <c r="JG82" i="9" s="1"/>
  <c r="U81" i="15"/>
  <c r="V81"/>
  <c r="JG83" i="9" s="1"/>
  <c r="U82" i="15"/>
  <c r="V82"/>
  <c r="JG84" i="9" s="1"/>
  <c r="U83" i="15"/>
  <c r="V83"/>
  <c r="JG85" i="9" s="1"/>
  <c r="U84" i="15"/>
  <c r="V84"/>
  <c r="JG86" i="9" s="1"/>
  <c r="U85" i="15"/>
  <c r="V85"/>
  <c r="JG87" i="9" s="1"/>
  <c r="U86" i="15"/>
  <c r="V86"/>
  <c r="JG88" i="9" s="1"/>
  <c r="U87" i="15"/>
  <c r="V87"/>
  <c r="JG89" i="9" s="1"/>
  <c r="U88" i="15"/>
  <c r="V88"/>
  <c r="JG90" i="9" s="1"/>
  <c r="U89" i="15"/>
  <c r="V89"/>
  <c r="JG91" i="9" s="1"/>
  <c r="U90" i="15"/>
  <c r="V90"/>
  <c r="JG92" i="9" s="1"/>
  <c r="U91" i="15"/>
  <c r="V91"/>
  <c r="JG93" i="9" s="1"/>
  <c r="U92" i="15"/>
  <c r="V92"/>
  <c r="JG94" i="9" s="1"/>
  <c r="U93" i="15"/>
  <c r="V93"/>
  <c r="JG95" i="9" s="1"/>
  <c r="U94" i="15"/>
  <c r="V94"/>
  <c r="JG96" i="9" s="1"/>
  <c r="U95" i="15"/>
  <c r="V95"/>
  <c r="JG97" i="9" s="1"/>
  <c r="U96" i="15"/>
  <c r="V96"/>
  <c r="JG98" i="9" s="1"/>
  <c r="U97" i="15"/>
  <c r="V97"/>
  <c r="JG99" i="9" s="1"/>
  <c r="U98" i="15"/>
  <c r="V98"/>
  <c r="JG100" i="9" s="1"/>
  <c r="U99" i="15"/>
  <c r="V99"/>
  <c r="JG101" i="9" s="1"/>
  <c r="U100" i="15"/>
  <c r="V100"/>
  <c r="JG102" i="9" s="1"/>
  <c r="U101" i="15"/>
  <c r="V101"/>
  <c r="JG103" i="9" s="1"/>
  <c r="U102" i="15"/>
  <c r="V102"/>
  <c r="JG104" i="9" s="1"/>
  <c r="U103" i="15"/>
  <c r="V103"/>
  <c r="JG105" i="9" s="1"/>
  <c r="U104" i="15"/>
  <c r="V104"/>
  <c r="JG106" i="9" s="1"/>
  <c r="U105" i="15"/>
  <c r="V105"/>
  <c r="JG107" i="9" s="1"/>
  <c r="U106" i="15"/>
  <c r="V106"/>
  <c r="JG108" i="9" s="1"/>
  <c r="U107" i="15"/>
  <c r="V107"/>
  <c r="JG109" i="9" s="1"/>
  <c r="U108" i="15"/>
  <c r="V108"/>
  <c r="JG110" i="9" s="1"/>
  <c r="U109" i="15"/>
  <c r="V109"/>
  <c r="JG111" i="9" s="1"/>
  <c r="U110" i="15"/>
  <c r="V110"/>
  <c r="JG112" i="9" s="1"/>
  <c r="U111" i="15"/>
  <c r="V111"/>
  <c r="JG113" i="9" s="1"/>
  <c r="U112" i="15"/>
  <c r="V112"/>
  <c r="JG114" i="9" s="1"/>
  <c r="U113" i="15"/>
  <c r="V113"/>
  <c r="JG115" i="9" s="1"/>
  <c r="U114" i="15"/>
  <c r="V114"/>
  <c r="JG116" i="9" s="1"/>
  <c r="U115" i="15"/>
  <c r="V115"/>
  <c r="JG117" i="9" s="1"/>
  <c r="U116" i="15"/>
  <c r="V116"/>
  <c r="JG118" i="9" s="1"/>
  <c r="U117" i="15"/>
  <c r="V117"/>
  <c r="JG119" i="9" s="1"/>
  <c r="U118" i="15"/>
  <c r="V118"/>
  <c r="JG120" i="9" s="1"/>
  <c r="U119" i="15"/>
  <c r="V119"/>
  <c r="JG121" i="9" s="1"/>
  <c r="U120" i="15"/>
  <c r="V120"/>
  <c r="JG122" i="9" s="1"/>
  <c r="U121" i="15"/>
  <c r="V121"/>
  <c r="JG123" i="9" s="1"/>
  <c r="U122" i="15"/>
  <c r="V122"/>
  <c r="JG124" i="9" s="1"/>
  <c r="U123" i="15"/>
  <c r="V123"/>
  <c r="JG125" i="9" s="1"/>
  <c r="U124" i="15"/>
  <c r="V124"/>
  <c r="JG126" i="9" s="1"/>
  <c r="U125" i="15"/>
  <c r="V125"/>
  <c r="JG127" i="9" s="1"/>
  <c r="U126" i="15"/>
  <c r="V126"/>
  <c r="JG128" i="9" s="1"/>
  <c r="U127" i="15"/>
  <c r="V127"/>
  <c r="JG129" i="9" s="1"/>
  <c r="U128" i="15"/>
  <c r="V128"/>
  <c r="JG130" i="9" s="1"/>
  <c r="U129" i="15"/>
  <c r="V129"/>
  <c r="JG131" i="9" s="1"/>
  <c r="U130" i="15"/>
  <c r="V130"/>
  <c r="JG132" i="9" s="1"/>
  <c r="U131" i="15"/>
  <c r="V131"/>
  <c r="JG133" i="9" s="1"/>
  <c r="U132" i="15"/>
  <c r="V132"/>
  <c r="JG134" i="9" s="1"/>
  <c r="U133" i="15"/>
  <c r="V133"/>
  <c r="JG135" i="9" s="1"/>
  <c r="U134" i="15"/>
  <c r="V134"/>
  <c r="JG136" i="9" s="1"/>
  <c r="U135" i="15"/>
  <c r="V135"/>
  <c r="JG137" i="9" s="1"/>
  <c r="U136" i="15"/>
  <c r="V136"/>
  <c r="JG138" i="9" s="1"/>
  <c r="U137" i="15"/>
  <c r="V137"/>
  <c r="JG139" i="9" s="1"/>
  <c r="U138" i="15"/>
  <c r="V138"/>
  <c r="JG140" i="9" s="1"/>
  <c r="U139" i="15"/>
  <c r="V139"/>
  <c r="JG141" i="9" s="1"/>
  <c r="U140" i="15"/>
  <c r="V140"/>
  <c r="JG142" i="9" s="1"/>
  <c r="U141" i="15"/>
  <c r="V141"/>
  <c r="JG143" i="9" s="1"/>
  <c r="U142" i="15"/>
  <c r="V142"/>
  <c r="JG144" i="9" s="1"/>
  <c r="U143" i="15"/>
  <c r="V143"/>
  <c r="JG145" i="9" s="1"/>
  <c r="U144" i="15"/>
  <c r="V144"/>
  <c r="JG146" i="9" s="1"/>
  <c r="U145" i="15"/>
  <c r="V145"/>
  <c r="JG147" i="9" s="1"/>
  <c r="U146" i="15"/>
  <c r="V146"/>
  <c r="JG148" i="9" s="1"/>
  <c r="U147" i="15"/>
  <c r="V147"/>
  <c r="JG149" i="9" s="1"/>
  <c r="U148" i="15"/>
  <c r="V148"/>
  <c r="JG150" i="9" s="1"/>
  <c r="U149" i="15"/>
  <c r="V149"/>
  <c r="JG151" i="9" s="1"/>
  <c r="U150" i="15"/>
  <c r="V150"/>
  <c r="JG152" i="9" s="1"/>
  <c r="U151" i="15"/>
  <c r="V151"/>
  <c r="JG153" i="9" s="1"/>
  <c r="U152" i="15"/>
  <c r="V152"/>
  <c r="JG154" i="9" s="1"/>
  <c r="U153" i="15"/>
  <c r="V153"/>
  <c r="JG155" i="9" s="1"/>
  <c r="U154" i="15"/>
  <c r="V154"/>
  <c r="JG156" i="9" s="1"/>
  <c r="U155" i="15"/>
  <c r="V155"/>
  <c r="JG157" i="9" s="1"/>
  <c r="U156" i="15"/>
  <c r="V156"/>
  <c r="JG158" i="9" s="1"/>
  <c r="U157" i="15"/>
  <c r="V157"/>
  <c r="JG159" i="9" s="1"/>
  <c r="U158" i="15"/>
  <c r="V158"/>
  <c r="JG160" i="9" s="1"/>
  <c r="U159" i="15"/>
  <c r="V159"/>
  <c r="JG161" i="9" s="1"/>
  <c r="U160" i="15"/>
  <c r="V160"/>
  <c r="JG162" i="9" s="1"/>
  <c r="U161" i="15"/>
  <c r="V161"/>
  <c r="JG163" i="9" s="1"/>
  <c r="U162" i="15"/>
  <c r="V162"/>
  <c r="JG164" i="9" s="1"/>
  <c r="U163" i="15"/>
  <c r="V163"/>
  <c r="JG165" i="9" s="1"/>
  <c r="U164" i="15"/>
  <c r="V164"/>
  <c r="JG166" i="9" s="1"/>
  <c r="U165" i="15"/>
  <c r="V165"/>
  <c r="JG167" i="9" s="1"/>
  <c r="U166" i="15"/>
  <c r="V166"/>
  <c r="JG168" i="9" s="1"/>
  <c r="U167" i="15"/>
  <c r="V167"/>
  <c r="JG169" i="9" s="1"/>
  <c r="U168" i="15"/>
  <c r="V168"/>
  <c r="JG170" i="9" s="1"/>
  <c r="U169" i="15"/>
  <c r="V169"/>
  <c r="JG171" i="9" s="1"/>
  <c r="U170" i="15"/>
  <c r="V170"/>
  <c r="JG172" i="9" s="1"/>
  <c r="U171" i="15"/>
  <c r="V171"/>
  <c r="JG173" i="9" s="1"/>
  <c r="U172" i="15"/>
  <c r="V172"/>
  <c r="JG174" i="9" s="1"/>
  <c r="U173" i="15"/>
  <c r="V173"/>
  <c r="JG175" i="9" s="1"/>
  <c r="U174" i="15"/>
  <c r="V174"/>
  <c r="JG176" i="9" s="1"/>
  <c r="U175" i="15"/>
  <c r="V175"/>
  <c r="JG177" i="9" s="1"/>
  <c r="U176" i="15"/>
  <c r="V176"/>
  <c r="JG178" i="9" s="1"/>
  <c r="U177" i="15"/>
  <c r="V177"/>
  <c r="JG179" i="9" s="1"/>
  <c r="U178" i="15"/>
  <c r="V178"/>
  <c r="JG180" i="9" s="1"/>
  <c r="U179" i="15"/>
  <c r="V179"/>
  <c r="JG181" i="9" s="1"/>
  <c r="U180" i="15"/>
  <c r="V180"/>
  <c r="JG182" i="9" s="1"/>
  <c r="U181" i="15"/>
  <c r="V181"/>
  <c r="JG183" i="9" s="1"/>
  <c r="U182" i="15"/>
  <c r="V182"/>
  <c r="JG184" i="9" s="1"/>
  <c r="U183" i="15"/>
  <c r="V183"/>
  <c r="JG185" i="9" s="1"/>
  <c r="U184" i="15"/>
  <c r="V184"/>
  <c r="JG186" i="9" s="1"/>
  <c r="U185" i="15"/>
  <c r="V185"/>
  <c r="JG187" i="9" s="1"/>
  <c r="U186" i="15"/>
  <c r="V186"/>
  <c r="JG188" i="9" s="1"/>
  <c r="U187" i="15"/>
  <c r="V187"/>
  <c r="JG189" i="9" s="1"/>
  <c r="U188" i="15"/>
  <c r="V188"/>
  <c r="JG190" i="9" s="1"/>
  <c r="U189" i="15"/>
  <c r="V189"/>
  <c r="JG191" i="9" s="1"/>
  <c r="U190" i="15"/>
  <c r="V190"/>
  <c r="JG192" i="9" s="1"/>
  <c r="U191" i="15"/>
  <c r="V191"/>
  <c r="JG193" i="9" s="1"/>
  <c r="U192" i="15"/>
  <c r="V192"/>
  <c r="JG194" i="9" s="1"/>
  <c r="U193" i="15"/>
  <c r="V193"/>
  <c r="JG195" i="9" s="1"/>
  <c r="U194" i="15"/>
  <c r="V194"/>
  <c r="JG196" i="9" s="1"/>
  <c r="U195" i="15"/>
  <c r="V195"/>
  <c r="JG197" i="9" s="1"/>
  <c r="U196" i="15"/>
  <c r="V196"/>
  <c r="JG198" i="9" s="1"/>
  <c r="U197" i="15"/>
  <c r="V197"/>
  <c r="JG199" i="9" s="1"/>
  <c r="U198" i="15"/>
  <c r="V198"/>
  <c r="JG200" i="9" s="1"/>
  <c r="U199" i="15"/>
  <c r="V199"/>
  <c r="JG201" i="9" s="1"/>
  <c r="U200" i="15"/>
  <c r="V200"/>
  <c r="JG202" i="9" s="1"/>
  <c r="U201" i="15"/>
  <c r="V201"/>
  <c r="JG203" i="9" s="1"/>
  <c r="U202" i="15"/>
  <c r="V202"/>
  <c r="JG204" i="9" s="1"/>
  <c r="U203" i="15"/>
  <c r="V203"/>
  <c r="JG205" i="9" s="1"/>
  <c r="U204" i="15"/>
  <c r="V204"/>
  <c r="JG206" i="9" s="1"/>
  <c r="AB5" i="15"/>
  <c r="JI7" i="9" s="1"/>
  <c r="Y5" i="15"/>
  <c r="JH7" i="9" s="1"/>
  <c r="V5" i="15"/>
  <c r="JG7" i="9" s="1"/>
  <c r="JC7"/>
  <c r="AA5" i="15"/>
  <c r="JB7" i="9" s="1"/>
  <c r="X5" i="15"/>
  <c r="IZ7" i="9"/>
  <c r="A204" i="15"/>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E5"/>
  <c r="JJ7" i="9" s="1"/>
  <c r="M186" i="20" l="1"/>
  <c r="O186" s="1"/>
  <c r="Q186" s="1"/>
  <c r="W186" s="1"/>
  <c r="M122"/>
  <c r="O122" s="1"/>
  <c r="Q122" s="1"/>
  <c r="W122" s="1"/>
  <c r="M58"/>
  <c r="O58" s="1"/>
  <c r="Q58" s="1"/>
  <c r="W58" s="1"/>
  <c r="M171"/>
  <c r="O171" s="1"/>
  <c r="Q171" s="1"/>
  <c r="W171" s="1"/>
  <c r="M107"/>
  <c r="O107" s="1"/>
  <c r="Q107" s="1"/>
  <c r="W107" s="1"/>
  <c r="M43"/>
  <c r="O43" s="1"/>
  <c r="Q43" s="1"/>
  <c r="W43" s="1"/>
  <c r="M148"/>
  <c r="O148" s="1"/>
  <c r="Q148" s="1"/>
  <c r="W148" s="1"/>
  <c r="M84"/>
  <c r="O84" s="1"/>
  <c r="Q84" s="1"/>
  <c r="W84" s="1"/>
  <c r="M20"/>
  <c r="O20" s="1"/>
  <c r="Q20" s="1"/>
  <c r="M193"/>
  <c r="O193" s="1"/>
  <c r="Q193" s="1"/>
  <c r="W193" s="1"/>
  <c r="M129"/>
  <c r="O129" s="1"/>
  <c r="Q129" s="1"/>
  <c r="W129" s="1"/>
  <c r="M65"/>
  <c r="O65" s="1"/>
  <c r="Q65" s="1"/>
  <c r="W65" s="1"/>
  <c r="M190"/>
  <c r="O190" s="1"/>
  <c r="Q190" s="1"/>
  <c r="W190" s="1"/>
  <c r="M126"/>
  <c r="O126" s="1"/>
  <c r="Q126" s="1"/>
  <c r="W126" s="1"/>
  <c r="M62"/>
  <c r="O62" s="1"/>
  <c r="Q62" s="1"/>
  <c r="W62" s="1"/>
  <c r="M175"/>
  <c r="O175" s="1"/>
  <c r="Q175" s="1"/>
  <c r="W175" s="1"/>
  <c r="M111"/>
  <c r="O111" s="1"/>
  <c r="Q111" s="1"/>
  <c r="W111" s="1"/>
  <c r="M47"/>
  <c r="O47" s="1"/>
  <c r="Q47" s="1"/>
  <c r="W47" s="1"/>
  <c r="M152"/>
  <c r="O152" s="1"/>
  <c r="Q152" s="1"/>
  <c r="W152" s="1"/>
  <c r="M88"/>
  <c r="O88" s="1"/>
  <c r="Q88" s="1"/>
  <c r="W88" s="1"/>
  <c r="M24"/>
  <c r="O24" s="1"/>
  <c r="Q24" s="1"/>
  <c r="M197"/>
  <c r="O197" s="1"/>
  <c r="Q197" s="1"/>
  <c r="W197" s="1"/>
  <c r="M133"/>
  <c r="O133" s="1"/>
  <c r="Q133" s="1"/>
  <c r="W133" s="1"/>
  <c r="M69"/>
  <c r="O69" s="1"/>
  <c r="Q69" s="1"/>
  <c r="W69" s="1"/>
  <c r="M178"/>
  <c r="O178" s="1"/>
  <c r="Q178" s="1"/>
  <c r="W178" s="1"/>
  <c r="M114"/>
  <c r="O114" s="1"/>
  <c r="Q114" s="1"/>
  <c r="W114" s="1"/>
  <c r="M50"/>
  <c r="O50" s="1"/>
  <c r="Q50" s="1"/>
  <c r="W50" s="1"/>
  <c r="M163"/>
  <c r="O163" s="1"/>
  <c r="Q163" s="1"/>
  <c r="W163" s="1"/>
  <c r="M99"/>
  <c r="O99" s="1"/>
  <c r="Q99" s="1"/>
  <c r="W99" s="1"/>
  <c r="M35"/>
  <c r="O35" s="1"/>
  <c r="Q35" s="1"/>
  <c r="M204"/>
  <c r="O204" s="1"/>
  <c r="Q204" s="1"/>
  <c r="W204" s="1"/>
  <c r="M140"/>
  <c r="O140" s="1"/>
  <c r="Q140" s="1"/>
  <c r="W140" s="1"/>
  <c r="M76"/>
  <c r="O76" s="1"/>
  <c r="Q76" s="1"/>
  <c r="W76" s="1"/>
  <c r="M12"/>
  <c r="O12" s="1"/>
  <c r="Q12" s="1"/>
  <c r="M185"/>
  <c r="O185" s="1"/>
  <c r="Q185" s="1"/>
  <c r="W185" s="1"/>
  <c r="M121"/>
  <c r="O121" s="1"/>
  <c r="Q121" s="1"/>
  <c r="W121" s="1"/>
  <c r="M57"/>
  <c r="O57" s="1"/>
  <c r="Q57" s="1"/>
  <c r="W57" s="1"/>
  <c r="M166"/>
  <c r="O166" s="1"/>
  <c r="Q166" s="1"/>
  <c r="W166" s="1"/>
  <c r="M102"/>
  <c r="O102" s="1"/>
  <c r="Q102" s="1"/>
  <c r="W102" s="1"/>
  <c r="M38"/>
  <c r="O38" s="1"/>
  <c r="Q38" s="1"/>
  <c r="M151"/>
  <c r="O151" s="1"/>
  <c r="Q151" s="1"/>
  <c r="W151" s="1"/>
  <c r="M87"/>
  <c r="O87" s="1"/>
  <c r="Q87" s="1"/>
  <c r="W87" s="1"/>
  <c r="M23"/>
  <c r="O23" s="1"/>
  <c r="Q23" s="1"/>
  <c r="M192"/>
  <c r="O192" s="1"/>
  <c r="Q192" s="1"/>
  <c r="W192" s="1"/>
  <c r="M128"/>
  <c r="O128" s="1"/>
  <c r="Q128" s="1"/>
  <c r="W128" s="1"/>
  <c r="M64"/>
  <c r="O64" s="1"/>
  <c r="Q64" s="1"/>
  <c r="W64" s="1"/>
  <c r="M173"/>
  <c r="O173" s="1"/>
  <c r="Q173" s="1"/>
  <c r="W173" s="1"/>
  <c r="M109"/>
  <c r="O109" s="1"/>
  <c r="Q109" s="1"/>
  <c r="W109" s="1"/>
  <c r="M45"/>
  <c r="O45" s="1"/>
  <c r="Q45" s="1"/>
  <c r="W45" s="1"/>
  <c r="M202"/>
  <c r="O202" s="1"/>
  <c r="Q202" s="1"/>
  <c r="W202" s="1"/>
  <c r="M138"/>
  <c r="O138" s="1"/>
  <c r="Q138" s="1"/>
  <c r="W138" s="1"/>
  <c r="M74"/>
  <c r="O74" s="1"/>
  <c r="Q74" s="1"/>
  <c r="W74" s="1"/>
  <c r="M10"/>
  <c r="O10" s="1"/>
  <c r="Q10" s="1"/>
  <c r="M187"/>
  <c r="O187" s="1"/>
  <c r="Q187" s="1"/>
  <c r="W187" s="1"/>
  <c r="M123"/>
  <c r="O123" s="1"/>
  <c r="Q123" s="1"/>
  <c r="W123" s="1"/>
  <c r="M59"/>
  <c r="O59" s="1"/>
  <c r="Q59" s="1"/>
  <c r="W59" s="1"/>
  <c r="M164"/>
  <c r="O164" s="1"/>
  <c r="Q164" s="1"/>
  <c r="W164" s="1"/>
  <c r="M100"/>
  <c r="O100" s="1"/>
  <c r="Q100" s="1"/>
  <c r="W100" s="1"/>
  <c r="M36"/>
  <c r="O36" s="1"/>
  <c r="Q36" s="1"/>
  <c r="M145"/>
  <c r="O145" s="1"/>
  <c r="Q145" s="1"/>
  <c r="W145" s="1"/>
  <c r="M81"/>
  <c r="O81" s="1"/>
  <c r="Q81" s="1"/>
  <c r="W81" s="1"/>
  <c r="M17"/>
  <c r="O17" s="1"/>
  <c r="Q17" s="1"/>
  <c r="M206"/>
  <c r="O206" s="1"/>
  <c r="Q206" s="1"/>
  <c r="W206" s="1"/>
  <c r="M142"/>
  <c r="O142" s="1"/>
  <c r="Q142" s="1"/>
  <c r="W142" s="1"/>
  <c r="M78"/>
  <c r="O78" s="1"/>
  <c r="Q78" s="1"/>
  <c r="W78" s="1"/>
  <c r="M14"/>
  <c r="O14" s="1"/>
  <c r="Q14" s="1"/>
  <c r="M191"/>
  <c r="O191" s="1"/>
  <c r="Q191" s="1"/>
  <c r="W191" s="1"/>
  <c r="M127"/>
  <c r="O127" s="1"/>
  <c r="Q127" s="1"/>
  <c r="W127" s="1"/>
  <c r="M63"/>
  <c r="O63" s="1"/>
  <c r="Q63" s="1"/>
  <c r="W63" s="1"/>
  <c r="M168"/>
  <c r="O168" s="1"/>
  <c r="Q168" s="1"/>
  <c r="W168" s="1"/>
  <c r="M104"/>
  <c r="O104" s="1"/>
  <c r="Q104" s="1"/>
  <c r="W104" s="1"/>
  <c r="M40"/>
  <c r="O40" s="1"/>
  <c r="Q40" s="1"/>
  <c r="W40" s="1"/>
  <c r="M149"/>
  <c r="O149" s="1"/>
  <c r="Q149" s="1"/>
  <c r="W149" s="1"/>
  <c r="M85"/>
  <c r="O85" s="1"/>
  <c r="Q85" s="1"/>
  <c r="W85" s="1"/>
  <c r="M21"/>
  <c r="O21" s="1"/>
  <c r="Q21" s="1"/>
  <c r="M194"/>
  <c r="O194" s="1"/>
  <c r="Q194" s="1"/>
  <c r="W194" s="1"/>
  <c r="M130"/>
  <c r="O130" s="1"/>
  <c r="Q130" s="1"/>
  <c r="W130" s="1"/>
  <c r="M66"/>
  <c r="O66" s="1"/>
  <c r="Q66" s="1"/>
  <c r="W66" s="1"/>
  <c r="M179"/>
  <c r="O179" s="1"/>
  <c r="Q179" s="1"/>
  <c r="W179" s="1"/>
  <c r="M115"/>
  <c r="O115" s="1"/>
  <c r="Q115" s="1"/>
  <c r="W115" s="1"/>
  <c r="M51"/>
  <c r="O51" s="1"/>
  <c r="Q51" s="1"/>
  <c r="W51" s="1"/>
  <c r="M156"/>
  <c r="O156" s="1"/>
  <c r="Q156" s="1"/>
  <c r="W156" s="1"/>
  <c r="M92"/>
  <c r="O92" s="1"/>
  <c r="Q92" s="1"/>
  <c r="W92" s="1"/>
  <c r="M28"/>
  <c r="O28" s="1"/>
  <c r="Q28" s="1"/>
  <c r="M201"/>
  <c r="O201" s="1"/>
  <c r="Q201" s="1"/>
  <c r="W201" s="1"/>
  <c r="M137"/>
  <c r="O137" s="1"/>
  <c r="Q137" s="1"/>
  <c r="W137" s="1"/>
  <c r="M73"/>
  <c r="O73" s="1"/>
  <c r="Q73" s="1"/>
  <c r="W73" s="1"/>
  <c r="M9"/>
  <c r="O9" s="1"/>
  <c r="Q9" s="1"/>
  <c r="M182"/>
  <c r="O182" s="1"/>
  <c r="Q182" s="1"/>
  <c r="W182" s="1"/>
  <c r="M118"/>
  <c r="O118" s="1"/>
  <c r="Q118" s="1"/>
  <c r="W118" s="1"/>
  <c r="M54"/>
  <c r="O54" s="1"/>
  <c r="Q54" s="1"/>
  <c r="W54" s="1"/>
  <c r="M167"/>
  <c r="O167" s="1"/>
  <c r="Q167" s="1"/>
  <c r="W167" s="1"/>
  <c r="M103"/>
  <c r="O103" s="1"/>
  <c r="Q103" s="1"/>
  <c r="W103" s="1"/>
  <c r="M39"/>
  <c r="O39" s="1"/>
  <c r="Q39" s="1"/>
  <c r="W39" s="1"/>
  <c r="M144"/>
  <c r="O144" s="1"/>
  <c r="Q144" s="1"/>
  <c r="W144" s="1"/>
  <c r="M80"/>
  <c r="O80" s="1"/>
  <c r="Q80" s="1"/>
  <c r="W80" s="1"/>
  <c r="M16"/>
  <c r="O16" s="1"/>
  <c r="Q16" s="1"/>
  <c r="M189"/>
  <c r="O189" s="1"/>
  <c r="Q189" s="1"/>
  <c r="W189" s="1"/>
  <c r="M125"/>
  <c r="O125" s="1"/>
  <c r="Q125" s="1"/>
  <c r="W125" s="1"/>
  <c r="M61"/>
  <c r="O61" s="1"/>
  <c r="Q61" s="1"/>
  <c r="W61" s="1"/>
  <c r="M154"/>
  <c r="O154" s="1"/>
  <c r="Q154" s="1"/>
  <c r="W154" s="1"/>
  <c r="M90"/>
  <c r="O90" s="1"/>
  <c r="Q90" s="1"/>
  <c r="W90" s="1"/>
  <c r="M26"/>
  <c r="O26" s="1"/>
  <c r="Q26" s="1"/>
  <c r="M203"/>
  <c r="O203" s="1"/>
  <c r="Q203" s="1"/>
  <c r="W203" s="1"/>
  <c r="M139"/>
  <c r="O139" s="1"/>
  <c r="Q139" s="1"/>
  <c r="W139" s="1"/>
  <c r="M75"/>
  <c r="O75" s="1"/>
  <c r="Q75" s="1"/>
  <c r="W75" s="1"/>
  <c r="M11"/>
  <c r="O11" s="1"/>
  <c r="Q11" s="1"/>
  <c r="M180"/>
  <c r="O180" s="1"/>
  <c r="Q180" s="1"/>
  <c r="W180" s="1"/>
  <c r="M116"/>
  <c r="O116" s="1"/>
  <c r="Q116" s="1"/>
  <c r="W116" s="1"/>
  <c r="M52"/>
  <c r="O52" s="1"/>
  <c r="Q52" s="1"/>
  <c r="W52" s="1"/>
  <c r="M161"/>
  <c r="O161" s="1"/>
  <c r="Q161" s="1"/>
  <c r="W161" s="1"/>
  <c r="M97"/>
  <c r="O97" s="1"/>
  <c r="Q97" s="1"/>
  <c r="W97" s="1"/>
  <c r="M33"/>
  <c r="O33" s="1"/>
  <c r="Q33" s="1"/>
  <c r="M158"/>
  <c r="O158" s="1"/>
  <c r="Q158" s="1"/>
  <c r="W158" s="1"/>
  <c r="M94"/>
  <c r="O94" s="1"/>
  <c r="Q94" s="1"/>
  <c r="W94" s="1"/>
  <c r="M30"/>
  <c r="O30" s="1"/>
  <c r="Q30" s="1"/>
  <c r="M207"/>
  <c r="O207" s="1"/>
  <c r="Q207" s="1"/>
  <c r="W207" s="1"/>
  <c r="M143"/>
  <c r="O143" s="1"/>
  <c r="Q143" s="1"/>
  <c r="W143" s="1"/>
  <c r="M79"/>
  <c r="O79" s="1"/>
  <c r="Q79" s="1"/>
  <c r="W79" s="1"/>
  <c r="M15"/>
  <c r="O15" s="1"/>
  <c r="Q15" s="1"/>
  <c r="M184"/>
  <c r="O184" s="1"/>
  <c r="Q184" s="1"/>
  <c r="W184" s="1"/>
  <c r="M120"/>
  <c r="O120" s="1"/>
  <c r="Q120" s="1"/>
  <c r="W120" s="1"/>
  <c r="M56"/>
  <c r="O56" s="1"/>
  <c r="Q56" s="1"/>
  <c r="W56" s="1"/>
  <c r="M165"/>
  <c r="O165" s="1"/>
  <c r="Q165" s="1"/>
  <c r="W165" s="1"/>
  <c r="M101"/>
  <c r="O101" s="1"/>
  <c r="Q101" s="1"/>
  <c r="W101" s="1"/>
  <c r="M37"/>
  <c r="O37" s="1"/>
  <c r="Q37" s="1"/>
  <c r="M146"/>
  <c r="O146" s="1"/>
  <c r="Q146" s="1"/>
  <c r="W146" s="1"/>
  <c r="M82"/>
  <c r="O82" s="1"/>
  <c r="Q82" s="1"/>
  <c r="W82" s="1"/>
  <c r="M18"/>
  <c r="O18" s="1"/>
  <c r="Q18" s="1"/>
  <c r="M195"/>
  <c r="O195" s="1"/>
  <c r="Q195" s="1"/>
  <c r="W195" s="1"/>
  <c r="M131"/>
  <c r="O131" s="1"/>
  <c r="Q131" s="1"/>
  <c r="W131" s="1"/>
  <c r="M67"/>
  <c r="O67" s="1"/>
  <c r="Q67" s="1"/>
  <c r="W67" s="1"/>
  <c r="M172"/>
  <c r="O172" s="1"/>
  <c r="Q172" s="1"/>
  <c r="W172" s="1"/>
  <c r="M108"/>
  <c r="O108" s="1"/>
  <c r="Q108" s="1"/>
  <c r="W108" s="1"/>
  <c r="M44"/>
  <c r="O44" s="1"/>
  <c r="Q44" s="1"/>
  <c r="W44" s="1"/>
  <c r="M153"/>
  <c r="O153" s="1"/>
  <c r="Q153" s="1"/>
  <c r="W153" s="1"/>
  <c r="M89"/>
  <c r="O89" s="1"/>
  <c r="Q89" s="1"/>
  <c r="W89" s="1"/>
  <c r="M25"/>
  <c r="O25" s="1"/>
  <c r="Q25" s="1"/>
  <c r="M198"/>
  <c r="O198" s="1"/>
  <c r="Q198" s="1"/>
  <c r="W198" s="1"/>
  <c r="M134"/>
  <c r="O134" s="1"/>
  <c r="Q134" s="1"/>
  <c r="W134" s="1"/>
  <c r="M70"/>
  <c r="O70" s="1"/>
  <c r="Q70" s="1"/>
  <c r="W70" s="1"/>
  <c r="M183"/>
  <c r="O183" s="1"/>
  <c r="Q183" s="1"/>
  <c r="W183" s="1"/>
  <c r="M119"/>
  <c r="O119" s="1"/>
  <c r="Q119" s="1"/>
  <c r="W119" s="1"/>
  <c r="M55"/>
  <c r="O55" s="1"/>
  <c r="Q55" s="1"/>
  <c r="W55" s="1"/>
  <c r="M160"/>
  <c r="O160" s="1"/>
  <c r="Q160" s="1"/>
  <c r="W160" s="1"/>
  <c r="M96"/>
  <c r="O96" s="1"/>
  <c r="Q96" s="1"/>
  <c r="W96" s="1"/>
  <c r="M32"/>
  <c r="O32" s="1"/>
  <c r="Q32" s="1"/>
  <c r="M205"/>
  <c r="O205" s="1"/>
  <c r="Q205" s="1"/>
  <c r="W205" s="1"/>
  <c r="M141"/>
  <c r="O141" s="1"/>
  <c r="Q141" s="1"/>
  <c r="W141" s="1"/>
  <c r="M77"/>
  <c r="O77" s="1"/>
  <c r="Q77" s="1"/>
  <c r="W77" s="1"/>
  <c r="M13"/>
  <c r="O13" s="1"/>
  <c r="Q13" s="1"/>
  <c r="M170"/>
  <c r="O170" s="1"/>
  <c r="Q170" s="1"/>
  <c r="W170" s="1"/>
  <c r="M106"/>
  <c r="O106" s="1"/>
  <c r="Q106" s="1"/>
  <c r="W106" s="1"/>
  <c r="M42"/>
  <c r="O42" s="1"/>
  <c r="Q42" s="1"/>
  <c r="W42" s="1"/>
  <c r="M155"/>
  <c r="O155" s="1"/>
  <c r="Q155" s="1"/>
  <c r="W155" s="1"/>
  <c r="M91"/>
  <c r="O91" s="1"/>
  <c r="Q91" s="1"/>
  <c r="W91" s="1"/>
  <c r="M27"/>
  <c r="O27" s="1"/>
  <c r="Q27" s="1"/>
  <c r="M196"/>
  <c r="O196" s="1"/>
  <c r="Q196" s="1"/>
  <c r="W196" s="1"/>
  <c r="M132"/>
  <c r="O132" s="1"/>
  <c r="Q132" s="1"/>
  <c r="W132" s="1"/>
  <c r="M68"/>
  <c r="O68" s="1"/>
  <c r="Q68" s="1"/>
  <c r="W68" s="1"/>
  <c r="M177"/>
  <c r="O177" s="1"/>
  <c r="Q177" s="1"/>
  <c r="W177" s="1"/>
  <c r="M113"/>
  <c r="O113" s="1"/>
  <c r="Q113" s="1"/>
  <c r="W113" s="1"/>
  <c r="M49"/>
  <c r="O49" s="1"/>
  <c r="Q49" s="1"/>
  <c r="W49" s="1"/>
  <c r="M174"/>
  <c r="O174" s="1"/>
  <c r="Q174" s="1"/>
  <c r="W174" s="1"/>
  <c r="M110"/>
  <c r="O110" s="1"/>
  <c r="Q110" s="1"/>
  <c r="W110" s="1"/>
  <c r="M46"/>
  <c r="O46" s="1"/>
  <c r="Q46" s="1"/>
  <c r="W46" s="1"/>
  <c r="M159"/>
  <c r="O159" s="1"/>
  <c r="Q159" s="1"/>
  <c r="W159" s="1"/>
  <c r="M95"/>
  <c r="O95" s="1"/>
  <c r="Q95" s="1"/>
  <c r="W95" s="1"/>
  <c r="M31"/>
  <c r="O31" s="1"/>
  <c r="Q31" s="1"/>
  <c r="M200"/>
  <c r="O200" s="1"/>
  <c r="Q200" s="1"/>
  <c r="W200" s="1"/>
  <c r="M136"/>
  <c r="O136" s="1"/>
  <c r="Q136" s="1"/>
  <c r="W136" s="1"/>
  <c r="M72"/>
  <c r="O72" s="1"/>
  <c r="Q72" s="1"/>
  <c r="W72" s="1"/>
  <c r="M181"/>
  <c r="O181" s="1"/>
  <c r="Q181" s="1"/>
  <c r="W181" s="1"/>
  <c r="M117"/>
  <c r="O117" s="1"/>
  <c r="Q117" s="1"/>
  <c r="W117" s="1"/>
  <c r="M53"/>
  <c r="O53" s="1"/>
  <c r="Q53" s="1"/>
  <c r="W53" s="1"/>
  <c r="M162"/>
  <c r="O162" s="1"/>
  <c r="Q162" s="1"/>
  <c r="W162" s="1"/>
  <c r="M98"/>
  <c r="O98" s="1"/>
  <c r="Q98" s="1"/>
  <c r="W98" s="1"/>
  <c r="M34"/>
  <c r="O34" s="1"/>
  <c r="Q34" s="1"/>
  <c r="M8"/>
  <c r="O8" s="1"/>
  <c r="Q8" s="1"/>
  <c r="M147"/>
  <c r="O147" s="1"/>
  <c r="Q147" s="1"/>
  <c r="W147" s="1"/>
  <c r="M83"/>
  <c r="O83" s="1"/>
  <c r="Q83" s="1"/>
  <c r="W83" s="1"/>
  <c r="M19"/>
  <c r="O19" s="1"/>
  <c r="Q19" s="1"/>
  <c r="M188"/>
  <c r="O188" s="1"/>
  <c r="Q188" s="1"/>
  <c r="W188" s="1"/>
  <c r="M124"/>
  <c r="O124" s="1"/>
  <c r="Q124" s="1"/>
  <c r="W124" s="1"/>
  <c r="M60"/>
  <c r="O60" s="1"/>
  <c r="Q60" s="1"/>
  <c r="W60" s="1"/>
  <c r="M169"/>
  <c r="O169" s="1"/>
  <c r="Q169" s="1"/>
  <c r="W169" s="1"/>
  <c r="M105"/>
  <c r="O105" s="1"/>
  <c r="Q105" s="1"/>
  <c r="W105" s="1"/>
  <c r="M41"/>
  <c r="O41" s="1"/>
  <c r="Q41" s="1"/>
  <c r="W41" s="1"/>
  <c r="M150"/>
  <c r="O150" s="1"/>
  <c r="Q150" s="1"/>
  <c r="W150" s="1"/>
  <c r="M86"/>
  <c r="O86" s="1"/>
  <c r="Q86" s="1"/>
  <c r="W86" s="1"/>
  <c r="M22"/>
  <c r="O22" s="1"/>
  <c r="Q22" s="1"/>
  <c r="M199"/>
  <c r="O199" s="1"/>
  <c r="Q199" s="1"/>
  <c r="W199" s="1"/>
  <c r="M135"/>
  <c r="O135" s="1"/>
  <c r="Q135" s="1"/>
  <c r="W135" s="1"/>
  <c r="M71"/>
  <c r="O71" s="1"/>
  <c r="Q71" s="1"/>
  <c r="W71" s="1"/>
  <c r="M176"/>
  <c r="O176" s="1"/>
  <c r="Q176" s="1"/>
  <c r="W176" s="1"/>
  <c r="M112"/>
  <c r="O112" s="1"/>
  <c r="Q112" s="1"/>
  <c r="W112" s="1"/>
  <c r="M48"/>
  <c r="O48" s="1"/>
  <c r="Q48" s="1"/>
  <c r="W48" s="1"/>
  <c r="M157"/>
  <c r="O157" s="1"/>
  <c r="Q157" s="1"/>
  <c r="W157" s="1"/>
  <c r="M93"/>
  <c r="O93" s="1"/>
  <c r="Q93" s="1"/>
  <c r="W93" s="1"/>
  <c r="M29"/>
  <c r="O29" s="1"/>
  <c r="Q29" s="1"/>
  <c r="M7"/>
  <c r="O7" s="1"/>
  <c r="Q7" s="1"/>
  <c r="R145"/>
  <c r="R81"/>
  <c r="R126"/>
  <c r="R62"/>
  <c r="R47"/>
  <c r="R152"/>
  <c r="R197"/>
  <c r="R133"/>
  <c r="R114"/>
  <c r="R50"/>
  <c r="R35"/>
  <c r="S35" s="1"/>
  <c r="R204"/>
  <c r="R12"/>
  <c r="S12" s="1"/>
  <c r="R185"/>
  <c r="JP13" i="9"/>
  <c r="JP204"/>
  <c r="JP200"/>
  <c r="JP196"/>
  <c r="JP192"/>
  <c r="JP188"/>
  <c r="JP184"/>
  <c r="JP180"/>
  <c r="JP176"/>
  <c r="JP172"/>
  <c r="JP168"/>
  <c r="JP164"/>
  <c r="JP158"/>
  <c r="JP152"/>
  <c r="JP148"/>
  <c r="JP142"/>
  <c r="JP136"/>
  <c r="JP128"/>
  <c r="JP122"/>
  <c r="JP114"/>
  <c r="JP108"/>
  <c r="JP100"/>
  <c r="JP94"/>
  <c r="JP88"/>
  <c r="JP84"/>
  <c r="JP76"/>
  <c r="JP68"/>
  <c r="JP62"/>
  <c r="JP56"/>
  <c r="JP50"/>
  <c r="JP42"/>
  <c r="JP36"/>
  <c r="JP30"/>
  <c r="JP24"/>
  <c r="JP18"/>
  <c r="JP14"/>
  <c r="JP206"/>
  <c r="JP202"/>
  <c r="JP198"/>
  <c r="JP194"/>
  <c r="JP190"/>
  <c r="JP186"/>
  <c r="JP182"/>
  <c r="JP178"/>
  <c r="JP174"/>
  <c r="JP170"/>
  <c r="JP166"/>
  <c r="JP162"/>
  <c r="JP160"/>
  <c r="JP156"/>
  <c r="JP150"/>
  <c r="JP144"/>
  <c r="JP138"/>
  <c r="JP132"/>
  <c r="JP130"/>
  <c r="JP124"/>
  <c r="JP118"/>
  <c r="JP112"/>
  <c r="JP106"/>
  <c r="JP104"/>
  <c r="JP98"/>
  <c r="JP92"/>
  <c r="JP86"/>
  <c r="JP80"/>
  <c r="JP74"/>
  <c r="JP70"/>
  <c r="JP66"/>
  <c r="JP60"/>
  <c r="JP54"/>
  <c r="JP48"/>
  <c r="JP44"/>
  <c r="JP38"/>
  <c r="JP34"/>
  <c r="JP28"/>
  <c r="JP22"/>
  <c r="JP16"/>
  <c r="JP12"/>
  <c r="JP154"/>
  <c r="JP146"/>
  <c r="JP140"/>
  <c r="JP134"/>
  <c r="JP126"/>
  <c r="JP120"/>
  <c r="JP116"/>
  <c r="JP110"/>
  <c r="JP102"/>
  <c r="JP96"/>
  <c r="JP90"/>
  <c r="JP82"/>
  <c r="JP78"/>
  <c r="JP72"/>
  <c r="JP64"/>
  <c r="JP58"/>
  <c r="JP52"/>
  <c r="JP46"/>
  <c r="JP40"/>
  <c r="JP32"/>
  <c r="JP26"/>
  <c r="JP20"/>
  <c r="JP8"/>
  <c r="JP205"/>
  <c r="JP203"/>
  <c r="JP201"/>
  <c r="JP199"/>
  <c r="JP197"/>
  <c r="JP195"/>
  <c r="JP193"/>
  <c r="JP191"/>
  <c r="JP189"/>
  <c r="JP187"/>
  <c r="JP185"/>
  <c r="JP183"/>
  <c r="JP181"/>
  <c r="JP179"/>
  <c r="JP177"/>
  <c r="JP175"/>
  <c r="JP173"/>
  <c r="JP171"/>
  <c r="JP169"/>
  <c r="JP167"/>
  <c r="JP165"/>
  <c r="JP163"/>
  <c r="JP161"/>
  <c r="JP159"/>
  <c r="JP157"/>
  <c r="JP155"/>
  <c r="JP153"/>
  <c r="JP151"/>
  <c r="JP149"/>
  <c r="JP147"/>
  <c r="JP145"/>
  <c r="JP143"/>
  <c r="JP141"/>
  <c r="JP139"/>
  <c r="JP137"/>
  <c r="JP135"/>
  <c r="JP133"/>
  <c r="JP131"/>
  <c r="JP129"/>
  <c r="JP127"/>
  <c r="JP125"/>
  <c r="JP123"/>
  <c r="JP121"/>
  <c r="JP119"/>
  <c r="JP117"/>
  <c r="JP115"/>
  <c r="JP113"/>
  <c r="JP111"/>
  <c r="JP109"/>
  <c r="JP107"/>
  <c r="JP105"/>
  <c r="JP103"/>
  <c r="JP101"/>
  <c r="JP99"/>
  <c r="JP97"/>
  <c r="JP95"/>
  <c r="JP93"/>
  <c r="JP91"/>
  <c r="JP89"/>
  <c r="JP87"/>
  <c r="JP85"/>
  <c r="JP83"/>
  <c r="JP81"/>
  <c r="JP79"/>
  <c r="JP77"/>
  <c r="JP75"/>
  <c r="JP73"/>
  <c r="JP71"/>
  <c r="JP69"/>
  <c r="JP67"/>
  <c r="JP65"/>
  <c r="JP63"/>
  <c r="JP61"/>
  <c r="JP59"/>
  <c r="JP57"/>
  <c r="JP55"/>
  <c r="JP53"/>
  <c r="JP51"/>
  <c r="JP49"/>
  <c r="JP47"/>
  <c r="JP45"/>
  <c r="JP43"/>
  <c r="JP41"/>
  <c r="JP39"/>
  <c r="JP37"/>
  <c r="JP35"/>
  <c r="JP33"/>
  <c r="JP31"/>
  <c r="JP29"/>
  <c r="JP27"/>
  <c r="JP25"/>
  <c r="JP23"/>
  <c r="JP21"/>
  <c r="JP19"/>
  <c r="JP17"/>
  <c r="JP15"/>
  <c r="JP11"/>
  <c r="JP9"/>
  <c r="JJ10"/>
  <c r="JP10" s="1"/>
  <c r="JP7"/>
  <c r="JP218"/>
  <c r="JP216"/>
  <c r="JP214"/>
  <c r="JP212"/>
  <c r="JP210"/>
  <c r="JP208"/>
  <c r="JP217"/>
  <c r="JP215"/>
  <c r="JP213"/>
  <c r="JP211"/>
  <c r="JP209"/>
  <c r="JP207"/>
  <c r="JZ207" s="1"/>
  <c r="JA7"/>
  <c r="IZ8"/>
  <c r="IZ15"/>
  <c r="IZ176"/>
  <c r="IZ172"/>
  <c r="IZ168"/>
  <c r="IZ164"/>
  <c r="IZ158"/>
  <c r="IZ154"/>
  <c r="IZ150"/>
  <c r="IZ146"/>
  <c r="IZ142"/>
  <c r="IZ138"/>
  <c r="IZ134"/>
  <c r="IZ130"/>
  <c r="IZ126"/>
  <c r="IZ122"/>
  <c r="IZ118"/>
  <c r="IZ114"/>
  <c r="IZ110"/>
  <c r="IZ106"/>
  <c r="IZ102"/>
  <c r="IZ98"/>
  <c r="IZ94"/>
  <c r="IZ90"/>
  <c r="IZ86"/>
  <c r="IZ82"/>
  <c r="IZ78"/>
  <c r="IZ74"/>
  <c r="IZ72"/>
  <c r="IZ70"/>
  <c r="IZ68"/>
  <c r="IZ66"/>
  <c r="IZ64"/>
  <c r="IZ62"/>
  <c r="IZ60"/>
  <c r="IZ58"/>
  <c r="IZ56"/>
  <c r="IZ54"/>
  <c r="IZ52"/>
  <c r="IZ48"/>
  <c r="IZ46"/>
  <c r="IZ44"/>
  <c r="IZ42"/>
  <c r="IZ40"/>
  <c r="IZ38"/>
  <c r="IZ36"/>
  <c r="IZ34"/>
  <c r="IZ32"/>
  <c r="IZ30"/>
  <c r="IZ28"/>
  <c r="IZ26"/>
  <c r="IZ24"/>
  <c r="IZ22"/>
  <c r="IZ20"/>
  <c r="IZ18"/>
  <c r="IZ16"/>
  <c r="IZ14"/>
  <c r="IZ12"/>
  <c r="IZ10"/>
  <c r="IZ206"/>
  <c r="IZ204"/>
  <c r="IZ202"/>
  <c r="IZ200"/>
  <c r="IZ198"/>
  <c r="IZ196"/>
  <c r="IZ194"/>
  <c r="IZ192"/>
  <c r="IZ190"/>
  <c r="IZ188"/>
  <c r="IZ186"/>
  <c r="IZ184"/>
  <c r="IZ182"/>
  <c r="IZ180"/>
  <c r="IZ178"/>
  <c r="IZ174"/>
  <c r="IZ170"/>
  <c r="IZ166"/>
  <c r="IZ162"/>
  <c r="IZ160"/>
  <c r="IZ156"/>
  <c r="IZ152"/>
  <c r="IZ148"/>
  <c r="IZ144"/>
  <c r="IZ140"/>
  <c r="IZ136"/>
  <c r="IZ132"/>
  <c r="IZ128"/>
  <c r="IZ124"/>
  <c r="IZ120"/>
  <c r="IZ116"/>
  <c r="IZ112"/>
  <c r="IZ108"/>
  <c r="IZ104"/>
  <c r="IZ100"/>
  <c r="IZ96"/>
  <c r="IZ92"/>
  <c r="IZ88"/>
  <c r="IZ84"/>
  <c r="IZ80"/>
  <c r="IZ76"/>
  <c r="IZ50"/>
  <c r="IZ177"/>
  <c r="IZ171"/>
  <c r="IZ167"/>
  <c r="IZ163"/>
  <c r="IZ159"/>
  <c r="IZ153"/>
  <c r="IZ151"/>
  <c r="IZ147"/>
  <c r="IZ143"/>
  <c r="IZ139"/>
  <c r="IZ135"/>
  <c r="IZ131"/>
  <c r="IZ127"/>
  <c r="IZ123"/>
  <c r="IZ119"/>
  <c r="IZ115"/>
  <c r="IZ111"/>
  <c r="IZ107"/>
  <c r="IZ103"/>
  <c r="IZ97"/>
  <c r="IZ93"/>
  <c r="IZ91"/>
  <c r="IZ87"/>
  <c r="IZ83"/>
  <c r="IZ79"/>
  <c r="IZ75"/>
  <c r="IZ73"/>
  <c r="IZ71"/>
  <c r="IZ69"/>
  <c r="IZ67"/>
  <c r="IZ65"/>
  <c r="IZ63"/>
  <c r="IZ61"/>
  <c r="IZ59"/>
  <c r="IZ57"/>
  <c r="IZ55"/>
  <c r="IZ53"/>
  <c r="IZ51"/>
  <c r="IZ47"/>
  <c r="IZ45"/>
  <c r="IZ43"/>
  <c r="IZ41"/>
  <c r="IZ39"/>
  <c r="IZ37"/>
  <c r="IZ35"/>
  <c r="IZ33"/>
  <c r="IZ31"/>
  <c r="IZ29"/>
  <c r="IZ27"/>
  <c r="IZ25"/>
  <c r="IZ23"/>
  <c r="IZ21"/>
  <c r="IZ19"/>
  <c r="IZ17"/>
  <c r="IZ13"/>
  <c r="IZ11"/>
  <c r="IZ9"/>
  <c r="IZ205"/>
  <c r="IZ203"/>
  <c r="IZ201"/>
  <c r="IZ199"/>
  <c r="IZ197"/>
  <c r="IZ195"/>
  <c r="IZ193"/>
  <c r="IZ191"/>
  <c r="IZ189"/>
  <c r="IZ187"/>
  <c r="IZ185"/>
  <c r="IZ183"/>
  <c r="IZ181"/>
  <c r="IZ179"/>
  <c r="IZ175"/>
  <c r="IZ173"/>
  <c r="IZ169"/>
  <c r="IZ165"/>
  <c r="IZ161"/>
  <c r="IZ157"/>
  <c r="IZ155"/>
  <c r="IZ149"/>
  <c r="IZ145"/>
  <c r="IZ141"/>
  <c r="IZ137"/>
  <c r="IZ133"/>
  <c r="IZ129"/>
  <c r="IZ125"/>
  <c r="IZ121"/>
  <c r="IZ117"/>
  <c r="IZ113"/>
  <c r="IZ109"/>
  <c r="IZ105"/>
  <c r="IZ101"/>
  <c r="IZ99"/>
  <c r="IZ95"/>
  <c r="IZ89"/>
  <c r="IZ85"/>
  <c r="IZ81"/>
  <c r="IZ77"/>
  <c r="IZ49"/>
  <c r="R140" i="20" l="1"/>
  <c r="R100"/>
  <c r="R121"/>
  <c r="R163"/>
  <c r="R69"/>
  <c r="R88"/>
  <c r="R175"/>
  <c r="R17"/>
  <c r="R57"/>
  <c r="R76"/>
  <c r="R99"/>
  <c r="R178"/>
  <c r="R24"/>
  <c r="R111"/>
  <c r="R190"/>
  <c r="R36"/>
  <c r="R59"/>
  <c r="R74"/>
  <c r="R77"/>
  <c r="R41"/>
  <c r="R124"/>
  <c r="R147"/>
  <c r="R53"/>
  <c r="R136"/>
  <c r="R159"/>
  <c r="R65"/>
  <c r="R84"/>
  <c r="R171"/>
  <c r="R61"/>
  <c r="R89"/>
  <c r="R172"/>
  <c r="R18"/>
  <c r="R101"/>
  <c r="R184"/>
  <c r="R207"/>
  <c r="R49"/>
  <c r="R132"/>
  <c r="R155"/>
  <c r="R45"/>
  <c r="R137"/>
  <c r="R156"/>
  <c r="R66"/>
  <c r="R85"/>
  <c r="R168"/>
  <c r="R14"/>
  <c r="R33"/>
  <c r="R116"/>
  <c r="R139"/>
  <c r="R154"/>
  <c r="R23"/>
  <c r="R102"/>
  <c r="R176"/>
  <c r="R22"/>
  <c r="R96"/>
  <c r="R183"/>
  <c r="R80"/>
  <c r="R103"/>
  <c r="R182"/>
  <c r="R10"/>
  <c r="R13"/>
  <c r="R60"/>
  <c r="R83"/>
  <c r="R162"/>
  <c r="R72"/>
  <c r="R95"/>
  <c r="R174"/>
  <c r="R20"/>
  <c r="R107"/>
  <c r="R186"/>
  <c r="R16"/>
  <c r="R25"/>
  <c r="R108"/>
  <c r="R195"/>
  <c r="R37"/>
  <c r="R120"/>
  <c r="R143"/>
  <c r="R158"/>
  <c r="R68"/>
  <c r="R91"/>
  <c r="R170"/>
  <c r="R73"/>
  <c r="R92"/>
  <c r="R179"/>
  <c r="R21"/>
  <c r="R104"/>
  <c r="R191"/>
  <c r="R206"/>
  <c r="R52"/>
  <c r="R75"/>
  <c r="R90"/>
  <c r="R157"/>
  <c r="R192"/>
  <c r="R38"/>
  <c r="S38" s="1"/>
  <c r="R112"/>
  <c r="R199"/>
  <c r="R32"/>
  <c r="R119"/>
  <c r="R198"/>
  <c r="R39"/>
  <c r="R118"/>
  <c r="R164"/>
  <c r="R187"/>
  <c r="R202"/>
  <c r="R205"/>
  <c r="R169"/>
  <c r="R19"/>
  <c r="R98"/>
  <c r="R181"/>
  <c r="R31"/>
  <c r="R110"/>
  <c r="R193"/>
  <c r="R43"/>
  <c r="R122"/>
  <c r="R189"/>
  <c r="R44"/>
  <c r="R131"/>
  <c r="R146"/>
  <c r="R56"/>
  <c r="R79"/>
  <c r="R94"/>
  <c r="R177"/>
  <c r="R27"/>
  <c r="R106"/>
  <c r="R173"/>
  <c r="R9"/>
  <c r="R28"/>
  <c r="R115"/>
  <c r="R194"/>
  <c r="R40"/>
  <c r="R127"/>
  <c r="R142"/>
  <c r="R161"/>
  <c r="R11"/>
  <c r="R26"/>
  <c r="R93"/>
  <c r="R128"/>
  <c r="R151"/>
  <c r="R48"/>
  <c r="R135"/>
  <c r="R150"/>
  <c r="R55"/>
  <c r="R134"/>
  <c r="R8"/>
  <c r="R54"/>
  <c r="R123"/>
  <c r="R138"/>
  <c r="R141"/>
  <c r="R105"/>
  <c r="R188"/>
  <c r="R34"/>
  <c r="R117"/>
  <c r="R200"/>
  <c r="R46"/>
  <c r="R129"/>
  <c r="R148"/>
  <c r="R58"/>
  <c r="R125"/>
  <c r="R153"/>
  <c r="R67"/>
  <c r="R82"/>
  <c r="R165"/>
  <c r="R15"/>
  <c r="R30"/>
  <c r="R113"/>
  <c r="R196"/>
  <c r="R42"/>
  <c r="R109"/>
  <c r="R201"/>
  <c r="R51"/>
  <c r="R130"/>
  <c r="R149"/>
  <c r="R63"/>
  <c r="R78"/>
  <c r="R97"/>
  <c r="R180"/>
  <c r="R203"/>
  <c r="R29"/>
  <c r="R64"/>
  <c r="R87"/>
  <c r="R166"/>
  <c r="R71"/>
  <c r="R86"/>
  <c r="R160"/>
  <c r="R70"/>
  <c r="R144"/>
  <c r="R167"/>
  <c r="T86"/>
  <c r="T174"/>
  <c r="T98"/>
  <c r="T37"/>
  <c r="T165"/>
  <c r="T120"/>
  <c r="T15"/>
  <c r="T143"/>
  <c r="T30"/>
  <c r="T146"/>
  <c r="T101"/>
  <c r="T56"/>
  <c r="T184"/>
  <c r="T79"/>
  <c r="T207"/>
  <c r="T94"/>
  <c r="T154"/>
  <c r="T118"/>
  <c r="T13"/>
  <c r="T141"/>
  <c r="T32"/>
  <c r="T160"/>
  <c r="T119"/>
  <c r="T70"/>
  <c r="T109"/>
  <c r="T64"/>
  <c r="T192"/>
  <c r="T87"/>
  <c r="T38"/>
  <c r="T178"/>
  <c r="T133"/>
  <c r="T24"/>
  <c r="T152"/>
  <c r="T111"/>
  <c r="T62"/>
  <c r="S17"/>
  <c r="T77"/>
  <c r="T205"/>
  <c r="T96"/>
  <c r="T55"/>
  <c r="T183"/>
  <c r="T45"/>
  <c r="T173"/>
  <c r="T128"/>
  <c r="T23"/>
  <c r="T151"/>
  <c r="T69"/>
  <c r="T197"/>
  <c r="T88"/>
  <c r="T47"/>
  <c r="T175"/>
  <c r="T126"/>
  <c r="T170"/>
  <c r="T198"/>
  <c r="T89"/>
  <c r="T44"/>
  <c r="T172"/>
  <c r="T131"/>
  <c r="T18"/>
  <c r="T166"/>
  <c r="T121"/>
  <c r="T12"/>
  <c r="T140"/>
  <c r="T35"/>
  <c r="T163"/>
  <c r="T129"/>
  <c r="T20"/>
  <c r="T148"/>
  <c r="T107"/>
  <c r="T58"/>
  <c r="T25"/>
  <c r="T153"/>
  <c r="T108"/>
  <c r="T67"/>
  <c r="T195"/>
  <c r="T142"/>
  <c r="T57"/>
  <c r="T185"/>
  <c r="T76"/>
  <c r="T204"/>
  <c r="T99"/>
  <c r="T50"/>
  <c r="T65"/>
  <c r="T193"/>
  <c r="T84"/>
  <c r="T43"/>
  <c r="T171"/>
  <c r="T122"/>
  <c r="S18"/>
  <c r="S20"/>
  <c r="S24"/>
  <c r="U24" s="1"/>
  <c r="S36"/>
  <c r="T29"/>
  <c r="T157"/>
  <c r="T112"/>
  <c r="T71"/>
  <c r="T199"/>
  <c r="T41"/>
  <c r="T169"/>
  <c r="T124"/>
  <c r="T19"/>
  <c r="T147"/>
  <c r="T34"/>
  <c r="T162"/>
  <c r="T117"/>
  <c r="T72"/>
  <c r="T200"/>
  <c r="T95"/>
  <c r="T46"/>
  <c r="T113"/>
  <c r="T68"/>
  <c r="T196"/>
  <c r="T91"/>
  <c r="T42"/>
  <c r="S19"/>
  <c r="S31"/>
  <c r="T97"/>
  <c r="T52"/>
  <c r="T180"/>
  <c r="T75"/>
  <c r="T203"/>
  <c r="T90"/>
  <c r="S25"/>
  <c r="S37"/>
  <c r="S23"/>
  <c r="U23" s="1"/>
  <c r="V23" s="1"/>
  <c r="T125"/>
  <c r="T16"/>
  <c r="T144"/>
  <c r="T103"/>
  <c r="T54"/>
  <c r="T182"/>
  <c r="T73"/>
  <c r="T201"/>
  <c r="T92"/>
  <c r="T51"/>
  <c r="T179"/>
  <c r="T130"/>
  <c r="T21"/>
  <c r="T149"/>
  <c r="T104"/>
  <c r="T63"/>
  <c r="T191"/>
  <c r="T78"/>
  <c r="T206"/>
  <c r="T81"/>
  <c r="T36"/>
  <c r="T164"/>
  <c r="T123"/>
  <c r="T10"/>
  <c r="T138"/>
  <c r="S9"/>
  <c r="S28"/>
  <c r="S11"/>
  <c r="S26"/>
  <c r="W23"/>
  <c r="T102"/>
  <c r="T190"/>
  <c r="T186"/>
  <c r="S13"/>
  <c r="U13" s="1"/>
  <c r="S34"/>
  <c r="S27"/>
  <c r="S29"/>
  <c r="U25"/>
  <c r="V25" s="1"/>
  <c r="U37"/>
  <c r="V37" s="1"/>
  <c r="U12"/>
  <c r="V12" s="1"/>
  <c r="U35"/>
  <c r="V35" s="1"/>
  <c r="S10"/>
  <c r="S32"/>
  <c r="U32" s="1"/>
  <c r="T93"/>
  <c r="T48"/>
  <c r="T176"/>
  <c r="T135"/>
  <c r="T22"/>
  <c r="T150"/>
  <c r="T105"/>
  <c r="T60"/>
  <c r="T188"/>
  <c r="T83"/>
  <c r="T8"/>
  <c r="T53"/>
  <c r="T181"/>
  <c r="T136"/>
  <c r="T31"/>
  <c r="U31" s="1"/>
  <c r="V31" s="1"/>
  <c r="T159"/>
  <c r="T110"/>
  <c r="T49"/>
  <c r="T177"/>
  <c r="T132"/>
  <c r="T27"/>
  <c r="U27" s="1"/>
  <c r="V27" s="1"/>
  <c r="T155"/>
  <c r="T106"/>
  <c r="S8"/>
  <c r="T134"/>
  <c r="T82"/>
  <c r="T158"/>
  <c r="T33"/>
  <c r="T161"/>
  <c r="T116"/>
  <c r="T11"/>
  <c r="U11" s="1"/>
  <c r="V11" s="1"/>
  <c r="T139"/>
  <c r="T26"/>
  <c r="S15"/>
  <c r="U15" s="1"/>
  <c r="V15" s="1"/>
  <c r="S30"/>
  <c r="U30" s="1"/>
  <c r="V30" s="1"/>
  <c r="T61"/>
  <c r="T189"/>
  <c r="T80"/>
  <c r="T39"/>
  <c r="T167"/>
  <c r="T9"/>
  <c r="T137"/>
  <c r="T28"/>
  <c r="U28" s="1"/>
  <c r="V28" s="1"/>
  <c r="T156"/>
  <c r="T115"/>
  <c r="T66"/>
  <c r="T194"/>
  <c r="T85"/>
  <c r="T40"/>
  <c r="T168"/>
  <c r="T127"/>
  <c r="T14"/>
  <c r="T17"/>
  <c r="U17" s="1"/>
  <c r="V17" s="1"/>
  <c r="T145"/>
  <c r="T100"/>
  <c r="T59"/>
  <c r="T187"/>
  <c r="T74"/>
  <c r="T202"/>
  <c r="S14"/>
  <c r="S33"/>
  <c r="S22"/>
  <c r="T114"/>
  <c r="U34"/>
  <c r="V34" s="1"/>
  <c r="U36"/>
  <c r="V36" s="1"/>
  <c r="S16"/>
  <c r="U16" s="1"/>
  <c r="V16" s="1"/>
  <c r="S21"/>
  <c r="U21" s="1"/>
  <c r="JY207" i="9"/>
  <c r="KA207" s="1"/>
  <c r="JT207"/>
  <c r="JV207"/>
  <c r="JW207"/>
  <c r="JX207"/>
  <c r="JS207"/>
  <c r="JR207"/>
  <c r="JQ207"/>
  <c r="JU207"/>
  <c r="U9" i="20" l="1"/>
  <c r="V9" s="1"/>
  <c r="U10"/>
  <c r="V10" s="1"/>
  <c r="U18"/>
  <c r="V18" s="1"/>
  <c r="U20"/>
  <c r="V20" s="1"/>
  <c r="U26"/>
  <c r="V26" s="1"/>
  <c r="U8"/>
  <c r="V8" s="1"/>
  <c r="U38"/>
  <c r="V38" s="1"/>
  <c r="U14"/>
  <c r="V14" s="1"/>
  <c r="U33"/>
  <c r="V33" s="1"/>
  <c r="U19"/>
  <c r="W19" s="1"/>
  <c r="U29"/>
  <c r="W29" s="1"/>
  <c r="U22"/>
  <c r="V22" s="1"/>
  <c r="W36"/>
  <c r="V21"/>
  <c r="W21"/>
  <c r="V13"/>
  <c r="W13"/>
  <c r="V24"/>
  <c r="W24"/>
  <c r="V32"/>
  <c r="W32"/>
  <c r="W37"/>
  <c r="W27"/>
  <c r="W18"/>
  <c r="W35"/>
  <c r="W28"/>
  <c r="W16"/>
  <c r="W38"/>
  <c r="W15"/>
  <c r="W25"/>
  <c r="W11"/>
  <c r="W20"/>
  <c r="W12"/>
  <c r="W30"/>
  <c r="W17"/>
  <c r="W26"/>
  <c r="W33"/>
  <c r="W31"/>
  <c r="W34"/>
  <c r="A5" i="12"/>
  <c r="A4" i="11"/>
  <c r="H220" i="20" l="1"/>
  <c r="W9"/>
  <c r="W10"/>
  <c r="W8"/>
  <c r="V19"/>
  <c r="H213" s="1"/>
  <c r="H211"/>
  <c r="V29"/>
  <c r="H215"/>
  <c r="H219"/>
  <c r="H217"/>
  <c r="W22"/>
  <c r="H218"/>
  <c r="H216"/>
  <c r="W14"/>
  <c r="J4" i="9"/>
  <c r="N213" i="20" l="1"/>
  <c r="J213"/>
  <c r="L213"/>
  <c r="CK6" i="9"/>
  <c r="CI6"/>
  <c r="CE6"/>
  <c r="BV6"/>
  <c r="BT6"/>
  <c r="BP6"/>
  <c r="BH6"/>
  <c r="BF6"/>
  <c r="BB6"/>
  <c r="P213" i="20" l="1"/>
  <c r="H214" s="1"/>
  <c r="CM6" i="9"/>
  <c r="CN6"/>
  <c r="CH6"/>
  <c r="CJ6" s="1"/>
  <c r="CL6" s="1"/>
  <c r="CR6"/>
  <c r="CP6"/>
  <c r="BS6"/>
  <c r="BU6" s="1"/>
  <c r="BW6" s="1"/>
  <c r="BX6"/>
  <c r="BY6"/>
  <c r="CA6"/>
  <c r="CC6"/>
  <c r="BM6"/>
  <c r="BO6"/>
  <c r="BJ6"/>
  <c r="BE6"/>
  <c r="BG6" s="1"/>
  <c r="BI6" s="1"/>
  <c r="BL6"/>
  <c r="CO6" l="1"/>
  <c r="BZ6"/>
  <c r="HV87"/>
  <c r="I85" i="15" s="1"/>
  <c r="HV130" i="9"/>
  <c r="I128" i="15" s="1"/>
  <c r="HV197" i="9"/>
  <c r="I195" i="15" s="1"/>
  <c r="HV108" i="9"/>
  <c r="I106" i="15" s="1"/>
  <c r="HV44" i="9"/>
  <c r="I42" i="15" s="1"/>
  <c r="HV68" i="9"/>
  <c r="I66" i="15" s="1"/>
  <c r="HV163" i="9"/>
  <c r="I161" i="15" s="1"/>
  <c r="HV203" i="9"/>
  <c r="I201" i="15" s="1"/>
  <c r="HV99" i="9"/>
  <c r="I97" i="15" s="1"/>
  <c r="HV182" i="9"/>
  <c r="I180" i="15" s="1"/>
  <c r="HV120" i="9"/>
  <c r="I118" i="15" s="1"/>
  <c r="HV81" i="9"/>
  <c r="I79" i="15" s="1"/>
  <c r="HV152" i="9"/>
  <c r="I150" i="15" s="1"/>
  <c r="HV158" i="9"/>
  <c r="I156" i="15" s="1"/>
  <c r="HV96" i="9"/>
  <c r="I94" i="15" s="1"/>
  <c r="HV63" i="9"/>
  <c r="I61" i="15" s="1"/>
  <c r="HV184" i="9"/>
  <c r="I182" i="15" s="1"/>
  <c r="HV131" i="9"/>
  <c r="I129" i="15" s="1"/>
  <c r="HV76" i="9"/>
  <c r="I74" i="15" s="1"/>
  <c r="HV79" i="9"/>
  <c r="I77" i="15" s="1"/>
  <c r="HV124" i="9"/>
  <c r="I122" i="15" s="1"/>
  <c r="HV206" i="9"/>
  <c r="I204" i="15" s="1"/>
  <c r="HV78" i="9"/>
  <c r="I76" i="15" s="1"/>
  <c r="HV153" i="9"/>
  <c r="I151" i="15" s="1"/>
  <c r="HV132" i="9"/>
  <c r="I130" i="15" s="1"/>
  <c r="HV73" i="9"/>
  <c r="I71" i="15" s="1"/>
  <c r="HV85" i="9"/>
  <c r="I83" i="15" s="1"/>
  <c r="HV69" i="9"/>
  <c r="I67" i="15" s="1"/>
  <c r="HV91" i="9"/>
  <c r="I89" i="15" s="1"/>
  <c r="HV157" i="9"/>
  <c r="I155" i="15" s="1"/>
  <c r="HV66" i="9"/>
  <c r="I64" i="15" s="1"/>
  <c r="HV95" i="9"/>
  <c r="I93" i="15" s="1"/>
  <c r="HV155" i="9"/>
  <c r="I153" i="15" s="1"/>
  <c r="HV142" i="9"/>
  <c r="I140" i="15" s="1"/>
  <c r="HV183" i="9"/>
  <c r="I181" i="15" s="1"/>
  <c r="HV65" i="9"/>
  <c r="I63" i="15" s="1"/>
  <c r="HV93" i="9"/>
  <c r="I91" i="15" s="1"/>
  <c r="HV169" i="9"/>
  <c r="I167" i="15" s="1"/>
  <c r="HV136" i="9"/>
  <c r="I134" i="15" s="1"/>
  <c r="HV46" i="9"/>
  <c r="I44" i="15" s="1"/>
  <c r="HV114" i="9"/>
  <c r="I112" i="15" s="1"/>
  <c r="HV190" i="9"/>
  <c r="I188" i="15" s="1"/>
  <c r="HV174" i="9"/>
  <c r="I172" i="15" s="1"/>
  <c r="HV161" i="9"/>
  <c r="I159" i="15" s="1"/>
  <c r="HV128" i="9"/>
  <c r="I126" i="15" s="1"/>
  <c r="HV41" i="9"/>
  <c r="I39" i="15" s="1"/>
  <c r="HV123" i="9"/>
  <c r="I121" i="15" s="1"/>
  <c r="HV61" i="9"/>
  <c r="I59" i="15" s="1"/>
  <c r="HV58" i="9"/>
  <c r="I56" i="15" s="1"/>
  <c r="HV101" i="9"/>
  <c r="I99" i="15" s="1"/>
  <c r="HV181" i="9"/>
  <c r="I179" i="15" s="1"/>
  <c r="HV57" i="9"/>
  <c r="I55" i="15" s="1"/>
  <c r="HV179" i="9"/>
  <c r="I177" i="15" s="1"/>
  <c r="HV175" i="9"/>
  <c r="I173" i="15" s="1"/>
  <c r="HV193" i="9"/>
  <c r="I191" i="15" s="1"/>
  <c r="HV148" i="9"/>
  <c r="I146" i="15" s="1"/>
  <c r="HV147" i="9"/>
  <c r="I145" i="15" s="1"/>
  <c r="HV122" i="9"/>
  <c r="I120" i="15" s="1"/>
  <c r="HV188" i="9"/>
  <c r="I186" i="15" s="1"/>
  <c r="HV119" i="9"/>
  <c r="I117" i="15" s="1"/>
  <c r="HV127" i="9"/>
  <c r="I125" i="15" s="1"/>
  <c r="HV117" i="9"/>
  <c r="I115" i="15" s="1"/>
  <c r="HV110" i="9"/>
  <c r="I108" i="15" s="1"/>
  <c r="HV84" i="9"/>
  <c r="I82" i="15" s="1"/>
  <c r="HV45" i="9"/>
  <c r="I43" i="15" s="1"/>
  <c r="HV126" i="9"/>
  <c r="I124" i="15" s="1"/>
  <c r="HV195" i="9"/>
  <c r="I193" i="15" s="1"/>
  <c r="HV159" i="9"/>
  <c r="I157" i="15" s="1"/>
  <c r="HV139" i="9"/>
  <c r="I137" i="15" s="1"/>
  <c r="HV86" i="9"/>
  <c r="I84" i="15" s="1"/>
  <c r="HV133" i="9"/>
  <c r="I131" i="15" s="1"/>
  <c r="HV82" i="9"/>
  <c r="I80" i="15" s="1"/>
  <c r="HV150" i="9"/>
  <c r="I148" i="15" s="1"/>
  <c r="HV71" i="9"/>
  <c r="I69" i="15" s="1"/>
  <c r="HV134" i="9"/>
  <c r="I132" i="15" s="1"/>
  <c r="HV146" i="9"/>
  <c r="I144" i="15" s="1"/>
  <c r="I131" i="12" l="1"/>
  <c r="M130" i="11"/>
  <c r="I193" i="12"/>
  <c r="M192" i="11"/>
  <c r="I108" i="12"/>
  <c r="M107" i="11"/>
  <c r="I186" i="12"/>
  <c r="M185" i="11"/>
  <c r="I191" i="12"/>
  <c r="M190" i="11"/>
  <c r="I179" i="12"/>
  <c r="M178" i="11"/>
  <c r="I121" i="12"/>
  <c r="M120" i="11"/>
  <c r="I172" i="12"/>
  <c r="M171" i="11"/>
  <c r="I134" i="12"/>
  <c r="M133" i="11"/>
  <c r="I181" i="12"/>
  <c r="M180" i="11"/>
  <c r="I64" i="12"/>
  <c r="M63" i="11"/>
  <c r="I83" i="12"/>
  <c r="M82" i="11"/>
  <c r="I76" i="12"/>
  <c r="M75" i="11"/>
  <c r="I74" i="12"/>
  <c r="M73" i="11"/>
  <c r="I94" i="12"/>
  <c r="M93" i="11"/>
  <c r="I118" i="12"/>
  <c r="M117" i="11"/>
  <c r="I161" i="12"/>
  <c r="M160" i="11"/>
  <c r="I195" i="12"/>
  <c r="M194" i="11"/>
  <c r="I132" i="12"/>
  <c r="M131" i="11"/>
  <c r="I80" i="12"/>
  <c r="M79" i="11"/>
  <c r="I157" i="12"/>
  <c r="M156" i="11"/>
  <c r="I82" i="12"/>
  <c r="M81" i="11"/>
  <c r="I117" i="12"/>
  <c r="M116" i="11"/>
  <c r="I146" i="12"/>
  <c r="M145" i="11"/>
  <c r="I55" i="12"/>
  <c r="M54" i="11"/>
  <c r="I59" i="12"/>
  <c r="M58" i="11"/>
  <c r="I159" i="12"/>
  <c r="M158" i="11"/>
  <c r="I44" i="12"/>
  <c r="M43" i="11"/>
  <c r="I63" i="12"/>
  <c r="M62" i="11"/>
  <c r="I93" i="12"/>
  <c r="M92" i="11"/>
  <c r="I67" i="12"/>
  <c r="M66" i="11"/>
  <c r="I151" i="12"/>
  <c r="M150" i="11"/>
  <c r="I77" i="12"/>
  <c r="M76" i="11"/>
  <c r="I61" i="12"/>
  <c r="M60" i="11"/>
  <c r="I79" i="12"/>
  <c r="M78" i="11"/>
  <c r="I201" i="12"/>
  <c r="M200" i="11"/>
  <c r="I106" i="12"/>
  <c r="M105" i="11"/>
  <c r="I144" i="12"/>
  <c r="M143" i="11"/>
  <c r="I148" i="12"/>
  <c r="M147" i="11"/>
  <c r="I137" i="12"/>
  <c r="M136" i="11"/>
  <c r="I43" i="12"/>
  <c r="M42" i="11"/>
  <c r="I125" i="12"/>
  <c r="M124" i="11"/>
  <c r="I145" i="12"/>
  <c r="M144" i="11"/>
  <c r="I177" i="12"/>
  <c r="M176" i="11"/>
  <c r="I56" i="12"/>
  <c r="M55" i="11"/>
  <c r="I126" i="12"/>
  <c r="M125" i="11"/>
  <c r="I112" i="12"/>
  <c r="M111" i="11"/>
  <c r="I91" i="12"/>
  <c r="M90" i="11"/>
  <c r="I153" i="12"/>
  <c r="M152" i="11"/>
  <c r="I89" i="12"/>
  <c r="M88" i="11"/>
  <c r="I130" i="12"/>
  <c r="M129" i="11"/>
  <c r="I122" i="12"/>
  <c r="M121" i="11"/>
  <c r="I182" i="12"/>
  <c r="M181" i="11"/>
  <c r="I150" i="12"/>
  <c r="M149" i="11"/>
  <c r="I97" i="12"/>
  <c r="M96" i="11"/>
  <c r="I42" i="12"/>
  <c r="M41" i="11"/>
  <c r="I85" i="12"/>
  <c r="M84" i="11"/>
  <c r="I69" i="12"/>
  <c r="M68" i="11"/>
  <c r="I84" i="12"/>
  <c r="M83" i="11"/>
  <c r="I124" i="12"/>
  <c r="M123" i="11"/>
  <c r="I115" i="12"/>
  <c r="M114" i="11"/>
  <c r="I120" i="12"/>
  <c r="M119" i="11"/>
  <c r="I173" i="12"/>
  <c r="M172" i="11"/>
  <c r="I99" i="12"/>
  <c r="M98" i="11"/>
  <c r="I39" i="12"/>
  <c r="M38" i="11"/>
  <c r="I188" i="12"/>
  <c r="M187" i="11"/>
  <c r="I167" i="12"/>
  <c r="M166" i="11"/>
  <c r="I140" i="12"/>
  <c r="M139" i="11"/>
  <c r="I155" i="12"/>
  <c r="M154" i="11"/>
  <c r="I71" i="12"/>
  <c r="M70" i="11"/>
  <c r="I204" i="12"/>
  <c r="M203" i="11"/>
  <c r="I129" i="12"/>
  <c r="M128" i="11"/>
  <c r="I156" i="12"/>
  <c r="M155" i="11"/>
  <c r="I180" i="12"/>
  <c r="M179" i="11"/>
  <c r="I66" i="12"/>
  <c r="M65" i="11"/>
  <c r="I128" i="12"/>
  <c r="M127" i="11"/>
  <c r="HV98" i="9"/>
  <c r="I96" i="15" s="1"/>
  <c r="HV102" i="9"/>
  <c r="I100" i="15" s="1"/>
  <c r="HV115" i="9"/>
  <c r="I113" i="15" s="1"/>
  <c r="HV201" i="9"/>
  <c r="I199" i="15" s="1"/>
  <c r="HV92" i="9"/>
  <c r="I90" i="15" s="1"/>
  <c r="HV149" i="9"/>
  <c r="I147" i="15" s="1"/>
  <c r="HV42" i="9"/>
  <c r="I40" i="15" s="1"/>
  <c r="HV51" i="9"/>
  <c r="I49" i="15" s="1"/>
  <c r="HV55" i="9"/>
  <c r="I53" i="15" s="1"/>
  <c r="HV177" i="9"/>
  <c r="I175" i="15" s="1"/>
  <c r="HV113" i="9"/>
  <c r="I111" i="15" s="1"/>
  <c r="HV125" i="9"/>
  <c r="I123" i="15" s="1"/>
  <c r="HV103" i="9"/>
  <c r="I101" i="15" s="1"/>
  <c r="HV49" i="9"/>
  <c r="I47" i="15" s="1"/>
  <c r="HV144" i="9"/>
  <c r="I142" i="15" s="1"/>
  <c r="HV135" i="9"/>
  <c r="I133" i="15" s="1"/>
  <c r="HV154" i="9"/>
  <c r="I152" i="15" s="1"/>
  <c r="HV94" i="9"/>
  <c r="I92" i="15" s="1"/>
  <c r="HV204" i="9"/>
  <c r="I202" i="15" s="1"/>
  <c r="HV60" i="9"/>
  <c r="I58" i="15" s="1"/>
  <c r="HV145" i="9"/>
  <c r="I143" i="15" s="1"/>
  <c r="HV171" i="9"/>
  <c r="I169" i="15" s="1"/>
  <c r="HV59" i="9"/>
  <c r="I57" i="15" s="1"/>
  <c r="HV180" i="9"/>
  <c r="I178" i="15" s="1"/>
  <c r="HV118" i="9"/>
  <c r="I116" i="15" s="1"/>
  <c r="HV53" i="9"/>
  <c r="I51" i="15" s="1"/>
  <c r="HV202" i="9"/>
  <c r="I200" i="15" s="1"/>
  <c r="HV156" i="9"/>
  <c r="I154" i="15" s="1"/>
  <c r="HV89" i="9"/>
  <c r="I87" i="15" s="1"/>
  <c r="HV196" i="9"/>
  <c r="I194" i="15" s="1"/>
  <c r="HV167" i="9"/>
  <c r="I165" i="15" s="1"/>
  <c r="HV116" i="9"/>
  <c r="I114" i="15" s="1"/>
  <c r="HV200" i="9"/>
  <c r="I198" i="15" s="1"/>
  <c r="HV83" i="9"/>
  <c r="I81" i="15" s="1"/>
  <c r="HV52" i="9"/>
  <c r="I50" i="15" s="1"/>
  <c r="HV176" i="9"/>
  <c r="I174" i="15" s="1"/>
  <c r="HV189" i="9"/>
  <c r="I187" i="15" s="1"/>
  <c r="HV198" i="9"/>
  <c r="I196" i="15" s="1"/>
  <c r="HV64" i="9"/>
  <c r="I62" i="15" s="1"/>
  <c r="HV187" i="9"/>
  <c r="I185" i="15" s="1"/>
  <c r="HV88" i="9"/>
  <c r="I86" i="15" s="1"/>
  <c r="HV111" i="9"/>
  <c r="I109" i="15" s="1"/>
  <c r="HV48" i="9"/>
  <c r="I46" i="15" s="1"/>
  <c r="HV140" i="9"/>
  <c r="I138" i="15" s="1"/>
  <c r="HV137" i="9"/>
  <c r="I135" i="15" s="1"/>
  <c r="HV141" i="9"/>
  <c r="I139" i="15" s="1"/>
  <c r="HV205" i="9"/>
  <c r="I203" i="15" s="1"/>
  <c r="HV164" i="9"/>
  <c r="I162" i="15" s="1"/>
  <c r="HV47" i="9"/>
  <c r="I45" i="15" s="1"/>
  <c r="HV74" i="9"/>
  <c r="I72" i="15" s="1"/>
  <c r="HV192" i="9"/>
  <c r="I190" i="15" s="1"/>
  <c r="HV106" i="9"/>
  <c r="I104" i="15" s="1"/>
  <c r="HV162" i="9"/>
  <c r="I160" i="15" s="1"/>
  <c r="HV138" i="9"/>
  <c r="I136" i="15" s="1"/>
  <c r="HV72" i="9"/>
  <c r="I70" i="15" s="1"/>
  <c r="HV105" i="9"/>
  <c r="I103" i="15" s="1"/>
  <c r="HV70" i="9"/>
  <c r="I68" i="15" s="1"/>
  <c r="HV50" i="9"/>
  <c r="I48" i="15" s="1"/>
  <c r="HV104" i="9"/>
  <c r="I102" i="15" s="1"/>
  <c r="HV186" i="9"/>
  <c r="I184" i="15" s="1"/>
  <c r="HV112" i="9"/>
  <c r="I110" i="15" s="1"/>
  <c r="HV97" i="9"/>
  <c r="I95" i="15" s="1"/>
  <c r="HV77" i="9"/>
  <c r="I75" i="15" s="1"/>
  <c r="HV100" i="9"/>
  <c r="I98" i="15" s="1"/>
  <c r="HV80" i="9"/>
  <c r="I78" i="15" s="1"/>
  <c r="HV199" i="9"/>
  <c r="I197" i="15" s="1"/>
  <c r="HV62" i="9"/>
  <c r="I60" i="15" s="1"/>
  <c r="HV40" i="9"/>
  <c r="I38" i="15" s="1"/>
  <c r="HV43" i="9"/>
  <c r="I41" i="15" s="1"/>
  <c r="HV160" i="9"/>
  <c r="I158" i="15" s="1"/>
  <c r="HV170" i="9"/>
  <c r="I168" i="15" s="1"/>
  <c r="HV75" i="9"/>
  <c r="I73" i="15" s="1"/>
  <c r="HV107" i="9"/>
  <c r="I105" i="15" s="1"/>
  <c r="HV109" i="9"/>
  <c r="I107" i="15" s="1"/>
  <c r="HV121" i="9"/>
  <c r="I119" i="15" s="1"/>
  <c r="HV54" i="9"/>
  <c r="I52" i="15" s="1"/>
  <c r="HV56" i="9"/>
  <c r="I54" i="15" s="1"/>
  <c r="HV143" i="9"/>
  <c r="I141" i="15" s="1"/>
  <c r="HV194" i="9"/>
  <c r="I192" i="15" s="1"/>
  <c r="HV90" i="9"/>
  <c r="I88" i="15" s="1"/>
  <c r="AN6" i="9"/>
  <c r="AE6"/>
  <c r="AC6"/>
  <c r="Z6"/>
  <c r="Q7"/>
  <c r="O6"/>
  <c r="Q6"/>
  <c r="E7" i="8"/>
  <c r="K7"/>
  <c r="J7"/>
  <c r="I7"/>
  <c r="H7"/>
  <c r="I192" i="12" l="1"/>
  <c r="M191" i="11"/>
  <c r="I119" i="12"/>
  <c r="M118" i="11"/>
  <c r="I168" i="12"/>
  <c r="M167" i="11"/>
  <c r="I78" i="12"/>
  <c r="M77" i="11"/>
  <c r="I75" i="12"/>
  <c r="M74" i="11"/>
  <c r="I102" i="12"/>
  <c r="M101" i="11"/>
  <c r="I70" i="12"/>
  <c r="M69" i="11"/>
  <c r="I190" i="12"/>
  <c r="M189" i="11"/>
  <c r="I138" i="12"/>
  <c r="M137" i="11"/>
  <c r="I86" i="12"/>
  <c r="M85" i="11"/>
  <c r="I187" i="12"/>
  <c r="M186" i="11"/>
  <c r="I198" i="12"/>
  <c r="M197" i="11"/>
  <c r="I87" i="12"/>
  <c r="M86" i="11"/>
  <c r="I116" i="12"/>
  <c r="M115" i="11"/>
  <c r="I143" i="12"/>
  <c r="M142" i="11"/>
  <c r="I152" i="12"/>
  <c r="M151" i="11"/>
  <c r="I101" i="12"/>
  <c r="M100" i="11"/>
  <c r="I53" i="12"/>
  <c r="M52" i="11"/>
  <c r="I90" i="12"/>
  <c r="M89" i="11"/>
  <c r="I96" i="12"/>
  <c r="M95" i="11"/>
  <c r="I88" i="12"/>
  <c r="M87" i="11"/>
  <c r="I52" i="12"/>
  <c r="M51" i="11"/>
  <c r="I73" i="12"/>
  <c r="M72" i="11"/>
  <c r="I197" i="12"/>
  <c r="M196" i="11"/>
  <c r="I184" i="12"/>
  <c r="M183" i="11"/>
  <c r="I103" i="12"/>
  <c r="M102" i="11"/>
  <c r="I104" i="12"/>
  <c r="M103" i="11"/>
  <c r="I135" i="12"/>
  <c r="M134" i="11"/>
  <c r="I109" i="12"/>
  <c r="M108" i="11"/>
  <c r="I196" i="12"/>
  <c r="M195" i="11"/>
  <c r="I81" i="12"/>
  <c r="M80" i="11"/>
  <c r="I194" i="12"/>
  <c r="M193" i="11"/>
  <c r="I51" i="12"/>
  <c r="M50" i="11"/>
  <c r="I169" i="12"/>
  <c r="M168" i="11"/>
  <c r="I92" i="12"/>
  <c r="M91" i="11"/>
  <c r="I47" i="12"/>
  <c r="M46" i="11"/>
  <c r="I175" i="12"/>
  <c r="M174" i="11"/>
  <c r="I147" i="12"/>
  <c r="M146" i="11"/>
  <c r="I100" i="12"/>
  <c r="M99" i="11"/>
  <c r="I54" i="12"/>
  <c r="M53" i="11"/>
  <c r="I105" i="12"/>
  <c r="M104" i="11"/>
  <c r="I41" i="12"/>
  <c r="M40" i="11"/>
  <c r="I60" i="12"/>
  <c r="M59" i="11"/>
  <c r="I110" i="12"/>
  <c r="M109" i="11"/>
  <c r="I68" i="12"/>
  <c r="M67" i="11"/>
  <c r="I160" i="12"/>
  <c r="M159" i="11"/>
  <c r="I45" i="12"/>
  <c r="M44" i="11"/>
  <c r="I203" i="12"/>
  <c r="M202" i="11"/>
  <c r="I139" i="12"/>
  <c r="M138" i="11"/>
  <c r="I46" i="12"/>
  <c r="M45" i="11"/>
  <c r="I62" i="12"/>
  <c r="M61" i="11"/>
  <c r="I50" i="12"/>
  <c r="M49" i="11"/>
  <c r="I165" i="12"/>
  <c r="M164" i="11"/>
  <c r="I200" i="12"/>
  <c r="M199" i="11"/>
  <c r="I57" i="12"/>
  <c r="M56" i="11"/>
  <c r="I202" i="12"/>
  <c r="M201" i="11"/>
  <c r="I142" i="12"/>
  <c r="M141" i="11"/>
  <c r="I111" i="12"/>
  <c r="M110" i="11"/>
  <c r="I40" i="12"/>
  <c r="M39" i="11"/>
  <c r="I113" i="12"/>
  <c r="M112" i="11"/>
  <c r="I141" i="12"/>
  <c r="M140" i="11"/>
  <c r="I107" i="12"/>
  <c r="M106" i="11"/>
  <c r="I158" i="12"/>
  <c r="M157" i="11"/>
  <c r="I38" i="12"/>
  <c r="M37" i="11"/>
  <c r="I98" i="12"/>
  <c r="M97" i="11"/>
  <c r="I95" i="12"/>
  <c r="M94" i="11"/>
  <c r="I48" i="12"/>
  <c r="M47" i="11"/>
  <c r="I136" i="12"/>
  <c r="M135" i="11"/>
  <c r="I72" i="12"/>
  <c r="M71" i="11"/>
  <c r="I162" i="12"/>
  <c r="M161" i="11"/>
  <c r="I185" i="12"/>
  <c r="M184" i="11"/>
  <c r="I174" i="12"/>
  <c r="M173" i="11"/>
  <c r="I114" i="12"/>
  <c r="M113" i="11"/>
  <c r="I154" i="12"/>
  <c r="M153" i="11"/>
  <c r="I178" i="12"/>
  <c r="M177" i="11"/>
  <c r="I58" i="12"/>
  <c r="M57" i="11"/>
  <c r="I133" i="12"/>
  <c r="M132" i="11"/>
  <c r="I123" i="12"/>
  <c r="M122" i="11"/>
  <c r="I49" i="12"/>
  <c r="M48" i="11"/>
  <c r="I199" i="12"/>
  <c r="M198" i="11"/>
  <c r="HV151" i="9"/>
  <c r="I149" i="15" s="1"/>
  <c r="HV168" i="9"/>
  <c r="I166" i="15" s="1"/>
  <c r="HV173" i="9"/>
  <c r="I171" i="15" s="1"/>
  <c r="HV166" i="9"/>
  <c r="I164" i="15" s="1"/>
  <c r="HV191" i="9"/>
  <c r="I189" i="15" s="1"/>
  <c r="HV165" i="9"/>
  <c r="I163" i="15" s="1"/>
  <c r="HV67" i="9"/>
  <c r="I65" i="15" s="1"/>
  <c r="HV185" i="9"/>
  <c r="I183" i="15" s="1"/>
  <c r="HV178" i="9"/>
  <c r="I176" i="15" s="1"/>
  <c r="HV172" i="9"/>
  <c r="I170" i="15" s="1"/>
  <c r="HV129" i="9"/>
  <c r="I127" i="15" s="1"/>
  <c r="AV6" i="9"/>
  <c r="AQ6"/>
  <c r="AJ6"/>
  <c r="AL6"/>
  <c r="AH6"/>
  <c r="AG6"/>
  <c r="AB6"/>
  <c r="AD6" s="1"/>
  <c r="AF6" s="1"/>
  <c r="X6"/>
  <c r="V6"/>
  <c r="BM5" i="11"/>
  <c r="BM199"/>
  <c r="BM195"/>
  <c r="BM191"/>
  <c r="BM187"/>
  <c r="BM183"/>
  <c r="BM179"/>
  <c r="BM175"/>
  <c r="BM171"/>
  <c r="BM167"/>
  <c r="BM163"/>
  <c r="BM159"/>
  <c r="BM155"/>
  <c r="BM151"/>
  <c r="BM147"/>
  <c r="BM143"/>
  <c r="BM139"/>
  <c r="BM135"/>
  <c r="BM131"/>
  <c r="BM127"/>
  <c r="BM123"/>
  <c r="BM119"/>
  <c r="BM115"/>
  <c r="BM111"/>
  <c r="BM107"/>
  <c r="BM103"/>
  <c r="BM99"/>
  <c r="BM95"/>
  <c r="BM91"/>
  <c r="BM87"/>
  <c r="BM83"/>
  <c r="BM79"/>
  <c r="BM75"/>
  <c r="BM71"/>
  <c r="BM67"/>
  <c r="BM63"/>
  <c r="BM59"/>
  <c r="BM55"/>
  <c r="BM51"/>
  <c r="BM47"/>
  <c r="BM43"/>
  <c r="BM39"/>
  <c r="BM35"/>
  <c r="BM31"/>
  <c r="BM27"/>
  <c r="BM23"/>
  <c r="BM19"/>
  <c r="BM15"/>
  <c r="BM11"/>
  <c r="BM7"/>
  <c r="BM200"/>
  <c r="BM196"/>
  <c r="BM192"/>
  <c r="BM188"/>
  <c r="BM184"/>
  <c r="BM180"/>
  <c r="BM176"/>
  <c r="BM172"/>
  <c r="BM168"/>
  <c r="BM164"/>
  <c r="BM160"/>
  <c r="BM156"/>
  <c r="BM152"/>
  <c r="BM148"/>
  <c r="BM144"/>
  <c r="BM140"/>
  <c r="BM136"/>
  <c r="BM132"/>
  <c r="BM128"/>
  <c r="BM124"/>
  <c r="BM120"/>
  <c r="BM116"/>
  <c r="BM112"/>
  <c r="BM108"/>
  <c r="BM104"/>
  <c r="BM100"/>
  <c r="BM96"/>
  <c r="BM92"/>
  <c r="BM88"/>
  <c r="BM84"/>
  <c r="BM80"/>
  <c r="BM76"/>
  <c r="BM72"/>
  <c r="BM68"/>
  <c r="BM64"/>
  <c r="BM60"/>
  <c r="BM56"/>
  <c r="BM52"/>
  <c r="BM48"/>
  <c r="BM44"/>
  <c r="BM40"/>
  <c r="BM36"/>
  <c r="BM32"/>
  <c r="BM28"/>
  <c r="BM24"/>
  <c r="BM20"/>
  <c r="BM16"/>
  <c r="BM12"/>
  <c r="BM8"/>
  <c r="BM201"/>
  <c r="BM197"/>
  <c r="BM193"/>
  <c r="BM189"/>
  <c r="BM185"/>
  <c r="BM181"/>
  <c r="BM177"/>
  <c r="BM173"/>
  <c r="BM169"/>
  <c r="BM165"/>
  <c r="BM161"/>
  <c r="BM157"/>
  <c r="BM153"/>
  <c r="BM149"/>
  <c r="BM145"/>
  <c r="BM141"/>
  <c r="BM137"/>
  <c r="BM133"/>
  <c r="BM129"/>
  <c r="BM125"/>
  <c r="BM121"/>
  <c r="BM117"/>
  <c r="BM113"/>
  <c r="BM109"/>
  <c r="BM105"/>
  <c r="BM101"/>
  <c r="BM97"/>
  <c r="BM93"/>
  <c r="BM89"/>
  <c r="BM85"/>
  <c r="BM81"/>
  <c r="BM77"/>
  <c r="BM73"/>
  <c r="BM69"/>
  <c r="BM65"/>
  <c r="BM61"/>
  <c r="BM57"/>
  <c r="BM53"/>
  <c r="BM49"/>
  <c r="BM45"/>
  <c r="BM41"/>
  <c r="BM37"/>
  <c r="BM33"/>
  <c r="BM29"/>
  <c r="BM25"/>
  <c r="BM21"/>
  <c r="BM17"/>
  <c r="BM13"/>
  <c r="BM9"/>
  <c r="BM203"/>
  <c r="BM202"/>
  <c r="BM198"/>
  <c r="BM194"/>
  <c r="BM190"/>
  <c r="BM186"/>
  <c r="BM182"/>
  <c r="BM178"/>
  <c r="BM174"/>
  <c r="BM170"/>
  <c r="BM166"/>
  <c r="BM162"/>
  <c r="BM158"/>
  <c r="BM154"/>
  <c r="BM150"/>
  <c r="BM146"/>
  <c r="BM142"/>
  <c r="BM138"/>
  <c r="BM134"/>
  <c r="BM130"/>
  <c r="BM126"/>
  <c r="BM122"/>
  <c r="BM118"/>
  <c r="BM114"/>
  <c r="BM110"/>
  <c r="BM106"/>
  <c r="BM102"/>
  <c r="BM98"/>
  <c r="BM94"/>
  <c r="BM90"/>
  <c r="BM86"/>
  <c r="BM82"/>
  <c r="BM78"/>
  <c r="BM74"/>
  <c r="BM70"/>
  <c r="BM66"/>
  <c r="BM62"/>
  <c r="BM58"/>
  <c r="BM54"/>
  <c r="BM50"/>
  <c r="BM46"/>
  <c r="BM42"/>
  <c r="BM38"/>
  <c r="BM34"/>
  <c r="BM30"/>
  <c r="BM26"/>
  <c r="BM22"/>
  <c r="BM18"/>
  <c r="BM14"/>
  <c r="BM10"/>
  <c r="BM6"/>
  <c r="B15" i="18"/>
  <c r="A7" i="6"/>
  <c r="I127" i="12" l="1"/>
  <c r="M126" i="11"/>
  <c r="I176" i="12"/>
  <c r="M175" i="11"/>
  <c r="I65" i="12"/>
  <c r="M64" i="11"/>
  <c r="I189" i="12"/>
  <c r="M188" i="11"/>
  <c r="I171" i="12"/>
  <c r="M170" i="11"/>
  <c r="I149" i="12"/>
  <c r="M148" i="11"/>
  <c r="I170" i="12"/>
  <c r="M169" i="11"/>
  <c r="I183" i="12"/>
  <c r="M182" i="11"/>
  <c r="I163" i="12"/>
  <c r="M162" i="11"/>
  <c r="I164" i="12"/>
  <c r="M163" i="11"/>
  <c r="I166" i="12"/>
  <c r="M165" i="11"/>
  <c r="AI6" i="9"/>
  <c r="HS205"/>
  <c r="H203" i="15" s="1"/>
  <c r="HK205" i="9"/>
  <c r="HS40"/>
  <c r="H38" i="15" s="1"/>
  <c r="HK40" i="9"/>
  <c r="HS48"/>
  <c r="H46" i="15" s="1"/>
  <c r="HK48" i="9"/>
  <c r="HS56"/>
  <c r="H54" i="15" s="1"/>
  <c r="HK56" i="9"/>
  <c r="HK64"/>
  <c r="HS72"/>
  <c r="H70" i="15" s="1"/>
  <c r="HK72" i="9"/>
  <c r="HS80"/>
  <c r="H78" i="15" s="1"/>
  <c r="HK80" i="9"/>
  <c r="HS88"/>
  <c r="H86" i="15" s="1"/>
  <c r="HK88" i="9"/>
  <c r="HK96"/>
  <c r="HS104"/>
  <c r="H102" i="15" s="1"/>
  <c r="HK104" i="9"/>
  <c r="HK112"/>
  <c r="HS120"/>
  <c r="H118" i="15" s="1"/>
  <c r="HK120" i="9"/>
  <c r="HS128"/>
  <c r="H126" i="15" s="1"/>
  <c r="HK128" i="9"/>
  <c r="HS136"/>
  <c r="H134" i="15" s="1"/>
  <c r="HK136" i="9"/>
  <c r="HS144"/>
  <c r="H142" i="15" s="1"/>
  <c r="HK144" i="9"/>
  <c r="HS152"/>
  <c r="H150" i="15" s="1"/>
  <c r="HK152" i="9"/>
  <c r="HK160"/>
  <c r="HS168"/>
  <c r="H166" i="15" s="1"/>
  <c r="HK168" i="9"/>
  <c r="HK176"/>
  <c r="HS184"/>
  <c r="H182" i="15" s="1"/>
  <c r="HK184" i="9"/>
  <c r="HK192"/>
  <c r="HS200"/>
  <c r="H198" i="15" s="1"/>
  <c r="HK200" i="9"/>
  <c r="HS39"/>
  <c r="H37" i="15" s="1"/>
  <c r="HK39" i="9"/>
  <c r="HS47"/>
  <c r="H45" i="15" s="1"/>
  <c r="HK47" i="9"/>
  <c r="HK55"/>
  <c r="HS63"/>
  <c r="H61" i="15" s="1"/>
  <c r="HK63" i="9"/>
  <c r="HS71"/>
  <c r="H69" i="15" s="1"/>
  <c r="HK71" i="9"/>
  <c r="HS79"/>
  <c r="H77" i="15" s="1"/>
  <c r="HK79" i="9"/>
  <c r="HS87"/>
  <c r="H85" i="15" s="1"/>
  <c r="HK87" i="9"/>
  <c r="HS95"/>
  <c r="H93" i="15" s="1"/>
  <c r="HK95" i="9"/>
  <c r="HS103"/>
  <c r="H101" i="15" s="1"/>
  <c r="HK103" i="9"/>
  <c r="HS111"/>
  <c r="H109" i="15" s="1"/>
  <c r="HK111" i="9"/>
  <c r="HS119"/>
  <c r="H117" i="15" s="1"/>
  <c r="HK119" i="9"/>
  <c r="HS127"/>
  <c r="H125" i="15" s="1"/>
  <c r="HK127" i="9"/>
  <c r="HS135"/>
  <c r="H133" i="15" s="1"/>
  <c r="HK135" i="9"/>
  <c r="HS143"/>
  <c r="H141" i="15" s="1"/>
  <c r="HK143" i="9"/>
  <c r="HS151"/>
  <c r="H149" i="15" s="1"/>
  <c r="HK151" i="9"/>
  <c r="HK159"/>
  <c r="HK167"/>
  <c r="HS175"/>
  <c r="H173" i="15" s="1"/>
  <c r="HK175" i="9"/>
  <c r="HK183"/>
  <c r="HS191"/>
  <c r="H189" i="15" s="1"/>
  <c r="HK191" i="9"/>
  <c r="HS199"/>
  <c r="H197" i="15" s="1"/>
  <c r="HK199" i="9"/>
  <c r="HK38"/>
  <c r="HS46"/>
  <c r="H44" i="15" s="1"/>
  <c r="HK46" i="9"/>
  <c r="HK54"/>
  <c r="HS62"/>
  <c r="H60" i="15" s="1"/>
  <c r="HK62" i="9"/>
  <c r="HS70"/>
  <c r="H68" i="15" s="1"/>
  <c r="HK70" i="9"/>
  <c r="HS78"/>
  <c r="H76" i="15" s="1"/>
  <c r="HK78" i="9"/>
  <c r="HK86"/>
  <c r="HS94"/>
  <c r="H92" i="15" s="1"/>
  <c r="HK94" i="9"/>
  <c r="HS102"/>
  <c r="H100" i="15" s="1"/>
  <c r="HK102" i="9"/>
  <c r="HS110"/>
  <c r="H108" i="15" s="1"/>
  <c r="HK110" i="9"/>
  <c r="HS118"/>
  <c r="H116" i="15" s="1"/>
  <c r="HK118" i="9"/>
  <c r="HS126"/>
  <c r="H124" i="15" s="1"/>
  <c r="HK126" i="9"/>
  <c r="HS134"/>
  <c r="H132" i="15" s="1"/>
  <c r="HK134" i="9"/>
  <c r="HS142"/>
  <c r="H140" i="15" s="1"/>
  <c r="HK142" i="9"/>
  <c r="HK150"/>
  <c r="HS158"/>
  <c r="H156" i="15" s="1"/>
  <c r="HK158" i="9"/>
  <c r="HK166"/>
  <c r="HS174"/>
  <c r="H172" i="15" s="1"/>
  <c r="HK174" i="9"/>
  <c r="HS182"/>
  <c r="H180" i="15" s="1"/>
  <c r="HK182" i="9"/>
  <c r="HS190"/>
  <c r="H188" i="15" s="1"/>
  <c r="HK190" i="9"/>
  <c r="HS198"/>
  <c r="H196" i="15" s="1"/>
  <c r="HK198" i="9"/>
  <c r="HS41"/>
  <c r="H39" i="15" s="1"/>
  <c r="HK41" i="9"/>
  <c r="HS49"/>
  <c r="H47" i="15" s="1"/>
  <c r="HK49" i="9"/>
  <c r="HS57"/>
  <c r="H55" i="15" s="1"/>
  <c r="HK57" i="9"/>
  <c r="HS65"/>
  <c r="H63" i="15" s="1"/>
  <c r="HK65" i="9"/>
  <c r="HS73"/>
  <c r="H71" i="15" s="1"/>
  <c r="HK73" i="9"/>
  <c r="HS81"/>
  <c r="H79" i="15" s="1"/>
  <c r="HK81" i="9"/>
  <c r="HS89"/>
  <c r="H87" i="15" s="1"/>
  <c r="HK89" i="9"/>
  <c r="HS97"/>
  <c r="H95" i="15" s="1"/>
  <c r="HK97" i="9"/>
  <c r="HS105"/>
  <c r="H103" i="15" s="1"/>
  <c r="HK105" i="9"/>
  <c r="HS113"/>
  <c r="H111" i="15" s="1"/>
  <c r="HK113" i="9"/>
  <c r="HS121"/>
  <c r="H119" i="15" s="1"/>
  <c r="HK121" i="9"/>
  <c r="HS129"/>
  <c r="H127" i="15" s="1"/>
  <c r="HK129" i="9"/>
  <c r="HS137"/>
  <c r="H135" i="15" s="1"/>
  <c r="HK137" i="9"/>
  <c r="HK145"/>
  <c r="HS153"/>
  <c r="H151" i="15" s="1"/>
  <c r="HK153" i="9"/>
  <c r="HS161"/>
  <c r="H159" i="15" s="1"/>
  <c r="HK161" i="9"/>
  <c r="HS169"/>
  <c r="H167" i="15" s="1"/>
  <c r="HK169" i="9"/>
  <c r="HS177"/>
  <c r="H175" i="15" s="1"/>
  <c r="HK177" i="9"/>
  <c r="HS185"/>
  <c r="H183" i="15" s="1"/>
  <c r="HK185" i="9"/>
  <c r="HS193"/>
  <c r="H191" i="15" s="1"/>
  <c r="HK193" i="9"/>
  <c r="HS201"/>
  <c r="H199" i="15" s="1"/>
  <c r="HK201" i="9"/>
  <c r="HS44"/>
  <c r="H42" i="15" s="1"/>
  <c r="HK44" i="9"/>
  <c r="HS52"/>
  <c r="H50" i="15" s="1"/>
  <c r="HK52" i="9"/>
  <c r="HS60"/>
  <c r="H58" i="15" s="1"/>
  <c r="HK60" i="9"/>
  <c r="HS68"/>
  <c r="H66" i="15" s="1"/>
  <c r="HK68" i="9"/>
  <c r="HS76"/>
  <c r="H74" i="15" s="1"/>
  <c r="HK76" i="9"/>
  <c r="HS84"/>
  <c r="H82" i="15" s="1"/>
  <c r="HK84" i="9"/>
  <c r="HS92"/>
  <c r="H90" i="15" s="1"/>
  <c r="HK92" i="9"/>
  <c r="HS100"/>
  <c r="H98" i="15" s="1"/>
  <c r="HK100" i="9"/>
  <c r="HS108"/>
  <c r="H106" i="15" s="1"/>
  <c r="HK108" i="9"/>
  <c r="HS116"/>
  <c r="H114" i="15" s="1"/>
  <c r="HK116" i="9"/>
  <c r="HS124"/>
  <c r="H122" i="15" s="1"/>
  <c r="HK124" i="9"/>
  <c r="HS132"/>
  <c r="H130" i="15" s="1"/>
  <c r="HK132" i="9"/>
  <c r="HS140"/>
  <c r="H138" i="15" s="1"/>
  <c r="HK140" i="9"/>
  <c r="HS148"/>
  <c r="H146" i="15" s="1"/>
  <c r="HK148" i="9"/>
  <c r="HS156"/>
  <c r="H154" i="15" s="1"/>
  <c r="HK156" i="9"/>
  <c r="HS164"/>
  <c r="H162" i="15" s="1"/>
  <c r="HK164" i="9"/>
  <c r="HS172"/>
  <c r="H170" i="15" s="1"/>
  <c r="HK172" i="9"/>
  <c r="HS180"/>
  <c r="H178" i="15" s="1"/>
  <c r="HK180" i="9"/>
  <c r="HS188"/>
  <c r="H186" i="15" s="1"/>
  <c r="HK188" i="9"/>
  <c r="HS196"/>
  <c r="H194" i="15" s="1"/>
  <c r="HK196" i="9"/>
  <c r="HS204"/>
  <c r="H202" i="15" s="1"/>
  <c r="HK204" i="9"/>
  <c r="HS43"/>
  <c r="H41" i="15" s="1"/>
  <c r="HK43" i="9"/>
  <c r="HS51"/>
  <c r="H49" i="15" s="1"/>
  <c r="HK51" i="9"/>
  <c r="HS59"/>
  <c r="H57" i="15" s="1"/>
  <c r="HK59" i="9"/>
  <c r="HS67"/>
  <c r="H65" i="15" s="1"/>
  <c r="HK67" i="9"/>
  <c r="HS75"/>
  <c r="H73" i="15" s="1"/>
  <c r="HK75" i="9"/>
  <c r="HS83"/>
  <c r="H81" i="15" s="1"/>
  <c r="HK83" i="9"/>
  <c r="HS91"/>
  <c r="H89" i="15" s="1"/>
  <c r="HK91" i="9"/>
  <c r="HS99"/>
  <c r="H97" i="15" s="1"/>
  <c r="HK99" i="9"/>
  <c r="HS107"/>
  <c r="H105" i="15" s="1"/>
  <c r="HK107" i="9"/>
  <c r="HS115"/>
  <c r="H113" i="15" s="1"/>
  <c r="HK115" i="9"/>
  <c r="HS123"/>
  <c r="H121" i="15" s="1"/>
  <c r="HK123" i="9"/>
  <c r="HS131"/>
  <c r="H129" i="15" s="1"/>
  <c r="HK131" i="9"/>
  <c r="HS139"/>
  <c r="H137" i="15" s="1"/>
  <c r="HK139" i="9"/>
  <c r="HS147"/>
  <c r="H145" i="15" s="1"/>
  <c r="HK147" i="9"/>
  <c r="HS155"/>
  <c r="H153" i="15" s="1"/>
  <c r="HK155" i="9"/>
  <c r="HS163"/>
  <c r="H161" i="15" s="1"/>
  <c r="HK163" i="9"/>
  <c r="HS171"/>
  <c r="H169" i="15" s="1"/>
  <c r="HK171" i="9"/>
  <c r="HS179"/>
  <c r="H177" i="15" s="1"/>
  <c r="HK179" i="9"/>
  <c r="HS187"/>
  <c r="H185" i="15" s="1"/>
  <c r="HK187" i="9"/>
  <c r="HS195"/>
  <c r="H193" i="15" s="1"/>
  <c r="HK195" i="9"/>
  <c r="HS203"/>
  <c r="H201" i="15" s="1"/>
  <c r="HK203" i="9"/>
  <c r="HS42"/>
  <c r="H40" i="15" s="1"/>
  <c r="HK42" i="9"/>
  <c r="HS50"/>
  <c r="H48" i="15" s="1"/>
  <c r="HK50" i="9"/>
  <c r="HS58"/>
  <c r="H56" i="15" s="1"/>
  <c r="HK58" i="9"/>
  <c r="HS66"/>
  <c r="H64" i="15" s="1"/>
  <c r="HK66" i="9"/>
  <c r="HS74"/>
  <c r="H72" i="15" s="1"/>
  <c r="HK74" i="9"/>
  <c r="HS82"/>
  <c r="H80" i="15" s="1"/>
  <c r="HK82" i="9"/>
  <c r="HS90"/>
  <c r="H88" i="15" s="1"/>
  <c r="HK90" i="9"/>
  <c r="HS98"/>
  <c r="H96" i="15" s="1"/>
  <c r="HK98" i="9"/>
  <c r="HS106"/>
  <c r="H104" i="15" s="1"/>
  <c r="HK106" i="9"/>
  <c r="HS114"/>
  <c r="H112" i="15" s="1"/>
  <c r="HK114" i="9"/>
  <c r="HS122"/>
  <c r="H120" i="15" s="1"/>
  <c r="HK122" i="9"/>
  <c r="HS130"/>
  <c r="H128" i="15" s="1"/>
  <c r="HK130" i="9"/>
  <c r="HS138"/>
  <c r="H136" i="15" s="1"/>
  <c r="HK138" i="9"/>
  <c r="HS146"/>
  <c r="H144" i="15" s="1"/>
  <c r="HK146" i="9"/>
  <c r="HS154"/>
  <c r="H152" i="15" s="1"/>
  <c r="HK154" i="9"/>
  <c r="HS162"/>
  <c r="H160" i="15" s="1"/>
  <c r="HK162" i="9"/>
  <c r="HS170"/>
  <c r="H168" i="15" s="1"/>
  <c r="HK170" i="9"/>
  <c r="HS178"/>
  <c r="H176" i="15" s="1"/>
  <c r="HK178" i="9"/>
  <c r="HS186"/>
  <c r="H184" i="15" s="1"/>
  <c r="HK186" i="9"/>
  <c r="HS194"/>
  <c r="H192" i="15" s="1"/>
  <c r="HK194" i="9"/>
  <c r="HS202"/>
  <c r="H200" i="15" s="1"/>
  <c r="HK202" i="9"/>
  <c r="HS206"/>
  <c r="H204" i="15" s="1"/>
  <c r="HK206" i="9"/>
  <c r="HS45"/>
  <c r="H43" i="15" s="1"/>
  <c r="HK45" i="9"/>
  <c r="HS53"/>
  <c r="H51" i="15" s="1"/>
  <c r="HK53" i="9"/>
  <c r="HS61"/>
  <c r="H59" i="15" s="1"/>
  <c r="HK61" i="9"/>
  <c r="HS69"/>
  <c r="H67" i="15" s="1"/>
  <c r="HK69" i="9"/>
  <c r="HS77"/>
  <c r="H75" i="15" s="1"/>
  <c r="HK77" i="9"/>
  <c r="HS85"/>
  <c r="H83" i="15" s="1"/>
  <c r="HK85" i="9"/>
  <c r="HS93"/>
  <c r="H91" i="15" s="1"/>
  <c r="HK93" i="9"/>
  <c r="HS101"/>
  <c r="H99" i="15" s="1"/>
  <c r="HK101" i="9"/>
  <c r="HS109"/>
  <c r="H107" i="15" s="1"/>
  <c r="HK109" i="9"/>
  <c r="HS117"/>
  <c r="H115" i="15" s="1"/>
  <c r="HK117" i="9"/>
  <c r="HS125"/>
  <c r="H123" i="15" s="1"/>
  <c r="HK125" i="9"/>
  <c r="HS133"/>
  <c r="H131" i="15" s="1"/>
  <c r="HK133" i="9"/>
  <c r="HS141"/>
  <c r="H139" i="15" s="1"/>
  <c r="HK141" i="9"/>
  <c r="HS149"/>
  <c r="H147" i="15" s="1"/>
  <c r="HK149" i="9"/>
  <c r="HS157"/>
  <c r="H155" i="15" s="1"/>
  <c r="HK157" i="9"/>
  <c r="HS165"/>
  <c r="H163" i="15" s="1"/>
  <c r="HK165" i="9"/>
  <c r="HS173"/>
  <c r="H171" i="15" s="1"/>
  <c r="HK173" i="9"/>
  <c r="HS181"/>
  <c r="H179" i="15" s="1"/>
  <c r="HK181" i="9"/>
  <c r="HS189"/>
  <c r="H187" i="15" s="1"/>
  <c r="HK189" i="9"/>
  <c r="HS197"/>
  <c r="H195" i="15" s="1"/>
  <c r="HK197" i="9"/>
  <c r="HS176"/>
  <c r="H174" i="15" s="1"/>
  <c r="HS145" i="9"/>
  <c r="H143" i="15" s="1"/>
  <c r="HS64" i="9"/>
  <c r="H62" i="15" s="1"/>
  <c r="HS112" i="9"/>
  <c r="H110" i="15" s="1"/>
  <c r="HS192" i="9"/>
  <c r="H190" i="15" s="1"/>
  <c r="HS160" i="9"/>
  <c r="H158" i="15" s="1"/>
  <c r="HS54" i="9"/>
  <c r="H52" i="15" s="1"/>
  <c r="HS166" i="9"/>
  <c r="H164" i="15" s="1"/>
  <c r="HH41" i="9"/>
  <c r="HE45"/>
  <c r="HE49"/>
  <c r="HE57"/>
  <c r="HE53"/>
  <c r="GQ109"/>
  <c r="HH117"/>
  <c r="HE121"/>
  <c r="GQ125"/>
  <c r="HH129"/>
  <c r="HB133"/>
  <c r="HH137"/>
  <c r="GT141"/>
  <c r="M139" i="15" s="1"/>
  <c r="GT157" i="9"/>
  <c r="M155" i="15" s="1"/>
  <c r="HB157" i="9"/>
  <c r="HE161"/>
  <c r="HH165"/>
  <c r="HH169"/>
  <c r="GQ169"/>
  <c r="GT177"/>
  <c r="M175" i="15" s="1"/>
  <c r="HH185" i="9"/>
  <c r="GQ185"/>
  <c r="HE189"/>
  <c r="GT193"/>
  <c r="M191" i="15" s="1"/>
  <c r="HE193" i="9"/>
  <c r="GT197"/>
  <c r="M195" i="15" s="1"/>
  <c r="HH201" i="9"/>
  <c r="GQ201"/>
  <c r="HE205"/>
  <c r="HH40"/>
  <c r="HE44"/>
  <c r="HH48"/>
  <c r="GQ48"/>
  <c r="GT56"/>
  <c r="M54" i="15" s="1"/>
  <c r="HE60" i="9"/>
  <c r="HH68"/>
  <c r="HE72"/>
  <c r="HH76"/>
  <c r="GQ76"/>
  <c r="HH49"/>
  <c r="HB57"/>
  <c r="HH61"/>
  <c r="HE65"/>
  <c r="HH65"/>
  <c r="GT73"/>
  <c r="M71" i="15" s="1"/>
  <c r="HH73" i="9"/>
  <c r="HB77"/>
  <c r="GQ77"/>
  <c r="HE89"/>
  <c r="GT93"/>
  <c r="GQ97"/>
  <c r="HE101"/>
  <c r="GT109"/>
  <c r="M107" i="15" s="1"/>
  <c r="HE117" i="9"/>
  <c r="GT121"/>
  <c r="M119" i="15" s="1"/>
  <c r="GQ121" i="9"/>
  <c r="GT145"/>
  <c r="HH149"/>
  <c r="HB149"/>
  <c r="HB153"/>
  <c r="GT165"/>
  <c r="M163" i="15" s="1"/>
  <c r="GQ41" i="9"/>
  <c r="HB45"/>
  <c r="GQ53"/>
  <c r="GQ61"/>
  <c r="HE69"/>
  <c r="GQ85"/>
  <c r="HB85"/>
  <c r="HB89"/>
  <c r="GQ89"/>
  <c r="HH93"/>
  <c r="HH97"/>
  <c r="HE97"/>
  <c r="HH101"/>
  <c r="GQ105"/>
  <c r="HH53"/>
  <c r="GQ65"/>
  <c r="GQ69"/>
  <c r="HH69"/>
  <c r="HB97"/>
  <c r="HE109"/>
  <c r="GT117"/>
  <c r="M115" i="15" s="1"/>
  <c r="GT129" i="9"/>
  <c r="M127" i="15" s="1"/>
  <c r="GQ141" i="9"/>
  <c r="GT149"/>
  <c r="HH153"/>
  <c r="HH197"/>
  <c r="GT205"/>
  <c r="M203" i="15" s="1"/>
  <c r="GQ205" i="9"/>
  <c r="HB205"/>
  <c r="HH44"/>
  <c r="GT44"/>
  <c r="M42" i="15" s="1"/>
  <c r="GT48" i="9"/>
  <c r="M46" i="15" s="1"/>
  <c r="GT52" i="9"/>
  <c r="M50" i="15" s="1"/>
  <c r="HE52" i="9"/>
  <c r="GQ60"/>
  <c r="GT60"/>
  <c r="M58" i="15" s="1"/>
  <c r="GT64" i="9"/>
  <c r="M62" i="15" s="1"/>
  <c r="HE64" i="9"/>
  <c r="HE68"/>
  <c r="HE84"/>
  <c r="HE88"/>
  <c r="GQ88"/>
  <c r="HE92"/>
  <c r="HB92"/>
  <c r="GT100"/>
  <c r="M98" i="15" s="1"/>
  <c r="GQ104" i="9"/>
  <c r="HE112"/>
  <c r="HH116"/>
  <c r="HE116"/>
  <c r="GT124"/>
  <c r="M122" i="15" s="1"/>
  <c r="HB124" i="9"/>
  <c r="GQ124"/>
  <c r="GT128"/>
  <c r="M126" i="15" s="1"/>
  <c r="HE128" i="9"/>
  <c r="HB132"/>
  <c r="HE140"/>
  <c r="HE148"/>
  <c r="GT148"/>
  <c r="HH148"/>
  <c r="HB152"/>
  <c r="GQ156"/>
  <c r="HH160"/>
  <c r="HB164"/>
  <c r="GQ164"/>
  <c r="HE41"/>
  <c r="GQ45"/>
  <c r="HH57"/>
  <c r="HB65"/>
  <c r="HH85"/>
  <c r="HE85"/>
  <c r="HH89"/>
  <c r="HB93"/>
  <c r="GT101"/>
  <c r="M99" i="15" s="1"/>
  <c r="GQ101" i="9"/>
  <c r="HE105"/>
  <c r="HH113"/>
  <c r="HH121"/>
  <c r="HH133"/>
  <c r="HH157"/>
  <c r="HH161"/>
  <c r="HB165"/>
  <c r="GQ165"/>
  <c r="HE169"/>
  <c r="GT173"/>
  <c r="M171" i="15" s="1"/>
  <c r="HH181" i="9"/>
  <c r="HB185"/>
  <c r="GT189"/>
  <c r="M187" i="15" s="1"/>
  <c r="HH45" i="9"/>
  <c r="HB49"/>
  <c r="GQ49"/>
  <c r="HB53"/>
  <c r="GQ57"/>
  <c r="HE61"/>
  <c r="HB69"/>
  <c r="HE73"/>
  <c r="HB73"/>
  <c r="HE77"/>
  <c r="HH77"/>
  <c r="GT81"/>
  <c r="M79" i="15" s="1"/>
  <c r="GQ81" i="9"/>
  <c r="HH81"/>
  <c r="HE93"/>
  <c r="HH105"/>
  <c r="HB105"/>
  <c r="HH109"/>
  <c r="GT113"/>
  <c r="M111" i="15" s="1"/>
  <c r="HB117" i="9"/>
  <c r="HE172"/>
  <c r="GT176"/>
  <c r="M174" i="15" s="1"/>
  <c r="HE180" i="9"/>
  <c r="HB188"/>
  <c r="HE192"/>
  <c r="HE196"/>
  <c r="HB206"/>
  <c r="GT39"/>
  <c r="M37" i="15" s="1"/>
  <c r="HE39" i="9"/>
  <c r="HE51"/>
  <c r="HH55"/>
  <c r="HH59"/>
  <c r="GQ59"/>
  <c r="HB63"/>
  <c r="GQ67"/>
  <c r="HE67"/>
  <c r="HH71"/>
  <c r="HH79"/>
  <c r="HE83"/>
  <c r="GT91"/>
  <c r="M89" i="15" s="1"/>
  <c r="HH95" i="9"/>
  <c r="HE103"/>
  <c r="GT107"/>
  <c r="M105" i="15" s="1"/>
  <c r="GQ115" i="9"/>
  <c r="HH119"/>
  <c r="GT119"/>
  <c r="M117" i="15" s="1"/>
  <c r="GQ119" i="9"/>
  <c r="GT127"/>
  <c r="M125" i="15" s="1"/>
  <c r="GQ127" i="9"/>
  <c r="HE131"/>
  <c r="HB131"/>
  <c r="HB143"/>
  <c r="HH143"/>
  <c r="HH147"/>
  <c r="HE151"/>
  <c r="HE155"/>
  <c r="HB155"/>
  <c r="GQ159"/>
  <c r="HH163"/>
  <c r="HE163"/>
  <c r="GQ171"/>
  <c r="GQ183"/>
  <c r="GT187"/>
  <c r="M185" i="15" s="1"/>
  <c r="HH187" i="9"/>
  <c r="GQ187"/>
  <c r="HB191"/>
  <c r="GQ191"/>
  <c r="HE195"/>
  <c r="HH38"/>
  <c r="GQ42"/>
  <c r="HH50"/>
  <c r="GQ50"/>
  <c r="HH62"/>
  <c r="HH66"/>
  <c r="HE70"/>
  <c r="HH86"/>
  <c r="HB90"/>
  <c r="GQ94"/>
  <c r="GT98"/>
  <c r="M96" i="15" s="1"/>
  <c r="HH98" i="9"/>
  <c r="HH102"/>
  <c r="GQ102"/>
  <c r="HH106"/>
  <c r="HB110"/>
  <c r="HB114"/>
  <c r="GT118"/>
  <c r="M116" i="15" s="1"/>
  <c r="GT122" i="9"/>
  <c r="M120" i="15" s="1"/>
  <c r="HE126" i="9"/>
  <c r="GQ134"/>
  <c r="HE138"/>
  <c r="HH138"/>
  <c r="HB142"/>
  <c r="HH142"/>
  <c r="HB146"/>
  <c r="GQ146"/>
  <c r="HE150"/>
  <c r="HH150"/>
  <c r="GT154"/>
  <c r="M152" i="15" s="1"/>
  <c r="HH162" i="9"/>
  <c r="HE166"/>
  <c r="HH166"/>
  <c r="GT174"/>
  <c r="M172" i="15" s="1"/>
  <c r="HB174" i="9"/>
  <c r="HB182"/>
  <c r="GQ186"/>
  <c r="HB194"/>
  <c r="HH194"/>
  <c r="GT198"/>
  <c r="M196" i="15" s="1"/>
  <c r="HH202" i="9"/>
  <c r="GQ117"/>
  <c r="HB125"/>
  <c r="HE129"/>
  <c r="GQ129"/>
  <c r="HB129"/>
  <c r="GT133"/>
  <c r="M131" i="15" s="1"/>
  <c r="HE137" i="9"/>
  <c r="HH141"/>
  <c r="HB141"/>
  <c r="HE145"/>
  <c r="HH145"/>
  <c r="GQ145"/>
  <c r="GQ149"/>
  <c r="HE153"/>
  <c r="HB161"/>
  <c r="HH173"/>
  <c r="GQ173"/>
  <c r="HH177"/>
  <c r="HB181"/>
  <c r="GT185"/>
  <c r="M183" i="15" s="1"/>
  <c r="HH189" i="9"/>
  <c r="GQ189"/>
  <c r="HB193"/>
  <c r="HH205"/>
  <c r="GT40"/>
  <c r="M38" i="15" s="1"/>
  <c r="HE40" i="9"/>
  <c r="HB44"/>
  <c r="HB52"/>
  <c r="GQ56"/>
  <c r="HH60"/>
  <c r="HB68"/>
  <c r="GT76"/>
  <c r="M74" i="15" s="1"/>
  <c r="GT84" i="9"/>
  <c r="M82" i="15" s="1"/>
  <c r="HB88" i="9"/>
  <c r="GT88"/>
  <c r="M86" i="15" s="1"/>
  <c r="HH96" i="9"/>
  <c r="HH100"/>
  <c r="GQ100"/>
  <c r="HE108"/>
  <c r="GT112"/>
  <c r="M110" i="15" s="1"/>
  <c r="GQ112" i="9"/>
  <c r="HH120"/>
  <c r="HE124"/>
  <c r="HH128"/>
  <c r="HE132"/>
  <c r="HB140"/>
  <c r="HB148"/>
  <c r="HE152"/>
  <c r="HH156"/>
  <c r="GT156"/>
  <c r="M154" i="15" s="1"/>
  <c r="HH168" i="9"/>
  <c r="GQ168"/>
  <c r="GQ172"/>
  <c r="HB176"/>
  <c r="HB180"/>
  <c r="HE184"/>
  <c r="HB184"/>
  <c r="HH192"/>
  <c r="GT192"/>
  <c r="M190" i="15" s="1"/>
  <c r="HH200" i="9"/>
  <c r="HH206"/>
  <c r="HB39"/>
  <c r="GQ47"/>
  <c r="HH51"/>
  <c r="GT51"/>
  <c r="GQ51"/>
  <c r="GQ63"/>
  <c r="GT71"/>
  <c r="M69" i="15" s="1"/>
  <c r="GT75" i="9"/>
  <c r="M73" i="15" s="1"/>
  <c r="HE79" i="9"/>
  <c r="HB79"/>
  <c r="HH83"/>
  <c r="GT83"/>
  <c r="M81" i="15" s="1"/>
  <c r="HB87" i="9"/>
  <c r="HH87"/>
  <c r="HB95"/>
  <c r="HH99"/>
  <c r="HB99"/>
  <c r="HB103"/>
  <c r="GQ103"/>
  <c r="HB107"/>
  <c r="HH111"/>
  <c r="HE111"/>
  <c r="HE115"/>
  <c r="HE119"/>
  <c r="HE123"/>
  <c r="HH123"/>
  <c r="HH127"/>
  <c r="GT131"/>
  <c r="M129" i="15" s="1"/>
  <c r="GQ131" i="9"/>
  <c r="GQ135"/>
  <c r="HE135"/>
  <c r="HH139"/>
  <c r="GT143"/>
  <c r="M141" i="15" s="1"/>
  <c r="GQ143" i="9"/>
  <c r="GT151"/>
  <c r="HH159"/>
  <c r="GT167"/>
  <c r="M165" i="15" s="1"/>
  <c r="HE179" i="9"/>
  <c r="HH179"/>
  <c r="HH183"/>
  <c r="HB195"/>
  <c r="GT199"/>
  <c r="M197" i="15" s="1"/>
  <c r="GT203" i="9"/>
  <c r="M201" i="15" s="1"/>
  <c r="HH203" i="9"/>
  <c r="HE42"/>
  <c r="HB58"/>
  <c r="HE58"/>
  <c r="GT62"/>
  <c r="M60" i="15" s="1"/>
  <c r="HB62" i="9"/>
  <c r="GT66"/>
  <c r="HH74"/>
  <c r="GQ78"/>
  <c r="GT86"/>
  <c r="M84" i="15" s="1"/>
  <c r="HE90" i="9"/>
  <c r="HB94"/>
  <c r="HE102"/>
  <c r="GQ106"/>
  <c r="GT110"/>
  <c r="M108" i="15" s="1"/>
  <c r="HB122" i="9"/>
  <c r="HB126"/>
  <c r="GQ130"/>
  <c r="HH130"/>
  <c r="HH146"/>
  <c r="GT150"/>
  <c r="GQ154"/>
  <c r="HH158"/>
  <c r="GT158"/>
  <c r="GQ166"/>
  <c r="GQ170"/>
  <c r="HH174"/>
  <c r="GQ174"/>
  <c r="GT182"/>
  <c r="M180" i="15" s="1"/>
  <c r="HB186" i="9"/>
  <c r="HB190"/>
  <c r="HH198"/>
  <c r="HE202"/>
  <c r="GQ80"/>
  <c r="HB84"/>
  <c r="GQ84"/>
  <c r="HH88"/>
  <c r="HH92"/>
  <c r="GT92"/>
  <c r="GT96"/>
  <c r="M94" i="15" s="1"/>
  <c r="HB96" i="9"/>
  <c r="HE96"/>
  <c r="HH104"/>
  <c r="HB108"/>
  <c r="HH112"/>
  <c r="GQ120"/>
  <c r="HH124"/>
  <c r="GT132"/>
  <c r="M130" i="15" s="1"/>
  <c r="GQ132" i="9"/>
  <c r="GT140"/>
  <c r="M138" i="15" s="1"/>
  <c r="GT152" i="9"/>
  <c r="M150" i="15" s="1"/>
  <c r="HB156" i="9"/>
  <c r="HH172"/>
  <c r="GT180"/>
  <c r="M178" i="15" s="1"/>
  <c r="HH180" i="9"/>
  <c r="GQ180"/>
  <c r="HH184"/>
  <c r="HE188"/>
  <c r="GQ188"/>
  <c r="HB192"/>
  <c r="GT196"/>
  <c r="HB196"/>
  <c r="HE200"/>
  <c r="GT206"/>
  <c r="M204" i="15" s="1"/>
  <c r="GQ39" i="9"/>
  <c r="HH43"/>
  <c r="HB47"/>
  <c r="HB55"/>
  <c r="GT59"/>
  <c r="HE63"/>
  <c r="HH67"/>
  <c r="HE75"/>
  <c r="HH75"/>
  <c r="GQ79"/>
  <c r="HB83"/>
  <c r="GQ83"/>
  <c r="HE87"/>
  <c r="HB91"/>
  <c r="GQ91"/>
  <c r="HE95"/>
  <c r="GQ99"/>
  <c r="HE107"/>
  <c r="GT111"/>
  <c r="GQ111"/>
  <c r="GT115"/>
  <c r="M113" i="15" s="1"/>
  <c r="HH115" i="9"/>
  <c r="GQ123"/>
  <c r="HE127"/>
  <c r="HH131"/>
  <c r="HB135"/>
  <c r="GT139"/>
  <c r="M137" i="15" s="1"/>
  <c r="GQ139" i="9"/>
  <c r="GQ147"/>
  <c r="HB151"/>
  <c r="GQ151"/>
  <c r="GQ155"/>
  <c r="HE159"/>
  <c r="HH167"/>
  <c r="HH171"/>
  <c r="GT175"/>
  <c r="M173" i="15" s="1"/>
  <c r="HH175" i="9"/>
  <c r="GQ179"/>
  <c r="HE183"/>
  <c r="GT183"/>
  <c r="M181" i="15" s="1"/>
  <c r="HH191" i="9"/>
  <c r="GQ195"/>
  <c r="HH199"/>
  <c r="HE199"/>
  <c r="HE38"/>
  <c r="GT42"/>
  <c r="M40" i="15" s="1"/>
  <c r="GT50" i="9"/>
  <c r="HE50"/>
  <c r="HB54"/>
  <c r="HH58"/>
  <c r="GQ58"/>
  <c r="HE62"/>
  <c r="GT70"/>
  <c r="M68" i="15" s="1"/>
  <c r="HB74" i="9"/>
  <c r="HH78"/>
  <c r="HB78"/>
  <c r="HH82"/>
  <c r="GQ82"/>
  <c r="GT90"/>
  <c r="M88" i="15" s="1"/>
  <c r="HH90" i="9"/>
  <c r="HH94"/>
  <c r="GQ98"/>
  <c r="GT106"/>
  <c r="HH110"/>
  <c r="GT114"/>
  <c r="GQ114"/>
  <c r="HE118"/>
  <c r="HH118"/>
  <c r="HH122"/>
  <c r="HH126"/>
  <c r="GT126"/>
  <c r="GQ126"/>
  <c r="GT130"/>
  <c r="M128" i="15" s="1"/>
  <c r="HH134" i="9"/>
  <c r="HE142"/>
  <c r="GT146"/>
  <c r="M144" i="15" s="1"/>
  <c r="HE154" i="9"/>
  <c r="GQ162"/>
  <c r="HE170"/>
  <c r="HH170"/>
  <c r="HH178"/>
  <c r="HB178"/>
  <c r="HH182"/>
  <c r="HH186"/>
  <c r="GT186"/>
  <c r="M184" i="15" s="1"/>
  <c r="HH190" i="9"/>
  <c r="GT190"/>
  <c r="M188" i="15" s="1"/>
  <c r="GQ190" i="9"/>
  <c r="HE190"/>
  <c r="GT194"/>
  <c r="M192" i="15" s="1"/>
  <c r="GQ194" i="9"/>
  <c r="GQ202"/>
  <c r="HB121"/>
  <c r="HE125"/>
  <c r="HH125"/>
  <c r="GT125"/>
  <c r="GQ137"/>
  <c r="HB137"/>
  <c r="HE141"/>
  <c r="GQ153"/>
  <c r="GQ157"/>
  <c r="GQ161"/>
  <c r="HE165"/>
  <c r="HB169"/>
  <c r="HE173"/>
  <c r="GQ177"/>
  <c r="GQ181"/>
  <c r="HH193"/>
  <c r="GQ197"/>
  <c r="GQ40"/>
  <c r="GQ44"/>
  <c r="HH52"/>
  <c r="HE56"/>
  <c r="HH56"/>
  <c r="HH64"/>
  <c r="GQ68"/>
  <c r="HH72"/>
  <c r="GQ72"/>
  <c r="HE76"/>
  <c r="GT80"/>
  <c r="M78" i="15" s="1"/>
  <c r="HH80" i="9"/>
  <c r="HH84"/>
  <c r="GT104"/>
  <c r="HH108"/>
  <c r="GQ108"/>
  <c r="GT116"/>
  <c r="M114" i="15" s="1"/>
  <c r="GQ116" i="9"/>
  <c r="GT120"/>
  <c r="M118" i="15" s="1"/>
  <c r="HH132" i="9"/>
  <c r="HB136"/>
  <c r="HH136"/>
  <c r="HH140"/>
  <c r="HB144"/>
  <c r="HH144"/>
  <c r="GQ152"/>
  <c r="HH152"/>
  <c r="HE156"/>
  <c r="GT160"/>
  <c r="M158" i="15" s="1"/>
  <c r="HH164" i="9"/>
  <c r="GT164"/>
  <c r="M162" i="15" s="1"/>
  <c r="HE168" i="9"/>
  <c r="GQ176"/>
  <c r="HH176"/>
  <c r="GQ184"/>
  <c r="HH188"/>
  <c r="GT188"/>
  <c r="M186" i="15" s="1"/>
  <c r="GQ192" i="9"/>
  <c r="HH196"/>
  <c r="GT204"/>
  <c r="M202" i="15" s="1"/>
  <c r="GQ204" i="9"/>
  <c r="HH204"/>
  <c r="GQ206"/>
  <c r="HH39"/>
  <c r="GT43"/>
  <c r="GQ43"/>
  <c r="GT47"/>
  <c r="HH47"/>
  <c r="HE55"/>
  <c r="GQ55"/>
  <c r="HB59"/>
  <c r="HE59"/>
  <c r="HH63"/>
  <c r="HB71"/>
  <c r="GQ71"/>
  <c r="HH91"/>
  <c r="HE99"/>
  <c r="HH107"/>
  <c r="GQ107"/>
  <c r="HB115"/>
  <c r="GT123"/>
  <c r="M121" i="15" s="1"/>
  <c r="HH135" i="9"/>
  <c r="HE139"/>
  <c r="HB139"/>
  <c r="GT147"/>
  <c r="M145" i="15" s="1"/>
  <c r="HH151" i="9"/>
  <c r="HH155"/>
  <c r="GQ163"/>
  <c r="GQ167"/>
  <c r="HE175"/>
  <c r="GQ175"/>
  <c r="HE187"/>
  <c r="HE191"/>
  <c r="HH195"/>
  <c r="HB38"/>
  <c r="HH42"/>
  <c r="HB42"/>
  <c r="HB46"/>
  <c r="HH46"/>
  <c r="GT46"/>
  <c r="M44" i="15" s="1"/>
  <c r="HB50" i="9"/>
  <c r="HH54"/>
  <c r="GQ62"/>
  <c r="HH70"/>
  <c r="GQ74"/>
  <c r="GT78"/>
  <c r="M76" i="15" s="1"/>
  <c r="GT82" i="9"/>
  <c r="M80" i="15" s="1"/>
  <c r="GQ90" i="9"/>
  <c r="HE94"/>
  <c r="HE98"/>
  <c r="GQ110"/>
  <c r="HH114"/>
  <c r="GQ118"/>
  <c r="GQ122"/>
  <c r="HE130"/>
  <c r="GT134"/>
  <c r="M132" i="15" s="1"/>
  <c r="GT138" i="9"/>
  <c r="M136" i="15" s="1"/>
  <c r="GQ138" i="9"/>
  <c r="GQ142"/>
  <c r="GQ150"/>
  <c r="HH154"/>
  <c r="GQ158"/>
  <c r="HE162"/>
  <c r="HB166"/>
  <c r="GT170"/>
  <c r="M168" i="15" s="1"/>
  <c r="HE174" i="9"/>
  <c r="GT178"/>
  <c r="M176" i="15" s="1"/>
  <c r="GQ178" i="9"/>
  <c r="GQ182"/>
  <c r="HE186"/>
  <c r="HB202"/>
  <c r="HS159"/>
  <c r="H157" i="15" s="1"/>
  <c r="HS55" i="9"/>
  <c r="H53" i="15" s="1"/>
  <c r="HS167" i="9"/>
  <c r="H165" i="15" s="1"/>
  <c r="HS183" i="9"/>
  <c r="H181" i="15" s="1"/>
  <c r="HS38" i="9"/>
  <c r="H36" i="15" s="1"/>
  <c r="HS86" i="9"/>
  <c r="H84" i="15" s="1"/>
  <c r="HS150" i="9"/>
  <c r="H148" i="15" s="1"/>
  <c r="HS96" i="9"/>
  <c r="H94" i="15" s="1"/>
  <c r="GQ199" i="9"/>
  <c r="GQ38"/>
  <c r="GQ46"/>
  <c r="T152" i="12" l="1"/>
  <c r="P152" i="15"/>
  <c r="L72" i="12"/>
  <c r="L72" i="15"/>
  <c r="S189" i="12"/>
  <c r="O189" i="15"/>
  <c r="L44" i="12"/>
  <c r="L44" i="15"/>
  <c r="S172" i="12"/>
  <c r="O172" i="15"/>
  <c r="L156" i="12"/>
  <c r="L156" i="15"/>
  <c r="L136" i="12"/>
  <c r="L136" i="15"/>
  <c r="L120" i="12"/>
  <c r="L120" i="15"/>
  <c r="S96" i="12"/>
  <c r="O96" i="15"/>
  <c r="T52" i="12"/>
  <c r="P52" i="15"/>
  <c r="R44" i="12"/>
  <c r="N44" i="15"/>
  <c r="T193" i="12"/>
  <c r="P193" i="15"/>
  <c r="S173" i="12"/>
  <c r="O173" i="15"/>
  <c r="T149" i="12"/>
  <c r="P149" i="15"/>
  <c r="T133" i="12"/>
  <c r="P133" i="15"/>
  <c r="T105" i="12"/>
  <c r="P105" i="15"/>
  <c r="R69" i="12"/>
  <c r="N69" i="15"/>
  <c r="L53" i="12"/>
  <c r="L53" i="15"/>
  <c r="L41" i="12"/>
  <c r="L41" i="15"/>
  <c r="T202" i="12"/>
  <c r="P202" i="15"/>
  <c r="L190" i="12"/>
  <c r="L190" i="15"/>
  <c r="T174" i="12"/>
  <c r="P174" i="15"/>
  <c r="T162" i="12"/>
  <c r="P162" i="15"/>
  <c r="L150" i="12"/>
  <c r="L150" i="15"/>
  <c r="T134" i="12"/>
  <c r="P134" i="15"/>
  <c r="L114" i="12"/>
  <c r="L114" i="15"/>
  <c r="HA104" i="9"/>
  <c r="M102" i="15"/>
  <c r="S74" i="12"/>
  <c r="O74" i="15"/>
  <c r="T62" i="12"/>
  <c r="P62" i="15"/>
  <c r="L42" i="12"/>
  <c r="L42" i="15"/>
  <c r="L179" i="12"/>
  <c r="L179" i="15"/>
  <c r="S163" i="12"/>
  <c r="O163" i="15"/>
  <c r="S139" i="12"/>
  <c r="O139" i="15"/>
  <c r="T123" i="12"/>
  <c r="P123" i="15"/>
  <c r="L192" i="12"/>
  <c r="L192" i="15"/>
  <c r="T180" i="12"/>
  <c r="P180" i="15"/>
  <c r="S168" i="12"/>
  <c r="O168" i="15"/>
  <c r="S140" i="12"/>
  <c r="O140" i="15"/>
  <c r="HA126" i="9"/>
  <c r="M124" i="15"/>
  <c r="S116" i="12"/>
  <c r="O116" i="15"/>
  <c r="HA106" i="9"/>
  <c r="M104" i="15"/>
  <c r="T76" i="12"/>
  <c r="P76" i="15"/>
  <c r="L56" i="12"/>
  <c r="L56" i="15"/>
  <c r="HA50" i="9"/>
  <c r="M48" i="15"/>
  <c r="T197" i="12"/>
  <c r="P197" i="15"/>
  <c r="S181" i="12"/>
  <c r="O181" i="15"/>
  <c r="T169" i="12"/>
  <c r="P169" i="15"/>
  <c r="L149" i="12"/>
  <c r="L149" i="15"/>
  <c r="L121" i="12"/>
  <c r="L121" i="15"/>
  <c r="HA111" i="9"/>
  <c r="M109" i="15"/>
  <c r="L89" i="12"/>
  <c r="L89" i="15"/>
  <c r="R81" i="12"/>
  <c r="N81" i="15"/>
  <c r="T65" i="12"/>
  <c r="P65" i="15"/>
  <c r="R45" i="12"/>
  <c r="N45" i="15"/>
  <c r="S198" i="12"/>
  <c r="O198" i="15"/>
  <c r="L186" i="12"/>
  <c r="L186" i="15"/>
  <c r="T178" i="12"/>
  <c r="P178" i="15"/>
  <c r="T122" i="12"/>
  <c r="P122" i="15"/>
  <c r="T102" i="12"/>
  <c r="P102" i="15"/>
  <c r="HA92" i="9"/>
  <c r="M90" i="15"/>
  <c r="R82" i="12"/>
  <c r="N82" i="15"/>
  <c r="R188" i="12"/>
  <c r="N188" i="15"/>
  <c r="T172" i="12"/>
  <c r="P172" i="15"/>
  <c r="T156" i="12"/>
  <c r="P156" i="15"/>
  <c r="T128" i="12"/>
  <c r="P128" i="15"/>
  <c r="S88" i="12"/>
  <c r="O88" i="15"/>
  <c r="HA66" i="9"/>
  <c r="M64" i="15"/>
  <c r="R56" i="12"/>
  <c r="N56" i="15"/>
  <c r="S177" i="12"/>
  <c r="O177" i="15"/>
  <c r="L141" i="12"/>
  <c r="L141" i="15"/>
  <c r="L133" i="12"/>
  <c r="L133" i="15"/>
  <c r="T121" i="12"/>
  <c r="P121" i="15"/>
  <c r="S109" i="12"/>
  <c r="O109" i="15"/>
  <c r="R101" i="12"/>
  <c r="N101" i="15"/>
  <c r="T85" i="12"/>
  <c r="P85" i="15"/>
  <c r="R77" i="12"/>
  <c r="N77" i="15"/>
  <c r="L61" i="12"/>
  <c r="L61" i="15"/>
  <c r="L45" i="12"/>
  <c r="L45" i="15"/>
  <c r="R178" i="12"/>
  <c r="N178" i="15"/>
  <c r="T166" i="12"/>
  <c r="P166" i="15"/>
  <c r="R146" i="12"/>
  <c r="N146" i="15"/>
  <c r="S122" i="12"/>
  <c r="O122" i="15"/>
  <c r="S106" i="12"/>
  <c r="O106" i="15"/>
  <c r="R66" i="12"/>
  <c r="N66" i="15"/>
  <c r="R42" i="12"/>
  <c r="N42" i="15"/>
  <c r="R191" i="12"/>
  <c r="N191" i="15"/>
  <c r="R179" i="12"/>
  <c r="N179" i="15"/>
  <c r="R159" i="12"/>
  <c r="N159" i="15"/>
  <c r="T143" i="12"/>
  <c r="P143" i="15"/>
  <c r="S135" i="12"/>
  <c r="O135" i="15"/>
  <c r="S127" i="12"/>
  <c r="O127" i="15"/>
  <c r="R180" i="12"/>
  <c r="N180" i="15"/>
  <c r="S164" i="12"/>
  <c r="O164" i="15"/>
  <c r="S148" i="12"/>
  <c r="O148" i="15"/>
  <c r="R140" i="12"/>
  <c r="N140" i="15"/>
  <c r="S124" i="12"/>
  <c r="O124" i="15"/>
  <c r="R108" i="12"/>
  <c r="N108" i="15"/>
  <c r="T96" i="12"/>
  <c r="P96" i="15"/>
  <c r="T84" i="12"/>
  <c r="P84" i="15"/>
  <c r="L48" i="12"/>
  <c r="L48" i="15"/>
  <c r="S193" i="12"/>
  <c r="O193" i="15"/>
  <c r="T185" i="12"/>
  <c r="P185" i="15"/>
  <c r="S161" i="12"/>
  <c r="O161" i="15"/>
  <c r="S153" i="12"/>
  <c r="O153" i="15"/>
  <c r="R141" i="12"/>
  <c r="N141" i="15"/>
  <c r="L113" i="12"/>
  <c r="L113" i="15"/>
  <c r="S65" i="12"/>
  <c r="O65" i="15"/>
  <c r="T57" i="12"/>
  <c r="P57" i="15"/>
  <c r="R186" i="12"/>
  <c r="N186" i="15"/>
  <c r="R115" i="12"/>
  <c r="N115" i="15"/>
  <c r="T103" i="12"/>
  <c r="P103" i="15"/>
  <c r="S71" i="12"/>
  <c r="O71" i="15"/>
  <c r="R51" i="12"/>
  <c r="N51" i="15"/>
  <c r="S167" i="12"/>
  <c r="O167" i="15"/>
  <c r="T155" i="12"/>
  <c r="P155" i="15"/>
  <c r="S103" i="12"/>
  <c r="O103" i="15"/>
  <c r="T87" i="12"/>
  <c r="P87" i="15"/>
  <c r="T55" i="12"/>
  <c r="P55" i="15"/>
  <c r="R162" i="12"/>
  <c r="N162" i="15"/>
  <c r="T146" i="12"/>
  <c r="P146" i="15"/>
  <c r="R130" i="12"/>
  <c r="N130" i="15"/>
  <c r="R122" i="12"/>
  <c r="N122" i="15"/>
  <c r="S110" i="12"/>
  <c r="O110" i="15"/>
  <c r="S90" i="12"/>
  <c r="O90" i="15"/>
  <c r="S66" i="12"/>
  <c r="O66" i="15"/>
  <c r="L58" i="12"/>
  <c r="L58" i="15"/>
  <c r="L139" i="12"/>
  <c r="L139" i="15"/>
  <c r="R95" i="12"/>
  <c r="N95" i="15"/>
  <c r="T51" i="12"/>
  <c r="P51" i="15"/>
  <c r="T95" i="12"/>
  <c r="P95" i="15"/>
  <c r="R83" i="12"/>
  <c r="N83" i="15"/>
  <c r="L51" i="12"/>
  <c r="L51" i="15"/>
  <c r="R151" i="12"/>
  <c r="N151" i="15"/>
  <c r="L119" i="12"/>
  <c r="L119" i="15"/>
  <c r="S99" i="12"/>
  <c r="O99" i="15"/>
  <c r="L75" i="12"/>
  <c r="L75" i="15"/>
  <c r="T63" i="12"/>
  <c r="P63" i="15"/>
  <c r="T47" i="12"/>
  <c r="P47" i="15"/>
  <c r="T66" i="12"/>
  <c r="P66" i="15"/>
  <c r="T46" i="12"/>
  <c r="P46" i="15"/>
  <c r="L199" i="12"/>
  <c r="L199" i="15"/>
  <c r="S159" i="12"/>
  <c r="O159" i="15"/>
  <c r="T135" i="12"/>
  <c r="P135" i="15"/>
  <c r="S119" i="12"/>
  <c r="O119" i="15"/>
  <c r="S55" i="12"/>
  <c r="O55" i="15"/>
  <c r="U195" i="12"/>
  <c r="Q195" i="15"/>
  <c r="U179" i="12"/>
  <c r="Q179" i="15"/>
  <c r="U163" i="12"/>
  <c r="Q163" i="15"/>
  <c r="U147" i="12"/>
  <c r="Q147" i="15"/>
  <c r="U131" i="12"/>
  <c r="Q131" i="15"/>
  <c r="U115" i="12"/>
  <c r="Q115" i="15"/>
  <c r="U99" i="12"/>
  <c r="Q99" i="15"/>
  <c r="U83" i="12"/>
  <c r="Q83" i="15"/>
  <c r="U67" i="12"/>
  <c r="Q67" i="15"/>
  <c r="U51" i="12"/>
  <c r="Q51" i="15"/>
  <c r="U204" i="12"/>
  <c r="Q204" i="15"/>
  <c r="U192" i="12"/>
  <c r="Q192" i="15"/>
  <c r="U176" i="12"/>
  <c r="Q176" i="15"/>
  <c r="U160" i="12"/>
  <c r="Q160" i="15"/>
  <c r="U144" i="12"/>
  <c r="Q144" i="15"/>
  <c r="U128" i="12"/>
  <c r="Q128" i="15"/>
  <c r="U112" i="12"/>
  <c r="Q112" i="15"/>
  <c r="U96" i="12"/>
  <c r="Q96" i="15"/>
  <c r="U80" i="12"/>
  <c r="Q80" i="15"/>
  <c r="U64" i="12"/>
  <c r="Q64" i="15"/>
  <c r="U48" i="12"/>
  <c r="Q48" i="15"/>
  <c r="U201" i="12"/>
  <c r="Q201" i="15"/>
  <c r="U185" i="12"/>
  <c r="Q185" i="15"/>
  <c r="U169" i="12"/>
  <c r="Q169" i="15"/>
  <c r="U153" i="12"/>
  <c r="Q153" i="15"/>
  <c r="U137" i="12"/>
  <c r="Q137" i="15"/>
  <c r="U121" i="12"/>
  <c r="Q121" i="15"/>
  <c r="U105" i="12"/>
  <c r="Q105" i="15"/>
  <c r="U89" i="12"/>
  <c r="Q89" i="15"/>
  <c r="U73" i="12"/>
  <c r="Q73" i="15"/>
  <c r="U57" i="12"/>
  <c r="Q57" i="15"/>
  <c r="U41" i="12"/>
  <c r="Q41" i="15"/>
  <c r="U194" i="12"/>
  <c r="Q194" i="15"/>
  <c r="U178" i="12"/>
  <c r="Q178" i="15"/>
  <c r="U162" i="12"/>
  <c r="Q162" i="15"/>
  <c r="U146" i="12"/>
  <c r="Q146" i="15"/>
  <c r="U130" i="12"/>
  <c r="Q130" i="15"/>
  <c r="U114" i="12"/>
  <c r="Q114" i="15"/>
  <c r="U98" i="12"/>
  <c r="Q98" i="15"/>
  <c r="U82" i="12"/>
  <c r="Q82" i="15"/>
  <c r="U66" i="12"/>
  <c r="Q66" i="15"/>
  <c r="U50" i="12"/>
  <c r="Q50" i="15"/>
  <c r="U199" i="12"/>
  <c r="Q199" i="15"/>
  <c r="U183" i="12"/>
  <c r="Q183" i="15"/>
  <c r="U167" i="12"/>
  <c r="Q167" i="15"/>
  <c r="U151" i="12"/>
  <c r="Q151" i="15"/>
  <c r="U148" i="12"/>
  <c r="Q148" i="15"/>
  <c r="U76" i="12"/>
  <c r="Q76" i="15"/>
  <c r="U60" i="12"/>
  <c r="Q60" i="15"/>
  <c r="U189" i="12"/>
  <c r="Q189" i="15"/>
  <c r="U45" i="12"/>
  <c r="Q45" i="15"/>
  <c r="U198" i="12"/>
  <c r="Q198" i="15"/>
  <c r="U158" i="12"/>
  <c r="Q158" i="15"/>
  <c r="U102" i="12"/>
  <c r="Q102" i="15"/>
  <c r="U46" i="12"/>
  <c r="Q46" i="15"/>
  <c r="U203" i="12"/>
  <c r="Q203" i="15"/>
  <c r="R48" i="12"/>
  <c r="N48" i="15"/>
  <c r="L165" i="12"/>
  <c r="L165" i="15"/>
  <c r="S184" i="12"/>
  <c r="O184" i="15"/>
  <c r="R200" i="12"/>
  <c r="N200" i="15"/>
  <c r="S160" i="12"/>
  <c r="O160" i="15"/>
  <c r="L140" i="12"/>
  <c r="L140" i="15"/>
  <c r="S128" i="12"/>
  <c r="O128" i="15"/>
  <c r="L108" i="12"/>
  <c r="L108" i="15"/>
  <c r="L60" i="12"/>
  <c r="L60" i="15"/>
  <c r="T44" i="12"/>
  <c r="P44" i="15"/>
  <c r="R36" i="12"/>
  <c r="N36" i="15"/>
  <c r="L173" i="12"/>
  <c r="L173" i="15"/>
  <c r="T153" i="12"/>
  <c r="P153" i="15"/>
  <c r="S137" i="12"/>
  <c r="O137" i="15"/>
  <c r="L105" i="12"/>
  <c r="L105" i="15"/>
  <c r="L69" i="12"/>
  <c r="L69" i="15"/>
  <c r="R57" i="12"/>
  <c r="N57" i="15"/>
  <c r="HA47" i="9"/>
  <c r="M45" i="15"/>
  <c r="L204" i="12"/>
  <c r="L204" i="15"/>
  <c r="T194" i="12"/>
  <c r="P194" i="15"/>
  <c r="L182" i="12"/>
  <c r="L182" i="15"/>
  <c r="T150" i="12"/>
  <c r="P150" i="15"/>
  <c r="T138" i="12"/>
  <c r="P138" i="15"/>
  <c r="T106" i="12"/>
  <c r="P106" i="15"/>
  <c r="L66" i="12"/>
  <c r="L66" i="15"/>
  <c r="T50" i="12"/>
  <c r="P50" i="15"/>
  <c r="T191" i="12"/>
  <c r="P191" i="15"/>
  <c r="R167" i="12"/>
  <c r="N167" i="15"/>
  <c r="L151" i="12"/>
  <c r="L151" i="15"/>
  <c r="HA125" i="9"/>
  <c r="M123" i="15"/>
  <c r="L200" i="12"/>
  <c r="L200" i="15"/>
  <c r="L188" i="12"/>
  <c r="L188" i="15"/>
  <c r="T184" i="12"/>
  <c r="P184" i="15"/>
  <c r="T168" i="12"/>
  <c r="P168" i="15"/>
  <c r="L124" i="12"/>
  <c r="L124" i="15"/>
  <c r="T116" i="12"/>
  <c r="P116" i="15"/>
  <c r="T108" i="12"/>
  <c r="P108" i="15"/>
  <c r="T88" i="12"/>
  <c r="P88" i="15"/>
  <c r="R76" i="12"/>
  <c r="N76" i="15"/>
  <c r="S60" i="12"/>
  <c r="O60" i="15"/>
  <c r="S48" i="12"/>
  <c r="O48" i="15"/>
  <c r="S197" i="12"/>
  <c r="O197" i="15"/>
  <c r="L153" i="12"/>
  <c r="L153" i="15"/>
  <c r="L137" i="12"/>
  <c r="L137" i="15"/>
  <c r="S125" i="12"/>
  <c r="O125" i="15"/>
  <c r="L109" i="12"/>
  <c r="L109" i="15"/>
  <c r="S93" i="12"/>
  <c r="O93" i="15"/>
  <c r="L81" i="12"/>
  <c r="L81" i="15"/>
  <c r="S73" i="12"/>
  <c r="O73" i="15"/>
  <c r="R53" i="12"/>
  <c r="N53" i="15"/>
  <c r="R190" i="12"/>
  <c r="N190" i="15"/>
  <c r="L178" i="12"/>
  <c r="L178" i="15"/>
  <c r="R154" i="12"/>
  <c r="N154" i="15"/>
  <c r="R106" i="12"/>
  <c r="N106" i="15"/>
  <c r="L82" i="12"/>
  <c r="L82" i="15"/>
  <c r="T196" i="12"/>
  <c r="P196" i="15"/>
  <c r="L172" i="12"/>
  <c r="L172" i="15"/>
  <c r="HA158" i="9"/>
  <c r="M156" i="15"/>
  <c r="T144" i="12"/>
  <c r="P144" i="15"/>
  <c r="R120" i="12"/>
  <c r="N120" i="15"/>
  <c r="R92" i="12"/>
  <c r="N92" i="15"/>
  <c r="T72" i="12"/>
  <c r="P72" i="15"/>
  <c r="S56" i="12"/>
  <c r="O56" i="15"/>
  <c r="T177" i="12"/>
  <c r="P177" i="15"/>
  <c r="HA151" i="9"/>
  <c r="M149" i="15"/>
  <c r="S133" i="12"/>
  <c r="O133" i="15"/>
  <c r="T125" i="12"/>
  <c r="P125" i="15"/>
  <c r="S113" i="12"/>
  <c r="O113" i="15"/>
  <c r="L101" i="12"/>
  <c r="L101" i="15"/>
  <c r="R93" i="12"/>
  <c r="N93" i="15"/>
  <c r="T81" i="12"/>
  <c r="P81" i="15"/>
  <c r="T49" i="12"/>
  <c r="P49" i="15"/>
  <c r="T198" i="12"/>
  <c r="P198" i="15"/>
  <c r="S182" i="12"/>
  <c r="O182" i="15"/>
  <c r="L166" i="12"/>
  <c r="L166" i="15"/>
  <c r="S150" i="12"/>
  <c r="O150" i="15"/>
  <c r="T126" i="12"/>
  <c r="P126" i="15"/>
  <c r="T94" i="12"/>
  <c r="P94" i="15"/>
  <c r="R50" i="12"/>
  <c r="N50" i="15"/>
  <c r="T203" i="12"/>
  <c r="P203" i="15"/>
  <c r="T171" i="12"/>
  <c r="P171" i="15"/>
  <c r="L143" i="12"/>
  <c r="L143" i="15"/>
  <c r="T139" i="12"/>
  <c r="P139" i="15"/>
  <c r="L127" i="12"/>
  <c r="L127" i="15"/>
  <c r="T200" i="12"/>
  <c r="P200" i="15"/>
  <c r="L184" i="12"/>
  <c r="L184" i="15"/>
  <c r="T164" i="12"/>
  <c r="P164" i="15"/>
  <c r="T148" i="12"/>
  <c r="P148" i="15"/>
  <c r="T140" i="12"/>
  <c r="P140" i="15"/>
  <c r="L132" i="12"/>
  <c r="L132" i="15"/>
  <c r="R112" i="12"/>
  <c r="N112" i="15"/>
  <c r="T100" i="12"/>
  <c r="P100" i="15"/>
  <c r="R88" i="12"/>
  <c r="N88" i="15"/>
  <c r="T60" i="12"/>
  <c r="P60" i="15"/>
  <c r="T36" i="12"/>
  <c r="P36" i="15"/>
  <c r="L185" i="12"/>
  <c r="L185" i="15"/>
  <c r="L169" i="12"/>
  <c r="L169" i="15"/>
  <c r="R153" i="12"/>
  <c r="N153" i="15"/>
  <c r="T141" i="12"/>
  <c r="P141" i="15"/>
  <c r="L125" i="12"/>
  <c r="L125" i="15"/>
  <c r="T117" i="12"/>
  <c r="P117" i="15"/>
  <c r="T93" i="12"/>
  <c r="P93" i="15"/>
  <c r="T69" i="12"/>
  <c r="P69" i="15"/>
  <c r="L57" i="12"/>
  <c r="L57" i="15"/>
  <c r="S37" i="12"/>
  <c r="O37" i="15"/>
  <c r="S190" i="12"/>
  <c r="O190" i="15"/>
  <c r="S170" i="12"/>
  <c r="O170" i="15"/>
  <c r="R103" i="12"/>
  <c r="N103" i="15"/>
  <c r="L79" i="12"/>
  <c r="L79" i="15"/>
  <c r="R71" i="12"/>
  <c r="N71" i="15"/>
  <c r="L55" i="12"/>
  <c r="L55" i="15"/>
  <c r="T43" i="12"/>
  <c r="P43" i="15"/>
  <c r="T159" i="12"/>
  <c r="P159" i="15"/>
  <c r="T111" i="12"/>
  <c r="P111" i="15"/>
  <c r="R91" i="12"/>
  <c r="N91" i="15"/>
  <c r="R63" i="12"/>
  <c r="N63" i="15"/>
  <c r="L162" i="12"/>
  <c r="L162" i="15"/>
  <c r="R150" i="12"/>
  <c r="N150" i="15"/>
  <c r="S138" i="12"/>
  <c r="O138" i="15"/>
  <c r="L122" i="12"/>
  <c r="L122" i="15"/>
  <c r="T114" i="12"/>
  <c r="P114" i="15"/>
  <c r="R90" i="12"/>
  <c r="N90" i="15"/>
  <c r="S82" i="12"/>
  <c r="O82" i="15"/>
  <c r="L203" i="12"/>
  <c r="L203" i="15"/>
  <c r="HA149" i="9"/>
  <c r="M147" i="15"/>
  <c r="S107" i="12"/>
  <c r="O107" i="15"/>
  <c r="L63" i="12"/>
  <c r="L63" i="15"/>
  <c r="S95" i="12"/>
  <c r="O95" i="15"/>
  <c r="R87" i="12"/>
  <c r="N87" i="15"/>
  <c r="L59" i="12"/>
  <c r="L59" i="15"/>
  <c r="HA145" i="9"/>
  <c r="M143" i="15"/>
  <c r="S87" i="12"/>
  <c r="O87" i="15"/>
  <c r="R55" i="12"/>
  <c r="N55" i="15"/>
  <c r="S70" i="12"/>
  <c r="O70" i="15"/>
  <c r="L46" i="12"/>
  <c r="L46" i="15"/>
  <c r="S203" i="12"/>
  <c r="O203" i="15"/>
  <c r="S191" i="12"/>
  <c r="O191" i="15"/>
  <c r="T183" i="12"/>
  <c r="P183" i="15"/>
  <c r="T163" i="12"/>
  <c r="P163" i="15"/>
  <c r="L123" i="12"/>
  <c r="L123" i="15"/>
  <c r="S51" i="12"/>
  <c r="O51" i="15"/>
  <c r="T39" i="12"/>
  <c r="P39" i="15"/>
  <c r="U135" i="12"/>
  <c r="Q135" i="15"/>
  <c r="U119" i="12"/>
  <c r="Q119" i="15"/>
  <c r="U103" i="12"/>
  <c r="Q103" i="15"/>
  <c r="U87" i="12"/>
  <c r="Q87" i="15"/>
  <c r="U71" i="12"/>
  <c r="Q71" i="15"/>
  <c r="U55" i="12"/>
  <c r="Q55" i="15"/>
  <c r="U39" i="12"/>
  <c r="Q39" i="15"/>
  <c r="U188" i="12"/>
  <c r="Q188" i="15"/>
  <c r="U172" i="12"/>
  <c r="Q172" i="15"/>
  <c r="U132" i="12"/>
  <c r="Q132" i="15"/>
  <c r="U116" i="12"/>
  <c r="Q116" i="15"/>
  <c r="U100" i="12"/>
  <c r="Q100" i="15"/>
  <c r="U84" i="12"/>
  <c r="Q84" i="15"/>
  <c r="U44" i="12"/>
  <c r="Q44" i="15"/>
  <c r="U173" i="12"/>
  <c r="Q173" i="15"/>
  <c r="U149" i="12"/>
  <c r="Q149" i="15"/>
  <c r="U133" i="12"/>
  <c r="Q133" i="15"/>
  <c r="U117" i="12"/>
  <c r="Q117" i="15"/>
  <c r="U101" i="12"/>
  <c r="Q101" i="15"/>
  <c r="U85" i="12"/>
  <c r="Q85" i="15"/>
  <c r="U69" i="12"/>
  <c r="Q69" i="15"/>
  <c r="U53" i="12"/>
  <c r="Q53" i="15"/>
  <c r="U182" i="12"/>
  <c r="Q182" i="15"/>
  <c r="U142" i="12"/>
  <c r="Q142" i="15"/>
  <c r="U126" i="12"/>
  <c r="Q126" i="15"/>
  <c r="U110" i="12"/>
  <c r="Q110" i="15"/>
  <c r="U86" i="12"/>
  <c r="Q86" i="15"/>
  <c r="U70" i="12"/>
  <c r="Q70" i="15"/>
  <c r="L36" i="12"/>
  <c r="L36" i="15"/>
  <c r="S92" i="12"/>
  <c r="O92" i="15"/>
  <c r="L197" i="12"/>
  <c r="L197" i="15"/>
  <c r="L176" i="12"/>
  <c r="L176" i="15"/>
  <c r="R164" i="12"/>
  <c r="N164" i="15"/>
  <c r="L148" i="12"/>
  <c r="L148" i="15"/>
  <c r="T112" i="12"/>
  <c r="P112" i="15"/>
  <c r="L88" i="12"/>
  <c r="L88" i="15"/>
  <c r="T68" i="12"/>
  <c r="P68" i="15"/>
  <c r="T40" i="12"/>
  <c r="P40" i="15"/>
  <c r="S185" i="12"/>
  <c r="O185" i="15"/>
  <c r="L161" i="12"/>
  <c r="L161" i="15"/>
  <c r="R137" i="12"/>
  <c r="N137" i="15"/>
  <c r="R113" i="12"/>
  <c r="N113" i="15"/>
  <c r="T89" i="12"/>
  <c r="P89" i="15"/>
  <c r="S57" i="12"/>
  <c r="O57" i="15"/>
  <c r="T45" i="12"/>
  <c r="P45" i="15"/>
  <c r="T37" i="12"/>
  <c r="P37" i="15"/>
  <c r="T186" i="12"/>
  <c r="P186" i="15"/>
  <c r="S166" i="12"/>
  <c r="O166" i="15"/>
  <c r="S154" i="12"/>
  <c r="O154" i="15"/>
  <c r="R142" i="12"/>
  <c r="N142" i="15"/>
  <c r="T130" i="12"/>
  <c r="P130" i="15"/>
  <c r="L106" i="12"/>
  <c r="L106" i="15"/>
  <c r="T78" i="12"/>
  <c r="P78" i="15"/>
  <c r="T70" i="12"/>
  <c r="P70" i="15"/>
  <c r="S54" i="12"/>
  <c r="O54" i="15"/>
  <c r="L195" i="12"/>
  <c r="L195" i="15"/>
  <c r="S171" i="12"/>
  <c r="O171" i="15"/>
  <c r="L155" i="12"/>
  <c r="L155" i="15"/>
  <c r="L135" i="12"/>
  <c r="L135" i="15"/>
  <c r="R119" i="12"/>
  <c r="N119" i="15"/>
  <c r="S188" i="12"/>
  <c r="O188" i="15"/>
  <c r="T176" i="12"/>
  <c r="P176" i="15"/>
  <c r="S152" i="12"/>
  <c r="O152" i="15"/>
  <c r="T120" i="12"/>
  <c r="P120" i="15"/>
  <c r="HA114" i="9"/>
  <c r="M112" i="15"/>
  <c r="T92" i="12"/>
  <c r="P92" i="15"/>
  <c r="T80" i="12"/>
  <c r="P80" i="15"/>
  <c r="R52" i="12"/>
  <c r="N52" i="15"/>
  <c r="S36" i="12"/>
  <c r="O36" i="15"/>
  <c r="T189" i="12"/>
  <c r="P189" i="15"/>
  <c r="T173" i="12"/>
  <c r="P173" i="15"/>
  <c r="S157" i="12"/>
  <c r="O157" i="15"/>
  <c r="L145" i="12"/>
  <c r="L145" i="15"/>
  <c r="T129" i="12"/>
  <c r="P129" i="15"/>
  <c r="L97" i="12"/>
  <c r="L97" i="15"/>
  <c r="S85" i="12"/>
  <c r="O85" i="15"/>
  <c r="T73" i="12"/>
  <c r="P73" i="15"/>
  <c r="HA59" i="9"/>
  <c r="M57" i="15"/>
  <c r="L37" i="12"/>
  <c r="L37" i="15"/>
  <c r="HA196" i="9"/>
  <c r="M194" i="15"/>
  <c r="T182" i="12"/>
  <c r="P182" i="15"/>
  <c r="T170" i="12"/>
  <c r="P170" i="15"/>
  <c r="L130" i="12"/>
  <c r="L130" i="15"/>
  <c r="T110" i="12"/>
  <c r="P110" i="15"/>
  <c r="R94" i="12"/>
  <c r="N94" i="15"/>
  <c r="T86" i="12"/>
  <c r="P86" i="15"/>
  <c r="S200" i="12"/>
  <c r="O200" i="15"/>
  <c r="L164" i="12"/>
  <c r="L164" i="15"/>
  <c r="HA150" i="9"/>
  <c r="M148" i="15"/>
  <c r="R124" i="12"/>
  <c r="N124" i="15"/>
  <c r="S100" i="12"/>
  <c r="O100" i="15"/>
  <c r="L76" i="12"/>
  <c r="L76" i="15"/>
  <c r="T201" i="12"/>
  <c r="P201" i="15"/>
  <c r="T181" i="12"/>
  <c r="P181" i="15"/>
  <c r="T157" i="12"/>
  <c r="P157" i="15"/>
  <c r="T137" i="12"/>
  <c r="P137" i="15"/>
  <c r="S117" i="12"/>
  <c r="O117" i="15"/>
  <c r="R105" i="12"/>
  <c r="N105" i="15"/>
  <c r="T97" i="12"/>
  <c r="P97" i="15"/>
  <c r="HA51" i="9"/>
  <c r="M49" i="15"/>
  <c r="T204" i="12"/>
  <c r="P204" i="15"/>
  <c r="R182" i="12"/>
  <c r="N182" i="15"/>
  <c r="L170" i="12"/>
  <c r="L170" i="15"/>
  <c r="T154" i="12"/>
  <c r="P154" i="15"/>
  <c r="S130" i="12"/>
  <c r="O130" i="15"/>
  <c r="L110" i="12"/>
  <c r="L110" i="15"/>
  <c r="T98" i="12"/>
  <c r="P98" i="15"/>
  <c r="L54" i="12"/>
  <c r="L54" i="15"/>
  <c r="T187" i="12"/>
  <c r="P187" i="15"/>
  <c r="L171" i="12"/>
  <c r="L171" i="15"/>
  <c r="L147" i="12"/>
  <c r="L147" i="15"/>
  <c r="R139" i="12"/>
  <c r="N139" i="15"/>
  <c r="R127" i="12"/>
  <c r="N127" i="15"/>
  <c r="L115" i="12"/>
  <c r="L115" i="15"/>
  <c r="R192" i="12"/>
  <c r="N192" i="15"/>
  <c r="R144" i="12"/>
  <c r="N144" i="15"/>
  <c r="S136" i="12"/>
  <c r="O136" i="15"/>
  <c r="L100" i="12"/>
  <c r="L100" i="15"/>
  <c r="L92" i="12"/>
  <c r="L92" i="15"/>
  <c r="T64" i="12"/>
  <c r="P64" i="15"/>
  <c r="L40" i="12"/>
  <c r="L40" i="15"/>
  <c r="R189" i="12"/>
  <c r="N189" i="15"/>
  <c r="L181" i="12"/>
  <c r="L181" i="15"/>
  <c r="L157" i="12"/>
  <c r="L157" i="15"/>
  <c r="T145" i="12"/>
  <c r="P145" i="15"/>
  <c r="S129" i="12"/>
  <c r="O129" i="15"/>
  <c r="S101" i="12"/>
  <c r="O101" i="15"/>
  <c r="T77" i="12"/>
  <c r="P77" i="15"/>
  <c r="R61" i="12"/>
  <c r="N61" i="15"/>
  <c r="S49" i="12"/>
  <c r="O49" i="15"/>
  <c r="S194" i="12"/>
  <c r="O194" i="15"/>
  <c r="T107" i="12"/>
  <c r="P107" i="15"/>
  <c r="T79" i="12"/>
  <c r="P79" i="15"/>
  <c r="S75" i="12"/>
  <c r="O75" i="15"/>
  <c r="S59" i="12"/>
  <c r="O59" i="15"/>
  <c r="R47" i="12"/>
  <c r="N47" i="15"/>
  <c r="T179" i="12"/>
  <c r="P179" i="15"/>
  <c r="R163" i="12"/>
  <c r="N163" i="15"/>
  <c r="T119" i="12"/>
  <c r="P119" i="15"/>
  <c r="T83" i="12"/>
  <c r="P83" i="15"/>
  <c r="S39" i="12"/>
  <c r="O39" i="15"/>
  <c r="L154" i="12"/>
  <c r="L154" i="15"/>
  <c r="S146" i="12"/>
  <c r="O146" i="15"/>
  <c r="S114" i="12"/>
  <c r="O114" i="15"/>
  <c r="S86" i="12"/>
  <c r="O86" i="15"/>
  <c r="R203" i="12"/>
  <c r="N203" i="15"/>
  <c r="T151" i="12"/>
  <c r="P151" i="15"/>
  <c r="L67" i="12"/>
  <c r="L67" i="15"/>
  <c r="T99" i="12"/>
  <c r="P99" i="15"/>
  <c r="L87" i="12"/>
  <c r="L87" i="15"/>
  <c r="S67" i="12"/>
  <c r="O67" i="15"/>
  <c r="L39" i="12"/>
  <c r="L39" i="15"/>
  <c r="T147" i="12"/>
  <c r="P147" i="15"/>
  <c r="S115" i="12"/>
  <c r="O115" i="15"/>
  <c r="HA93" i="9"/>
  <c r="M91" i="15"/>
  <c r="T71" i="12"/>
  <c r="P71" i="15"/>
  <c r="T59" i="12"/>
  <c r="P59" i="15"/>
  <c r="T74" i="12"/>
  <c r="P74" i="15"/>
  <c r="T38" i="12"/>
  <c r="P38" i="15"/>
  <c r="L183" i="12"/>
  <c r="L183" i="15"/>
  <c r="T167" i="12"/>
  <c r="P167" i="15"/>
  <c r="T127" i="12"/>
  <c r="P127" i="15"/>
  <c r="L107" i="12"/>
  <c r="L107" i="15"/>
  <c r="S43" i="12"/>
  <c r="O43" i="15"/>
  <c r="U187" i="12"/>
  <c r="Q187" i="15"/>
  <c r="U171" i="12"/>
  <c r="Q171" i="15"/>
  <c r="U155" i="12"/>
  <c r="Q155" i="15"/>
  <c r="U139" i="12"/>
  <c r="Q139" i="15"/>
  <c r="U123" i="12"/>
  <c r="Q123" i="15"/>
  <c r="U107" i="12"/>
  <c r="Q107" i="15"/>
  <c r="U91" i="12"/>
  <c r="Q91" i="15"/>
  <c r="U75" i="12"/>
  <c r="Q75" i="15"/>
  <c r="U59" i="12"/>
  <c r="Q59" i="15"/>
  <c r="U43" i="12"/>
  <c r="Q43" i="15"/>
  <c r="U200" i="12"/>
  <c r="Q200" i="15"/>
  <c r="U184" i="12"/>
  <c r="Q184" i="15"/>
  <c r="U168" i="12"/>
  <c r="Q168" i="15"/>
  <c r="U152" i="12"/>
  <c r="Q152" i="15"/>
  <c r="U136" i="12"/>
  <c r="Q136" i="15"/>
  <c r="U120" i="12"/>
  <c r="Q120" i="15"/>
  <c r="U104" i="12"/>
  <c r="Q104" i="15"/>
  <c r="U88" i="12"/>
  <c r="Q88" i="15"/>
  <c r="U72" i="12"/>
  <c r="Q72" i="15"/>
  <c r="U56" i="12"/>
  <c r="Q56" i="15"/>
  <c r="U40" i="12"/>
  <c r="Q40" i="15"/>
  <c r="U193" i="12"/>
  <c r="Q193" i="15"/>
  <c r="U177" i="12"/>
  <c r="Q177" i="15"/>
  <c r="U161" i="12"/>
  <c r="Q161" i="15"/>
  <c r="U145" i="12"/>
  <c r="Q145" i="15"/>
  <c r="U129" i="12"/>
  <c r="Q129" i="15"/>
  <c r="U113" i="12"/>
  <c r="Q113" i="15"/>
  <c r="U97" i="12"/>
  <c r="Q97" i="15"/>
  <c r="U81" i="12"/>
  <c r="Q81" i="15"/>
  <c r="U65" i="12"/>
  <c r="Q65" i="15"/>
  <c r="U49" i="12"/>
  <c r="Q49" i="15"/>
  <c r="U202" i="12"/>
  <c r="Q202" i="15"/>
  <c r="U186" i="12"/>
  <c r="Q186" i="15"/>
  <c r="U170" i="12"/>
  <c r="Q170" i="15"/>
  <c r="U154" i="12"/>
  <c r="Q154" i="15"/>
  <c r="U138" i="12"/>
  <c r="Q138" i="15"/>
  <c r="U122" i="12"/>
  <c r="Q122" i="15"/>
  <c r="U106" i="12"/>
  <c r="Q106" i="15"/>
  <c r="U90" i="12"/>
  <c r="Q90" i="15"/>
  <c r="U74" i="12"/>
  <c r="Q74" i="15"/>
  <c r="U58" i="12"/>
  <c r="Q58" i="15"/>
  <c r="U42" i="12"/>
  <c r="Q42" i="15"/>
  <c r="U191" i="12"/>
  <c r="Q191" i="15"/>
  <c r="U175" i="12"/>
  <c r="Q175" i="15"/>
  <c r="U159" i="12"/>
  <c r="Q159" i="15"/>
  <c r="U143" i="12"/>
  <c r="Q143" i="15"/>
  <c r="U156" i="12"/>
  <c r="Q156" i="15"/>
  <c r="U68" i="12"/>
  <c r="Q68" i="15"/>
  <c r="U52" i="12"/>
  <c r="Q52" i="15"/>
  <c r="U197" i="12"/>
  <c r="Q197" i="15"/>
  <c r="U181" i="12"/>
  <c r="Q181" i="15"/>
  <c r="U157" i="12"/>
  <c r="Q157" i="15"/>
  <c r="U37" i="12"/>
  <c r="Q37" i="15"/>
  <c r="U190" i="12"/>
  <c r="Q190" i="15"/>
  <c r="U166" i="12"/>
  <c r="Q166" i="15"/>
  <c r="U94" i="12"/>
  <c r="Q94" i="15"/>
  <c r="U54" i="12"/>
  <c r="Q54" i="15"/>
  <c r="U38" i="12"/>
  <c r="Q38" i="15"/>
  <c r="L180" i="12"/>
  <c r="L180" i="15"/>
  <c r="L116" i="12"/>
  <c r="L116" i="15"/>
  <c r="R40" i="12"/>
  <c r="N40" i="15"/>
  <c r="S97" i="12"/>
  <c r="O97" i="15"/>
  <c r="T61" i="12"/>
  <c r="P61" i="15"/>
  <c r="S53" i="12"/>
  <c r="O53" i="15"/>
  <c r="HA43" i="9"/>
  <c r="M41" i="15"/>
  <c r="L202" i="12"/>
  <c r="L202" i="15"/>
  <c r="L174" i="12"/>
  <c r="L174" i="15"/>
  <c r="T142" i="12"/>
  <c r="P142" i="15"/>
  <c r="R134" i="12"/>
  <c r="N134" i="15"/>
  <c r="T82" i="12"/>
  <c r="P82" i="15"/>
  <c r="L70" i="12"/>
  <c r="L70" i="15"/>
  <c r="T54" i="12"/>
  <c r="P54" i="15"/>
  <c r="L38" i="12"/>
  <c r="L38" i="15"/>
  <c r="L175" i="12"/>
  <c r="L175" i="15"/>
  <c r="L159" i="12"/>
  <c r="L159" i="15"/>
  <c r="R135" i="12"/>
  <c r="N135" i="15"/>
  <c r="S123" i="12"/>
  <c r="O123" i="15"/>
  <c r="T188" i="12"/>
  <c r="P188" i="15"/>
  <c r="R176" i="12"/>
  <c r="N176" i="15"/>
  <c r="L160" i="12"/>
  <c r="L160" i="15"/>
  <c r="T132" i="12"/>
  <c r="P132" i="15"/>
  <c r="T124" i="12"/>
  <c r="P124" i="15"/>
  <c r="L112" i="12"/>
  <c r="L112" i="15"/>
  <c r="L96" i="12"/>
  <c r="L96" i="15"/>
  <c r="L80" i="12"/>
  <c r="L80" i="15"/>
  <c r="R72" i="12"/>
  <c r="N72" i="15"/>
  <c r="T56" i="12"/>
  <c r="P56" i="15"/>
  <c r="L193" i="12"/>
  <c r="L193" i="15"/>
  <c r="L177" i="12"/>
  <c r="L177" i="15"/>
  <c r="T165" i="12"/>
  <c r="P165" i="15"/>
  <c r="R149" i="12"/>
  <c r="N149" i="15"/>
  <c r="R133" i="12"/>
  <c r="N133" i="15"/>
  <c r="T113" i="12"/>
  <c r="P113" i="15"/>
  <c r="S105" i="12"/>
  <c r="O105" i="15"/>
  <c r="R89" i="12"/>
  <c r="N89" i="15"/>
  <c r="L77" i="12"/>
  <c r="L77" i="15"/>
  <c r="S61" i="12"/>
  <c r="O61" i="15"/>
  <c r="T41" i="12"/>
  <c r="P41" i="15"/>
  <c r="R194" i="12"/>
  <c r="N194" i="15"/>
  <c r="S186" i="12"/>
  <c r="O186" i="15"/>
  <c r="L118" i="12"/>
  <c r="L118" i="15"/>
  <c r="S94" i="12"/>
  <c r="O94" i="15"/>
  <c r="T90" i="12"/>
  <c r="P90" i="15"/>
  <c r="L78" i="12"/>
  <c r="L78" i="15"/>
  <c r="R184" i="12"/>
  <c r="N184" i="15"/>
  <c r="L168" i="12"/>
  <c r="L168" i="15"/>
  <c r="L152" i="12"/>
  <c r="L152" i="15"/>
  <c r="L128" i="12"/>
  <c r="L128" i="15"/>
  <c r="L104" i="12"/>
  <c r="L104" i="15"/>
  <c r="R60" i="12"/>
  <c r="N60" i="15"/>
  <c r="S40" i="12"/>
  <c r="O40" i="15"/>
  <c r="R193" i="12"/>
  <c r="N193" i="15"/>
  <c r="L129" i="12"/>
  <c r="L129" i="15"/>
  <c r="S121" i="12"/>
  <c r="O121" i="15"/>
  <c r="T109" i="12"/>
  <c r="P109" i="15"/>
  <c r="R97" i="12"/>
  <c r="N97" i="15"/>
  <c r="R85" i="12"/>
  <c r="N85" i="15"/>
  <c r="S77" i="12"/>
  <c r="O77" i="15"/>
  <c r="L49" i="12"/>
  <c r="L49" i="15"/>
  <c r="R37" i="12"/>
  <c r="N37" i="15"/>
  <c r="T190" i="12"/>
  <c r="P190" i="15"/>
  <c r="R174" i="12"/>
  <c r="N174" i="15"/>
  <c r="R138" i="12"/>
  <c r="N138" i="15"/>
  <c r="T118" i="12"/>
  <c r="P118" i="15"/>
  <c r="L98" i="12"/>
  <c r="L98" i="15"/>
  <c r="R86" i="12"/>
  <c r="N86" i="15"/>
  <c r="T58" i="12"/>
  <c r="P58" i="15"/>
  <c r="S38" i="12"/>
  <c r="O38" i="15"/>
  <c r="L187" i="12"/>
  <c r="L187" i="15"/>
  <c r="T175" i="12"/>
  <c r="P175" i="15"/>
  <c r="S151" i="12"/>
  <c r="O151" i="15"/>
  <c r="S143" i="12"/>
  <c r="O143" i="15"/>
  <c r="R123" i="12"/>
  <c r="N123" i="15"/>
  <c r="T192" i="12"/>
  <c r="P192" i="15"/>
  <c r="R172" i="12"/>
  <c r="N172" i="15"/>
  <c r="T160" i="12"/>
  <c r="P160" i="15"/>
  <c r="L144" i="12"/>
  <c r="L144" i="15"/>
  <c r="T136" i="12"/>
  <c r="P136" i="15"/>
  <c r="T104" i="12"/>
  <c r="P104" i="15"/>
  <c r="S68" i="12"/>
  <c r="O68" i="15"/>
  <c r="T48" i="12"/>
  <c r="P48" i="15"/>
  <c r="L189" i="12"/>
  <c r="L189" i="15"/>
  <c r="T161" i="12"/>
  <c r="P161" i="15"/>
  <c r="S149" i="12"/>
  <c r="O149" i="15"/>
  <c r="R129" i="12"/>
  <c r="N129" i="15"/>
  <c r="L117" i="12"/>
  <c r="L117" i="15"/>
  <c r="S81" i="12"/>
  <c r="O81" i="15"/>
  <c r="L65" i="12"/>
  <c r="L65" i="15"/>
  <c r="T53" i="12"/>
  <c r="P53" i="15"/>
  <c r="R204" i="12"/>
  <c r="N204" i="15"/>
  <c r="S178" i="12"/>
  <c r="O178" i="15"/>
  <c r="S91" i="12"/>
  <c r="O91" i="15"/>
  <c r="T75" i="12"/>
  <c r="P75" i="15"/>
  <c r="R67" i="12"/>
  <c r="N67" i="15"/>
  <c r="L47" i="12"/>
  <c r="L47" i="15"/>
  <c r="R183" i="12"/>
  <c r="N183" i="15"/>
  <c r="L163" i="12"/>
  <c r="L163" i="15"/>
  <c r="T131" i="12"/>
  <c r="P131" i="15"/>
  <c r="L99" i="12"/>
  <c r="L99" i="15"/>
  <c r="S83" i="12"/>
  <c r="O83" i="15"/>
  <c r="L43" i="12"/>
  <c r="L43" i="15"/>
  <c r="T158" i="12"/>
  <c r="P158" i="15"/>
  <c r="HA148" i="9"/>
  <c r="M146" i="15"/>
  <c r="S126" i="12"/>
  <c r="O126" i="15"/>
  <c r="L102" i="12"/>
  <c r="L102" i="15"/>
  <c r="L86" i="12"/>
  <c r="L86" i="15"/>
  <c r="S62" i="12"/>
  <c r="O62" i="15"/>
  <c r="S50" i="12"/>
  <c r="O50" i="15"/>
  <c r="T42" i="12"/>
  <c r="P42" i="15"/>
  <c r="T195" i="12"/>
  <c r="P195" i="15"/>
  <c r="T67" i="12"/>
  <c r="P67" i="15"/>
  <c r="L103" i="12"/>
  <c r="L103" i="15"/>
  <c r="T91" i="12"/>
  <c r="P91" i="15"/>
  <c r="L83" i="12"/>
  <c r="L83" i="15"/>
  <c r="R43" i="12"/>
  <c r="N43" i="15"/>
  <c r="R147" i="12"/>
  <c r="N147" i="15"/>
  <c r="L95" i="12"/>
  <c r="L95" i="15"/>
  <c r="R75" i="12"/>
  <c r="N75" i="15"/>
  <c r="S63" i="12"/>
  <c r="O63" i="15"/>
  <c r="L74" i="12"/>
  <c r="L74" i="15"/>
  <c r="S58" i="12"/>
  <c r="O58" i="15"/>
  <c r="S42" i="12"/>
  <c r="O42" i="15"/>
  <c r="T199" i="12"/>
  <c r="P199" i="15"/>
  <c r="S187" i="12"/>
  <c r="O187" i="15"/>
  <c r="L167" i="12"/>
  <c r="L167" i="15"/>
  <c r="R155" i="12"/>
  <c r="N155" i="15"/>
  <c r="R131" i="12"/>
  <c r="N131" i="15"/>
  <c r="T115" i="12"/>
  <c r="P115" i="15"/>
  <c r="S47" i="12"/>
  <c r="O47" i="15"/>
  <c r="U127" i="12"/>
  <c r="Q127" i="15"/>
  <c r="U111" i="12"/>
  <c r="Q111" i="15"/>
  <c r="U95" i="12"/>
  <c r="Q95" i="15"/>
  <c r="U79" i="12"/>
  <c r="Q79" i="15"/>
  <c r="U63" i="12"/>
  <c r="Q63" i="15"/>
  <c r="U47" i="12"/>
  <c r="Q47" i="15"/>
  <c r="U196" i="12"/>
  <c r="Q196" i="15"/>
  <c r="U180" i="12"/>
  <c r="Q180" i="15"/>
  <c r="U164" i="12"/>
  <c r="Q164" i="15"/>
  <c r="U140" i="12"/>
  <c r="Q140" i="15"/>
  <c r="U124" i="12"/>
  <c r="Q124" i="15"/>
  <c r="U108" i="12"/>
  <c r="Q108" i="15"/>
  <c r="U92" i="12"/>
  <c r="Q92" i="15"/>
  <c r="U36" i="12"/>
  <c r="Q36" i="15"/>
  <c r="U165" i="12"/>
  <c r="Q165" i="15"/>
  <c r="U141" i="12"/>
  <c r="Q141" i="15"/>
  <c r="U125" i="12"/>
  <c r="Q125" i="15"/>
  <c r="U109" i="12"/>
  <c r="Q109" i="15"/>
  <c r="U93" i="12"/>
  <c r="Q93" i="15"/>
  <c r="U77" i="12"/>
  <c r="Q77" i="15"/>
  <c r="U61" i="12"/>
  <c r="Q61" i="15"/>
  <c r="U174" i="12"/>
  <c r="Q174" i="15"/>
  <c r="U150" i="12"/>
  <c r="Q150" i="15"/>
  <c r="U134" i="12"/>
  <c r="Q134" i="15"/>
  <c r="U118" i="12"/>
  <c r="Q118" i="15"/>
  <c r="U78" i="12"/>
  <c r="Q78" i="15"/>
  <c r="U62" i="12"/>
  <c r="Q62" i="15"/>
  <c r="H94" i="12"/>
  <c r="J93" i="11"/>
  <c r="H181" i="12"/>
  <c r="J180" i="11"/>
  <c r="H36" i="12"/>
  <c r="J35" i="11"/>
  <c r="H157" i="12"/>
  <c r="J156" i="11"/>
  <c r="H84" i="12"/>
  <c r="J83" i="11"/>
  <c r="H53" i="12"/>
  <c r="J52" i="11"/>
  <c r="H158" i="12"/>
  <c r="J157" i="11"/>
  <c r="H143" i="12"/>
  <c r="J142" i="11"/>
  <c r="H195" i="12"/>
  <c r="J194" i="11"/>
  <c r="H179" i="12"/>
  <c r="J178" i="11"/>
  <c r="H163" i="12"/>
  <c r="J162" i="11"/>
  <c r="H147" i="12"/>
  <c r="J146" i="11"/>
  <c r="H131" i="12"/>
  <c r="J130" i="11"/>
  <c r="H115" i="12"/>
  <c r="J114" i="11"/>
  <c r="H99" i="12"/>
  <c r="J98" i="11"/>
  <c r="H83" i="12"/>
  <c r="J82" i="11"/>
  <c r="H67" i="12"/>
  <c r="J66" i="11"/>
  <c r="H51" i="12"/>
  <c r="J50" i="11"/>
  <c r="H204" i="12"/>
  <c r="J203" i="11"/>
  <c r="H192" i="12"/>
  <c r="J191" i="11"/>
  <c r="H176" i="12"/>
  <c r="J175" i="11"/>
  <c r="H160" i="12"/>
  <c r="J159" i="11"/>
  <c r="H144" i="12"/>
  <c r="J143" i="11"/>
  <c r="H128" i="12"/>
  <c r="J127" i="11"/>
  <c r="H112" i="12"/>
  <c r="J111" i="11"/>
  <c r="H96" i="12"/>
  <c r="J95" i="11"/>
  <c r="H80" i="12"/>
  <c r="J79" i="11"/>
  <c r="H64" i="12"/>
  <c r="J63" i="11"/>
  <c r="H48" i="12"/>
  <c r="J47" i="11"/>
  <c r="H201" i="12"/>
  <c r="J200" i="11"/>
  <c r="H185" i="12"/>
  <c r="J184" i="11"/>
  <c r="H169" i="12"/>
  <c r="J168" i="11"/>
  <c r="H153" i="12"/>
  <c r="J152" i="11"/>
  <c r="H137" i="12"/>
  <c r="J136" i="11"/>
  <c r="H121" i="12"/>
  <c r="J120" i="11"/>
  <c r="H105" i="12"/>
  <c r="J104" i="11"/>
  <c r="H89" i="12"/>
  <c r="J88" i="11"/>
  <c r="H73" i="12"/>
  <c r="J72" i="11"/>
  <c r="H57" i="12"/>
  <c r="J56" i="11"/>
  <c r="H41" i="12"/>
  <c r="J40" i="11"/>
  <c r="H194" i="12"/>
  <c r="J193" i="11"/>
  <c r="H178" i="12"/>
  <c r="J177" i="11"/>
  <c r="H162" i="12"/>
  <c r="J161" i="11"/>
  <c r="H146" i="12"/>
  <c r="J145" i="11"/>
  <c r="H130" i="12"/>
  <c r="J129" i="11"/>
  <c r="H114" i="12"/>
  <c r="J113" i="11"/>
  <c r="H98" i="12"/>
  <c r="J97" i="11"/>
  <c r="H82" i="12"/>
  <c r="J81" i="11"/>
  <c r="H66" i="12"/>
  <c r="J65" i="11"/>
  <c r="H50" i="12"/>
  <c r="J49" i="11"/>
  <c r="H199" i="12"/>
  <c r="J198" i="11"/>
  <c r="H183" i="12"/>
  <c r="J182" i="11"/>
  <c r="H167" i="12"/>
  <c r="J166" i="11"/>
  <c r="H151" i="12"/>
  <c r="J150" i="11"/>
  <c r="H76" i="12"/>
  <c r="J75" i="11"/>
  <c r="H60" i="12"/>
  <c r="J59" i="11"/>
  <c r="H189" i="12"/>
  <c r="J188" i="11"/>
  <c r="H45" i="12"/>
  <c r="J44" i="11"/>
  <c r="H198" i="12"/>
  <c r="J197" i="11"/>
  <c r="H102" i="12"/>
  <c r="J101" i="11"/>
  <c r="H46" i="12"/>
  <c r="J45" i="11"/>
  <c r="H203" i="12"/>
  <c r="J202" i="11"/>
  <c r="H148" i="12"/>
  <c r="J147" i="11"/>
  <c r="H165" i="12"/>
  <c r="J164" i="11"/>
  <c r="H52" i="12"/>
  <c r="J51" i="11"/>
  <c r="H62" i="12"/>
  <c r="J61" i="11"/>
  <c r="H135" i="12"/>
  <c r="J134" i="11"/>
  <c r="H119" i="12"/>
  <c r="J118" i="11"/>
  <c r="H103" i="12"/>
  <c r="J102" i="11"/>
  <c r="H87" i="12"/>
  <c r="J86" i="11"/>
  <c r="H71" i="12"/>
  <c r="J70" i="11"/>
  <c r="H55" i="12"/>
  <c r="J54" i="11"/>
  <c r="H39" i="12"/>
  <c r="J38" i="11"/>
  <c r="H188" i="12"/>
  <c r="J187" i="11"/>
  <c r="H172" i="12"/>
  <c r="J171" i="11"/>
  <c r="H132" i="12"/>
  <c r="J131" i="11"/>
  <c r="H116" i="12"/>
  <c r="J115" i="11"/>
  <c r="H100" i="12"/>
  <c r="J99" i="11"/>
  <c r="H44" i="12"/>
  <c r="J43" i="11"/>
  <c r="H173" i="12"/>
  <c r="J172" i="11"/>
  <c r="H149" i="12"/>
  <c r="J148" i="11"/>
  <c r="H133" i="12"/>
  <c r="J132" i="11"/>
  <c r="H117" i="12"/>
  <c r="J116" i="11"/>
  <c r="H101" i="12"/>
  <c r="J100" i="11"/>
  <c r="H85" i="12"/>
  <c r="J84" i="11"/>
  <c r="H69" i="12"/>
  <c r="J68" i="11"/>
  <c r="H182" i="12"/>
  <c r="J181" i="11"/>
  <c r="H142" i="12"/>
  <c r="J141" i="11"/>
  <c r="H126" i="12"/>
  <c r="J125" i="11"/>
  <c r="H86" i="12"/>
  <c r="J85" i="11"/>
  <c r="H70" i="12"/>
  <c r="J69" i="11"/>
  <c r="H164" i="12"/>
  <c r="J163" i="11"/>
  <c r="H110" i="12"/>
  <c r="J109" i="11"/>
  <c r="H187" i="12"/>
  <c r="J186" i="11"/>
  <c r="H171" i="12"/>
  <c r="J170" i="11"/>
  <c r="H155" i="12"/>
  <c r="J154" i="11"/>
  <c r="H139" i="12"/>
  <c r="J138" i="11"/>
  <c r="H123" i="12"/>
  <c r="J122" i="11"/>
  <c r="H107" i="12"/>
  <c r="J106" i="11"/>
  <c r="H91" i="12"/>
  <c r="J90" i="11"/>
  <c r="H75" i="12"/>
  <c r="J74" i="11"/>
  <c r="H59" i="12"/>
  <c r="J58" i="11"/>
  <c r="H43" i="12"/>
  <c r="J42" i="11"/>
  <c r="H200" i="12"/>
  <c r="J199" i="11"/>
  <c r="H184" i="12"/>
  <c r="J183" i="11"/>
  <c r="H168" i="12"/>
  <c r="J167" i="11"/>
  <c r="H152" i="12"/>
  <c r="J151" i="11"/>
  <c r="H136" i="12"/>
  <c r="J135" i="11"/>
  <c r="H120" i="12"/>
  <c r="J119" i="11"/>
  <c r="H104" i="12"/>
  <c r="J103" i="11"/>
  <c r="H88" i="12"/>
  <c r="J87" i="11"/>
  <c r="H72" i="12"/>
  <c r="J71" i="11"/>
  <c r="H56" i="12"/>
  <c r="J55" i="11"/>
  <c r="H40" i="12"/>
  <c r="J39" i="11"/>
  <c r="H193" i="12"/>
  <c r="J192" i="11"/>
  <c r="H177" i="12"/>
  <c r="J176" i="11"/>
  <c r="H161" i="12"/>
  <c r="J160" i="11"/>
  <c r="H145" i="12"/>
  <c r="J144" i="11"/>
  <c r="H129" i="12"/>
  <c r="J128" i="11"/>
  <c r="H113" i="12"/>
  <c r="J112" i="11"/>
  <c r="H97" i="12"/>
  <c r="J96" i="11"/>
  <c r="H81" i="12"/>
  <c r="J80" i="11"/>
  <c r="H65" i="12"/>
  <c r="J64" i="11"/>
  <c r="H49" i="12"/>
  <c r="J48" i="11"/>
  <c r="H202" i="12"/>
  <c r="J201" i="11"/>
  <c r="H186" i="12"/>
  <c r="J185" i="11"/>
  <c r="H170" i="12"/>
  <c r="J169" i="11"/>
  <c r="H154" i="12"/>
  <c r="J153" i="11"/>
  <c r="H138" i="12"/>
  <c r="J137" i="11"/>
  <c r="H122" i="12"/>
  <c r="J121" i="11"/>
  <c r="H106" i="12"/>
  <c r="J105" i="11"/>
  <c r="H90" i="12"/>
  <c r="J89" i="11"/>
  <c r="H74" i="12"/>
  <c r="J73" i="11"/>
  <c r="H58" i="12"/>
  <c r="J57" i="11"/>
  <c r="H42" i="12"/>
  <c r="J41" i="11"/>
  <c r="H191" i="12"/>
  <c r="J190" i="11"/>
  <c r="H175" i="12"/>
  <c r="J174" i="11"/>
  <c r="H159" i="12"/>
  <c r="J158" i="11"/>
  <c r="H156" i="12"/>
  <c r="J155" i="11"/>
  <c r="H68" i="12"/>
  <c r="J67" i="11"/>
  <c r="H197" i="12"/>
  <c r="J196" i="11"/>
  <c r="H37" i="12"/>
  <c r="J36" i="11"/>
  <c r="H166" i="12"/>
  <c r="J165" i="11"/>
  <c r="H54" i="12"/>
  <c r="J53" i="11"/>
  <c r="H38" i="12"/>
  <c r="J37" i="11"/>
  <c r="H190" i="12"/>
  <c r="J189" i="11"/>
  <c r="H174" i="12"/>
  <c r="J173" i="11"/>
  <c r="H127" i="12"/>
  <c r="J126" i="11"/>
  <c r="H111" i="12"/>
  <c r="J110" i="11"/>
  <c r="H95" i="12"/>
  <c r="J94" i="11"/>
  <c r="H79" i="12"/>
  <c r="J78" i="11"/>
  <c r="H63" i="12"/>
  <c r="J62" i="11"/>
  <c r="H47" i="12"/>
  <c r="J46" i="11"/>
  <c r="H196" i="12"/>
  <c r="J195" i="11"/>
  <c r="H180" i="12"/>
  <c r="J179" i="11"/>
  <c r="H140" i="12"/>
  <c r="J139" i="11"/>
  <c r="H124" i="12"/>
  <c r="J123" i="11"/>
  <c r="H108" i="12"/>
  <c r="J107" i="11"/>
  <c r="H92" i="12"/>
  <c r="J91" i="11"/>
  <c r="H141" i="12"/>
  <c r="J140" i="11"/>
  <c r="H125" i="12"/>
  <c r="J124" i="11"/>
  <c r="H109" i="12"/>
  <c r="J108" i="11"/>
  <c r="H93" i="12"/>
  <c r="J92" i="11"/>
  <c r="H77" i="12"/>
  <c r="J76" i="11"/>
  <c r="H61" i="12"/>
  <c r="J60" i="11"/>
  <c r="H150" i="12"/>
  <c r="J149" i="11"/>
  <c r="H134" i="12"/>
  <c r="J133" i="11"/>
  <c r="H118" i="12"/>
  <c r="J117" i="11"/>
  <c r="H78" i="12"/>
  <c r="J77" i="11"/>
  <c r="HW86" i="9"/>
  <c r="HY86"/>
  <c r="HW55"/>
  <c r="HY55"/>
  <c r="HW160"/>
  <c r="HY160"/>
  <c r="HW145"/>
  <c r="HY145"/>
  <c r="HW197"/>
  <c r="HY197"/>
  <c r="HW181"/>
  <c r="HY181"/>
  <c r="HW165"/>
  <c r="HY165"/>
  <c r="HW149"/>
  <c r="HY149"/>
  <c r="HW133"/>
  <c r="HY133"/>
  <c r="HW117"/>
  <c r="HY117"/>
  <c r="HW101"/>
  <c r="HY101"/>
  <c r="HW85"/>
  <c r="HY85"/>
  <c r="HW69"/>
  <c r="HY69"/>
  <c r="HW53"/>
  <c r="HY53"/>
  <c r="HW206"/>
  <c r="HY206"/>
  <c r="HW194"/>
  <c r="HY194"/>
  <c r="HW178"/>
  <c r="HY178"/>
  <c r="HW162"/>
  <c r="HY162"/>
  <c r="HW146"/>
  <c r="HY146"/>
  <c r="HW130"/>
  <c r="HY130"/>
  <c r="HW114"/>
  <c r="HY114"/>
  <c r="HW98"/>
  <c r="HY98"/>
  <c r="HW82"/>
  <c r="HY82"/>
  <c r="HW66"/>
  <c r="HY66"/>
  <c r="HW50"/>
  <c r="HY50"/>
  <c r="HW203"/>
  <c r="HY203"/>
  <c r="HW187"/>
  <c r="HY187"/>
  <c r="HW171"/>
  <c r="HY171"/>
  <c r="HW155"/>
  <c r="HY155"/>
  <c r="HW139"/>
  <c r="HY139"/>
  <c r="HW123"/>
  <c r="HY123"/>
  <c r="HW107"/>
  <c r="HY107"/>
  <c r="HW91"/>
  <c r="HY91"/>
  <c r="HW75"/>
  <c r="HY75"/>
  <c r="HW59"/>
  <c r="HY59"/>
  <c r="HW43"/>
  <c r="HY43"/>
  <c r="HW196"/>
  <c r="HY196"/>
  <c r="HW180"/>
  <c r="HY180"/>
  <c r="HW164"/>
  <c r="HY164"/>
  <c r="HW148"/>
  <c r="HY148"/>
  <c r="HW132"/>
  <c r="HY132"/>
  <c r="HW116"/>
  <c r="HY116"/>
  <c r="HW100"/>
  <c r="HY100"/>
  <c r="HW84"/>
  <c r="HY84"/>
  <c r="HW68"/>
  <c r="HY68"/>
  <c r="HW52"/>
  <c r="HY52"/>
  <c r="HW201"/>
  <c r="HY201"/>
  <c r="HW185"/>
  <c r="HY185"/>
  <c r="HW169"/>
  <c r="HY169"/>
  <c r="HW153"/>
  <c r="HY153"/>
  <c r="HW78"/>
  <c r="HY78"/>
  <c r="HW62"/>
  <c r="HY62"/>
  <c r="HW191"/>
  <c r="HY191"/>
  <c r="HW47"/>
  <c r="HY47"/>
  <c r="HW200"/>
  <c r="HY200"/>
  <c r="HW104"/>
  <c r="HY104"/>
  <c r="HW48"/>
  <c r="HY48"/>
  <c r="HW205"/>
  <c r="HY205"/>
  <c r="HW54"/>
  <c r="HY54"/>
  <c r="HW64"/>
  <c r="HY64"/>
  <c r="HW137"/>
  <c r="HY137"/>
  <c r="HW121"/>
  <c r="HY121"/>
  <c r="HW105"/>
  <c r="HY105"/>
  <c r="HW89"/>
  <c r="HY89"/>
  <c r="HW73"/>
  <c r="HY73"/>
  <c r="HW57"/>
  <c r="HY57"/>
  <c r="HW41"/>
  <c r="HY41"/>
  <c r="HW190"/>
  <c r="HY190"/>
  <c r="HW174"/>
  <c r="HY174"/>
  <c r="HW134"/>
  <c r="HY134"/>
  <c r="HW118"/>
  <c r="HY118"/>
  <c r="HW102"/>
  <c r="HY102"/>
  <c r="HW46"/>
  <c r="HY46"/>
  <c r="HW175"/>
  <c r="HY175"/>
  <c r="HW151"/>
  <c r="HY151"/>
  <c r="HW135"/>
  <c r="HY135"/>
  <c r="HW119"/>
  <c r="HY119"/>
  <c r="HW103"/>
  <c r="HY103"/>
  <c r="HW87"/>
  <c r="HY87"/>
  <c r="HW71"/>
  <c r="HY71"/>
  <c r="HW184"/>
  <c r="HY184"/>
  <c r="HW144"/>
  <c r="HY144"/>
  <c r="HW128"/>
  <c r="HY128"/>
  <c r="HW88"/>
  <c r="HY88"/>
  <c r="HW72"/>
  <c r="HY72"/>
  <c r="HW38"/>
  <c r="HY38"/>
  <c r="HW150"/>
  <c r="HY150"/>
  <c r="HW167"/>
  <c r="HY167"/>
  <c r="HW96"/>
  <c r="HY96"/>
  <c r="HW183"/>
  <c r="HY183"/>
  <c r="HW166"/>
  <c r="HY166"/>
  <c r="HW112"/>
  <c r="HY112"/>
  <c r="HW189"/>
  <c r="HY189"/>
  <c r="HW173"/>
  <c r="HY173"/>
  <c r="HW157"/>
  <c r="HY157"/>
  <c r="HW141"/>
  <c r="HY141"/>
  <c r="HW125"/>
  <c r="HY125"/>
  <c r="HW109"/>
  <c r="HY109"/>
  <c r="HW93"/>
  <c r="HY93"/>
  <c r="HW77"/>
  <c r="HY77"/>
  <c r="HW61"/>
  <c r="HY61"/>
  <c r="HW45"/>
  <c r="HY45"/>
  <c r="HW202"/>
  <c r="HY202"/>
  <c r="HW186"/>
  <c r="HY186"/>
  <c r="HW170"/>
  <c r="HY170"/>
  <c r="HW154"/>
  <c r="HY154"/>
  <c r="HW138"/>
  <c r="HY138"/>
  <c r="HW122"/>
  <c r="HY122"/>
  <c r="HW106"/>
  <c r="HY106"/>
  <c r="HW90"/>
  <c r="HY90"/>
  <c r="HW74"/>
  <c r="HY74"/>
  <c r="HW58"/>
  <c r="HY58"/>
  <c r="HW42"/>
  <c r="HY42"/>
  <c r="HW195"/>
  <c r="HY195"/>
  <c r="HW179"/>
  <c r="HY179"/>
  <c r="HW163"/>
  <c r="HY163"/>
  <c r="HW147"/>
  <c r="HY147"/>
  <c r="HW131"/>
  <c r="HY131"/>
  <c r="HW115"/>
  <c r="HY115"/>
  <c r="HW99"/>
  <c r="HY99"/>
  <c r="HW83"/>
  <c r="HY83"/>
  <c r="HW67"/>
  <c r="HY67"/>
  <c r="HW51"/>
  <c r="HY51"/>
  <c r="HW204"/>
  <c r="HY204"/>
  <c r="HW188"/>
  <c r="HY188"/>
  <c r="HW172"/>
  <c r="HY172"/>
  <c r="HW156"/>
  <c r="HY156"/>
  <c r="HW140"/>
  <c r="HY140"/>
  <c r="HW124"/>
  <c r="HY124"/>
  <c r="HW108"/>
  <c r="HY108"/>
  <c r="HW92"/>
  <c r="HY92"/>
  <c r="HW76"/>
  <c r="HY76"/>
  <c r="HW60"/>
  <c r="HY60"/>
  <c r="HW44"/>
  <c r="HY44"/>
  <c r="HW193"/>
  <c r="HY193"/>
  <c r="HW177"/>
  <c r="HY177"/>
  <c r="HW161"/>
  <c r="HY161"/>
  <c r="HW158"/>
  <c r="HY158"/>
  <c r="HW70"/>
  <c r="HY70"/>
  <c r="HW199"/>
  <c r="HY199"/>
  <c r="HW39"/>
  <c r="HY39"/>
  <c r="HW168"/>
  <c r="HY168"/>
  <c r="HW56"/>
  <c r="HY56"/>
  <c r="HW40"/>
  <c r="HY40"/>
  <c r="HW159"/>
  <c r="HY159"/>
  <c r="HW192"/>
  <c r="HY192"/>
  <c r="HW176"/>
  <c r="HY176"/>
  <c r="HW129"/>
  <c r="HY129"/>
  <c r="HW113"/>
  <c r="HY113"/>
  <c r="HW97"/>
  <c r="HY97"/>
  <c r="HW81"/>
  <c r="HY81"/>
  <c r="HW65"/>
  <c r="HY65"/>
  <c r="HW49"/>
  <c r="HY49"/>
  <c r="HW198"/>
  <c r="HY198"/>
  <c r="HW182"/>
  <c r="HY182"/>
  <c r="HW142"/>
  <c r="HY142"/>
  <c r="HW126"/>
  <c r="HY126"/>
  <c r="HW110"/>
  <c r="HY110"/>
  <c r="HW94"/>
  <c r="HY94"/>
  <c r="HW143"/>
  <c r="HY143"/>
  <c r="HW127"/>
  <c r="HY127"/>
  <c r="HW111"/>
  <c r="HY111"/>
  <c r="HW95"/>
  <c r="HY95"/>
  <c r="HW79"/>
  <c r="HY79"/>
  <c r="HW63"/>
  <c r="HY63"/>
  <c r="HW152"/>
  <c r="HY152"/>
  <c r="HW136"/>
  <c r="HY136"/>
  <c r="HW120"/>
  <c r="HY120"/>
  <c r="HW80"/>
  <c r="HY80"/>
  <c r="HG94"/>
  <c r="HG99"/>
  <c r="HD202"/>
  <c r="HD166"/>
  <c r="HJ46"/>
  <c r="HG191"/>
  <c r="HJ155"/>
  <c r="HJ91"/>
  <c r="HG55"/>
  <c r="HJ204"/>
  <c r="HJ152"/>
  <c r="HD136"/>
  <c r="HJ108"/>
  <c r="HJ72"/>
  <c r="HJ193"/>
  <c r="HG173"/>
  <c r="HG141"/>
  <c r="HD121"/>
  <c r="HJ178"/>
  <c r="HJ122"/>
  <c r="HG118"/>
  <c r="HJ90"/>
  <c r="HJ58"/>
  <c r="HJ191"/>
  <c r="HJ171"/>
  <c r="HD135"/>
  <c r="HG63"/>
  <c r="HJ104"/>
  <c r="HJ88"/>
  <c r="HD190"/>
  <c r="HJ174"/>
  <c r="HJ158"/>
  <c r="HD58"/>
  <c r="HD195"/>
  <c r="HG135"/>
  <c r="HJ83"/>
  <c r="HJ51"/>
  <c r="HJ200"/>
  <c r="HD184"/>
  <c r="HD140"/>
  <c r="HG108"/>
  <c r="HJ96"/>
  <c r="HD141"/>
  <c r="HD129"/>
  <c r="HJ150"/>
  <c r="HJ62"/>
  <c r="HD191"/>
  <c r="HD155"/>
  <c r="HD143"/>
  <c r="HJ119"/>
  <c r="HG103"/>
  <c r="HG39"/>
  <c r="HD188"/>
  <c r="HJ109"/>
  <c r="HJ77"/>
  <c r="HJ45"/>
  <c r="HD165"/>
  <c r="HJ113"/>
  <c r="HJ89"/>
  <c r="HD65"/>
  <c r="HJ148"/>
  <c r="HG140"/>
  <c r="HJ116"/>
  <c r="HJ101"/>
  <c r="HJ93"/>
  <c r="HG101"/>
  <c r="HG65"/>
  <c r="HG72"/>
  <c r="HG44"/>
  <c r="HJ185"/>
  <c r="HG53"/>
  <c r="HJ114"/>
  <c r="HJ107"/>
  <c r="HJ47"/>
  <c r="HJ154"/>
  <c r="HJ70"/>
  <c r="HJ42"/>
  <c r="HJ135"/>
  <c r="HJ196"/>
  <c r="HD144"/>
  <c r="HG186"/>
  <c r="HD42"/>
  <c r="HJ195"/>
  <c r="HD115"/>
  <c r="HJ188"/>
  <c r="HG156"/>
  <c r="HJ136"/>
  <c r="HJ80"/>
  <c r="HG56"/>
  <c r="HG165"/>
  <c r="HD178"/>
  <c r="HJ126"/>
  <c r="HJ118"/>
  <c r="HJ110"/>
  <c r="HJ94"/>
  <c r="HJ78"/>
  <c r="HG183"/>
  <c r="HG87"/>
  <c r="HJ67"/>
  <c r="HD108"/>
  <c r="HD96"/>
  <c r="HG202"/>
  <c r="HJ130"/>
  <c r="HG58"/>
  <c r="HG42"/>
  <c r="HJ203"/>
  <c r="HJ183"/>
  <c r="HG179"/>
  <c r="HJ139"/>
  <c r="HJ111"/>
  <c r="HD103"/>
  <c r="HD39"/>
  <c r="HJ192"/>
  <c r="HD176"/>
  <c r="HG152"/>
  <c r="HJ128"/>
  <c r="HJ120"/>
  <c r="HD88"/>
  <c r="HJ60"/>
  <c r="HG40"/>
  <c r="HD161"/>
  <c r="HG153"/>
  <c r="HD194"/>
  <c r="HG166"/>
  <c r="HJ138"/>
  <c r="HJ86"/>
  <c r="HJ66"/>
  <c r="HJ50"/>
  <c r="HJ38"/>
  <c r="HJ187"/>
  <c r="HG151"/>
  <c r="HJ143"/>
  <c r="HJ79"/>
  <c r="HD63"/>
  <c r="HJ55"/>
  <c r="HG192"/>
  <c r="HG172"/>
  <c r="HJ105"/>
  <c r="HD73"/>
  <c r="HD69"/>
  <c r="HD49"/>
  <c r="HJ181"/>
  <c r="HJ121"/>
  <c r="HG41"/>
  <c r="HJ160"/>
  <c r="HG148"/>
  <c r="HG88"/>
  <c r="HJ44"/>
  <c r="HJ153"/>
  <c r="HJ97"/>
  <c r="HD85"/>
  <c r="HG69"/>
  <c r="HD153"/>
  <c r="HG89"/>
  <c r="HJ73"/>
  <c r="HJ65"/>
  <c r="HJ49"/>
  <c r="HG205"/>
  <c r="HJ201"/>
  <c r="HG161"/>
  <c r="HJ137"/>
  <c r="HG57"/>
  <c r="HJ41"/>
  <c r="HD50"/>
  <c r="HD59"/>
  <c r="HJ176"/>
  <c r="HG168"/>
  <c r="HJ144"/>
  <c r="HJ84"/>
  <c r="HD169"/>
  <c r="HG125"/>
  <c r="HJ190"/>
  <c r="HJ182"/>
  <c r="HG170"/>
  <c r="HJ134"/>
  <c r="HD78"/>
  <c r="HG62"/>
  <c r="HD54"/>
  <c r="HG38"/>
  <c r="HJ199"/>
  <c r="HJ175"/>
  <c r="HJ167"/>
  <c r="HG159"/>
  <c r="HD151"/>
  <c r="HG127"/>
  <c r="HJ115"/>
  <c r="HG107"/>
  <c r="HG95"/>
  <c r="HG75"/>
  <c r="HD55"/>
  <c r="HJ43"/>
  <c r="HD196"/>
  <c r="HJ184"/>
  <c r="HJ172"/>
  <c r="HD156"/>
  <c r="HJ124"/>
  <c r="HJ112"/>
  <c r="HG96"/>
  <c r="HJ92"/>
  <c r="HD84"/>
  <c r="HJ198"/>
  <c r="HJ146"/>
  <c r="HD122"/>
  <c r="HG90"/>
  <c r="HJ74"/>
  <c r="HJ127"/>
  <c r="HG123"/>
  <c r="HG111"/>
  <c r="HJ99"/>
  <c r="HD87"/>
  <c r="HG79"/>
  <c r="HJ206"/>
  <c r="HD180"/>
  <c r="HJ168"/>
  <c r="HJ156"/>
  <c r="HG132"/>
  <c r="HG124"/>
  <c r="HJ100"/>
  <c r="HD68"/>
  <c r="HD44"/>
  <c r="HJ205"/>
  <c r="HJ189"/>
  <c r="HJ177"/>
  <c r="HJ145"/>
  <c r="HG137"/>
  <c r="HG129"/>
  <c r="HJ202"/>
  <c r="HJ194"/>
  <c r="HJ166"/>
  <c r="HD142"/>
  <c r="HJ106"/>
  <c r="HJ98"/>
  <c r="HG195"/>
  <c r="HJ163"/>
  <c r="HG131"/>
  <c r="HJ95"/>
  <c r="HJ71"/>
  <c r="HD206"/>
  <c r="HG196"/>
  <c r="HD105"/>
  <c r="HG169"/>
  <c r="HJ157"/>
  <c r="HJ133"/>
  <c r="HG105"/>
  <c r="HJ85"/>
  <c r="HD164"/>
  <c r="HD132"/>
  <c r="HG68"/>
  <c r="HD205"/>
  <c r="HJ197"/>
  <c r="HJ53"/>
  <c r="HG97"/>
  <c r="HD89"/>
  <c r="HD45"/>
  <c r="HD77"/>
  <c r="HD57"/>
  <c r="HJ76"/>
  <c r="HG60"/>
  <c r="HG189"/>
  <c r="HJ165"/>
  <c r="HJ129"/>
  <c r="HJ117"/>
  <c r="HG45"/>
  <c r="HG139"/>
  <c r="HJ63"/>
  <c r="HJ39"/>
  <c r="HG174"/>
  <c r="HG130"/>
  <c r="HG98"/>
  <c r="HJ54"/>
  <c r="HD46"/>
  <c r="HG187"/>
  <c r="HG175"/>
  <c r="HJ151"/>
  <c r="HD139"/>
  <c r="HG59"/>
  <c r="HJ164"/>
  <c r="HJ140"/>
  <c r="HJ132"/>
  <c r="HG76"/>
  <c r="HJ64"/>
  <c r="HJ56"/>
  <c r="HJ52"/>
  <c r="HD137"/>
  <c r="HJ125"/>
  <c r="HJ186"/>
  <c r="HJ170"/>
  <c r="HG142"/>
  <c r="HJ82"/>
  <c r="HG199"/>
  <c r="HJ131"/>
  <c r="HD91"/>
  <c r="HJ75"/>
  <c r="HG200"/>
  <c r="HD192"/>
  <c r="HJ180"/>
  <c r="HD186"/>
  <c r="HD126"/>
  <c r="HG102"/>
  <c r="HD94"/>
  <c r="HD62"/>
  <c r="HJ179"/>
  <c r="HJ159"/>
  <c r="HJ123"/>
  <c r="HG115"/>
  <c r="HD107"/>
  <c r="HD99"/>
  <c r="HJ87"/>
  <c r="HD79"/>
  <c r="HG184"/>
  <c r="HD148"/>
  <c r="HD52"/>
  <c r="HD181"/>
  <c r="HJ173"/>
  <c r="HJ141"/>
  <c r="HJ162"/>
  <c r="HJ142"/>
  <c r="HG126"/>
  <c r="HD110"/>
  <c r="HJ102"/>
  <c r="HD90"/>
  <c r="HG155"/>
  <c r="HJ147"/>
  <c r="HG83"/>
  <c r="HJ59"/>
  <c r="HD117"/>
  <c r="HJ81"/>
  <c r="HG77"/>
  <c r="HG61"/>
  <c r="HD53"/>
  <c r="HJ161"/>
  <c r="HG85"/>
  <c r="HJ57"/>
  <c r="HG84"/>
  <c r="HG52"/>
  <c r="HD97"/>
  <c r="HJ69"/>
  <c r="HJ149"/>
  <c r="HG117"/>
  <c r="HJ61"/>
  <c r="HJ68"/>
  <c r="HJ40"/>
  <c r="HJ169"/>
  <c r="HG49"/>
  <c r="HG154"/>
  <c r="HD47"/>
  <c r="HG119"/>
  <c r="HD95"/>
  <c r="HD125"/>
  <c r="HG150"/>
  <c r="HG163"/>
  <c r="HG51"/>
  <c r="HG64"/>
  <c r="HG162"/>
  <c r="HD38"/>
  <c r="HD83"/>
  <c r="HD174"/>
  <c r="HD146"/>
  <c r="HG138"/>
  <c r="HD114"/>
  <c r="HG67"/>
  <c r="HG73"/>
  <c r="HD93"/>
  <c r="HD152"/>
  <c r="HG128"/>
  <c r="HD124"/>
  <c r="HG116"/>
  <c r="HD92"/>
  <c r="HG109"/>
  <c r="HJ48"/>
  <c r="HI48"/>
  <c r="HG193"/>
  <c r="HG190"/>
  <c r="HG50"/>
  <c r="HD193"/>
  <c r="HD131"/>
  <c r="HG93"/>
  <c r="HD71"/>
  <c r="HD74"/>
  <c r="HG188"/>
  <c r="HG112"/>
  <c r="HG145"/>
  <c r="HD182"/>
  <c r="HG70"/>
  <c r="HG180"/>
  <c r="HD185"/>
  <c r="HG92"/>
  <c r="HD149"/>
  <c r="HD157"/>
  <c r="HD133"/>
  <c r="HG121"/>
  <c r="HE167"/>
  <c r="O165" i="15" s="1"/>
  <c r="HE71" i="9"/>
  <c r="HE147"/>
  <c r="HE143"/>
  <c r="HE47"/>
  <c r="O45" i="15" s="1"/>
  <c r="HE203" i="9"/>
  <c r="HE171"/>
  <c r="O169" i="15" s="1"/>
  <c r="HE91" i="9"/>
  <c r="HE43"/>
  <c r="HF139"/>
  <c r="HE164"/>
  <c r="O162" i="15" s="1"/>
  <c r="HE100" i="9"/>
  <c r="HE201"/>
  <c r="O199" i="15" s="1"/>
  <c r="HE185" i="9"/>
  <c r="HE158"/>
  <c r="HE110"/>
  <c r="HE78"/>
  <c r="HE46"/>
  <c r="HH103"/>
  <c r="HE176"/>
  <c r="HE160"/>
  <c r="O158" i="15" s="1"/>
  <c r="HE144" i="9"/>
  <c r="HE80"/>
  <c r="HE48"/>
  <c r="HE197"/>
  <c r="HE181"/>
  <c r="HE149"/>
  <c r="HE133"/>
  <c r="HE122"/>
  <c r="HE106"/>
  <c r="O104" i="15" s="1"/>
  <c r="HE74" i="9"/>
  <c r="HE206"/>
  <c r="HE204"/>
  <c r="O202" i="15" s="1"/>
  <c r="HE177" i="9"/>
  <c r="HE113"/>
  <c r="HE81"/>
  <c r="HE198"/>
  <c r="HE182"/>
  <c r="HE134"/>
  <c r="HE86"/>
  <c r="HE54"/>
  <c r="HE136"/>
  <c r="HE120"/>
  <c r="HE104"/>
  <c r="HE157"/>
  <c r="O155" i="15" s="1"/>
  <c r="HE194" i="9"/>
  <c r="HE178"/>
  <c r="HE146"/>
  <c r="HE114"/>
  <c r="O112" i="15" s="1"/>
  <c r="HE82" i="9"/>
  <c r="HE66"/>
  <c r="O64" i="15" s="1"/>
  <c r="HI54" i="9"/>
  <c r="HI198"/>
  <c r="HB116"/>
  <c r="HB100"/>
  <c r="N98" i="15" s="1"/>
  <c r="HB201" i="9"/>
  <c r="N199" i="15" s="1"/>
  <c r="HB41" i="9"/>
  <c r="HB158"/>
  <c r="HB199"/>
  <c r="N197" i="15" s="1"/>
  <c r="HB183" i="9"/>
  <c r="HB167"/>
  <c r="HB119"/>
  <c r="HB160"/>
  <c r="HB128"/>
  <c r="HB112"/>
  <c r="N110" i="15" s="1"/>
  <c r="HB80" i="9"/>
  <c r="HB64"/>
  <c r="N62" i="15" s="1"/>
  <c r="HB48" i="9"/>
  <c r="HB197"/>
  <c r="HB101"/>
  <c r="HB170"/>
  <c r="HB154"/>
  <c r="HB138"/>
  <c r="N136" i="15" s="1"/>
  <c r="HB106" i="9"/>
  <c r="HB179"/>
  <c r="N177" i="15" s="1"/>
  <c r="HB163" i="9"/>
  <c r="HB147"/>
  <c r="HB67"/>
  <c r="HB51"/>
  <c r="HB204"/>
  <c r="N202" i="15" s="1"/>
  <c r="HB172" i="9"/>
  <c r="HB76"/>
  <c r="HB60"/>
  <c r="HB177"/>
  <c r="N175" i="15" s="1"/>
  <c r="HB145" i="9"/>
  <c r="HB113"/>
  <c r="HB81"/>
  <c r="HB198"/>
  <c r="N196" i="15" s="1"/>
  <c r="HB150" i="9"/>
  <c r="HB134"/>
  <c r="HB118"/>
  <c r="N116" i="15" s="1"/>
  <c r="HB102" i="9"/>
  <c r="N100" i="15" s="1"/>
  <c r="HB86" i="9"/>
  <c r="HB70"/>
  <c r="HB175"/>
  <c r="N173" i="15" s="1"/>
  <c r="HB159" i="9"/>
  <c r="N157" i="15" s="1"/>
  <c r="HB127" i="9"/>
  <c r="HB111"/>
  <c r="HB200"/>
  <c r="N198" i="15" s="1"/>
  <c r="HB168" i="9"/>
  <c r="N166" i="15" s="1"/>
  <c r="HB120" i="9"/>
  <c r="HB104"/>
  <c r="HB72"/>
  <c r="HB56"/>
  <c r="HB40"/>
  <c r="N38" i="15" s="1"/>
  <c r="HB189" i="9"/>
  <c r="HB173"/>
  <c r="HB109"/>
  <c r="HB61"/>
  <c r="N59" i="15" s="1"/>
  <c r="HB162" i="9"/>
  <c r="HB130"/>
  <c r="N128" i="15" s="1"/>
  <c r="HB98" i="9"/>
  <c r="HB82"/>
  <c r="HB66"/>
  <c r="HB203"/>
  <c r="N201" i="15" s="1"/>
  <c r="HB187" i="9"/>
  <c r="HB171"/>
  <c r="N169" i="15" s="1"/>
  <c r="HB123" i="9"/>
  <c r="HB75"/>
  <c r="N73" i="15" s="1"/>
  <c r="HB43" i="9"/>
  <c r="HI185"/>
  <c r="HI78"/>
  <c r="HM194"/>
  <c r="HL194"/>
  <c r="HM178"/>
  <c r="HL178"/>
  <c r="HM162"/>
  <c r="HL162"/>
  <c r="HM146"/>
  <c r="HL146"/>
  <c r="HM130"/>
  <c r="HL130"/>
  <c r="HM114"/>
  <c r="HL114"/>
  <c r="HM98"/>
  <c r="HL98"/>
  <c r="HM82"/>
  <c r="HL82"/>
  <c r="HM66"/>
  <c r="HL66"/>
  <c r="HM50"/>
  <c r="HL50"/>
  <c r="HM203"/>
  <c r="HL203"/>
  <c r="HM187"/>
  <c r="HL187"/>
  <c r="HM171"/>
  <c r="HL171"/>
  <c r="HM155"/>
  <c r="HL155"/>
  <c r="HM139"/>
  <c r="HL139"/>
  <c r="HM123"/>
  <c r="HL123"/>
  <c r="HM107"/>
  <c r="HL107"/>
  <c r="HM91"/>
  <c r="HL91"/>
  <c r="HM75"/>
  <c r="HL75"/>
  <c r="HM59"/>
  <c r="HL59"/>
  <c r="HM43"/>
  <c r="HL43"/>
  <c r="HL196"/>
  <c r="HM196"/>
  <c r="HL180"/>
  <c r="HM180"/>
  <c r="HL164"/>
  <c r="HM164"/>
  <c r="HL148"/>
  <c r="HM148"/>
  <c r="HL132"/>
  <c r="HM132"/>
  <c r="HL116"/>
  <c r="HM116"/>
  <c r="HL100"/>
  <c r="HM100"/>
  <c r="HL84"/>
  <c r="HM84"/>
  <c r="HL68"/>
  <c r="HM68"/>
  <c r="HL52"/>
  <c r="HM52"/>
  <c r="HM201"/>
  <c r="HL201"/>
  <c r="HM185"/>
  <c r="HL185"/>
  <c r="HM169"/>
  <c r="HL169"/>
  <c r="HM153"/>
  <c r="HL153"/>
  <c r="HM137"/>
  <c r="HL137"/>
  <c r="HM121"/>
  <c r="HL121"/>
  <c r="HM105"/>
  <c r="HL105"/>
  <c r="HM89"/>
  <c r="HL89"/>
  <c r="HM73"/>
  <c r="HL73"/>
  <c r="HM57"/>
  <c r="HL57"/>
  <c r="HM41"/>
  <c r="HL41"/>
  <c r="HM189"/>
  <c r="HL189"/>
  <c r="HM173"/>
  <c r="HL173"/>
  <c r="HM157"/>
  <c r="HL157"/>
  <c r="HM141"/>
  <c r="HL141"/>
  <c r="HM125"/>
  <c r="HL125"/>
  <c r="HM109"/>
  <c r="HL109"/>
  <c r="HM93"/>
  <c r="HL93"/>
  <c r="HM77"/>
  <c r="HL77"/>
  <c r="HM61"/>
  <c r="HL61"/>
  <c r="HM45"/>
  <c r="HL45"/>
  <c r="HM198"/>
  <c r="HL198"/>
  <c r="HM182"/>
  <c r="HL182"/>
  <c r="HM166"/>
  <c r="HL166"/>
  <c r="HM150"/>
  <c r="HL150"/>
  <c r="HM134"/>
  <c r="HL134"/>
  <c r="HM118"/>
  <c r="HL118"/>
  <c r="HM102"/>
  <c r="HL102"/>
  <c r="HM86"/>
  <c r="HL86"/>
  <c r="HM70"/>
  <c r="HL70"/>
  <c r="HM54"/>
  <c r="HL54"/>
  <c r="HM38"/>
  <c r="HL38"/>
  <c r="HM191"/>
  <c r="HL191"/>
  <c r="HM175"/>
  <c r="HL175"/>
  <c r="HM159"/>
  <c r="HL159"/>
  <c r="HM143"/>
  <c r="HL143"/>
  <c r="HM127"/>
  <c r="HL127"/>
  <c r="HM111"/>
  <c r="HL111"/>
  <c r="HM95"/>
  <c r="HL95"/>
  <c r="HM79"/>
  <c r="HL79"/>
  <c r="HM63"/>
  <c r="HL63"/>
  <c r="HM47"/>
  <c r="HL47"/>
  <c r="HL192"/>
  <c r="HM192"/>
  <c r="HL176"/>
  <c r="HM176"/>
  <c r="HL160"/>
  <c r="HM160"/>
  <c r="HL144"/>
  <c r="HM144"/>
  <c r="HL128"/>
  <c r="HM128"/>
  <c r="HL112"/>
  <c r="HM112"/>
  <c r="HL96"/>
  <c r="HM96"/>
  <c r="HL80"/>
  <c r="HM80"/>
  <c r="HL64"/>
  <c r="HM64"/>
  <c r="HL48"/>
  <c r="HM48"/>
  <c r="HM202"/>
  <c r="HL202"/>
  <c r="HM186"/>
  <c r="HL186"/>
  <c r="HM170"/>
  <c r="HL170"/>
  <c r="HM154"/>
  <c r="HL154"/>
  <c r="HM138"/>
  <c r="HL138"/>
  <c r="HM122"/>
  <c r="HL122"/>
  <c r="HM106"/>
  <c r="HL106"/>
  <c r="HM90"/>
  <c r="HL90"/>
  <c r="HM74"/>
  <c r="HL74"/>
  <c r="HM58"/>
  <c r="HL58"/>
  <c r="HM42"/>
  <c r="HL42"/>
  <c r="HM195"/>
  <c r="HL195"/>
  <c r="HM179"/>
  <c r="HL179"/>
  <c r="HM163"/>
  <c r="HL163"/>
  <c r="HM147"/>
  <c r="HL147"/>
  <c r="HM131"/>
  <c r="HL131"/>
  <c r="HM115"/>
  <c r="HL115"/>
  <c r="HM99"/>
  <c r="HL99"/>
  <c r="HM83"/>
  <c r="HL83"/>
  <c r="HM67"/>
  <c r="HL67"/>
  <c r="HM51"/>
  <c r="HL51"/>
  <c r="HL204"/>
  <c r="HM204"/>
  <c r="HL188"/>
  <c r="HM188"/>
  <c r="HL172"/>
  <c r="HM172"/>
  <c r="HL156"/>
  <c r="HM156"/>
  <c r="HL140"/>
  <c r="HM140"/>
  <c r="HL124"/>
  <c r="HM124"/>
  <c r="HL108"/>
  <c r="HM108"/>
  <c r="HL92"/>
  <c r="HM92"/>
  <c r="HL76"/>
  <c r="HM76"/>
  <c r="HL60"/>
  <c r="HM60"/>
  <c r="HL44"/>
  <c r="HM44"/>
  <c r="HM193"/>
  <c r="HL193"/>
  <c r="HM177"/>
  <c r="HL177"/>
  <c r="HM161"/>
  <c r="HL161"/>
  <c r="HM145"/>
  <c r="HL145"/>
  <c r="HM129"/>
  <c r="HL129"/>
  <c r="HM113"/>
  <c r="HL113"/>
  <c r="HM97"/>
  <c r="HL97"/>
  <c r="HM81"/>
  <c r="HL81"/>
  <c r="HM65"/>
  <c r="HL65"/>
  <c r="HM49"/>
  <c r="HL49"/>
  <c r="HM197"/>
  <c r="HL197"/>
  <c r="HM181"/>
  <c r="HL181"/>
  <c r="HM165"/>
  <c r="HL165"/>
  <c r="HM149"/>
  <c r="HL149"/>
  <c r="HM133"/>
  <c r="HL133"/>
  <c r="HM117"/>
  <c r="HL117"/>
  <c r="HM101"/>
  <c r="HL101"/>
  <c r="HM85"/>
  <c r="HL85"/>
  <c r="HM69"/>
  <c r="HL69"/>
  <c r="HM53"/>
  <c r="HL53"/>
  <c r="HM206"/>
  <c r="HL206"/>
  <c r="HM190"/>
  <c r="HL190"/>
  <c r="HM174"/>
  <c r="HL174"/>
  <c r="HM158"/>
  <c r="HL158"/>
  <c r="HM142"/>
  <c r="HL142"/>
  <c r="HM126"/>
  <c r="HL126"/>
  <c r="HM110"/>
  <c r="HL110"/>
  <c r="HM94"/>
  <c r="HL94"/>
  <c r="HM78"/>
  <c r="HL78"/>
  <c r="HM62"/>
  <c r="HL62"/>
  <c r="HM46"/>
  <c r="HL46"/>
  <c r="HM199"/>
  <c r="HL199"/>
  <c r="HM183"/>
  <c r="HL183"/>
  <c r="HM167"/>
  <c r="HL167"/>
  <c r="HM151"/>
  <c r="HL151"/>
  <c r="HM135"/>
  <c r="HL135"/>
  <c r="HM119"/>
  <c r="HL119"/>
  <c r="HM103"/>
  <c r="HL103"/>
  <c r="HM87"/>
  <c r="HL87"/>
  <c r="HM71"/>
  <c r="HL71"/>
  <c r="HM55"/>
  <c r="HL55"/>
  <c r="HM39"/>
  <c r="HL39"/>
  <c r="HL200"/>
  <c r="HM200"/>
  <c r="HL184"/>
  <c r="HM184"/>
  <c r="HL168"/>
  <c r="HM168"/>
  <c r="HL152"/>
  <c r="HM152"/>
  <c r="HL136"/>
  <c r="HM136"/>
  <c r="HL120"/>
  <c r="HM120"/>
  <c r="HL104"/>
  <c r="HM104"/>
  <c r="HL88"/>
  <c r="HM88"/>
  <c r="HL72"/>
  <c r="HM72"/>
  <c r="HL56"/>
  <c r="HM56"/>
  <c r="HL40"/>
  <c r="HM40"/>
  <c r="HM205"/>
  <c r="HL205"/>
  <c r="HA204"/>
  <c r="HA188"/>
  <c r="HA160"/>
  <c r="HA120"/>
  <c r="HA186"/>
  <c r="HA146"/>
  <c r="HA70"/>
  <c r="HA206"/>
  <c r="HA152"/>
  <c r="HA140"/>
  <c r="HA132"/>
  <c r="HA96"/>
  <c r="HA86"/>
  <c r="HA203"/>
  <c r="HA167"/>
  <c r="HA131"/>
  <c r="HA84"/>
  <c r="HA40"/>
  <c r="HA185"/>
  <c r="HA122"/>
  <c r="HA176"/>
  <c r="HA173"/>
  <c r="HA101"/>
  <c r="HA100"/>
  <c r="HA64"/>
  <c r="HA205"/>
  <c r="HA193"/>
  <c r="HA157"/>
  <c r="HA138"/>
  <c r="HA46"/>
  <c r="HA147"/>
  <c r="HA123"/>
  <c r="HA130"/>
  <c r="HA175"/>
  <c r="HA139"/>
  <c r="HA115"/>
  <c r="HA83"/>
  <c r="HA75"/>
  <c r="HA133"/>
  <c r="HA174"/>
  <c r="HA39"/>
  <c r="HA128"/>
  <c r="HA124"/>
  <c r="HA48"/>
  <c r="HA117"/>
  <c r="HA121"/>
  <c r="HA73"/>
  <c r="HA170"/>
  <c r="HA78"/>
  <c r="HA164"/>
  <c r="HA116"/>
  <c r="HA80"/>
  <c r="HA194"/>
  <c r="HA183"/>
  <c r="HA180"/>
  <c r="HA182"/>
  <c r="HA110"/>
  <c r="HA62"/>
  <c r="HA199"/>
  <c r="HA143"/>
  <c r="HA192"/>
  <c r="HA112"/>
  <c r="HA88"/>
  <c r="HA198"/>
  <c r="HA187"/>
  <c r="HA127"/>
  <c r="HA189"/>
  <c r="HA129"/>
  <c r="HA109"/>
  <c r="HA56"/>
  <c r="HA178"/>
  <c r="HA134"/>
  <c r="HA82"/>
  <c r="HA190"/>
  <c r="HA90"/>
  <c r="HA42"/>
  <c r="HA71"/>
  <c r="HA156"/>
  <c r="HA76"/>
  <c r="HA154"/>
  <c r="HA118"/>
  <c r="HA98"/>
  <c r="HA119"/>
  <c r="HA107"/>
  <c r="HA91"/>
  <c r="HA113"/>
  <c r="HA81"/>
  <c r="HA60"/>
  <c r="HA52"/>
  <c r="HA44"/>
  <c r="HA165"/>
  <c r="HA197"/>
  <c r="HA177"/>
  <c r="HA141"/>
  <c r="GN146"/>
  <c r="GN179"/>
  <c r="GN159"/>
  <c r="GN135"/>
  <c r="GN103"/>
  <c r="GN95"/>
  <c r="GN39"/>
  <c r="GN104"/>
  <c r="GN68"/>
  <c r="GN119"/>
  <c r="GN91"/>
  <c r="GN192"/>
  <c r="GN180"/>
  <c r="GN160"/>
  <c r="GN202"/>
  <c r="GN142"/>
  <c r="GN114"/>
  <c r="GN94"/>
  <c r="GN74"/>
  <c r="GN66"/>
  <c r="GN115"/>
  <c r="GN107"/>
  <c r="GN63"/>
  <c r="GN148"/>
  <c r="GN116"/>
  <c r="GN201"/>
  <c r="GN189"/>
  <c r="GN173"/>
  <c r="GN161"/>
  <c r="GN178"/>
  <c r="GN154"/>
  <c r="GN86"/>
  <c r="GN50"/>
  <c r="GN38"/>
  <c r="GN187"/>
  <c r="GN175"/>
  <c r="GN143"/>
  <c r="GN79"/>
  <c r="GN67"/>
  <c r="GN55"/>
  <c r="GN47"/>
  <c r="GN69"/>
  <c r="GN156"/>
  <c r="GN132"/>
  <c r="GN124"/>
  <c r="GN88"/>
  <c r="GN44"/>
  <c r="GN113"/>
  <c r="GN97"/>
  <c r="GN77"/>
  <c r="GN45"/>
  <c r="GN117"/>
  <c r="GN190"/>
  <c r="GN174"/>
  <c r="GN150"/>
  <c r="GN138"/>
  <c r="GN106"/>
  <c r="GN183"/>
  <c r="GN171"/>
  <c r="GN184"/>
  <c r="GN186"/>
  <c r="GN166"/>
  <c r="GN70"/>
  <c r="GN163"/>
  <c r="GN151"/>
  <c r="GN206"/>
  <c r="GN188"/>
  <c r="GN176"/>
  <c r="GN152"/>
  <c r="GN140"/>
  <c r="GN92"/>
  <c r="GN80"/>
  <c r="GN122"/>
  <c r="GN108"/>
  <c r="GN185"/>
  <c r="GN194"/>
  <c r="GN58"/>
  <c r="GN195"/>
  <c r="GN123"/>
  <c r="GN75"/>
  <c r="GN196"/>
  <c r="GN105"/>
  <c r="GN73"/>
  <c r="GN177"/>
  <c r="GN149"/>
  <c r="GN164"/>
  <c r="GN84"/>
  <c r="GN40"/>
  <c r="GN61"/>
  <c r="GN41"/>
  <c r="GN133"/>
  <c r="GN52"/>
  <c r="GN193"/>
  <c r="GN198"/>
  <c r="GN199"/>
  <c r="GN131"/>
  <c r="GN99"/>
  <c r="GN172"/>
  <c r="GN100"/>
  <c r="GN56"/>
  <c r="GN158"/>
  <c r="GN118"/>
  <c r="GN87"/>
  <c r="GN204"/>
  <c r="GN134"/>
  <c r="GN98"/>
  <c r="GN42"/>
  <c r="GN167"/>
  <c r="GN155"/>
  <c r="GN43"/>
  <c r="GN144"/>
  <c r="GN165"/>
  <c r="GN157"/>
  <c r="GN130"/>
  <c r="GN102"/>
  <c r="GN82"/>
  <c r="GN147"/>
  <c r="GN51"/>
  <c r="GN168"/>
  <c r="GN85"/>
  <c r="GN53"/>
  <c r="GN101"/>
  <c r="GN81"/>
  <c r="GN76"/>
  <c r="GN64"/>
  <c r="GN48"/>
  <c r="GN205"/>
  <c r="GN137"/>
  <c r="GN49"/>
  <c r="GN72"/>
  <c r="GN169"/>
  <c r="GN182"/>
  <c r="GN90"/>
  <c r="GN203"/>
  <c r="GN139"/>
  <c r="GN111"/>
  <c r="GN59"/>
  <c r="GN200"/>
  <c r="GN60"/>
  <c r="GN153"/>
  <c r="GN145"/>
  <c r="GN129"/>
  <c r="GN121"/>
  <c r="GN126"/>
  <c r="GN62"/>
  <c r="GN54"/>
  <c r="GN83"/>
  <c r="GN136"/>
  <c r="GN128"/>
  <c r="GN112"/>
  <c r="GN170"/>
  <c r="GN162"/>
  <c r="GN110"/>
  <c r="GN78"/>
  <c r="GN46"/>
  <c r="GN191"/>
  <c r="GN127"/>
  <c r="GN197"/>
  <c r="GN71"/>
  <c r="GN181"/>
  <c r="GN93"/>
  <c r="GN120"/>
  <c r="GN96"/>
  <c r="GN141"/>
  <c r="GN109"/>
  <c r="GN89"/>
  <c r="GN57"/>
  <c r="GN125"/>
  <c r="GN65"/>
  <c r="HI124"/>
  <c r="HI199"/>
  <c r="GQ133"/>
  <c r="GQ75"/>
  <c r="GQ203"/>
  <c r="L201" i="15" s="1"/>
  <c r="GQ73" i="9"/>
  <c r="L71" i="15" s="1"/>
  <c r="GQ86" i="9"/>
  <c r="GQ93"/>
  <c r="L91" i="15" s="1"/>
  <c r="GQ113" i="9"/>
  <c r="L111" i="15" s="1"/>
  <c r="GQ66" i="9"/>
  <c r="L64" i="15" s="1"/>
  <c r="GQ95" i="9"/>
  <c r="L93" i="15" s="1"/>
  <c r="GQ70" i="9"/>
  <c r="HI163"/>
  <c r="GT102"/>
  <c r="M100" i="15" s="1"/>
  <c r="GT68" i="9"/>
  <c r="GT159"/>
  <c r="GT144"/>
  <c r="M142" i="15" s="1"/>
  <c r="GT136" i="9"/>
  <c r="M134" i="15" s="1"/>
  <c r="GT191" i="9"/>
  <c r="GT179"/>
  <c r="GT135"/>
  <c r="M133" i="15" s="1"/>
  <c r="GT67" i="9"/>
  <c r="GT202"/>
  <c r="GT171"/>
  <c r="GT79"/>
  <c r="GT77"/>
  <c r="GT69"/>
  <c r="GT201"/>
  <c r="GT94"/>
  <c r="GT63"/>
  <c r="M61" i="15" s="1"/>
  <c r="GT169" i="9"/>
  <c r="GT184"/>
  <c r="GT142"/>
  <c r="GT55"/>
  <c r="M53" i="15" s="1"/>
  <c r="GT58" i="9"/>
  <c r="GT45"/>
  <c r="GT137"/>
  <c r="GT105"/>
  <c r="GT72"/>
  <c r="GT41"/>
  <c r="GT103"/>
  <c r="M101" i="15" s="1"/>
  <c r="GT168" i="9"/>
  <c r="GT161"/>
  <c r="GT155"/>
  <c r="GT200"/>
  <c r="M198" i="15" s="1"/>
  <c r="GT97" i="9"/>
  <c r="M95" i="15" s="1"/>
  <c r="GT61" i="9"/>
  <c r="GT65"/>
  <c r="GT49"/>
  <c r="GT87"/>
  <c r="GT172"/>
  <c r="GT108"/>
  <c r="GT181"/>
  <c r="GT166"/>
  <c r="GT163"/>
  <c r="GT99"/>
  <c r="GT74"/>
  <c r="M72" i="15" s="1"/>
  <c r="GT195" i="9"/>
  <c r="GT162"/>
  <c r="GT54"/>
  <c r="GT95"/>
  <c r="M93" i="15" s="1"/>
  <c r="GT85" i="9"/>
  <c r="GT57"/>
  <c r="GT153"/>
  <c r="GT89"/>
  <c r="M87" i="15" s="1"/>
  <c r="GT53" i="9"/>
  <c r="HI193"/>
  <c r="GQ96"/>
  <c r="GQ92"/>
  <c r="HI60"/>
  <c r="HC136"/>
  <c r="GQ52"/>
  <c r="GQ196"/>
  <c r="HC148"/>
  <c r="GQ136"/>
  <c r="GQ64"/>
  <c r="GQ160"/>
  <c r="L158" i="15" s="1"/>
  <c r="GQ128" i="9"/>
  <c r="GQ193"/>
  <c r="HI177"/>
  <c r="GQ198"/>
  <c r="GQ200"/>
  <c r="GQ140"/>
  <c r="L138" i="15" s="1"/>
  <c r="HC124" i="9"/>
  <c r="GQ148"/>
  <c r="HC91"/>
  <c r="GZ173"/>
  <c r="HF64"/>
  <c r="GZ186"/>
  <c r="HC99"/>
  <c r="HI194"/>
  <c r="HF101"/>
  <c r="HI51"/>
  <c r="HF126"/>
  <c r="HI93"/>
  <c r="HF189"/>
  <c r="GZ177"/>
  <c r="HI117"/>
  <c r="HI155"/>
  <c r="HF76"/>
  <c r="HI64"/>
  <c r="HI111"/>
  <c r="HI76"/>
  <c r="HI169"/>
  <c r="GZ138"/>
  <c r="GQ144"/>
  <c r="HI99"/>
  <c r="GQ54"/>
  <c r="HC191"/>
  <c r="GQ87"/>
  <c r="HC206"/>
  <c r="HF117"/>
  <c r="HF53"/>
  <c r="HI160"/>
  <c r="HI156"/>
  <c r="HI202"/>
  <c r="HI191"/>
  <c r="HI167"/>
  <c r="HI123"/>
  <c r="HI107"/>
  <c r="HI149"/>
  <c r="HI53"/>
  <c r="GZ194"/>
  <c r="GR194"/>
  <c r="GS194"/>
  <c r="GP178"/>
  <c r="HF154"/>
  <c r="GZ146"/>
  <c r="HC146"/>
  <c r="GS138"/>
  <c r="GR138"/>
  <c r="GS134"/>
  <c r="GR134"/>
  <c r="GO86"/>
  <c r="HF82"/>
  <c r="HC82"/>
  <c r="HI151"/>
  <c r="HI135"/>
  <c r="HI115"/>
  <c r="HF109"/>
  <c r="HF198"/>
  <c r="HI178"/>
  <c r="GS154"/>
  <c r="GR154"/>
  <c r="HI146"/>
  <c r="HF138"/>
  <c r="HC134"/>
  <c r="HI86"/>
  <c r="GR82"/>
  <c r="GS82"/>
  <c r="HI70"/>
  <c r="GP66"/>
  <c r="HF110"/>
  <c r="HI62"/>
  <c r="GZ117"/>
  <c r="HC41"/>
  <c r="GZ198"/>
  <c r="GR178"/>
  <c r="GS178"/>
  <c r="HF178"/>
  <c r="GZ154"/>
  <c r="HF134"/>
  <c r="GZ134"/>
  <c r="HC86"/>
  <c r="GZ86"/>
  <c r="GZ70"/>
  <c r="HI66"/>
  <c r="HI139"/>
  <c r="HF123"/>
  <c r="HI168"/>
  <c r="GZ116"/>
  <c r="HF197"/>
  <c r="GZ178"/>
  <c r="HI154"/>
  <c r="GS146"/>
  <c r="GR146"/>
  <c r="HI138"/>
  <c r="HI134"/>
  <c r="HF86"/>
  <c r="GZ82"/>
  <c r="HI82"/>
  <c r="HF70"/>
  <c r="HC70"/>
  <c r="GZ66"/>
  <c r="HC46"/>
  <c r="GP46"/>
  <c r="HI175"/>
  <c r="HC167"/>
  <c r="GZ111"/>
  <c r="HC111"/>
  <c r="GZ91"/>
  <c r="HI75"/>
  <c r="GR71"/>
  <c r="GS71"/>
  <c r="GZ71"/>
  <c r="HC51"/>
  <c r="HF51"/>
  <c r="GZ206"/>
  <c r="GZ164"/>
  <c r="GZ124"/>
  <c r="HF124"/>
  <c r="HI104"/>
  <c r="GZ100"/>
  <c r="HF80"/>
  <c r="GR80"/>
  <c r="GS80"/>
  <c r="HC60"/>
  <c r="GZ52"/>
  <c r="HI52"/>
  <c r="GR48"/>
  <c r="GS48"/>
  <c r="GS40"/>
  <c r="GR40"/>
  <c r="GZ193"/>
  <c r="GP173"/>
  <c r="HI173"/>
  <c r="HI125"/>
  <c r="HF113"/>
  <c r="HI174"/>
  <c r="HI150"/>
  <c r="HF150"/>
  <c r="GZ118"/>
  <c r="HI114"/>
  <c r="GS106"/>
  <c r="GR106"/>
  <c r="HI98"/>
  <c r="GZ78"/>
  <c r="HF50"/>
  <c r="GZ199"/>
  <c r="GR187"/>
  <c r="GS187"/>
  <c r="GO187"/>
  <c r="GZ183"/>
  <c r="GR151"/>
  <c r="GS151"/>
  <c r="HC147"/>
  <c r="HI127"/>
  <c r="GZ123"/>
  <c r="HC123"/>
  <c r="HI47"/>
  <c r="HF180"/>
  <c r="HI180"/>
  <c r="GZ160"/>
  <c r="HF152"/>
  <c r="HI152"/>
  <c r="HF120"/>
  <c r="GR116"/>
  <c r="GS116"/>
  <c r="HI92"/>
  <c r="HI56"/>
  <c r="HI197"/>
  <c r="HF161"/>
  <c r="GZ157"/>
  <c r="HI145"/>
  <c r="HI129"/>
  <c r="HF121"/>
  <c r="GZ93"/>
  <c r="GR81"/>
  <c r="GS81"/>
  <c r="GR182"/>
  <c r="GS182"/>
  <c r="GR170"/>
  <c r="GS170"/>
  <c r="HC170"/>
  <c r="GR162"/>
  <c r="GS162"/>
  <c r="HF162"/>
  <c r="GR130"/>
  <c r="GS130"/>
  <c r="HI126"/>
  <c r="GZ110"/>
  <c r="GR74"/>
  <c r="GS74"/>
  <c r="HI171"/>
  <c r="GZ115"/>
  <c r="HF107"/>
  <c r="GP95"/>
  <c r="HF87"/>
  <c r="HF67"/>
  <c r="HC39"/>
  <c r="HC188"/>
  <c r="HI188"/>
  <c r="HI184"/>
  <c r="HC140"/>
  <c r="GZ140"/>
  <c r="GZ96"/>
  <c r="HI88"/>
  <c r="GS68"/>
  <c r="GR68"/>
  <c r="GS205"/>
  <c r="GR205"/>
  <c r="GS165"/>
  <c r="GR165"/>
  <c r="HI141"/>
  <c r="HI137"/>
  <c r="GP61"/>
  <c r="HI45"/>
  <c r="GR45"/>
  <c r="GS45"/>
  <c r="HF151"/>
  <c r="HI116"/>
  <c r="GZ190"/>
  <c r="HI186"/>
  <c r="GR186"/>
  <c r="GS186"/>
  <c r="HI166"/>
  <c r="HI142"/>
  <c r="HI102"/>
  <c r="GS94"/>
  <c r="GR94"/>
  <c r="HF42"/>
  <c r="HC195"/>
  <c r="HC139"/>
  <c r="GZ83"/>
  <c r="GR79"/>
  <c r="GS79"/>
  <c r="HI79"/>
  <c r="HF63"/>
  <c r="HI196"/>
  <c r="HF192"/>
  <c r="HI172"/>
  <c r="HF148"/>
  <c r="HI148"/>
  <c r="HF108"/>
  <c r="HC108"/>
  <c r="GP44"/>
  <c r="GO153"/>
  <c r="HC105"/>
  <c r="HI105"/>
  <c r="HI89"/>
  <c r="HI85"/>
  <c r="GR77"/>
  <c r="GS77"/>
  <c r="GR57"/>
  <c r="GS57"/>
  <c r="HC49"/>
  <c r="GS46"/>
  <c r="GR46"/>
  <c r="GR175"/>
  <c r="GS175"/>
  <c r="GR167"/>
  <c r="GS167"/>
  <c r="GS163"/>
  <c r="GR163"/>
  <c r="GZ131"/>
  <c r="HC131"/>
  <c r="HI91"/>
  <c r="HC71"/>
  <c r="HF71"/>
  <c r="GZ51"/>
  <c r="GS43"/>
  <c r="GR43"/>
  <c r="GZ43"/>
  <c r="HI206"/>
  <c r="GZ204"/>
  <c r="GZ176"/>
  <c r="HI132"/>
  <c r="HF128"/>
  <c r="HI112"/>
  <c r="HC104"/>
  <c r="GZ104"/>
  <c r="GR76"/>
  <c r="GS76"/>
  <c r="GZ64"/>
  <c r="GZ60"/>
  <c r="GZ48"/>
  <c r="HF193"/>
  <c r="GS189"/>
  <c r="GR189"/>
  <c r="GR173"/>
  <c r="GS173"/>
  <c r="HC125"/>
  <c r="HI41"/>
  <c r="GR174"/>
  <c r="GS174"/>
  <c r="HF174"/>
  <c r="GS158"/>
  <c r="GR158"/>
  <c r="HI118"/>
  <c r="GS118"/>
  <c r="GR118"/>
  <c r="HF78"/>
  <c r="GR38"/>
  <c r="GS38"/>
  <c r="GZ203"/>
  <c r="GS199"/>
  <c r="GR199"/>
  <c r="HF187"/>
  <c r="GR183"/>
  <c r="GS183"/>
  <c r="GZ151"/>
  <c r="GZ147"/>
  <c r="HF147"/>
  <c r="GZ143"/>
  <c r="HC127"/>
  <c r="HF127"/>
  <c r="GR47"/>
  <c r="GS47"/>
  <c r="HC160"/>
  <c r="HC152"/>
  <c r="HC120"/>
  <c r="GZ120"/>
  <c r="HF92"/>
  <c r="GZ84"/>
  <c r="GR84"/>
  <c r="GS84"/>
  <c r="GS201"/>
  <c r="GR201"/>
  <c r="HC197"/>
  <c r="GZ197"/>
  <c r="HC185"/>
  <c r="HI181"/>
  <c r="HI161"/>
  <c r="HC149"/>
  <c r="GZ149"/>
  <c r="HC133"/>
  <c r="HC93"/>
  <c r="GZ81"/>
  <c r="HI73"/>
  <c r="HC151"/>
  <c r="HI121"/>
  <c r="HI182"/>
  <c r="GZ170"/>
  <c r="HF170"/>
  <c r="GZ130"/>
  <c r="GR126"/>
  <c r="GS126"/>
  <c r="GS122"/>
  <c r="GR122"/>
  <c r="HI110"/>
  <c r="GZ90"/>
  <c r="HI90"/>
  <c r="GZ62"/>
  <c r="GR115"/>
  <c r="GS115"/>
  <c r="HC95"/>
  <c r="HC87"/>
  <c r="HI67"/>
  <c r="HF188"/>
  <c r="HF184"/>
  <c r="HI136"/>
  <c r="HI96"/>
  <c r="HC68"/>
  <c r="GZ205"/>
  <c r="HF205"/>
  <c r="GZ165"/>
  <c r="GZ141"/>
  <c r="GR69"/>
  <c r="GS69"/>
  <c r="GR53"/>
  <c r="GS53"/>
  <c r="HC45"/>
  <c r="HC143"/>
  <c r="GO190"/>
  <c r="GR190"/>
  <c r="GS190"/>
  <c r="HF186"/>
  <c r="GP142"/>
  <c r="GR142"/>
  <c r="GS142"/>
  <c r="GO94"/>
  <c r="GR58"/>
  <c r="GS58"/>
  <c r="HC42"/>
  <c r="HI42"/>
  <c r="GR191"/>
  <c r="GS191"/>
  <c r="HI179"/>
  <c r="GS179"/>
  <c r="GR179"/>
  <c r="GZ139"/>
  <c r="HC83"/>
  <c r="GR83"/>
  <c r="GS83"/>
  <c r="HI63"/>
  <c r="HC63"/>
  <c r="GZ59"/>
  <c r="HI59"/>
  <c r="HI55"/>
  <c r="GP196"/>
  <c r="GZ196"/>
  <c r="HI192"/>
  <c r="HF172"/>
  <c r="GR168"/>
  <c r="GS168"/>
  <c r="GZ156"/>
  <c r="GO156"/>
  <c r="HI144"/>
  <c r="GR108"/>
  <c r="GS108"/>
  <c r="HF72"/>
  <c r="HI72"/>
  <c r="HI44"/>
  <c r="GO169"/>
  <c r="GR153"/>
  <c r="GS153"/>
  <c r="GR105"/>
  <c r="GS105"/>
  <c r="GS85"/>
  <c r="GR85"/>
  <c r="GR65"/>
  <c r="GS65"/>
  <c r="HC57"/>
  <c r="GZ46"/>
  <c r="HF175"/>
  <c r="GZ167"/>
  <c r="HF163"/>
  <c r="GS131"/>
  <c r="GR131"/>
  <c r="GR111"/>
  <c r="GS111"/>
  <c r="HF91"/>
  <c r="HI71"/>
  <c r="HC43"/>
  <c r="HF43"/>
  <c r="GR206"/>
  <c r="GS206"/>
  <c r="HI204"/>
  <c r="HI176"/>
  <c r="GR176"/>
  <c r="GS176"/>
  <c r="HI164"/>
  <c r="HC132"/>
  <c r="GZ132"/>
  <c r="GZ128"/>
  <c r="GR124"/>
  <c r="GS124"/>
  <c r="GZ112"/>
  <c r="GR104"/>
  <c r="GS104"/>
  <c r="HF100"/>
  <c r="HI100"/>
  <c r="GZ76"/>
  <c r="GP64"/>
  <c r="GS60"/>
  <c r="GR60"/>
  <c r="GO193"/>
  <c r="GZ189"/>
  <c r="HI189"/>
  <c r="GS177"/>
  <c r="GR177"/>
  <c r="HF177"/>
  <c r="HF173"/>
  <c r="GS125"/>
  <c r="GR125"/>
  <c r="GZ125"/>
  <c r="GP113"/>
  <c r="GZ113"/>
  <c r="HF143"/>
  <c r="HC174"/>
  <c r="GZ174"/>
  <c r="HI158"/>
  <c r="HC158"/>
  <c r="GO150"/>
  <c r="GS150"/>
  <c r="GR150"/>
  <c r="GS114"/>
  <c r="GR114"/>
  <c r="GP106"/>
  <c r="GZ106"/>
  <c r="GS98"/>
  <c r="GR98"/>
  <c r="GZ98"/>
  <c r="HC78"/>
  <c r="GZ50"/>
  <c r="HI50"/>
  <c r="HC38"/>
  <c r="HI203"/>
  <c r="GO199"/>
  <c r="HI187"/>
  <c r="GR127"/>
  <c r="GS127"/>
  <c r="GR123"/>
  <c r="GS123"/>
  <c r="HI119"/>
  <c r="GR119"/>
  <c r="GS119"/>
  <c r="HC47"/>
  <c r="GZ47"/>
  <c r="GR180"/>
  <c r="GS180"/>
  <c r="GR152"/>
  <c r="GS152"/>
  <c r="HI120"/>
  <c r="HF116"/>
  <c r="HC92"/>
  <c r="GZ92"/>
  <c r="HI84"/>
  <c r="HC84"/>
  <c r="GR56"/>
  <c r="GS56"/>
  <c r="GS197"/>
  <c r="GR197"/>
  <c r="GS185"/>
  <c r="GR185"/>
  <c r="GS181"/>
  <c r="GR181"/>
  <c r="HC157"/>
  <c r="HI157"/>
  <c r="HF149"/>
  <c r="GR145"/>
  <c r="GS145"/>
  <c r="GZ145"/>
  <c r="HI133"/>
  <c r="GR129"/>
  <c r="GS129"/>
  <c r="GZ121"/>
  <c r="GZ109"/>
  <c r="HF93"/>
  <c r="HC81"/>
  <c r="HF73"/>
  <c r="HI159"/>
  <c r="GZ185"/>
  <c r="HF182"/>
  <c r="HC162"/>
  <c r="GZ122"/>
  <c r="HF122"/>
  <c r="GR110"/>
  <c r="GS110"/>
  <c r="HI74"/>
  <c r="HF62"/>
  <c r="GO171"/>
  <c r="GZ107"/>
  <c r="HI95"/>
  <c r="GO67"/>
  <c r="GZ39"/>
  <c r="GS39"/>
  <c r="GR39"/>
  <c r="GR188"/>
  <c r="GS188"/>
  <c r="GR184"/>
  <c r="GS184"/>
  <c r="GO140"/>
  <c r="HF96"/>
  <c r="GZ88"/>
  <c r="GS88"/>
  <c r="GR88"/>
  <c r="HI205"/>
  <c r="HI165"/>
  <c r="GR141"/>
  <c r="GS141"/>
  <c r="GR137"/>
  <c r="GS137"/>
  <c r="HI97"/>
  <c r="HI69"/>
  <c r="HI61"/>
  <c r="GS41"/>
  <c r="GR41"/>
  <c r="HC126"/>
  <c r="HI143"/>
  <c r="GR202"/>
  <c r="GS202"/>
  <c r="HI190"/>
  <c r="GR102"/>
  <c r="GS102"/>
  <c r="HI94"/>
  <c r="HI58"/>
  <c r="GO42"/>
  <c r="GZ42"/>
  <c r="HI195"/>
  <c r="HF179"/>
  <c r="GP179"/>
  <c r="GR155"/>
  <c r="GS155"/>
  <c r="GR139"/>
  <c r="GS139"/>
  <c r="GP135"/>
  <c r="GS99"/>
  <c r="GR99"/>
  <c r="GP83"/>
  <c r="HC79"/>
  <c r="HC59"/>
  <c r="HC55"/>
  <c r="GO192"/>
  <c r="GZ192"/>
  <c r="GR172"/>
  <c r="GS172"/>
  <c r="HI108"/>
  <c r="GS72"/>
  <c r="GR72"/>
  <c r="HC44"/>
  <c r="GZ44"/>
  <c r="GR169"/>
  <c r="GS169"/>
  <c r="HF153"/>
  <c r="GZ101"/>
  <c r="GS101"/>
  <c r="GR101"/>
  <c r="GR89"/>
  <c r="GS89"/>
  <c r="HI77"/>
  <c r="HI65"/>
  <c r="HI57"/>
  <c r="HF57"/>
  <c r="HI49"/>
  <c r="HI46"/>
  <c r="GZ175"/>
  <c r="HF111"/>
  <c r="GS91"/>
  <c r="GR91"/>
  <c r="GZ75"/>
  <c r="GS51"/>
  <c r="GR51"/>
  <c r="GS204"/>
  <c r="GR204"/>
  <c r="GO176"/>
  <c r="HC176"/>
  <c r="GR164"/>
  <c r="GS164"/>
  <c r="HC164"/>
  <c r="GR132"/>
  <c r="GS132"/>
  <c r="HF132"/>
  <c r="HI128"/>
  <c r="GR112"/>
  <c r="GS112"/>
  <c r="HF112"/>
  <c r="GP104"/>
  <c r="GR100"/>
  <c r="GS100"/>
  <c r="GZ80"/>
  <c r="HI80"/>
  <c r="HC52"/>
  <c r="HF52"/>
  <c r="HC48"/>
  <c r="HI40"/>
  <c r="GZ40"/>
  <c r="HC193"/>
  <c r="HC173"/>
  <c r="HI113"/>
  <c r="HF158"/>
  <c r="GZ158"/>
  <c r="GZ150"/>
  <c r="HC150"/>
  <c r="GZ114"/>
  <c r="HC114"/>
  <c r="HI106"/>
  <c r="HF98"/>
  <c r="GS78"/>
  <c r="GR78"/>
  <c r="GS50"/>
  <c r="GR50"/>
  <c r="HI38"/>
  <c r="HF203"/>
  <c r="GZ187"/>
  <c r="HF183"/>
  <c r="HI183"/>
  <c r="GR159"/>
  <c r="GS159"/>
  <c r="HI147"/>
  <c r="GR147"/>
  <c r="GS147"/>
  <c r="GP143"/>
  <c r="GZ127"/>
  <c r="GZ119"/>
  <c r="GO47"/>
  <c r="GZ180"/>
  <c r="GZ152"/>
  <c r="GP152"/>
  <c r="GR120"/>
  <c r="GS120"/>
  <c r="GO92"/>
  <c r="HF84"/>
  <c r="GZ56"/>
  <c r="GP201"/>
  <c r="GS161"/>
  <c r="GR161"/>
  <c r="GR157"/>
  <c r="GS157"/>
  <c r="GR149"/>
  <c r="GS149"/>
  <c r="HC145"/>
  <c r="HF145"/>
  <c r="GZ133"/>
  <c r="GO133"/>
  <c r="GZ129"/>
  <c r="GS121"/>
  <c r="GR121"/>
  <c r="GS117"/>
  <c r="GR117"/>
  <c r="HI109"/>
  <c r="GR109"/>
  <c r="GS109"/>
  <c r="HI81"/>
  <c r="GZ73"/>
  <c r="HC73"/>
  <c r="HF38"/>
  <c r="HF119"/>
  <c r="GZ182"/>
  <c r="HC182"/>
  <c r="HI170"/>
  <c r="HI162"/>
  <c r="HI130"/>
  <c r="GZ126"/>
  <c r="HC122"/>
  <c r="HI122"/>
  <c r="HC110"/>
  <c r="GS90"/>
  <c r="GR90"/>
  <c r="HC74"/>
  <c r="HF74"/>
  <c r="GR62"/>
  <c r="GS62"/>
  <c r="HF54"/>
  <c r="GR171"/>
  <c r="GS171"/>
  <c r="GR107"/>
  <c r="GS107"/>
  <c r="HF95"/>
  <c r="HI87"/>
  <c r="GS67"/>
  <c r="GR67"/>
  <c r="HI39"/>
  <c r="GZ188"/>
  <c r="HC184"/>
  <c r="HI140"/>
  <c r="HF136"/>
  <c r="HC96"/>
  <c r="GP88"/>
  <c r="HF68"/>
  <c r="HI68"/>
  <c r="GP205"/>
  <c r="HC205"/>
  <c r="HC141"/>
  <c r="HC137"/>
  <c r="HF137"/>
  <c r="GO97"/>
  <c r="GS97"/>
  <c r="GR97"/>
  <c r="HF69"/>
  <c r="GR61"/>
  <c r="GS61"/>
  <c r="GP45"/>
  <c r="GR143"/>
  <c r="GS143"/>
  <c r="HF56"/>
  <c r="HI201"/>
  <c r="HF202"/>
  <c r="HF190"/>
  <c r="GO186"/>
  <c r="HC166"/>
  <c r="GR166"/>
  <c r="GS166"/>
  <c r="HF142"/>
  <c r="HF102"/>
  <c r="GR42"/>
  <c r="GS42"/>
  <c r="GR195"/>
  <c r="GS195"/>
  <c r="GP195"/>
  <c r="HC155"/>
  <c r="GR135"/>
  <c r="GS135"/>
  <c r="GR103"/>
  <c r="GS103"/>
  <c r="HF103"/>
  <c r="HF99"/>
  <c r="HI83"/>
  <c r="HF79"/>
  <c r="GR63"/>
  <c r="GS63"/>
  <c r="GR59"/>
  <c r="GS59"/>
  <c r="GR55"/>
  <c r="GS55"/>
  <c r="HI200"/>
  <c r="HC196"/>
  <c r="HF196"/>
  <c r="GR192"/>
  <c r="GS192"/>
  <c r="HC172"/>
  <c r="GR156"/>
  <c r="GS156"/>
  <c r="GZ148"/>
  <c r="GO148"/>
  <c r="HF144"/>
  <c r="HC144"/>
  <c r="HC72"/>
  <c r="GR44"/>
  <c r="GS44"/>
  <c r="HI153"/>
  <c r="HI101"/>
  <c r="HC89"/>
  <c r="HF89"/>
  <c r="HC85"/>
  <c r="HF85"/>
  <c r="HF77"/>
  <c r="HC65"/>
  <c r="GS49"/>
  <c r="GR49"/>
  <c r="L146" i="12" l="1"/>
  <c r="L146" i="15"/>
  <c r="L196" i="12"/>
  <c r="L196" i="15"/>
  <c r="L194" i="12"/>
  <c r="L194" i="15"/>
  <c r="L90" i="12"/>
  <c r="L90" i="15"/>
  <c r="HA181" i="9"/>
  <c r="M179" i="15"/>
  <c r="HA49" i="9"/>
  <c r="M47" i="15"/>
  <c r="HA137" i="9"/>
  <c r="M135" i="15"/>
  <c r="HA142" i="9"/>
  <c r="M140" i="15"/>
  <c r="HA94" i="9"/>
  <c r="M92" i="15"/>
  <c r="HA79" i="9"/>
  <c r="M77" i="15"/>
  <c r="K87" i="12"/>
  <c r="K87" i="15"/>
  <c r="S87" s="1"/>
  <c r="K118" i="12"/>
  <c r="K118" i="15"/>
  <c r="K195" i="12"/>
  <c r="K195" i="15"/>
  <c r="K76" i="12"/>
  <c r="K76" i="15"/>
  <c r="K110" i="12"/>
  <c r="K110" i="15"/>
  <c r="K52" i="12"/>
  <c r="K52" i="15"/>
  <c r="K127" i="12"/>
  <c r="K127" i="15"/>
  <c r="S127" s="1"/>
  <c r="K198" i="12"/>
  <c r="K198" i="15"/>
  <c r="K201" i="12"/>
  <c r="K201" i="15"/>
  <c r="K70" i="12"/>
  <c r="K70" i="15"/>
  <c r="K46" i="12"/>
  <c r="K46" i="15"/>
  <c r="K99" i="12"/>
  <c r="K99" i="15"/>
  <c r="K49" i="12"/>
  <c r="K49" i="15"/>
  <c r="K128" i="12"/>
  <c r="K128" i="15"/>
  <c r="K41" i="12"/>
  <c r="K41" i="15"/>
  <c r="K96" i="12"/>
  <c r="K96" i="15"/>
  <c r="K116" i="12"/>
  <c r="K116" i="15"/>
  <c r="K170" i="12"/>
  <c r="K170" i="15"/>
  <c r="K196" i="12"/>
  <c r="K196" i="15"/>
  <c r="K39" i="12"/>
  <c r="K39" i="15"/>
  <c r="K162" i="12"/>
  <c r="K162" i="15"/>
  <c r="K103" i="12"/>
  <c r="K103" i="15"/>
  <c r="K193" i="12"/>
  <c r="K193" i="15"/>
  <c r="K106" i="12"/>
  <c r="K106" i="15"/>
  <c r="K138" i="12"/>
  <c r="K138" i="15"/>
  <c r="K204" i="12"/>
  <c r="K204" i="15"/>
  <c r="K164" i="12"/>
  <c r="K164" i="15"/>
  <c r="K181" i="12"/>
  <c r="K181" i="15"/>
  <c r="K172" i="12"/>
  <c r="K172" i="15"/>
  <c r="K75" i="12"/>
  <c r="K75" i="15"/>
  <c r="K86" i="12"/>
  <c r="K86" i="15"/>
  <c r="K67" i="12"/>
  <c r="K67" i="15"/>
  <c r="K77" i="12"/>
  <c r="K77" i="15"/>
  <c r="S77" s="1"/>
  <c r="K36" i="12"/>
  <c r="K36" i="15"/>
  <c r="K176" i="12"/>
  <c r="K176" i="15"/>
  <c r="K199" i="12"/>
  <c r="K199" i="15"/>
  <c r="K105" i="12"/>
  <c r="K105" i="15"/>
  <c r="S105" s="1"/>
  <c r="K92" i="12"/>
  <c r="K92" i="15"/>
  <c r="K158" i="12"/>
  <c r="K158" i="15"/>
  <c r="K117" i="12"/>
  <c r="K117" i="15"/>
  <c r="K93" i="12"/>
  <c r="K93" i="15"/>
  <c r="S93" s="1"/>
  <c r="K177" i="12"/>
  <c r="K177" i="15"/>
  <c r="R41" i="12"/>
  <c r="N41" i="15"/>
  <c r="R185" i="12"/>
  <c r="N185" i="15"/>
  <c r="R96" i="12"/>
  <c r="N96" i="15"/>
  <c r="S96" s="1"/>
  <c r="R107" i="12"/>
  <c r="N107" i="15"/>
  <c r="R54" i="12"/>
  <c r="N54" i="15"/>
  <c r="R161" i="12"/>
  <c r="N161" i="15"/>
  <c r="R152" i="12"/>
  <c r="N152" i="15"/>
  <c r="R46" i="12"/>
  <c r="N46" i="15"/>
  <c r="R126" i="12"/>
  <c r="N126" i="15"/>
  <c r="R181" i="12"/>
  <c r="N181" i="15"/>
  <c r="S144" i="12"/>
  <c r="O144" i="15"/>
  <c r="S102" i="12"/>
  <c r="O102" i="15"/>
  <c r="S84" i="12"/>
  <c r="O84" i="15"/>
  <c r="S79" i="12"/>
  <c r="O79" i="15"/>
  <c r="S204" i="12"/>
  <c r="O204" i="15"/>
  <c r="S131" i="12"/>
  <c r="O131" i="15"/>
  <c r="S46" i="12"/>
  <c r="O46" i="15"/>
  <c r="S174" i="12"/>
  <c r="O174" i="15"/>
  <c r="S108" i="12"/>
  <c r="O108" i="15"/>
  <c r="S98" i="12"/>
  <c r="O98" i="15"/>
  <c r="S89" i="12"/>
  <c r="O89" i="15"/>
  <c r="S141" i="12"/>
  <c r="O141" i="15"/>
  <c r="L85" i="12"/>
  <c r="L85" i="15"/>
  <c r="L142" i="12"/>
  <c r="L142" i="15"/>
  <c r="L198" i="12"/>
  <c r="L198" i="15"/>
  <c r="S198" s="1"/>
  <c r="L126" i="12"/>
  <c r="L126" i="15"/>
  <c r="HA53" i="9"/>
  <c r="M51" i="15"/>
  <c r="GZ85" i="9"/>
  <c r="M83" i="15"/>
  <c r="HA195" i="9"/>
  <c r="M193" i="15"/>
  <c r="GZ166" i="9"/>
  <c r="M164" i="15"/>
  <c r="HA87" i="9"/>
  <c r="M85" i="15"/>
  <c r="GZ168" i="9"/>
  <c r="M166" i="15"/>
  <c r="HA105" i="9"/>
  <c r="M103" i="15"/>
  <c r="HA77" i="9"/>
  <c r="M75" i="15"/>
  <c r="HA67" i="9"/>
  <c r="M65" i="15"/>
  <c r="K55" i="12"/>
  <c r="K55" i="15"/>
  <c r="K94" i="12"/>
  <c r="K94" i="15"/>
  <c r="K69" i="12"/>
  <c r="K69" i="15"/>
  <c r="K44" i="12"/>
  <c r="K44" i="15"/>
  <c r="K168" i="12"/>
  <c r="K168" i="15"/>
  <c r="K81" i="12"/>
  <c r="K81" i="15"/>
  <c r="S81" s="1"/>
  <c r="K119" i="12"/>
  <c r="K119" i="15"/>
  <c r="S119" s="1"/>
  <c r="K58" i="12"/>
  <c r="K58" i="15"/>
  <c r="K137" i="12"/>
  <c r="K137" i="15"/>
  <c r="S137" s="1"/>
  <c r="K167" i="12"/>
  <c r="K167" i="15"/>
  <c r="K203" i="12"/>
  <c r="K203" i="15"/>
  <c r="S203" s="1"/>
  <c r="K79" i="12"/>
  <c r="K79" i="15"/>
  <c r="K166" i="12"/>
  <c r="K166" i="15"/>
  <c r="K100" i="12"/>
  <c r="K100" i="15"/>
  <c r="S100" s="1"/>
  <c r="K142" i="12"/>
  <c r="K142" i="15"/>
  <c r="K40" i="12"/>
  <c r="K40" i="15"/>
  <c r="K85" i="12"/>
  <c r="K85" i="15"/>
  <c r="K98" i="12"/>
  <c r="K98" i="15"/>
  <c r="K197" i="12"/>
  <c r="K197" i="15"/>
  <c r="S197" s="1"/>
  <c r="K131" i="12"/>
  <c r="K131" i="15"/>
  <c r="K82" i="12"/>
  <c r="K82" i="15"/>
  <c r="K71" i="12"/>
  <c r="K71" i="15"/>
  <c r="S71" s="1"/>
  <c r="K121" i="12"/>
  <c r="K121" i="15"/>
  <c r="K183" i="12"/>
  <c r="K183" i="15"/>
  <c r="K90" i="12"/>
  <c r="K90" i="15"/>
  <c r="K186" i="12"/>
  <c r="K186" i="15"/>
  <c r="K68" i="12"/>
  <c r="K68" i="15"/>
  <c r="K169" i="12"/>
  <c r="K169" i="15"/>
  <c r="K148" i="12"/>
  <c r="K148" i="15"/>
  <c r="K43" i="12"/>
  <c r="K43" i="15"/>
  <c r="K42" i="12"/>
  <c r="K42" i="15"/>
  <c r="K154" i="12"/>
  <c r="K154" i="15"/>
  <c r="S154" s="1"/>
  <c r="K65" i="12"/>
  <c r="K65" i="15"/>
  <c r="K185" i="12"/>
  <c r="K185" i="15"/>
  <c r="S185" s="1"/>
  <c r="K152" i="12"/>
  <c r="K152" i="15"/>
  <c r="K187" i="12"/>
  <c r="K187" i="15"/>
  <c r="K61" i="12"/>
  <c r="K61" i="15"/>
  <c r="S61" s="1"/>
  <c r="K72" i="12"/>
  <c r="K72" i="15"/>
  <c r="K200" i="12"/>
  <c r="K200" i="15"/>
  <c r="K89" i="12"/>
  <c r="K89" i="15"/>
  <c r="K37" i="12"/>
  <c r="K37" i="15"/>
  <c r="K157" i="12"/>
  <c r="K157" i="15"/>
  <c r="R80" i="12"/>
  <c r="N80" i="15"/>
  <c r="R118" i="12"/>
  <c r="N118" i="15"/>
  <c r="R125" i="12"/>
  <c r="N125" i="15"/>
  <c r="R84" i="12"/>
  <c r="N84" i="15"/>
  <c r="R148" i="12"/>
  <c r="N148" i="15"/>
  <c r="R143" i="12"/>
  <c r="N143" i="15"/>
  <c r="R170" i="12"/>
  <c r="N170" i="15"/>
  <c r="R145" i="12"/>
  <c r="N145" i="15"/>
  <c r="R195" i="12"/>
  <c r="N195" i="15"/>
  <c r="R165" i="12"/>
  <c r="N165" i="15"/>
  <c r="R39" i="12"/>
  <c r="N39" i="15"/>
  <c r="S52" i="12"/>
  <c r="O52" i="15"/>
  <c r="S196" i="12"/>
  <c r="O196" i="15"/>
  <c r="S120" i="12"/>
  <c r="O120" i="15"/>
  <c r="S195" i="12"/>
  <c r="O195" i="15"/>
  <c r="S76" i="12"/>
  <c r="O76" i="15"/>
  <c r="S76" s="1"/>
  <c r="S41" i="12"/>
  <c r="O41" i="15"/>
  <c r="S86"/>
  <c r="S128"/>
  <c r="S116"/>
  <c r="S110"/>
  <c r="S164"/>
  <c r="L191" i="12"/>
  <c r="L191" i="15"/>
  <c r="L134" i="12"/>
  <c r="L134" i="15"/>
  <c r="HA57" i="9"/>
  <c r="M55" i="15"/>
  <c r="HA162" i="9"/>
  <c r="M160" i="15"/>
  <c r="HA163" i="9"/>
  <c r="M161" i="15"/>
  <c r="HA172" i="9"/>
  <c r="M170" i="15"/>
  <c r="HA61" i="9"/>
  <c r="M59" i="15"/>
  <c r="HA161" i="9"/>
  <c r="M159" i="15"/>
  <c r="HA72" i="9"/>
  <c r="M70" i="15"/>
  <c r="HA58" i="9"/>
  <c r="M56" i="15"/>
  <c r="HA169" i="9"/>
  <c r="M167" i="15"/>
  <c r="HA69" i="9"/>
  <c r="M67" i="15"/>
  <c r="HA202" i="9"/>
  <c r="M200" i="15"/>
  <c r="HA191" i="9"/>
  <c r="M189" i="15"/>
  <c r="HA68" i="9"/>
  <c r="M66" i="15"/>
  <c r="L84" i="12"/>
  <c r="L84" i="15"/>
  <c r="L131" i="12"/>
  <c r="L131" i="15"/>
  <c r="K123" i="12"/>
  <c r="K123" i="15"/>
  <c r="S123" s="1"/>
  <c r="K139" i="12"/>
  <c r="K139" i="15"/>
  <c r="S139" s="1"/>
  <c r="K179" i="12"/>
  <c r="K179" i="15"/>
  <c r="K189" i="12"/>
  <c r="K189" i="15"/>
  <c r="K160" i="12"/>
  <c r="K160" i="15"/>
  <c r="K134" i="12"/>
  <c r="K134" i="15"/>
  <c r="K124" i="12"/>
  <c r="K124" i="15"/>
  <c r="K151" i="12"/>
  <c r="K151" i="15"/>
  <c r="K109" i="12"/>
  <c r="K109" i="15"/>
  <c r="K180" i="12"/>
  <c r="K180" i="15"/>
  <c r="K135" i="12"/>
  <c r="K135" i="15"/>
  <c r="S135" s="1"/>
  <c r="K74" i="12"/>
  <c r="K74" i="15"/>
  <c r="K83" i="12"/>
  <c r="K83" i="15"/>
  <c r="S83" s="1"/>
  <c r="K80" i="12"/>
  <c r="K80" i="15"/>
  <c r="K163" i="12"/>
  <c r="K163" i="15"/>
  <c r="S163" s="1"/>
  <c r="K165" i="12"/>
  <c r="K165" i="15"/>
  <c r="K202" i="12"/>
  <c r="K202" i="15"/>
  <c r="S202" s="1"/>
  <c r="K54" i="12"/>
  <c r="K54" i="15"/>
  <c r="S54" s="1"/>
  <c r="K129" i="12"/>
  <c r="K129" i="15"/>
  <c r="S129" s="1"/>
  <c r="K50" i="12"/>
  <c r="K50" i="15"/>
  <c r="K38" i="12"/>
  <c r="K38" i="15"/>
  <c r="S38" s="1"/>
  <c r="K175" i="12"/>
  <c r="K175" i="15"/>
  <c r="K73" i="12"/>
  <c r="K73" i="15"/>
  <c r="K192" i="12"/>
  <c r="K192" i="15"/>
  <c r="K78" i="12"/>
  <c r="K78" i="15"/>
  <c r="K174" i="12"/>
  <c r="K174" i="15"/>
  <c r="K161" i="12"/>
  <c r="K161" i="15"/>
  <c r="S161" s="1"/>
  <c r="K182" i="12"/>
  <c r="K182" i="15"/>
  <c r="K136" i="12"/>
  <c r="K136" i="15"/>
  <c r="S136" s="1"/>
  <c r="K115" i="12"/>
  <c r="K115" i="15"/>
  <c r="S115" s="1"/>
  <c r="K111" i="12"/>
  <c r="K111" i="15"/>
  <c r="K130" i="12"/>
  <c r="K130" i="15"/>
  <c r="K53" i="12"/>
  <c r="K53" i="15"/>
  <c r="S53" s="1"/>
  <c r="K173" i="12"/>
  <c r="K173" i="15"/>
  <c r="S173" s="1"/>
  <c r="K84" i="12"/>
  <c r="K84" i="15"/>
  <c r="K171" i="12"/>
  <c r="K171" i="15"/>
  <c r="K146" i="12"/>
  <c r="K146" i="15"/>
  <c r="K64" i="12"/>
  <c r="K64" i="15"/>
  <c r="K140" i="12"/>
  <c r="K140" i="15"/>
  <c r="S140" s="1"/>
  <c r="K190" i="12"/>
  <c r="K190" i="15"/>
  <c r="S190" s="1"/>
  <c r="K102" i="12"/>
  <c r="K102" i="15"/>
  <c r="K133" i="12"/>
  <c r="K133" i="15"/>
  <c r="S133" s="1"/>
  <c r="R121" i="12"/>
  <c r="N121" i="15"/>
  <c r="R64" i="12"/>
  <c r="N64" i="15"/>
  <c r="R160" i="12"/>
  <c r="N160" i="15"/>
  <c r="R187" i="12"/>
  <c r="N187" i="15"/>
  <c r="R102" i="12"/>
  <c r="N102" i="15"/>
  <c r="R109" i="12"/>
  <c r="N109" i="15"/>
  <c r="R68" i="12"/>
  <c r="N68" i="15"/>
  <c r="R132" i="12"/>
  <c r="N132" i="15"/>
  <c r="R111" i="12"/>
  <c r="N111" i="15"/>
  <c r="R74" i="12"/>
  <c r="N74" i="15"/>
  <c r="R65" i="12"/>
  <c r="N65" i="15"/>
  <c r="R104" i="12"/>
  <c r="N104" i="15"/>
  <c r="R99" i="12"/>
  <c r="N99" i="15"/>
  <c r="R78" i="12"/>
  <c r="N78" i="15"/>
  <c r="R117" i="12"/>
  <c r="N117" i="15"/>
  <c r="R156" i="12"/>
  <c r="N156" i="15"/>
  <c r="R114" i="12"/>
  <c r="N114" i="15"/>
  <c r="S80" i="12"/>
  <c r="O80" i="15"/>
  <c r="S192" i="12"/>
  <c r="O192" i="15"/>
  <c r="S134" i="12"/>
  <c r="O134" i="15"/>
  <c r="S180" i="12"/>
  <c r="O180" i="15"/>
  <c r="S180" s="1"/>
  <c r="S175" i="12"/>
  <c r="O175" i="15"/>
  <c r="S179" i="12"/>
  <c r="O179" i="15"/>
  <c r="S142" i="12"/>
  <c r="O142" i="15"/>
  <c r="S44" i="12"/>
  <c r="O44" i="15"/>
  <c r="S183" i="12"/>
  <c r="O183" i="15"/>
  <c r="S201" i="12"/>
  <c r="O201" i="15"/>
  <c r="S69" i="12"/>
  <c r="O69" i="15"/>
  <c r="S138"/>
  <c r="L52" i="12"/>
  <c r="L52" i="15"/>
  <c r="L62" i="12"/>
  <c r="L62" i="15"/>
  <c r="L50" i="12"/>
  <c r="L50" i="15"/>
  <c r="L94" i="12"/>
  <c r="L94" i="15"/>
  <c r="HA153" i="9"/>
  <c r="M151" i="15"/>
  <c r="HA54" i="9"/>
  <c r="M52" i="15"/>
  <c r="HA99" i="9"/>
  <c r="M97" i="15"/>
  <c r="HA108" i="9"/>
  <c r="M106" i="15"/>
  <c r="S106" s="1"/>
  <c r="HA65" i="9"/>
  <c r="M63" i="15"/>
  <c r="HA155" i="9"/>
  <c r="M153" i="15"/>
  <c r="HA41" i="9"/>
  <c r="M39" i="15"/>
  <c r="HA45" i="9"/>
  <c r="M43" i="15"/>
  <c r="HA184" i="9"/>
  <c r="M182" i="15"/>
  <c r="HA201" i="9"/>
  <c r="M199" i="15"/>
  <c r="HA171" i="9"/>
  <c r="M169" i="15"/>
  <c r="HA179" i="9"/>
  <c r="M177" i="15"/>
  <c r="HA159" i="9"/>
  <c r="M157" i="15"/>
  <c r="L68" i="12"/>
  <c r="L68" i="15"/>
  <c r="L73" i="12"/>
  <c r="L73" i="15"/>
  <c r="K63" i="12"/>
  <c r="K63" i="15"/>
  <c r="K107" i="12"/>
  <c r="K107" i="15"/>
  <c r="S107" s="1"/>
  <c r="K91" i="12"/>
  <c r="K91" i="15"/>
  <c r="S91" s="1"/>
  <c r="K125" i="12"/>
  <c r="K125" i="15"/>
  <c r="S125" s="1"/>
  <c r="K108" i="12"/>
  <c r="K108" i="15"/>
  <c r="S108" s="1"/>
  <c r="K126" i="12"/>
  <c r="K126" i="15"/>
  <c r="K60" i="12"/>
  <c r="K60" i="15"/>
  <c r="S60" s="1"/>
  <c r="K143" i="12"/>
  <c r="K143" i="15"/>
  <c r="S143" s="1"/>
  <c r="K57" i="12"/>
  <c r="K57" i="15"/>
  <c r="S57" s="1"/>
  <c r="K88" i="12"/>
  <c r="K88" i="15"/>
  <c r="S88" s="1"/>
  <c r="K47" i="12"/>
  <c r="K47" i="15"/>
  <c r="S47" s="1"/>
  <c r="K62" i="12"/>
  <c r="K62" i="15"/>
  <c r="K51" i="12"/>
  <c r="K51" i="15"/>
  <c r="S51" s="1"/>
  <c r="K145" i="12"/>
  <c r="K145" i="15"/>
  <c r="K155" i="12"/>
  <c r="K155" i="15"/>
  <c r="S155" s="1"/>
  <c r="K153" i="12"/>
  <c r="K153" i="15"/>
  <c r="K132" i="12"/>
  <c r="K132" i="15"/>
  <c r="K156" i="12"/>
  <c r="K156" i="15"/>
  <c r="S156" s="1"/>
  <c r="K97" i="12"/>
  <c r="K97" i="15"/>
  <c r="S97" s="1"/>
  <c r="K191" i="12"/>
  <c r="K191" i="15"/>
  <c r="S191" s="1"/>
  <c r="K59" i="12"/>
  <c r="K59" i="15"/>
  <c r="S59" s="1"/>
  <c r="K147" i="12"/>
  <c r="K147" i="15"/>
  <c r="K194" i="12"/>
  <c r="K194" i="15"/>
  <c r="K56" i="12"/>
  <c r="K56" i="15"/>
  <c r="K120" i="12"/>
  <c r="K120" i="15"/>
  <c r="S120" s="1"/>
  <c r="K150" i="12"/>
  <c r="K150" i="15"/>
  <c r="S150" s="1"/>
  <c r="K149" i="12"/>
  <c r="K149" i="15"/>
  <c r="S149" s="1"/>
  <c r="K184" i="12"/>
  <c r="K184" i="15"/>
  <c r="S184" s="1"/>
  <c r="K104" i="12"/>
  <c r="K104" i="15"/>
  <c r="S104" s="1"/>
  <c r="K188" i="12"/>
  <c r="K188" i="15"/>
  <c r="S188" s="1"/>
  <c r="K95" i="12"/>
  <c r="K95" i="15"/>
  <c r="S95" s="1"/>
  <c r="K122" i="12"/>
  <c r="K122" i="15"/>
  <c r="S122" s="1"/>
  <c r="K45" i="12"/>
  <c r="K45" i="15"/>
  <c r="S45" s="1"/>
  <c r="K141" i="12"/>
  <c r="K141" i="15"/>
  <c r="S141" s="1"/>
  <c r="K48" i="12"/>
  <c r="K48" i="15"/>
  <c r="S48" s="1"/>
  <c r="K159" i="12"/>
  <c r="K159" i="15"/>
  <c r="S159" s="1"/>
  <c r="K114" i="12"/>
  <c r="K114" i="15"/>
  <c r="S114" s="1"/>
  <c r="K113" i="12"/>
  <c r="K113" i="15"/>
  <c r="S113" s="1"/>
  <c r="K112" i="12"/>
  <c r="K112" i="15"/>
  <c r="S112" s="1"/>
  <c r="K178" i="12"/>
  <c r="K178" i="15"/>
  <c r="S178" s="1"/>
  <c r="K66" i="12"/>
  <c r="K66" i="15"/>
  <c r="S66" s="1"/>
  <c r="K101" i="12"/>
  <c r="K101" i="15"/>
  <c r="K144" i="12"/>
  <c r="K144" i="15"/>
  <c r="S144" s="1"/>
  <c r="R171" i="12"/>
  <c r="N171" i="15"/>
  <c r="R70" i="12"/>
  <c r="N70" i="15"/>
  <c r="S70" s="1"/>
  <c r="R79" i="12"/>
  <c r="N79" i="15"/>
  <c r="R58" i="12"/>
  <c r="N58" i="15"/>
  <c r="S58" s="1"/>
  <c r="R49" i="12"/>
  <c r="N49" i="15"/>
  <c r="R168" i="12"/>
  <c r="N168" i="15"/>
  <c r="S168" s="1"/>
  <c r="R158" i="12"/>
  <c r="N158" i="15"/>
  <c r="S176" i="12"/>
  <c r="O176" i="15"/>
  <c r="S176" s="1"/>
  <c r="S118" i="12"/>
  <c r="O118" i="15"/>
  <c r="S118" s="1"/>
  <c r="S132" i="12"/>
  <c r="O132" i="15"/>
  <c r="S111" i="12"/>
  <c r="O111" i="15"/>
  <c r="S72" i="12"/>
  <c r="O72" i="15"/>
  <c r="S72" s="1"/>
  <c r="S147" i="12"/>
  <c r="O147" i="15"/>
  <c r="S78" i="12"/>
  <c r="O78" i="15"/>
  <c r="T101" i="12"/>
  <c r="P101" i="15"/>
  <c r="S156" i="12"/>
  <c r="O156" i="15"/>
  <c r="S145" i="12"/>
  <c r="O145" i="15"/>
  <c r="S98"/>
  <c r="S152"/>
  <c r="S80"/>
  <c r="S174"/>
  <c r="S40"/>
  <c r="S92"/>
  <c r="S170"/>
  <c r="S130"/>
  <c r="S37"/>
  <c r="S46"/>
  <c r="S162"/>
  <c r="S166"/>
  <c r="S172"/>
  <c r="S82"/>
  <c r="S124"/>
  <c r="S200"/>
  <c r="S182"/>
  <c r="S204"/>
  <c r="S186"/>
  <c r="S42"/>
  <c r="S44"/>
  <c r="GP41" i="9"/>
  <c r="GP120"/>
  <c r="GO197"/>
  <c r="GP174"/>
  <c r="GO160"/>
  <c r="GP79"/>
  <c r="GP107"/>
  <c r="GO45"/>
  <c r="GO205"/>
  <c r="GP39"/>
  <c r="GO170"/>
  <c r="GP133"/>
  <c r="GO60"/>
  <c r="GO188"/>
  <c r="HF185"/>
  <c r="HC56"/>
  <c r="HC98"/>
  <c r="HC163"/>
  <c r="GP63"/>
  <c r="GO123"/>
  <c r="HC183"/>
  <c r="GP202"/>
  <c r="GO87"/>
  <c r="GO73"/>
  <c r="GP185"/>
  <c r="GO70"/>
  <c r="AR42" i="15"/>
  <c r="Q41" i="11" s="1"/>
  <c r="GP188" i="9"/>
  <c r="GP92"/>
  <c r="HC128"/>
  <c r="HF46"/>
  <c r="HC187"/>
  <c r="HF181"/>
  <c r="GO185"/>
  <c r="GO84"/>
  <c r="GP100"/>
  <c r="HC154"/>
  <c r="GP70"/>
  <c r="GP67"/>
  <c r="GP171"/>
  <c r="GP199"/>
  <c r="GP150"/>
  <c r="GP156"/>
  <c r="GP123"/>
  <c r="GO44"/>
  <c r="GP144"/>
  <c r="GP73"/>
  <c r="HC109"/>
  <c r="GP187"/>
  <c r="GO91"/>
  <c r="GO154"/>
  <c r="HF194"/>
  <c r="HX120"/>
  <c r="N117" i="11" s="1"/>
  <c r="J118" i="12"/>
  <c r="L117" i="11"/>
  <c r="HX152" i="9"/>
  <c r="N149" i="11" s="1"/>
  <c r="J150" i="12"/>
  <c r="L149" i="11"/>
  <c r="HX79" i="9"/>
  <c r="N76" i="11" s="1"/>
  <c r="J77" i="12"/>
  <c r="L76" i="11"/>
  <c r="HX111" i="9"/>
  <c r="N108" i="11" s="1"/>
  <c r="J109" i="12"/>
  <c r="L108" i="11"/>
  <c r="HX143" i="9"/>
  <c r="N140" i="11" s="1"/>
  <c r="J141" i="12"/>
  <c r="L140" i="11"/>
  <c r="HX110" i="9"/>
  <c r="N107" i="11" s="1"/>
  <c r="J108" i="12"/>
  <c r="L107" i="11"/>
  <c r="HX142" i="9"/>
  <c r="N139" i="11" s="1"/>
  <c r="J140" i="12"/>
  <c r="L139" i="11"/>
  <c r="HX198" i="9"/>
  <c r="N195" i="11" s="1"/>
  <c r="J196" i="12"/>
  <c r="L195" i="11"/>
  <c r="HX65" i="9"/>
  <c r="N62" i="11" s="1"/>
  <c r="J63" i="12"/>
  <c r="L62" i="11"/>
  <c r="HX97" i="9"/>
  <c r="N94" i="11" s="1"/>
  <c r="J95" i="12"/>
  <c r="L94" i="11"/>
  <c r="HX129" i="9"/>
  <c r="N126" i="11" s="1"/>
  <c r="J127" i="12"/>
  <c r="L126" i="11"/>
  <c r="HX192" i="9"/>
  <c r="N189" i="11" s="1"/>
  <c r="J190" i="12"/>
  <c r="L189" i="11"/>
  <c r="HX40" i="9"/>
  <c r="N37" i="11" s="1"/>
  <c r="J38" i="12"/>
  <c r="L37" i="11"/>
  <c r="HX168" i="9"/>
  <c r="N165" i="11" s="1"/>
  <c r="J166" i="12"/>
  <c r="L165" i="11"/>
  <c r="HX199" i="9"/>
  <c r="N196" i="11" s="1"/>
  <c r="J197" i="12"/>
  <c r="L196" i="11"/>
  <c r="HX158" i="9"/>
  <c r="N155" i="11" s="1"/>
  <c r="J156" i="12"/>
  <c r="L155" i="11"/>
  <c r="HX177" i="9"/>
  <c r="N174" i="11" s="1"/>
  <c r="J175" i="12"/>
  <c r="L174" i="11"/>
  <c r="HX44" i="9"/>
  <c r="N41" i="11" s="1"/>
  <c r="J42" i="12"/>
  <c r="L41" i="11"/>
  <c r="HX76" i="9"/>
  <c r="N73" i="11" s="1"/>
  <c r="J74" i="12"/>
  <c r="L73" i="11"/>
  <c r="HX108" i="9"/>
  <c r="N105" i="11" s="1"/>
  <c r="J106" i="12"/>
  <c r="L105" i="11"/>
  <c r="HX140" i="9"/>
  <c r="N137" i="11" s="1"/>
  <c r="J138" i="12"/>
  <c r="L137" i="11"/>
  <c r="HX172" i="9"/>
  <c r="N169" i="11" s="1"/>
  <c r="J170" i="12"/>
  <c r="L169" i="11"/>
  <c r="HX204" i="9"/>
  <c r="N201" i="11" s="1"/>
  <c r="J202" i="12"/>
  <c r="L201" i="11"/>
  <c r="HX67" i="9"/>
  <c r="N64" i="11" s="1"/>
  <c r="J65" i="12"/>
  <c r="L64" i="11"/>
  <c r="HX99" i="9"/>
  <c r="N96" i="11" s="1"/>
  <c r="J97" i="12"/>
  <c r="L96" i="11"/>
  <c r="HX131" i="9"/>
  <c r="N128" i="11" s="1"/>
  <c r="J129" i="12"/>
  <c r="L128" i="11"/>
  <c r="HX163" i="9"/>
  <c r="N160" i="11" s="1"/>
  <c r="J161" i="12"/>
  <c r="L160" i="11"/>
  <c r="HX195" i="9"/>
  <c r="N192" i="11" s="1"/>
  <c r="J193" i="12"/>
  <c r="L192" i="11"/>
  <c r="HX58" i="9"/>
  <c r="N55" i="11" s="1"/>
  <c r="J56" i="12"/>
  <c r="L55" i="11"/>
  <c r="HX90" i="9"/>
  <c r="N87" i="11" s="1"/>
  <c r="J88" i="12"/>
  <c r="L87" i="11"/>
  <c r="HX122" i="9"/>
  <c r="N119" i="11" s="1"/>
  <c r="J120" i="12"/>
  <c r="L119" i="11"/>
  <c r="HX154" i="9"/>
  <c r="N151" i="11" s="1"/>
  <c r="J152" i="12"/>
  <c r="L151" i="11"/>
  <c r="HX186" i="9"/>
  <c r="N183" i="11" s="1"/>
  <c r="J184" i="12"/>
  <c r="L183" i="11"/>
  <c r="HX45" i="9"/>
  <c r="N42" i="11" s="1"/>
  <c r="J43" i="12"/>
  <c r="L42" i="11"/>
  <c r="HX77" i="9"/>
  <c r="N74" i="11" s="1"/>
  <c r="J75" i="12"/>
  <c r="L74" i="11"/>
  <c r="HX109" i="9"/>
  <c r="N106" i="11" s="1"/>
  <c r="J107" i="12"/>
  <c r="L106" i="11"/>
  <c r="HX141" i="9"/>
  <c r="N138" i="11" s="1"/>
  <c r="J139" i="12"/>
  <c r="L138" i="11"/>
  <c r="HX173" i="9"/>
  <c r="N170" i="11" s="1"/>
  <c r="J171" i="12"/>
  <c r="L170" i="11"/>
  <c r="HX112" i="9"/>
  <c r="N109" i="11" s="1"/>
  <c r="J110" i="12"/>
  <c r="L109" i="11"/>
  <c r="HX183" i="9"/>
  <c r="N180" i="11" s="1"/>
  <c r="J181" i="12"/>
  <c r="L180" i="11"/>
  <c r="HX167" i="9"/>
  <c r="N164" i="11" s="1"/>
  <c r="J165" i="12"/>
  <c r="L164" i="11"/>
  <c r="HX38" i="9"/>
  <c r="N35" i="11" s="1"/>
  <c r="J36" i="12"/>
  <c r="L35" i="11"/>
  <c r="HX88" i="9"/>
  <c r="N85" i="11" s="1"/>
  <c r="J86" i="12"/>
  <c r="L85" i="11"/>
  <c r="HX144" i="9"/>
  <c r="N141" i="11" s="1"/>
  <c r="J142" i="12"/>
  <c r="L141" i="11"/>
  <c r="HX71" i="9"/>
  <c r="N68" i="11" s="1"/>
  <c r="J69" i="12"/>
  <c r="L68" i="11"/>
  <c r="HX103" i="9"/>
  <c r="N100" i="11" s="1"/>
  <c r="J101" i="12"/>
  <c r="L100" i="11"/>
  <c r="HX135" i="9"/>
  <c r="N132" i="11" s="1"/>
  <c r="J133" i="12"/>
  <c r="L132" i="11"/>
  <c r="HX175" i="9"/>
  <c r="N172" i="11" s="1"/>
  <c r="J173" i="12"/>
  <c r="L172" i="11"/>
  <c r="HX102" i="9"/>
  <c r="N99" i="11" s="1"/>
  <c r="J100" i="12"/>
  <c r="L99" i="11"/>
  <c r="HX134" i="9"/>
  <c r="N131" i="11" s="1"/>
  <c r="J132" i="12"/>
  <c r="L131" i="11"/>
  <c r="HX190" i="9"/>
  <c r="N187" i="11" s="1"/>
  <c r="J188" i="12"/>
  <c r="L187" i="11"/>
  <c r="HX57" i="9"/>
  <c r="N54" i="11" s="1"/>
  <c r="J55" i="12"/>
  <c r="L54" i="11"/>
  <c r="HX89" i="9"/>
  <c r="N86" i="11" s="1"/>
  <c r="J87" i="12"/>
  <c r="L86" i="11"/>
  <c r="HX121" i="9"/>
  <c r="N118" i="11" s="1"/>
  <c r="J119" i="12"/>
  <c r="L118" i="11"/>
  <c r="HX64" i="9"/>
  <c r="N61" i="11" s="1"/>
  <c r="J62" i="12"/>
  <c r="L61" i="11"/>
  <c r="HX205" i="9"/>
  <c r="N202" i="11" s="1"/>
  <c r="J203" i="12"/>
  <c r="L202" i="11"/>
  <c r="HX104" i="9"/>
  <c r="N101" i="11" s="1"/>
  <c r="J102" i="12"/>
  <c r="L101" i="11"/>
  <c r="HX47" i="9"/>
  <c r="N44" i="11" s="1"/>
  <c r="J45" i="12"/>
  <c r="L44" i="11"/>
  <c r="HX62" i="9"/>
  <c r="N59" i="11" s="1"/>
  <c r="J60" i="12"/>
  <c r="L59" i="11"/>
  <c r="HX153" i="9"/>
  <c r="N150" i="11" s="1"/>
  <c r="J151" i="12"/>
  <c r="L150" i="11"/>
  <c r="HX185" i="9"/>
  <c r="N182" i="11" s="1"/>
  <c r="J183" i="12"/>
  <c r="L182" i="11"/>
  <c r="HX52" i="9"/>
  <c r="N49" i="11" s="1"/>
  <c r="J50" i="12"/>
  <c r="L49" i="11"/>
  <c r="HX84" i="9"/>
  <c r="N81" i="11" s="1"/>
  <c r="J82" i="12"/>
  <c r="L81" i="11"/>
  <c r="HX116" i="9"/>
  <c r="N113" i="11" s="1"/>
  <c r="J114" i="12"/>
  <c r="L113" i="11"/>
  <c r="HX148" i="9"/>
  <c r="N145" i="11" s="1"/>
  <c r="J146" i="12"/>
  <c r="L145" i="11"/>
  <c r="HX180" i="9"/>
  <c r="N177" i="11" s="1"/>
  <c r="J178" i="12"/>
  <c r="L177" i="11"/>
  <c r="HX43" i="9"/>
  <c r="N40" i="11" s="1"/>
  <c r="J41" i="12"/>
  <c r="L40" i="11"/>
  <c r="HX75" i="9"/>
  <c r="N72" i="11" s="1"/>
  <c r="J73" i="12"/>
  <c r="L72" i="11"/>
  <c r="HX107" i="9"/>
  <c r="N104" i="11" s="1"/>
  <c r="J105" i="12"/>
  <c r="L104" i="11"/>
  <c r="HX139" i="9"/>
  <c r="N136" i="11" s="1"/>
  <c r="J137" i="12"/>
  <c r="L136" i="11"/>
  <c r="HX171" i="9"/>
  <c r="N168" i="11" s="1"/>
  <c r="J169" i="12"/>
  <c r="L168" i="11"/>
  <c r="HX203" i="9"/>
  <c r="N200" i="11" s="1"/>
  <c r="J201" i="12"/>
  <c r="L200" i="11"/>
  <c r="HX66" i="9"/>
  <c r="N63" i="11" s="1"/>
  <c r="J64" i="12"/>
  <c r="L63" i="11"/>
  <c r="HX98" i="9"/>
  <c r="N95" i="11" s="1"/>
  <c r="J96" i="12"/>
  <c r="L95" i="11"/>
  <c r="HX130" i="9"/>
  <c r="N127" i="11" s="1"/>
  <c r="J128" i="12"/>
  <c r="L127" i="11"/>
  <c r="HX162" i="9"/>
  <c r="N159" i="11" s="1"/>
  <c r="J160" i="12"/>
  <c r="L159" i="11"/>
  <c r="HX194" i="9"/>
  <c r="N191" i="11" s="1"/>
  <c r="J192" i="12"/>
  <c r="L191" i="11"/>
  <c r="HX53" i="9"/>
  <c r="N50" i="11" s="1"/>
  <c r="J51" i="12"/>
  <c r="L50" i="11"/>
  <c r="HX85" i="9"/>
  <c r="N82" i="11" s="1"/>
  <c r="J83" i="12"/>
  <c r="L82" i="11"/>
  <c r="HX117" i="9"/>
  <c r="N114" i="11" s="1"/>
  <c r="J115" i="12"/>
  <c r="L114" i="11"/>
  <c r="HX149" i="9"/>
  <c r="N146" i="11" s="1"/>
  <c r="J147" i="12"/>
  <c r="L146" i="11"/>
  <c r="HX181" i="9"/>
  <c r="N178" i="11" s="1"/>
  <c r="J179" i="12"/>
  <c r="L178" i="11"/>
  <c r="HX145" i="9"/>
  <c r="N142" i="11" s="1"/>
  <c r="J143" i="12"/>
  <c r="L142" i="11"/>
  <c r="HX55" i="9"/>
  <c r="N52" i="11" s="1"/>
  <c r="J53" i="12"/>
  <c r="L52" i="11"/>
  <c r="GS113" i="9"/>
  <c r="L111" i="12"/>
  <c r="GR93" i="9"/>
  <c r="L91" i="12"/>
  <c r="GR73" i="9"/>
  <c r="L71" i="12"/>
  <c r="HC75" i="9"/>
  <c r="R73" i="12"/>
  <c r="HC203" i="9"/>
  <c r="R201" i="12"/>
  <c r="HC130" i="9"/>
  <c r="R128" i="12"/>
  <c r="HC200" i="9"/>
  <c r="R198" i="12"/>
  <c r="R173"/>
  <c r="HC118" i="9"/>
  <c r="R116" i="12"/>
  <c r="HC179" i="9"/>
  <c r="R177" i="12"/>
  <c r="HC64" i="9"/>
  <c r="R62" i="12"/>
  <c r="HC199" i="9"/>
  <c r="R197" i="12"/>
  <c r="HC100" i="9"/>
  <c r="R98" i="12"/>
  <c r="HF114" i="9"/>
  <c r="S112" i="12"/>
  <c r="HF157" i="9"/>
  <c r="S155" i="12"/>
  <c r="HF204" i="9"/>
  <c r="S202" i="12"/>
  <c r="HF160" i="9"/>
  <c r="S158" i="12"/>
  <c r="HF201" i="9"/>
  <c r="S199" i="12"/>
  <c r="HF171" i="9"/>
  <c r="S169" i="12"/>
  <c r="HC101" i="9"/>
  <c r="GO59"/>
  <c r="HC67"/>
  <c r="R166" i="12"/>
  <c r="HC159" i="9"/>
  <c r="R157" i="12"/>
  <c r="HC102" i="9"/>
  <c r="R100" i="12"/>
  <c r="HC198" i="9"/>
  <c r="R196" i="12"/>
  <c r="HC177" i="9"/>
  <c r="R175" i="12"/>
  <c r="HC204" i="9"/>
  <c r="R202" i="12"/>
  <c r="HC201" i="9"/>
  <c r="R199" i="12"/>
  <c r="HF106" i="9"/>
  <c r="S104" i="12"/>
  <c r="HX80" i="9"/>
  <c r="N77" i="11" s="1"/>
  <c r="J78" i="12"/>
  <c r="L77" i="11"/>
  <c r="HX136" i="9"/>
  <c r="N133" i="11" s="1"/>
  <c r="J134" i="12"/>
  <c r="L133" i="11"/>
  <c r="HX63" i="9"/>
  <c r="N60" i="11" s="1"/>
  <c r="J61" i="12"/>
  <c r="L60" i="11"/>
  <c r="HX95" i="9"/>
  <c r="N92" i="11" s="1"/>
  <c r="J93" i="12"/>
  <c r="L92" i="11"/>
  <c r="HX127" i="9"/>
  <c r="N124" i="11" s="1"/>
  <c r="J125" i="12"/>
  <c r="L124" i="11"/>
  <c r="HX94" i="9"/>
  <c r="N91" i="11" s="1"/>
  <c r="J92" i="12"/>
  <c r="L91" i="11"/>
  <c r="HX126" i="9"/>
  <c r="N123" i="11" s="1"/>
  <c r="J124" i="12"/>
  <c r="L123" i="11"/>
  <c r="HX182" i="9"/>
  <c r="N179" i="11" s="1"/>
  <c r="J180" i="12"/>
  <c r="L179" i="11"/>
  <c r="HX49" i="9"/>
  <c r="N46" i="11" s="1"/>
  <c r="J47" i="12"/>
  <c r="L46" i="11"/>
  <c r="HX81" i="9"/>
  <c r="N78" i="11" s="1"/>
  <c r="J79" i="12"/>
  <c r="L78" i="11"/>
  <c r="HX113" i="9"/>
  <c r="N110" i="11" s="1"/>
  <c r="J111" i="12"/>
  <c r="L110" i="11"/>
  <c r="HX176" i="9"/>
  <c r="N173" i="11" s="1"/>
  <c r="J174" i="12"/>
  <c r="L173" i="11"/>
  <c r="HX159" i="9"/>
  <c r="N156" i="11" s="1"/>
  <c r="J157" i="12"/>
  <c r="L156" i="11"/>
  <c r="HX56" i="9"/>
  <c r="N53" i="11" s="1"/>
  <c r="J54" i="12"/>
  <c r="L53" i="11"/>
  <c r="HX39" i="9"/>
  <c r="N36" i="11" s="1"/>
  <c r="J37" i="12"/>
  <c r="L36" i="11"/>
  <c r="HX70" i="9"/>
  <c r="N67" i="11" s="1"/>
  <c r="J68" i="12"/>
  <c r="L67" i="11"/>
  <c r="HX161" i="9"/>
  <c r="N158" i="11" s="1"/>
  <c r="J159" i="12"/>
  <c r="L158" i="11"/>
  <c r="HX193" i="9"/>
  <c r="N190" i="11" s="1"/>
  <c r="J191" i="12"/>
  <c r="L190" i="11"/>
  <c r="HX60" i="9"/>
  <c r="N57" i="11" s="1"/>
  <c r="J58" i="12"/>
  <c r="L57" i="11"/>
  <c r="HX92" i="9"/>
  <c r="N89" i="11" s="1"/>
  <c r="J90" i="12"/>
  <c r="L89" i="11"/>
  <c r="HX124" i="9"/>
  <c r="N121" i="11" s="1"/>
  <c r="J122" i="12"/>
  <c r="L121" i="11"/>
  <c r="HX156" i="9"/>
  <c r="N153" i="11" s="1"/>
  <c r="J154" i="12"/>
  <c r="L153" i="11"/>
  <c r="HX188" i="9"/>
  <c r="N185" i="11" s="1"/>
  <c r="J186" i="12"/>
  <c r="L185" i="11"/>
  <c r="HX51" i="9"/>
  <c r="N48" i="11" s="1"/>
  <c r="J49" i="12"/>
  <c r="L48" i="11"/>
  <c r="HX83" i="9"/>
  <c r="N80" i="11" s="1"/>
  <c r="J81" i="12"/>
  <c r="L80" i="11"/>
  <c r="HX115" i="9"/>
  <c r="N112" i="11" s="1"/>
  <c r="J113" i="12"/>
  <c r="L112" i="11"/>
  <c r="HX147" i="9"/>
  <c r="N144" i="11" s="1"/>
  <c r="J145" i="12"/>
  <c r="L144" i="11"/>
  <c r="HX179" i="9"/>
  <c r="N176" i="11" s="1"/>
  <c r="J177" i="12"/>
  <c r="L176" i="11"/>
  <c r="HX42" i="9"/>
  <c r="N39" i="11" s="1"/>
  <c r="J40" i="12"/>
  <c r="L39" i="11"/>
  <c r="HX74" i="9"/>
  <c r="N71" i="11" s="1"/>
  <c r="J72" i="12"/>
  <c r="L71" i="11"/>
  <c r="HX106" i="9"/>
  <c r="N103" i="11" s="1"/>
  <c r="J104" i="12"/>
  <c r="L103" i="11"/>
  <c r="HX138" i="9"/>
  <c r="N135" i="11" s="1"/>
  <c r="J136" i="12"/>
  <c r="L135" i="11"/>
  <c r="HX170" i="9"/>
  <c r="N167" i="11" s="1"/>
  <c r="J168" i="12"/>
  <c r="L167" i="11"/>
  <c r="HX202" i="9"/>
  <c r="N199" i="11" s="1"/>
  <c r="J200" i="12"/>
  <c r="L199" i="11"/>
  <c r="HX61" i="9"/>
  <c r="N58" i="11" s="1"/>
  <c r="J59" i="12"/>
  <c r="L58" i="11"/>
  <c r="HX93" i="9"/>
  <c r="N90" i="11" s="1"/>
  <c r="J91" i="12"/>
  <c r="L90" i="11"/>
  <c r="HX125" i="9"/>
  <c r="N122" i="11" s="1"/>
  <c r="J123" i="12"/>
  <c r="L122" i="11"/>
  <c r="HX157" i="9"/>
  <c r="N154" i="11" s="1"/>
  <c r="J155" i="12"/>
  <c r="L154" i="11"/>
  <c r="HX189" i="9"/>
  <c r="N186" i="11" s="1"/>
  <c r="J187" i="12"/>
  <c r="L186" i="11"/>
  <c r="HX166" i="9"/>
  <c r="N163" i="11" s="1"/>
  <c r="J164" i="12"/>
  <c r="L163" i="11"/>
  <c r="HX96" i="9"/>
  <c r="N93" i="11" s="1"/>
  <c r="J94" i="12"/>
  <c r="L93" i="11"/>
  <c r="HX150" i="9"/>
  <c r="N147" i="11" s="1"/>
  <c r="J148" i="12"/>
  <c r="L147" i="11"/>
  <c r="HX72" i="9"/>
  <c r="N69" i="11" s="1"/>
  <c r="J70" i="12"/>
  <c r="L69" i="11"/>
  <c r="HX128" i="9"/>
  <c r="N125" i="11" s="1"/>
  <c r="J126" i="12"/>
  <c r="L125" i="11"/>
  <c r="HX184" i="9"/>
  <c r="N181" i="11" s="1"/>
  <c r="J182" i="12"/>
  <c r="L181" i="11"/>
  <c r="HX87" i="9"/>
  <c r="N84" i="11" s="1"/>
  <c r="J85" i="12"/>
  <c r="L84" i="11"/>
  <c r="HX119" i="9"/>
  <c r="N116" i="11" s="1"/>
  <c r="J117" i="12"/>
  <c r="L116" i="11"/>
  <c r="HX151" i="9"/>
  <c r="N148" i="11" s="1"/>
  <c r="J149" i="12"/>
  <c r="L148" i="11"/>
  <c r="HX46" i="9"/>
  <c r="N43" i="11" s="1"/>
  <c r="J44" i="12"/>
  <c r="L43" i="11"/>
  <c r="HX118" i="9"/>
  <c r="N115" i="11" s="1"/>
  <c r="J116" i="12"/>
  <c r="L115" i="11"/>
  <c r="HX174" i="9"/>
  <c r="N171" i="11" s="1"/>
  <c r="J172" i="12"/>
  <c r="L171" i="11"/>
  <c r="HX41" i="9"/>
  <c r="N38" i="11" s="1"/>
  <c r="J39" i="12"/>
  <c r="L38" i="11"/>
  <c r="HX73" i="9"/>
  <c r="N70" i="11" s="1"/>
  <c r="J71" i="12"/>
  <c r="L70" i="11"/>
  <c r="HX105" i="9"/>
  <c r="N102" i="11" s="1"/>
  <c r="J103" i="12"/>
  <c r="L102" i="11"/>
  <c r="HX137" i="9"/>
  <c r="N134" i="11" s="1"/>
  <c r="J135" i="12"/>
  <c r="L134" i="11"/>
  <c r="HX54" i="9"/>
  <c r="N51" i="11" s="1"/>
  <c r="J52" i="12"/>
  <c r="L51" i="11"/>
  <c r="HX48" i="9"/>
  <c r="N45" i="11" s="1"/>
  <c r="J46" i="12"/>
  <c r="L45" i="11"/>
  <c r="HX200" i="9"/>
  <c r="N197" i="11" s="1"/>
  <c r="J198" i="12"/>
  <c r="L197" i="11"/>
  <c r="HX191" i="9"/>
  <c r="N188" i="11" s="1"/>
  <c r="J189" i="12"/>
  <c r="L188" i="11"/>
  <c r="HX78" i="9"/>
  <c r="N75" i="11" s="1"/>
  <c r="J76" i="12"/>
  <c r="L75" i="11"/>
  <c r="HX169" i="9"/>
  <c r="N166" i="11" s="1"/>
  <c r="J167" i="12"/>
  <c r="L166" i="11"/>
  <c r="HX201" i="9"/>
  <c r="N198" i="11" s="1"/>
  <c r="J199" i="12"/>
  <c r="L198" i="11"/>
  <c r="HX68" i="9"/>
  <c r="N65" i="11" s="1"/>
  <c r="J66" i="12"/>
  <c r="L65" i="11"/>
  <c r="HX100" i="9"/>
  <c r="N97" i="11" s="1"/>
  <c r="J98" i="12"/>
  <c r="L97" i="11"/>
  <c r="HX132" i="9"/>
  <c r="N129" i="11" s="1"/>
  <c r="J130" i="12"/>
  <c r="L129" i="11"/>
  <c r="HX164" i="9"/>
  <c r="N161" i="11" s="1"/>
  <c r="J162" i="12"/>
  <c r="L161" i="11"/>
  <c r="HX196" i="9"/>
  <c r="N193" i="11" s="1"/>
  <c r="J194" i="12"/>
  <c r="L193" i="11"/>
  <c r="HX59" i="9"/>
  <c r="N56" i="11" s="1"/>
  <c r="J57" i="12"/>
  <c r="L56" i="11"/>
  <c r="HX91" i="9"/>
  <c r="N88" i="11" s="1"/>
  <c r="J89" i="12"/>
  <c r="L88" i="11"/>
  <c r="HX123" i="9"/>
  <c r="N120" i="11" s="1"/>
  <c r="J121" i="12"/>
  <c r="L120" i="11"/>
  <c r="HX155" i="9"/>
  <c r="N152" i="11" s="1"/>
  <c r="J153" i="12"/>
  <c r="L152" i="11"/>
  <c r="HX187" i="9"/>
  <c r="N184" i="11" s="1"/>
  <c r="J185" i="12"/>
  <c r="L184" i="11"/>
  <c r="HX50" i="9"/>
  <c r="N47" i="11" s="1"/>
  <c r="J48" i="12"/>
  <c r="L47" i="11"/>
  <c r="HX82" i="9"/>
  <c r="N79" i="11" s="1"/>
  <c r="J80" i="12"/>
  <c r="L79" i="11"/>
  <c r="HX114" i="9"/>
  <c r="N111" i="11" s="1"/>
  <c r="J112" i="12"/>
  <c r="L111" i="11"/>
  <c r="HX146" i="9"/>
  <c r="N143" i="11" s="1"/>
  <c r="J144" i="12"/>
  <c r="L143" i="11"/>
  <c r="HX178" i="9"/>
  <c r="N175" i="11" s="1"/>
  <c r="J176" i="12"/>
  <c r="L175" i="11"/>
  <c r="HX206" i="9"/>
  <c r="N203" i="11" s="1"/>
  <c r="J204" i="12"/>
  <c r="L203" i="11"/>
  <c r="HX69" i="9"/>
  <c r="N66" i="11" s="1"/>
  <c r="J67" i="12"/>
  <c r="L66" i="11"/>
  <c r="HX101" i="9"/>
  <c r="N98" i="11" s="1"/>
  <c r="J99" i="12"/>
  <c r="L98" i="11"/>
  <c r="HX133" i="9"/>
  <c r="N130" i="11" s="1"/>
  <c r="J131" i="12"/>
  <c r="L130" i="11"/>
  <c r="HX165" i="9"/>
  <c r="N162" i="11" s="1"/>
  <c r="J163" i="12"/>
  <c r="L162" i="11"/>
  <c r="HX197" i="9"/>
  <c r="N194" i="11" s="1"/>
  <c r="J195" i="12"/>
  <c r="L194" i="11"/>
  <c r="HX160" i="9"/>
  <c r="N157" i="11" s="1"/>
  <c r="J158" i="12"/>
  <c r="L157" i="11"/>
  <c r="HX86" i="9"/>
  <c r="N83" i="11" s="1"/>
  <c r="J84" i="12"/>
  <c r="L83" i="11"/>
  <c r="GP97" i="9"/>
  <c r="GP47"/>
  <c r="GO106"/>
  <c r="GP114"/>
  <c r="GO128"/>
  <c r="GP190"/>
  <c r="GP124"/>
  <c r="HF133"/>
  <c r="GP147"/>
  <c r="HC116"/>
  <c r="AR60" i="15"/>
  <c r="Q59" i="11" s="1"/>
  <c r="GP58" i="9"/>
  <c r="GS64"/>
  <c r="GO53"/>
  <c r="GP151"/>
  <c r="GO62"/>
  <c r="HC119"/>
  <c r="GO124"/>
  <c r="GP155"/>
  <c r="GP122"/>
  <c r="GO149"/>
  <c r="GP158"/>
  <c r="HF146"/>
  <c r="HF176"/>
  <c r="GS95"/>
  <c r="L93" i="12"/>
  <c r="GS140" i="9"/>
  <c r="L138" i="12"/>
  <c r="GS160" i="9"/>
  <c r="L158" i="12"/>
  <c r="GS66" i="9"/>
  <c r="L64" i="12"/>
  <c r="GR203" i="9"/>
  <c r="L201" i="12"/>
  <c r="HC171" i="9"/>
  <c r="R169" i="12"/>
  <c r="HC61" i="9"/>
  <c r="R59" i="12"/>
  <c r="HC40" i="9"/>
  <c r="R38" i="12"/>
  <c r="HC138" i="9"/>
  <c r="R136" i="12"/>
  <c r="HC112" i="9"/>
  <c r="R110" i="12"/>
  <c r="HF66" i="9"/>
  <c r="S64" i="12"/>
  <c r="HF164" i="9"/>
  <c r="S162" i="12"/>
  <c r="HF47" i="9"/>
  <c r="S45" i="12"/>
  <c r="HF167" i="9"/>
  <c r="S165" i="12"/>
  <c r="GO152" i="9"/>
  <c r="GO143"/>
  <c r="HF206"/>
  <c r="GP161"/>
  <c r="GO196"/>
  <c r="GO122"/>
  <c r="HC66"/>
  <c r="GO134"/>
  <c r="GO58"/>
  <c r="GP186"/>
  <c r="GP115"/>
  <c r="HF81"/>
  <c r="GO151"/>
  <c r="GP193"/>
  <c r="HC76"/>
  <c r="HF104"/>
  <c r="GO145"/>
  <c r="HC106"/>
  <c r="HF48"/>
  <c r="GO65"/>
  <c r="GO61"/>
  <c r="GO110"/>
  <c r="GP149"/>
  <c r="HC113"/>
  <c r="HC189"/>
  <c r="AR137" i="15"/>
  <c r="Q136" i="11" s="1"/>
  <c r="AR150" i="15"/>
  <c r="Q149" i="11" s="1"/>
  <c r="AR149" i="15"/>
  <c r="Q148" i="11" s="1"/>
  <c r="AR173" i="15"/>
  <c r="Q172" i="11" s="1"/>
  <c r="AR48" i="15"/>
  <c r="Q47" i="11" s="1"/>
  <c r="AR122" i="15"/>
  <c r="Q121" i="11" s="1"/>
  <c r="AR186" i="15"/>
  <c r="Q185" i="11" s="1"/>
  <c r="AR154" i="15"/>
  <c r="Q153" i="11" s="1"/>
  <c r="AR188" i="15"/>
  <c r="Q187" i="11" s="1"/>
  <c r="HC175" i="9"/>
  <c r="GP148"/>
  <c r="GO88"/>
  <c r="GO201"/>
  <c r="GO111"/>
  <c r="GO105"/>
  <c r="GP192"/>
  <c r="GO179"/>
  <c r="GO107"/>
  <c r="GO175"/>
  <c r="GO38"/>
  <c r="GP76"/>
  <c r="GO66"/>
  <c r="AR190" i="15"/>
  <c r="Q189" i="11" s="1"/>
  <c r="GO104" i="9"/>
  <c r="GO135"/>
  <c r="GP160"/>
  <c r="GO113"/>
  <c r="GP48"/>
  <c r="GP94"/>
  <c r="GO142"/>
  <c r="GP69"/>
  <c r="GP184"/>
  <c r="GO95"/>
  <c r="GO173"/>
  <c r="GP163"/>
  <c r="GP86"/>
  <c r="GO178"/>
  <c r="AR172" i="15"/>
  <c r="Q171" i="11" s="1"/>
  <c r="GO77" i="9"/>
  <c r="GP119"/>
  <c r="GO78"/>
  <c r="GO119"/>
  <c r="GP38"/>
  <c r="GP109"/>
  <c r="GP189"/>
  <c r="GZ69"/>
  <c r="GO131"/>
  <c r="GP200"/>
  <c r="GO41"/>
  <c r="GO191"/>
  <c r="GO174"/>
  <c r="GO177"/>
  <c r="GP43"/>
  <c r="GP131"/>
  <c r="GO167"/>
  <c r="GP183"/>
  <c r="GO118"/>
  <c r="GP80"/>
  <c r="GO108"/>
  <c r="GO172"/>
  <c r="GO79"/>
  <c r="GO69"/>
  <c r="GO56"/>
  <c r="GO98"/>
  <c r="GO40"/>
  <c r="GP52"/>
  <c r="GO164"/>
  <c r="GP75"/>
  <c r="GP175"/>
  <c r="GP55"/>
  <c r="GO166"/>
  <c r="GO117"/>
  <c r="GO132"/>
  <c r="GO206"/>
  <c r="GP194"/>
  <c r="GP138"/>
  <c r="GO195"/>
  <c r="GP176"/>
  <c r="GO43"/>
  <c r="GP167"/>
  <c r="GP105"/>
  <c r="GP140"/>
  <c r="GP162"/>
  <c r="GR113"/>
  <c r="GP40"/>
  <c r="GO52"/>
  <c r="GO75"/>
  <c r="GP77"/>
  <c r="GO55"/>
  <c r="GP166"/>
  <c r="GP130"/>
  <c r="GP117"/>
  <c r="GP132"/>
  <c r="GP204"/>
  <c r="GO194"/>
  <c r="GO138"/>
  <c r="AP130" i="15"/>
  <c r="GP177" i="9"/>
  <c r="GO183"/>
  <c r="GP118"/>
  <c r="GO80"/>
  <c r="GO51"/>
  <c r="GO85"/>
  <c r="GO101"/>
  <c r="GP108"/>
  <c r="GP172"/>
  <c r="GO184"/>
  <c r="GP56"/>
  <c r="GP164"/>
  <c r="GO72"/>
  <c r="GP165"/>
  <c r="GP54"/>
  <c r="GP206"/>
  <c r="GO163"/>
  <c r="GO198"/>
  <c r="GP170"/>
  <c r="GP42"/>
  <c r="GP53"/>
  <c r="GO64"/>
  <c r="GO139"/>
  <c r="GO157"/>
  <c r="GP99"/>
  <c r="GP102"/>
  <c r="GO90"/>
  <c r="GZ77"/>
  <c r="GZ202"/>
  <c r="GZ161"/>
  <c r="GZ163"/>
  <c r="GZ172"/>
  <c r="GZ58"/>
  <c r="GZ72"/>
  <c r="GZ191"/>
  <c r="GZ169"/>
  <c r="GP126"/>
  <c r="GP137"/>
  <c r="GO129"/>
  <c r="GZ171"/>
  <c r="GP182"/>
  <c r="GP203"/>
  <c r="GO82"/>
  <c r="AP129" i="15"/>
  <c r="GP181" i="9"/>
  <c r="GO181"/>
  <c r="GP197"/>
  <c r="GO200"/>
  <c r="GO162"/>
  <c r="GP78"/>
  <c r="GO48"/>
  <c r="GP101"/>
  <c r="GO137"/>
  <c r="GP129"/>
  <c r="GP98"/>
  <c r="GO182"/>
  <c r="GO203"/>
  <c r="GO76"/>
  <c r="GP198"/>
  <c r="GP191"/>
  <c r="GP111"/>
  <c r="GO126"/>
  <c r="GP51"/>
  <c r="GP85"/>
  <c r="GP153"/>
  <c r="GP72"/>
  <c r="GO165"/>
  <c r="GO130"/>
  <c r="GS73"/>
  <c r="GO204"/>
  <c r="GP82"/>
  <c r="GZ155"/>
  <c r="GO115"/>
  <c r="GO116"/>
  <c r="GO161"/>
  <c r="GO114"/>
  <c r="GO50"/>
  <c r="GZ179"/>
  <c r="GO202"/>
  <c r="GP91"/>
  <c r="GO146"/>
  <c r="AR178" i="15"/>
  <c r="Q177" i="11" s="1"/>
  <c r="GZ108" i="9"/>
  <c r="GO39"/>
  <c r="GO189"/>
  <c r="GO63"/>
  <c r="GP68"/>
  <c r="GP159"/>
  <c r="GZ45"/>
  <c r="GO74"/>
  <c r="GO180"/>
  <c r="GP154"/>
  <c r="GZ184"/>
  <c r="GP116"/>
  <c r="GZ65"/>
  <c r="GZ201"/>
  <c r="GO68"/>
  <c r="GO159"/>
  <c r="GZ41"/>
  <c r="GP74"/>
  <c r="GP180"/>
  <c r="GP50"/>
  <c r="GP146"/>
  <c r="AO172" i="15"/>
  <c r="AP60"/>
  <c r="AO60"/>
  <c r="AP150"/>
  <c r="AO150"/>
  <c r="AP42"/>
  <c r="AP149"/>
  <c r="AO149"/>
  <c r="AO190"/>
  <c r="HO44" i="9"/>
  <c r="HO156"/>
  <c r="HO188"/>
  <c r="HO125"/>
  <c r="HO96"/>
  <c r="HO53"/>
  <c r="HO147"/>
  <c r="HO154"/>
  <c r="HO116"/>
  <c r="HO115"/>
  <c r="HO114"/>
  <c r="HO180"/>
  <c r="HO56"/>
  <c r="HO183"/>
  <c r="HO174"/>
  <c r="HO145"/>
  <c r="HO49"/>
  <c r="HO205"/>
  <c r="HO81"/>
  <c r="HO196"/>
  <c r="HO185"/>
  <c r="HO78"/>
  <c r="HO112"/>
  <c r="HO54"/>
  <c r="HO39"/>
  <c r="HO159"/>
  <c r="HO197"/>
  <c r="HO198"/>
  <c r="HO77"/>
  <c r="HO84"/>
  <c r="HO69"/>
  <c r="HO79"/>
  <c r="HO82"/>
  <c r="HO173"/>
  <c r="HO43"/>
  <c r="HO98"/>
  <c r="HO118"/>
  <c r="HO59"/>
  <c r="HO90"/>
  <c r="HO176"/>
  <c r="HO121"/>
  <c r="HO199"/>
  <c r="AP137" i="15"/>
  <c r="AO137"/>
  <c r="AP188"/>
  <c r="AO188"/>
  <c r="AP173"/>
  <c r="AO173"/>
  <c r="HO57" i="9"/>
  <c r="HO132"/>
  <c r="HO140"/>
  <c r="HO65"/>
  <c r="HO141"/>
  <c r="HO181"/>
  <c r="HO51"/>
  <c r="HO86"/>
  <c r="HO165"/>
  <c r="HO107"/>
  <c r="HO94"/>
  <c r="HO160"/>
  <c r="HO119"/>
  <c r="HO171"/>
  <c r="HO150"/>
  <c r="HO163"/>
  <c r="HO61"/>
  <c r="HO76"/>
  <c r="HO105"/>
  <c r="HO195"/>
  <c r="HO46"/>
  <c r="HO170"/>
  <c r="HO83"/>
  <c r="HO184"/>
  <c r="HO135"/>
  <c r="HO182"/>
  <c r="HO166"/>
  <c r="HO45"/>
  <c r="HO40"/>
  <c r="HO177"/>
  <c r="HO67"/>
  <c r="HO187"/>
  <c r="HO161"/>
  <c r="HO144"/>
  <c r="HO42"/>
  <c r="HO87"/>
  <c r="HO104"/>
  <c r="HO203"/>
  <c r="HO92"/>
  <c r="HO70"/>
  <c r="HO99"/>
  <c r="AP174" i="15"/>
  <c r="AP154"/>
  <c r="AO154"/>
  <c r="AP178"/>
  <c r="HO72" i="9"/>
  <c r="HO124"/>
  <c r="HO58"/>
  <c r="HO129"/>
  <c r="HO52"/>
  <c r="HO109"/>
  <c r="HO93"/>
  <c r="HO168"/>
  <c r="HO50"/>
  <c r="HO157"/>
  <c r="HO63"/>
  <c r="HO74"/>
  <c r="HO202"/>
  <c r="HO91"/>
  <c r="HO172"/>
  <c r="HO138"/>
  <c r="HO152"/>
  <c r="HO131"/>
  <c r="HO41"/>
  <c r="HO64"/>
  <c r="HO73"/>
  <c r="HO123"/>
  <c r="HO191"/>
  <c r="HO162"/>
  <c r="HO136"/>
  <c r="HO126"/>
  <c r="HO103"/>
  <c r="HO146"/>
  <c r="HO122"/>
  <c r="HO133"/>
  <c r="HO113"/>
  <c r="HO149"/>
  <c r="HO55"/>
  <c r="HO175"/>
  <c r="HO130"/>
  <c r="HO201"/>
  <c r="HO167"/>
  <c r="HO204"/>
  <c r="HO68"/>
  <c r="HO139"/>
  <c r="HO80"/>
  <c r="HO151"/>
  <c r="HO60"/>
  <c r="AP122" i="15"/>
  <c r="AO122"/>
  <c r="AO186"/>
  <c r="AP186"/>
  <c r="AP48"/>
  <c r="AO48"/>
  <c r="HO193" i="9"/>
  <c r="HO88"/>
  <c r="HO71"/>
  <c r="HO186"/>
  <c r="HO117"/>
  <c r="HO89"/>
  <c r="HO120"/>
  <c r="HO85"/>
  <c r="HO178"/>
  <c r="HO148"/>
  <c r="HO66"/>
  <c r="HO142"/>
  <c r="HO192"/>
  <c r="HO100"/>
  <c r="HO106"/>
  <c r="HO190"/>
  <c r="HO200"/>
  <c r="HO137"/>
  <c r="HO48"/>
  <c r="HO101"/>
  <c r="HO75"/>
  <c r="HO127"/>
  <c r="HO110"/>
  <c r="HO128"/>
  <c r="HO62"/>
  <c r="HO95"/>
  <c r="HO179"/>
  <c r="HO108"/>
  <c r="HO169"/>
  <c r="HO97"/>
  <c r="HO164"/>
  <c r="HO47"/>
  <c r="HO143"/>
  <c r="HO102"/>
  <c r="HO189"/>
  <c r="HO155"/>
  <c r="HO134"/>
  <c r="HO158"/>
  <c r="HO111"/>
  <c r="HO194"/>
  <c r="HO206"/>
  <c r="HO153"/>
  <c r="GO125"/>
  <c r="GS203"/>
  <c r="GP141"/>
  <c r="GO136"/>
  <c r="GP125"/>
  <c r="GP89"/>
  <c r="GO141"/>
  <c r="GP136"/>
  <c r="GO112"/>
  <c r="GO120"/>
  <c r="GO89"/>
  <c r="GO54"/>
  <c r="GP112"/>
  <c r="GZ87"/>
  <c r="GZ53"/>
  <c r="GZ105"/>
  <c r="GZ67"/>
  <c r="GR95"/>
  <c r="GP96"/>
  <c r="GO93"/>
  <c r="GO127"/>
  <c r="GO71"/>
  <c r="GO121"/>
  <c r="GP49"/>
  <c r="GO57"/>
  <c r="GO81"/>
  <c r="GR66"/>
  <c r="GO168"/>
  <c r="AR119" i="15"/>
  <c r="Q118" i="11" s="1"/>
  <c r="AR203" i="15"/>
  <c r="Q202" i="11" s="1"/>
  <c r="GP127" i="9"/>
  <c r="GP128"/>
  <c r="GZ49"/>
  <c r="GP139"/>
  <c r="GO49"/>
  <c r="GO144"/>
  <c r="GP168"/>
  <c r="GP59"/>
  <c r="GP87"/>
  <c r="GP90"/>
  <c r="GO147"/>
  <c r="AR82" i="15"/>
  <c r="Q81" i="11" s="1"/>
  <c r="AR123" i="15"/>
  <c r="Q122" i="11" s="1"/>
  <c r="GO96" i="9"/>
  <c r="GP93"/>
  <c r="GP60"/>
  <c r="GP71"/>
  <c r="GO83"/>
  <c r="GP169"/>
  <c r="GP62"/>
  <c r="GP121"/>
  <c r="GP145"/>
  <c r="GP157"/>
  <c r="GP65"/>
  <c r="GO99"/>
  <c r="GO155"/>
  <c r="GO102"/>
  <c r="GP110"/>
  <c r="GP81"/>
  <c r="GO109"/>
  <c r="GP84"/>
  <c r="GO158"/>
  <c r="GO100"/>
  <c r="GO46"/>
  <c r="GP134"/>
  <c r="GZ153"/>
  <c r="HD171"/>
  <c r="HD82"/>
  <c r="HD61"/>
  <c r="HD40"/>
  <c r="HD120"/>
  <c r="HD127"/>
  <c r="HD86"/>
  <c r="HD150"/>
  <c r="JO150" s="1"/>
  <c r="HD145"/>
  <c r="HD172"/>
  <c r="HD147"/>
  <c r="HD138"/>
  <c r="HD197"/>
  <c r="HD112"/>
  <c r="HD167"/>
  <c r="HD41"/>
  <c r="HG66"/>
  <c r="HG178"/>
  <c r="HG120"/>
  <c r="HG134"/>
  <c r="HG113"/>
  <c r="HG74"/>
  <c r="HG149"/>
  <c r="HG80"/>
  <c r="HJ103"/>
  <c r="HG158"/>
  <c r="HG164"/>
  <c r="HG43"/>
  <c r="HG47"/>
  <c r="JO47" s="1"/>
  <c r="HG167"/>
  <c r="HD123"/>
  <c r="HD66"/>
  <c r="HD162"/>
  <c r="HD189"/>
  <c r="HD104"/>
  <c r="HD111"/>
  <c r="HD70"/>
  <c r="HD134"/>
  <c r="HD113"/>
  <c r="HD76"/>
  <c r="HD67"/>
  <c r="HD106"/>
  <c r="HD101"/>
  <c r="JO101" s="1"/>
  <c r="HD80"/>
  <c r="HD119"/>
  <c r="HD158"/>
  <c r="HD116"/>
  <c r="JO116" s="1"/>
  <c r="HG146"/>
  <c r="HG104"/>
  <c r="HG86"/>
  <c r="HG81"/>
  <c r="HG206"/>
  <c r="HG133"/>
  <c r="HG48"/>
  <c r="HG176"/>
  <c r="JO176" s="1"/>
  <c r="HG110"/>
  <c r="HG100"/>
  <c r="HG203"/>
  <c r="HG71"/>
  <c r="HD75"/>
  <c r="HD203"/>
  <c r="HD130"/>
  <c r="HD173"/>
  <c r="JO173" s="1"/>
  <c r="HD72"/>
  <c r="HD200"/>
  <c r="HD175"/>
  <c r="HD118"/>
  <c r="HD81"/>
  <c r="HD60"/>
  <c r="HD51"/>
  <c r="HD179"/>
  <c r="JO179" s="1"/>
  <c r="HD170"/>
  <c r="HD64"/>
  <c r="HD160"/>
  <c r="HD199"/>
  <c r="HD100"/>
  <c r="HG114"/>
  <c r="HG157"/>
  <c r="HG54"/>
  <c r="HG198"/>
  <c r="HG204"/>
  <c r="HG122"/>
  <c r="HG197"/>
  <c r="HG160"/>
  <c r="HG78"/>
  <c r="HG201"/>
  <c r="HG171"/>
  <c r="HG147"/>
  <c r="HD43"/>
  <c r="HD187"/>
  <c r="HD98"/>
  <c r="HD109"/>
  <c r="HD56"/>
  <c r="HD168"/>
  <c r="HD159"/>
  <c r="HD102"/>
  <c r="HD198"/>
  <c r="HD177"/>
  <c r="HD204"/>
  <c r="HD163"/>
  <c r="HD154"/>
  <c r="JO154" s="1"/>
  <c r="HD48"/>
  <c r="HD128"/>
  <c r="HD183"/>
  <c r="HD201"/>
  <c r="HG82"/>
  <c r="HG194"/>
  <c r="HG136"/>
  <c r="HG182"/>
  <c r="HG177"/>
  <c r="HG106"/>
  <c r="HG181"/>
  <c r="HG144"/>
  <c r="HG46"/>
  <c r="HG185"/>
  <c r="HG91"/>
  <c r="HG143"/>
  <c r="HR65"/>
  <c r="HQ65"/>
  <c r="HN65"/>
  <c r="HP65"/>
  <c r="HR57"/>
  <c r="HQ57"/>
  <c r="HN57"/>
  <c r="HP57"/>
  <c r="HR109"/>
  <c r="HQ109"/>
  <c r="HN109"/>
  <c r="HP109"/>
  <c r="HR96"/>
  <c r="HQ96"/>
  <c r="HN96"/>
  <c r="HP96"/>
  <c r="HR93"/>
  <c r="HQ93"/>
  <c r="HN93"/>
  <c r="HP93"/>
  <c r="HR71"/>
  <c r="HQ71"/>
  <c r="HN71"/>
  <c r="HP71"/>
  <c r="HR127"/>
  <c r="HQ127"/>
  <c r="HN127"/>
  <c r="HP127"/>
  <c r="HN46"/>
  <c r="HP46"/>
  <c r="HR46"/>
  <c r="HQ46"/>
  <c r="HN110"/>
  <c r="HP110"/>
  <c r="HR110"/>
  <c r="HQ110"/>
  <c r="HN170"/>
  <c r="HP170"/>
  <c r="HR170"/>
  <c r="HQ170"/>
  <c r="HR128"/>
  <c r="HQ128"/>
  <c r="HN128"/>
  <c r="HP128"/>
  <c r="HR83"/>
  <c r="HQ83"/>
  <c r="HN83"/>
  <c r="HP83"/>
  <c r="HN62"/>
  <c r="HP62"/>
  <c r="HR62"/>
  <c r="HQ62"/>
  <c r="HR121"/>
  <c r="HQ121"/>
  <c r="HN121"/>
  <c r="HP121"/>
  <c r="HR145"/>
  <c r="HQ145"/>
  <c r="HN145"/>
  <c r="HP145"/>
  <c r="HR60"/>
  <c r="HQ60"/>
  <c r="HN60"/>
  <c r="HP60"/>
  <c r="HR59"/>
  <c r="HQ59"/>
  <c r="HN59"/>
  <c r="HP59"/>
  <c r="HR139"/>
  <c r="HQ139"/>
  <c r="HN139"/>
  <c r="HP139"/>
  <c r="HN90"/>
  <c r="HP90"/>
  <c r="HR90"/>
  <c r="HQ90"/>
  <c r="HR169"/>
  <c r="HQ169"/>
  <c r="HN169"/>
  <c r="HP169"/>
  <c r="HR49"/>
  <c r="HQ49"/>
  <c r="HN49"/>
  <c r="HP49"/>
  <c r="HR205"/>
  <c r="HQ205"/>
  <c r="HN205"/>
  <c r="HP205"/>
  <c r="HR64"/>
  <c r="HQ64"/>
  <c r="HN64"/>
  <c r="HP64"/>
  <c r="HR81"/>
  <c r="HQ81"/>
  <c r="HN81"/>
  <c r="HP81"/>
  <c r="HR53"/>
  <c r="HQ53"/>
  <c r="HN53"/>
  <c r="HP53"/>
  <c r="HR168"/>
  <c r="HQ168"/>
  <c r="HN168"/>
  <c r="HP168"/>
  <c r="HR147"/>
  <c r="HQ147"/>
  <c r="HN147"/>
  <c r="HP147"/>
  <c r="HN102"/>
  <c r="HP102"/>
  <c r="HR102"/>
  <c r="HQ102"/>
  <c r="HR157"/>
  <c r="HQ157"/>
  <c r="HN157"/>
  <c r="HP157"/>
  <c r="HR144"/>
  <c r="HQ144"/>
  <c r="HN144"/>
  <c r="HP144"/>
  <c r="HR155"/>
  <c r="HQ155"/>
  <c r="HN155"/>
  <c r="HP155"/>
  <c r="HN42"/>
  <c r="HP42"/>
  <c r="HR42"/>
  <c r="HQ42"/>
  <c r="HN134"/>
  <c r="HP134"/>
  <c r="HR134"/>
  <c r="HQ134"/>
  <c r="HR87"/>
  <c r="HQ87"/>
  <c r="HN87"/>
  <c r="HP87"/>
  <c r="HN158"/>
  <c r="HP158"/>
  <c r="HR158"/>
  <c r="HQ158"/>
  <c r="HR100"/>
  <c r="HQ100"/>
  <c r="HN100"/>
  <c r="HP100"/>
  <c r="HR99"/>
  <c r="HQ99"/>
  <c r="HN99"/>
  <c r="HP99"/>
  <c r="HR199"/>
  <c r="HQ199"/>
  <c r="HN199"/>
  <c r="HP199"/>
  <c r="HR193"/>
  <c r="HQ193"/>
  <c r="HN193"/>
  <c r="HP193"/>
  <c r="HR133"/>
  <c r="HQ133"/>
  <c r="HN133"/>
  <c r="HP133"/>
  <c r="HR61"/>
  <c r="HQ61"/>
  <c r="HN61"/>
  <c r="HP61"/>
  <c r="HR84"/>
  <c r="HQ84"/>
  <c r="HN84"/>
  <c r="HP84"/>
  <c r="HR149"/>
  <c r="HQ149"/>
  <c r="HN149"/>
  <c r="HP149"/>
  <c r="HR73"/>
  <c r="HQ73"/>
  <c r="HN73"/>
  <c r="HP73"/>
  <c r="HR196"/>
  <c r="HQ196"/>
  <c r="HN196"/>
  <c r="HP196"/>
  <c r="HR123"/>
  <c r="HQ123"/>
  <c r="HN123"/>
  <c r="HP123"/>
  <c r="HN58"/>
  <c r="HP58"/>
  <c r="HR58"/>
  <c r="HQ58"/>
  <c r="HR185"/>
  <c r="HQ185"/>
  <c r="HN185"/>
  <c r="HP185"/>
  <c r="HN122"/>
  <c r="HP122"/>
  <c r="HR122"/>
  <c r="HQ122"/>
  <c r="HR92"/>
  <c r="HQ92"/>
  <c r="HN92"/>
  <c r="HP92"/>
  <c r="HR152"/>
  <c r="HQ152"/>
  <c r="HN152"/>
  <c r="HP152"/>
  <c r="HR188"/>
  <c r="HQ188"/>
  <c r="HN188"/>
  <c r="HP188"/>
  <c r="HR151"/>
  <c r="HQ151"/>
  <c r="HN151"/>
  <c r="HP151"/>
  <c r="HN70"/>
  <c r="HP70"/>
  <c r="HR70"/>
  <c r="HQ70"/>
  <c r="HN186"/>
  <c r="HP186"/>
  <c r="HR186"/>
  <c r="HQ186"/>
  <c r="HR171"/>
  <c r="HQ171"/>
  <c r="HN171"/>
  <c r="HP171"/>
  <c r="HN106"/>
  <c r="HP106"/>
  <c r="HR106"/>
  <c r="HQ106"/>
  <c r="HN150"/>
  <c r="HP150"/>
  <c r="HR150"/>
  <c r="HQ150"/>
  <c r="HN190"/>
  <c r="HP190"/>
  <c r="HR190"/>
  <c r="HQ190"/>
  <c r="HR45"/>
  <c r="HQ45"/>
  <c r="HN45"/>
  <c r="HP45"/>
  <c r="HR97"/>
  <c r="HQ97"/>
  <c r="HN97"/>
  <c r="HP97"/>
  <c r="HR44"/>
  <c r="HQ44"/>
  <c r="HN44"/>
  <c r="HP44"/>
  <c r="HR124"/>
  <c r="HQ124"/>
  <c r="HN124"/>
  <c r="HP124"/>
  <c r="HR156"/>
  <c r="HQ156"/>
  <c r="HN156"/>
  <c r="HP156"/>
  <c r="HR47"/>
  <c r="HQ47"/>
  <c r="HN47"/>
  <c r="HP47"/>
  <c r="HR67"/>
  <c r="HQ67"/>
  <c r="HN67"/>
  <c r="HP67"/>
  <c r="HR143"/>
  <c r="HQ143"/>
  <c r="HN143"/>
  <c r="HP143"/>
  <c r="HR187"/>
  <c r="HQ187"/>
  <c r="HN187"/>
  <c r="HP187"/>
  <c r="HN50"/>
  <c r="HP50"/>
  <c r="HR50"/>
  <c r="HQ50"/>
  <c r="HN154"/>
  <c r="HP154"/>
  <c r="HR154"/>
  <c r="HQ154"/>
  <c r="HR161"/>
  <c r="HQ161"/>
  <c r="HN161"/>
  <c r="HP161"/>
  <c r="HR189"/>
  <c r="HQ189"/>
  <c r="HN189"/>
  <c r="HP189"/>
  <c r="HR116"/>
  <c r="HQ116"/>
  <c r="HN116"/>
  <c r="HP116"/>
  <c r="HR63"/>
  <c r="HQ63"/>
  <c r="HN63"/>
  <c r="HP63"/>
  <c r="HR115"/>
  <c r="HQ115"/>
  <c r="HN115"/>
  <c r="HP115"/>
  <c r="HN74"/>
  <c r="HP74"/>
  <c r="HR74"/>
  <c r="HQ74"/>
  <c r="HN114"/>
  <c r="HP114"/>
  <c r="HR114"/>
  <c r="HQ114"/>
  <c r="HN202"/>
  <c r="HP202"/>
  <c r="HR202"/>
  <c r="HQ202"/>
  <c r="HR180"/>
  <c r="HQ180"/>
  <c r="HN180"/>
  <c r="HP180"/>
  <c r="HR91"/>
  <c r="HQ91"/>
  <c r="HN91"/>
  <c r="HP91"/>
  <c r="HR68"/>
  <c r="HQ68"/>
  <c r="HN68"/>
  <c r="HP68"/>
  <c r="HR39"/>
  <c r="HQ39"/>
  <c r="HN39"/>
  <c r="HP39"/>
  <c r="HR103"/>
  <c r="HQ103"/>
  <c r="HN103"/>
  <c r="HP103"/>
  <c r="HR159"/>
  <c r="HQ159"/>
  <c r="HN159"/>
  <c r="HP159"/>
  <c r="HN146"/>
  <c r="HP146"/>
  <c r="HR146"/>
  <c r="HQ146"/>
  <c r="HR125"/>
  <c r="HQ125"/>
  <c r="HN125"/>
  <c r="HP125"/>
  <c r="HR89"/>
  <c r="HQ89"/>
  <c r="HN89"/>
  <c r="HP89"/>
  <c r="HR141"/>
  <c r="HQ141"/>
  <c r="HN141"/>
  <c r="HP141"/>
  <c r="HR120"/>
  <c r="HQ120"/>
  <c r="HN120"/>
  <c r="HP120"/>
  <c r="HR181"/>
  <c r="HQ181"/>
  <c r="HN181"/>
  <c r="HP181"/>
  <c r="HR197"/>
  <c r="HQ197"/>
  <c r="HN197"/>
  <c r="HP197"/>
  <c r="HR191"/>
  <c r="HQ191"/>
  <c r="HN191"/>
  <c r="HP191"/>
  <c r="HN78"/>
  <c r="HP78"/>
  <c r="HR78"/>
  <c r="HQ78"/>
  <c r="HN162"/>
  <c r="HP162"/>
  <c r="HR162"/>
  <c r="HQ162"/>
  <c r="HR112"/>
  <c r="HQ112"/>
  <c r="HN112"/>
  <c r="HP112"/>
  <c r="HR136"/>
  <c r="HQ136"/>
  <c r="HN136"/>
  <c r="HP136"/>
  <c r="HN54"/>
  <c r="HP54"/>
  <c r="HR54"/>
  <c r="HQ54"/>
  <c r="HN126"/>
  <c r="HP126"/>
  <c r="HR126"/>
  <c r="HQ126"/>
  <c r="HR129"/>
  <c r="HQ129"/>
  <c r="HN129"/>
  <c r="HP129"/>
  <c r="HR153"/>
  <c r="HQ153"/>
  <c r="HN153"/>
  <c r="HP153"/>
  <c r="HR200"/>
  <c r="HQ200"/>
  <c r="HN200"/>
  <c r="HP200"/>
  <c r="HR111"/>
  <c r="HQ111"/>
  <c r="HN111"/>
  <c r="HP111"/>
  <c r="HR203"/>
  <c r="HQ203"/>
  <c r="HN203"/>
  <c r="HP203"/>
  <c r="HN182"/>
  <c r="HP182"/>
  <c r="HR182"/>
  <c r="HQ182"/>
  <c r="HR72"/>
  <c r="HQ72"/>
  <c r="HN72"/>
  <c r="HP72"/>
  <c r="HR137"/>
  <c r="HQ137"/>
  <c r="HN137"/>
  <c r="HP137"/>
  <c r="HR48"/>
  <c r="HQ48"/>
  <c r="HN48"/>
  <c r="HP48"/>
  <c r="HR76"/>
  <c r="HQ76"/>
  <c r="HN76"/>
  <c r="HP76"/>
  <c r="HR101"/>
  <c r="HQ101"/>
  <c r="HN101"/>
  <c r="HP101"/>
  <c r="HR85"/>
  <c r="HQ85"/>
  <c r="HN85"/>
  <c r="HP85"/>
  <c r="HR51"/>
  <c r="HQ51"/>
  <c r="HN51"/>
  <c r="HP51"/>
  <c r="HN82"/>
  <c r="HP82"/>
  <c r="HR82"/>
  <c r="HQ82"/>
  <c r="HN130"/>
  <c r="HP130"/>
  <c r="HR130"/>
  <c r="HQ130"/>
  <c r="HR165"/>
  <c r="HQ165"/>
  <c r="HN165"/>
  <c r="HP165"/>
  <c r="HR43"/>
  <c r="HQ43"/>
  <c r="HN43"/>
  <c r="HP43"/>
  <c r="HR167"/>
  <c r="HQ167"/>
  <c r="HN167"/>
  <c r="HP167"/>
  <c r="HN98"/>
  <c r="HP98"/>
  <c r="HR98"/>
  <c r="HQ98"/>
  <c r="HR204"/>
  <c r="HQ204"/>
  <c r="HN204"/>
  <c r="HP204"/>
  <c r="HN118"/>
  <c r="HP118"/>
  <c r="HR118"/>
  <c r="HQ118"/>
  <c r="HR56"/>
  <c r="HQ56"/>
  <c r="HN56"/>
  <c r="HP56"/>
  <c r="HR172"/>
  <c r="HQ172"/>
  <c r="HN172"/>
  <c r="HP172"/>
  <c r="HR131"/>
  <c r="HQ131"/>
  <c r="HN131"/>
  <c r="HP131"/>
  <c r="HN198"/>
  <c r="HP198"/>
  <c r="HR198"/>
  <c r="HQ198"/>
  <c r="HR52"/>
  <c r="HQ52"/>
  <c r="HN52"/>
  <c r="HP52"/>
  <c r="HR41"/>
  <c r="HQ41"/>
  <c r="HN41"/>
  <c r="HP41"/>
  <c r="HR40"/>
  <c r="HQ40"/>
  <c r="HN40"/>
  <c r="HP40"/>
  <c r="HR164"/>
  <c r="HQ164"/>
  <c r="HN164"/>
  <c r="HP164"/>
  <c r="HR177"/>
  <c r="HQ177"/>
  <c r="HN177"/>
  <c r="HP177"/>
  <c r="HR105"/>
  <c r="HQ105"/>
  <c r="HN105"/>
  <c r="HP105"/>
  <c r="HR75"/>
  <c r="HQ75"/>
  <c r="HN75"/>
  <c r="HP75"/>
  <c r="HR195"/>
  <c r="HQ195"/>
  <c r="HN195"/>
  <c r="HP195"/>
  <c r="HN194"/>
  <c r="HP194"/>
  <c r="HR194"/>
  <c r="HQ194"/>
  <c r="HR108"/>
  <c r="HQ108"/>
  <c r="HN108"/>
  <c r="HP108"/>
  <c r="HR80"/>
  <c r="HQ80"/>
  <c r="HN80"/>
  <c r="HP80"/>
  <c r="HR140"/>
  <c r="HQ140"/>
  <c r="HN140"/>
  <c r="HP140"/>
  <c r="HR176"/>
  <c r="HQ176"/>
  <c r="HN176"/>
  <c r="HP176"/>
  <c r="HN206"/>
  <c r="HP206"/>
  <c r="HR206"/>
  <c r="HQ206"/>
  <c r="HR163"/>
  <c r="HQ163"/>
  <c r="HN163"/>
  <c r="HP163"/>
  <c r="HN166"/>
  <c r="HP166"/>
  <c r="HR166"/>
  <c r="HQ166"/>
  <c r="HR184"/>
  <c r="HQ184"/>
  <c r="HN184"/>
  <c r="HP184"/>
  <c r="HR183"/>
  <c r="HQ183"/>
  <c r="HN183"/>
  <c r="HP183"/>
  <c r="HN138"/>
  <c r="HP138"/>
  <c r="HR138"/>
  <c r="HQ138"/>
  <c r="HN174"/>
  <c r="HP174"/>
  <c r="HR174"/>
  <c r="HQ174"/>
  <c r="HR117"/>
  <c r="HQ117"/>
  <c r="HN117"/>
  <c r="HP117"/>
  <c r="HR77"/>
  <c r="HQ77"/>
  <c r="HN77"/>
  <c r="HP77"/>
  <c r="HR113"/>
  <c r="HQ113"/>
  <c r="HN113"/>
  <c r="HP113"/>
  <c r="HR88"/>
  <c r="HQ88"/>
  <c r="HN88"/>
  <c r="HP88"/>
  <c r="HR132"/>
  <c r="HQ132"/>
  <c r="HN132"/>
  <c r="HP132"/>
  <c r="HR69"/>
  <c r="HQ69"/>
  <c r="HN69"/>
  <c r="HP69"/>
  <c r="HR55"/>
  <c r="HQ55"/>
  <c r="HN55"/>
  <c r="HP55"/>
  <c r="HR79"/>
  <c r="HQ79"/>
  <c r="HN79"/>
  <c r="HP79"/>
  <c r="HR175"/>
  <c r="HQ175"/>
  <c r="HN175"/>
  <c r="HP175"/>
  <c r="HN38"/>
  <c r="HP38"/>
  <c r="HR38"/>
  <c r="HQ38"/>
  <c r="HN86"/>
  <c r="HP86"/>
  <c r="HR86"/>
  <c r="HQ86"/>
  <c r="HN178"/>
  <c r="HP178"/>
  <c r="HR178"/>
  <c r="HQ178"/>
  <c r="HR173"/>
  <c r="HQ173"/>
  <c r="HN173"/>
  <c r="HP173"/>
  <c r="HR201"/>
  <c r="HQ201"/>
  <c r="HN201"/>
  <c r="HP201"/>
  <c r="HR148"/>
  <c r="HQ148"/>
  <c r="HN148"/>
  <c r="HP148"/>
  <c r="HR107"/>
  <c r="HQ107"/>
  <c r="HN107"/>
  <c r="HP107"/>
  <c r="HN66"/>
  <c r="HP66"/>
  <c r="HR66"/>
  <c r="HQ66"/>
  <c r="HN94"/>
  <c r="HP94"/>
  <c r="HR94"/>
  <c r="HQ94"/>
  <c r="HN142"/>
  <c r="HP142"/>
  <c r="HR142"/>
  <c r="HQ142"/>
  <c r="HR160"/>
  <c r="HQ160"/>
  <c r="HN160"/>
  <c r="HP160"/>
  <c r="HR192"/>
  <c r="HQ192"/>
  <c r="HN192"/>
  <c r="HP192"/>
  <c r="HR119"/>
  <c r="HQ119"/>
  <c r="HN119"/>
  <c r="HP119"/>
  <c r="HR104"/>
  <c r="HQ104"/>
  <c r="HN104"/>
  <c r="HP104"/>
  <c r="HR95"/>
  <c r="HQ95"/>
  <c r="HN95"/>
  <c r="HP95"/>
  <c r="HR135"/>
  <c r="HQ135"/>
  <c r="HN135"/>
  <c r="HP135"/>
  <c r="HR179"/>
  <c r="HQ179"/>
  <c r="HN179"/>
  <c r="HP179"/>
  <c r="AP148" i="15"/>
  <c r="HC80" i="9"/>
  <c r="AR121" i="15"/>
  <c r="Q120" i="11" s="1"/>
  <c r="AR45" i="15"/>
  <c r="Q44" i="11" s="1"/>
  <c r="HC168" i="9"/>
  <c r="JN98"/>
  <c r="JN194"/>
  <c r="JN91"/>
  <c r="AP180" i="15"/>
  <c r="AR183"/>
  <c r="Q182" i="11" s="1"/>
  <c r="JN143" i="9"/>
  <c r="JN114"/>
  <c r="HI103"/>
  <c r="AR152" i="15"/>
  <c r="Q151" i="11" s="1"/>
  <c r="JN146" i="9"/>
  <c r="JN204"/>
  <c r="AP176" i="15"/>
  <c r="JN206" i="9"/>
  <c r="GR160"/>
  <c r="JO160" s="1"/>
  <c r="GR64"/>
  <c r="GZ57"/>
  <c r="GZ61"/>
  <c r="GZ54"/>
  <c r="GS52"/>
  <c r="GZ68"/>
  <c r="GR196"/>
  <c r="GZ162"/>
  <c r="JO162" s="1"/>
  <c r="HA85"/>
  <c r="HA166"/>
  <c r="GZ97"/>
  <c r="HA97"/>
  <c r="HA168"/>
  <c r="GZ55"/>
  <c r="HA55"/>
  <c r="GZ63"/>
  <c r="HA63"/>
  <c r="GZ136"/>
  <c r="HA136"/>
  <c r="HA102"/>
  <c r="GZ89"/>
  <c r="HA89"/>
  <c r="GZ95"/>
  <c r="HA95"/>
  <c r="HA74"/>
  <c r="GZ200"/>
  <c r="HA200"/>
  <c r="GZ103"/>
  <c r="HA103"/>
  <c r="GZ135"/>
  <c r="HA135"/>
  <c r="HA144"/>
  <c r="GR198"/>
  <c r="HC94"/>
  <c r="HC192"/>
  <c r="JO192" s="1"/>
  <c r="HC165"/>
  <c r="GS87"/>
  <c r="HF200"/>
  <c r="HC117"/>
  <c r="HF41"/>
  <c r="HF129"/>
  <c r="HF165"/>
  <c r="GS93"/>
  <c r="JO93" s="1"/>
  <c r="HF168"/>
  <c r="GZ94"/>
  <c r="HC88"/>
  <c r="HC129"/>
  <c r="HF49"/>
  <c r="JO49" s="1"/>
  <c r="GR75"/>
  <c r="GR133"/>
  <c r="GS86"/>
  <c r="HC181"/>
  <c r="HC180"/>
  <c r="HC169"/>
  <c r="GZ144"/>
  <c r="HF166"/>
  <c r="GZ137"/>
  <c r="JO137" s="1"/>
  <c r="HF141"/>
  <c r="HF40"/>
  <c r="HF65"/>
  <c r="GR92"/>
  <c r="GS75"/>
  <c r="HF169"/>
  <c r="GS133"/>
  <c r="GR54"/>
  <c r="GR148"/>
  <c r="HF59"/>
  <c r="GZ102"/>
  <c r="HC142"/>
  <c r="HC90"/>
  <c r="HC77"/>
  <c r="HC103"/>
  <c r="HF83"/>
  <c r="HC97"/>
  <c r="GS70"/>
  <c r="HF45"/>
  <c r="GR96"/>
  <c r="HC153"/>
  <c r="GZ195"/>
  <c r="GS136"/>
  <c r="HF135"/>
  <c r="GS96"/>
  <c r="HC58"/>
  <c r="GR136"/>
  <c r="GS92"/>
  <c r="HC69"/>
  <c r="GS196"/>
  <c r="HF97"/>
  <c r="HF88"/>
  <c r="HF156"/>
  <c r="GZ74"/>
  <c r="GZ181"/>
  <c r="HC178"/>
  <c r="HF58"/>
  <c r="GZ142"/>
  <c r="HC62"/>
  <c r="HF90"/>
  <c r="HC161"/>
  <c r="JO161" s="1"/>
  <c r="HF55"/>
  <c r="GZ79"/>
  <c r="JO79" s="1"/>
  <c r="HC121"/>
  <c r="HF140"/>
  <c r="HF39"/>
  <c r="HC115"/>
  <c r="HF94"/>
  <c r="HC53"/>
  <c r="JO53" s="1"/>
  <c r="HF130"/>
  <c r="HC107"/>
  <c r="HF44"/>
  <c r="GR86"/>
  <c r="GR70"/>
  <c r="GS198"/>
  <c r="AR56" i="15"/>
  <c r="Q55" i="11" s="1"/>
  <c r="JN202" i="9"/>
  <c r="AP66" i="15"/>
  <c r="JN108" i="9"/>
  <c r="JN89"/>
  <c r="AR92" i="15"/>
  <c r="Q91" i="11" s="1"/>
  <c r="JN135" i="9"/>
  <c r="JN63"/>
  <c r="GR140"/>
  <c r="GR200"/>
  <c r="GR128"/>
  <c r="GR87"/>
  <c r="GS148"/>
  <c r="GS200"/>
  <c r="GS128"/>
  <c r="JN174"/>
  <c r="GS54"/>
  <c r="GR52"/>
  <c r="GS144"/>
  <c r="GS193"/>
  <c r="HI43"/>
  <c r="JO43" s="1"/>
  <c r="HI131"/>
  <c r="HF199"/>
  <c r="HF125"/>
  <c r="HF155"/>
  <c r="HF115"/>
  <c r="HF159"/>
  <c r="HF191"/>
  <c r="HF195"/>
  <c r="HF60"/>
  <c r="JO60" s="1"/>
  <c r="HF118"/>
  <c r="HF75"/>
  <c r="HF131"/>
  <c r="HF105"/>
  <c r="HF61"/>
  <c r="HC135"/>
  <c r="HC50"/>
  <c r="HC156"/>
  <c r="HC54"/>
  <c r="HC202"/>
  <c r="JN188"/>
  <c r="JR188" s="1"/>
  <c r="JN62"/>
  <c r="JT62" s="1"/>
  <c r="JN139"/>
  <c r="GR193"/>
  <c r="HC186"/>
  <c r="HC194"/>
  <c r="HC190"/>
  <c r="JO190" s="1"/>
  <c r="GZ99"/>
  <c r="GZ159"/>
  <c r="GR144"/>
  <c r="JN151"/>
  <c r="JQ151" s="1"/>
  <c r="JO111"/>
  <c r="JO205"/>
  <c r="JO98"/>
  <c r="JO72"/>
  <c r="JO78"/>
  <c r="JO152"/>
  <c r="JO174"/>
  <c r="JO104"/>
  <c r="JO175"/>
  <c r="GP57"/>
  <c r="GP103"/>
  <c r="JO76"/>
  <c r="JN165"/>
  <c r="JO42"/>
  <c r="JO126"/>
  <c r="JO151"/>
  <c r="GO103"/>
  <c r="JO122"/>
  <c r="JO119"/>
  <c r="JO188"/>
  <c r="JO197"/>
  <c r="JO51"/>
  <c r="JO124"/>
  <c r="JO149"/>
  <c r="JO84"/>
  <c r="JO206"/>
  <c r="JO172"/>
  <c r="AR94" i="15"/>
  <c r="Q93" i="11" s="1"/>
  <c r="AR146" i="15"/>
  <c r="Q145" i="11" s="1"/>
  <c r="AR164" i="15"/>
  <c r="Q163" i="11" s="1"/>
  <c r="AR37" i="15"/>
  <c r="Q36" i="11" s="1"/>
  <c r="AR184" i="15"/>
  <c r="Q183" i="11" s="1"/>
  <c r="AR140" i="15"/>
  <c r="Q139" i="11" s="1"/>
  <c r="AR57" i="15"/>
  <c r="Q56" i="11" s="1"/>
  <c r="AR51" i="15"/>
  <c r="Q50" i="11" s="1"/>
  <c r="AR105" i="15"/>
  <c r="Q104" i="11" s="1"/>
  <c r="JO184" i="9"/>
  <c r="AR194" i="15"/>
  <c r="Q193" i="11" s="1"/>
  <c r="JN140" i="9"/>
  <c r="JN64"/>
  <c r="JN44"/>
  <c r="JN205"/>
  <c r="JN152"/>
  <c r="JN193"/>
  <c r="JN84"/>
  <c r="JN156"/>
  <c r="JN192"/>
  <c r="JN124"/>
  <c r="JN88"/>
  <c r="JN121"/>
  <c r="JN50"/>
  <c r="JN117"/>
  <c r="JN175"/>
  <c r="JN73"/>
  <c r="JN131"/>
  <c r="JN190"/>
  <c r="JN125"/>
  <c r="S148" i="15" l="1"/>
  <c r="S94"/>
  <c r="S56"/>
  <c r="S165"/>
  <c r="S102"/>
  <c r="S73"/>
  <c r="S153"/>
  <c r="S132"/>
  <c r="S78"/>
  <c r="S160"/>
  <c r="S158"/>
  <c r="S193"/>
  <c r="S50"/>
  <c r="S64"/>
  <c r="S192"/>
  <c r="S74"/>
  <c r="S85"/>
  <c r="S75"/>
  <c r="S103"/>
  <c r="S101"/>
  <c r="S147"/>
  <c r="S145"/>
  <c r="S52"/>
  <c r="S65"/>
  <c r="S121"/>
  <c r="S69"/>
  <c r="S55"/>
  <c r="S126"/>
  <c r="S142"/>
  <c r="S171"/>
  <c r="S175"/>
  <c r="S151"/>
  <c r="S189"/>
  <c r="S41"/>
  <c r="S49"/>
  <c r="S201"/>
  <c r="S195"/>
  <c r="S194"/>
  <c r="S146"/>
  <c r="S63"/>
  <c r="S68"/>
  <c r="S62"/>
  <c r="S157"/>
  <c r="S89"/>
  <c r="S187"/>
  <c r="S43"/>
  <c r="S169"/>
  <c r="S183"/>
  <c r="S131"/>
  <c r="S79"/>
  <c r="S167"/>
  <c r="S111"/>
  <c r="S109"/>
  <c r="S179"/>
  <c r="S84"/>
  <c r="S134"/>
  <c r="S177"/>
  <c r="S117"/>
  <c r="S199"/>
  <c r="S67"/>
  <c r="S181"/>
  <c r="S39"/>
  <c r="S99"/>
  <c r="S90"/>
  <c r="S196"/>
  <c r="R109"/>
  <c r="R187"/>
  <c r="R162"/>
  <c r="R177"/>
  <c r="R108"/>
  <c r="R46"/>
  <c r="R104"/>
  <c r="R64"/>
  <c r="R118"/>
  <c r="R69"/>
  <c r="R137"/>
  <c r="R199"/>
  <c r="R147"/>
  <c r="R144"/>
  <c r="R160"/>
  <c r="R62"/>
  <c r="R136"/>
  <c r="R72"/>
  <c r="R166"/>
  <c r="R127"/>
  <c r="R97"/>
  <c r="R102"/>
  <c r="R159"/>
  <c r="R38"/>
  <c r="R133"/>
  <c r="R44"/>
  <c r="R59"/>
  <c r="R117"/>
  <c r="R163"/>
  <c r="R139"/>
  <c r="R55"/>
  <c r="R119"/>
  <c r="R116"/>
  <c r="R80"/>
  <c r="R75"/>
  <c r="R37"/>
  <c r="R183"/>
  <c r="R47"/>
  <c r="R54"/>
  <c r="R114"/>
  <c r="R94"/>
  <c r="R42"/>
  <c r="R192"/>
  <c r="R153"/>
  <c r="R45"/>
  <c r="R106"/>
  <c r="R126"/>
  <c r="R99"/>
  <c r="R188"/>
  <c r="R140"/>
  <c r="R83"/>
  <c r="R184"/>
  <c r="R78"/>
  <c r="R165"/>
  <c r="R53"/>
  <c r="R120"/>
  <c r="R134"/>
  <c r="R71"/>
  <c r="R150"/>
  <c r="R200"/>
  <c r="R48"/>
  <c r="R50"/>
  <c r="R70"/>
  <c r="R201"/>
  <c r="R142"/>
  <c r="R175"/>
  <c r="R180"/>
  <c r="R168"/>
  <c r="R74"/>
  <c r="R169"/>
  <c r="R105"/>
  <c r="R179"/>
  <c r="R130"/>
  <c r="R197"/>
  <c r="R57"/>
  <c r="R171"/>
  <c r="R82"/>
  <c r="R157"/>
  <c r="R76"/>
  <c r="R203"/>
  <c r="R181"/>
  <c r="R113"/>
  <c r="R51"/>
  <c r="R154"/>
  <c r="R204"/>
  <c r="R132"/>
  <c r="R141"/>
  <c r="R167"/>
  <c r="R60"/>
  <c r="R73"/>
  <c r="R198"/>
  <c r="R190"/>
  <c r="R176"/>
  <c r="R115"/>
  <c r="R191"/>
  <c r="R149"/>
  <c r="R202"/>
  <c r="R173"/>
  <c r="R131"/>
  <c r="R124"/>
  <c r="R121"/>
  <c r="R129"/>
  <c r="R89"/>
  <c r="R155"/>
  <c r="R107"/>
  <c r="R122"/>
  <c r="R90"/>
  <c r="R40"/>
  <c r="R65"/>
  <c r="R164"/>
  <c r="R81"/>
  <c r="R103"/>
  <c r="R148"/>
  <c r="R92"/>
  <c r="R49"/>
  <c r="R138"/>
  <c r="R88"/>
  <c r="R41"/>
  <c r="R67"/>
  <c r="R195"/>
  <c r="R110"/>
  <c r="R79"/>
  <c r="R172"/>
  <c r="R112"/>
  <c r="R145"/>
  <c r="R186"/>
  <c r="R151"/>
  <c r="R156"/>
  <c r="R100"/>
  <c r="R95"/>
  <c r="R93"/>
  <c r="R125"/>
  <c r="R135"/>
  <c r="R98"/>
  <c r="R146"/>
  <c r="R87"/>
  <c r="R86"/>
  <c r="R58"/>
  <c r="R66"/>
  <c r="R128"/>
  <c r="R111"/>
  <c r="R101"/>
  <c r="R189"/>
  <c r="R39"/>
  <c r="R170"/>
  <c r="R61"/>
  <c r="R91"/>
  <c r="R56"/>
  <c r="R68"/>
  <c r="R85"/>
  <c r="R185"/>
  <c r="R43"/>
  <c r="R182"/>
  <c r="R193"/>
  <c r="R161"/>
  <c r="R158"/>
  <c r="R84"/>
  <c r="R63"/>
  <c r="R174"/>
  <c r="R96"/>
  <c r="R77"/>
  <c r="R196"/>
  <c r="R52"/>
  <c r="R194"/>
  <c r="R143"/>
  <c r="R178"/>
  <c r="R152"/>
  <c r="R123"/>
  <c r="JO143" i="9"/>
  <c r="JO114"/>
  <c r="JO157"/>
  <c r="JO203"/>
  <c r="JO113"/>
  <c r="JO187"/>
  <c r="JO185"/>
  <c r="JO123"/>
  <c r="AR159" i="15"/>
  <c r="Q158" i="11" s="1"/>
  <c r="AR67" i="15"/>
  <c r="Q66" i="11" s="1"/>
  <c r="JO56" i="9"/>
  <c r="JO132"/>
  <c r="JO177"/>
  <c r="JN180"/>
  <c r="JN93"/>
  <c r="JT93" s="1"/>
  <c r="AO178" i="15"/>
  <c r="AO42"/>
  <c r="JO40" i="9"/>
  <c r="JO117"/>
  <c r="JO64"/>
  <c r="JO107"/>
  <c r="JO62"/>
  <c r="JO45"/>
  <c r="JO41"/>
  <c r="JO67"/>
  <c r="JO130"/>
  <c r="AR135" i="15"/>
  <c r="Q134" i="11" s="1"/>
  <c r="AR166" i="15"/>
  <c r="Q165" i="11" s="1"/>
  <c r="JO191" i="9"/>
  <c r="AP83" i="15"/>
  <c r="JO44" i="9"/>
  <c r="JO178"/>
  <c r="JO180"/>
  <c r="JO85"/>
  <c r="JO68"/>
  <c r="AP38" i="15"/>
  <c r="AO74"/>
  <c r="AP181"/>
  <c r="AP172"/>
  <c r="JO71" i="9"/>
  <c r="JO73"/>
  <c r="AR98" i="15"/>
  <c r="Q97" i="11" s="1"/>
  <c r="JN191" i="9"/>
  <c r="V125" i="12"/>
  <c r="V151"/>
  <c r="V156"/>
  <c r="V100"/>
  <c r="V95"/>
  <c r="V93"/>
  <c r="V135"/>
  <c r="V98"/>
  <c r="V146"/>
  <c r="V87"/>
  <c r="V86"/>
  <c r="V149"/>
  <c r="V202"/>
  <c r="V173"/>
  <c r="V131"/>
  <c r="V124"/>
  <c r="V121"/>
  <c r="V129"/>
  <c r="V89"/>
  <c r="V155"/>
  <c r="V107"/>
  <c r="V122"/>
  <c r="V201"/>
  <c r="V142"/>
  <c r="V175"/>
  <c r="V180"/>
  <c r="V168"/>
  <c r="V74"/>
  <c r="V169"/>
  <c r="V105"/>
  <c r="V179"/>
  <c r="V130"/>
  <c r="V119"/>
  <c r="V116"/>
  <c r="V80"/>
  <c r="V75"/>
  <c r="V37"/>
  <c r="V183"/>
  <c r="V47"/>
  <c r="V54"/>
  <c r="V114"/>
  <c r="V94"/>
  <c r="V42"/>
  <c r="V109"/>
  <c r="V187"/>
  <c r="V162"/>
  <c r="V177"/>
  <c r="V108"/>
  <c r="V46"/>
  <c r="V104"/>
  <c r="V64"/>
  <c r="V118"/>
  <c r="V69"/>
  <c r="V58"/>
  <c r="V66"/>
  <c r="V128"/>
  <c r="V111"/>
  <c r="V101"/>
  <c r="V189"/>
  <c r="V39"/>
  <c r="V170"/>
  <c r="V61"/>
  <c r="V91"/>
  <c r="V56"/>
  <c r="V90"/>
  <c r="V40"/>
  <c r="V65"/>
  <c r="V164"/>
  <c r="V81"/>
  <c r="V103"/>
  <c r="V148"/>
  <c r="V92"/>
  <c r="V49"/>
  <c r="V138"/>
  <c r="V197"/>
  <c r="V57"/>
  <c r="V171"/>
  <c r="V82"/>
  <c r="V157"/>
  <c r="V76"/>
  <c r="V203"/>
  <c r="V181"/>
  <c r="V113"/>
  <c r="V51"/>
  <c r="V154"/>
  <c r="V192"/>
  <c r="V153"/>
  <c r="V45"/>
  <c r="V106"/>
  <c r="V126"/>
  <c r="V99"/>
  <c r="V188"/>
  <c r="V140"/>
  <c r="V83"/>
  <c r="V184"/>
  <c r="V137"/>
  <c r="V199"/>
  <c r="V147"/>
  <c r="V144"/>
  <c r="V160"/>
  <c r="V62"/>
  <c r="V136"/>
  <c r="V72"/>
  <c r="V166"/>
  <c r="V127"/>
  <c r="V68"/>
  <c r="V85"/>
  <c r="V185"/>
  <c r="V43"/>
  <c r="V182"/>
  <c r="V193"/>
  <c r="V161"/>
  <c r="V158"/>
  <c r="V84"/>
  <c r="V63"/>
  <c r="V88"/>
  <c r="V41"/>
  <c r="V67"/>
  <c r="V195"/>
  <c r="V110"/>
  <c r="V79"/>
  <c r="V172"/>
  <c r="V112"/>
  <c r="V145"/>
  <c r="V186"/>
  <c r="V204"/>
  <c r="V132"/>
  <c r="V141"/>
  <c r="V167"/>
  <c r="V60"/>
  <c r="V73"/>
  <c r="V198"/>
  <c r="V190"/>
  <c r="V176"/>
  <c r="V115"/>
  <c r="V191"/>
  <c r="V78"/>
  <c r="V165"/>
  <c r="V53"/>
  <c r="V120"/>
  <c r="V134"/>
  <c r="V71"/>
  <c r="V150"/>
  <c r="V200"/>
  <c r="V48"/>
  <c r="V50"/>
  <c r="V70"/>
  <c r="V97"/>
  <c r="V102"/>
  <c r="V159"/>
  <c r="V38"/>
  <c r="V133"/>
  <c r="V44"/>
  <c r="V59"/>
  <c r="V117"/>
  <c r="V163"/>
  <c r="V139"/>
  <c r="V55"/>
  <c r="V174"/>
  <c r="V96"/>
  <c r="V77"/>
  <c r="V196"/>
  <c r="V52"/>
  <c r="V194"/>
  <c r="V143"/>
  <c r="V178"/>
  <c r="V152"/>
  <c r="V123"/>
  <c r="O150" i="11"/>
  <c r="O155"/>
  <c r="O99"/>
  <c r="O94"/>
  <c r="O92"/>
  <c r="O124"/>
  <c r="O134"/>
  <c r="O97"/>
  <c r="O145"/>
  <c r="O86"/>
  <c r="O85"/>
  <c r="O148"/>
  <c r="O201"/>
  <c r="O172"/>
  <c r="O130"/>
  <c r="O123"/>
  <c r="O120"/>
  <c r="O128"/>
  <c r="O88"/>
  <c r="O154"/>
  <c r="O106"/>
  <c r="O121"/>
  <c r="O200"/>
  <c r="O141"/>
  <c r="O174"/>
  <c r="O179"/>
  <c r="O167"/>
  <c r="O73"/>
  <c r="O168"/>
  <c r="O104"/>
  <c r="O178"/>
  <c r="O129"/>
  <c r="O118"/>
  <c r="O115"/>
  <c r="O79"/>
  <c r="O74"/>
  <c r="O36"/>
  <c r="O182"/>
  <c r="O46"/>
  <c r="O53"/>
  <c r="O113"/>
  <c r="O93"/>
  <c r="O41"/>
  <c r="O108"/>
  <c r="O186"/>
  <c r="O161"/>
  <c r="O176"/>
  <c r="O107"/>
  <c r="O45"/>
  <c r="O103"/>
  <c r="O63"/>
  <c r="O117"/>
  <c r="O68"/>
  <c r="O57"/>
  <c r="O65"/>
  <c r="O127"/>
  <c r="O110"/>
  <c r="O100"/>
  <c r="O188"/>
  <c r="O38"/>
  <c r="O169"/>
  <c r="O60"/>
  <c r="O90"/>
  <c r="O55"/>
  <c r="O89"/>
  <c r="O39"/>
  <c r="O64"/>
  <c r="O163"/>
  <c r="O80"/>
  <c r="O102"/>
  <c r="O147"/>
  <c r="O91"/>
  <c r="O48"/>
  <c r="O137"/>
  <c r="O196"/>
  <c r="O56"/>
  <c r="O170"/>
  <c r="O81"/>
  <c r="O156"/>
  <c r="O75"/>
  <c r="O202"/>
  <c r="O180"/>
  <c r="O112"/>
  <c r="O50"/>
  <c r="O153"/>
  <c r="O191"/>
  <c r="O152"/>
  <c r="O44"/>
  <c r="O105"/>
  <c r="O125"/>
  <c r="O98"/>
  <c r="O187"/>
  <c r="O139"/>
  <c r="O82"/>
  <c r="O183"/>
  <c r="O136"/>
  <c r="O198"/>
  <c r="O146"/>
  <c r="O143"/>
  <c r="O159"/>
  <c r="O61"/>
  <c r="O135"/>
  <c r="O71"/>
  <c r="O165"/>
  <c r="O126"/>
  <c r="O67"/>
  <c r="O84"/>
  <c r="O184"/>
  <c r="O42"/>
  <c r="O181"/>
  <c r="O192"/>
  <c r="O160"/>
  <c r="O157"/>
  <c r="O83"/>
  <c r="O62"/>
  <c r="O87"/>
  <c r="O40"/>
  <c r="O66"/>
  <c r="O194"/>
  <c r="O109"/>
  <c r="O78"/>
  <c r="O171"/>
  <c r="O111"/>
  <c r="O144"/>
  <c r="O185"/>
  <c r="O203"/>
  <c r="O131"/>
  <c r="O140"/>
  <c r="O166"/>
  <c r="O59"/>
  <c r="O72"/>
  <c r="O197"/>
  <c r="O189"/>
  <c r="O175"/>
  <c r="O114"/>
  <c r="O190"/>
  <c r="O77"/>
  <c r="O164"/>
  <c r="O52"/>
  <c r="O119"/>
  <c r="O133"/>
  <c r="O70"/>
  <c r="O149"/>
  <c r="O199"/>
  <c r="O47"/>
  <c r="O49"/>
  <c r="O69"/>
  <c r="O96"/>
  <c r="O101"/>
  <c r="O158"/>
  <c r="O37"/>
  <c r="O132"/>
  <c r="O43"/>
  <c r="O58"/>
  <c r="O116"/>
  <c r="O162"/>
  <c r="O138"/>
  <c r="O54"/>
  <c r="O173"/>
  <c r="O95"/>
  <c r="O76"/>
  <c r="O195"/>
  <c r="O51"/>
  <c r="O193"/>
  <c r="O142"/>
  <c r="O177"/>
  <c r="O151"/>
  <c r="O122"/>
  <c r="AR170" i="15"/>
  <c r="Q169" i="11" s="1"/>
  <c r="AR39" i="15"/>
  <c r="Q38" i="11" s="1"/>
  <c r="JO146" i="9"/>
  <c r="JO189"/>
  <c r="JO163"/>
  <c r="JN52"/>
  <c r="JX52" s="1"/>
  <c r="AP190" i="15"/>
  <c r="AR55"/>
  <c r="Q54" i="11" s="1"/>
  <c r="AR187" i="15"/>
  <c r="Q186" i="11" s="1"/>
  <c r="AR167" i="15"/>
  <c r="Q166" i="11" s="1"/>
  <c r="AR77" i="15"/>
  <c r="Q76" i="11" s="1"/>
  <c r="JN159" i="9"/>
  <c r="JZ159" s="1"/>
  <c r="AR153" i="15"/>
  <c r="Q152" i="11" s="1"/>
  <c r="AR118" i="15"/>
  <c r="Q117" i="11" s="1"/>
  <c r="AR43" i="15"/>
  <c r="Q42" i="11" s="1"/>
  <c r="AR59" i="15"/>
  <c r="Q58" i="11" s="1"/>
  <c r="AR65" i="15"/>
  <c r="Q64" i="11" s="1"/>
  <c r="AR95" i="15"/>
  <c r="Q94" i="11" s="1"/>
  <c r="AR101" i="15"/>
  <c r="Q100" i="11" s="1"/>
  <c r="AR169" i="15"/>
  <c r="Q168" i="11" s="1"/>
  <c r="AR131" i="15"/>
  <c r="Q130" i="11" s="1"/>
  <c r="AR104" i="15"/>
  <c r="Q103" i="11" s="1"/>
  <c r="AR158" i="15"/>
  <c r="Q157" i="11" s="1"/>
  <c r="AR86" i="15"/>
  <c r="Q85" i="11" s="1"/>
  <c r="AR189" i="15"/>
  <c r="Q188" i="11" s="1"/>
  <c r="AR179" i="15"/>
  <c r="Q178" i="11" s="1"/>
  <c r="AR168" i="15"/>
  <c r="Q167" i="11" s="1"/>
  <c r="AR52" i="15"/>
  <c r="Q51" i="11" s="1"/>
  <c r="AR62" i="15"/>
  <c r="Q61" i="11" s="1"/>
  <c r="AR71" i="15"/>
  <c r="Q70" i="11" s="1"/>
  <c r="AR79" i="15"/>
  <c r="Q78" i="11" s="1"/>
  <c r="AR125" i="15"/>
  <c r="Q124" i="11" s="1"/>
  <c r="AR201" i="15"/>
  <c r="Q200" i="11" s="1"/>
  <c r="AR134" i="15"/>
  <c r="Q133" i="11" s="1"/>
  <c r="AR112" i="15"/>
  <c r="Q111" i="11" s="1"/>
  <c r="AR61" i="15"/>
  <c r="Q60" i="11" s="1"/>
  <c r="AR110" i="15"/>
  <c r="Q109" i="11" s="1"/>
  <c r="AR106" i="15"/>
  <c r="Q105" i="11" s="1"/>
  <c r="AR180" i="15"/>
  <c r="Q179" i="11" s="1"/>
  <c r="AR196" i="15"/>
  <c r="Q195" i="11" s="1"/>
  <c r="AR103" i="15"/>
  <c r="Q102" i="11" s="1"/>
  <c r="AR204" i="15"/>
  <c r="Q203" i="11" s="1"/>
  <c r="AR175" i="15"/>
  <c r="Q174" i="11" s="1"/>
  <c r="AR89" i="15"/>
  <c r="Q88" i="11" s="1"/>
  <c r="AR199" i="15"/>
  <c r="Q198" i="11" s="1"/>
  <c r="AR117" i="15"/>
  <c r="Q116" i="11" s="1"/>
  <c r="AR157" i="15"/>
  <c r="Q156" i="11" s="1"/>
  <c r="AR141" i="15"/>
  <c r="Q140" i="11" s="1"/>
  <c r="JN129" i="9"/>
  <c r="JW129" s="1"/>
  <c r="AR127" i="15"/>
  <c r="Q126" i="11" s="1"/>
  <c r="JN126" i="9"/>
  <c r="JZ126" s="1"/>
  <c r="AR124" i="15"/>
  <c r="Q123" i="11" s="1"/>
  <c r="AR53" i="15"/>
  <c r="Q52" i="11" s="1"/>
  <c r="AR63" i="15"/>
  <c r="Q62" i="11" s="1"/>
  <c r="AR76" i="15"/>
  <c r="Q75" i="11" s="1"/>
  <c r="AR156" i="15"/>
  <c r="Q155" i="11" s="1"/>
  <c r="AR143" i="15"/>
  <c r="Q142" i="11" s="1"/>
  <c r="AR126" i="15"/>
  <c r="Q125" i="11" s="1"/>
  <c r="AR145" i="15"/>
  <c r="Q144" i="11" s="1"/>
  <c r="AR44" i="15"/>
  <c r="Q43" i="11" s="1"/>
  <c r="AR47" i="15"/>
  <c r="Q46" i="11" s="1"/>
  <c r="AR70" i="15"/>
  <c r="Q69" i="11" s="1"/>
  <c r="AR128" i="15"/>
  <c r="Q127" i="11" s="1"/>
  <c r="AR165" i="15"/>
  <c r="Q164" i="11" s="1"/>
  <c r="AR38" i="15"/>
  <c r="Q37" i="11" s="1"/>
  <c r="AR78" i="15"/>
  <c r="Q77" i="11" s="1"/>
  <c r="AR74" i="15"/>
  <c r="Q73" i="11" s="1"/>
  <c r="AR91" i="15"/>
  <c r="Q90" i="11" s="1"/>
  <c r="AR161" i="15"/>
  <c r="Q160" i="11" s="1"/>
  <c r="AR83" i="15"/>
  <c r="Q82" i="11" s="1"/>
  <c r="AR111" i="15"/>
  <c r="Q110" i="11" s="1"/>
  <c r="AR181" i="15"/>
  <c r="Q180" i="11" s="1"/>
  <c r="AR84" i="15"/>
  <c r="Q83" i="11" s="1"/>
  <c r="AR177" i="15"/>
  <c r="Q176" i="11" s="1"/>
  <c r="AR93" i="15"/>
  <c r="Q92" i="11" s="1"/>
  <c r="AR102" i="15"/>
  <c r="Q101" i="11" s="1"/>
  <c r="AR176" i="15"/>
  <c r="Q175" i="11" s="1"/>
  <c r="JN141" i="9"/>
  <c r="AR139" i="15"/>
  <c r="Q138" i="11" s="1"/>
  <c r="AP113" i="15"/>
  <c r="AR113"/>
  <c r="Q112" i="11" s="1"/>
  <c r="AR130" i="15"/>
  <c r="Q129" i="11" s="1"/>
  <c r="AR174" i="15"/>
  <c r="Q173" i="11" s="1"/>
  <c r="AR182" i="15"/>
  <c r="Q181" i="11" s="1"/>
  <c r="AR151" i="15"/>
  <c r="Q150" i="11" s="1"/>
  <c r="AR75" i="15"/>
  <c r="Q74" i="11" s="1"/>
  <c r="AR193" i="15"/>
  <c r="Q192" i="11" s="1"/>
  <c r="AR155" i="15"/>
  <c r="Q154" i="11" s="1"/>
  <c r="AR100" i="15"/>
  <c r="Q99" i="11" s="1"/>
  <c r="AR191" i="15"/>
  <c r="Q190" i="11" s="1"/>
  <c r="AR197" i="15"/>
  <c r="Q196" i="11" s="1"/>
  <c r="AR97" i="15"/>
  <c r="Q96" i="11" s="1"/>
  <c r="AR58" i="15"/>
  <c r="Q57" i="11" s="1"/>
  <c r="AR46" i="15"/>
  <c r="Q45" i="11" s="1"/>
  <c r="AR114" i="15"/>
  <c r="Q113" i="11" s="1"/>
  <c r="AR138" i="15"/>
  <c r="Q137" i="11" s="1"/>
  <c r="AR73" i="15"/>
  <c r="Q72" i="11" s="1"/>
  <c r="AR109" i="15"/>
  <c r="Q108" i="11" s="1"/>
  <c r="AR54" i="15"/>
  <c r="Q53" i="11" s="1"/>
  <c r="AR41" i="15"/>
  <c r="Q40" i="11" s="1"/>
  <c r="AR162" i="15"/>
  <c r="Q161" i="11" s="1"/>
  <c r="AR90" i="15"/>
  <c r="Q89" i="11" s="1"/>
  <c r="AR116" i="15"/>
  <c r="Q115" i="11" s="1"/>
  <c r="AR49" i="15"/>
  <c r="Q48" i="11" s="1"/>
  <c r="AR144" i="15"/>
  <c r="Q143" i="11" s="1"/>
  <c r="AR120" i="15"/>
  <c r="Q119" i="11" s="1"/>
  <c r="AR147" i="15"/>
  <c r="Q146" i="11" s="1"/>
  <c r="AR64" i="15"/>
  <c r="Q63" i="11" s="1"/>
  <c r="AR185" i="15"/>
  <c r="Q184" i="11" s="1"/>
  <c r="AR148" i="15"/>
  <c r="Q147" i="11" s="1"/>
  <c r="JN42" i="9"/>
  <c r="JZ42" s="1"/>
  <c r="AR40" i="15"/>
  <c r="Q39" i="11" s="1"/>
  <c r="JN90" i="9"/>
  <c r="JS90" s="1"/>
  <c r="AR88" i="15"/>
  <c r="Q87" i="11" s="1"/>
  <c r="JN83" i="9"/>
  <c r="JQ83" s="1"/>
  <c r="AR81" i="15"/>
  <c r="Q80" i="11" s="1"/>
  <c r="AO129" i="15"/>
  <c r="AR129"/>
  <c r="Q128" i="11" s="1"/>
  <c r="AO115" i="15"/>
  <c r="AR115"/>
  <c r="Q114" i="11" s="1"/>
  <c r="AP163" i="15"/>
  <c r="AR163"/>
  <c r="Q162" i="11" s="1"/>
  <c r="AR87" i="15"/>
  <c r="Q86" i="11" s="1"/>
  <c r="AR195" i="15"/>
  <c r="Q194" i="11" s="1"/>
  <c r="AR142" i="15"/>
  <c r="Q141" i="11" s="1"/>
  <c r="AR69" i="15"/>
  <c r="Q68" i="11" s="1"/>
  <c r="AR108" i="15"/>
  <c r="Q107" i="11" s="1"/>
  <c r="AR132" i="15"/>
  <c r="Q131" i="11" s="1"/>
  <c r="AR85" i="15"/>
  <c r="Q84" i="11" s="1"/>
  <c r="AR107" i="15"/>
  <c r="Q106" i="11" s="1"/>
  <c r="AR160" i="15"/>
  <c r="Q159" i="11" s="1"/>
  <c r="AR99" i="15"/>
  <c r="Q98" i="11" s="1"/>
  <c r="AR66" i="15"/>
  <c r="Q65" i="11" s="1"/>
  <c r="AR72" i="15"/>
  <c r="Q71" i="11" s="1"/>
  <c r="AR80" i="15"/>
  <c r="Q79" i="11" s="1"/>
  <c r="AR198" i="15"/>
  <c r="Q197" i="11" s="1"/>
  <c r="AR192" i="15"/>
  <c r="Q191" i="11" s="1"/>
  <c r="AR50" i="15"/>
  <c r="Q49" i="11" s="1"/>
  <c r="AR68" i="15"/>
  <c r="Q67" i="11" s="1"/>
  <c r="AR136" i="15"/>
  <c r="Q135" i="11" s="1"/>
  <c r="AR96" i="15"/>
  <c r="Q95" i="11" s="1"/>
  <c r="AR171" i="15"/>
  <c r="Q170" i="11" s="1"/>
  <c r="AR202" i="15"/>
  <c r="Q201" i="11" s="1"/>
  <c r="AR133" i="15"/>
  <c r="Q132" i="11" s="1"/>
  <c r="AR200" i="15"/>
  <c r="Q199" i="11" s="1"/>
  <c r="JO183" i="9"/>
  <c r="AP86" i="15"/>
  <c r="AO86"/>
  <c r="JN201" i="9"/>
  <c r="JX201" s="1"/>
  <c r="JO134"/>
  <c r="JO112"/>
  <c r="JO138"/>
  <c r="JO106"/>
  <c r="JO194"/>
  <c r="JN49"/>
  <c r="JV49" s="1"/>
  <c r="JO80"/>
  <c r="JO46"/>
  <c r="JO48"/>
  <c r="JO167"/>
  <c r="JO145"/>
  <c r="JO128"/>
  <c r="JO121"/>
  <c r="JO141"/>
  <c r="JO108"/>
  <c r="JO66"/>
  <c r="JO147"/>
  <c r="JO158"/>
  <c r="JO110"/>
  <c r="JO127"/>
  <c r="JO120"/>
  <c r="JO201"/>
  <c r="JO91"/>
  <c r="JO182"/>
  <c r="JO171"/>
  <c r="JN92"/>
  <c r="JO139"/>
  <c r="JO170"/>
  <c r="JO164"/>
  <c r="JO204"/>
  <c r="JN101"/>
  <c r="JX101" s="1"/>
  <c r="AO174" i="15"/>
  <c r="AO130"/>
  <c r="JN132" i="9"/>
  <c r="JZ132" s="1"/>
  <c r="JN176"/>
  <c r="JO74"/>
  <c r="JN128"/>
  <c r="JT128" s="1"/>
  <c r="JN110"/>
  <c r="JW110" s="1"/>
  <c r="JN87"/>
  <c r="AP162" i="15"/>
  <c r="JO153" i="9"/>
  <c r="AP54" i="15"/>
  <c r="JN197" i="9"/>
  <c r="JN70"/>
  <c r="JX70" s="1"/>
  <c r="JN115"/>
  <c r="JZ115" s="1"/>
  <c r="JO155"/>
  <c r="JO39"/>
  <c r="JO77"/>
  <c r="JN116"/>
  <c r="JW116" s="1"/>
  <c r="AP90" i="15"/>
  <c r="AO163"/>
  <c r="AP115"/>
  <c r="JS151" i="9"/>
  <c r="JN78"/>
  <c r="JX78" s="1"/>
  <c r="AP50" i="15"/>
  <c r="JO82" i="9"/>
  <c r="JO109"/>
  <c r="AP169" i="15"/>
  <c r="JO100" i="9"/>
  <c r="JN119"/>
  <c r="JX119" s="1"/>
  <c r="JO169"/>
  <c r="AO113" i="15"/>
  <c r="JO102" i="9"/>
  <c r="JN160"/>
  <c r="JV160" s="1"/>
  <c r="JN58"/>
  <c r="JW58" s="1"/>
  <c r="JO81"/>
  <c r="JT83"/>
  <c r="JY188"/>
  <c r="KA188" s="1"/>
  <c r="JO57"/>
  <c r="JO96"/>
  <c r="JN164"/>
  <c r="JW164" s="1"/>
  <c r="JN182"/>
  <c r="JV182" s="1"/>
  <c r="JO148"/>
  <c r="JO70"/>
  <c r="JO59"/>
  <c r="JO65"/>
  <c r="JO165"/>
  <c r="AP161" i="15"/>
  <c r="JO198" i="9"/>
  <c r="AP73" i="15"/>
  <c r="AP84"/>
  <c r="AO158"/>
  <c r="JN94" i="9"/>
  <c r="JV94" s="1"/>
  <c r="AP64" i="15"/>
  <c r="JN54" i="9"/>
  <c r="JX54" s="1"/>
  <c r="AP41" i="15"/>
  <c r="AP187"/>
  <c r="AO187"/>
  <c r="AP43"/>
  <c r="AO43"/>
  <c r="JN184" i="9"/>
  <c r="JZ184" s="1"/>
  <c r="AP182" i="15"/>
  <c r="AO182"/>
  <c r="AP77"/>
  <c r="AO77"/>
  <c r="AP159"/>
  <c r="AO159"/>
  <c r="AP37"/>
  <c r="AO37"/>
  <c r="AP146"/>
  <c r="AO146"/>
  <c r="AP67"/>
  <c r="AO67"/>
  <c r="AP87"/>
  <c r="AO87"/>
  <c r="AP156"/>
  <c r="AO156"/>
  <c r="AP143"/>
  <c r="AO143"/>
  <c r="AP127"/>
  <c r="AO127"/>
  <c r="AP126"/>
  <c r="AO126"/>
  <c r="AP145"/>
  <c r="AO145"/>
  <c r="AP44"/>
  <c r="AO44"/>
  <c r="AP47"/>
  <c r="AO47"/>
  <c r="AP46"/>
  <c r="AO46"/>
  <c r="AP183"/>
  <c r="AO93"/>
  <c r="AP93"/>
  <c r="AP103"/>
  <c r="AO181"/>
  <c r="AP171"/>
  <c r="AO106"/>
  <c r="AO72"/>
  <c r="AP72"/>
  <c r="AO38"/>
  <c r="AO54"/>
  <c r="AO68"/>
  <c r="AP68"/>
  <c r="AO78"/>
  <c r="AO120"/>
  <c r="AP120"/>
  <c r="AP196"/>
  <c r="AO50"/>
  <c r="AO104"/>
  <c r="AP104"/>
  <c r="AP199"/>
  <c r="AO80"/>
  <c r="AP80"/>
  <c r="AO102"/>
  <c r="AO90"/>
  <c r="AP147"/>
  <c r="AO198"/>
  <c r="AP111"/>
  <c r="AP202"/>
  <c r="AP131"/>
  <c r="AP118"/>
  <c r="AO118"/>
  <c r="AP189"/>
  <c r="AO189"/>
  <c r="AP155"/>
  <c r="AO155"/>
  <c r="AP100"/>
  <c r="AO100"/>
  <c r="AP191"/>
  <c r="AO191"/>
  <c r="AP197"/>
  <c r="AO197"/>
  <c r="AP97"/>
  <c r="AO97"/>
  <c r="AP203"/>
  <c r="AO203"/>
  <c r="AP58"/>
  <c r="AO58"/>
  <c r="AP160"/>
  <c r="AO160"/>
  <c r="AP99"/>
  <c r="AO99"/>
  <c r="AO152"/>
  <c r="AP152"/>
  <c r="AO144"/>
  <c r="AP144"/>
  <c r="AO175"/>
  <c r="AP200"/>
  <c r="AP204"/>
  <c r="AO148"/>
  <c r="AO180"/>
  <c r="AO162"/>
  <c r="AO133"/>
  <c r="AP133"/>
  <c r="AP114"/>
  <c r="AP138"/>
  <c r="AO165"/>
  <c r="AP165"/>
  <c r="AO185"/>
  <c r="AO177"/>
  <c r="AP177"/>
  <c r="AO117"/>
  <c r="AP117"/>
  <c r="AO65"/>
  <c r="AP65"/>
  <c r="AO128"/>
  <c r="AP128"/>
  <c r="AO92"/>
  <c r="AP92"/>
  <c r="AO192"/>
  <c r="AO56"/>
  <c r="AP56"/>
  <c r="AP55"/>
  <c r="AO55"/>
  <c r="AP59"/>
  <c r="AO59"/>
  <c r="AP57"/>
  <c r="AO57"/>
  <c r="AP184"/>
  <c r="AO184"/>
  <c r="AP63"/>
  <c r="AO63"/>
  <c r="AP98"/>
  <c r="AO98"/>
  <c r="AP95"/>
  <c r="AO95"/>
  <c r="AP167"/>
  <c r="AO167"/>
  <c r="AP105"/>
  <c r="AO105"/>
  <c r="AP101"/>
  <c r="AO101"/>
  <c r="AP51"/>
  <c r="AO51"/>
  <c r="AP140"/>
  <c r="AO140"/>
  <c r="AP164"/>
  <c r="AO164"/>
  <c r="AP75"/>
  <c r="AO75"/>
  <c r="AP193"/>
  <c r="AO193"/>
  <c r="AP139"/>
  <c r="AO139"/>
  <c r="AP76"/>
  <c r="AO76"/>
  <c r="AP195"/>
  <c r="AO195"/>
  <c r="AP142"/>
  <c r="AO142"/>
  <c r="AP69"/>
  <c r="AO69"/>
  <c r="AP40"/>
  <c r="AO40"/>
  <c r="AP123"/>
  <c r="AO123"/>
  <c r="AP108"/>
  <c r="AO108"/>
  <c r="AP88"/>
  <c r="AO88"/>
  <c r="AP132"/>
  <c r="AO132"/>
  <c r="AP85"/>
  <c r="AO85"/>
  <c r="AP81"/>
  <c r="AO81"/>
  <c r="AP107"/>
  <c r="AO107"/>
  <c r="AP201"/>
  <c r="AO201"/>
  <c r="AP134"/>
  <c r="AO134"/>
  <c r="AO89"/>
  <c r="AP89"/>
  <c r="AP175"/>
  <c r="AO157"/>
  <c r="AP157"/>
  <c r="AP158"/>
  <c r="AO45"/>
  <c r="AP45"/>
  <c r="AO112"/>
  <c r="AP112"/>
  <c r="AO114"/>
  <c r="AO176"/>
  <c r="AO91"/>
  <c r="AO138"/>
  <c r="AO83"/>
  <c r="AO66"/>
  <c r="AO196"/>
  <c r="AO199"/>
  <c r="AO136"/>
  <c r="AP136"/>
  <c r="AO116"/>
  <c r="AP116"/>
  <c r="AP198"/>
  <c r="AP110"/>
  <c r="AO202"/>
  <c r="AO109"/>
  <c r="AP109"/>
  <c r="AP53"/>
  <c r="AO53"/>
  <c r="JN196" i="9"/>
  <c r="JW196" s="1"/>
  <c r="AO194" i="15"/>
  <c r="AP194"/>
  <c r="AP135"/>
  <c r="AO135"/>
  <c r="AP166"/>
  <c r="AO166"/>
  <c r="AP39"/>
  <c r="AO39"/>
  <c r="AP151"/>
  <c r="AO151"/>
  <c r="AP153"/>
  <c r="AO153"/>
  <c r="AP94"/>
  <c r="AO94"/>
  <c r="AP170"/>
  <c r="AO170"/>
  <c r="AP179"/>
  <c r="AO179"/>
  <c r="AP168"/>
  <c r="AO168"/>
  <c r="AP52"/>
  <c r="AO52"/>
  <c r="AP62"/>
  <c r="AO62"/>
  <c r="AP82"/>
  <c r="AO82"/>
  <c r="AP71"/>
  <c r="AO71"/>
  <c r="AP119"/>
  <c r="AO119"/>
  <c r="AP79"/>
  <c r="AO79"/>
  <c r="AP125"/>
  <c r="AO125"/>
  <c r="AP70"/>
  <c r="AO70"/>
  <c r="AP124"/>
  <c r="AO124"/>
  <c r="JN104" i="9"/>
  <c r="JX104" s="1"/>
  <c r="AO183" i="15"/>
  <c r="AO200"/>
  <c r="AO204"/>
  <c r="AO103"/>
  <c r="AO171"/>
  <c r="AP106"/>
  <c r="AO161"/>
  <c r="AO73"/>
  <c r="AO169"/>
  <c r="AO41"/>
  <c r="AP74"/>
  <c r="AO121"/>
  <c r="AP121"/>
  <c r="AP91"/>
  <c r="AP185"/>
  <c r="AO61"/>
  <c r="AP61"/>
  <c r="AP78"/>
  <c r="AP102"/>
  <c r="AO141"/>
  <c r="AP141"/>
  <c r="AO49"/>
  <c r="AP49"/>
  <c r="AO84"/>
  <c r="AO147"/>
  <c r="AO64"/>
  <c r="AO110"/>
  <c r="AO111"/>
  <c r="AO96"/>
  <c r="AP96"/>
  <c r="AP192"/>
  <c r="AO131"/>
  <c r="JN71" i="9"/>
  <c r="JX71" s="1"/>
  <c r="JN102"/>
  <c r="JW102" s="1"/>
  <c r="JN179"/>
  <c r="JW179" s="1"/>
  <c r="JN181"/>
  <c r="JW181" s="1"/>
  <c r="JN106"/>
  <c r="JX106" s="1"/>
  <c r="JN150"/>
  <c r="JT150" s="1"/>
  <c r="JO89"/>
  <c r="JN177"/>
  <c r="JW177" s="1"/>
  <c r="JO142"/>
  <c r="JW119"/>
  <c r="JZ146"/>
  <c r="JX146"/>
  <c r="JW146"/>
  <c r="JV146"/>
  <c r="JZ114"/>
  <c r="JX114"/>
  <c r="JW114"/>
  <c r="JV114"/>
  <c r="JZ125"/>
  <c r="JX125"/>
  <c r="JW125"/>
  <c r="JV125"/>
  <c r="JZ204"/>
  <c r="JX204"/>
  <c r="JW204"/>
  <c r="JV204"/>
  <c r="JZ73"/>
  <c r="JX73"/>
  <c r="JW73"/>
  <c r="JV73"/>
  <c r="JW94"/>
  <c r="JZ50"/>
  <c r="JX50"/>
  <c r="JW50"/>
  <c r="JV50"/>
  <c r="JZ110"/>
  <c r="JX110"/>
  <c r="JZ88"/>
  <c r="JX88"/>
  <c r="JW88"/>
  <c r="JV88"/>
  <c r="JY156"/>
  <c r="KA156" s="1"/>
  <c r="JZ156"/>
  <c r="JX156"/>
  <c r="JW156"/>
  <c r="JV156"/>
  <c r="JQ91"/>
  <c r="JZ91"/>
  <c r="JX91"/>
  <c r="JW91"/>
  <c r="JV91"/>
  <c r="JZ128"/>
  <c r="JX128"/>
  <c r="JZ101"/>
  <c r="JW101"/>
  <c r="JS165"/>
  <c r="JZ165"/>
  <c r="JX165"/>
  <c r="JW165"/>
  <c r="JV165"/>
  <c r="JZ194"/>
  <c r="JX194"/>
  <c r="JW194"/>
  <c r="JV194"/>
  <c r="JX115"/>
  <c r="JW115"/>
  <c r="JT188"/>
  <c r="JZ188"/>
  <c r="JX188"/>
  <c r="JW188"/>
  <c r="JV188"/>
  <c r="JZ93"/>
  <c r="JX93"/>
  <c r="JW93"/>
  <c r="JV93"/>
  <c r="JY174"/>
  <c r="KA174" s="1"/>
  <c r="JZ174"/>
  <c r="JX174"/>
  <c r="JW174"/>
  <c r="JV174"/>
  <c r="JZ87"/>
  <c r="JX87"/>
  <c r="JW87"/>
  <c r="JV87"/>
  <c r="JZ116"/>
  <c r="JV116"/>
  <c r="JZ129"/>
  <c r="JV129"/>
  <c r="JZ84"/>
  <c r="JX84"/>
  <c r="JW84"/>
  <c r="JV84"/>
  <c r="JV58"/>
  <c r="JZ190"/>
  <c r="JX190"/>
  <c r="JW190"/>
  <c r="JV190"/>
  <c r="JZ131"/>
  <c r="JX131"/>
  <c r="JW131"/>
  <c r="JV131"/>
  <c r="JZ117"/>
  <c r="JX117"/>
  <c r="JW117"/>
  <c r="JV117"/>
  <c r="JW70"/>
  <c r="JZ121"/>
  <c r="JX121"/>
  <c r="JW121"/>
  <c r="JV121"/>
  <c r="JV132"/>
  <c r="JZ52"/>
  <c r="JW52"/>
  <c r="JV52"/>
  <c r="JZ152"/>
  <c r="JX152"/>
  <c r="JW152"/>
  <c r="JV152"/>
  <c r="JZ140"/>
  <c r="JX140"/>
  <c r="JW140"/>
  <c r="JV140"/>
  <c r="JX126"/>
  <c r="JW126"/>
  <c r="JV126"/>
  <c r="JZ151"/>
  <c r="JX151"/>
  <c r="JW151"/>
  <c r="JV151"/>
  <c r="JZ62"/>
  <c r="JX62"/>
  <c r="JW62"/>
  <c r="JV62"/>
  <c r="JZ63"/>
  <c r="JX63"/>
  <c r="JW63"/>
  <c r="JV63"/>
  <c r="JZ108"/>
  <c r="JX108"/>
  <c r="JW108"/>
  <c r="JV108"/>
  <c r="JZ92"/>
  <c r="JX92"/>
  <c r="JW92"/>
  <c r="JV92"/>
  <c r="JY205"/>
  <c r="KA205" s="1"/>
  <c r="JZ205"/>
  <c r="JX205"/>
  <c r="JW205"/>
  <c r="JV205"/>
  <c r="JZ141"/>
  <c r="JX141"/>
  <c r="JW141"/>
  <c r="JV141"/>
  <c r="JZ197"/>
  <c r="JX197"/>
  <c r="JW197"/>
  <c r="JV197"/>
  <c r="JZ182"/>
  <c r="JX182"/>
  <c r="JZ175"/>
  <c r="JX175"/>
  <c r="JW175"/>
  <c r="JV175"/>
  <c r="JZ49"/>
  <c r="JX159"/>
  <c r="JW159"/>
  <c r="JV159"/>
  <c r="JX42"/>
  <c r="JY192"/>
  <c r="KA192" s="1"/>
  <c r="JZ192"/>
  <c r="JX192"/>
  <c r="JW192"/>
  <c r="JV192"/>
  <c r="JY193"/>
  <c r="KA193" s="1"/>
  <c r="JZ193"/>
  <c r="JX193"/>
  <c r="JW193"/>
  <c r="JV193"/>
  <c r="JZ44"/>
  <c r="JX44"/>
  <c r="JW44"/>
  <c r="JV44"/>
  <c r="JZ176"/>
  <c r="JX176"/>
  <c r="JW176"/>
  <c r="JV176"/>
  <c r="JZ191"/>
  <c r="JX191"/>
  <c r="JW191"/>
  <c r="JV191"/>
  <c r="JZ143"/>
  <c r="JX143"/>
  <c r="JW143"/>
  <c r="JV143"/>
  <c r="JQ139"/>
  <c r="JZ139"/>
  <c r="JX139"/>
  <c r="JW139"/>
  <c r="JV139"/>
  <c r="JZ135"/>
  <c r="JX135"/>
  <c r="JW135"/>
  <c r="JV135"/>
  <c r="JW78"/>
  <c r="JZ180"/>
  <c r="JX180"/>
  <c r="JW180"/>
  <c r="JV180"/>
  <c r="JZ206"/>
  <c r="JX206"/>
  <c r="JW206"/>
  <c r="JV206"/>
  <c r="JZ124"/>
  <c r="JX124"/>
  <c r="JW124"/>
  <c r="JV124"/>
  <c r="JZ64"/>
  <c r="JX64"/>
  <c r="JW64"/>
  <c r="JV64"/>
  <c r="JW83"/>
  <c r="JV83"/>
  <c r="JR98"/>
  <c r="JZ98"/>
  <c r="JX98"/>
  <c r="JW98"/>
  <c r="JV98"/>
  <c r="JZ90"/>
  <c r="JX90"/>
  <c r="JY89"/>
  <c r="KA89" s="1"/>
  <c r="JZ89"/>
  <c r="JX89"/>
  <c r="JW89"/>
  <c r="JV89"/>
  <c r="JZ201"/>
  <c r="JW201"/>
  <c r="JZ54"/>
  <c r="JW54"/>
  <c r="JV54"/>
  <c r="JZ202"/>
  <c r="JX202"/>
  <c r="JW202"/>
  <c r="JV202"/>
  <c r="JN86"/>
  <c r="JR86" s="1"/>
  <c r="JO200"/>
  <c r="JN147"/>
  <c r="JN81"/>
  <c r="JS81" s="1"/>
  <c r="JN66"/>
  <c r="JQ66" s="1"/>
  <c r="JN105"/>
  <c r="JR105" s="1"/>
  <c r="JN47"/>
  <c r="JU47" s="1"/>
  <c r="JT98"/>
  <c r="JS62"/>
  <c r="JR62"/>
  <c r="JN40"/>
  <c r="JR40" s="1"/>
  <c r="JN183"/>
  <c r="JT183" s="1"/>
  <c r="JN187"/>
  <c r="JT187" s="1"/>
  <c r="JN118"/>
  <c r="JQ118" s="1"/>
  <c r="JN171"/>
  <c r="JU171" s="1"/>
  <c r="JY62"/>
  <c r="KA62" s="1"/>
  <c r="JN130"/>
  <c r="JQ130" s="1"/>
  <c r="JN154"/>
  <c r="JQ154" s="1"/>
  <c r="JQ62"/>
  <c r="JN133"/>
  <c r="JQ133" s="1"/>
  <c r="JU62"/>
  <c r="JT115"/>
  <c r="JN112"/>
  <c r="JQ112" s="1"/>
  <c r="JN76"/>
  <c r="JR76" s="1"/>
  <c r="JN46"/>
  <c r="JN111"/>
  <c r="JY111" s="1"/>
  <c r="KA111" s="1"/>
  <c r="JN172"/>
  <c r="JY172" s="1"/>
  <c r="KA172" s="1"/>
  <c r="JO140"/>
  <c r="JO181"/>
  <c r="JO97"/>
  <c r="JO133"/>
  <c r="JO196"/>
  <c r="JN144"/>
  <c r="JR144" s="1"/>
  <c r="JN163"/>
  <c r="JY163" s="1"/>
  <c r="KA163" s="1"/>
  <c r="JN158"/>
  <c r="JQ158" s="1"/>
  <c r="JN48"/>
  <c r="JQ48" s="1"/>
  <c r="JN72"/>
  <c r="JR72" s="1"/>
  <c r="JN167"/>
  <c r="JU167" s="1"/>
  <c r="JN113"/>
  <c r="JQ113" s="1"/>
  <c r="JN157"/>
  <c r="JQ157" s="1"/>
  <c r="JN122"/>
  <c r="JQ122" s="1"/>
  <c r="JU139"/>
  <c r="JN198"/>
  <c r="JU198" s="1"/>
  <c r="JN80"/>
  <c r="JS80" s="1"/>
  <c r="JN200"/>
  <c r="JS200" s="1"/>
  <c r="JN99"/>
  <c r="JO135"/>
  <c r="JN145"/>
  <c r="JQ145" s="1"/>
  <c r="JN134"/>
  <c r="JR134" s="1"/>
  <c r="JN178"/>
  <c r="JU178" s="1"/>
  <c r="JN53"/>
  <c r="JN203"/>
  <c r="JY203" s="1"/>
  <c r="KA203" s="1"/>
  <c r="JN60"/>
  <c r="JY60" s="1"/>
  <c r="KA60" s="1"/>
  <c r="JN173"/>
  <c r="JS173" s="1"/>
  <c r="JO129"/>
  <c r="JO144"/>
  <c r="JO90"/>
  <c r="JR124"/>
  <c r="JO193"/>
  <c r="JN79"/>
  <c r="JT79" s="1"/>
  <c r="JO88"/>
  <c r="JO92"/>
  <c r="JO95"/>
  <c r="JO55"/>
  <c r="JO166"/>
  <c r="JN67"/>
  <c r="JT67" s="1"/>
  <c r="JN43"/>
  <c r="JU43" s="1"/>
  <c r="JN120"/>
  <c r="JS120" s="1"/>
  <c r="JN199"/>
  <c r="JU199" s="1"/>
  <c r="JO168"/>
  <c r="JN74"/>
  <c r="JU74" s="1"/>
  <c r="JR174"/>
  <c r="JN185"/>
  <c r="JU185" s="1"/>
  <c r="JN138"/>
  <c r="JQ138" s="1"/>
  <c r="JN51"/>
  <c r="JT51" s="1"/>
  <c r="JN170"/>
  <c r="JT170" s="1"/>
  <c r="JS93"/>
  <c r="JU174"/>
  <c r="JN68"/>
  <c r="JT68" s="1"/>
  <c r="JN82"/>
  <c r="JU82" s="1"/>
  <c r="JN127"/>
  <c r="JU127" s="1"/>
  <c r="JN85"/>
  <c r="JS85" s="1"/>
  <c r="JN149"/>
  <c r="JR149" s="1"/>
  <c r="JQ93"/>
  <c r="JS174"/>
  <c r="JY115"/>
  <c r="KA115" s="1"/>
  <c r="JN123"/>
  <c r="JT123" s="1"/>
  <c r="JN75"/>
  <c r="JT75" s="1"/>
  <c r="JN109"/>
  <c r="JY109" s="1"/>
  <c r="KA109" s="1"/>
  <c r="JN56"/>
  <c r="JQ56" s="1"/>
  <c r="JO52"/>
  <c r="JO86"/>
  <c r="AS175" i="15"/>
  <c r="AS163"/>
  <c r="AS178"/>
  <c r="AS150"/>
  <c r="AS122"/>
  <c r="AS60"/>
  <c r="AS172"/>
  <c r="AS190"/>
  <c r="AS42"/>
  <c r="AS186"/>
  <c r="AS48"/>
  <c r="AS188"/>
  <c r="AS137"/>
  <c r="AS86"/>
  <c r="AS174"/>
  <c r="AS154"/>
  <c r="AS130"/>
  <c r="AS173"/>
  <c r="AS115"/>
  <c r="AS113"/>
  <c r="AS149"/>
  <c r="AS129"/>
  <c r="JN169" i="9"/>
  <c r="JR169" s="1"/>
  <c r="JN107"/>
  <c r="JY107" s="1"/>
  <c r="KA107" s="1"/>
  <c r="JN137"/>
  <c r="JR137" s="1"/>
  <c r="JN39"/>
  <c r="JU39" s="1"/>
  <c r="JN153"/>
  <c r="JU153" s="1"/>
  <c r="JN195"/>
  <c r="JY195" s="1"/>
  <c r="KA195" s="1"/>
  <c r="JN45"/>
  <c r="JS45" s="1"/>
  <c r="JN168"/>
  <c r="JU168" s="1"/>
  <c r="JN103"/>
  <c r="JU103" s="1"/>
  <c r="JN61"/>
  <c r="JQ61" s="1"/>
  <c r="JN65"/>
  <c r="JT65" s="1"/>
  <c r="JO87"/>
  <c r="JY54"/>
  <c r="KA54" s="1"/>
  <c r="JU54"/>
  <c r="JR54"/>
  <c r="JY202"/>
  <c r="KA202" s="1"/>
  <c r="JS202"/>
  <c r="JU202"/>
  <c r="JR202"/>
  <c r="JT63"/>
  <c r="JQ63"/>
  <c r="JY63"/>
  <c r="KA63" s="1"/>
  <c r="JR63"/>
  <c r="JN142"/>
  <c r="JN41"/>
  <c r="JQ98"/>
  <c r="JT90"/>
  <c r="JT151"/>
  <c r="JN155"/>
  <c r="JT155" s="1"/>
  <c r="JS139"/>
  <c r="JT143"/>
  <c r="JY98"/>
  <c r="KA98" s="1"/>
  <c r="JQ90"/>
  <c r="JR151"/>
  <c r="JY151"/>
  <c r="KA151" s="1"/>
  <c r="JO202"/>
  <c r="JO94"/>
  <c r="JO156"/>
  <c r="JO61"/>
  <c r="JN59"/>
  <c r="JS59" s="1"/>
  <c r="JN100"/>
  <c r="JQ100" s="1"/>
  <c r="JN161"/>
  <c r="JQ161" s="1"/>
  <c r="JT139"/>
  <c r="JY139"/>
  <c r="KA139" s="1"/>
  <c r="JU93"/>
  <c r="JY93"/>
  <c r="KA93" s="1"/>
  <c r="JS83"/>
  <c r="JT54"/>
  <c r="JS63"/>
  <c r="JT174"/>
  <c r="JT202"/>
  <c r="JR126"/>
  <c r="JN136"/>
  <c r="JN55"/>
  <c r="JU55" s="1"/>
  <c r="JR139"/>
  <c r="JR93"/>
  <c r="JU83"/>
  <c r="JU63"/>
  <c r="JQ174"/>
  <c r="JQ202"/>
  <c r="JN69"/>
  <c r="JY69" s="1"/>
  <c r="KA69" s="1"/>
  <c r="JN77"/>
  <c r="JS77" s="1"/>
  <c r="JY143"/>
  <c r="KA143" s="1"/>
  <c r="JS188"/>
  <c r="JU115"/>
  <c r="JQ188"/>
  <c r="JS89"/>
  <c r="JS115"/>
  <c r="JU151"/>
  <c r="JU188"/>
  <c r="JT89"/>
  <c r="JR115"/>
  <c r="JT194"/>
  <c r="JO159"/>
  <c r="JO105"/>
  <c r="JO131"/>
  <c r="JO118"/>
  <c r="JO195"/>
  <c r="JO83"/>
  <c r="JN186"/>
  <c r="JS143"/>
  <c r="JR89"/>
  <c r="JN96"/>
  <c r="JS96" s="1"/>
  <c r="JR143"/>
  <c r="JQ143"/>
  <c r="JR165"/>
  <c r="JQ89"/>
  <c r="JN166"/>
  <c r="JU143"/>
  <c r="JU89"/>
  <c r="JO75"/>
  <c r="JO99"/>
  <c r="JO115"/>
  <c r="JO125"/>
  <c r="JO199"/>
  <c r="JO54"/>
  <c r="JO58"/>
  <c r="JO136"/>
  <c r="JO69"/>
  <c r="JO63"/>
  <c r="JT88"/>
  <c r="JO103"/>
  <c r="JO186"/>
  <c r="JO50"/>
  <c r="JQ135"/>
  <c r="JR135"/>
  <c r="JS135"/>
  <c r="JY135"/>
  <c r="KA135" s="1"/>
  <c r="JT135"/>
  <c r="JU135"/>
  <c r="JN97"/>
  <c r="JS97" s="1"/>
  <c r="JU98"/>
  <c r="JQ165"/>
  <c r="JS194"/>
  <c r="JR194"/>
  <c r="JN95"/>
  <c r="JN162"/>
  <c r="JN57"/>
  <c r="JN148"/>
  <c r="JR148" s="1"/>
  <c r="JU165"/>
  <c r="JY165"/>
  <c r="KA165" s="1"/>
  <c r="JQ194"/>
  <c r="JY194"/>
  <c r="KA194" s="1"/>
  <c r="JN189"/>
  <c r="JY189" s="1"/>
  <c r="KA189" s="1"/>
  <c r="JS98"/>
  <c r="JT165"/>
  <c r="JU194"/>
  <c r="JT152"/>
  <c r="JQ126"/>
  <c r="JY126"/>
  <c r="KA126" s="1"/>
  <c r="JU132"/>
  <c r="JU126"/>
  <c r="JT126"/>
  <c r="Y209"/>
  <c r="A6" i="6" s="1"/>
  <c r="JU124" i="9"/>
  <c r="JT156"/>
  <c r="JR128"/>
  <c r="JU156"/>
  <c r="JU84"/>
  <c r="JT124"/>
  <c r="JQ124"/>
  <c r="JY124"/>
  <c r="KA124" s="1"/>
  <c r="JQ156"/>
  <c r="JS140"/>
  <c r="JT84"/>
  <c r="JU91"/>
  <c r="JY44"/>
  <c r="KA44" s="1"/>
  <c r="JS192"/>
  <c r="JS156"/>
  <c r="JR141"/>
  <c r="JR64"/>
  <c r="JQ192"/>
  <c r="JR84"/>
  <c r="JR44"/>
  <c r="JY84"/>
  <c r="KA84" s="1"/>
  <c r="JS91"/>
  <c r="JY64"/>
  <c r="KA64" s="1"/>
  <c r="JU192"/>
  <c r="JT192"/>
  <c r="JQ84"/>
  <c r="JT91"/>
  <c r="JY91"/>
  <c r="KA91" s="1"/>
  <c r="JU44"/>
  <c r="JQ128"/>
  <c r="JY128"/>
  <c r="KA128" s="1"/>
  <c r="JU64"/>
  <c r="JU140"/>
  <c r="JU141"/>
  <c r="JR192"/>
  <c r="JS84"/>
  <c r="JR91"/>
  <c r="JT44"/>
  <c r="JS128"/>
  <c r="JT64"/>
  <c r="JY141"/>
  <c r="KA141" s="1"/>
  <c r="JS44"/>
  <c r="JS64"/>
  <c r="JY140"/>
  <c r="KA140" s="1"/>
  <c r="JT141"/>
  <c r="JS141"/>
  <c r="JQ44"/>
  <c r="JQ64"/>
  <c r="JR140"/>
  <c r="JQ141"/>
  <c r="JS124"/>
  <c r="JR156"/>
  <c r="JU128"/>
  <c r="JT108"/>
  <c r="JT140"/>
  <c r="JQ140"/>
  <c r="JR87"/>
  <c r="JT132"/>
  <c r="JT193"/>
  <c r="JT176"/>
  <c r="JU88"/>
  <c r="JU52"/>
  <c r="JU152"/>
  <c r="JT205"/>
  <c r="JR132"/>
  <c r="JR88"/>
  <c r="JT52"/>
  <c r="JR152"/>
  <c r="JS205"/>
  <c r="JU108"/>
  <c r="JR191"/>
  <c r="JY132"/>
  <c r="KA132" s="1"/>
  <c r="JY88"/>
  <c r="KA88" s="1"/>
  <c r="JS193"/>
  <c r="JY152"/>
  <c r="KA152" s="1"/>
  <c r="JQ87"/>
  <c r="JQ132"/>
  <c r="JQ88"/>
  <c r="JR52"/>
  <c r="JQ193"/>
  <c r="JQ152"/>
  <c r="JQ205"/>
  <c r="JT87"/>
  <c r="JT160"/>
  <c r="JY108"/>
  <c r="KA108" s="1"/>
  <c r="JS132"/>
  <c r="JS88"/>
  <c r="JY52"/>
  <c r="KA52" s="1"/>
  <c r="JS152"/>
  <c r="JY87"/>
  <c r="KA87" s="1"/>
  <c r="JR108"/>
  <c r="JU176"/>
  <c r="JQ101"/>
  <c r="JQ191"/>
  <c r="JS52"/>
  <c r="JR193"/>
  <c r="JR205"/>
  <c r="JU87"/>
  <c r="JY160"/>
  <c r="KA160" s="1"/>
  <c r="JS108"/>
  <c r="JR176"/>
  <c r="JY191"/>
  <c r="KA191" s="1"/>
  <c r="JQ52"/>
  <c r="JU193"/>
  <c r="JU205"/>
  <c r="JS87"/>
  <c r="JR160"/>
  <c r="JQ108"/>
  <c r="JY176"/>
  <c r="KA176" s="1"/>
  <c r="JT191"/>
  <c r="JS176"/>
  <c r="JR101"/>
  <c r="JU191"/>
  <c r="JQ176"/>
  <c r="JY101"/>
  <c r="KA101" s="1"/>
  <c r="JS191"/>
  <c r="JT101"/>
  <c r="JY180"/>
  <c r="KA180" s="1"/>
  <c r="JT180"/>
  <c r="JS180"/>
  <c r="JR180"/>
  <c r="JQ180"/>
  <c r="JU180"/>
  <c r="JY119"/>
  <c r="KA119" s="1"/>
  <c r="JQ119"/>
  <c r="JU119"/>
  <c r="JT119"/>
  <c r="JS119"/>
  <c r="JR119"/>
  <c r="JR182"/>
  <c r="JQ182"/>
  <c r="JU182"/>
  <c r="JS182"/>
  <c r="JY78"/>
  <c r="KA78" s="1"/>
  <c r="JR78"/>
  <c r="JQ78"/>
  <c r="JU78"/>
  <c r="JT78"/>
  <c r="JS78"/>
  <c r="JY146"/>
  <c r="KA146" s="1"/>
  <c r="JR146"/>
  <c r="JQ146"/>
  <c r="JU146"/>
  <c r="JT146"/>
  <c r="JS146"/>
  <c r="JY110"/>
  <c r="KA110" s="1"/>
  <c r="JR110"/>
  <c r="JU110"/>
  <c r="JT110"/>
  <c r="JS110"/>
  <c r="JS164"/>
  <c r="JY125"/>
  <c r="KA125" s="1"/>
  <c r="JS125"/>
  <c r="JR125"/>
  <c r="JQ125"/>
  <c r="JU125"/>
  <c r="JT125"/>
  <c r="JY201"/>
  <c r="KA201" s="1"/>
  <c r="JS201"/>
  <c r="JR201"/>
  <c r="JQ201"/>
  <c r="JU201"/>
  <c r="JT201"/>
  <c r="JY92"/>
  <c r="KA92" s="1"/>
  <c r="JT92"/>
  <c r="JS92"/>
  <c r="JR92"/>
  <c r="JQ92"/>
  <c r="JU92"/>
  <c r="JY131"/>
  <c r="KA131" s="1"/>
  <c r="JQ131"/>
  <c r="JU131"/>
  <c r="JT131"/>
  <c r="JS131"/>
  <c r="JR131"/>
  <c r="JY175"/>
  <c r="KA175" s="1"/>
  <c r="JQ175"/>
  <c r="JU175"/>
  <c r="JT175"/>
  <c r="JS175"/>
  <c r="JR175"/>
  <c r="JY206"/>
  <c r="KA206" s="1"/>
  <c r="JR206"/>
  <c r="JQ206"/>
  <c r="JU206"/>
  <c r="JT206"/>
  <c r="JS206"/>
  <c r="JY121"/>
  <c r="KA121" s="1"/>
  <c r="JS121"/>
  <c r="JR121"/>
  <c r="JQ121"/>
  <c r="JU121"/>
  <c r="JT121"/>
  <c r="JY42"/>
  <c r="KA42" s="1"/>
  <c r="JR42"/>
  <c r="JQ42"/>
  <c r="JU42"/>
  <c r="JT42"/>
  <c r="JS42"/>
  <c r="JY114"/>
  <c r="KA114" s="1"/>
  <c r="JR114"/>
  <c r="JQ114"/>
  <c r="JU114"/>
  <c r="JT114"/>
  <c r="JS114"/>
  <c r="JY190"/>
  <c r="KA190" s="1"/>
  <c r="JR190"/>
  <c r="JQ190"/>
  <c r="JU190"/>
  <c r="JT190"/>
  <c r="JS190"/>
  <c r="JY73"/>
  <c r="KA73" s="1"/>
  <c r="JS73"/>
  <c r="JR73"/>
  <c r="JQ73"/>
  <c r="JU73"/>
  <c r="JT73"/>
  <c r="JY94"/>
  <c r="KA94" s="1"/>
  <c r="JQ94"/>
  <c r="JU94"/>
  <c r="JT94"/>
  <c r="JY184"/>
  <c r="KA184" s="1"/>
  <c r="JQ184"/>
  <c r="JY50"/>
  <c r="KA50" s="1"/>
  <c r="JR50"/>
  <c r="JQ50"/>
  <c r="JU50"/>
  <c r="JT50"/>
  <c r="JS50"/>
  <c r="JY159"/>
  <c r="KA159" s="1"/>
  <c r="JQ159"/>
  <c r="JU159"/>
  <c r="JT159"/>
  <c r="JS159"/>
  <c r="JR159"/>
  <c r="JY129"/>
  <c r="KA129" s="1"/>
  <c r="JS129"/>
  <c r="JR129"/>
  <c r="JQ129"/>
  <c r="JU129"/>
  <c r="JT129"/>
  <c r="JY58"/>
  <c r="KA58" s="1"/>
  <c r="JR58"/>
  <c r="JQ58"/>
  <c r="JT58"/>
  <c r="JS58"/>
  <c r="JY197"/>
  <c r="KA197" s="1"/>
  <c r="JS197"/>
  <c r="JR197"/>
  <c r="JQ197"/>
  <c r="JU197"/>
  <c r="JT197"/>
  <c r="JY204"/>
  <c r="KA204" s="1"/>
  <c r="JT204"/>
  <c r="JS204"/>
  <c r="JR204"/>
  <c r="JQ204"/>
  <c r="JU204"/>
  <c r="JY116"/>
  <c r="KA116" s="1"/>
  <c r="JT116"/>
  <c r="JS116"/>
  <c r="JR116"/>
  <c r="JQ116"/>
  <c r="JU116"/>
  <c r="JY117"/>
  <c r="KA117" s="1"/>
  <c r="JS117"/>
  <c r="JR117"/>
  <c r="JQ117"/>
  <c r="JU117"/>
  <c r="JT117"/>
  <c r="JY49"/>
  <c r="KA49" s="1"/>
  <c r="JS49"/>
  <c r="JR49"/>
  <c r="JQ49"/>
  <c r="JU49"/>
  <c r="JT49"/>
  <c r="JY70"/>
  <c r="KA70" s="1"/>
  <c r="JR70"/>
  <c r="JQ70"/>
  <c r="JU70"/>
  <c r="JT70"/>
  <c r="JS70"/>
  <c r="JH6"/>
  <c r="JG6"/>
  <c r="JV164" l="1"/>
  <c r="JV201"/>
  <c r="JV90"/>
  <c r="JX132"/>
  <c r="JV101"/>
  <c r="JV110"/>
  <c r="JY90"/>
  <c r="KA90" s="1"/>
  <c r="JW132"/>
  <c r="JS101"/>
  <c r="JV78"/>
  <c r="JW42"/>
  <c r="JX49"/>
  <c r="JV70"/>
  <c r="JV119"/>
  <c r="JR83"/>
  <c r="JY83"/>
  <c r="KA83" s="1"/>
  <c r="JZ83"/>
  <c r="JZ78"/>
  <c r="JV42"/>
  <c r="JW49"/>
  <c r="JZ70"/>
  <c r="JX129"/>
  <c r="JZ119"/>
  <c r="JX83"/>
  <c r="JY157"/>
  <c r="KA157" s="1"/>
  <c r="JX184"/>
  <c r="JZ58"/>
  <c r="JU58"/>
  <c r="JS94"/>
  <c r="JR94"/>
  <c r="JQ110"/>
  <c r="JT182"/>
  <c r="JY182"/>
  <c r="KA182" s="1"/>
  <c r="IA182" s="1"/>
  <c r="JU101"/>
  <c r="JQ54"/>
  <c r="JS54"/>
  <c r="JS126"/>
  <c r="JW90"/>
  <c r="JY133"/>
  <c r="KA133" s="1"/>
  <c r="IA133" s="1"/>
  <c r="JY43"/>
  <c r="KA43" s="1"/>
  <c r="JU90"/>
  <c r="JZ160"/>
  <c r="JR90"/>
  <c r="HZ204"/>
  <c r="IA204"/>
  <c r="R201" i="11" s="1"/>
  <c r="IA58" i="9"/>
  <c r="R55" i="11" s="1"/>
  <c r="HZ58" i="9"/>
  <c r="IA159"/>
  <c r="R156" i="11" s="1"/>
  <c r="HZ159" i="9"/>
  <c r="IA42"/>
  <c r="R39" i="11" s="1"/>
  <c r="HZ42" i="9"/>
  <c r="IA206"/>
  <c r="R203" i="11" s="1"/>
  <c r="HZ206" i="9"/>
  <c r="IA131"/>
  <c r="R128" i="11" s="1"/>
  <c r="HZ131" i="9"/>
  <c r="HZ160"/>
  <c r="IA160"/>
  <c r="R157" i="11" s="1"/>
  <c r="HZ152" i="9"/>
  <c r="IA152"/>
  <c r="R149" i="11" s="1"/>
  <c r="IA70" i="9"/>
  <c r="R67" i="11" s="1"/>
  <c r="HZ70" i="9"/>
  <c r="IA117"/>
  <c r="R114" i="11" s="1"/>
  <c r="HZ117" i="9"/>
  <c r="IA146"/>
  <c r="R143" i="11" s="1"/>
  <c r="HZ146" i="9"/>
  <c r="HZ182"/>
  <c r="IA101"/>
  <c r="R98" i="11" s="1"/>
  <c r="HZ101" i="9"/>
  <c r="HZ52"/>
  <c r="IA52"/>
  <c r="R49" i="11" s="1"/>
  <c r="HZ132" i="9"/>
  <c r="IA132"/>
  <c r="R129" i="11" s="1"/>
  <c r="HZ140" i="9"/>
  <c r="IA140"/>
  <c r="R137" i="11" s="1"/>
  <c r="IA91" i="9"/>
  <c r="R88" i="11" s="1"/>
  <c r="HZ91" i="9"/>
  <c r="HZ124"/>
  <c r="IA124"/>
  <c r="R121" i="11" s="1"/>
  <c r="IA126" i="9"/>
  <c r="R123" i="11" s="1"/>
  <c r="HZ126" i="9"/>
  <c r="IA151"/>
  <c r="R148" i="11" s="1"/>
  <c r="HZ151" i="9"/>
  <c r="HZ60"/>
  <c r="IA60"/>
  <c r="R57" i="11" s="1"/>
  <c r="IA157" i="9"/>
  <c r="R154" i="11" s="1"/>
  <c r="HZ157" i="9"/>
  <c r="IA197"/>
  <c r="R194" i="11" s="1"/>
  <c r="HZ197" i="9"/>
  <c r="IA94"/>
  <c r="R91" i="11" s="1"/>
  <c r="HZ94" i="9"/>
  <c r="IA190"/>
  <c r="R187" i="11" s="1"/>
  <c r="HZ190" i="9"/>
  <c r="HZ133"/>
  <c r="HZ108"/>
  <c r="IA108"/>
  <c r="R105" i="11" s="1"/>
  <c r="HZ88" i="9"/>
  <c r="IA88"/>
  <c r="R85" i="11" s="1"/>
  <c r="IA141" i="9"/>
  <c r="R138" i="11" s="1"/>
  <c r="HZ141" i="9"/>
  <c r="HZ84"/>
  <c r="IA84"/>
  <c r="R81" i="11" s="1"/>
  <c r="HZ44" i="9"/>
  <c r="IA44"/>
  <c r="R41" i="11" s="1"/>
  <c r="IA194" i="9"/>
  <c r="R191" i="11" s="1"/>
  <c r="HZ194" i="9"/>
  <c r="IA143"/>
  <c r="R140" i="11" s="1"/>
  <c r="HZ143" i="9"/>
  <c r="IA139"/>
  <c r="R136" i="11" s="1"/>
  <c r="HZ139" i="9"/>
  <c r="IA98"/>
  <c r="R95" i="11" s="1"/>
  <c r="HZ98" i="9"/>
  <c r="IA202"/>
  <c r="R199" i="11" s="1"/>
  <c r="HZ202" i="9"/>
  <c r="IA54"/>
  <c r="R51" i="11" s="1"/>
  <c r="HZ54" i="9"/>
  <c r="IA109"/>
  <c r="R106" i="11" s="1"/>
  <c r="HZ109" i="9"/>
  <c r="IA163"/>
  <c r="R160" i="11" s="1"/>
  <c r="HZ163" i="9"/>
  <c r="IA111"/>
  <c r="R108" i="11" s="1"/>
  <c r="HZ111" i="9"/>
  <c r="HZ192"/>
  <c r="IA192"/>
  <c r="R189" i="11" s="1"/>
  <c r="IA205" i="9"/>
  <c r="R202" i="11" s="1"/>
  <c r="HZ205" i="9"/>
  <c r="IA83"/>
  <c r="R80" i="11" s="1"/>
  <c r="HZ83" i="9"/>
  <c r="IA129"/>
  <c r="R126" i="11" s="1"/>
  <c r="HZ129" i="9"/>
  <c r="IA50"/>
  <c r="R47" i="11" s="1"/>
  <c r="HZ50" i="9"/>
  <c r="IA121"/>
  <c r="R118" i="11" s="1"/>
  <c r="HZ121" i="9"/>
  <c r="IA175"/>
  <c r="R172" i="11" s="1"/>
  <c r="HZ175" i="9"/>
  <c r="HZ92"/>
  <c r="IA92"/>
  <c r="R89" i="11" s="1"/>
  <c r="IA125" i="9"/>
  <c r="R122" i="11" s="1"/>
  <c r="HZ125" i="9"/>
  <c r="HZ176"/>
  <c r="IA176"/>
  <c r="R173" i="11" s="1"/>
  <c r="IA43" i="9"/>
  <c r="R40" i="11" s="1"/>
  <c r="HZ43" i="9"/>
  <c r="IA49"/>
  <c r="R46" i="11" s="1"/>
  <c r="HZ49" i="9"/>
  <c r="HZ116"/>
  <c r="IA116"/>
  <c r="R113" i="11" s="1"/>
  <c r="IA110" i="9"/>
  <c r="R107" i="11" s="1"/>
  <c r="HZ110" i="9"/>
  <c r="IA78"/>
  <c r="R75" i="11" s="1"/>
  <c r="HZ78" i="9"/>
  <c r="IA119"/>
  <c r="R116" i="11" s="1"/>
  <c r="HZ119" i="9"/>
  <c r="IA191"/>
  <c r="R188" i="11" s="1"/>
  <c r="HZ191" i="9"/>
  <c r="IA87"/>
  <c r="R84" i="11" s="1"/>
  <c r="HZ87" i="9"/>
  <c r="IA189"/>
  <c r="R186" i="11" s="1"/>
  <c r="HZ189" i="9"/>
  <c r="IA135"/>
  <c r="R132" i="11" s="1"/>
  <c r="HZ135" i="9"/>
  <c r="IA195"/>
  <c r="R192" i="11" s="1"/>
  <c r="HZ195" i="9"/>
  <c r="IA107"/>
  <c r="R104" i="11" s="1"/>
  <c r="HZ107" i="9"/>
  <c r="IA115"/>
  <c r="R112" i="11" s="1"/>
  <c r="HZ115" i="9"/>
  <c r="HZ172"/>
  <c r="IA172"/>
  <c r="R169" i="11" s="1"/>
  <c r="IA90" i="9"/>
  <c r="R87" i="11" s="1"/>
  <c r="HZ90" i="9"/>
  <c r="IA193"/>
  <c r="R190" i="11" s="1"/>
  <c r="HZ193" i="9"/>
  <c r="HZ156"/>
  <c r="IA156"/>
  <c r="R153" i="11" s="1"/>
  <c r="HZ188" i="9"/>
  <c r="IA188"/>
  <c r="R185" i="11" s="1"/>
  <c r="HZ184" i="9"/>
  <c r="IA184"/>
  <c r="R181" i="11" s="1"/>
  <c r="IA73" i="9"/>
  <c r="R70" i="11" s="1"/>
  <c r="HZ73" i="9"/>
  <c r="IA114"/>
  <c r="R111" i="11" s="1"/>
  <c r="HZ114" i="9"/>
  <c r="IA201"/>
  <c r="R198" i="11" s="1"/>
  <c r="HZ201" i="9"/>
  <c r="HZ180"/>
  <c r="IA180"/>
  <c r="R177" i="11" s="1"/>
  <c r="HZ128" i="9"/>
  <c r="IA128"/>
  <c r="R125" i="11" s="1"/>
  <c r="HZ64" i="9"/>
  <c r="IA64"/>
  <c r="R61" i="11" s="1"/>
  <c r="IA165" i="9"/>
  <c r="R162" i="11" s="1"/>
  <c r="HZ165" i="9"/>
  <c r="IA69"/>
  <c r="R66" i="11" s="1"/>
  <c r="HZ69" i="9"/>
  <c r="IA93"/>
  <c r="R90" i="11" s="1"/>
  <c r="HZ93" i="9"/>
  <c r="IA63"/>
  <c r="R60" i="11" s="1"/>
  <c r="HZ63" i="9"/>
  <c r="IA203"/>
  <c r="R200" i="11" s="1"/>
  <c r="HZ203" i="9"/>
  <c r="IA62"/>
  <c r="R59" i="11" s="1"/>
  <c r="HZ62" i="9"/>
  <c r="IA89"/>
  <c r="R86" i="11" s="1"/>
  <c r="HZ89" i="9"/>
  <c r="IA174"/>
  <c r="R171" i="11" s="1"/>
  <c r="HZ174" i="9"/>
  <c r="JT43"/>
  <c r="JS157"/>
  <c r="JR81"/>
  <c r="AS117" i="15"/>
  <c r="JS43" i="9"/>
  <c r="JQ81"/>
  <c r="JU157"/>
  <c r="JT157"/>
  <c r="JQ107"/>
  <c r="JU181"/>
  <c r="JY86"/>
  <c r="KA86" s="1"/>
  <c r="JS177"/>
  <c r="JR181"/>
  <c r="JS181"/>
  <c r="AS185" i="15"/>
  <c r="JR177" i="9"/>
  <c r="JQ177"/>
  <c r="JT177"/>
  <c r="JQ181"/>
  <c r="JT181"/>
  <c r="JW182"/>
  <c r="JX58"/>
  <c r="JX116"/>
  <c r="JV115"/>
  <c r="JQ115"/>
  <c r="JW128"/>
  <c r="JZ94"/>
  <c r="JY106"/>
  <c r="KA106" s="1"/>
  <c r="JU177"/>
  <c r="JY181"/>
  <c r="KA181" s="1"/>
  <c r="JV128"/>
  <c r="JX94"/>
  <c r="AS91" i="15"/>
  <c r="JT106" i="9"/>
  <c r="JQ106"/>
  <c r="JU104"/>
  <c r="JR157"/>
  <c r="JU81"/>
  <c r="JU133"/>
  <c r="JR43"/>
  <c r="JQ43"/>
  <c r="JT81"/>
  <c r="JY81"/>
  <c r="KA81" s="1"/>
  <c r="JT133"/>
  <c r="JS133"/>
  <c r="JR133"/>
  <c r="JU184"/>
  <c r="JT184"/>
  <c r="JY196"/>
  <c r="KA196" s="1"/>
  <c r="JR164"/>
  <c r="JZ164"/>
  <c r="JT104"/>
  <c r="JS196"/>
  <c r="JR171"/>
  <c r="JQ164"/>
  <c r="JY164"/>
  <c r="KA164" s="1"/>
  <c r="JR178"/>
  <c r="JQ160"/>
  <c r="JU160"/>
  <c r="JV184"/>
  <c r="JX164"/>
  <c r="JW160"/>
  <c r="JS160"/>
  <c r="JW184"/>
  <c r="JX160"/>
  <c r="JS184"/>
  <c r="JR104"/>
  <c r="JR184"/>
  <c r="JQ196"/>
  <c r="JU164"/>
  <c r="JT164"/>
  <c r="JQ80"/>
  <c r="JY80"/>
  <c r="KA80" s="1"/>
  <c r="JR80"/>
  <c r="JR82"/>
  <c r="JU66"/>
  <c r="JT60"/>
  <c r="JU161"/>
  <c r="JY79"/>
  <c r="KA79" s="1"/>
  <c r="JQ72"/>
  <c r="JR107"/>
  <c r="JR39"/>
  <c r="JY154"/>
  <c r="KA154" s="1"/>
  <c r="JS105"/>
  <c r="JQ195"/>
  <c r="JT80"/>
  <c r="JU80"/>
  <c r="JT168"/>
  <c r="JS168"/>
  <c r="JR127"/>
  <c r="JQ47"/>
  <c r="JT45"/>
  <c r="JY122"/>
  <c r="KA122" s="1"/>
  <c r="JU154"/>
  <c r="JQ167"/>
  <c r="JS82"/>
  <c r="JS178"/>
  <c r="JT154"/>
  <c r="JR195"/>
  <c r="JY170"/>
  <c r="KA170" s="1"/>
  <c r="JU40"/>
  <c r="JY102"/>
  <c r="KA102" s="1"/>
  <c r="JT102"/>
  <c r="JT105"/>
  <c r="JT163"/>
  <c r="JY161"/>
  <c r="KA161" s="1"/>
  <c r="JQ97"/>
  <c r="JY178"/>
  <c r="KA178" s="1"/>
  <c r="JR185"/>
  <c r="JU106"/>
  <c r="JS79"/>
  <c r="JS158"/>
  <c r="JS104"/>
  <c r="JY72"/>
  <c r="KA72" s="1"/>
  <c r="JQ74"/>
  <c r="JQ171"/>
  <c r="JT127"/>
  <c r="IB174"/>
  <c r="JS122"/>
  <c r="JS106"/>
  <c r="JR106"/>
  <c r="JS169"/>
  <c r="JR172"/>
  <c r="JQ104"/>
  <c r="JY104"/>
  <c r="KA104" s="1"/>
  <c r="JR47"/>
  <c r="JT149"/>
  <c r="JY67"/>
  <c r="KA67" s="1"/>
  <c r="AS171" i="15"/>
  <c r="JR158" i="9"/>
  <c r="IB192"/>
  <c r="JQ127"/>
  <c r="JY153"/>
  <c r="KA153" s="1"/>
  <c r="JR198"/>
  <c r="JS198"/>
  <c r="JS203"/>
  <c r="JX196"/>
  <c r="JT198"/>
  <c r="AS103" i="15"/>
  <c r="JU72" i="9"/>
  <c r="AS183" i="15"/>
  <c r="JT66" i="9"/>
  <c r="JY66"/>
  <c r="KA66" s="1"/>
  <c r="JT72"/>
  <c r="JS60"/>
  <c r="JY155"/>
  <c r="KA155" s="1"/>
  <c r="JU107"/>
  <c r="JQ86"/>
  <c r="JQ102"/>
  <c r="AS93" i="15"/>
  <c r="JU79" i="9"/>
  <c r="JU189"/>
  <c r="JS154"/>
  <c r="JR154"/>
  <c r="JR167"/>
  <c r="JS66"/>
  <c r="JR66"/>
  <c r="JS72"/>
  <c r="JR60"/>
  <c r="JT195"/>
  <c r="JT107"/>
  <c r="JY130"/>
  <c r="KA130" s="1"/>
  <c r="JU122"/>
  <c r="JQ178"/>
  <c r="JU86"/>
  <c r="JS144"/>
  <c r="JR79"/>
  <c r="JQ79"/>
  <c r="JU195"/>
  <c r="IB143"/>
  <c r="JR122"/>
  <c r="JS134"/>
  <c r="JU102"/>
  <c r="JU60"/>
  <c r="JS195"/>
  <c r="JY149"/>
  <c r="KA149" s="1"/>
  <c r="JS107"/>
  <c r="JT85"/>
  <c r="JT122"/>
  <c r="JT178"/>
  <c r="JT86"/>
  <c r="JU144"/>
  <c r="JS102"/>
  <c r="JR102"/>
  <c r="JU118"/>
  <c r="JU111"/>
  <c r="JZ181"/>
  <c r="JY177"/>
  <c r="KA177" s="1"/>
  <c r="JX181"/>
  <c r="JZ102"/>
  <c r="JT172"/>
  <c r="JT171"/>
  <c r="JT47"/>
  <c r="JV196"/>
  <c r="JU158"/>
  <c r="JU172"/>
  <c r="JQ149"/>
  <c r="JS68"/>
  <c r="JQ68"/>
  <c r="JS40"/>
  <c r="JQ40"/>
  <c r="JQ198"/>
  <c r="JT158"/>
  <c r="JY158"/>
  <c r="KA158" s="1"/>
  <c r="JS172"/>
  <c r="JU196"/>
  <c r="JT196"/>
  <c r="JS171"/>
  <c r="JY171"/>
  <c r="KA171" s="1"/>
  <c r="JS47"/>
  <c r="JY47"/>
  <c r="KA47" s="1"/>
  <c r="JU149"/>
  <c r="JS127"/>
  <c r="JY127"/>
  <c r="KA127" s="1"/>
  <c r="JY40"/>
  <c r="KA40" s="1"/>
  <c r="JR68"/>
  <c r="JQ144"/>
  <c r="JU112"/>
  <c r="JS112"/>
  <c r="JT112"/>
  <c r="JT179"/>
  <c r="JZ196"/>
  <c r="JQ172"/>
  <c r="JR196"/>
  <c r="JS149"/>
  <c r="JT40"/>
  <c r="JR112"/>
  <c r="JR109"/>
  <c r="JR179"/>
  <c r="JY138"/>
  <c r="KA138" s="1"/>
  <c r="JR97"/>
  <c r="JT203"/>
  <c r="JY118"/>
  <c r="KA118" s="1"/>
  <c r="JV177"/>
  <c r="JX177"/>
  <c r="JZ177"/>
  <c r="JW150"/>
  <c r="JV181"/>
  <c r="AS147" i="15"/>
  <c r="JQ60" i="9"/>
  <c r="IB115"/>
  <c r="JS86"/>
  <c r="JT144"/>
  <c r="JY144"/>
  <c r="KA144" s="1"/>
  <c r="JS179"/>
  <c r="JU179"/>
  <c r="JS187"/>
  <c r="JT200"/>
  <c r="JS138"/>
  <c r="JQ120"/>
  <c r="JQ179"/>
  <c r="JY179"/>
  <c r="KA179" s="1"/>
  <c r="JU138"/>
  <c r="JV102"/>
  <c r="JS148"/>
  <c r="JT148"/>
  <c r="JY148"/>
  <c r="KA148" s="1"/>
  <c r="JS75"/>
  <c r="JS48"/>
  <c r="JR183"/>
  <c r="JS51"/>
  <c r="JU75"/>
  <c r="JR118"/>
  <c r="JU109"/>
  <c r="JQ203"/>
  <c r="JY97"/>
  <c r="KA97" s="1"/>
  <c r="JR69"/>
  <c r="JU187"/>
  <c r="JU203"/>
  <c r="JY150"/>
  <c r="KA150" s="1"/>
  <c r="JS150"/>
  <c r="JW104"/>
  <c r="JS65"/>
  <c r="JY68"/>
  <c r="KA68" s="1"/>
  <c r="JT111"/>
  <c r="JS56"/>
  <c r="JT169"/>
  <c r="JU97"/>
  <c r="JU148"/>
  <c r="JR111"/>
  <c r="JZ150"/>
  <c r="JZ104"/>
  <c r="JU68"/>
  <c r="JQ148"/>
  <c r="JU150"/>
  <c r="JQ150"/>
  <c r="JR150"/>
  <c r="JV179"/>
  <c r="JQ187"/>
  <c r="JU51"/>
  <c r="JX150"/>
  <c r="JV104"/>
  <c r="JX179"/>
  <c r="JT97"/>
  <c r="JY51"/>
  <c r="KA51" s="1"/>
  <c r="JR203"/>
  <c r="JV150"/>
  <c r="JZ179"/>
  <c r="AS203" i="15"/>
  <c r="AS176"/>
  <c r="JW106" i="9"/>
  <c r="AS50" i="15"/>
  <c r="AS119"/>
  <c r="AS96"/>
  <c r="AS99"/>
  <c r="AS138"/>
  <c r="JR187" i="9"/>
  <c r="JX102"/>
  <c r="AS110" i="15"/>
  <c r="AS125"/>
  <c r="AS81"/>
  <c r="AS191"/>
  <c r="AS155"/>
  <c r="AS53"/>
  <c r="AS75"/>
  <c r="AS145"/>
  <c r="JS123" i="9"/>
  <c r="JW71"/>
  <c r="JU123"/>
  <c r="JY123"/>
  <c r="KA123" s="1"/>
  <c r="JY145"/>
  <c r="KA145" s="1"/>
  <c r="AS162" i="15"/>
  <c r="AS71"/>
  <c r="AS170"/>
  <c r="AS84"/>
  <c r="AS102"/>
  <c r="AS78"/>
  <c r="AS74"/>
  <c r="AS73"/>
  <c r="AS134"/>
  <c r="AS202"/>
  <c r="AS112"/>
  <c r="AS128"/>
  <c r="AS180"/>
  <c r="AS181"/>
  <c r="AS79"/>
  <c r="AS82"/>
  <c r="AS62"/>
  <c r="AS49"/>
  <c r="AS141"/>
  <c r="AS121"/>
  <c r="AS69"/>
  <c r="AS164"/>
  <c r="AS58"/>
  <c r="AS144"/>
  <c r="AS127"/>
  <c r="AS143"/>
  <c r="AS156"/>
  <c r="AS67"/>
  <c r="AS124"/>
  <c r="AS153"/>
  <c r="AS131"/>
  <c r="AS111"/>
  <c r="AS90"/>
  <c r="AS132"/>
  <c r="AS88"/>
  <c r="AS123"/>
  <c r="AS40"/>
  <c r="AS195"/>
  <c r="AS139"/>
  <c r="AS136"/>
  <c r="AS196"/>
  <c r="AS97"/>
  <c r="AS118"/>
  <c r="AS66"/>
  <c r="AS152"/>
  <c r="AS44"/>
  <c r="AS198"/>
  <c r="AS68"/>
  <c r="AS72"/>
  <c r="AS41"/>
  <c r="AS107"/>
  <c r="AS109"/>
  <c r="AS45"/>
  <c r="AS158"/>
  <c r="AS89"/>
  <c r="AS192"/>
  <c r="AS148"/>
  <c r="AS46"/>
  <c r="JV106" i="9"/>
  <c r="JV71"/>
  <c r="JZ106"/>
  <c r="JZ71"/>
  <c r="JT71"/>
  <c r="JU71"/>
  <c r="JQ71"/>
  <c r="JR71"/>
  <c r="JY71"/>
  <c r="KA71" s="1"/>
  <c r="JS71"/>
  <c r="JZ153"/>
  <c r="JX153"/>
  <c r="JW153"/>
  <c r="JV153"/>
  <c r="JZ137"/>
  <c r="JX137"/>
  <c r="JW137"/>
  <c r="JV137"/>
  <c r="JZ199"/>
  <c r="JX199"/>
  <c r="JW199"/>
  <c r="JV199"/>
  <c r="JZ186"/>
  <c r="JX186"/>
  <c r="JW186"/>
  <c r="JV186"/>
  <c r="JZ45"/>
  <c r="JX45"/>
  <c r="JW45"/>
  <c r="JV45"/>
  <c r="JZ39"/>
  <c r="JX39"/>
  <c r="JW39"/>
  <c r="JV39"/>
  <c r="JZ170"/>
  <c r="JX170"/>
  <c r="JW170"/>
  <c r="JV170"/>
  <c r="JZ53"/>
  <c r="JX53"/>
  <c r="JW53"/>
  <c r="JV53"/>
  <c r="JZ183"/>
  <c r="JX183"/>
  <c r="JW183"/>
  <c r="JV183"/>
  <c r="JT147"/>
  <c r="JZ147"/>
  <c r="JX147"/>
  <c r="JW147"/>
  <c r="JV147"/>
  <c r="JZ148"/>
  <c r="JX148"/>
  <c r="JW148"/>
  <c r="JV148"/>
  <c r="JZ97"/>
  <c r="JX97"/>
  <c r="JW97"/>
  <c r="JV97"/>
  <c r="JY77"/>
  <c r="KA77" s="1"/>
  <c r="JZ77"/>
  <c r="JX77"/>
  <c r="JW77"/>
  <c r="JV77"/>
  <c r="JZ59"/>
  <c r="JX59"/>
  <c r="JW59"/>
  <c r="JV59"/>
  <c r="JZ155"/>
  <c r="JX155"/>
  <c r="JW155"/>
  <c r="JV155"/>
  <c r="JY65"/>
  <c r="KA65" s="1"/>
  <c r="JZ65"/>
  <c r="JX65"/>
  <c r="JW65"/>
  <c r="JV65"/>
  <c r="JZ61"/>
  <c r="JX61"/>
  <c r="JW61"/>
  <c r="JV61"/>
  <c r="JZ168"/>
  <c r="JX168"/>
  <c r="JW168"/>
  <c r="JV168"/>
  <c r="JZ109"/>
  <c r="JX109"/>
  <c r="JW109"/>
  <c r="JV109"/>
  <c r="JZ123"/>
  <c r="JX123"/>
  <c r="JW123"/>
  <c r="JV123"/>
  <c r="JZ127"/>
  <c r="JX127"/>
  <c r="JW127"/>
  <c r="JV127"/>
  <c r="JZ68"/>
  <c r="JX68"/>
  <c r="JW68"/>
  <c r="JV68"/>
  <c r="JZ138"/>
  <c r="JX138"/>
  <c r="JW138"/>
  <c r="JV138"/>
  <c r="JZ43"/>
  <c r="JX43"/>
  <c r="JW43"/>
  <c r="JV43"/>
  <c r="JZ203"/>
  <c r="JX203"/>
  <c r="JW203"/>
  <c r="JV203"/>
  <c r="JZ134"/>
  <c r="JX134"/>
  <c r="JW134"/>
  <c r="JV134"/>
  <c r="JQ99"/>
  <c r="JZ99"/>
  <c r="JX99"/>
  <c r="JW99"/>
  <c r="JV99"/>
  <c r="JS113"/>
  <c r="JZ113"/>
  <c r="JX113"/>
  <c r="JW113"/>
  <c r="JV113"/>
  <c r="JZ158"/>
  <c r="JX158"/>
  <c r="JW158"/>
  <c r="JV158"/>
  <c r="JZ172"/>
  <c r="JX172"/>
  <c r="JW172"/>
  <c r="JV172"/>
  <c r="JZ187"/>
  <c r="JX187"/>
  <c r="JW187"/>
  <c r="JV187"/>
  <c r="JZ47"/>
  <c r="JX47"/>
  <c r="JW47"/>
  <c r="JV47"/>
  <c r="JZ81"/>
  <c r="JX81"/>
  <c r="JW81"/>
  <c r="JV81"/>
  <c r="JY39"/>
  <c r="KA39" s="1"/>
  <c r="JY53"/>
  <c r="KA53" s="1"/>
  <c r="JS163"/>
  <c r="JQ137"/>
  <c r="JT153"/>
  <c r="JS153"/>
  <c r="JQ69"/>
  <c r="JS170"/>
  <c r="JR170"/>
  <c r="JR45"/>
  <c r="JQ82"/>
  <c r="JQ76"/>
  <c r="JS76"/>
  <c r="JY183"/>
  <c r="KA183" s="1"/>
  <c r="AS160" i="15"/>
  <c r="JZ169" i="9"/>
  <c r="JX169"/>
  <c r="JW169"/>
  <c r="JV169"/>
  <c r="JS185"/>
  <c r="JZ185"/>
  <c r="JX185"/>
  <c r="JW185"/>
  <c r="JV185"/>
  <c r="JZ74"/>
  <c r="JX74"/>
  <c r="JW74"/>
  <c r="JV74"/>
  <c r="JQ67"/>
  <c r="JZ67"/>
  <c r="JX67"/>
  <c r="JW67"/>
  <c r="JV67"/>
  <c r="JZ173"/>
  <c r="JX173"/>
  <c r="JW173"/>
  <c r="JV173"/>
  <c r="JZ200"/>
  <c r="JX200"/>
  <c r="JW200"/>
  <c r="JV200"/>
  <c r="JZ167"/>
  <c r="JX167"/>
  <c r="JW167"/>
  <c r="JV167"/>
  <c r="JZ163"/>
  <c r="JX163"/>
  <c r="JW163"/>
  <c r="JV163"/>
  <c r="JT76"/>
  <c r="JZ76"/>
  <c r="JX76"/>
  <c r="JW76"/>
  <c r="JV76"/>
  <c r="JZ105"/>
  <c r="JX105"/>
  <c r="JW105"/>
  <c r="JV105"/>
  <c r="IB132"/>
  <c r="JZ189"/>
  <c r="JX189"/>
  <c r="JW189"/>
  <c r="JV189"/>
  <c r="JZ95"/>
  <c r="JX95"/>
  <c r="JW95"/>
  <c r="JV95"/>
  <c r="JZ136"/>
  <c r="JX136"/>
  <c r="JW136"/>
  <c r="JV136"/>
  <c r="JZ100"/>
  <c r="JX100"/>
  <c r="JW100"/>
  <c r="JV100"/>
  <c r="JZ195"/>
  <c r="JX195"/>
  <c r="JW195"/>
  <c r="JV195"/>
  <c r="JZ107"/>
  <c r="JX107"/>
  <c r="JW107"/>
  <c r="JV107"/>
  <c r="JZ56"/>
  <c r="JX56"/>
  <c r="JW56"/>
  <c r="JV56"/>
  <c r="JZ75"/>
  <c r="JX75"/>
  <c r="JW75"/>
  <c r="JV75"/>
  <c r="JZ85"/>
  <c r="JX85"/>
  <c r="JW85"/>
  <c r="JV85"/>
  <c r="JZ51"/>
  <c r="JX51"/>
  <c r="JW51"/>
  <c r="JV51"/>
  <c r="JR120"/>
  <c r="JZ120"/>
  <c r="JX120"/>
  <c r="JW120"/>
  <c r="JV120"/>
  <c r="JZ79"/>
  <c r="JX79"/>
  <c r="JW79"/>
  <c r="JV79"/>
  <c r="JZ60"/>
  <c r="JX60"/>
  <c r="JW60"/>
  <c r="JV60"/>
  <c r="JZ178"/>
  <c r="JX178"/>
  <c r="JW178"/>
  <c r="JV178"/>
  <c r="JY198"/>
  <c r="KA198" s="1"/>
  <c r="JZ198"/>
  <c r="JX198"/>
  <c r="JW198"/>
  <c r="JV198"/>
  <c r="JZ157"/>
  <c r="JX157"/>
  <c r="JW157"/>
  <c r="JV157"/>
  <c r="JY48"/>
  <c r="KA48" s="1"/>
  <c r="JZ48"/>
  <c r="JX48"/>
  <c r="JW48"/>
  <c r="JV48"/>
  <c r="JU46"/>
  <c r="JZ46"/>
  <c r="JX46"/>
  <c r="JW46"/>
  <c r="JV46"/>
  <c r="JZ130"/>
  <c r="JX130"/>
  <c r="JW130"/>
  <c r="JV130"/>
  <c r="JZ118"/>
  <c r="JX118"/>
  <c r="JW118"/>
  <c r="JV118"/>
  <c r="JZ86"/>
  <c r="JX86"/>
  <c r="JW86"/>
  <c r="JV86"/>
  <c r="JT39"/>
  <c r="JQ169"/>
  <c r="JQ105"/>
  <c r="JU53"/>
  <c r="JT167"/>
  <c r="JR163"/>
  <c r="JQ163"/>
  <c r="JT74"/>
  <c r="JY74"/>
  <c r="KA74" s="1"/>
  <c r="JU137"/>
  <c r="JY137"/>
  <c r="KA137" s="1"/>
  <c r="JR153"/>
  <c r="JU69"/>
  <c r="JQ170"/>
  <c r="JQ45"/>
  <c r="JT185"/>
  <c r="JQ200"/>
  <c r="JU200"/>
  <c r="JY200"/>
  <c r="KA200" s="1"/>
  <c r="JY76"/>
  <c r="KA76" s="1"/>
  <c r="JY185"/>
  <c r="KA185" s="1"/>
  <c r="JT145"/>
  <c r="JY57"/>
  <c r="KA57" s="1"/>
  <c r="JZ57"/>
  <c r="JX57"/>
  <c r="JW57"/>
  <c r="JV57"/>
  <c r="JZ166"/>
  <c r="JX166"/>
  <c r="JW166"/>
  <c r="JV166"/>
  <c r="JZ69"/>
  <c r="JX69"/>
  <c r="JW69"/>
  <c r="JV69"/>
  <c r="JZ41"/>
  <c r="JX41"/>
  <c r="JW41"/>
  <c r="JV41"/>
  <c r="JZ82"/>
  <c r="JX82"/>
  <c r="JW82"/>
  <c r="JV82"/>
  <c r="JZ145"/>
  <c r="JX145"/>
  <c r="JW145"/>
  <c r="JV145"/>
  <c r="IB108"/>
  <c r="JZ162"/>
  <c r="JX162"/>
  <c r="JW162"/>
  <c r="JV162"/>
  <c r="JZ96"/>
  <c r="JX96"/>
  <c r="JW96"/>
  <c r="JV96"/>
  <c r="JQ55"/>
  <c r="JZ55"/>
  <c r="JX55"/>
  <c r="JW55"/>
  <c r="JV55"/>
  <c r="JZ161"/>
  <c r="JX161"/>
  <c r="JW161"/>
  <c r="JV161"/>
  <c r="JZ142"/>
  <c r="JX142"/>
  <c r="JW142"/>
  <c r="JV142"/>
  <c r="JZ103"/>
  <c r="JX103"/>
  <c r="JW103"/>
  <c r="JV103"/>
  <c r="JZ149"/>
  <c r="JX149"/>
  <c r="JW149"/>
  <c r="JV149"/>
  <c r="JZ80"/>
  <c r="JX80"/>
  <c r="JW80"/>
  <c r="JV80"/>
  <c r="JZ122"/>
  <c r="JX122"/>
  <c r="JW122"/>
  <c r="JV122"/>
  <c r="JZ72"/>
  <c r="JX72"/>
  <c r="JW72"/>
  <c r="JV72"/>
  <c r="JZ144"/>
  <c r="JX144"/>
  <c r="JW144"/>
  <c r="JV144"/>
  <c r="JZ111"/>
  <c r="JX111"/>
  <c r="JW111"/>
  <c r="JV111"/>
  <c r="JY112"/>
  <c r="KA112" s="1"/>
  <c r="JZ112"/>
  <c r="JX112"/>
  <c r="JW112"/>
  <c r="JV112"/>
  <c r="JZ133"/>
  <c r="JX133"/>
  <c r="JW133"/>
  <c r="JV133"/>
  <c r="JZ154"/>
  <c r="JX154"/>
  <c r="JW154"/>
  <c r="JV154"/>
  <c r="JZ171"/>
  <c r="JX171"/>
  <c r="JW171"/>
  <c r="JV171"/>
  <c r="JZ40"/>
  <c r="JX40"/>
  <c r="JW40"/>
  <c r="JV40"/>
  <c r="JZ66"/>
  <c r="JX66"/>
  <c r="JW66"/>
  <c r="JV66"/>
  <c r="JS39"/>
  <c r="JQ39"/>
  <c r="JU169"/>
  <c r="JY169"/>
  <c r="KA169" s="1"/>
  <c r="JU105"/>
  <c r="JY105"/>
  <c r="KA105" s="1"/>
  <c r="JS167"/>
  <c r="JY167"/>
  <c r="KA167" s="1"/>
  <c r="JU163"/>
  <c r="JS74"/>
  <c r="JR74"/>
  <c r="IB156"/>
  <c r="JQ41"/>
  <c r="JT137"/>
  <c r="JS137"/>
  <c r="JQ153"/>
  <c r="JS166"/>
  <c r="JT69"/>
  <c r="JS69"/>
  <c r="JU170"/>
  <c r="JU45"/>
  <c r="JY45"/>
  <c r="KA45" s="1"/>
  <c r="JT82"/>
  <c r="JY82"/>
  <c r="KA82" s="1"/>
  <c r="JU76"/>
  <c r="JR200"/>
  <c r="JQ185"/>
  <c r="JU147"/>
  <c r="AS169" i="15"/>
  <c r="JU145" i="9"/>
  <c r="JY120"/>
  <c r="KA120" s="1"/>
  <c r="JR166"/>
  <c r="JQ136"/>
  <c r="JT161"/>
  <c r="JS161"/>
  <c r="JT77"/>
  <c r="JY142"/>
  <c r="KA142" s="1"/>
  <c r="JS57"/>
  <c r="JY136"/>
  <c r="KA136" s="1"/>
  <c r="JR161"/>
  <c r="JQ142"/>
  <c r="JT57"/>
  <c r="JS136"/>
  <c r="JR136"/>
  <c r="JT136"/>
  <c r="JQ147"/>
  <c r="JU100"/>
  <c r="JT189"/>
  <c r="JR100"/>
  <c r="JY100"/>
  <c r="KA100" s="1"/>
  <c r="JQ189"/>
  <c r="JU96"/>
  <c r="JT96"/>
  <c r="JQ53"/>
  <c r="JR103"/>
  <c r="JQ103"/>
  <c r="JR113"/>
  <c r="JR199"/>
  <c r="JQ199"/>
  <c r="JS130"/>
  <c r="JR130"/>
  <c r="JU67"/>
  <c r="JU85"/>
  <c r="JY85"/>
  <c r="KA85" s="1"/>
  <c r="JT134"/>
  <c r="JR173"/>
  <c r="JY173"/>
  <c r="KA173" s="1"/>
  <c r="JR99"/>
  <c r="JY99"/>
  <c r="KA99" s="1"/>
  <c r="JS99"/>
  <c r="JS46"/>
  <c r="JS118"/>
  <c r="AS104" i="15"/>
  <c r="AS197"/>
  <c r="JT118" i="9"/>
  <c r="JR48"/>
  <c r="JT100"/>
  <c r="JY96"/>
  <c r="KA96" s="1"/>
  <c r="JT53"/>
  <c r="JS53"/>
  <c r="JT103"/>
  <c r="JY103"/>
  <c r="KA103" s="1"/>
  <c r="JU113"/>
  <c r="JY113"/>
  <c r="KA113" s="1"/>
  <c r="JT199"/>
  <c r="JY199"/>
  <c r="KA199" s="1"/>
  <c r="JU130"/>
  <c r="JS67"/>
  <c r="JR85"/>
  <c r="JQ134"/>
  <c r="JY134"/>
  <c r="KA134" s="1"/>
  <c r="JT173"/>
  <c r="JR147"/>
  <c r="AS100" i="15"/>
  <c r="AS165"/>
  <c r="AS65"/>
  <c r="JY147" i="9"/>
  <c r="KA147" s="1"/>
  <c r="JS189"/>
  <c r="JR96"/>
  <c r="JS100"/>
  <c r="JR189"/>
  <c r="JQ96"/>
  <c r="JR53"/>
  <c r="JS103"/>
  <c r="JT113"/>
  <c r="JS199"/>
  <c r="JT130"/>
  <c r="JR67"/>
  <c r="JQ85"/>
  <c r="JU134"/>
  <c r="JU173"/>
  <c r="JQ173"/>
  <c r="JT99"/>
  <c r="JU99"/>
  <c r="JS147"/>
  <c r="JY187"/>
  <c r="KA187" s="1"/>
  <c r="JR46"/>
  <c r="JY46"/>
  <c r="KA46" s="1"/>
  <c r="JQ46"/>
  <c r="JT46"/>
  <c r="JQ111"/>
  <c r="JS111"/>
  <c r="JQ183"/>
  <c r="JU183"/>
  <c r="JS183"/>
  <c r="JU48"/>
  <c r="JT48"/>
  <c r="JS145"/>
  <c r="JR145"/>
  <c r="JU120"/>
  <c r="JT120"/>
  <c r="JR168"/>
  <c r="JY168"/>
  <c r="KA168" s="1"/>
  <c r="JT55"/>
  <c r="JY55"/>
  <c r="KA55" s="1"/>
  <c r="JR77"/>
  <c r="JU41"/>
  <c r="JY41"/>
  <c r="KA41" s="1"/>
  <c r="JU61"/>
  <c r="JY61"/>
  <c r="KA61" s="1"/>
  <c r="JS155"/>
  <c r="JQ166"/>
  <c r="JY166"/>
  <c r="KA166" s="1"/>
  <c r="JR57"/>
  <c r="JR65"/>
  <c r="JQ168"/>
  <c r="JS55"/>
  <c r="JQ77"/>
  <c r="JT41"/>
  <c r="JS41"/>
  <c r="JT61"/>
  <c r="JS61"/>
  <c r="JR155"/>
  <c r="JQ155"/>
  <c r="JU166"/>
  <c r="JQ57"/>
  <c r="JQ65"/>
  <c r="JR55"/>
  <c r="JU77"/>
  <c r="JR41"/>
  <c r="JR61"/>
  <c r="JU155"/>
  <c r="JT166"/>
  <c r="JU57"/>
  <c r="JU65"/>
  <c r="JR51"/>
  <c r="JQ51"/>
  <c r="JQ123"/>
  <c r="JR123"/>
  <c r="JY75"/>
  <c r="KA75" s="1"/>
  <c r="JQ75"/>
  <c r="JR75"/>
  <c r="JR138"/>
  <c r="JT138"/>
  <c r="JQ109"/>
  <c r="JS109"/>
  <c r="JT109"/>
  <c r="JU56"/>
  <c r="JR56"/>
  <c r="JT56"/>
  <c r="JY56"/>
  <c r="KA56" s="1"/>
  <c r="AS114" i="15"/>
  <c r="AS63"/>
  <c r="AS57"/>
  <c r="AS201"/>
  <c r="AS177"/>
  <c r="AS146"/>
  <c r="AS182"/>
  <c r="AS194"/>
  <c r="AS142"/>
  <c r="AS94"/>
  <c r="AS159"/>
  <c r="AS187"/>
  <c r="AS157"/>
  <c r="AS101"/>
  <c r="AS56"/>
  <c r="AS106"/>
  <c r="AS166"/>
  <c r="AS77"/>
  <c r="AS39"/>
  <c r="AS189"/>
  <c r="AS51"/>
  <c r="AS95"/>
  <c r="AS120"/>
  <c r="AS38"/>
  <c r="AS64"/>
  <c r="AS116"/>
  <c r="AS83"/>
  <c r="AS80"/>
  <c r="AS108"/>
  <c r="AS70"/>
  <c r="AS140"/>
  <c r="AS161"/>
  <c r="AS199"/>
  <c r="AS76"/>
  <c r="AS98"/>
  <c r="AS47"/>
  <c r="AS59"/>
  <c r="AS133"/>
  <c r="AS92"/>
  <c r="AS87"/>
  <c r="AS184"/>
  <c r="AS55"/>
  <c r="AS52"/>
  <c r="AS151"/>
  <c r="AS179"/>
  <c r="AS37"/>
  <c r="AS167"/>
  <c r="AS54"/>
  <c r="AS204"/>
  <c r="AS168"/>
  <c r="AS126"/>
  <c r="JS142" i="9"/>
  <c r="JR142"/>
  <c r="JT59"/>
  <c r="JY59"/>
  <c r="KA59" s="1"/>
  <c r="JT186"/>
  <c r="JU142"/>
  <c r="JR59"/>
  <c r="JQ59"/>
  <c r="JT142"/>
  <c r="JU59"/>
  <c r="JU136"/>
  <c r="JQ186"/>
  <c r="JY186"/>
  <c r="KA186" s="1"/>
  <c r="JS186"/>
  <c r="JR186"/>
  <c r="JU186"/>
  <c r="JY95"/>
  <c r="KA95" s="1"/>
  <c r="JT95"/>
  <c r="JS95"/>
  <c r="JU95"/>
  <c r="JQ95"/>
  <c r="JR95"/>
  <c r="JR162"/>
  <c r="JS162"/>
  <c r="JT162"/>
  <c r="JY162"/>
  <c r="KA162" s="1"/>
  <c r="JU162"/>
  <c r="JQ162"/>
  <c r="IB190"/>
  <c r="IB114"/>
  <c r="IB201"/>
  <c r="IB125"/>
  <c r="IB146"/>
  <c r="IB116"/>
  <c r="IB204"/>
  <c r="IB159"/>
  <c r="IB184"/>
  <c r="IB163"/>
  <c r="IB195"/>
  <c r="IB119"/>
  <c r="IB180"/>
  <c r="IB189"/>
  <c r="IB157"/>
  <c r="IB197"/>
  <c r="IB175"/>
  <c r="JA6"/>
  <c r="IZ6"/>
  <c r="D4" i="12"/>
  <c r="C4"/>
  <c r="B4"/>
  <c r="A4"/>
  <c r="F4"/>
  <c r="E4"/>
  <c r="G4"/>
  <c r="BY206" i="11"/>
  <c r="BX206"/>
  <c r="BW206"/>
  <c r="BV206"/>
  <c r="BU206"/>
  <c r="BT206"/>
  <c r="BS206"/>
  <c r="BR206"/>
  <c r="BQ206"/>
  <c r="BP206"/>
  <c r="BO206"/>
  <c r="BN206"/>
  <c r="BN205"/>
  <c r="BM3"/>
  <c r="R179" l="1"/>
  <c r="BT179" s="1"/>
  <c r="IB182" i="9"/>
  <c r="IB203"/>
  <c r="IB165"/>
  <c r="IB193"/>
  <c r="IB107"/>
  <c r="IB110"/>
  <c r="IB121"/>
  <c r="IB129"/>
  <c r="IB205"/>
  <c r="IB111"/>
  <c r="IB202"/>
  <c r="IB194"/>
  <c r="IB131"/>
  <c r="IB128"/>
  <c r="IB117"/>
  <c r="IB172"/>
  <c r="IB151"/>
  <c r="R130" i="11"/>
  <c r="IB133" i="9"/>
  <c r="BU128" i="11"/>
  <c r="BY128"/>
  <c r="BQ128"/>
  <c r="BX128"/>
  <c r="BW128"/>
  <c r="BV128"/>
  <c r="BT128"/>
  <c r="BS128"/>
  <c r="BR128"/>
  <c r="BP128"/>
  <c r="BO128"/>
  <c r="BN128"/>
  <c r="BO104"/>
  <c r="BN104"/>
  <c r="BY104"/>
  <c r="BX104"/>
  <c r="BQ104"/>
  <c r="BU104"/>
  <c r="BT104"/>
  <c r="BW104"/>
  <c r="BV104"/>
  <c r="BP104"/>
  <c r="BS104"/>
  <c r="BR104"/>
  <c r="BY126"/>
  <c r="BQ126"/>
  <c r="BX126"/>
  <c r="BW126"/>
  <c r="BT126"/>
  <c r="BS126"/>
  <c r="BP126"/>
  <c r="BV126"/>
  <c r="BR126"/>
  <c r="BN126"/>
  <c r="BO126"/>
  <c r="BU126"/>
  <c r="BY154"/>
  <c r="BU154"/>
  <c r="BQ154"/>
  <c r="BX154"/>
  <c r="BW154"/>
  <c r="BV154"/>
  <c r="BT154"/>
  <c r="BS154"/>
  <c r="BR154"/>
  <c r="BP154"/>
  <c r="BO154"/>
  <c r="BN154"/>
  <c r="BX186"/>
  <c r="BW186"/>
  <c r="BV186"/>
  <c r="BT186"/>
  <c r="BS186"/>
  <c r="BR186"/>
  <c r="BP186"/>
  <c r="BO186"/>
  <c r="BN186"/>
  <c r="BY186"/>
  <c r="BQ186"/>
  <c r="BU186"/>
  <c r="BX116"/>
  <c r="BW116"/>
  <c r="BV116"/>
  <c r="BT116"/>
  <c r="BS116"/>
  <c r="BR116"/>
  <c r="BP116"/>
  <c r="BO116"/>
  <c r="BN116"/>
  <c r="BY116"/>
  <c r="BU116"/>
  <c r="BQ116"/>
  <c r="BQ160"/>
  <c r="BU160"/>
  <c r="BY160"/>
  <c r="BX160"/>
  <c r="BW160"/>
  <c r="BV160"/>
  <c r="BT160"/>
  <c r="BS160"/>
  <c r="BR160"/>
  <c r="BP160"/>
  <c r="BO160"/>
  <c r="BN160"/>
  <c r="BX156"/>
  <c r="BW156"/>
  <c r="BV156"/>
  <c r="BT156"/>
  <c r="BS156"/>
  <c r="BR156"/>
  <c r="BP156"/>
  <c r="BO156"/>
  <c r="BN156"/>
  <c r="BQ156"/>
  <c r="BY156"/>
  <c r="BU156"/>
  <c r="BO201"/>
  <c r="BN201"/>
  <c r="BY201"/>
  <c r="BX201"/>
  <c r="BU201"/>
  <c r="BQ201"/>
  <c r="BT201"/>
  <c r="BW201"/>
  <c r="BV201"/>
  <c r="BP201"/>
  <c r="BS201"/>
  <c r="BR201"/>
  <c r="BX179"/>
  <c r="BW179"/>
  <c r="BR179"/>
  <c r="BO107"/>
  <c r="BR107"/>
  <c r="BY107"/>
  <c r="BX107"/>
  <c r="BN107"/>
  <c r="BU107"/>
  <c r="BT107"/>
  <c r="BW107"/>
  <c r="BQ107"/>
  <c r="BP107"/>
  <c r="BS107"/>
  <c r="BV107"/>
  <c r="BO198"/>
  <c r="BR198"/>
  <c r="BY198"/>
  <c r="BX198"/>
  <c r="BN198"/>
  <c r="BU198"/>
  <c r="BT198"/>
  <c r="BW198"/>
  <c r="BQ198"/>
  <c r="BP198"/>
  <c r="BS198"/>
  <c r="BV198"/>
  <c r="BU111"/>
  <c r="BN111"/>
  <c r="BY111"/>
  <c r="BX111"/>
  <c r="BW111"/>
  <c r="BQ111"/>
  <c r="BT111"/>
  <c r="BS111"/>
  <c r="BV111"/>
  <c r="BP111"/>
  <c r="BO111"/>
  <c r="BR111"/>
  <c r="BX153"/>
  <c r="BW153"/>
  <c r="BV153"/>
  <c r="BT153"/>
  <c r="BS153"/>
  <c r="BR153"/>
  <c r="BP153"/>
  <c r="BO153"/>
  <c r="BN153"/>
  <c r="BU153"/>
  <c r="BQ153"/>
  <c r="BY153"/>
  <c r="BY185"/>
  <c r="BN185"/>
  <c r="BQ185"/>
  <c r="BX185"/>
  <c r="BW185"/>
  <c r="BU185"/>
  <c r="BT185"/>
  <c r="BS185"/>
  <c r="BV185"/>
  <c r="BP185"/>
  <c r="BO185"/>
  <c r="BR185"/>
  <c r="BY191"/>
  <c r="BU191"/>
  <c r="BQ191"/>
  <c r="BX191"/>
  <c r="BW191"/>
  <c r="BV191"/>
  <c r="BT191"/>
  <c r="BS191"/>
  <c r="BR191"/>
  <c r="BP191"/>
  <c r="BO191"/>
  <c r="BN191"/>
  <c r="BX199"/>
  <c r="BW199"/>
  <c r="BV199"/>
  <c r="BT199"/>
  <c r="BS199"/>
  <c r="BR199"/>
  <c r="BP199"/>
  <c r="BO199"/>
  <c r="BN199"/>
  <c r="BU199"/>
  <c r="BQ199"/>
  <c r="BY199"/>
  <c r="BX112"/>
  <c r="BW112"/>
  <c r="BY112"/>
  <c r="BT112"/>
  <c r="BS112"/>
  <c r="BV112"/>
  <c r="BP112"/>
  <c r="BO112"/>
  <c r="BR112"/>
  <c r="BU112"/>
  <c r="BN112"/>
  <c r="BQ112"/>
  <c r="BY140"/>
  <c r="BN140"/>
  <c r="BQ140"/>
  <c r="BX140"/>
  <c r="BW140"/>
  <c r="BU140"/>
  <c r="BT140"/>
  <c r="BS140"/>
  <c r="BV140"/>
  <c r="BP140"/>
  <c r="BO140"/>
  <c r="BR140"/>
  <c r="BX189"/>
  <c r="BW189"/>
  <c r="BU189"/>
  <c r="BT189"/>
  <c r="BS189"/>
  <c r="BV189"/>
  <c r="BP189"/>
  <c r="BO189"/>
  <c r="BR189"/>
  <c r="BY189"/>
  <c r="BN189"/>
  <c r="BQ189"/>
  <c r="BX171"/>
  <c r="BW171"/>
  <c r="BV171"/>
  <c r="BT171"/>
  <c r="BS171"/>
  <c r="BR171"/>
  <c r="BP171"/>
  <c r="BO171"/>
  <c r="BN171"/>
  <c r="BQ171"/>
  <c r="BY171"/>
  <c r="BU171"/>
  <c r="BX172"/>
  <c r="BW172"/>
  <c r="BY172"/>
  <c r="BT172"/>
  <c r="BS172"/>
  <c r="BV172"/>
  <c r="BP172"/>
  <c r="BO172"/>
  <c r="BR172"/>
  <c r="BU172"/>
  <c r="BN172"/>
  <c r="BQ172"/>
  <c r="BX130"/>
  <c r="BW130"/>
  <c r="BV130"/>
  <c r="BT130"/>
  <c r="BS130"/>
  <c r="BR130"/>
  <c r="BP130"/>
  <c r="BO130"/>
  <c r="BN130"/>
  <c r="BY130"/>
  <c r="BQ130"/>
  <c r="BU130"/>
  <c r="BQ194"/>
  <c r="BU194"/>
  <c r="BY194"/>
  <c r="BX194"/>
  <c r="BW194"/>
  <c r="BV194"/>
  <c r="BT194"/>
  <c r="BS194"/>
  <c r="BR194"/>
  <c r="BP194"/>
  <c r="BO194"/>
  <c r="BN194"/>
  <c r="BY114"/>
  <c r="BQ114"/>
  <c r="BU114"/>
  <c r="BX114"/>
  <c r="BW114"/>
  <c r="BV114"/>
  <c r="BT114"/>
  <c r="BS114"/>
  <c r="BR114"/>
  <c r="BP114"/>
  <c r="BO114"/>
  <c r="BN114"/>
  <c r="BO177"/>
  <c r="BN177"/>
  <c r="BU177"/>
  <c r="BX177"/>
  <c r="BQ177"/>
  <c r="BY177"/>
  <c r="BT177"/>
  <c r="BW177"/>
  <c r="BV177"/>
  <c r="BP177"/>
  <c r="BS177"/>
  <c r="BR177"/>
  <c r="BY192"/>
  <c r="BN192"/>
  <c r="BQ192"/>
  <c r="BX192"/>
  <c r="BW192"/>
  <c r="BU192"/>
  <c r="BT192"/>
  <c r="BS192"/>
  <c r="BV192"/>
  <c r="BP192"/>
  <c r="BO192"/>
  <c r="BR192"/>
  <c r="BY181"/>
  <c r="BQ181"/>
  <c r="BU181"/>
  <c r="BX181"/>
  <c r="BW181"/>
  <c r="BV181"/>
  <c r="BT181"/>
  <c r="BS181"/>
  <c r="BR181"/>
  <c r="BP181"/>
  <c r="BO181"/>
  <c r="BN181"/>
  <c r="BX169"/>
  <c r="BW169"/>
  <c r="BV169"/>
  <c r="BT169"/>
  <c r="BS169"/>
  <c r="BR169"/>
  <c r="BP169"/>
  <c r="BO169"/>
  <c r="BN169"/>
  <c r="BY169"/>
  <c r="BU169"/>
  <c r="BQ169"/>
  <c r="BY113"/>
  <c r="BN113"/>
  <c r="BQ113"/>
  <c r="BX113"/>
  <c r="BW113"/>
  <c r="BU113"/>
  <c r="BT113"/>
  <c r="BS113"/>
  <c r="BV113"/>
  <c r="BP113"/>
  <c r="BO113"/>
  <c r="BR113"/>
  <c r="BU143"/>
  <c r="BY143"/>
  <c r="BQ143"/>
  <c r="BX143"/>
  <c r="BW143"/>
  <c r="BV143"/>
  <c r="BT143"/>
  <c r="BS143"/>
  <c r="BR143"/>
  <c r="BP143"/>
  <c r="BO143"/>
  <c r="BN143"/>
  <c r="BY122"/>
  <c r="BQ122"/>
  <c r="BU122"/>
  <c r="BX122"/>
  <c r="BW122"/>
  <c r="BV122"/>
  <c r="BT122"/>
  <c r="BS122"/>
  <c r="BR122"/>
  <c r="BP122"/>
  <c r="BO122"/>
  <c r="BN122"/>
  <c r="BQ118"/>
  <c r="BN118"/>
  <c r="BY118"/>
  <c r="BX118"/>
  <c r="BW118"/>
  <c r="BU118"/>
  <c r="BT118"/>
  <c r="BS118"/>
  <c r="BV118"/>
  <c r="BP118"/>
  <c r="BO118"/>
  <c r="BR118"/>
  <c r="BX187"/>
  <c r="BU187"/>
  <c r="BQ187"/>
  <c r="BT187"/>
  <c r="BW187"/>
  <c r="BV187"/>
  <c r="BP187"/>
  <c r="BS187"/>
  <c r="BR187"/>
  <c r="BO187"/>
  <c r="BN187"/>
  <c r="BY187"/>
  <c r="BO105"/>
  <c r="BR105"/>
  <c r="BY105"/>
  <c r="BX105"/>
  <c r="BN105"/>
  <c r="BU105"/>
  <c r="BT105"/>
  <c r="BW105"/>
  <c r="BQ105"/>
  <c r="BP105"/>
  <c r="BS105"/>
  <c r="BV105"/>
  <c r="BX108"/>
  <c r="BN108"/>
  <c r="BU108"/>
  <c r="BT108"/>
  <c r="BW108"/>
  <c r="BQ108"/>
  <c r="BP108"/>
  <c r="BS108"/>
  <c r="BV108"/>
  <c r="BO108"/>
  <c r="BR108"/>
  <c r="BY108"/>
  <c r="BQ202"/>
  <c r="BY202"/>
  <c r="BU202"/>
  <c r="BX202"/>
  <c r="BW202"/>
  <c r="BV202"/>
  <c r="BT202"/>
  <c r="BS202"/>
  <c r="BR202"/>
  <c r="BP202"/>
  <c r="BO202"/>
  <c r="BN202"/>
  <c r="BY190"/>
  <c r="BQ190"/>
  <c r="BU190"/>
  <c r="BX190"/>
  <c r="BW190"/>
  <c r="BV190"/>
  <c r="BT190"/>
  <c r="BS190"/>
  <c r="BR190"/>
  <c r="BP190"/>
  <c r="BO190"/>
  <c r="BN190"/>
  <c r="IA95" i="9"/>
  <c r="R92" i="11" s="1"/>
  <c r="HZ95" i="9"/>
  <c r="IA186"/>
  <c r="R183" i="11" s="1"/>
  <c r="HZ186" i="9"/>
  <c r="HZ56"/>
  <c r="IA56"/>
  <c r="R53" i="11" s="1"/>
  <c r="HZ168" i="9"/>
  <c r="IA168"/>
  <c r="R165" i="11" s="1"/>
  <c r="IA147" i="9"/>
  <c r="R144" i="11" s="1"/>
  <c r="HZ147" i="9"/>
  <c r="IA99"/>
  <c r="R96" i="11" s="1"/>
  <c r="HZ99" i="9"/>
  <c r="HZ136"/>
  <c r="IA136"/>
  <c r="R133" i="11" s="1"/>
  <c r="IA45" i="9"/>
  <c r="R42" i="11" s="1"/>
  <c r="HZ45" i="9"/>
  <c r="HZ76"/>
  <c r="IA76"/>
  <c r="R73" i="11" s="1"/>
  <c r="IA74" i="9"/>
  <c r="R71" i="11" s="1"/>
  <c r="HZ74" i="9"/>
  <c r="IA53"/>
  <c r="R50" i="11" s="1"/>
  <c r="HZ53" i="9"/>
  <c r="IA65"/>
  <c r="R62" i="11" s="1"/>
  <c r="HZ65" i="9"/>
  <c r="HZ68"/>
  <c r="IA68"/>
  <c r="R65" i="11" s="1"/>
  <c r="HZ144" i="9"/>
  <c r="IA144"/>
  <c r="R141" i="11" s="1"/>
  <c r="HZ40" i="9"/>
  <c r="IA40"/>
  <c r="R37" i="11" s="1"/>
  <c r="IA47" i="9"/>
  <c r="R44" i="11" s="1"/>
  <c r="HZ47" i="9"/>
  <c r="IA155"/>
  <c r="R152" i="11" s="1"/>
  <c r="HZ155" i="9"/>
  <c r="IA67"/>
  <c r="R64" i="11" s="1"/>
  <c r="HZ67" i="9"/>
  <c r="HZ104"/>
  <c r="IA104"/>
  <c r="R101" i="11" s="1"/>
  <c r="IA154" i="9"/>
  <c r="R151" i="11" s="1"/>
  <c r="HZ154" i="9"/>
  <c r="IA79"/>
  <c r="R76" i="11" s="1"/>
  <c r="HZ79" i="9"/>
  <c r="IA81"/>
  <c r="R78" i="11" s="1"/>
  <c r="HZ81" i="9"/>
  <c r="IA162"/>
  <c r="R159" i="11" s="1"/>
  <c r="HZ162" i="9"/>
  <c r="IA75"/>
  <c r="R72" i="11" s="1"/>
  <c r="HZ75" i="9"/>
  <c r="IA41"/>
  <c r="R38" i="11" s="1"/>
  <c r="HZ41" i="9"/>
  <c r="IA46"/>
  <c r="R43" i="11" s="1"/>
  <c r="HZ46" i="9"/>
  <c r="IA199"/>
  <c r="R196" i="11" s="1"/>
  <c r="HZ199" i="9"/>
  <c r="IA103"/>
  <c r="R100" i="11" s="1"/>
  <c r="HZ103" i="9"/>
  <c r="HZ96"/>
  <c r="IA96"/>
  <c r="R93" i="11" s="1"/>
  <c r="HZ100" i="9"/>
  <c r="IA100"/>
  <c r="R97" i="11" s="1"/>
  <c r="HZ120" i="9"/>
  <c r="IA120"/>
  <c r="R117" i="11" s="1"/>
  <c r="IA169" i="9"/>
  <c r="R166" i="11" s="1"/>
  <c r="HZ169" i="9"/>
  <c r="HZ112"/>
  <c r="IA112"/>
  <c r="R109" i="11" s="1"/>
  <c r="IA185" i="9"/>
  <c r="R182" i="11" s="1"/>
  <c r="HZ185" i="9"/>
  <c r="IA198"/>
  <c r="R195" i="11" s="1"/>
  <c r="HZ198" i="9"/>
  <c r="IA183"/>
  <c r="R180" i="11" s="1"/>
  <c r="HZ183" i="9"/>
  <c r="IA179"/>
  <c r="R176" i="11" s="1"/>
  <c r="HZ179" i="9"/>
  <c r="IA158"/>
  <c r="R155" i="11" s="1"/>
  <c r="HZ158" i="9"/>
  <c r="IA177"/>
  <c r="R174" i="11" s="1"/>
  <c r="HZ177" i="9"/>
  <c r="IA149"/>
  <c r="R146" i="11" s="1"/>
  <c r="HZ149" i="9"/>
  <c r="IA66"/>
  <c r="R63" i="11" s="1"/>
  <c r="HZ66" i="9"/>
  <c r="HZ72"/>
  <c r="IA72"/>
  <c r="R69" i="11" s="1"/>
  <c r="IA178" i="9"/>
  <c r="R175" i="11" s="1"/>
  <c r="HZ178" i="9"/>
  <c r="IA170"/>
  <c r="R167" i="11" s="1"/>
  <c r="HZ170" i="9"/>
  <c r="HZ164"/>
  <c r="IA164"/>
  <c r="R161" i="11" s="1"/>
  <c r="IA181" i="9"/>
  <c r="R178" i="11" s="1"/>
  <c r="HZ181" i="9"/>
  <c r="IA86"/>
  <c r="R83" i="11" s="1"/>
  <c r="HZ86" i="9"/>
  <c r="IA166"/>
  <c r="R163" i="11" s="1"/>
  <c r="HZ166" i="9"/>
  <c r="IA55"/>
  <c r="R52" i="11" s="1"/>
  <c r="HZ55" i="9"/>
  <c r="IA134"/>
  <c r="R131" i="11" s="1"/>
  <c r="HZ134" i="9"/>
  <c r="IA173"/>
  <c r="R170" i="11" s="1"/>
  <c r="HZ173" i="9"/>
  <c r="IA142"/>
  <c r="R139" i="11" s="1"/>
  <c r="HZ142" i="9"/>
  <c r="IA82"/>
  <c r="R79" i="11" s="1"/>
  <c r="HZ82" i="9"/>
  <c r="IA167"/>
  <c r="R164" i="11" s="1"/>
  <c r="HZ167" i="9"/>
  <c r="HZ48"/>
  <c r="IA48"/>
  <c r="R45" i="11" s="1"/>
  <c r="IA123" i="9"/>
  <c r="R120" i="11" s="1"/>
  <c r="HZ123" i="9"/>
  <c r="IA51"/>
  <c r="R48" i="11" s="1"/>
  <c r="HZ51" i="9"/>
  <c r="HZ148"/>
  <c r="IA148"/>
  <c r="R145" i="11" s="1"/>
  <c r="IA171" i="9"/>
  <c r="R168" i="11" s="1"/>
  <c r="HZ171" i="9"/>
  <c r="IA153"/>
  <c r="R150" i="11" s="1"/>
  <c r="HZ153" i="9"/>
  <c r="IA122"/>
  <c r="R119" i="11" s="1"/>
  <c r="HZ122" i="9"/>
  <c r="HZ80"/>
  <c r="IA80"/>
  <c r="R77" i="11" s="1"/>
  <c r="HZ196" i="9"/>
  <c r="IA196"/>
  <c r="R193" i="11" s="1"/>
  <c r="IA106" i="9"/>
  <c r="R103" i="11" s="1"/>
  <c r="HZ106" i="9"/>
  <c r="IB188"/>
  <c r="IA59"/>
  <c r="R56" i="11" s="1"/>
  <c r="HZ59" i="9"/>
  <c r="IA61"/>
  <c r="R58" i="11" s="1"/>
  <c r="HZ61" i="9"/>
  <c r="IA187"/>
  <c r="R184" i="11" s="1"/>
  <c r="HZ187" i="9"/>
  <c r="IA113"/>
  <c r="R110" i="11" s="1"/>
  <c r="HZ113" i="9"/>
  <c r="IA85"/>
  <c r="R82" i="11" s="1"/>
  <c r="HZ85" i="9"/>
  <c r="IA105"/>
  <c r="R102" i="11" s="1"/>
  <c r="HZ105" i="9"/>
  <c r="IA57"/>
  <c r="R54" i="11" s="1"/>
  <c r="HZ57" i="9"/>
  <c r="HZ200"/>
  <c r="IA200"/>
  <c r="R197" i="11" s="1"/>
  <c r="IA137" i="9"/>
  <c r="R134" i="11" s="1"/>
  <c r="HZ137" i="9"/>
  <c r="IA39"/>
  <c r="R36" i="11" s="1"/>
  <c r="HZ39" i="9"/>
  <c r="IA77"/>
  <c r="R74" i="11" s="1"/>
  <c r="HZ77" i="9"/>
  <c r="IA71"/>
  <c r="R68" i="11" s="1"/>
  <c r="HZ71" i="9"/>
  <c r="IA145"/>
  <c r="R142" i="11" s="1"/>
  <c r="HZ145" i="9"/>
  <c r="IA150"/>
  <c r="R147" i="11" s="1"/>
  <c r="HZ150" i="9"/>
  <c r="IA97"/>
  <c r="R94" i="11" s="1"/>
  <c r="HZ97" i="9"/>
  <c r="IA118"/>
  <c r="R115" i="11" s="1"/>
  <c r="HZ118" i="9"/>
  <c r="IA138"/>
  <c r="R135" i="11" s="1"/>
  <c r="HZ138" i="9"/>
  <c r="IA127"/>
  <c r="R124" i="11" s="1"/>
  <c r="HZ127" i="9"/>
  <c r="IA130"/>
  <c r="R127" i="11" s="1"/>
  <c r="HZ130" i="9"/>
  <c r="IA161"/>
  <c r="R158" i="11" s="1"/>
  <c r="HZ161" i="9"/>
  <c r="IA102"/>
  <c r="R99" i="11" s="1"/>
  <c r="HZ102" i="9"/>
  <c r="IB124"/>
  <c r="IB160"/>
  <c r="IB176"/>
  <c r="IB135"/>
  <c r="IB141"/>
  <c r="IB126"/>
  <c r="IB152"/>
  <c r="IB191"/>
  <c r="IB140"/>
  <c r="IB139"/>
  <c r="IB109"/>
  <c r="IB158"/>
  <c r="AS85" i="15"/>
  <c r="AS135"/>
  <c r="AS61"/>
  <c r="AS43"/>
  <c r="AS105"/>
  <c r="AS193"/>
  <c r="AS200"/>
  <c r="IB101" i="9"/>
  <c r="IB93"/>
  <c r="IB91"/>
  <c r="IB89"/>
  <c r="IB87"/>
  <c r="IB83"/>
  <c r="IB73"/>
  <c r="IB206"/>
  <c r="IB98"/>
  <c r="IB94"/>
  <c r="IB92"/>
  <c r="IB90"/>
  <c r="IB88"/>
  <c r="IB84"/>
  <c r="IB43"/>
  <c r="IB78"/>
  <c r="IB50"/>
  <c r="IB42"/>
  <c r="IB70"/>
  <c r="IB64"/>
  <c r="IB62"/>
  <c r="IB60"/>
  <c r="IB69"/>
  <c r="IB63"/>
  <c r="IB58"/>
  <c r="IB54"/>
  <c r="IB52"/>
  <c r="IB49"/>
  <c r="IB44"/>
  <c r="IB168" l="1"/>
  <c r="IB40"/>
  <c r="IB45"/>
  <c r="IB186"/>
  <c r="IB99"/>
  <c r="IB81"/>
  <c r="IB46"/>
  <c r="BO179" i="11"/>
  <c r="BV179"/>
  <c r="BY179"/>
  <c r="BN179"/>
  <c r="BP179"/>
  <c r="BU179"/>
  <c r="IB59" i="9"/>
  <c r="BQ179" i="11"/>
  <c r="BS179"/>
  <c r="IB80" i="9"/>
  <c r="IB148"/>
  <c r="IB72"/>
  <c r="IB100"/>
  <c r="IB144"/>
  <c r="IB162"/>
  <c r="IB120"/>
  <c r="IB122"/>
  <c r="IB55"/>
  <c r="IB178"/>
  <c r="IB104"/>
  <c r="IB102"/>
  <c r="IB97"/>
  <c r="IB77"/>
  <c r="IB57"/>
  <c r="IB85"/>
  <c r="IB96"/>
  <c r="IB67"/>
  <c r="IB47"/>
  <c r="IB142"/>
  <c r="IB169"/>
  <c r="IB170"/>
  <c r="IB123"/>
  <c r="IB65"/>
  <c r="IB75"/>
  <c r="IB103"/>
  <c r="IB166"/>
  <c r="IB134"/>
  <c r="IB153"/>
  <c r="IB74"/>
  <c r="IB185"/>
  <c r="IB167"/>
  <c r="IB149"/>
  <c r="BX135" i="11"/>
  <c r="BW135"/>
  <c r="BV135"/>
  <c r="BT135"/>
  <c r="BS135"/>
  <c r="BR135"/>
  <c r="BP135"/>
  <c r="BO135"/>
  <c r="BN135"/>
  <c r="BY135"/>
  <c r="BU135"/>
  <c r="BQ135"/>
  <c r="BU115"/>
  <c r="BN115"/>
  <c r="BY115"/>
  <c r="BX115"/>
  <c r="BW115"/>
  <c r="BQ115"/>
  <c r="BT115"/>
  <c r="BS115"/>
  <c r="BV115"/>
  <c r="BP115"/>
  <c r="BO115"/>
  <c r="BR115"/>
  <c r="BU163"/>
  <c r="BN163"/>
  <c r="BQ163"/>
  <c r="BX163"/>
  <c r="BW163"/>
  <c r="BY163"/>
  <c r="BT163"/>
  <c r="BS163"/>
  <c r="BV163"/>
  <c r="BP163"/>
  <c r="BO163"/>
  <c r="BR163"/>
  <c r="BQ139"/>
  <c r="BY139"/>
  <c r="BU139"/>
  <c r="BX139"/>
  <c r="BW139"/>
  <c r="BV139"/>
  <c r="BT139"/>
  <c r="BS139"/>
  <c r="BR139"/>
  <c r="BP139"/>
  <c r="BO139"/>
  <c r="BN139"/>
  <c r="BO131"/>
  <c r="BN131"/>
  <c r="BQ131"/>
  <c r="BX131"/>
  <c r="BU131"/>
  <c r="BY131"/>
  <c r="BT131"/>
  <c r="BW131"/>
  <c r="BV131"/>
  <c r="BP131"/>
  <c r="BS131"/>
  <c r="BR131"/>
  <c r="BO138"/>
  <c r="BN138"/>
  <c r="BY138"/>
  <c r="BX138"/>
  <c r="BU138"/>
  <c r="BQ138"/>
  <c r="BT138"/>
  <c r="BW138"/>
  <c r="BV138"/>
  <c r="BP138"/>
  <c r="BS138"/>
  <c r="BR138"/>
  <c r="BX162"/>
  <c r="BW162"/>
  <c r="BV162"/>
  <c r="BT162"/>
  <c r="BS162"/>
  <c r="BR162"/>
  <c r="BP162"/>
  <c r="BO162"/>
  <c r="BN162"/>
  <c r="BU162"/>
  <c r="BY162"/>
  <c r="BQ162"/>
  <c r="BX137"/>
  <c r="BW137"/>
  <c r="BV137"/>
  <c r="BT137"/>
  <c r="BS137"/>
  <c r="BR137"/>
  <c r="BP137"/>
  <c r="BO137"/>
  <c r="BN137"/>
  <c r="BY137"/>
  <c r="BQ137"/>
  <c r="BU137"/>
  <c r="BX119"/>
  <c r="BW119"/>
  <c r="BV119"/>
  <c r="BT119"/>
  <c r="BS119"/>
  <c r="BR119"/>
  <c r="BP119"/>
  <c r="BO119"/>
  <c r="BN119"/>
  <c r="BY119"/>
  <c r="BQ119"/>
  <c r="BU119"/>
  <c r="BY168"/>
  <c r="BQ168"/>
  <c r="BU168"/>
  <c r="BX168"/>
  <c r="BW168"/>
  <c r="BV168"/>
  <c r="BT168"/>
  <c r="BS168"/>
  <c r="BR168"/>
  <c r="BP168"/>
  <c r="BO168"/>
  <c r="BN168"/>
  <c r="BU175"/>
  <c r="BY175"/>
  <c r="BQ175"/>
  <c r="BX175"/>
  <c r="BW175"/>
  <c r="BV175"/>
  <c r="BT175"/>
  <c r="BS175"/>
  <c r="BR175"/>
  <c r="BP175"/>
  <c r="BO175"/>
  <c r="BN175"/>
  <c r="BX159"/>
  <c r="BU159"/>
  <c r="BY159"/>
  <c r="BT159"/>
  <c r="BW159"/>
  <c r="BV159"/>
  <c r="BP159"/>
  <c r="BS159"/>
  <c r="BR159"/>
  <c r="BO159"/>
  <c r="BN159"/>
  <c r="BQ159"/>
  <c r="BQ152"/>
  <c r="BN152"/>
  <c r="BU152"/>
  <c r="BX152"/>
  <c r="BW152"/>
  <c r="BY152"/>
  <c r="BT152"/>
  <c r="BS152"/>
  <c r="BV152"/>
  <c r="BP152"/>
  <c r="BO152"/>
  <c r="BR152"/>
  <c r="BY125"/>
  <c r="BN125"/>
  <c r="BQ125"/>
  <c r="BX125"/>
  <c r="BW125"/>
  <c r="BU125"/>
  <c r="BT125"/>
  <c r="BS125"/>
  <c r="BV125"/>
  <c r="BP125"/>
  <c r="BO125"/>
  <c r="BR125"/>
  <c r="BY200"/>
  <c r="BQ200"/>
  <c r="BU200"/>
  <c r="BX200"/>
  <c r="BW200"/>
  <c r="BV200"/>
  <c r="BT200"/>
  <c r="BS200"/>
  <c r="BR200"/>
  <c r="BP200"/>
  <c r="BO200"/>
  <c r="BN200"/>
  <c r="BO164"/>
  <c r="BN164"/>
  <c r="BU164"/>
  <c r="BX164"/>
  <c r="BQ164"/>
  <c r="BY164"/>
  <c r="BT164"/>
  <c r="BW164"/>
  <c r="BV164"/>
  <c r="BP164"/>
  <c r="BS164"/>
  <c r="BR164"/>
  <c r="BX149"/>
  <c r="BW149"/>
  <c r="BV149"/>
  <c r="BT149"/>
  <c r="BS149"/>
  <c r="BR149"/>
  <c r="BP149"/>
  <c r="BO149"/>
  <c r="BN149"/>
  <c r="BY149"/>
  <c r="BQ149"/>
  <c r="BU149"/>
  <c r="BX165"/>
  <c r="BW165"/>
  <c r="BV165"/>
  <c r="BT165"/>
  <c r="BS165"/>
  <c r="BR165"/>
  <c r="BP165"/>
  <c r="BO165"/>
  <c r="BN165"/>
  <c r="BQ165"/>
  <c r="BU165"/>
  <c r="BY165"/>
  <c r="BY136"/>
  <c r="BN136"/>
  <c r="BQ136"/>
  <c r="BX136"/>
  <c r="BW136"/>
  <c r="BU136"/>
  <c r="BT136"/>
  <c r="BS136"/>
  <c r="BV136"/>
  <c r="BP136"/>
  <c r="BO136"/>
  <c r="BR136"/>
  <c r="BX148"/>
  <c r="BW148"/>
  <c r="BY148"/>
  <c r="BT148"/>
  <c r="BS148"/>
  <c r="BV148"/>
  <c r="BP148"/>
  <c r="BO148"/>
  <c r="BR148"/>
  <c r="BU148"/>
  <c r="BN148"/>
  <c r="BQ148"/>
  <c r="BQ178"/>
  <c r="BW178"/>
  <c r="BV178"/>
  <c r="BX178"/>
  <c r="BS178"/>
  <c r="BR178"/>
  <c r="BT178"/>
  <c r="BO178"/>
  <c r="BN178"/>
  <c r="BP178"/>
  <c r="BY178"/>
  <c r="BU178"/>
  <c r="BQ161"/>
  <c r="BY161"/>
  <c r="BU161"/>
  <c r="BX161"/>
  <c r="BW161"/>
  <c r="BV161"/>
  <c r="BT161"/>
  <c r="BS161"/>
  <c r="BR161"/>
  <c r="BP161"/>
  <c r="BO161"/>
  <c r="BN161"/>
  <c r="BO127"/>
  <c r="BN127"/>
  <c r="BY127"/>
  <c r="BX127"/>
  <c r="BU127"/>
  <c r="BQ127"/>
  <c r="BT127"/>
  <c r="BW127"/>
  <c r="BV127"/>
  <c r="BP127"/>
  <c r="BS127"/>
  <c r="BR127"/>
  <c r="BX142"/>
  <c r="BU142"/>
  <c r="BQ142"/>
  <c r="BT142"/>
  <c r="BW142"/>
  <c r="BV142"/>
  <c r="BP142"/>
  <c r="BS142"/>
  <c r="BR142"/>
  <c r="BO142"/>
  <c r="BN142"/>
  <c r="BY142"/>
  <c r="BX193"/>
  <c r="BQ193"/>
  <c r="BY193"/>
  <c r="BT193"/>
  <c r="BW193"/>
  <c r="BV193"/>
  <c r="BP193"/>
  <c r="BS193"/>
  <c r="BR193"/>
  <c r="BO193"/>
  <c r="BN193"/>
  <c r="BU193"/>
  <c r="BU157"/>
  <c r="BN157"/>
  <c r="BQ157"/>
  <c r="BX157"/>
  <c r="BW157"/>
  <c r="BY157"/>
  <c r="BT157"/>
  <c r="BS157"/>
  <c r="BV157"/>
  <c r="BP157"/>
  <c r="BO157"/>
  <c r="BR157"/>
  <c r="BX121"/>
  <c r="BW121"/>
  <c r="BY121"/>
  <c r="BT121"/>
  <c r="BS121"/>
  <c r="BV121"/>
  <c r="BP121"/>
  <c r="BO121"/>
  <c r="BR121"/>
  <c r="BU121"/>
  <c r="BN121"/>
  <c r="BQ121"/>
  <c r="BY129"/>
  <c r="BN129"/>
  <c r="BU129"/>
  <c r="BX129"/>
  <c r="BW129"/>
  <c r="BQ129"/>
  <c r="BT129"/>
  <c r="BS129"/>
  <c r="BV129"/>
  <c r="BP129"/>
  <c r="BO129"/>
  <c r="BR129"/>
  <c r="BO106"/>
  <c r="BR106"/>
  <c r="BY106"/>
  <c r="BX106"/>
  <c r="BN106"/>
  <c r="BU106"/>
  <c r="BT106"/>
  <c r="BW106"/>
  <c r="BQ106"/>
  <c r="BP106"/>
  <c r="BS106"/>
  <c r="BV106"/>
  <c r="BX188"/>
  <c r="BW188"/>
  <c r="BV188"/>
  <c r="BT188"/>
  <c r="BS188"/>
  <c r="BR188"/>
  <c r="BP188"/>
  <c r="BO188"/>
  <c r="BN188"/>
  <c r="BQ188"/>
  <c r="BY188"/>
  <c r="BU188"/>
  <c r="BX134"/>
  <c r="BW134"/>
  <c r="BU134"/>
  <c r="BT134"/>
  <c r="BS134"/>
  <c r="BV134"/>
  <c r="BP134"/>
  <c r="BO134"/>
  <c r="BR134"/>
  <c r="BY134"/>
  <c r="BN134"/>
  <c r="BQ134"/>
  <c r="BX110"/>
  <c r="BN110"/>
  <c r="BU110"/>
  <c r="BT110"/>
  <c r="BW110"/>
  <c r="BQ110"/>
  <c r="BP110"/>
  <c r="BS110"/>
  <c r="BV110"/>
  <c r="BO110"/>
  <c r="BR110"/>
  <c r="BY110"/>
  <c r="BX166"/>
  <c r="BW166"/>
  <c r="BV166"/>
  <c r="BT166"/>
  <c r="BS166"/>
  <c r="BR166"/>
  <c r="BP166"/>
  <c r="BO166"/>
  <c r="BN166"/>
  <c r="BQ166"/>
  <c r="BY166"/>
  <c r="BU166"/>
  <c r="BO155"/>
  <c r="BN155"/>
  <c r="BU155"/>
  <c r="BX155"/>
  <c r="BY155"/>
  <c r="BQ155"/>
  <c r="BT155"/>
  <c r="BW155"/>
  <c r="BV155"/>
  <c r="BP155"/>
  <c r="BS155"/>
  <c r="BR155"/>
  <c r="BU103"/>
  <c r="BN103"/>
  <c r="BY103"/>
  <c r="BX103"/>
  <c r="BW103"/>
  <c r="BQ103"/>
  <c r="BT103"/>
  <c r="BS103"/>
  <c r="BV103"/>
  <c r="BP103"/>
  <c r="BO103"/>
  <c r="BR103"/>
  <c r="BO150"/>
  <c r="BN150"/>
  <c r="BY150"/>
  <c r="BX150"/>
  <c r="BU150"/>
  <c r="BQ150"/>
  <c r="BT150"/>
  <c r="BW150"/>
  <c r="BV150"/>
  <c r="BP150"/>
  <c r="BS150"/>
  <c r="BR150"/>
  <c r="BO146"/>
  <c r="BN146"/>
  <c r="BY146"/>
  <c r="BX146"/>
  <c r="BU146"/>
  <c r="BQ146"/>
  <c r="BT146"/>
  <c r="BW146"/>
  <c r="BV146"/>
  <c r="BP146"/>
  <c r="BS146"/>
  <c r="BR146"/>
  <c r="BX173"/>
  <c r="BW173"/>
  <c r="BV173"/>
  <c r="BT173"/>
  <c r="BS173"/>
  <c r="BR173"/>
  <c r="BP173"/>
  <c r="BO173"/>
  <c r="BN173"/>
  <c r="BY173"/>
  <c r="BQ173"/>
  <c r="BU173"/>
  <c r="BX120"/>
  <c r="BW120"/>
  <c r="BV120"/>
  <c r="BT120"/>
  <c r="BS120"/>
  <c r="BR120"/>
  <c r="BP120"/>
  <c r="BO120"/>
  <c r="BN120"/>
  <c r="BQ120"/>
  <c r="BY120"/>
  <c r="BU120"/>
  <c r="BU196"/>
  <c r="BN196"/>
  <c r="BQ196"/>
  <c r="BX196"/>
  <c r="BW196"/>
  <c r="BY196"/>
  <c r="BT196"/>
  <c r="BS196"/>
  <c r="BV196"/>
  <c r="BP196"/>
  <c r="BO196"/>
  <c r="BR196"/>
  <c r="BX123"/>
  <c r="BU123"/>
  <c r="BQ123"/>
  <c r="BT123"/>
  <c r="BW123"/>
  <c r="BV123"/>
  <c r="BP123"/>
  <c r="BS123"/>
  <c r="BR123"/>
  <c r="BO123"/>
  <c r="BN123"/>
  <c r="BY123"/>
  <c r="BQ132"/>
  <c r="BY132"/>
  <c r="BU132"/>
  <c r="BX132"/>
  <c r="BW132"/>
  <c r="BV132"/>
  <c r="BT132"/>
  <c r="BS132"/>
  <c r="BR132"/>
  <c r="BP132"/>
  <c r="BO132"/>
  <c r="BN132"/>
  <c r="BX151"/>
  <c r="BW151"/>
  <c r="BV151"/>
  <c r="BT151"/>
  <c r="BS151"/>
  <c r="BR151"/>
  <c r="BP151"/>
  <c r="BO151"/>
  <c r="BN151"/>
  <c r="BQ151"/>
  <c r="BY151"/>
  <c r="BU151"/>
  <c r="BY141"/>
  <c r="BQ141"/>
  <c r="BU141"/>
  <c r="BX141"/>
  <c r="BW141"/>
  <c r="BV141"/>
  <c r="BT141"/>
  <c r="BS141"/>
  <c r="BR141"/>
  <c r="BP141"/>
  <c r="BO141"/>
  <c r="BN141"/>
  <c r="BY145"/>
  <c r="BQ145"/>
  <c r="BU145"/>
  <c r="BX145"/>
  <c r="BW145"/>
  <c r="BV145"/>
  <c r="BT145"/>
  <c r="BS145"/>
  <c r="BR145"/>
  <c r="BP145"/>
  <c r="BO145"/>
  <c r="BN145"/>
  <c r="BY167"/>
  <c r="BN167"/>
  <c r="BU167"/>
  <c r="BX167"/>
  <c r="BW167"/>
  <c r="BQ167"/>
  <c r="BT167"/>
  <c r="BS167"/>
  <c r="BV167"/>
  <c r="BP167"/>
  <c r="BO167"/>
  <c r="BR167"/>
  <c r="BY158"/>
  <c r="BQ158"/>
  <c r="BU158"/>
  <c r="BX158"/>
  <c r="BW158"/>
  <c r="BV158"/>
  <c r="BT158"/>
  <c r="BS158"/>
  <c r="BR158"/>
  <c r="BP158"/>
  <c r="BO158"/>
  <c r="BN158"/>
  <c r="BX124"/>
  <c r="BW124"/>
  <c r="BV124"/>
  <c r="BT124"/>
  <c r="BS124"/>
  <c r="BR124"/>
  <c r="BP124"/>
  <c r="BO124"/>
  <c r="BN124"/>
  <c r="BU124"/>
  <c r="BY124"/>
  <c r="BQ124"/>
  <c r="IB71" i="9"/>
  <c r="IB39"/>
  <c r="IB200"/>
  <c r="IB105"/>
  <c r="IB113"/>
  <c r="IB61"/>
  <c r="IB196"/>
  <c r="IB51"/>
  <c r="IB48"/>
  <c r="IB82"/>
  <c r="IB86"/>
  <c r="IB66"/>
  <c r="IB198"/>
  <c r="IB41"/>
  <c r="IB79"/>
  <c r="IB68"/>
  <c r="IB53"/>
  <c r="IB76"/>
  <c r="IB56"/>
  <c r="IB95"/>
  <c r="IB137"/>
  <c r="IB187"/>
  <c r="IB173"/>
  <c r="IB179"/>
  <c r="IB199"/>
  <c r="IB147"/>
  <c r="IB145"/>
  <c r="IB118"/>
  <c r="IB181"/>
  <c r="IB154"/>
  <c r="IB171"/>
  <c r="IB155"/>
  <c r="IB161"/>
  <c r="IB127"/>
  <c r="IB130"/>
  <c r="IB138"/>
  <c r="IB164"/>
  <c r="IB106"/>
  <c r="IB112"/>
  <c r="IB136"/>
  <c r="IB183"/>
  <c r="IB150"/>
  <c r="IB177"/>
  <c r="BO99" i="11" l="1"/>
  <c r="BR99"/>
  <c r="BY99"/>
  <c r="BX99"/>
  <c r="BN99"/>
  <c r="BU99"/>
  <c r="BT99"/>
  <c r="BW99"/>
  <c r="BQ99"/>
  <c r="BP99"/>
  <c r="BS99"/>
  <c r="BV99"/>
  <c r="BO96"/>
  <c r="BR96"/>
  <c r="BY96"/>
  <c r="BX96"/>
  <c r="BN96"/>
  <c r="BU96"/>
  <c r="BT96"/>
  <c r="BW96"/>
  <c r="BQ96"/>
  <c r="BP96"/>
  <c r="BS96"/>
  <c r="BV96"/>
  <c r="BO37"/>
  <c r="BR37"/>
  <c r="BQ37"/>
  <c r="BX37"/>
  <c r="BN37"/>
  <c r="BU37"/>
  <c r="BT37"/>
  <c r="BW37"/>
  <c r="BY37"/>
  <c r="BP37"/>
  <c r="BS37"/>
  <c r="BV37"/>
  <c r="BX91"/>
  <c r="BN91"/>
  <c r="BQ91"/>
  <c r="BT91"/>
  <c r="BW91"/>
  <c r="BU91"/>
  <c r="BP91"/>
  <c r="BS91"/>
  <c r="BV91"/>
  <c r="BO91"/>
  <c r="BR91"/>
  <c r="BY91"/>
  <c r="BO75"/>
  <c r="BR75"/>
  <c r="BY75"/>
  <c r="BX75"/>
  <c r="BN75"/>
  <c r="BQ75"/>
  <c r="BT75"/>
  <c r="BW75"/>
  <c r="BU75"/>
  <c r="BP75"/>
  <c r="BS75"/>
  <c r="BV75"/>
  <c r="BO88"/>
  <c r="BR88"/>
  <c r="BQ88"/>
  <c r="BX88"/>
  <c r="BN88"/>
  <c r="BU88"/>
  <c r="BT88"/>
  <c r="BW88"/>
  <c r="BY88"/>
  <c r="BP88"/>
  <c r="BS88"/>
  <c r="BV88"/>
  <c r="BO72"/>
  <c r="BR72"/>
  <c r="BQ72"/>
  <c r="BX72"/>
  <c r="BN72"/>
  <c r="BU72"/>
  <c r="BT72"/>
  <c r="BW72"/>
  <c r="BY72"/>
  <c r="BP72"/>
  <c r="BS72"/>
  <c r="BV72"/>
  <c r="BO40"/>
  <c r="BR40"/>
  <c r="BQ40"/>
  <c r="BX40"/>
  <c r="BN40"/>
  <c r="BU40"/>
  <c r="BT40"/>
  <c r="BW40"/>
  <c r="BY40"/>
  <c r="BP40"/>
  <c r="BS40"/>
  <c r="BV40"/>
  <c r="BO53"/>
  <c r="BR53"/>
  <c r="BQ53"/>
  <c r="BX53"/>
  <c r="BN53"/>
  <c r="BU53"/>
  <c r="BT53"/>
  <c r="BW53"/>
  <c r="BY53"/>
  <c r="BP53"/>
  <c r="BS53"/>
  <c r="BV53"/>
  <c r="BO54"/>
  <c r="BR54"/>
  <c r="BU54"/>
  <c r="BX54"/>
  <c r="BN54"/>
  <c r="BY54"/>
  <c r="BT54"/>
  <c r="BW54"/>
  <c r="BQ54"/>
  <c r="BP54"/>
  <c r="BS54"/>
  <c r="BV54"/>
  <c r="BO97"/>
  <c r="BR97"/>
  <c r="BY97"/>
  <c r="BX97"/>
  <c r="BN97"/>
  <c r="BU97"/>
  <c r="BT97"/>
  <c r="BW97"/>
  <c r="BQ97"/>
  <c r="BP97"/>
  <c r="BS97"/>
  <c r="BV97"/>
  <c r="BX81"/>
  <c r="BN81"/>
  <c r="BU81"/>
  <c r="BT81"/>
  <c r="BW81"/>
  <c r="BY81"/>
  <c r="BP81"/>
  <c r="BS81"/>
  <c r="BV81"/>
  <c r="BO81"/>
  <c r="BR81"/>
  <c r="BQ81"/>
  <c r="BO55"/>
  <c r="BR55"/>
  <c r="BY55"/>
  <c r="BX55"/>
  <c r="BN55"/>
  <c r="BQ55"/>
  <c r="BT55"/>
  <c r="BW55"/>
  <c r="BU55"/>
  <c r="BP55"/>
  <c r="BS55"/>
  <c r="BV55"/>
  <c r="BX98"/>
  <c r="BN98"/>
  <c r="BU98"/>
  <c r="BT98"/>
  <c r="BW98"/>
  <c r="BQ98"/>
  <c r="BP98"/>
  <c r="BS98"/>
  <c r="BV98"/>
  <c r="BO98"/>
  <c r="BR98"/>
  <c r="BY98"/>
  <c r="BO82"/>
  <c r="BR82"/>
  <c r="BU82"/>
  <c r="BX82"/>
  <c r="BN82"/>
  <c r="BY82"/>
  <c r="BT82"/>
  <c r="BW82"/>
  <c r="BQ82"/>
  <c r="BP82"/>
  <c r="BS82"/>
  <c r="BV82"/>
  <c r="BO64"/>
  <c r="BR64"/>
  <c r="BQ64"/>
  <c r="BX64"/>
  <c r="BN64"/>
  <c r="BU64"/>
  <c r="BT64"/>
  <c r="BW64"/>
  <c r="BY64"/>
  <c r="BP64"/>
  <c r="BS64"/>
  <c r="BV64"/>
  <c r="BO73"/>
  <c r="BR73"/>
  <c r="BQ73"/>
  <c r="BX73"/>
  <c r="BN73"/>
  <c r="BU73"/>
  <c r="BT73"/>
  <c r="BW73"/>
  <c r="BY73"/>
  <c r="BP73"/>
  <c r="BS73"/>
  <c r="BV73"/>
  <c r="BO47"/>
  <c r="BR47"/>
  <c r="BY47"/>
  <c r="BX47"/>
  <c r="BN47"/>
  <c r="BQ47"/>
  <c r="BT47"/>
  <c r="BW47"/>
  <c r="BU47"/>
  <c r="BP47"/>
  <c r="BS47"/>
  <c r="BV47"/>
  <c r="BO117"/>
  <c r="BN117"/>
  <c r="BU117"/>
  <c r="BX117"/>
  <c r="BY117"/>
  <c r="BQ117"/>
  <c r="BT117"/>
  <c r="BW117"/>
  <c r="BV117"/>
  <c r="BP117"/>
  <c r="BS117"/>
  <c r="BR117"/>
  <c r="BO109"/>
  <c r="BR109"/>
  <c r="BY109"/>
  <c r="BX109"/>
  <c r="BN109"/>
  <c r="BU109"/>
  <c r="BT109"/>
  <c r="BW109"/>
  <c r="BQ109"/>
  <c r="BP109"/>
  <c r="BS109"/>
  <c r="BV109"/>
  <c r="BX174"/>
  <c r="BU174"/>
  <c r="BQ174"/>
  <c r="BT174"/>
  <c r="BW174"/>
  <c r="BV174"/>
  <c r="BP174"/>
  <c r="BS174"/>
  <c r="BR174"/>
  <c r="BO174"/>
  <c r="BN174"/>
  <c r="BY174"/>
  <c r="BO95"/>
  <c r="BR95"/>
  <c r="BY95"/>
  <c r="BX95"/>
  <c r="BN95"/>
  <c r="BU95"/>
  <c r="BT95"/>
  <c r="BW95"/>
  <c r="BQ95"/>
  <c r="BP95"/>
  <c r="BS95"/>
  <c r="BV95"/>
  <c r="BO79"/>
  <c r="BR79"/>
  <c r="BY79"/>
  <c r="BX79"/>
  <c r="BN79"/>
  <c r="BQ79"/>
  <c r="BT79"/>
  <c r="BW79"/>
  <c r="BU79"/>
  <c r="BP79"/>
  <c r="BS79"/>
  <c r="BV79"/>
  <c r="BO51"/>
  <c r="BR51"/>
  <c r="BY51"/>
  <c r="BX51"/>
  <c r="BN51"/>
  <c r="BQ51"/>
  <c r="BT51"/>
  <c r="BW51"/>
  <c r="BU51"/>
  <c r="BP51"/>
  <c r="BS51"/>
  <c r="BV51"/>
  <c r="BO92"/>
  <c r="BR92"/>
  <c r="BQ92"/>
  <c r="BX92"/>
  <c r="BN92"/>
  <c r="BU92"/>
  <c r="BT92"/>
  <c r="BW92"/>
  <c r="BY92"/>
  <c r="BP92"/>
  <c r="BS92"/>
  <c r="BV92"/>
  <c r="BX76"/>
  <c r="BN76"/>
  <c r="BU76"/>
  <c r="BT76"/>
  <c r="BW76"/>
  <c r="BY76"/>
  <c r="BP76"/>
  <c r="BS76"/>
  <c r="BV76"/>
  <c r="BO76"/>
  <c r="BR76"/>
  <c r="BQ76"/>
  <c r="BO52"/>
  <c r="BR52"/>
  <c r="BQ52"/>
  <c r="BX52"/>
  <c r="BN52"/>
  <c r="BU52"/>
  <c r="BT52"/>
  <c r="BW52"/>
  <c r="BY52"/>
  <c r="BP52"/>
  <c r="BS52"/>
  <c r="BV52"/>
  <c r="BX61"/>
  <c r="BN61"/>
  <c r="BU61"/>
  <c r="BT61"/>
  <c r="BW61"/>
  <c r="BY61"/>
  <c r="BP61"/>
  <c r="BS61"/>
  <c r="BV61"/>
  <c r="BO61"/>
  <c r="BR61"/>
  <c r="BQ61"/>
  <c r="BX62"/>
  <c r="BN62"/>
  <c r="BY62"/>
  <c r="BT62"/>
  <c r="BW62"/>
  <c r="BQ62"/>
  <c r="BP62"/>
  <c r="BS62"/>
  <c r="BV62"/>
  <c r="BO62"/>
  <c r="BR62"/>
  <c r="BU62"/>
  <c r="BO101"/>
  <c r="BR101"/>
  <c r="BY101"/>
  <c r="BX101"/>
  <c r="BN101"/>
  <c r="BU101"/>
  <c r="BT101"/>
  <c r="BW101"/>
  <c r="BQ101"/>
  <c r="BP101"/>
  <c r="BS101"/>
  <c r="BV101"/>
  <c r="BX85"/>
  <c r="BN85"/>
  <c r="BU85"/>
  <c r="BT85"/>
  <c r="BW85"/>
  <c r="BY85"/>
  <c r="BP85"/>
  <c r="BS85"/>
  <c r="BV85"/>
  <c r="BO85"/>
  <c r="BR85"/>
  <c r="BQ85"/>
  <c r="BO63"/>
  <c r="BR63"/>
  <c r="BY63"/>
  <c r="BX63"/>
  <c r="BN63"/>
  <c r="BQ63"/>
  <c r="BT63"/>
  <c r="BW63"/>
  <c r="BU63"/>
  <c r="BP63"/>
  <c r="BS63"/>
  <c r="BV63"/>
  <c r="BX102"/>
  <c r="BN102"/>
  <c r="BU102"/>
  <c r="BT102"/>
  <c r="BW102"/>
  <c r="BQ102"/>
  <c r="BP102"/>
  <c r="BS102"/>
  <c r="BV102"/>
  <c r="BO102"/>
  <c r="BR102"/>
  <c r="BY102"/>
  <c r="BO86"/>
  <c r="BR86"/>
  <c r="BU86"/>
  <c r="BX86"/>
  <c r="BN86"/>
  <c r="BY86"/>
  <c r="BT86"/>
  <c r="BW86"/>
  <c r="BQ86"/>
  <c r="BP86"/>
  <c r="BS86"/>
  <c r="BV86"/>
  <c r="BO70"/>
  <c r="BR70"/>
  <c r="BU70"/>
  <c r="BX70"/>
  <c r="BN70"/>
  <c r="BY70"/>
  <c r="BT70"/>
  <c r="BW70"/>
  <c r="BQ70"/>
  <c r="BP70"/>
  <c r="BS70"/>
  <c r="BV70"/>
  <c r="BO46"/>
  <c r="BR46"/>
  <c r="BU46"/>
  <c r="BX46"/>
  <c r="BN46"/>
  <c r="BY46"/>
  <c r="BT46"/>
  <c r="BW46"/>
  <c r="BQ46"/>
  <c r="BP46"/>
  <c r="BS46"/>
  <c r="BV46"/>
  <c r="BO49"/>
  <c r="BR49"/>
  <c r="BQ49"/>
  <c r="BX49"/>
  <c r="BN49"/>
  <c r="BU49"/>
  <c r="BT49"/>
  <c r="BW49"/>
  <c r="BY49"/>
  <c r="BP49"/>
  <c r="BS49"/>
  <c r="BV49"/>
  <c r="BY197"/>
  <c r="BQ197"/>
  <c r="BU197"/>
  <c r="BX197"/>
  <c r="BW197"/>
  <c r="BV197"/>
  <c r="BT197"/>
  <c r="BS197"/>
  <c r="BR197"/>
  <c r="BP197"/>
  <c r="BO197"/>
  <c r="BN197"/>
  <c r="BX170"/>
  <c r="BU170"/>
  <c r="BQ170"/>
  <c r="BT170"/>
  <c r="BW170"/>
  <c r="BV170"/>
  <c r="BP170"/>
  <c r="BS170"/>
  <c r="BR170"/>
  <c r="BO170"/>
  <c r="BN170"/>
  <c r="BY170"/>
  <c r="BX176"/>
  <c r="BW176"/>
  <c r="BU176"/>
  <c r="BT176"/>
  <c r="BS176"/>
  <c r="BV176"/>
  <c r="BP176"/>
  <c r="BO176"/>
  <c r="BR176"/>
  <c r="BY176"/>
  <c r="BN176"/>
  <c r="BQ176"/>
  <c r="BO58"/>
  <c r="BR58"/>
  <c r="BU58"/>
  <c r="BX58"/>
  <c r="BN58"/>
  <c r="BY58"/>
  <c r="BT58"/>
  <c r="BW58"/>
  <c r="BQ58"/>
  <c r="BP58"/>
  <c r="BS58"/>
  <c r="BV58"/>
  <c r="BX59"/>
  <c r="BN59"/>
  <c r="BQ59"/>
  <c r="BT59"/>
  <c r="BW59"/>
  <c r="BU59"/>
  <c r="BP59"/>
  <c r="BS59"/>
  <c r="BV59"/>
  <c r="BO59"/>
  <c r="BR59"/>
  <c r="BY59"/>
  <c r="BX80"/>
  <c r="BN80"/>
  <c r="BU80"/>
  <c r="BT80"/>
  <c r="BW80"/>
  <c r="BY80"/>
  <c r="BP80"/>
  <c r="BS80"/>
  <c r="BV80"/>
  <c r="BO80"/>
  <c r="BR80"/>
  <c r="BQ80"/>
  <c r="BO60"/>
  <c r="BR60"/>
  <c r="BQ60"/>
  <c r="BX60"/>
  <c r="BN60"/>
  <c r="BU60"/>
  <c r="BT60"/>
  <c r="BW60"/>
  <c r="BY60"/>
  <c r="BP60"/>
  <c r="BS60"/>
  <c r="BV60"/>
  <c r="BO69"/>
  <c r="BR69"/>
  <c r="BQ69"/>
  <c r="BX69"/>
  <c r="BN69"/>
  <c r="BU69"/>
  <c r="BT69"/>
  <c r="BW69"/>
  <c r="BY69"/>
  <c r="BP69"/>
  <c r="BS69"/>
  <c r="BV69"/>
  <c r="BO39"/>
  <c r="BR39"/>
  <c r="BY39"/>
  <c r="BX39"/>
  <c r="BN39"/>
  <c r="BQ39"/>
  <c r="BT39"/>
  <c r="BW39"/>
  <c r="BU39"/>
  <c r="BP39"/>
  <c r="BS39"/>
  <c r="BV39"/>
  <c r="BO43"/>
  <c r="BR43"/>
  <c r="BY43"/>
  <c r="BX43"/>
  <c r="BN43"/>
  <c r="BQ43"/>
  <c r="BT43"/>
  <c r="BW43"/>
  <c r="BU43"/>
  <c r="BP43"/>
  <c r="BS43"/>
  <c r="BV43"/>
  <c r="BX89"/>
  <c r="BN89"/>
  <c r="BU89"/>
  <c r="BT89"/>
  <c r="BW89"/>
  <c r="BY89"/>
  <c r="BP89"/>
  <c r="BS89"/>
  <c r="BV89"/>
  <c r="BO89"/>
  <c r="BR89"/>
  <c r="BQ89"/>
  <c r="BO71"/>
  <c r="BR71"/>
  <c r="BY71"/>
  <c r="BX71"/>
  <c r="BN71"/>
  <c r="BQ71"/>
  <c r="BT71"/>
  <c r="BW71"/>
  <c r="BU71"/>
  <c r="BP71"/>
  <c r="BS71"/>
  <c r="BV71"/>
  <c r="BO42"/>
  <c r="BR42"/>
  <c r="BU42"/>
  <c r="BX42"/>
  <c r="BN42"/>
  <c r="BY42"/>
  <c r="BT42"/>
  <c r="BW42"/>
  <c r="BQ42"/>
  <c r="BP42"/>
  <c r="BS42"/>
  <c r="BV42"/>
  <c r="BX90"/>
  <c r="BN90"/>
  <c r="BY90"/>
  <c r="BT90"/>
  <c r="BW90"/>
  <c r="BQ90"/>
  <c r="BP90"/>
  <c r="BS90"/>
  <c r="BV90"/>
  <c r="BO90"/>
  <c r="BR90"/>
  <c r="BU90"/>
  <c r="BX74"/>
  <c r="BN74"/>
  <c r="BY74"/>
  <c r="BT74"/>
  <c r="BW74"/>
  <c r="BQ74"/>
  <c r="BP74"/>
  <c r="BS74"/>
  <c r="BV74"/>
  <c r="BO74"/>
  <c r="BR74"/>
  <c r="BU74"/>
  <c r="BX48"/>
  <c r="BN48"/>
  <c r="BU48"/>
  <c r="BT48"/>
  <c r="BW48"/>
  <c r="BY48"/>
  <c r="BP48"/>
  <c r="BS48"/>
  <c r="BV48"/>
  <c r="BO48"/>
  <c r="BR48"/>
  <c r="BQ48"/>
  <c r="BO57"/>
  <c r="BR57"/>
  <c r="BQ57"/>
  <c r="BX57"/>
  <c r="BN57"/>
  <c r="BU57"/>
  <c r="BT57"/>
  <c r="BW57"/>
  <c r="BY57"/>
  <c r="BP57"/>
  <c r="BS57"/>
  <c r="BV57"/>
  <c r="BU144"/>
  <c r="BN144"/>
  <c r="BQ144"/>
  <c r="BX144"/>
  <c r="BW144"/>
  <c r="BY144"/>
  <c r="BT144"/>
  <c r="BS144"/>
  <c r="BV144"/>
  <c r="BP144"/>
  <c r="BO144"/>
  <c r="BR144"/>
  <c r="BU195"/>
  <c r="BY195"/>
  <c r="BQ195"/>
  <c r="BX195"/>
  <c r="BW195"/>
  <c r="BV195"/>
  <c r="BT195"/>
  <c r="BS195"/>
  <c r="BR195"/>
  <c r="BP195"/>
  <c r="BO195"/>
  <c r="BN195"/>
  <c r="BX182"/>
  <c r="BQ182"/>
  <c r="BY182"/>
  <c r="BT182"/>
  <c r="BW182"/>
  <c r="BV182"/>
  <c r="BP182"/>
  <c r="BS182"/>
  <c r="BR182"/>
  <c r="BO182"/>
  <c r="BN182"/>
  <c r="BU182"/>
  <c r="BU147"/>
  <c r="BY147"/>
  <c r="BQ147"/>
  <c r="BX147"/>
  <c r="BW147"/>
  <c r="BV147"/>
  <c r="BT147"/>
  <c r="BS147"/>
  <c r="BR147"/>
  <c r="BP147"/>
  <c r="BO147"/>
  <c r="BN147"/>
  <c r="BO50"/>
  <c r="BR50"/>
  <c r="BU50"/>
  <c r="BX50"/>
  <c r="BN50"/>
  <c r="BY50"/>
  <c r="BT50"/>
  <c r="BW50"/>
  <c r="BQ50"/>
  <c r="BP50"/>
  <c r="BS50"/>
  <c r="BV50"/>
  <c r="BO83"/>
  <c r="BR83"/>
  <c r="BY83"/>
  <c r="BX83"/>
  <c r="BN83"/>
  <c r="BQ83"/>
  <c r="BT83"/>
  <c r="BW83"/>
  <c r="BU83"/>
  <c r="BP83"/>
  <c r="BS83"/>
  <c r="BV83"/>
  <c r="BO66"/>
  <c r="BR66"/>
  <c r="BU66"/>
  <c r="BX66"/>
  <c r="BN66"/>
  <c r="BY66"/>
  <c r="BT66"/>
  <c r="BW66"/>
  <c r="BQ66"/>
  <c r="BP66"/>
  <c r="BS66"/>
  <c r="BV66"/>
  <c r="BU203"/>
  <c r="BN203"/>
  <c r="BQ203"/>
  <c r="BX203"/>
  <c r="BW203"/>
  <c r="BY203"/>
  <c r="BT203"/>
  <c r="BS203"/>
  <c r="BV203"/>
  <c r="BP203"/>
  <c r="BO203"/>
  <c r="BR203"/>
  <c r="BO87"/>
  <c r="BR87"/>
  <c r="BY87"/>
  <c r="BX87"/>
  <c r="BN87"/>
  <c r="BQ87"/>
  <c r="BT87"/>
  <c r="BW87"/>
  <c r="BU87"/>
  <c r="BP87"/>
  <c r="BS87"/>
  <c r="BV87"/>
  <c r="BO67"/>
  <c r="BR67"/>
  <c r="BY67"/>
  <c r="BX67"/>
  <c r="BN67"/>
  <c r="BQ67"/>
  <c r="BT67"/>
  <c r="BW67"/>
  <c r="BU67"/>
  <c r="BP67"/>
  <c r="BS67"/>
  <c r="BV67"/>
  <c r="BO100"/>
  <c r="BR100"/>
  <c r="BY100"/>
  <c r="BX100"/>
  <c r="BN100"/>
  <c r="BU100"/>
  <c r="BT100"/>
  <c r="BW100"/>
  <c r="BQ100"/>
  <c r="BP100"/>
  <c r="BS100"/>
  <c r="BV100"/>
  <c r="BO84"/>
  <c r="BR84"/>
  <c r="BQ84"/>
  <c r="BX84"/>
  <c r="BN84"/>
  <c r="BU84"/>
  <c r="BT84"/>
  <c r="BW84"/>
  <c r="BY84"/>
  <c r="BP84"/>
  <c r="BS84"/>
  <c r="BV84"/>
  <c r="BO68"/>
  <c r="BR68"/>
  <c r="BQ68"/>
  <c r="BX68"/>
  <c r="BN68"/>
  <c r="BU68"/>
  <c r="BT68"/>
  <c r="BW68"/>
  <c r="BY68"/>
  <c r="BP68"/>
  <c r="BS68"/>
  <c r="BV68"/>
  <c r="BO38"/>
  <c r="BR38"/>
  <c r="BU38"/>
  <c r="BX38"/>
  <c r="BN38"/>
  <c r="BY38"/>
  <c r="BT38"/>
  <c r="BW38"/>
  <c r="BQ38"/>
  <c r="BP38"/>
  <c r="BS38"/>
  <c r="BV38"/>
  <c r="BO41"/>
  <c r="BR41"/>
  <c r="BQ41"/>
  <c r="BX41"/>
  <c r="BN41"/>
  <c r="BU41"/>
  <c r="BT41"/>
  <c r="BW41"/>
  <c r="BY41"/>
  <c r="BP41"/>
  <c r="BS41"/>
  <c r="BV41"/>
  <c r="BX45"/>
  <c r="BN45"/>
  <c r="BU45"/>
  <c r="BT45"/>
  <c r="BW45"/>
  <c r="BY45"/>
  <c r="BP45"/>
  <c r="BS45"/>
  <c r="BV45"/>
  <c r="BO45"/>
  <c r="BR45"/>
  <c r="BQ45"/>
  <c r="BT93"/>
  <c r="BR93"/>
  <c r="BY93"/>
  <c r="BN93"/>
  <c r="BW93"/>
  <c r="BU93"/>
  <c r="BO93"/>
  <c r="BS93"/>
  <c r="BQ93"/>
  <c r="BP93"/>
  <c r="BX93"/>
  <c r="BV93"/>
  <c r="BO77"/>
  <c r="BR77"/>
  <c r="BQ77"/>
  <c r="BX77"/>
  <c r="BN77"/>
  <c r="BU77"/>
  <c r="BT77"/>
  <c r="BW77"/>
  <c r="BY77"/>
  <c r="BP77"/>
  <c r="BS77"/>
  <c r="BV77"/>
  <c r="BX44"/>
  <c r="BN44"/>
  <c r="BU44"/>
  <c r="BT44"/>
  <c r="BW44"/>
  <c r="BY44"/>
  <c r="BP44"/>
  <c r="BS44"/>
  <c r="BV44"/>
  <c r="BO44"/>
  <c r="BR44"/>
  <c r="BQ44"/>
  <c r="BO94"/>
  <c r="BR94"/>
  <c r="BY94"/>
  <c r="BX94"/>
  <c r="BN94"/>
  <c r="BU94"/>
  <c r="BT94"/>
  <c r="BW94"/>
  <c r="BQ94"/>
  <c r="BP94"/>
  <c r="BS94"/>
  <c r="BV94"/>
  <c r="BO78"/>
  <c r="BR78"/>
  <c r="BU78"/>
  <c r="BX78"/>
  <c r="BN78"/>
  <c r="BY78"/>
  <c r="BT78"/>
  <c r="BW78"/>
  <c r="BQ78"/>
  <c r="BP78"/>
  <c r="BS78"/>
  <c r="BV78"/>
  <c r="BO56"/>
  <c r="BR56"/>
  <c r="BQ56"/>
  <c r="BX56"/>
  <c r="BN56"/>
  <c r="BU56"/>
  <c r="BT56"/>
  <c r="BW56"/>
  <c r="BY56"/>
  <c r="BP56"/>
  <c r="BS56"/>
  <c r="BV56"/>
  <c r="BO65"/>
  <c r="BR65"/>
  <c r="BQ65"/>
  <c r="BX65"/>
  <c r="BN65"/>
  <c r="BU65"/>
  <c r="BT65"/>
  <c r="BW65"/>
  <c r="BY65"/>
  <c r="BP65"/>
  <c r="BS65"/>
  <c r="BV65"/>
  <c r="BX184"/>
  <c r="BW184"/>
  <c r="BV184"/>
  <c r="BT184"/>
  <c r="BS184"/>
  <c r="BR184"/>
  <c r="BP184"/>
  <c r="BO184"/>
  <c r="BN184"/>
  <c r="BU184"/>
  <c r="BY184"/>
  <c r="BQ184"/>
  <c r="BU133"/>
  <c r="BY133"/>
  <c r="BQ133"/>
  <c r="BX133"/>
  <c r="BW133"/>
  <c r="BV133"/>
  <c r="BT133"/>
  <c r="BS133"/>
  <c r="BR133"/>
  <c r="BP133"/>
  <c r="BO133"/>
  <c r="BN133"/>
  <c r="BQ180"/>
  <c r="BN180"/>
  <c r="BY180"/>
  <c r="BX180"/>
  <c r="BW180"/>
  <c r="BU180"/>
  <c r="BT180"/>
  <c r="BS180"/>
  <c r="BV180"/>
  <c r="BP180"/>
  <c r="BO180"/>
  <c r="BR180"/>
  <c r="BQ183"/>
  <c r="BU183"/>
  <c r="BY183"/>
  <c r="BX183"/>
  <c r="BW183"/>
  <c r="BV183"/>
  <c r="BT183"/>
  <c r="BS183"/>
  <c r="BR183"/>
  <c r="BP183"/>
  <c r="BO183"/>
  <c r="BN183"/>
  <c r="L3" i="8"/>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
  <c r="F7"/>
  <c r="B14" i="18"/>
  <c r="K6" i="9"/>
  <c r="AR6"/>
  <c r="AT6"/>
  <c r="AW6" l="1"/>
  <c r="AX6" s="1"/>
  <c r="AS6"/>
  <c r="AU6" s="1"/>
  <c r="BA6"/>
  <c r="AY6"/>
  <c r="S6"/>
  <c r="T6"/>
  <c r="N6"/>
  <c r="P6" s="1"/>
  <c r="R6" s="1"/>
  <c r="N12" i="6"/>
  <c r="N14"/>
  <c r="N15"/>
  <c r="CD203" i="9"/>
  <c r="CD178"/>
  <c r="CD166"/>
  <c r="CD146"/>
  <c r="CD129"/>
  <c r="CD102"/>
  <c r="CD87"/>
  <c r="CD72"/>
  <c r="CD55"/>
  <c r="CD194"/>
  <c r="CD175"/>
  <c r="CD159"/>
  <c r="CD150"/>
  <c r="CD135"/>
  <c r="CD124"/>
  <c r="CD109"/>
  <c r="CD99"/>
  <c r="CD85"/>
  <c r="CD67"/>
  <c r="CD56"/>
  <c r="CD39"/>
  <c r="CD201"/>
  <c r="CD190"/>
  <c r="CD179"/>
  <c r="CD163"/>
  <c r="CD148"/>
  <c r="CD131"/>
  <c r="CD111"/>
  <c r="CD86"/>
  <c r="CD71"/>
  <c r="CD54"/>
  <c r="CD184"/>
  <c r="CD165"/>
  <c r="CD145"/>
  <c r="CD125"/>
  <c r="CD115"/>
  <c r="CD106"/>
  <c r="CD96"/>
  <c r="CD77"/>
  <c r="CD58"/>
  <c r="CD43"/>
  <c r="CD205"/>
  <c r="CD198"/>
  <c r="CD181"/>
  <c r="CD169"/>
  <c r="CD157"/>
  <c r="CD132"/>
  <c r="CD117"/>
  <c r="CD90"/>
  <c r="CD74"/>
  <c r="CD64"/>
  <c r="CD44"/>
  <c r="CD195"/>
  <c r="CD177"/>
  <c r="CD164"/>
  <c r="CD151"/>
  <c r="CD142"/>
  <c r="CD126"/>
  <c r="CD112"/>
  <c r="CD103"/>
  <c r="CD88"/>
  <c r="CD78"/>
  <c r="CD59"/>
  <c r="CD41"/>
  <c r="CD204"/>
  <c r="CD191"/>
  <c r="CD182"/>
  <c r="CD168"/>
  <c r="CD153"/>
  <c r="CD136"/>
  <c r="CD116"/>
  <c r="CD89"/>
  <c r="CD73"/>
  <c r="CD57"/>
  <c r="CD42"/>
  <c r="CD189"/>
  <c r="CD174"/>
  <c r="CD149"/>
  <c r="CD134"/>
  <c r="CD118"/>
  <c r="CD108"/>
  <c r="CD98"/>
  <c r="CD79"/>
  <c r="CD60"/>
  <c r="CD46"/>
  <c r="CD200"/>
  <c r="CD187"/>
  <c r="CD160"/>
  <c r="CD139"/>
  <c r="CD122"/>
  <c r="CD94"/>
  <c r="CD76"/>
  <c r="CD68"/>
  <c r="CD47"/>
  <c r="CD183"/>
  <c r="CD167"/>
  <c r="CD152"/>
  <c r="CD144"/>
  <c r="CD130"/>
  <c r="CD114"/>
  <c r="CD105"/>
  <c r="CD91"/>
  <c r="CD80"/>
  <c r="CD61"/>
  <c r="CD48"/>
  <c r="CD206"/>
  <c r="CD193"/>
  <c r="CD186"/>
  <c r="CD170"/>
  <c r="CD156"/>
  <c r="CD137"/>
  <c r="CD121"/>
  <c r="CD93"/>
  <c r="CD75"/>
  <c r="CD63"/>
  <c r="CD45"/>
  <c r="CD196"/>
  <c r="CD176"/>
  <c r="CD154"/>
  <c r="CD138"/>
  <c r="CD120"/>
  <c r="CD110"/>
  <c r="CD101"/>
  <c r="CD81"/>
  <c r="CD62"/>
  <c r="CD49"/>
  <c r="CD38"/>
  <c r="CD202"/>
  <c r="CD192"/>
  <c r="CD171"/>
  <c r="CD162"/>
  <c r="CD143"/>
  <c r="CD127"/>
  <c r="CD100"/>
  <c r="CD83"/>
  <c r="CD70"/>
  <c r="CD51"/>
  <c r="CD185"/>
  <c r="CD173"/>
  <c r="CD155"/>
  <c r="CD147"/>
  <c r="CD133"/>
  <c r="CD119"/>
  <c r="CD107"/>
  <c r="CD97"/>
  <c r="CD82"/>
  <c r="CD65"/>
  <c r="CD52"/>
  <c r="CD197"/>
  <c r="CD199"/>
  <c r="CD188"/>
  <c r="CD172"/>
  <c r="CD161"/>
  <c r="CD140"/>
  <c r="CD128"/>
  <c r="CD95"/>
  <c r="CD84"/>
  <c r="CD69"/>
  <c r="CD50"/>
  <c r="CD180"/>
  <c r="CD158"/>
  <c r="CD141"/>
  <c r="CD123"/>
  <c r="CD113"/>
  <c r="CD104"/>
  <c r="CD92"/>
  <c r="CD66"/>
  <c r="CD53"/>
  <c r="CD40"/>
  <c r="BI205" i="12"/>
  <c r="BL205"/>
  <c r="BK205"/>
  <c r="BJ205"/>
  <c r="BJ15"/>
  <c r="BJ35"/>
  <c r="BJ39"/>
  <c r="BJ43"/>
  <c r="BJ51"/>
  <c r="BJ55"/>
  <c r="BJ63"/>
  <c r="BJ67"/>
  <c r="BJ71"/>
  <c r="BJ75"/>
  <c r="BJ79"/>
  <c r="BJ83"/>
  <c r="BJ87"/>
  <c r="BJ91"/>
  <c r="BJ95"/>
  <c r="BJ99"/>
  <c r="BJ103"/>
  <c r="BJ111"/>
  <c r="BJ119"/>
  <c r="BJ151"/>
  <c r="BJ159"/>
  <c r="BJ191"/>
  <c r="BJ6"/>
  <c r="BJ10"/>
  <c r="BJ30"/>
  <c r="BJ106"/>
  <c r="BJ114"/>
  <c r="BJ130"/>
  <c r="BJ17"/>
  <c r="BJ25"/>
  <c r="BJ33"/>
  <c r="BJ37"/>
  <c r="BJ41"/>
  <c r="BJ45"/>
  <c r="BJ49"/>
  <c r="BJ53"/>
  <c r="BJ57"/>
  <c r="BJ61"/>
  <c r="BJ65"/>
  <c r="BJ69"/>
  <c r="BJ81"/>
  <c r="BJ85"/>
  <c r="BJ89"/>
  <c r="BJ93"/>
  <c r="BJ101"/>
  <c r="BJ109"/>
  <c r="BJ117"/>
  <c r="BJ145"/>
  <c r="BJ173"/>
  <c r="BJ189"/>
  <c r="BJ12"/>
  <c r="BJ20"/>
  <c r="BJ120"/>
  <c r="BJ128"/>
  <c r="BJ136"/>
  <c r="BJ152"/>
  <c r="BJ160"/>
  <c r="BJ11"/>
  <c r="BJ31"/>
  <c r="BJ47"/>
  <c r="BJ59"/>
  <c r="BJ127"/>
  <c r="BJ135"/>
  <c r="BJ143"/>
  <c r="BJ167"/>
  <c r="BJ175"/>
  <c r="BJ183"/>
  <c r="BJ199"/>
  <c r="BJ18"/>
  <c r="BJ26"/>
  <c r="BJ34"/>
  <c r="BJ38"/>
  <c r="BJ42"/>
  <c r="BJ46"/>
  <c r="BJ50"/>
  <c r="BJ54"/>
  <c r="BJ58"/>
  <c r="BJ62"/>
  <c r="BJ66"/>
  <c r="BJ74"/>
  <c r="BJ82"/>
  <c r="BJ86"/>
  <c r="BJ90"/>
  <c r="BJ94"/>
  <c r="BJ98"/>
  <c r="BJ102"/>
  <c r="BJ118"/>
  <c r="BJ138"/>
  <c r="BJ154"/>
  <c r="BJ158"/>
  <c r="BJ166"/>
  <c r="BJ174"/>
  <c r="BJ182"/>
  <c r="BJ190"/>
  <c r="BJ198"/>
  <c r="BJ21"/>
  <c r="BJ73"/>
  <c r="BJ77"/>
  <c r="BJ97"/>
  <c r="BJ129"/>
  <c r="BJ141"/>
  <c r="BJ153"/>
  <c r="BJ161"/>
  <c r="BJ185"/>
  <c r="BJ193"/>
  <c r="BJ8"/>
  <c r="BJ104"/>
  <c r="BJ112"/>
  <c r="BJ144"/>
  <c r="BJ168"/>
  <c r="BJ172"/>
  <c r="BJ184"/>
  <c r="BJ7"/>
  <c r="BJ19"/>
  <c r="BJ27"/>
  <c r="BJ131"/>
  <c r="BJ139"/>
  <c r="BJ147"/>
  <c r="BJ155"/>
  <c r="BJ163"/>
  <c r="BJ171"/>
  <c r="BJ179"/>
  <c r="BJ195"/>
  <c r="BJ203"/>
  <c r="BJ22"/>
  <c r="BJ70"/>
  <c r="BJ78"/>
  <c r="BJ110"/>
  <c r="BJ126"/>
  <c r="BJ146"/>
  <c r="BJ162"/>
  <c r="BJ13"/>
  <c r="BJ125"/>
  <c r="BJ137"/>
  <c r="BJ157"/>
  <c r="BJ169"/>
  <c r="BJ177"/>
  <c r="BJ201"/>
  <c r="BJ28"/>
  <c r="BJ36"/>
  <c r="BJ40"/>
  <c r="BJ48"/>
  <c r="BJ52"/>
  <c r="BJ56"/>
  <c r="BJ60"/>
  <c r="BJ64"/>
  <c r="BJ68"/>
  <c r="BJ72"/>
  <c r="BJ76"/>
  <c r="BJ80"/>
  <c r="BJ84"/>
  <c r="BJ88"/>
  <c r="BJ92"/>
  <c r="BJ96"/>
  <c r="BJ100"/>
  <c r="BJ108"/>
  <c r="BJ116"/>
  <c r="BJ124"/>
  <c r="BJ132"/>
  <c r="BJ140"/>
  <c r="BJ148"/>
  <c r="BJ156"/>
  <c r="BJ176"/>
  <c r="BJ180"/>
  <c r="BJ192"/>
  <c r="BJ200"/>
  <c r="BJ23"/>
  <c r="BJ107"/>
  <c r="BJ115"/>
  <c r="BJ123"/>
  <c r="BJ187"/>
  <c r="BJ14"/>
  <c r="BJ122"/>
  <c r="BJ134"/>
  <c r="BJ142"/>
  <c r="BJ150"/>
  <c r="BJ170"/>
  <c r="BJ178"/>
  <c r="BJ186"/>
  <c r="BJ194"/>
  <c r="BJ202"/>
  <c r="BJ204"/>
  <c r="BJ9"/>
  <c r="BJ29"/>
  <c r="BJ105"/>
  <c r="BJ113"/>
  <c r="BJ121"/>
  <c r="BJ133"/>
  <c r="BJ149"/>
  <c r="BJ165"/>
  <c r="BJ181"/>
  <c r="BJ197"/>
  <c r="BJ16"/>
  <c r="BJ24"/>
  <c r="BJ32"/>
  <c r="BJ44"/>
  <c r="BJ164"/>
  <c r="BJ188"/>
  <c r="BJ196"/>
  <c r="GQ4" i="9"/>
  <c r="GQ5" s="1"/>
  <c r="L3" i="12" s="1"/>
  <c r="GN4" i="9"/>
  <c r="GN5" s="1"/>
  <c r="K3" i="12" s="1"/>
  <c r="K209" i="9"/>
  <c r="A5" i="6" s="1"/>
  <c r="IC217" i="9"/>
  <c r="W2" i="15"/>
  <c r="L3"/>
  <c r="T2"/>
  <c r="K3"/>
  <c r="B5"/>
  <c r="N6" i="6"/>
  <c r="N13"/>
  <c r="N5"/>
  <c r="B15" i="4"/>
  <c r="R15" s="1"/>
  <c r="B14"/>
  <c r="B4" i="11"/>
  <c r="F206" s="1"/>
  <c r="H206" s="1"/>
  <c r="B5" i="12"/>
  <c r="F207" s="1"/>
  <c r="HV39" i="9"/>
  <c r="I37" i="15" s="1"/>
  <c r="I37" i="12" l="1"/>
  <c r="M36" i="11"/>
  <c r="HT6" i="9"/>
  <c r="U6"/>
  <c r="BK196" i="12"/>
  <c r="BK181"/>
  <c r="BK121"/>
  <c r="BK186"/>
  <c r="BK142"/>
  <c r="BK187"/>
  <c r="BK176"/>
  <c r="BK132"/>
  <c r="BK100"/>
  <c r="BK84"/>
  <c r="BK68"/>
  <c r="BK52"/>
  <c r="BK157"/>
  <c r="BK162"/>
  <c r="BK78"/>
  <c r="BK195"/>
  <c r="BK155"/>
  <c r="BK172"/>
  <c r="BK104"/>
  <c r="BK161"/>
  <c r="BK97"/>
  <c r="BK198"/>
  <c r="BK166"/>
  <c r="BK118"/>
  <c r="BK90"/>
  <c r="BK66"/>
  <c r="BK50"/>
  <c r="BK183"/>
  <c r="BK135"/>
  <c r="BK136"/>
  <c r="BK117"/>
  <c r="BK89"/>
  <c r="BK65"/>
  <c r="BK49"/>
  <c r="BK114"/>
  <c r="BK119"/>
  <c r="BK95"/>
  <c r="BK79"/>
  <c r="BK63"/>
  <c r="BK39"/>
  <c r="BK44"/>
  <c r="BK197"/>
  <c r="BK133"/>
  <c r="BK194"/>
  <c r="BK150"/>
  <c r="BK107"/>
  <c r="BK180"/>
  <c r="BK140"/>
  <c r="BK108"/>
  <c r="BK88"/>
  <c r="BK72"/>
  <c r="BK56"/>
  <c r="BK36"/>
  <c r="BK169"/>
  <c r="BK110"/>
  <c r="BK203"/>
  <c r="BK163"/>
  <c r="BK131"/>
  <c r="BK184"/>
  <c r="BK112"/>
  <c r="BK185"/>
  <c r="BK129"/>
  <c r="BK174"/>
  <c r="BK138"/>
  <c r="BK94"/>
  <c r="BK74"/>
  <c r="BK54"/>
  <c r="BK38"/>
  <c r="BK199"/>
  <c r="BK143"/>
  <c r="BK47"/>
  <c r="BK152"/>
  <c r="BK145"/>
  <c r="BK93"/>
  <c r="BK69"/>
  <c r="BK53"/>
  <c r="BK37"/>
  <c r="BK130"/>
  <c r="BK151"/>
  <c r="BK99"/>
  <c r="BK83"/>
  <c r="BK67"/>
  <c r="BK43"/>
  <c r="BK164"/>
  <c r="BK149"/>
  <c r="BK105"/>
  <c r="BK202"/>
  <c r="BK170"/>
  <c r="BK122"/>
  <c r="BK115"/>
  <c r="BK192"/>
  <c r="BK148"/>
  <c r="BK116"/>
  <c r="BK92"/>
  <c r="BK76"/>
  <c r="BK60"/>
  <c r="BK40"/>
  <c r="BK177"/>
  <c r="BK125"/>
  <c r="BK126"/>
  <c r="BK171"/>
  <c r="BK139"/>
  <c r="BK144"/>
  <c r="BK193"/>
  <c r="BK141"/>
  <c r="BK73"/>
  <c r="BK182"/>
  <c r="BK154"/>
  <c r="BK98"/>
  <c r="BK82"/>
  <c r="BK58"/>
  <c r="BK42"/>
  <c r="BK167"/>
  <c r="BK59"/>
  <c r="BK160"/>
  <c r="BK120"/>
  <c r="BK173"/>
  <c r="BK101"/>
  <c r="BK81"/>
  <c r="BK57"/>
  <c r="BK41"/>
  <c r="BK159"/>
  <c r="BK103"/>
  <c r="BK87"/>
  <c r="BK71"/>
  <c r="BK51"/>
  <c r="BK188"/>
  <c r="BK165"/>
  <c r="BK113"/>
  <c r="BK204"/>
  <c r="BK178"/>
  <c r="BK134"/>
  <c r="BK123"/>
  <c r="BK200"/>
  <c r="BK156"/>
  <c r="BK124"/>
  <c r="BK96"/>
  <c r="BK80"/>
  <c r="BK64"/>
  <c r="BK48"/>
  <c r="BK201"/>
  <c r="BK137"/>
  <c r="BK146"/>
  <c r="BK70"/>
  <c r="BK179"/>
  <c r="BK147"/>
  <c r="BK168"/>
  <c r="BK153"/>
  <c r="BK77"/>
  <c r="BK190"/>
  <c r="BK158"/>
  <c r="BK102"/>
  <c r="BK86"/>
  <c r="BK62"/>
  <c r="BK46"/>
  <c r="BK175"/>
  <c r="BK127"/>
  <c r="BK128"/>
  <c r="BK189"/>
  <c r="BK109"/>
  <c r="BK85"/>
  <c r="BK61"/>
  <c r="BK45"/>
  <c r="BK106"/>
  <c r="BK191"/>
  <c r="BK111"/>
  <c r="BK91"/>
  <c r="BK75"/>
  <c r="BK55"/>
  <c r="E207" i="15"/>
  <c r="G207" s="1"/>
  <c r="R19" i="4"/>
  <c r="R14"/>
  <c r="CD26" i="9"/>
  <c r="HU26" s="1"/>
  <c r="J24" i="15" s="1"/>
  <c r="CD8" i="9"/>
  <c r="HU8" s="1"/>
  <c r="J6" i="15" s="1"/>
  <c r="CD25" i="9"/>
  <c r="HU25" s="1"/>
  <c r="J23" i="15" s="1"/>
  <c r="BL35" i="12"/>
  <c r="CD37" i="9"/>
  <c r="BK35" i="12" s="1"/>
  <c r="CD19" i="9"/>
  <c r="HU19" s="1"/>
  <c r="J17" i="15" s="1"/>
  <c r="CD27" i="9"/>
  <c r="HU27" s="1"/>
  <c r="J25" i="15" s="1"/>
  <c r="CD17" i="9"/>
  <c r="HU17" s="1"/>
  <c r="J15" i="15" s="1"/>
  <c r="CD16" i="9"/>
  <c r="HU16" s="1"/>
  <c r="J14" i="15" s="1"/>
  <c r="CD32" i="9"/>
  <c r="BK30" i="12" s="1"/>
  <c r="CD31" i="9"/>
  <c r="BK29" i="12" s="1"/>
  <c r="CD13" i="9"/>
  <c r="HU13" s="1"/>
  <c r="J11" i="15" s="1"/>
  <c r="CD22" i="9"/>
  <c r="HU22" s="1"/>
  <c r="J20" i="15" s="1"/>
  <c r="CD12" i="9"/>
  <c r="HU12" s="1"/>
  <c r="J10" i="15" s="1"/>
  <c r="CD24" i="9"/>
  <c r="HU24" s="1"/>
  <c r="J22" i="15" s="1"/>
  <c r="CD35" i="9"/>
  <c r="BK33" i="12" s="1"/>
  <c r="CD10" i="9"/>
  <c r="HU10" s="1"/>
  <c r="J8" i="15" s="1"/>
  <c r="CD30" i="9"/>
  <c r="BK28" i="12" s="1"/>
  <c r="CD9" i="9"/>
  <c r="HU9" s="1"/>
  <c r="J7" i="15" s="1"/>
  <c r="CD33" i="9"/>
  <c r="BK31" i="12" s="1"/>
  <c r="CD21" i="9"/>
  <c r="HU21" s="1"/>
  <c r="J19" i="15" s="1"/>
  <c r="CD36" i="9"/>
  <c r="BK34" i="12" s="1"/>
  <c r="CD11" i="9"/>
  <c r="HU11" s="1"/>
  <c r="J9" i="15" s="1"/>
  <c r="CD20" i="9"/>
  <c r="HU20" s="1"/>
  <c r="J18" i="15" s="1"/>
  <c r="CD34" i="9"/>
  <c r="BK32" i="12" s="1"/>
  <c r="CD23" i="9"/>
  <c r="HU23" s="1"/>
  <c r="J21" i="15" s="1"/>
  <c r="CD18" i="9"/>
  <c r="HU18" s="1"/>
  <c r="J16" i="15" s="1"/>
  <c r="CD15" i="9"/>
  <c r="HU15" s="1"/>
  <c r="J13" i="15" s="1"/>
  <c r="CD28" i="9"/>
  <c r="HU28" s="1"/>
  <c r="J26" i="15" s="1"/>
  <c r="CD14" i="9"/>
  <c r="HU14" s="1"/>
  <c r="J12" i="15" s="1"/>
  <c r="CD29" i="9"/>
  <c r="HV38"/>
  <c r="I36" i="15" s="1"/>
  <c r="I36" i="12" l="1"/>
  <c r="M35" i="11"/>
  <c r="HU31" i="9"/>
  <c r="J29" i="15" s="1"/>
  <c r="HU33" i="9"/>
  <c r="J31" i="15" s="1"/>
  <c r="HU29" i="9"/>
  <c r="J27" i="15" s="1"/>
  <c r="HU35" i="9"/>
  <c r="J33" i="15" s="1"/>
  <c r="HU37" i="9"/>
  <c r="J35" i="15" s="1"/>
  <c r="HU30" i="9"/>
  <c r="J28" i="15" s="1"/>
  <c r="HU36" i="9"/>
  <c r="J34" i="15" s="1"/>
  <c r="HU32" i="9"/>
  <c r="J30" i="15" s="1"/>
  <c r="HU34" i="9"/>
  <c r="J32" i="15" s="1"/>
  <c r="HO38" i="9"/>
  <c r="BL43" i="12"/>
  <c r="BL67"/>
  <c r="BL83"/>
  <c r="BL99"/>
  <c r="BL151"/>
  <c r="BL114"/>
  <c r="BL45"/>
  <c r="BL61"/>
  <c r="BL85"/>
  <c r="BL109"/>
  <c r="BL189"/>
  <c r="BL152"/>
  <c r="BL127"/>
  <c r="BL175"/>
  <c r="BL42"/>
  <c r="BL58"/>
  <c r="BL82"/>
  <c r="BL98"/>
  <c r="BL154"/>
  <c r="BL182"/>
  <c r="BL77"/>
  <c r="BL153"/>
  <c r="BL104"/>
  <c r="BL172"/>
  <c r="BL147"/>
  <c r="BL179"/>
  <c r="BL78"/>
  <c r="BL162"/>
  <c r="BL169"/>
  <c r="BL40"/>
  <c r="BL60"/>
  <c r="BL76"/>
  <c r="BL92"/>
  <c r="BL116"/>
  <c r="BL148"/>
  <c r="BL192"/>
  <c r="BL123"/>
  <c r="BL142"/>
  <c r="BL186"/>
  <c r="BL105"/>
  <c r="BL149"/>
  <c r="BL44"/>
  <c r="BL39"/>
  <c r="BL63"/>
  <c r="BL79"/>
  <c r="BL95"/>
  <c r="BL119"/>
  <c r="BL106"/>
  <c r="BL41"/>
  <c r="BL57"/>
  <c r="BL81"/>
  <c r="BL101"/>
  <c r="BL173"/>
  <c r="BL136"/>
  <c r="BL59"/>
  <c r="BL167"/>
  <c r="BL38"/>
  <c r="BL54"/>
  <c r="BL74"/>
  <c r="BL94"/>
  <c r="BL138"/>
  <c r="BL174"/>
  <c r="BL73"/>
  <c r="BL141"/>
  <c r="BL193"/>
  <c r="BL168"/>
  <c r="BL139"/>
  <c r="BL171"/>
  <c r="BL70"/>
  <c r="BL146"/>
  <c r="BL157"/>
  <c r="BL36"/>
  <c r="BL56"/>
  <c r="BL72"/>
  <c r="BL88"/>
  <c r="BL108"/>
  <c r="BL140"/>
  <c r="BL180"/>
  <c r="BL115"/>
  <c r="BL134"/>
  <c r="BL178"/>
  <c r="BL204"/>
  <c r="BL133"/>
  <c r="BL197"/>
  <c r="BL196"/>
  <c r="BL55"/>
  <c r="BL75"/>
  <c r="BL91"/>
  <c r="BL111"/>
  <c r="BL191"/>
  <c r="BL37"/>
  <c r="BL53"/>
  <c r="BL69"/>
  <c r="BL93"/>
  <c r="BL145"/>
  <c r="BL128"/>
  <c r="BL47"/>
  <c r="BL143"/>
  <c r="BL199"/>
  <c r="BL50"/>
  <c r="BL66"/>
  <c r="BL90"/>
  <c r="BL118"/>
  <c r="BL166"/>
  <c r="BL198"/>
  <c r="BL129"/>
  <c r="BL185"/>
  <c r="BL144"/>
  <c r="BL131"/>
  <c r="BL163"/>
  <c r="BL203"/>
  <c r="BL126"/>
  <c r="BL137"/>
  <c r="BL201"/>
  <c r="BL52"/>
  <c r="BL68"/>
  <c r="BL84"/>
  <c r="BL100"/>
  <c r="BL132"/>
  <c r="BL176"/>
  <c r="BL107"/>
  <c r="BL122"/>
  <c r="BL170"/>
  <c r="BL202"/>
  <c r="BL121"/>
  <c r="BL181"/>
  <c r="BL188"/>
  <c r="BL51"/>
  <c r="BL71"/>
  <c r="BL87"/>
  <c r="BL103"/>
  <c r="BL159"/>
  <c r="BL130"/>
  <c r="BL49"/>
  <c r="BL65"/>
  <c r="BL89"/>
  <c r="BL117"/>
  <c r="BL120"/>
  <c r="BL160"/>
  <c r="BL135"/>
  <c r="BL183"/>
  <c r="BL46"/>
  <c r="BL62"/>
  <c r="BL86"/>
  <c r="BL102"/>
  <c r="BL158"/>
  <c r="BL190"/>
  <c r="BL97"/>
  <c r="BL161"/>
  <c r="BL112"/>
  <c r="BL184"/>
  <c r="BL155"/>
  <c r="BL195"/>
  <c r="BL110"/>
  <c r="BL125"/>
  <c r="BL177"/>
  <c r="BL48"/>
  <c r="BL64"/>
  <c r="BL80"/>
  <c r="BL96"/>
  <c r="BL124"/>
  <c r="BL156"/>
  <c r="BL200"/>
  <c r="BL187"/>
  <c r="BL150"/>
  <c r="BL194"/>
  <c r="BL113"/>
  <c r="BL165"/>
  <c r="BL164"/>
  <c r="BK18"/>
  <c r="BK15"/>
  <c r="BK14"/>
  <c r="BK12"/>
  <c r="BK6"/>
  <c r="BK16"/>
  <c r="BK9"/>
  <c r="BK7"/>
  <c r="BK25"/>
  <c r="BK23"/>
  <c r="BK26"/>
  <c r="BK17"/>
  <c r="BK22"/>
  <c r="BK10"/>
  <c r="BK27"/>
  <c r="BK19"/>
  <c r="BK24"/>
  <c r="BK20"/>
  <c r="BK13"/>
  <c r="BK21"/>
  <c r="BK11"/>
  <c r="BK8"/>
  <c r="R16" i="4"/>
  <c r="DX7" i="9"/>
  <c r="DR7"/>
  <c r="BJ5" i="12"/>
  <c r="BL31"/>
  <c r="GT38" i="9"/>
  <c r="M36" i="15" s="1"/>
  <c r="S36" s="1"/>
  <c r="DQ7" i="9"/>
  <c r="V36" i="12" l="1"/>
  <c r="R36" i="15"/>
  <c r="O35" i="11"/>
  <c r="BP36"/>
  <c r="BT36"/>
  <c r="BX36"/>
  <c r="BO36"/>
  <c r="BS36"/>
  <c r="BW36"/>
  <c r="BN36"/>
  <c r="BR36"/>
  <c r="BV36"/>
  <c r="BY36"/>
  <c r="BU36"/>
  <c r="BQ36"/>
  <c r="BL34" i="12"/>
  <c r="BL30"/>
  <c r="BL32"/>
  <c r="BL33"/>
  <c r="BL29"/>
  <c r="BL26"/>
  <c r="BL14"/>
  <c r="BL16"/>
  <c r="BL17"/>
  <c r="BL19"/>
  <c r="BL28"/>
  <c r="BL11"/>
  <c r="BL23"/>
  <c r="BL7"/>
  <c r="BL22"/>
  <c r="BL10"/>
  <c r="BL20"/>
  <c r="BL21"/>
  <c r="BL18"/>
  <c r="BL12"/>
  <c r="BL13"/>
  <c r="BL24"/>
  <c r="BL27"/>
  <c r="BL25"/>
  <c r="BL15"/>
  <c r="HA38" i="9"/>
  <c r="R18" i="4"/>
  <c r="AR36" i="15"/>
  <c r="Q35" i="11" s="1"/>
  <c r="GZ38" i="9"/>
  <c r="DP7"/>
  <c r="D7"/>
  <c r="K7"/>
  <c r="L7"/>
  <c r="E7"/>
  <c r="F7"/>
  <c r="G7"/>
  <c r="H7"/>
  <c r="I7"/>
  <c r="H4" i="11" s="1"/>
  <c r="J7" i="9"/>
  <c r="I4" i="11" s="1"/>
  <c r="Y208" i="9"/>
  <c r="B6" i="6" s="1"/>
  <c r="K208" i="9"/>
  <c r="B5" i="6" s="1"/>
  <c r="GK7" i="9" l="1"/>
  <c r="GL7"/>
  <c r="BL6" i="12"/>
  <c r="BL9"/>
  <c r="BL8"/>
  <c r="N7" i="9"/>
  <c r="P7" s="1"/>
  <c r="R7" s="1"/>
  <c r="AP36" i="15"/>
  <c r="AO36"/>
  <c r="HH33" i="9"/>
  <c r="GQ23"/>
  <c r="L21" i="15" s="1"/>
  <c r="HB28" i="9"/>
  <c r="HH37"/>
  <c r="HK37"/>
  <c r="HE37"/>
  <c r="HB37"/>
  <c r="GN19"/>
  <c r="K17" i="15" s="1"/>
  <c r="GQ31" i="9"/>
  <c r="GN25"/>
  <c r="K23" i="15" s="1"/>
  <c r="GQ26" i="9"/>
  <c r="L24" i="15" s="1"/>
  <c r="GT24" i="9"/>
  <c r="GT29"/>
  <c r="M27" i="15" s="1"/>
  <c r="GN32" i="9"/>
  <c r="GT36"/>
  <c r="M34" i="15" s="1"/>
  <c r="GQ34" i="9"/>
  <c r="HS37"/>
  <c r="H35" i="15" s="1"/>
  <c r="GQ37" i="9"/>
  <c r="GN37"/>
  <c r="GT37"/>
  <c r="M35" i="15" s="1"/>
  <c r="R17" i="4"/>
  <c r="E5" i="15"/>
  <c r="F5"/>
  <c r="G5"/>
  <c r="GQ33" i="9"/>
  <c r="JO38"/>
  <c r="JN38"/>
  <c r="D5" i="15"/>
  <c r="C5"/>
  <c r="F5" i="12"/>
  <c r="G5"/>
  <c r="D4" i="11"/>
  <c r="D5" i="12"/>
  <c r="E4" i="11"/>
  <c r="E5" i="12"/>
  <c r="BM4" i="11"/>
  <c r="C4"/>
  <c r="C5" i="12"/>
  <c r="JD6" i="9"/>
  <c r="JK6" s="1"/>
  <c r="F4" i="11"/>
  <c r="G4"/>
  <c r="GU5" i="9"/>
  <c r="M4" i="12" s="1"/>
  <c r="GT5" i="9"/>
  <c r="K35" i="12" l="1"/>
  <c r="K35" i="15"/>
  <c r="L32" i="12"/>
  <c r="L32" i="15"/>
  <c r="M22"/>
  <c r="T35" i="12"/>
  <c r="P35" i="15"/>
  <c r="L31" i="12"/>
  <c r="L31" i="15"/>
  <c r="L29" i="12"/>
  <c r="L29" i="15"/>
  <c r="U35" i="12"/>
  <c r="Q35" i="15"/>
  <c r="T31" i="12"/>
  <c r="P31" i="15"/>
  <c r="L35" i="12"/>
  <c r="L35" i="15"/>
  <c r="K30" i="12"/>
  <c r="K30" i="15"/>
  <c r="S35" i="12"/>
  <c r="O35" i="15"/>
  <c r="R35" i="12"/>
  <c r="N35" i="15"/>
  <c r="R26" i="12"/>
  <c r="N26" i="15"/>
  <c r="K17" i="12"/>
  <c r="P193" i="19"/>
  <c r="HY37" i="9"/>
  <c r="H35" i="12"/>
  <c r="J34" i="11"/>
  <c r="K23" i="12"/>
  <c r="L21"/>
  <c r="L24"/>
  <c r="HV37" i="9"/>
  <c r="I35" i="15" s="1"/>
  <c r="HW37" i="9"/>
  <c r="D21" i="4"/>
  <c r="CD7" i="9"/>
  <c r="HU7" s="1"/>
  <c r="HH28"/>
  <c r="GN33"/>
  <c r="GT33"/>
  <c r="HK33"/>
  <c r="GQ35"/>
  <c r="HS33"/>
  <c r="H31" i="15" s="1"/>
  <c r="HK23" i="9"/>
  <c r="Q21" i="15" s="1"/>
  <c r="GN22" i="9"/>
  <c r="K20" i="15" s="1"/>
  <c r="GQ22" i="9"/>
  <c r="L20" i="15" s="1"/>
  <c r="GT22" i="9"/>
  <c r="GN26"/>
  <c r="K24" i="15" s="1"/>
  <c r="GQ25" i="9"/>
  <c r="L23" i="15" s="1"/>
  <c r="GQ28" i="9"/>
  <c r="HK28"/>
  <c r="HE28"/>
  <c r="GN28"/>
  <c r="GT19"/>
  <c r="GT28"/>
  <c r="GQ32"/>
  <c r="GQ19"/>
  <c r="L17" i="15" s="1"/>
  <c r="GT26" i="9"/>
  <c r="M24" i="15" s="1"/>
  <c r="GT30" i="9"/>
  <c r="GS23"/>
  <c r="GR23"/>
  <c r="GT35"/>
  <c r="M33" i="15" s="1"/>
  <c r="GN23" i="9"/>
  <c r="K21" i="15" s="1"/>
  <c r="HE23" i="9"/>
  <c r="O21" i="15" s="1"/>
  <c r="GT18" i="9"/>
  <c r="GT23"/>
  <c r="M21" i="15" s="1"/>
  <c r="HH23" i="9"/>
  <c r="P21" i="15" s="1"/>
  <c r="HB23" i="9"/>
  <c r="N21" i="15" s="1"/>
  <c r="GT25" i="9"/>
  <c r="M23" i="15" s="1"/>
  <c r="GT32" i="9"/>
  <c r="HS35"/>
  <c r="H33" i="15" s="1"/>
  <c r="GQ27" i="9"/>
  <c r="L25" i="15" s="1"/>
  <c r="GT27" i="9"/>
  <c r="GN18"/>
  <c r="K16" i="15" s="1"/>
  <c r="GN35" i="9"/>
  <c r="GN27"/>
  <c r="GQ18"/>
  <c r="L16" i="15" s="1"/>
  <c r="GT34" i="9"/>
  <c r="GQ24"/>
  <c r="L22" i="15" s="1"/>
  <c r="GT31" i="9"/>
  <c r="HE33"/>
  <c r="GN24"/>
  <c r="K22" i="15" s="1"/>
  <c r="GQ30" i="9"/>
  <c r="HB33"/>
  <c r="GN30"/>
  <c r="K28" i="15" s="1"/>
  <c r="HS34" i="9"/>
  <c r="H32" i="15" s="1"/>
  <c r="HB30" i="9"/>
  <c r="N28" i="15" s="1"/>
  <c r="HK30" i="9"/>
  <c r="GN31"/>
  <c r="BI43" i="12"/>
  <c r="BI67"/>
  <c r="BI83"/>
  <c r="BI99"/>
  <c r="BI151"/>
  <c r="BI114"/>
  <c r="BI45"/>
  <c r="BI61"/>
  <c r="BI85"/>
  <c r="BI109"/>
  <c r="BI189"/>
  <c r="BI152"/>
  <c r="BI127"/>
  <c r="BI175"/>
  <c r="BI42"/>
  <c r="BI58"/>
  <c r="BI82"/>
  <c r="BI98"/>
  <c r="BI154"/>
  <c r="BI182"/>
  <c r="BI77"/>
  <c r="BI153"/>
  <c r="BI104"/>
  <c r="BI172"/>
  <c r="BI147"/>
  <c r="BI179"/>
  <c r="BI78"/>
  <c r="BI162"/>
  <c r="BI169"/>
  <c r="BI40"/>
  <c r="BI60"/>
  <c r="BI76"/>
  <c r="BI92"/>
  <c r="BI116"/>
  <c r="BI148"/>
  <c r="BI192"/>
  <c r="BI123"/>
  <c r="BI142"/>
  <c r="BI186"/>
  <c r="BI105"/>
  <c r="BI149"/>
  <c r="BI44"/>
  <c r="BI39"/>
  <c r="BI63"/>
  <c r="BI79"/>
  <c r="BI95"/>
  <c r="BI119"/>
  <c r="BI106"/>
  <c r="BI41"/>
  <c r="BI57"/>
  <c r="BI81"/>
  <c r="BI101"/>
  <c r="BI173"/>
  <c r="BI136"/>
  <c r="BI59"/>
  <c r="BI167"/>
  <c r="BI38"/>
  <c r="BI54"/>
  <c r="BI74"/>
  <c r="BI94"/>
  <c r="BI138"/>
  <c r="BI174"/>
  <c r="BI73"/>
  <c r="BI141"/>
  <c r="BI193"/>
  <c r="BI168"/>
  <c r="BI139"/>
  <c r="BI171"/>
  <c r="BI70"/>
  <c r="BI146"/>
  <c r="BI157"/>
  <c r="BI36"/>
  <c r="BI56"/>
  <c r="BI72"/>
  <c r="BI88"/>
  <c r="BI108"/>
  <c r="BI140"/>
  <c r="BI180"/>
  <c r="BI115"/>
  <c r="BI134"/>
  <c r="BI178"/>
  <c r="BI204"/>
  <c r="BI133"/>
  <c r="BI197"/>
  <c r="BI196"/>
  <c r="BI55"/>
  <c r="BI75"/>
  <c r="BI91"/>
  <c r="BI111"/>
  <c r="BI191"/>
  <c r="BI37"/>
  <c r="BI53"/>
  <c r="BI69"/>
  <c r="BI93"/>
  <c r="BI145"/>
  <c r="BI128"/>
  <c r="BI47"/>
  <c r="BI143"/>
  <c r="BI199"/>
  <c r="BI50"/>
  <c r="BI66"/>
  <c r="BI90"/>
  <c r="BI118"/>
  <c r="BI166"/>
  <c r="BI198"/>
  <c r="BI129"/>
  <c r="BI185"/>
  <c r="BI144"/>
  <c r="BI131"/>
  <c r="BI163"/>
  <c r="BI203"/>
  <c r="BI126"/>
  <c r="BI137"/>
  <c r="BI201"/>
  <c r="BI52"/>
  <c r="BI68"/>
  <c r="BI84"/>
  <c r="BI100"/>
  <c r="BI132"/>
  <c r="BI176"/>
  <c r="BI107"/>
  <c r="BI122"/>
  <c r="BI170"/>
  <c r="BI202"/>
  <c r="BI121"/>
  <c r="BI181"/>
  <c r="BI188"/>
  <c r="BI51"/>
  <c r="BI71"/>
  <c r="BI87"/>
  <c r="BI103"/>
  <c r="BI159"/>
  <c r="BI130"/>
  <c r="BI49"/>
  <c r="BI65"/>
  <c r="BI89"/>
  <c r="BI117"/>
  <c r="BI120"/>
  <c r="BI160"/>
  <c r="BI135"/>
  <c r="BI183"/>
  <c r="BI46"/>
  <c r="BI62"/>
  <c r="BI86"/>
  <c r="BI102"/>
  <c r="BI158"/>
  <c r="BI190"/>
  <c r="BI97"/>
  <c r="BI161"/>
  <c r="BI112"/>
  <c r="BI184"/>
  <c r="BI155"/>
  <c r="BI195"/>
  <c r="BI110"/>
  <c r="BI125"/>
  <c r="BI177"/>
  <c r="BI48"/>
  <c r="BI64"/>
  <c r="BI80"/>
  <c r="BI96"/>
  <c r="BI124"/>
  <c r="BI156"/>
  <c r="BI200"/>
  <c r="BI187"/>
  <c r="BI150"/>
  <c r="BI194"/>
  <c r="BI113"/>
  <c r="BI165"/>
  <c r="BI164"/>
  <c r="BI35"/>
  <c r="BI29"/>
  <c r="BI15"/>
  <c r="BI7"/>
  <c r="BI16"/>
  <c r="BI23"/>
  <c r="BI20"/>
  <c r="BI26"/>
  <c r="BI34"/>
  <c r="BI22"/>
  <c r="BI33"/>
  <c r="BI27"/>
  <c r="BI9"/>
  <c r="BI30"/>
  <c r="BI24"/>
  <c r="BI11"/>
  <c r="BI13"/>
  <c r="BI10"/>
  <c r="BI6"/>
  <c r="BI14"/>
  <c r="BI28"/>
  <c r="BI12"/>
  <c r="BI19"/>
  <c r="BI18"/>
  <c r="BI25"/>
  <c r="BI17"/>
  <c r="BI32"/>
  <c r="BI8"/>
  <c r="BI21"/>
  <c r="BI31"/>
  <c r="AS36" i="15"/>
  <c r="GN36" i="9"/>
  <c r="HS36"/>
  <c r="H34" i="15" s="1"/>
  <c r="GN29" i="9"/>
  <c r="K27" i="15" s="1"/>
  <c r="GQ36" i="9"/>
  <c r="GQ29"/>
  <c r="JZ38"/>
  <c r="JX38"/>
  <c r="JW38"/>
  <c r="JV38"/>
  <c r="M3" i="12"/>
  <c r="IU6" i="9"/>
  <c r="JB6" s="1"/>
  <c r="JI6" s="1"/>
  <c r="HK22"/>
  <c r="Q20" i="15" s="1"/>
  <c r="HK35" i="9"/>
  <c r="HE35"/>
  <c r="O33" i="15" s="1"/>
  <c r="HH35" i="9"/>
  <c r="HH27"/>
  <c r="P25" i="15" s="1"/>
  <c r="HB27" i="9"/>
  <c r="HE27"/>
  <c r="O25" i="15" s="1"/>
  <c r="HH22" i="9"/>
  <c r="P20" i="15" s="1"/>
  <c r="HE22" i="9"/>
  <c r="O20" i="15" s="1"/>
  <c r="HB22" i="9"/>
  <c r="N20" i="15" s="1"/>
  <c r="HE18" i="9"/>
  <c r="O16" i="15" s="1"/>
  <c r="HB35" i="9"/>
  <c r="N33" i="15" s="1"/>
  <c r="HE30" i="9"/>
  <c r="HH30"/>
  <c r="P28" i="15" s="1"/>
  <c r="GW29" i="9"/>
  <c r="O27" i="12" s="1"/>
  <c r="GZ29" i="9"/>
  <c r="HK27"/>
  <c r="HB18"/>
  <c r="N16" i="15" s="1"/>
  <c r="HH18" i="9"/>
  <c r="P16" i="15" s="1"/>
  <c r="HK18" i="9"/>
  <c r="Q16" i="15" s="1"/>
  <c r="GS34" i="9"/>
  <c r="HJ37"/>
  <c r="HG28"/>
  <c r="HG33"/>
  <c r="HG37"/>
  <c r="HJ23"/>
  <c r="HD28"/>
  <c r="HD33"/>
  <c r="HD37"/>
  <c r="HJ28"/>
  <c r="HJ33"/>
  <c r="HA22"/>
  <c r="GY22"/>
  <c r="Q20" i="12" s="1"/>
  <c r="HA35" i="9"/>
  <c r="GV35"/>
  <c r="N33" i="12" s="1"/>
  <c r="HA37" i="9"/>
  <c r="GU37"/>
  <c r="HA19"/>
  <c r="GV19"/>
  <c r="N17" i="12" s="1"/>
  <c r="HA18" i="9"/>
  <c r="GU18"/>
  <c r="M16" i="12" s="1"/>
  <c r="HA24" i="9"/>
  <c r="GV24"/>
  <c r="N22" i="12" s="1"/>
  <c r="HA36" i="9"/>
  <c r="GU36"/>
  <c r="M34" i="12" s="1"/>
  <c r="GM7" i="9"/>
  <c r="GN17"/>
  <c r="K15" i="15" s="1"/>
  <c r="HH9" i="9"/>
  <c r="P7" i="15" s="1"/>
  <c r="HK9" i="9"/>
  <c r="Q7" i="15" s="1"/>
  <c r="HE9" i="9"/>
  <c r="O7" i="15" s="1"/>
  <c r="HB9" i="9"/>
  <c r="N7" i="15" s="1"/>
  <c r="GT17" i="9"/>
  <c r="M15" i="15" s="1"/>
  <c r="HH17" i="9"/>
  <c r="P15" i="15" s="1"/>
  <c r="HK17" i="9"/>
  <c r="Q15" i="15" s="1"/>
  <c r="HE17" i="9"/>
  <c r="O15" i="15" s="1"/>
  <c r="HB17" i="9"/>
  <c r="N15" i="15" s="1"/>
  <c r="GN13" i="9"/>
  <c r="K11" i="15" s="1"/>
  <c r="HH13" i="9"/>
  <c r="P11" i="15" s="1"/>
  <c r="HK13" i="9"/>
  <c r="Q11" i="15" s="1"/>
  <c r="HE13" i="9"/>
  <c r="O11" i="15" s="1"/>
  <c r="HB13" i="9"/>
  <c r="N11" i="15" s="1"/>
  <c r="HA32" i="9"/>
  <c r="HH32"/>
  <c r="P30" i="15" s="1"/>
  <c r="HK32" i="9"/>
  <c r="HE32"/>
  <c r="O30" i="15" s="1"/>
  <c r="HB32" i="9"/>
  <c r="N30" i="15" s="1"/>
  <c r="HH25" i="9"/>
  <c r="P23" i="15" s="1"/>
  <c r="HK25" i="9"/>
  <c r="Q23" i="15" s="1"/>
  <c r="HE25" i="9"/>
  <c r="O23" i="15" s="1"/>
  <c r="HB25" i="9"/>
  <c r="N23" i="15" s="1"/>
  <c r="HH20" i="9"/>
  <c r="P18" i="15" s="1"/>
  <c r="HK20" i="9"/>
  <c r="Q18" i="15" s="1"/>
  <c r="HE20" i="9"/>
  <c r="O18" i="15" s="1"/>
  <c r="HB20" i="9"/>
  <c r="N18" i="15" s="1"/>
  <c r="GT15" i="9"/>
  <c r="M13" i="15" s="1"/>
  <c r="HK15" i="9"/>
  <c r="Q13" i="15" s="1"/>
  <c r="HE15" i="9"/>
  <c r="O13" i="15" s="1"/>
  <c r="HH15" i="9"/>
  <c r="P13" i="15" s="1"/>
  <c r="HB15" i="9"/>
  <c r="N13" i="15" s="1"/>
  <c r="GT14" i="9"/>
  <c r="M12" i="15" s="1"/>
  <c r="HH14" i="9"/>
  <c r="P12" i="15" s="1"/>
  <c r="HK14" i="9"/>
  <c r="Q12" i="15" s="1"/>
  <c r="HE14" i="9"/>
  <c r="O12" i="15" s="1"/>
  <c r="HB14" i="9"/>
  <c r="N12" i="15" s="1"/>
  <c r="HH36" i="9"/>
  <c r="P34" i="15" s="1"/>
  <c r="HK36" i="9"/>
  <c r="HE36"/>
  <c r="O34" i="15" s="1"/>
  <c r="HB36" i="9"/>
  <c r="N34" i="15" s="1"/>
  <c r="HH26" i="9"/>
  <c r="P24" i="15" s="1"/>
  <c r="HK26" i="9"/>
  <c r="Q24" i="15" s="1"/>
  <c r="HE26" i="9"/>
  <c r="O24" i="15" s="1"/>
  <c r="HB26" i="9"/>
  <c r="N24" i="15" s="1"/>
  <c r="HL23" i="9"/>
  <c r="HL28"/>
  <c r="HM28"/>
  <c r="HM33"/>
  <c r="HL33"/>
  <c r="HH16"/>
  <c r="P14" i="15" s="1"/>
  <c r="HK16" i="9"/>
  <c r="Q14" i="15" s="1"/>
  <c r="HE16" i="9"/>
  <c r="O14" i="15" s="1"/>
  <c r="HB16" i="9"/>
  <c r="N14" i="15" s="1"/>
  <c r="HH12" i="9"/>
  <c r="P10" i="15" s="1"/>
  <c r="HK12" i="9"/>
  <c r="Q10" i="15" s="1"/>
  <c r="HE12" i="9"/>
  <c r="O10" i="15" s="1"/>
  <c r="HB12" i="9"/>
  <c r="N10" i="15" s="1"/>
  <c r="HH21" i="9"/>
  <c r="P19" i="15" s="1"/>
  <c r="HK21" i="9"/>
  <c r="Q19" i="15" s="1"/>
  <c r="HE21" i="9"/>
  <c r="O19" i="15" s="1"/>
  <c r="HB21" i="9"/>
  <c r="N19" i="15" s="1"/>
  <c r="GN34" i="9"/>
  <c r="HH34"/>
  <c r="HK34"/>
  <c r="HE34"/>
  <c r="O32" i="15" s="1"/>
  <c r="HB34" i="9"/>
  <c r="N32" i="15" s="1"/>
  <c r="HH24" i="9"/>
  <c r="P22" i="15" s="1"/>
  <c r="HK24" i="9"/>
  <c r="Q22" i="15" s="1"/>
  <c r="HE24" i="9"/>
  <c r="O22" i="15" s="1"/>
  <c r="HB24" i="9"/>
  <c r="N22" i="15" s="1"/>
  <c r="HK19" i="9"/>
  <c r="Q17" i="15" s="1"/>
  <c r="HE19" i="9"/>
  <c r="O17" i="15" s="1"/>
  <c r="HH19" i="9"/>
  <c r="P17" i="15" s="1"/>
  <c r="HB19" i="9"/>
  <c r="N17" i="15" s="1"/>
  <c r="HM37" i="9"/>
  <c r="HL37"/>
  <c r="HA30"/>
  <c r="HA29"/>
  <c r="HA23"/>
  <c r="HH29"/>
  <c r="HK29"/>
  <c r="HE29"/>
  <c r="HB29"/>
  <c r="HK31"/>
  <c r="HE31"/>
  <c r="HH31"/>
  <c r="P29" i="15" s="1"/>
  <c r="HB31" i="9"/>
  <c r="N29" i="15" s="1"/>
  <c r="HS18" i="9"/>
  <c r="H16" i="15" s="1"/>
  <c r="HI37" i="9"/>
  <c r="GZ37"/>
  <c r="HF37"/>
  <c r="GS37"/>
  <c r="GR37"/>
  <c r="HC37"/>
  <c r="GO37"/>
  <c r="GP37"/>
  <c r="GR31"/>
  <c r="GS31"/>
  <c r="GN14"/>
  <c r="K12" i="15" s="1"/>
  <c r="HS27" i="9"/>
  <c r="H25" i="15" s="1"/>
  <c r="GR34" i="9"/>
  <c r="GP18"/>
  <c r="GO18"/>
  <c r="GT13"/>
  <c r="M11" i="15" s="1"/>
  <c r="GP31" i="9"/>
  <c r="HS31"/>
  <c r="H29" i="15" s="1"/>
  <c r="HS29" i="9"/>
  <c r="H27" i="15" s="1"/>
  <c r="HS30" i="9"/>
  <c r="H28" i="15" s="1"/>
  <c r="HS32" i="9"/>
  <c r="H30" i="15" s="1"/>
  <c r="GN21" i="9"/>
  <c r="K19" i="15" s="1"/>
  <c r="GN15" i="9"/>
  <c r="K13" i="15" s="1"/>
  <c r="GO36" i="9"/>
  <c r="GP36"/>
  <c r="GZ36"/>
  <c r="GR35"/>
  <c r="GS35"/>
  <c r="GZ35"/>
  <c r="GP35"/>
  <c r="HC33"/>
  <c r="HI33"/>
  <c r="HF33"/>
  <c r="GR33"/>
  <c r="GS33"/>
  <c r="GO33"/>
  <c r="GR32"/>
  <c r="GZ32"/>
  <c r="GP32"/>
  <c r="GO32"/>
  <c r="GO31"/>
  <c r="GP30"/>
  <c r="HC28"/>
  <c r="HI28"/>
  <c r="GO26"/>
  <c r="GP26"/>
  <c r="GS26"/>
  <c r="GR26"/>
  <c r="GP25"/>
  <c r="GO25"/>
  <c r="GR25"/>
  <c r="GS25"/>
  <c r="GO24"/>
  <c r="GP24"/>
  <c r="GS24"/>
  <c r="GR24"/>
  <c r="GZ24"/>
  <c r="GP22"/>
  <c r="GO22"/>
  <c r="GZ22"/>
  <c r="GQ21"/>
  <c r="L19" i="15" s="1"/>
  <c r="JY38" i="9"/>
  <c r="KA38" s="1"/>
  <c r="JU38"/>
  <c r="JQ38"/>
  <c r="JS38"/>
  <c r="JR38"/>
  <c r="JT38"/>
  <c r="GO19"/>
  <c r="GZ18"/>
  <c r="GT12"/>
  <c r="GQ17"/>
  <c r="L15" i="15" s="1"/>
  <c r="GZ19" i="9"/>
  <c r="GP19"/>
  <c r="GT21"/>
  <c r="GN12"/>
  <c r="K10" i="15" s="1"/>
  <c r="GN9" i="9"/>
  <c r="K7" i="15" s="1"/>
  <c r="GU9" i="9"/>
  <c r="M7" i="12" s="1"/>
  <c r="GT20" i="9"/>
  <c r="M18" i="15" s="1"/>
  <c r="GN20" i="9"/>
  <c r="K18" i="15" s="1"/>
  <c r="GT16" i="9"/>
  <c r="M14" i="15" s="1"/>
  <c r="GN16" i="9"/>
  <c r="K14" i="15" s="1"/>
  <c r="GQ16" i="9"/>
  <c r="L14" i="15" s="1"/>
  <c r="GQ20" i="9"/>
  <c r="L18" i="15" s="1"/>
  <c r="GQ15" i="9"/>
  <c r="L13" i="15" s="1"/>
  <c r="GQ14" i="9"/>
  <c r="L12" i="15" s="1"/>
  <c r="GQ13" i="9"/>
  <c r="L11" i="15" s="1"/>
  <c r="GQ12" i="9"/>
  <c r="L10" i="15" s="1"/>
  <c r="GQ9" i="9"/>
  <c r="L7" i="15" s="1"/>
  <c r="S7" s="1"/>
  <c r="S4" i="11"/>
  <c r="JC6" i="9"/>
  <c r="JJ6" s="1"/>
  <c r="HU6"/>
  <c r="S21" i="15" l="1"/>
  <c r="S24"/>
  <c r="P225" i="19"/>
  <c r="M19" i="15"/>
  <c r="AF75" i="19"/>
  <c r="M10" i="15"/>
  <c r="S10" s="1"/>
  <c r="S27" i="12"/>
  <c r="O27" i="15"/>
  <c r="K32" i="12"/>
  <c r="K32" i="15"/>
  <c r="U34" i="12"/>
  <c r="Q34" i="15"/>
  <c r="R25" i="12"/>
  <c r="N25" i="15"/>
  <c r="U33" i="12"/>
  <c r="Q33" i="15"/>
  <c r="L27" i="12"/>
  <c r="L27" i="15"/>
  <c r="K34" i="12"/>
  <c r="K34" i="15"/>
  <c r="GU34" i="9"/>
  <c r="M32" i="12" s="1"/>
  <c r="M32" i="15"/>
  <c r="GX32" i="9"/>
  <c r="P30" i="12" s="1"/>
  <c r="M30" i="15"/>
  <c r="GV28" i="9"/>
  <c r="N26" i="12" s="1"/>
  <c r="M26" i="15"/>
  <c r="U26" i="12"/>
  <c r="Q26" i="15"/>
  <c r="AF225" i="19"/>
  <c r="M20" i="15"/>
  <c r="S20" s="1"/>
  <c r="K31" i="12"/>
  <c r="K31" i="15"/>
  <c r="S18"/>
  <c r="P254" i="19"/>
  <c r="AF255"/>
  <c r="R27" i="12"/>
  <c r="N27" i="15"/>
  <c r="T32" i="12"/>
  <c r="P32" i="15"/>
  <c r="L28" i="12"/>
  <c r="L28" i="15"/>
  <c r="K33" i="12"/>
  <c r="K33" i="15"/>
  <c r="GU30" i="9"/>
  <c r="M28" i="12" s="1"/>
  <c r="M28" i="15"/>
  <c r="S26" i="12"/>
  <c r="O26" i="15"/>
  <c r="GY33" i="9"/>
  <c r="Q31" i="12" s="1"/>
  <c r="M31" i="15"/>
  <c r="S13"/>
  <c r="S15"/>
  <c r="S22"/>
  <c r="S35"/>
  <c r="U29" i="12"/>
  <c r="Q29" i="15"/>
  <c r="T27" i="12"/>
  <c r="P27" i="15"/>
  <c r="U32" i="12"/>
  <c r="Q32" i="15"/>
  <c r="U30" i="12"/>
  <c r="Q30" i="15"/>
  <c r="T33" i="12"/>
  <c r="P33" i="15"/>
  <c r="U28" i="12"/>
  <c r="Q28" i="15"/>
  <c r="R31" i="12"/>
  <c r="N31" i="15"/>
  <c r="HA31" i="9"/>
  <c r="M29" i="15"/>
  <c r="K25" i="12"/>
  <c r="K25" i="15"/>
  <c r="L30" i="12"/>
  <c r="L30" i="15"/>
  <c r="S30" s="1"/>
  <c r="K26" i="12"/>
  <c r="K26" i="15"/>
  <c r="U31" i="12"/>
  <c r="Q31" i="15"/>
  <c r="S14"/>
  <c r="R7"/>
  <c r="S12"/>
  <c r="S23"/>
  <c r="AF284" i="19"/>
  <c r="P283"/>
  <c r="S29" i="12"/>
  <c r="O29" i="15"/>
  <c r="U27" i="12"/>
  <c r="Q27" i="15"/>
  <c r="U25" i="12"/>
  <c r="Q25" i="15"/>
  <c r="S25" s="1"/>
  <c r="S28" i="12"/>
  <c r="O28" i="15"/>
  <c r="L34" i="12"/>
  <c r="L34" i="15"/>
  <c r="S34" s="1"/>
  <c r="K29" i="12"/>
  <c r="K29" i="15"/>
  <c r="S31" i="12"/>
  <c r="O31" i="15"/>
  <c r="HA27" i="9"/>
  <c r="M25" i="15"/>
  <c r="AF165" i="19"/>
  <c r="M16" i="15"/>
  <c r="S16" s="1"/>
  <c r="P195" i="19"/>
  <c r="M17" i="15"/>
  <c r="S17" s="1"/>
  <c r="L26" i="12"/>
  <c r="L26" i="15"/>
  <c r="L33" i="12"/>
  <c r="L33" i="15"/>
  <c r="S33" s="1"/>
  <c r="T26" i="12"/>
  <c r="P26" i="15"/>
  <c r="S19"/>
  <c r="S11"/>
  <c r="S32"/>
  <c r="DL7" i="9"/>
  <c r="L10" i="12"/>
  <c r="AF74" i="19"/>
  <c r="L18" i="12"/>
  <c r="AF194" i="19"/>
  <c r="K18" i="12"/>
  <c r="AF193" i="19"/>
  <c r="K10" i="12"/>
  <c r="AF73" i="19"/>
  <c r="L15" i="12"/>
  <c r="P164" i="19"/>
  <c r="HY30" i="9"/>
  <c r="H28" i="12"/>
  <c r="J27" i="11"/>
  <c r="Q16" i="18"/>
  <c r="P105" i="19"/>
  <c r="K12" i="12"/>
  <c r="AF103" i="19"/>
  <c r="T29" i="12"/>
  <c r="R17"/>
  <c r="P196" i="19"/>
  <c r="HC24" i="9"/>
  <c r="R22" i="12"/>
  <c r="AF256" i="19"/>
  <c r="HC34" i="9"/>
  <c r="R32" i="12"/>
  <c r="T19"/>
  <c r="P228" i="19"/>
  <c r="T10" i="12"/>
  <c r="AF78" i="19"/>
  <c r="T14" i="12"/>
  <c r="AF138" i="19"/>
  <c r="U24" i="12"/>
  <c r="AF290" i="19"/>
  <c r="U12" i="12"/>
  <c r="AF110" i="19"/>
  <c r="HI15" i="9"/>
  <c r="T13" i="12"/>
  <c r="P138" i="19"/>
  <c r="R18" i="12"/>
  <c r="AF196" i="19"/>
  <c r="HC25" i="9"/>
  <c r="R23" i="12"/>
  <c r="P286" i="19"/>
  <c r="R30" i="12"/>
  <c r="Q19" i="18"/>
  <c r="T11" i="12"/>
  <c r="P108" i="19"/>
  <c r="U15" i="12"/>
  <c r="P170" i="19"/>
  <c r="S7" i="12"/>
  <c r="P47" i="19"/>
  <c r="HI18" i="9"/>
  <c r="T16" i="12"/>
  <c r="AF168" i="19"/>
  <c r="HD35" i="9"/>
  <c r="R33" i="12"/>
  <c r="T20"/>
  <c r="AF228" i="19"/>
  <c r="GP29" i="9"/>
  <c r="K27" i="12"/>
  <c r="L16"/>
  <c r="AF164" i="19"/>
  <c r="GV25" i="9"/>
  <c r="N23" i="12" s="1"/>
  <c r="P285" i="19"/>
  <c r="GX26" i="9"/>
  <c r="P24" i="12" s="1"/>
  <c r="AF285" i="19"/>
  <c r="HY33" i="9"/>
  <c r="H31" i="12"/>
  <c r="J30" i="11"/>
  <c r="J35" i="12"/>
  <c r="L34" i="11"/>
  <c r="L14" i="12"/>
  <c r="AF134" i="19"/>
  <c r="L13" i="12"/>
  <c r="P134" i="19"/>
  <c r="GU16" i="9"/>
  <c r="M14" i="12" s="1"/>
  <c r="AF135" i="19"/>
  <c r="K7" i="12"/>
  <c r="P43" i="19"/>
  <c r="L19" i="12"/>
  <c r="P224" i="19"/>
  <c r="HY32" i="9"/>
  <c r="H30" i="12"/>
  <c r="J29" i="11"/>
  <c r="HY27" i="9"/>
  <c r="H25" i="12"/>
  <c r="J24" i="11"/>
  <c r="HC31" i="9"/>
  <c r="R29" i="12"/>
  <c r="U17"/>
  <c r="P200" i="19"/>
  <c r="HI24" i="9"/>
  <c r="T22" i="12"/>
  <c r="AF258" i="19"/>
  <c r="U19" i="12"/>
  <c r="P230" i="19"/>
  <c r="U10" i="12"/>
  <c r="AF80" i="19"/>
  <c r="U14" i="12"/>
  <c r="AF140" i="19"/>
  <c r="HF26" i="9"/>
  <c r="S24" i="12"/>
  <c r="AF287" i="19"/>
  <c r="S34" i="12"/>
  <c r="S12"/>
  <c r="AF107" i="19"/>
  <c r="R13" i="12"/>
  <c r="P136" i="19"/>
  <c r="GV15" i="9"/>
  <c r="N13" i="12" s="1"/>
  <c r="P135" i="19"/>
  <c r="T18" i="12"/>
  <c r="AF198" i="19"/>
  <c r="HI25" i="9"/>
  <c r="T23" i="12"/>
  <c r="P288" i="19"/>
  <c r="HI32" i="9"/>
  <c r="T30" i="12"/>
  <c r="U11"/>
  <c r="P110" i="19"/>
  <c r="S15" i="12"/>
  <c r="P167" i="19"/>
  <c r="R7" i="12"/>
  <c r="P46" i="19"/>
  <c r="GO17" i="9"/>
  <c r="K15" i="12"/>
  <c r="P163" i="19"/>
  <c r="U16" i="12"/>
  <c r="AF170" i="19"/>
  <c r="S20" i="12"/>
  <c r="AF227" i="19"/>
  <c r="HJ27" i="9"/>
  <c r="T25" i="12"/>
  <c r="U20"/>
  <c r="AF230" i="19"/>
  <c r="GO30" i="9"/>
  <c r="K28" i="12"/>
  <c r="K16"/>
  <c r="AF163" i="19"/>
  <c r="GY23" i="9"/>
  <c r="Q21" i="12" s="1"/>
  <c r="P255" i="19"/>
  <c r="K24" i="12"/>
  <c r="AF283" i="19"/>
  <c r="HM23" i="9"/>
  <c r="U21" i="12"/>
  <c r="P260" i="19"/>
  <c r="Q15" i="18"/>
  <c r="R15" s="1"/>
  <c r="L11" i="12"/>
  <c r="P104" i="19"/>
  <c r="L7" i="12"/>
  <c r="P44" i="19"/>
  <c r="L12" i="12"/>
  <c r="AF104" i="19"/>
  <c r="K14" i="12"/>
  <c r="AF133" i="19"/>
  <c r="K19" i="12"/>
  <c r="P223" i="19"/>
  <c r="HY31" i="9"/>
  <c r="H29" i="12"/>
  <c r="J28" i="11"/>
  <c r="HY18" i="9"/>
  <c r="H16" i="12"/>
  <c r="J15" i="11"/>
  <c r="R177" i="19"/>
  <c r="S17" i="12"/>
  <c r="P197" i="19"/>
  <c r="U22" i="12"/>
  <c r="AF260" i="19"/>
  <c r="S19" i="12"/>
  <c r="P227" i="19"/>
  <c r="S10" i="12"/>
  <c r="AF77" i="19"/>
  <c r="S14" i="12"/>
  <c r="AF137" i="19"/>
  <c r="R24" i="12"/>
  <c r="AF286" i="19"/>
  <c r="HC36" i="9"/>
  <c r="R34" i="12"/>
  <c r="R12"/>
  <c r="AF106" i="19"/>
  <c r="GW14" i="9"/>
  <c r="O12" i="12" s="1"/>
  <c r="AF105" i="19"/>
  <c r="U13" i="12"/>
  <c r="P140" i="19"/>
  <c r="U18" i="12"/>
  <c r="AF200" i="19"/>
  <c r="U23" i="12"/>
  <c r="P290" i="19"/>
  <c r="Q18" i="18"/>
  <c r="S11" i="12"/>
  <c r="P107" i="19"/>
  <c r="R15" i="12"/>
  <c r="P166" i="19"/>
  <c r="P165"/>
  <c r="T7" i="12"/>
  <c r="P48" i="19"/>
  <c r="HI30" i="9"/>
  <c r="T28" i="12"/>
  <c r="HD22" i="9"/>
  <c r="R20" i="12"/>
  <c r="AF226" i="19"/>
  <c r="HY34" i="9"/>
  <c r="H32" i="12"/>
  <c r="J31" i="11"/>
  <c r="K22" i="12"/>
  <c r="AF253" i="19"/>
  <c r="L22" i="12"/>
  <c r="AF254" i="19"/>
  <c r="HY35" i="9"/>
  <c r="H33" i="12"/>
  <c r="J32" i="11"/>
  <c r="T21" i="12"/>
  <c r="P258" i="19"/>
  <c r="GP23" i="9"/>
  <c r="K21" i="12"/>
  <c r="P253" i="19"/>
  <c r="L23" i="12"/>
  <c r="P284" i="19"/>
  <c r="K20" i="12"/>
  <c r="AF223" i="19"/>
  <c r="GX20" i="9"/>
  <c r="P18" i="12" s="1"/>
  <c r="AF195" i="19"/>
  <c r="K13" i="12"/>
  <c r="P133" i="19"/>
  <c r="HY29" i="9"/>
  <c r="H27" i="12"/>
  <c r="J26" i="11"/>
  <c r="T17" i="12"/>
  <c r="P198" i="19"/>
  <c r="HF24" i="9"/>
  <c r="S22" i="12"/>
  <c r="AF257" i="19"/>
  <c r="HF34" i="9"/>
  <c r="S32" i="12"/>
  <c r="R19"/>
  <c r="P226" i="19"/>
  <c r="R10" i="12"/>
  <c r="AF76" i="19"/>
  <c r="R14" i="12"/>
  <c r="AF136" i="19"/>
  <c r="HI26" i="9"/>
  <c r="T24" i="12"/>
  <c r="AF288" i="19"/>
  <c r="T34" i="12"/>
  <c r="T12"/>
  <c r="AF108" i="19"/>
  <c r="S13" i="12"/>
  <c r="P137" i="19"/>
  <c r="S18" i="12"/>
  <c r="AF197" i="19"/>
  <c r="HF25" i="9"/>
  <c r="S23" i="12"/>
  <c r="P287" i="19"/>
  <c r="HF32" i="9"/>
  <c r="S30" i="12"/>
  <c r="Q17" i="18"/>
  <c r="R11" i="12"/>
  <c r="P106" i="19"/>
  <c r="Q14" i="18"/>
  <c r="R14" s="1"/>
  <c r="V14" s="1"/>
  <c r="K11" i="12"/>
  <c r="P103" i="19"/>
  <c r="T15" i="12"/>
  <c r="P168" i="19"/>
  <c r="U7" i="12"/>
  <c r="P50" i="19"/>
  <c r="HO37" i="9"/>
  <c r="M35" i="12"/>
  <c r="HD18" i="9"/>
  <c r="R16" i="12"/>
  <c r="AF166" i="19"/>
  <c r="S16" i="12"/>
  <c r="AF167" i="19"/>
  <c r="HG27" i="9"/>
  <c r="S25" i="12"/>
  <c r="HG35" i="9"/>
  <c r="S33" i="12"/>
  <c r="H34"/>
  <c r="J33" i="11"/>
  <c r="HD30" i="9"/>
  <c r="R28" i="12"/>
  <c r="GS27" i="9"/>
  <c r="L25" i="12"/>
  <c r="HC23" i="9"/>
  <c r="R21" i="12"/>
  <c r="P256" i="19"/>
  <c r="S21" i="12"/>
  <c r="P257" i="19"/>
  <c r="GS19" i="9"/>
  <c r="L17" i="12"/>
  <c r="P194" i="19"/>
  <c r="L20" i="12"/>
  <c r="AF224" i="19"/>
  <c r="I35" i="12"/>
  <c r="M34" i="11"/>
  <c r="HY36" i="9"/>
  <c r="BT212"/>
  <c r="G11" i="6" s="1"/>
  <c r="BS217" i="9"/>
  <c r="L11" i="6" s="1"/>
  <c r="BS216" i="9"/>
  <c r="BS215"/>
  <c r="K11" i="6" s="1"/>
  <c r="BS214" i="9"/>
  <c r="J11" i="6" s="1"/>
  <c r="BS210" i="9"/>
  <c r="C11" i="6" s="1"/>
  <c r="BS218" i="9"/>
  <c r="M11" i="6" s="1"/>
  <c r="BS212" i="9"/>
  <c r="F11" i="6" s="1"/>
  <c r="BV212" i="9"/>
  <c r="I11" i="6" s="1"/>
  <c r="IA38" i="9"/>
  <c r="R35" i="11" s="1"/>
  <c r="HZ38" i="9"/>
  <c r="AR35" i="15"/>
  <c r="Q34" i="11" s="1"/>
  <c r="HW31" i="9"/>
  <c r="HV31"/>
  <c r="I29" i="15" s="1"/>
  <c r="HW18" i="9"/>
  <c r="HV18"/>
  <c r="I16" i="15" s="1"/>
  <c r="HW29" i="9"/>
  <c r="HV29"/>
  <c r="I27" i="15" s="1"/>
  <c r="HW33" i="9"/>
  <c r="HV33"/>
  <c r="I31" i="15" s="1"/>
  <c r="HW30" i="9"/>
  <c r="HV30"/>
  <c r="I28" i="15" s="1"/>
  <c r="HV36" i="9"/>
  <c r="I34" i="15" s="1"/>
  <c r="HW36" i="9"/>
  <c r="HV35"/>
  <c r="I33" i="15" s="1"/>
  <c r="HW35" i="9"/>
  <c r="HW32"/>
  <c r="HV32"/>
  <c r="I30" i="15" s="1"/>
  <c r="HW27" i="9"/>
  <c r="HV27"/>
  <c r="I25" i="15" s="1"/>
  <c r="HW34" i="9"/>
  <c r="HV34"/>
  <c r="I32" i="15" s="1"/>
  <c r="D19" i="18"/>
  <c r="GO28" i="9"/>
  <c r="HA26"/>
  <c r="HG23"/>
  <c r="HO28"/>
  <c r="GZ25"/>
  <c r="GZ26"/>
  <c r="GP28"/>
  <c r="GS30"/>
  <c r="GZ31"/>
  <c r="HL22"/>
  <c r="HP28"/>
  <c r="GZ33"/>
  <c r="HA33"/>
  <c r="HP33"/>
  <c r="GZ23"/>
  <c r="HN33"/>
  <c r="R16" i="18"/>
  <c r="T16" s="1"/>
  <c r="GS22" i="9"/>
  <c r="GZ28"/>
  <c r="GR28"/>
  <c r="HF28"/>
  <c r="GS32"/>
  <c r="GP33"/>
  <c r="GZ27"/>
  <c r="HA28"/>
  <c r="HR23"/>
  <c r="HR33"/>
  <c r="HR28"/>
  <c r="HO33"/>
  <c r="GR22"/>
  <c r="GS28"/>
  <c r="GZ30"/>
  <c r="HQ33"/>
  <c r="HQ28"/>
  <c r="GR30"/>
  <c r="HF35"/>
  <c r="HM22"/>
  <c r="HN28"/>
  <c r="HM27"/>
  <c r="HI22"/>
  <c r="HQ23"/>
  <c r="GZ34"/>
  <c r="HM30"/>
  <c r="HN23"/>
  <c r="HA25"/>
  <c r="HD23"/>
  <c r="GO23"/>
  <c r="GR18"/>
  <c r="GR19"/>
  <c r="GS18"/>
  <c r="HA34"/>
  <c r="HL30"/>
  <c r="HP23"/>
  <c r="HO23"/>
  <c r="HI23"/>
  <c r="HF23"/>
  <c r="HJ30"/>
  <c r="HC30"/>
  <c r="HC32"/>
  <c r="GO35"/>
  <c r="GO29"/>
  <c r="GW31"/>
  <c r="O29" i="12" s="1"/>
  <c r="GO27" i="9"/>
  <c r="GP27"/>
  <c r="GR27"/>
  <c r="GV27"/>
  <c r="N25" i="12" s="1"/>
  <c r="HG22" i="9"/>
  <c r="HF18"/>
  <c r="HF22"/>
  <c r="HI35"/>
  <c r="HJ35"/>
  <c r="HF36"/>
  <c r="GZ17"/>
  <c r="HF19"/>
  <c r="HI36"/>
  <c r="HM35"/>
  <c r="HO35"/>
  <c r="HJ22"/>
  <c r="GS36"/>
  <c r="HC18"/>
  <c r="HM18"/>
  <c r="HL35"/>
  <c r="HD27"/>
  <c r="GR36"/>
  <c r="HO18"/>
  <c r="HO25"/>
  <c r="HO24"/>
  <c r="HO30"/>
  <c r="HO20"/>
  <c r="HO15"/>
  <c r="HO29"/>
  <c r="HO19"/>
  <c r="HO9"/>
  <c r="L57" i="19" s="1"/>
  <c r="AP35" i="15"/>
  <c r="AO35"/>
  <c r="HO14" i="9"/>
  <c r="HO36"/>
  <c r="HO32"/>
  <c r="HO26"/>
  <c r="HO16"/>
  <c r="AO31" i="15"/>
  <c r="HO34" i="9"/>
  <c r="HO22"/>
  <c r="HI31"/>
  <c r="HG18"/>
  <c r="GR29"/>
  <c r="GS29"/>
  <c r="HC26"/>
  <c r="HL18"/>
  <c r="HR30"/>
  <c r="HC19"/>
  <c r="HC35"/>
  <c r="HI19"/>
  <c r="HL27"/>
  <c r="HN22"/>
  <c r="GP17"/>
  <c r="HC22"/>
  <c r="HJ18"/>
  <c r="HP30"/>
  <c r="HG30"/>
  <c r="HQ30"/>
  <c r="HN30"/>
  <c r="HF30"/>
  <c r="HI27"/>
  <c r="HC27"/>
  <c r="HF27"/>
  <c r="HP22"/>
  <c r="HR22"/>
  <c r="HQ22"/>
  <c r="HJ31"/>
  <c r="HJ24"/>
  <c r="HD14"/>
  <c r="HG13"/>
  <c r="HD17"/>
  <c r="HJ9"/>
  <c r="HR35"/>
  <c r="HD31"/>
  <c r="HN29"/>
  <c r="HG21"/>
  <c r="HG12"/>
  <c r="HG16"/>
  <c r="HG26"/>
  <c r="HG36"/>
  <c r="HJ14"/>
  <c r="HG15"/>
  <c r="HG20"/>
  <c r="HG25"/>
  <c r="HG32"/>
  <c r="HD13"/>
  <c r="HJ17"/>
  <c r="HG24"/>
  <c r="HG34"/>
  <c r="HD21"/>
  <c r="HD12"/>
  <c r="HD16"/>
  <c r="HD26"/>
  <c r="HD36"/>
  <c r="HJ15"/>
  <c r="HD20"/>
  <c r="HD25"/>
  <c r="HD32"/>
  <c r="HJ13"/>
  <c r="HG9"/>
  <c r="HP18"/>
  <c r="HD24"/>
  <c r="HD34"/>
  <c r="HJ21"/>
  <c r="HJ12"/>
  <c r="HJ16"/>
  <c r="HJ26"/>
  <c r="HJ36"/>
  <c r="HG14"/>
  <c r="HD15"/>
  <c r="HJ20"/>
  <c r="HJ25"/>
  <c r="HJ32"/>
  <c r="HG17"/>
  <c r="HD9"/>
  <c r="HR19"/>
  <c r="G207" i="19" s="1"/>
  <c r="HA17" i="9"/>
  <c r="GU17"/>
  <c r="M15" i="12" s="1"/>
  <c r="HP26" i="9"/>
  <c r="HP25"/>
  <c r="HR25"/>
  <c r="HQ36"/>
  <c r="HP32"/>
  <c r="HR32"/>
  <c r="HP24"/>
  <c r="HR24"/>
  <c r="HQ19"/>
  <c r="HP37"/>
  <c r="HR37"/>
  <c r="HQ35"/>
  <c r="HR18"/>
  <c r="W177" i="19" s="1"/>
  <c r="HA12" i="9"/>
  <c r="GV12"/>
  <c r="N10" i="12" s="1"/>
  <c r="HA13" i="9"/>
  <c r="GW13"/>
  <c r="O11" i="12" s="1"/>
  <c r="HN14" i="9"/>
  <c r="HP14"/>
  <c r="HR14"/>
  <c r="W117" i="19" s="1"/>
  <c r="HQ14" i="9"/>
  <c r="HP29"/>
  <c r="HR29"/>
  <c r="HR26"/>
  <c r="W297" i="19" s="1"/>
  <c r="HQ25" i="9"/>
  <c r="HN36"/>
  <c r="HQ32"/>
  <c r="HQ24"/>
  <c r="HN19"/>
  <c r="HQ37"/>
  <c r="HN35"/>
  <c r="HQ18"/>
  <c r="HN18"/>
  <c r="HR16"/>
  <c r="W147" i="19" s="1"/>
  <c r="HQ16" i="9"/>
  <c r="HN16"/>
  <c r="HP16"/>
  <c r="HQ29"/>
  <c r="HQ26"/>
  <c r="HN26"/>
  <c r="HN25"/>
  <c r="HN32"/>
  <c r="HN24"/>
  <c r="HN37"/>
  <c r="HR20"/>
  <c r="W207" i="19" s="1"/>
  <c r="HQ20" i="9"/>
  <c r="HN20"/>
  <c r="HP20"/>
  <c r="HQ9"/>
  <c r="HN9"/>
  <c r="HP9"/>
  <c r="HR9"/>
  <c r="G57" i="19" s="1"/>
  <c r="HA21" i="9"/>
  <c r="GX21"/>
  <c r="HR15"/>
  <c r="G147" i="19" s="1"/>
  <c r="HQ15" i="9"/>
  <c r="HN15"/>
  <c r="HP15"/>
  <c r="HN34"/>
  <c r="HP34"/>
  <c r="HR34"/>
  <c r="HQ34"/>
  <c r="HP36"/>
  <c r="HR36"/>
  <c r="HR31"/>
  <c r="HP19"/>
  <c r="HP35"/>
  <c r="HD29"/>
  <c r="HC29"/>
  <c r="HG19"/>
  <c r="HL24"/>
  <c r="HM24"/>
  <c r="HM34"/>
  <c r="HL34"/>
  <c r="HA15"/>
  <c r="HK11"/>
  <c r="Q9" i="15" s="1"/>
  <c r="HE11" i="9"/>
  <c r="O9" i="15" s="1"/>
  <c r="HH11" i="9"/>
  <c r="P9" i="15" s="1"/>
  <c r="HB11" i="9"/>
  <c r="N9" i="15" s="1"/>
  <c r="HA9" i="9"/>
  <c r="HH10"/>
  <c r="P8" i="15" s="1"/>
  <c r="HK10" i="9"/>
  <c r="Q8" i="15" s="1"/>
  <c r="HE10" i="9"/>
  <c r="O8" i="15" s="1"/>
  <c r="HB10" i="9"/>
  <c r="N8" i="15" s="1"/>
  <c r="HM31" i="9"/>
  <c r="HL31"/>
  <c r="HJ29"/>
  <c r="HI29"/>
  <c r="HJ19"/>
  <c r="HA14"/>
  <c r="HM15"/>
  <c r="HL15"/>
  <c r="HL20"/>
  <c r="HM20"/>
  <c r="HM25"/>
  <c r="HL25"/>
  <c r="HL32"/>
  <c r="HM32"/>
  <c r="HM9"/>
  <c r="HL9"/>
  <c r="HA16"/>
  <c r="HH8"/>
  <c r="P6" i="15" s="1"/>
  <c r="HK8" i="9"/>
  <c r="Q6" i="15" s="1"/>
  <c r="HE8" i="9"/>
  <c r="O6" i="15" s="1"/>
  <c r="HB8" i="9"/>
  <c r="N6" i="15" s="1"/>
  <c r="HG31" i="9"/>
  <c r="HF31"/>
  <c r="HM29"/>
  <c r="HL29"/>
  <c r="HD19"/>
  <c r="GO34"/>
  <c r="AR32" i="15"/>
  <c r="Q31" i="11" s="1"/>
  <c r="GP34" i="9"/>
  <c r="HM17"/>
  <c r="HL17"/>
  <c r="HA20"/>
  <c r="HG29"/>
  <c r="HF29"/>
  <c r="HM19"/>
  <c r="HL19"/>
  <c r="HJ34"/>
  <c r="HI34"/>
  <c r="HM21"/>
  <c r="HL21"/>
  <c r="HL12"/>
  <c r="HM12"/>
  <c r="HL16"/>
  <c r="HM16"/>
  <c r="HM26"/>
  <c r="HL26"/>
  <c r="HL36"/>
  <c r="HM36"/>
  <c r="HM14"/>
  <c r="HL14"/>
  <c r="HM13"/>
  <c r="HL13"/>
  <c r="BI5" i="12"/>
  <c r="HI17" i="9"/>
  <c r="JO37"/>
  <c r="GO15"/>
  <c r="JN37"/>
  <c r="GP15"/>
  <c r="GP21"/>
  <c r="GO21"/>
  <c r="HS28"/>
  <c r="H26" i="15" s="1"/>
  <c r="HS22" i="9"/>
  <c r="H20" i="15" s="1"/>
  <c r="HS25" i="9"/>
  <c r="H23" i="15" s="1"/>
  <c r="HS26" i="9"/>
  <c r="H24" i="15" s="1"/>
  <c r="HS24" i="9"/>
  <c r="H22" i="15" s="1"/>
  <c r="HS19" i="9"/>
  <c r="H17" i="15" s="1"/>
  <c r="HS23" i="9"/>
  <c r="H21" i="15" s="1"/>
  <c r="GQ10" i="9"/>
  <c r="L8" i="15" s="1"/>
  <c r="HC21" i="9"/>
  <c r="GN10"/>
  <c r="K8" i="15" s="1"/>
  <c r="HF17" i="9"/>
  <c r="HI21"/>
  <c r="HF21"/>
  <c r="GS17"/>
  <c r="GT10"/>
  <c r="M8" i="15" s="1"/>
  <c r="JO33" i="9"/>
  <c r="JN33"/>
  <c r="JN28"/>
  <c r="JO28"/>
  <c r="GS21"/>
  <c r="GR21"/>
  <c r="GQ8"/>
  <c r="L6" i="15" s="1"/>
  <c r="GR17" i="9"/>
  <c r="HC17"/>
  <c r="GZ21"/>
  <c r="GQ11"/>
  <c r="L9" i="15" s="1"/>
  <c r="GT11" i="9"/>
  <c r="M9" i="15" s="1"/>
  <c r="GN11" i="9"/>
  <c r="K9" i="15" s="1"/>
  <c r="GS15" i="9"/>
  <c r="GT8"/>
  <c r="Q16" i="4" s="1"/>
  <c r="GN8" i="9"/>
  <c r="K6" i="15" s="1"/>
  <c r="HI16" i="9"/>
  <c r="GS16"/>
  <c r="GR16"/>
  <c r="GZ16"/>
  <c r="HC16"/>
  <c r="HF16"/>
  <c r="GO16"/>
  <c r="GP16"/>
  <c r="HI13"/>
  <c r="AA13" i="15"/>
  <c r="GZ15" i="9"/>
  <c r="GO20"/>
  <c r="GP20"/>
  <c r="GR20"/>
  <c r="GS20"/>
  <c r="GZ20"/>
  <c r="DM7"/>
  <c r="GP13"/>
  <c r="HC13"/>
  <c r="HI20"/>
  <c r="GR15"/>
  <c r="HF20"/>
  <c r="HC20"/>
  <c r="HC15"/>
  <c r="GS13"/>
  <c r="GR13"/>
  <c r="GO13"/>
  <c r="HF15"/>
  <c r="GZ14"/>
  <c r="GP14"/>
  <c r="GO14"/>
  <c r="HI14"/>
  <c r="HF14"/>
  <c r="GR14"/>
  <c r="GS14"/>
  <c r="HC14"/>
  <c r="GZ13"/>
  <c r="HF13"/>
  <c r="HC12"/>
  <c r="HF12"/>
  <c r="GR12"/>
  <c r="GS12"/>
  <c r="HI12"/>
  <c r="GZ12"/>
  <c r="GP12"/>
  <c r="GO12"/>
  <c r="HI9"/>
  <c r="GO9"/>
  <c r="GP9"/>
  <c r="GR9"/>
  <c r="GS9"/>
  <c r="GZ9"/>
  <c r="HC9"/>
  <c r="HF9"/>
  <c r="Q14" i="4" l="1"/>
  <c r="Q18"/>
  <c r="Q21"/>
  <c r="Q17"/>
  <c r="Q15"/>
  <c r="Q19"/>
  <c r="IB38" i="9"/>
  <c r="S29" i="15"/>
  <c r="W267" i="19"/>
  <c r="S9" i="15"/>
  <c r="S31"/>
  <c r="AF15" i="19"/>
  <c r="M6" i="15"/>
  <c r="S8"/>
  <c r="G297" i="19"/>
  <c r="S26" i="15"/>
  <c r="S6"/>
  <c r="R30"/>
  <c r="G267" i="19"/>
  <c r="S28" i="15"/>
  <c r="S27"/>
  <c r="L147" i="19"/>
  <c r="R13" i="15"/>
  <c r="L297" i="19"/>
  <c r="R23" i="15"/>
  <c r="L267" i="19"/>
  <c r="R21" i="15"/>
  <c r="R32"/>
  <c r="R20"/>
  <c r="AB297" i="19"/>
  <c r="R24" i="15"/>
  <c r="AB267" i="19"/>
  <c r="R22" i="15"/>
  <c r="R27"/>
  <c r="R26"/>
  <c r="AB147" i="19"/>
  <c r="R14" i="15"/>
  <c r="AB117" i="19"/>
  <c r="R12" i="15"/>
  <c r="L207" i="19"/>
  <c r="R17" i="15"/>
  <c r="R28"/>
  <c r="AB207" i="19"/>
  <c r="R18" i="15"/>
  <c r="AB177" i="19"/>
  <c r="R16" i="15"/>
  <c r="O34" i="11"/>
  <c r="R35" i="15"/>
  <c r="R34"/>
  <c r="R33"/>
  <c r="R31"/>
  <c r="AD11"/>
  <c r="JC13" i="9" s="1"/>
  <c r="AO26" i="15"/>
  <c r="HR27" i="9"/>
  <c r="AP31" i="15"/>
  <c r="AP26"/>
  <c r="AO30"/>
  <c r="HY24" i="9"/>
  <c r="H22" i="12"/>
  <c r="J21" i="11"/>
  <c r="O21" s="1"/>
  <c r="R267" i="19"/>
  <c r="R9" i="12"/>
  <c r="P76" i="19"/>
  <c r="I25" i="12"/>
  <c r="M24" i="11"/>
  <c r="J33" i="12"/>
  <c r="L32" i="11"/>
  <c r="I28" i="12"/>
  <c r="M27" i="11"/>
  <c r="I27" i="12"/>
  <c r="M26" i="11"/>
  <c r="I29" i="12"/>
  <c r="M28" i="11"/>
  <c r="HY28" i="9"/>
  <c r="H26" i="12"/>
  <c r="J25" i="11"/>
  <c r="O25" s="1"/>
  <c r="R6" i="12"/>
  <c r="AF16" i="19"/>
  <c r="S8" i="12"/>
  <c r="AF47" i="19"/>
  <c r="BH214" i="9"/>
  <c r="J10" i="6" s="1"/>
  <c r="P19" i="12"/>
  <c r="L9"/>
  <c r="P74" i="19"/>
  <c r="L6" i="12"/>
  <c r="AF14" i="19"/>
  <c r="GU10" i="9"/>
  <c r="M8" i="12" s="1"/>
  <c r="AF45" i="19"/>
  <c r="L8" i="12"/>
  <c r="AF44" i="19"/>
  <c r="HY19" i="9"/>
  <c r="H17" i="12"/>
  <c r="J16" i="11"/>
  <c r="B207" i="19"/>
  <c r="HY22" i="9"/>
  <c r="H20" i="12"/>
  <c r="J19" i="11"/>
  <c r="T6" i="12"/>
  <c r="AF18" i="19"/>
  <c r="HC10" i="9"/>
  <c r="R8" i="12"/>
  <c r="AF46" i="19"/>
  <c r="U9" i="12"/>
  <c r="P80" i="19"/>
  <c r="J32" i="12"/>
  <c r="L31" i="11"/>
  <c r="J30" i="12"/>
  <c r="L29" i="11"/>
  <c r="I34" i="12"/>
  <c r="M33" i="11"/>
  <c r="J31" i="12"/>
  <c r="L30" i="11"/>
  <c r="J16" i="12"/>
  <c r="L15" i="11"/>
  <c r="AA175" i="19"/>
  <c r="K6" i="12"/>
  <c r="AF13" i="19"/>
  <c r="GV11" i="9"/>
  <c r="N9" i="12" s="1"/>
  <c r="N207" s="1"/>
  <c r="P75" i="19"/>
  <c r="HY23" i="9"/>
  <c r="H21" i="12"/>
  <c r="J20" i="11"/>
  <c r="B267" i="19"/>
  <c r="HY25" i="9"/>
  <c r="H23" i="12"/>
  <c r="J22" i="11"/>
  <c r="B297" i="19"/>
  <c r="U6" i="12"/>
  <c r="AF20" i="19"/>
  <c r="T8" i="12"/>
  <c r="AF48" i="19"/>
  <c r="S9" i="12"/>
  <c r="P77" i="19"/>
  <c r="I32" i="12"/>
  <c r="M31" i="11"/>
  <c r="I30" i="12"/>
  <c r="M29" i="11"/>
  <c r="J34" i="12"/>
  <c r="L33" i="11"/>
  <c r="I31" i="12"/>
  <c r="M30" i="11"/>
  <c r="I16" i="12"/>
  <c r="M15" i="11"/>
  <c r="AF174" i="19"/>
  <c r="V7" i="12"/>
  <c r="K9"/>
  <c r="P73" i="19"/>
  <c r="K8" i="12"/>
  <c r="AF43" i="19"/>
  <c r="HY26" i="9"/>
  <c r="H24" i="12"/>
  <c r="J23" i="11"/>
  <c r="O23" s="1"/>
  <c r="R297" i="19"/>
  <c r="S6" i="12"/>
  <c r="AF17" i="19"/>
  <c r="U8" i="12"/>
  <c r="AF50" i="19"/>
  <c r="T9" i="12"/>
  <c r="P78" i="19"/>
  <c r="J25" i="12"/>
  <c r="L24" i="11"/>
  <c r="I33" i="12"/>
  <c r="M32" i="11"/>
  <c r="J28" i="12"/>
  <c r="L27" i="11"/>
  <c r="J27" i="12"/>
  <c r="L26" i="11"/>
  <c r="J29" i="12"/>
  <c r="L28" i="11"/>
  <c r="T15" i="18"/>
  <c r="V21" i="12"/>
  <c r="T14" i="18"/>
  <c r="V35" i="12"/>
  <c r="V32"/>
  <c r="V34"/>
  <c r="V18"/>
  <c r="V33"/>
  <c r="V31"/>
  <c r="V20"/>
  <c r="V30"/>
  <c r="V13"/>
  <c r="V23"/>
  <c r="V24"/>
  <c r="V27"/>
  <c r="V22"/>
  <c r="V14"/>
  <c r="V12"/>
  <c r="V17"/>
  <c r="V28"/>
  <c r="V16"/>
  <c r="V26"/>
  <c r="O29" i="11"/>
  <c r="O26"/>
  <c r="O15"/>
  <c r="O32"/>
  <c r="O31"/>
  <c r="O16"/>
  <c r="O27"/>
  <c r="O20"/>
  <c r="O19"/>
  <c r="O33"/>
  <c r="O22"/>
  <c r="O30"/>
  <c r="AD8" i="15"/>
  <c r="JC10" i="9" s="1"/>
  <c r="BH216"/>
  <c r="BH212"/>
  <c r="F10" i="6" s="1"/>
  <c r="BH217" i="9"/>
  <c r="L10" i="6" s="1"/>
  <c r="BH210" i="9"/>
  <c r="C10" i="6" s="1"/>
  <c r="BH215" i="9"/>
  <c r="K10" i="6" s="1"/>
  <c r="BI212" i="9"/>
  <c r="G10" i="6" s="1"/>
  <c r="HO13" i="9"/>
  <c r="BC214"/>
  <c r="J9" i="6" s="1"/>
  <c r="BC210" i="9"/>
  <c r="C9" i="6" s="1"/>
  <c r="BC218" i="9"/>
  <c r="M9" i="6" s="1"/>
  <c r="BE212" i="9"/>
  <c r="H9" i="6" s="1"/>
  <c r="BC212" i="9"/>
  <c r="F9" i="6" s="1"/>
  <c r="BC217" i="9"/>
  <c r="L9" i="6" s="1"/>
  <c r="BF212" i="9"/>
  <c r="I9" i="6" s="1"/>
  <c r="BC215" i="9"/>
  <c r="K9" i="6" s="1"/>
  <c r="BD212" i="9"/>
  <c r="G9" i="6" s="1"/>
  <c r="BC216" i="9"/>
  <c r="BP212"/>
  <c r="H10" i="6" s="1"/>
  <c r="BH218" i="9"/>
  <c r="M10" i="6" s="1"/>
  <c r="AU212" i="9"/>
  <c r="I8" i="6" s="1"/>
  <c r="AT212" i="9"/>
  <c r="H8" i="6" s="1"/>
  <c r="AR214" i="9"/>
  <c r="J8" i="6" s="1"/>
  <c r="AR217" i="9"/>
  <c r="L8" i="6" s="1"/>
  <c r="AS212" i="9"/>
  <c r="G8" i="6" s="1"/>
  <c r="AR210" i="9"/>
  <c r="C8" i="6" s="1"/>
  <c r="AR215" i="9"/>
  <c r="K8" i="6" s="1"/>
  <c r="AR218" i="9"/>
  <c r="M8" i="6" s="1"/>
  <c r="AR212" i="9"/>
  <c r="F8" i="6" s="1"/>
  <c r="AR216" i="9"/>
  <c r="BQ212"/>
  <c r="I10" i="6" s="1"/>
  <c r="AR31" i="15"/>
  <c r="Q30" i="11" s="1"/>
  <c r="AR16" i="15"/>
  <c r="Q15" i="11" s="1"/>
  <c r="AR22" i="15"/>
  <c r="Q21" i="11" s="1"/>
  <c r="AR23" i="15"/>
  <c r="Q22" i="11" s="1"/>
  <c r="AR33" i="15"/>
  <c r="Q32" i="11" s="1"/>
  <c r="AR29" i="15"/>
  <c r="Q28" i="11" s="1"/>
  <c r="AR20" i="15"/>
  <c r="Q19" i="11" s="1"/>
  <c r="AR34" i="15"/>
  <c r="Q33" i="11" s="1"/>
  <c r="AR30" i="15"/>
  <c r="Q29" i="11" s="1"/>
  <c r="AR21" i="15"/>
  <c r="Q20" i="11" s="1"/>
  <c r="AR24" i="15"/>
  <c r="Q23" i="11" s="1"/>
  <c r="AR17" i="15"/>
  <c r="Q16" i="11" s="1"/>
  <c r="AR7" i="15"/>
  <c r="Q6" i="11" s="1"/>
  <c r="AR10" i="15"/>
  <c r="Q9" i="11" s="1"/>
  <c r="AR13" i="15"/>
  <c r="Q12" i="11" s="1"/>
  <c r="AR25" i="15"/>
  <c r="Q24" i="11" s="1"/>
  <c r="AR27" i="15"/>
  <c r="Q26" i="11" s="1"/>
  <c r="AR28" i="15"/>
  <c r="Q27" i="11" s="1"/>
  <c r="AR14" i="15"/>
  <c r="Q13" i="11" s="1"/>
  <c r="AR12" i="15"/>
  <c r="Q11" i="11" s="1"/>
  <c r="AR18" i="15"/>
  <c r="Q17" i="11" s="1"/>
  <c r="AR19" i="15"/>
  <c r="Q18" i="11" s="1"/>
  <c r="AR15" i="15"/>
  <c r="Q14" i="11" s="1"/>
  <c r="AR26" i="15"/>
  <c r="Q25" i="11" s="1"/>
  <c r="HW19" i="9"/>
  <c r="HV19"/>
  <c r="I17" i="15" s="1"/>
  <c r="HW22" i="9"/>
  <c r="HV22"/>
  <c r="I20" i="15" s="1"/>
  <c r="HW23" i="9"/>
  <c r="HV23"/>
  <c r="I21" i="15" s="1"/>
  <c r="HW25" i="9"/>
  <c r="HV25"/>
  <c r="I23" i="15" s="1"/>
  <c r="HW26" i="9"/>
  <c r="HV26"/>
  <c r="I24" i="15" s="1"/>
  <c r="HW24" i="9"/>
  <c r="HV24"/>
  <c r="I22" i="15" s="1"/>
  <c r="HW28" i="9"/>
  <c r="HV28"/>
  <c r="I26" i="15" s="1"/>
  <c r="U14" i="18"/>
  <c r="V16"/>
  <c r="U16"/>
  <c r="HO27" i="9"/>
  <c r="R17" i="18"/>
  <c r="U17" s="1"/>
  <c r="R19"/>
  <c r="HN27" i="9"/>
  <c r="R18" i="18"/>
  <c r="U18" s="1"/>
  <c r="Q21"/>
  <c r="R21" s="1"/>
  <c r="U21" s="1"/>
  <c r="JO23" i="9"/>
  <c r="U15" i="18"/>
  <c r="V15"/>
  <c r="AO33" i="15"/>
  <c r="JO22" i="9"/>
  <c r="HN31"/>
  <c r="AP21" i="15"/>
  <c r="AP28"/>
  <c r="AP20"/>
  <c r="BK5" i="12"/>
  <c r="JN30" i="9"/>
  <c r="JW30" s="1"/>
  <c r="HQ31"/>
  <c r="JO18"/>
  <c r="HP31"/>
  <c r="HO31"/>
  <c r="AO21" i="15"/>
  <c r="HQ27" i="9"/>
  <c r="JN22"/>
  <c r="JZ22" s="1"/>
  <c r="AO22" i="15"/>
  <c r="AP33"/>
  <c r="JN35" i="9"/>
  <c r="JZ35" s="1"/>
  <c r="HP27"/>
  <c r="JO30"/>
  <c r="JO27"/>
  <c r="JN36"/>
  <c r="JX36" s="1"/>
  <c r="JO35"/>
  <c r="JN24"/>
  <c r="JV24" s="1"/>
  <c r="JN19"/>
  <c r="JZ19" s="1"/>
  <c r="AS31" i="15"/>
  <c r="AO34"/>
  <c r="AS33"/>
  <c r="AP7"/>
  <c r="AO7"/>
  <c r="AP10"/>
  <c r="AO10"/>
  <c r="AP11"/>
  <c r="AO11"/>
  <c r="AP18"/>
  <c r="AO18"/>
  <c r="AP13"/>
  <c r="AO13"/>
  <c r="AO24"/>
  <c r="AP24"/>
  <c r="AP27"/>
  <c r="AO29"/>
  <c r="AP29"/>
  <c r="HO11" i="9"/>
  <c r="AP25" i="15"/>
  <c r="AO25"/>
  <c r="AP15"/>
  <c r="AO15"/>
  <c r="AO16"/>
  <c r="AP16"/>
  <c r="AO23"/>
  <c r="AO17"/>
  <c r="AP17"/>
  <c r="HO17" i="9"/>
  <c r="AP19" i="15"/>
  <c r="AO19"/>
  <c r="AP34"/>
  <c r="AP22"/>
  <c r="AP30"/>
  <c r="AP23"/>
  <c r="HO21" i="9"/>
  <c r="AB237" i="19" s="1"/>
  <c r="AP14" i="15"/>
  <c r="AO14"/>
  <c r="AP12"/>
  <c r="AO12"/>
  <c r="AP32"/>
  <c r="AO32"/>
  <c r="AO20"/>
  <c r="HO12" i="9"/>
  <c r="AO27" i="15"/>
  <c r="AO28"/>
  <c r="JN26" i="9"/>
  <c r="JW26" s="1"/>
  <c r="JN32"/>
  <c r="JX32" s="1"/>
  <c r="JO29"/>
  <c r="JN31"/>
  <c r="JW31" s="1"/>
  <c r="JO31"/>
  <c r="JO32"/>
  <c r="JO26"/>
  <c r="JO25"/>
  <c r="JO24"/>
  <c r="GP10"/>
  <c r="JO36"/>
  <c r="JW35"/>
  <c r="JZ24"/>
  <c r="JZ37"/>
  <c r="JX37"/>
  <c r="JW37"/>
  <c r="JV37"/>
  <c r="JZ28"/>
  <c r="JX28"/>
  <c r="JW28"/>
  <c r="JV28"/>
  <c r="JZ33"/>
  <c r="JX33"/>
  <c r="JW33"/>
  <c r="JV33"/>
  <c r="JO19"/>
  <c r="J5" i="15"/>
  <c r="HR17" i="9"/>
  <c r="G177" i="19" s="1"/>
  <c r="HP17" i="9"/>
  <c r="HR12"/>
  <c r="W87" i="19" s="1"/>
  <c r="HP12" i="9"/>
  <c r="HN12"/>
  <c r="HQ12"/>
  <c r="HN17"/>
  <c r="HQ17"/>
  <c r="HR13"/>
  <c r="G117" i="19" s="1"/>
  <c r="HG11" i="9"/>
  <c r="HG8"/>
  <c r="HJ11"/>
  <c r="Q209" i="12"/>
  <c r="Q210"/>
  <c r="Q207"/>
  <c r="Q208"/>
  <c r="Q215"/>
  <c r="Q216"/>
  <c r="Q213"/>
  <c r="Q214"/>
  <c r="HD8" i="9"/>
  <c r="HD11"/>
  <c r="HN13"/>
  <c r="AS26" i="15"/>
  <c r="HJ8" i="9"/>
  <c r="HN21"/>
  <c r="P209" i="12"/>
  <c r="HJ10" i="9"/>
  <c r="HG10"/>
  <c r="HD10"/>
  <c r="AS35" i="15"/>
  <c r="JN29" i="9"/>
  <c r="HQ13"/>
  <c r="HP13"/>
  <c r="HQ21"/>
  <c r="HA8"/>
  <c r="GU8"/>
  <c r="GP11"/>
  <c r="HR11"/>
  <c r="G87" i="19" s="1"/>
  <c r="HQ11" i="9"/>
  <c r="HN11"/>
  <c r="HP11"/>
  <c r="HN10"/>
  <c r="HP10"/>
  <c r="HR10"/>
  <c r="W57" i="19" s="1"/>
  <c r="HQ10" i="9"/>
  <c r="HP21"/>
  <c r="HR21"/>
  <c r="G237" i="19" s="1"/>
  <c r="JO34" i="9"/>
  <c r="HM11"/>
  <c r="HL11"/>
  <c r="HA11"/>
  <c r="HL8"/>
  <c r="HM8"/>
  <c r="GZ10"/>
  <c r="HA10"/>
  <c r="HM10"/>
  <c r="HL10"/>
  <c r="JN25"/>
  <c r="JQ25" s="1"/>
  <c r="GO10"/>
  <c r="GS10"/>
  <c r="GR10"/>
  <c r="HI10"/>
  <c r="HF10"/>
  <c r="JU37"/>
  <c r="JQ37"/>
  <c r="JS37"/>
  <c r="JT37"/>
  <c r="JR37"/>
  <c r="JY37"/>
  <c r="KA37" s="1"/>
  <c r="JN27"/>
  <c r="GR8"/>
  <c r="HS14"/>
  <c r="H12" i="15" s="1"/>
  <c r="HS16" i="9"/>
  <c r="H14" i="15" s="1"/>
  <c r="HS10" i="9"/>
  <c r="H8" i="15" s="1"/>
  <c r="HS13" i="9"/>
  <c r="H11" i="15" s="1"/>
  <c r="HS21" i="9"/>
  <c r="H19" i="15" s="1"/>
  <c r="HS17" i="9"/>
  <c r="H15" i="15" s="1"/>
  <c r="HS20" i="9"/>
  <c r="H18" i="15" s="1"/>
  <c r="HS12" i="9"/>
  <c r="H10" i="15" s="1"/>
  <c r="HS15" i="9"/>
  <c r="H13" i="15" s="1"/>
  <c r="HS9" i="9"/>
  <c r="GZ11"/>
  <c r="GR11"/>
  <c r="JN23"/>
  <c r="JN18"/>
  <c r="JN34"/>
  <c r="HI8"/>
  <c r="JO21"/>
  <c r="GO11"/>
  <c r="HF11"/>
  <c r="GO8"/>
  <c r="HI11"/>
  <c r="GP8"/>
  <c r="JO17"/>
  <c r="HC11"/>
  <c r="GS8"/>
  <c r="GS11"/>
  <c r="JY35"/>
  <c r="KA35" s="1"/>
  <c r="JU33"/>
  <c r="JY33"/>
  <c r="KA33" s="1"/>
  <c r="JR33"/>
  <c r="JQ33"/>
  <c r="JT33"/>
  <c r="JS33"/>
  <c r="JY32"/>
  <c r="KA32" s="1"/>
  <c r="JT30"/>
  <c r="JY28"/>
  <c r="KA28" s="1"/>
  <c r="JT28"/>
  <c r="JR28"/>
  <c r="JQ28"/>
  <c r="JS28"/>
  <c r="JU28"/>
  <c r="JY24"/>
  <c r="KA24" s="1"/>
  <c r="JQ24"/>
  <c r="JS24"/>
  <c r="HC8"/>
  <c r="JN20"/>
  <c r="AG6" i="15"/>
  <c r="HF8" i="9"/>
  <c r="GZ8"/>
  <c r="JO16"/>
  <c r="JO15"/>
  <c r="JO9"/>
  <c r="JO13"/>
  <c r="JO14"/>
  <c r="JO20"/>
  <c r="JO12"/>
  <c r="JN15"/>
  <c r="JN13"/>
  <c r="JN9"/>
  <c r="JN14"/>
  <c r="JN16"/>
  <c r="JN12"/>
  <c r="JB15"/>
  <c r="DO7"/>
  <c r="DN7"/>
  <c r="JX19" l="1"/>
  <c r="JY26"/>
  <c r="KA26" s="1"/>
  <c r="JY19"/>
  <c r="KA19" s="1"/>
  <c r="HO10"/>
  <c r="R8" i="15" s="1"/>
  <c r="R237" i="19"/>
  <c r="W237"/>
  <c r="H7" i="15"/>
  <c r="AB87" i="19"/>
  <c r="R10" i="15"/>
  <c r="L237" i="19"/>
  <c r="R19" i="15"/>
  <c r="L177" i="19"/>
  <c r="R15" i="15"/>
  <c r="AB57" i="19"/>
  <c r="R11" i="15"/>
  <c r="L87" i="19"/>
  <c r="R9" i="15"/>
  <c r="R29"/>
  <c r="R25"/>
  <c r="JQ19" i="9"/>
  <c r="JS19"/>
  <c r="JW19"/>
  <c r="JQ26"/>
  <c r="JV19"/>
  <c r="JR26"/>
  <c r="JU26"/>
  <c r="JT26"/>
  <c r="JU19"/>
  <c r="JR19"/>
  <c r="JS26"/>
  <c r="JT19"/>
  <c r="JR30"/>
  <c r="JZ30"/>
  <c r="JU30"/>
  <c r="HY9"/>
  <c r="B57" i="19"/>
  <c r="H7" i="12"/>
  <c r="J6" i="11"/>
  <c r="O6" s="1"/>
  <c r="HY12" i="9"/>
  <c r="H10" i="12"/>
  <c r="J9" i="11"/>
  <c r="R87" i="19"/>
  <c r="AK13" i="18"/>
  <c r="H11" i="12"/>
  <c r="J10" i="11"/>
  <c r="B117" i="19"/>
  <c r="J26" i="12"/>
  <c r="L25" i="11"/>
  <c r="J24" i="12"/>
  <c r="L23" i="11"/>
  <c r="AA295" i="19"/>
  <c r="J21" i="12"/>
  <c r="L20" i="11"/>
  <c r="K265" i="19"/>
  <c r="J17" i="12"/>
  <c r="L16" i="11"/>
  <c r="K205" i="19"/>
  <c r="L117"/>
  <c r="HY15" i="9"/>
  <c r="H13" i="12"/>
  <c r="J12" i="11"/>
  <c r="O12" s="1"/>
  <c r="B147" i="19"/>
  <c r="HY21" i="9"/>
  <c r="H19" i="12"/>
  <c r="J18" i="11"/>
  <c r="O18" s="1"/>
  <c r="B237" i="19"/>
  <c r="HY14" i="9"/>
  <c r="H12" i="12"/>
  <c r="J11" i="11"/>
  <c r="O11" s="1"/>
  <c r="R117" i="19"/>
  <c r="I26" i="12"/>
  <c r="M25" i="11"/>
  <c r="I24" i="12"/>
  <c r="M23" i="11"/>
  <c r="AF294" i="19"/>
  <c r="I21" i="12"/>
  <c r="M20" i="11"/>
  <c r="P264" i="19"/>
  <c r="I17" i="12"/>
  <c r="M16" i="11"/>
  <c r="P204" i="19"/>
  <c r="HY17" i="9"/>
  <c r="H15" i="12"/>
  <c r="J14" i="11"/>
  <c r="O14" s="1"/>
  <c r="B177" i="19"/>
  <c r="HO8" i="9"/>
  <c r="T14" i="4" s="1"/>
  <c r="M6" i="12"/>
  <c r="J22"/>
  <c r="L21" i="11"/>
  <c r="AA265" i="19"/>
  <c r="J23" i="12"/>
  <c r="L22" i="11"/>
  <c r="K295" i="19"/>
  <c r="J20" i="12"/>
  <c r="L19" i="11"/>
  <c r="HY16" i="9"/>
  <c r="H14" i="12"/>
  <c r="J13" i="11"/>
  <c r="O13" s="1"/>
  <c r="R147" i="19"/>
  <c r="HY20" i="9"/>
  <c r="H18" i="12"/>
  <c r="J17" i="11"/>
  <c r="O17" s="1"/>
  <c r="R207" i="19"/>
  <c r="HY10" i="9"/>
  <c r="H8" i="12"/>
  <c r="R57" i="19"/>
  <c r="J7" i="11"/>
  <c r="O7" s="1"/>
  <c r="I22" i="12"/>
  <c r="M21" i="11"/>
  <c r="AF264" i="19"/>
  <c r="I23" i="12"/>
  <c r="M22" i="11"/>
  <c r="P294" i="19"/>
  <c r="I20" i="12"/>
  <c r="M19" i="11"/>
  <c r="V29" i="12"/>
  <c r="V19"/>
  <c r="V11"/>
  <c r="V10"/>
  <c r="V9"/>
  <c r="V8"/>
  <c r="V15"/>
  <c r="V25"/>
  <c r="O9" i="11"/>
  <c r="O10"/>
  <c r="O28"/>
  <c r="O24"/>
  <c r="JU22" i="9"/>
  <c r="JT36"/>
  <c r="JZ36"/>
  <c r="JQ22"/>
  <c r="JS36"/>
  <c r="BO35" i="11"/>
  <c r="BR35"/>
  <c r="BY35"/>
  <c r="BX35"/>
  <c r="BN35"/>
  <c r="BQ35"/>
  <c r="BT35"/>
  <c r="BW35"/>
  <c r="BU35"/>
  <c r="BP35"/>
  <c r="BS35"/>
  <c r="BV35"/>
  <c r="JQ32" i="9"/>
  <c r="JS35"/>
  <c r="JU35"/>
  <c r="JS30"/>
  <c r="JU32"/>
  <c r="JT35"/>
  <c r="JR35"/>
  <c r="JV30"/>
  <c r="JX35"/>
  <c r="JY30"/>
  <c r="KA30" s="1"/>
  <c r="HZ30" s="1"/>
  <c r="JQ30"/>
  <c r="JQ35"/>
  <c r="JX30"/>
  <c r="JV35"/>
  <c r="BG212"/>
  <c r="D9" i="6" s="1"/>
  <c r="O9" s="1"/>
  <c r="BB212" i="9"/>
  <c r="BR212"/>
  <c r="JW22"/>
  <c r="AQ11" i="15"/>
  <c r="JS31" i="9"/>
  <c r="JU36"/>
  <c r="JV22"/>
  <c r="JW36"/>
  <c r="JY22"/>
  <c r="KA22" s="1"/>
  <c r="HZ22" s="1"/>
  <c r="JR36"/>
  <c r="AR6" i="15"/>
  <c r="Q5" i="11" s="1"/>
  <c r="JS22" i="9"/>
  <c r="JQ31"/>
  <c r="JQ36"/>
  <c r="JR22"/>
  <c r="JT22"/>
  <c r="JY36"/>
  <c r="KA36" s="1"/>
  <c r="HZ36" s="1"/>
  <c r="AR9" i="15"/>
  <c r="Q8" i="11" s="1"/>
  <c r="JX22" i="9"/>
  <c r="IA26"/>
  <c r="R23" i="11" s="1"/>
  <c r="HZ26" i="9"/>
  <c r="IA19"/>
  <c r="R16" i="11" s="1"/>
  <c r="HZ19" i="9"/>
  <c r="IA35"/>
  <c r="R32" i="11" s="1"/>
  <c r="HZ35" i="9"/>
  <c r="HZ32"/>
  <c r="IA32"/>
  <c r="R29" i="11" s="1"/>
  <c r="HZ24" i="9"/>
  <c r="IA24"/>
  <c r="R21" i="11" s="1"/>
  <c r="HZ28" i="9"/>
  <c r="IA28"/>
  <c r="R25" i="11" s="1"/>
  <c r="IA33" i="9"/>
  <c r="R30" i="11" s="1"/>
  <c r="HZ33" i="9"/>
  <c r="IA37"/>
  <c r="R34" i="11" s="1"/>
  <c r="HZ37" i="9"/>
  <c r="AR8" i="15"/>
  <c r="Q7" i="11" s="1"/>
  <c r="HW9" i="9"/>
  <c r="HV9"/>
  <c r="I7" i="15" s="1"/>
  <c r="HW17" i="9"/>
  <c r="HV17"/>
  <c r="I15" i="15" s="1"/>
  <c r="HW16" i="9"/>
  <c r="HV16"/>
  <c r="I14" i="15" s="1"/>
  <c r="HW20" i="9"/>
  <c r="HV20"/>
  <c r="I18" i="15" s="1"/>
  <c r="HV10" i="9"/>
  <c r="I8" i="15" s="1"/>
  <c r="HW10" i="9"/>
  <c r="HW12"/>
  <c r="HV12"/>
  <c r="I10" i="15" s="1"/>
  <c r="HW13" i="9"/>
  <c r="HV13"/>
  <c r="I11" i="15" s="1"/>
  <c r="HW15" i="9"/>
  <c r="HV15"/>
  <c r="I13" i="15" s="1"/>
  <c r="HW21" i="9"/>
  <c r="AA235" i="19" s="1"/>
  <c r="HV21" i="9"/>
  <c r="I19" i="15" s="1"/>
  <c r="HW14" i="9"/>
  <c r="HV14"/>
  <c r="I12" i="15" s="1"/>
  <c r="V18" i="18"/>
  <c r="T18"/>
  <c r="T17"/>
  <c r="V21"/>
  <c r="T21"/>
  <c r="JV36" i="9"/>
  <c r="JZ31"/>
  <c r="U19" i="18"/>
  <c r="T19"/>
  <c r="V19"/>
  <c r="JW32" i="9"/>
  <c r="JT24"/>
  <c r="JX24"/>
  <c r="JW24"/>
  <c r="AS21" i="15"/>
  <c r="JU24" i="9"/>
  <c r="JR24"/>
  <c r="JT32"/>
  <c r="JR32"/>
  <c r="JS32"/>
  <c r="AS15" i="15"/>
  <c r="JY31" i="9"/>
  <c r="KA31" s="1"/>
  <c r="JU31"/>
  <c r="JR31"/>
  <c r="JT31"/>
  <c r="AS29" i="15"/>
  <c r="AS23"/>
  <c r="JX31" i="9"/>
  <c r="JV31"/>
  <c r="AS22" i="15"/>
  <c r="JS25" i="9"/>
  <c r="JX26"/>
  <c r="AS30" i="15"/>
  <c r="JV26" i="9"/>
  <c r="AP8" i="15"/>
  <c r="JZ26" i="9"/>
  <c r="AS24" i="15"/>
  <c r="AS28"/>
  <c r="AS20"/>
  <c r="AS16"/>
  <c r="AS32"/>
  <c r="AS34"/>
  <c r="AP9"/>
  <c r="AO9"/>
  <c r="AP6"/>
  <c r="AO6"/>
  <c r="AO8"/>
  <c r="JV32" i="9"/>
  <c r="JZ32"/>
  <c r="JZ20"/>
  <c r="JW20"/>
  <c r="JV20"/>
  <c r="JZ27"/>
  <c r="JX27"/>
  <c r="JW27"/>
  <c r="JV27"/>
  <c r="JR29"/>
  <c r="JZ29"/>
  <c r="JX29"/>
  <c r="JW29"/>
  <c r="JV29"/>
  <c r="JZ18"/>
  <c r="JX18"/>
  <c r="JW18"/>
  <c r="JV18"/>
  <c r="JT25"/>
  <c r="JZ25"/>
  <c r="JX25"/>
  <c r="JW25"/>
  <c r="JV25"/>
  <c r="JZ16"/>
  <c r="JX16"/>
  <c r="JW16"/>
  <c r="JV16"/>
  <c r="JZ34"/>
  <c r="JX34"/>
  <c r="JW34"/>
  <c r="JV34"/>
  <c r="JZ23"/>
  <c r="JX23"/>
  <c r="JW23"/>
  <c r="JV23"/>
  <c r="JZ15"/>
  <c r="JV15"/>
  <c r="JX15"/>
  <c r="JW15"/>
  <c r="JV12"/>
  <c r="JX12"/>
  <c r="JW12"/>
  <c r="JZ12"/>
  <c r="JV13"/>
  <c r="JW13"/>
  <c r="JZ13"/>
  <c r="JX14"/>
  <c r="JW14"/>
  <c r="JZ14"/>
  <c r="JV14"/>
  <c r="JV9"/>
  <c r="JW9"/>
  <c r="JZ9"/>
  <c r="AS25" i="15"/>
  <c r="P210" i="12"/>
  <c r="JR25" i="9"/>
  <c r="JU25"/>
  <c r="P216" i="12"/>
  <c r="JQ29" i="9"/>
  <c r="P214" i="12"/>
  <c r="JS29" i="9"/>
  <c r="P208" i="12"/>
  <c r="HR8" i="9"/>
  <c r="W27" i="19" s="1"/>
  <c r="AS14" i="15"/>
  <c r="AS7"/>
  <c r="AS17"/>
  <c r="JT29" i="9"/>
  <c r="JU29"/>
  <c r="P213" i="12"/>
  <c r="P207"/>
  <c r="AS19" i="15"/>
  <c r="AS27"/>
  <c r="O214" i="12"/>
  <c r="O213"/>
  <c r="O210"/>
  <c r="O209"/>
  <c r="O208"/>
  <c r="O207"/>
  <c r="O216"/>
  <c r="O215"/>
  <c r="AS10" i="15"/>
  <c r="AS12"/>
  <c r="N209" i="12"/>
  <c r="N210"/>
  <c r="N208"/>
  <c r="N215"/>
  <c r="N216"/>
  <c r="N213"/>
  <c r="N214"/>
  <c r="JY29" i="9"/>
  <c r="KA29" s="1"/>
  <c r="P215" i="12"/>
  <c r="Q211"/>
  <c r="Q206" s="1"/>
  <c r="Q212" s="1"/>
  <c r="AS13" i="15"/>
  <c r="JN11" i="9"/>
  <c r="HQ8"/>
  <c r="HN8"/>
  <c r="HP8"/>
  <c r="JO10"/>
  <c r="IB37"/>
  <c r="JT27"/>
  <c r="JQ27"/>
  <c r="JU27"/>
  <c r="JY27"/>
  <c r="KA27" s="1"/>
  <c r="JR27"/>
  <c r="JS27"/>
  <c r="HS11"/>
  <c r="H9" i="15" s="1"/>
  <c r="HS8" i="9"/>
  <c r="H6" i="15" s="1"/>
  <c r="JO11" i="9"/>
  <c r="JT18"/>
  <c r="JY18"/>
  <c r="KA18" s="1"/>
  <c r="JU18"/>
  <c r="JQ18"/>
  <c r="JS18"/>
  <c r="JR18"/>
  <c r="JN21"/>
  <c r="JR23"/>
  <c r="JQ23"/>
  <c r="JY23"/>
  <c r="KA23" s="1"/>
  <c r="JS23"/>
  <c r="JT23"/>
  <c r="JU23"/>
  <c r="JY25"/>
  <c r="KA25" s="1"/>
  <c r="JR34"/>
  <c r="JQ34"/>
  <c r="JU34"/>
  <c r="JY34"/>
  <c r="KA34" s="1"/>
  <c r="JT34"/>
  <c r="JS34"/>
  <c r="IB32"/>
  <c r="IB28"/>
  <c r="JN17"/>
  <c r="JO8"/>
  <c r="JD8"/>
  <c r="JT16"/>
  <c r="JS16"/>
  <c r="JY16"/>
  <c r="KA16" s="1"/>
  <c r="JR16"/>
  <c r="JQ16"/>
  <c r="JU16"/>
  <c r="JS9"/>
  <c r="JR9"/>
  <c r="JQ9"/>
  <c r="JX9" s="1"/>
  <c r="JY9" s="1"/>
  <c r="KA9" s="1"/>
  <c r="JU9"/>
  <c r="JT9"/>
  <c r="JR14"/>
  <c r="JQ14"/>
  <c r="JU14"/>
  <c r="JT14"/>
  <c r="JY14"/>
  <c r="KA14" s="1"/>
  <c r="JS14"/>
  <c r="JQ15"/>
  <c r="JU15"/>
  <c r="JT15"/>
  <c r="JS15"/>
  <c r="JR15"/>
  <c r="JT12"/>
  <c r="JY12"/>
  <c r="KA12" s="1"/>
  <c r="JS12"/>
  <c r="JR12"/>
  <c r="JQ12"/>
  <c r="JU12"/>
  <c r="JS13"/>
  <c r="JR13"/>
  <c r="JQ13"/>
  <c r="JU13"/>
  <c r="JT13"/>
  <c r="JT20"/>
  <c r="JS20"/>
  <c r="JR20"/>
  <c r="JQ20"/>
  <c r="JX20" s="1"/>
  <c r="JY20" s="1"/>
  <c r="KA20" s="1"/>
  <c r="JU20"/>
  <c r="K4" i="11"/>
  <c r="AQ16" i="4" l="1"/>
  <c r="AQ17" s="1"/>
  <c r="AQ15"/>
  <c r="AF234" i="19"/>
  <c r="AB27"/>
  <c r="R6" i="15"/>
  <c r="IA30" i="9"/>
  <c r="R27" i="11" s="1"/>
  <c r="IB26" i="9"/>
  <c r="IB35"/>
  <c r="HY11"/>
  <c r="H9" i="12"/>
  <c r="B87" i="19"/>
  <c r="J8" i="11"/>
  <c r="O8" s="1"/>
  <c r="I12" i="12"/>
  <c r="M11" i="11"/>
  <c r="AF114" i="19"/>
  <c r="I13" i="12"/>
  <c r="M12" i="11"/>
  <c r="P144" i="19"/>
  <c r="I10" i="12"/>
  <c r="M9" i="11"/>
  <c r="AF84" i="19"/>
  <c r="I18" i="12"/>
  <c r="M17" i="11"/>
  <c r="AF204" i="19"/>
  <c r="I15" i="12"/>
  <c r="M14" i="11"/>
  <c r="P174" i="19"/>
  <c r="HY8" i="9"/>
  <c r="H6" i="12"/>
  <c r="R27" i="19"/>
  <c r="J5" i="11"/>
  <c r="O5" s="1"/>
  <c r="J19" i="12"/>
  <c r="L18" i="11"/>
  <c r="K235" i="19"/>
  <c r="HX13" i="9"/>
  <c r="N10" i="11" s="1"/>
  <c r="J11" i="12"/>
  <c r="L10" i="11"/>
  <c r="K115" i="19"/>
  <c r="I8" i="12"/>
  <c r="AF54" i="19"/>
  <c r="M7" i="11"/>
  <c r="J14" i="12"/>
  <c r="L13" i="11"/>
  <c r="AA145" i="19"/>
  <c r="HX9" i="9"/>
  <c r="J7" i="12"/>
  <c r="L6" i="11"/>
  <c r="K55" i="19"/>
  <c r="I19" i="12"/>
  <c r="M18" i="11"/>
  <c r="P234" i="19"/>
  <c r="I11" i="12"/>
  <c r="M10" i="11"/>
  <c r="P114" i="19"/>
  <c r="J8" i="12"/>
  <c r="L7" i="11"/>
  <c r="AA55" i="19"/>
  <c r="I14" i="12"/>
  <c r="M13" i="11"/>
  <c r="AF144" i="19"/>
  <c r="P54"/>
  <c r="I7" i="12"/>
  <c r="M6" i="11"/>
  <c r="J12" i="12"/>
  <c r="L11" i="11"/>
  <c r="AA115" i="19"/>
  <c r="J13" i="12"/>
  <c r="L12" i="11"/>
  <c r="K145" i="19"/>
  <c r="J10" i="12"/>
  <c r="L9" i="11"/>
  <c r="AA85" i="19"/>
  <c r="J18" i="12"/>
  <c r="L17" i="11"/>
  <c r="AA205" i="19"/>
  <c r="HX17" i="9"/>
  <c r="J15" i="12"/>
  <c r="L14" i="11"/>
  <c r="K175" i="19"/>
  <c r="HY13" i="9"/>
  <c r="AK12" i="18"/>
  <c r="P10" i="11"/>
  <c r="V6" i="12"/>
  <c r="IA22" i="9"/>
  <c r="BH213"/>
  <c r="E10" i="6" s="1"/>
  <c r="D10"/>
  <c r="AR213" i="9"/>
  <c r="E8" i="6" s="1"/>
  <c r="D8"/>
  <c r="O8" s="1"/>
  <c r="IB33" i="9"/>
  <c r="IB24"/>
  <c r="BC213"/>
  <c r="E9" i="6" s="1"/>
  <c r="IA36" i="9"/>
  <c r="HZ20"/>
  <c r="IA20"/>
  <c r="R17" i="11" s="1"/>
  <c r="IA34" i="9"/>
  <c r="R31" i="11" s="1"/>
  <c r="HZ34" i="9"/>
  <c r="IA25"/>
  <c r="R22" i="11" s="1"/>
  <c r="HZ25" i="9"/>
  <c r="IA23"/>
  <c r="R20" i="11" s="1"/>
  <c r="HZ23" i="9"/>
  <c r="IA18"/>
  <c r="R15" i="11" s="1"/>
  <c r="HZ18" i="9"/>
  <c r="IA29"/>
  <c r="R26" i="11" s="1"/>
  <c r="HZ29" i="9"/>
  <c r="IA27"/>
  <c r="R24" i="11" s="1"/>
  <c r="HZ27" i="9"/>
  <c r="IA31"/>
  <c r="R28" i="11" s="1"/>
  <c r="HZ31" i="9"/>
  <c r="HZ16"/>
  <c r="IA16"/>
  <c r="R13" i="11" s="1"/>
  <c r="IA12" i="9"/>
  <c r="R9" i="11" s="1"/>
  <c r="HZ12" i="9"/>
  <c r="IA14"/>
  <c r="R11" i="11" s="1"/>
  <c r="HZ14" i="9"/>
  <c r="HZ9"/>
  <c r="IA9" s="1"/>
  <c r="IB19"/>
  <c r="HV8"/>
  <c r="I6" i="15" s="1"/>
  <c r="HW8" i="9"/>
  <c r="P24" i="4" s="1"/>
  <c r="HW11" i="9"/>
  <c r="HV11"/>
  <c r="I9" i="15" s="1"/>
  <c r="JX13" i="9"/>
  <c r="AS18" i="15"/>
  <c r="BL5" i="12"/>
  <c r="AS6" i="15"/>
  <c r="DS7" i="9"/>
  <c r="JZ21"/>
  <c r="JX21"/>
  <c r="JW21"/>
  <c r="JV21"/>
  <c r="JZ17"/>
  <c r="JX17"/>
  <c r="JW17"/>
  <c r="JV17"/>
  <c r="JQ11"/>
  <c r="JZ11"/>
  <c r="JV11"/>
  <c r="JX11"/>
  <c r="JW11"/>
  <c r="JU11"/>
  <c r="P211" i="12"/>
  <c r="P206" s="1"/>
  <c r="P212" s="1"/>
  <c r="AS9" i="15"/>
  <c r="N211" i="12"/>
  <c r="N206" s="1"/>
  <c r="N212" s="1"/>
  <c r="BO23" i="11"/>
  <c r="BO21"/>
  <c r="BO25"/>
  <c r="O211" i="12"/>
  <c r="O206" s="1"/>
  <c r="O212" s="1"/>
  <c r="JT11" i="9"/>
  <c r="JY11"/>
  <c r="KA11" s="1"/>
  <c r="JR11"/>
  <c r="JS11"/>
  <c r="DW7"/>
  <c r="DV7"/>
  <c r="DU7"/>
  <c r="DT7"/>
  <c r="JN10"/>
  <c r="JN8"/>
  <c r="JT21"/>
  <c r="JR21"/>
  <c r="JY21"/>
  <c r="KA21" s="1"/>
  <c r="JS21"/>
  <c r="JU21"/>
  <c r="JQ21"/>
  <c r="JR17"/>
  <c r="JY17"/>
  <c r="KA17" s="1"/>
  <c r="JS17"/>
  <c r="JU17"/>
  <c r="JQ17"/>
  <c r="JT17"/>
  <c r="JY15"/>
  <c r="KA15" s="1"/>
  <c r="Q23" i="4" l="1"/>
  <c r="R28"/>
  <c r="P55" i="19"/>
  <c r="N6" i="11"/>
  <c r="P175" i="19"/>
  <c r="N14" i="11"/>
  <c r="IB16" i="9"/>
  <c r="IB27"/>
  <c r="IB30"/>
  <c r="IB31"/>
  <c r="IB12"/>
  <c r="IB23"/>
  <c r="IB34"/>
  <c r="P115" i="19"/>
  <c r="J6" i="12"/>
  <c r="L5" i="11"/>
  <c r="AA25" i="19"/>
  <c r="J9" i="12"/>
  <c r="L8" i="11"/>
  <c r="K85" i="19"/>
  <c r="IB9" i="9"/>
  <c r="R6" i="11"/>
  <c r="IB36" i="9"/>
  <c r="R33" i="11"/>
  <c r="BQ33" s="1"/>
  <c r="IB22" i="9"/>
  <c r="R19" i="11"/>
  <c r="BO19" s="1"/>
  <c r="IB14" i="9"/>
  <c r="I6" i="12"/>
  <c r="AF24" i="19"/>
  <c r="M5" i="11"/>
  <c r="I9" i="12"/>
  <c r="P84" i="19"/>
  <c r="M8" i="11"/>
  <c r="IB18" i="9"/>
  <c r="IB25"/>
  <c r="AK14" i="18"/>
  <c r="AK15" s="1"/>
  <c r="Q23" s="1"/>
  <c r="BV21" i="11"/>
  <c r="BS21"/>
  <c r="BP21"/>
  <c r="BV25"/>
  <c r="BS25"/>
  <c r="BP25"/>
  <c r="BS19"/>
  <c r="BP19"/>
  <c r="BV23"/>
  <c r="BS23"/>
  <c r="BP23"/>
  <c r="BO30"/>
  <c r="BR30"/>
  <c r="BU30"/>
  <c r="BX30"/>
  <c r="BN30"/>
  <c r="BY30"/>
  <c r="BT30"/>
  <c r="BW30"/>
  <c r="BQ30"/>
  <c r="BP30"/>
  <c r="BS30"/>
  <c r="BV30"/>
  <c r="BY21"/>
  <c r="BW21"/>
  <c r="BT21"/>
  <c r="BY25"/>
  <c r="BW25"/>
  <c r="BT25"/>
  <c r="BU19"/>
  <c r="BW19"/>
  <c r="BT19"/>
  <c r="BU23"/>
  <c r="BW23"/>
  <c r="BT23"/>
  <c r="BX33"/>
  <c r="BW33"/>
  <c r="BV33"/>
  <c r="BO29"/>
  <c r="BR29"/>
  <c r="BQ29"/>
  <c r="BX29"/>
  <c r="BN29"/>
  <c r="BU29"/>
  <c r="BT29"/>
  <c r="BW29"/>
  <c r="BY29"/>
  <c r="BP29"/>
  <c r="BS29"/>
  <c r="BV29"/>
  <c r="BO16"/>
  <c r="BR16"/>
  <c r="BQ16"/>
  <c r="BX16"/>
  <c r="BN16"/>
  <c r="BU16"/>
  <c r="BT16"/>
  <c r="BW16"/>
  <c r="BY16"/>
  <c r="BP16"/>
  <c r="BS16"/>
  <c r="BV16"/>
  <c r="BU21"/>
  <c r="BN21"/>
  <c r="BX21"/>
  <c r="BU25"/>
  <c r="BN25"/>
  <c r="BX25"/>
  <c r="BQ19"/>
  <c r="BN19"/>
  <c r="BX19"/>
  <c r="BQ23"/>
  <c r="BN23"/>
  <c r="BX23"/>
  <c r="BO34"/>
  <c r="BR34"/>
  <c r="BU34"/>
  <c r="BX34"/>
  <c r="BN34"/>
  <c r="BY34"/>
  <c r="BT34"/>
  <c r="BW34"/>
  <c r="BQ34"/>
  <c r="BP34"/>
  <c r="BS34"/>
  <c r="BV34"/>
  <c r="BO28"/>
  <c r="BR28"/>
  <c r="BQ28"/>
  <c r="BX28"/>
  <c r="BN28"/>
  <c r="BU28"/>
  <c r="BT28"/>
  <c r="BW28"/>
  <c r="BY28"/>
  <c r="BP28"/>
  <c r="BS28"/>
  <c r="BV28"/>
  <c r="BO32"/>
  <c r="BR32"/>
  <c r="BQ32"/>
  <c r="BX32"/>
  <c r="BN32"/>
  <c r="BU32"/>
  <c r="BT32"/>
  <c r="BW32"/>
  <c r="BY32"/>
  <c r="BP32"/>
  <c r="BS32"/>
  <c r="BV32"/>
  <c r="BO27"/>
  <c r="BR27"/>
  <c r="BY27"/>
  <c r="BX27"/>
  <c r="BN27"/>
  <c r="BQ27"/>
  <c r="BT27"/>
  <c r="BW27"/>
  <c r="BU27"/>
  <c r="BP27"/>
  <c r="BS27"/>
  <c r="BV27"/>
  <c r="BQ21"/>
  <c r="BR21"/>
  <c r="BQ25"/>
  <c r="BR25"/>
  <c r="BY19"/>
  <c r="BR19"/>
  <c r="BY23"/>
  <c r="BR23"/>
  <c r="IA17" i="9"/>
  <c r="R14" i="11" s="1"/>
  <c r="HZ17" i="9"/>
  <c r="IA15"/>
  <c r="R12" i="11" s="1"/>
  <c r="HZ15" i="9"/>
  <c r="IA21"/>
  <c r="R18" i="11" s="1"/>
  <c r="HZ21" i="9"/>
  <c r="IA11"/>
  <c r="R8" i="11" s="1"/>
  <c r="HZ11" i="9"/>
  <c r="IB20"/>
  <c r="IB29"/>
  <c r="JY13"/>
  <c r="KA13" s="1"/>
  <c r="HZ13" s="1"/>
  <c r="DY7"/>
  <c r="HB7" s="1"/>
  <c r="V17" i="18"/>
  <c r="JW10" i="9"/>
  <c r="JZ10"/>
  <c r="JV10"/>
  <c r="JU8"/>
  <c r="JV8"/>
  <c r="JX8"/>
  <c r="JW8"/>
  <c r="JZ8"/>
  <c r="BO13" i="11"/>
  <c r="BO17"/>
  <c r="BO9"/>
  <c r="BO11"/>
  <c r="BP6"/>
  <c r="JQ10" i="9"/>
  <c r="JT10"/>
  <c r="JU10"/>
  <c r="JS10"/>
  <c r="JR10"/>
  <c r="JS8"/>
  <c r="JR8"/>
  <c r="JQ8"/>
  <c r="JT8"/>
  <c r="BV19" i="11" l="1"/>
  <c r="BY33"/>
  <c r="BN33"/>
  <c r="BO33"/>
  <c r="BP33"/>
  <c r="BU33"/>
  <c r="BR33"/>
  <c r="BS33"/>
  <c r="BT33"/>
  <c r="IB11" i="9"/>
  <c r="IB21"/>
  <c r="IB17"/>
  <c r="IB15"/>
  <c r="IA13"/>
  <c r="P24" i="18"/>
  <c r="BP8" i="11"/>
  <c r="BT8"/>
  <c r="BX8"/>
  <c r="BO8"/>
  <c r="BS8"/>
  <c r="BW8"/>
  <c r="BN8"/>
  <c r="BR8"/>
  <c r="BV8"/>
  <c r="BY8"/>
  <c r="BU8"/>
  <c r="BQ8"/>
  <c r="BO15"/>
  <c r="BR15"/>
  <c r="BY15"/>
  <c r="BX15"/>
  <c r="BN15"/>
  <c r="BQ15"/>
  <c r="BT15"/>
  <c r="BW15"/>
  <c r="BU15"/>
  <c r="BP15"/>
  <c r="BS15"/>
  <c r="BV15"/>
  <c r="BV13"/>
  <c r="BS13"/>
  <c r="BP13"/>
  <c r="BV17"/>
  <c r="BS17"/>
  <c r="BP17"/>
  <c r="BV11"/>
  <c r="BS11"/>
  <c r="BP11"/>
  <c r="BV9"/>
  <c r="BS9"/>
  <c r="BP9"/>
  <c r="BO31"/>
  <c r="BR31"/>
  <c r="BY31"/>
  <c r="BX31"/>
  <c r="BN31"/>
  <c r="BQ31"/>
  <c r="BT31"/>
  <c r="BW31"/>
  <c r="BU31"/>
  <c r="BP31"/>
  <c r="BS31"/>
  <c r="BV31"/>
  <c r="BO24"/>
  <c r="BR24"/>
  <c r="BQ24"/>
  <c r="BX24"/>
  <c r="BN24"/>
  <c r="BU24"/>
  <c r="BT24"/>
  <c r="BW24"/>
  <c r="BY24"/>
  <c r="BP24"/>
  <c r="BS24"/>
  <c r="BV24"/>
  <c r="BO22"/>
  <c r="BR22"/>
  <c r="BU22"/>
  <c r="BX22"/>
  <c r="BN22"/>
  <c r="BY22"/>
  <c r="BT22"/>
  <c r="BW22"/>
  <c r="BQ22"/>
  <c r="BP22"/>
  <c r="BS22"/>
  <c r="BV22"/>
  <c r="BO20"/>
  <c r="BR20"/>
  <c r="BQ20"/>
  <c r="BX20"/>
  <c r="BN20"/>
  <c r="BU20"/>
  <c r="BT20"/>
  <c r="BW20"/>
  <c r="BY20"/>
  <c r="BP20"/>
  <c r="BS20"/>
  <c r="BV20"/>
  <c r="BO26"/>
  <c r="BR26"/>
  <c r="BU26"/>
  <c r="BX26"/>
  <c r="BN26"/>
  <c r="BY26"/>
  <c r="BT26"/>
  <c r="BW26"/>
  <c r="BQ26"/>
  <c r="BP26"/>
  <c r="BS26"/>
  <c r="BV26"/>
  <c r="BY13"/>
  <c r="BW13"/>
  <c r="BT13"/>
  <c r="BY17"/>
  <c r="BW17"/>
  <c r="BT17"/>
  <c r="BU11"/>
  <c r="BW11"/>
  <c r="BT11"/>
  <c r="BY9"/>
  <c r="BW9"/>
  <c r="BT9"/>
  <c r="BU13"/>
  <c r="BN13"/>
  <c r="BX13"/>
  <c r="BU17"/>
  <c r="BN17"/>
  <c r="BX17"/>
  <c r="BQ11"/>
  <c r="BN11"/>
  <c r="BX11"/>
  <c r="BU9"/>
  <c r="BN9"/>
  <c r="BX9"/>
  <c r="BQ13"/>
  <c r="BR13"/>
  <c r="BQ17"/>
  <c r="BR17"/>
  <c r="BY11"/>
  <c r="BR11"/>
  <c r="BQ9"/>
  <c r="BR9"/>
  <c r="BW6"/>
  <c r="BT6"/>
  <c r="BQ6"/>
  <c r="BN6"/>
  <c r="BX6"/>
  <c r="BU6"/>
  <c r="BR6"/>
  <c r="BO6"/>
  <c r="BY6"/>
  <c r="BV6"/>
  <c r="BS6"/>
  <c r="AR11" i="15"/>
  <c r="Q10" i="11" s="1"/>
  <c r="GN7" i="9"/>
  <c r="P13" i="19" s="1"/>
  <c r="GQ7" i="9"/>
  <c r="P14" i="19" s="1"/>
  <c r="GT7" i="9"/>
  <c r="P15" i="19" s="1"/>
  <c r="GG7" i="9"/>
  <c r="H24" i="19" s="1"/>
  <c r="FQ7" i="9"/>
  <c r="H23" i="19" s="1"/>
  <c r="FY7" i="9"/>
  <c r="P23" i="19" s="1"/>
  <c r="EX7" i="9"/>
  <c r="P22" i="19" s="1"/>
  <c r="EH7" i="9"/>
  <c r="H22" i="19" s="1"/>
  <c r="JX10" i="9"/>
  <c r="JY10"/>
  <c r="KA10" s="1"/>
  <c r="HS7"/>
  <c r="B27" i="19" s="1"/>
  <c r="HK7" i="9"/>
  <c r="HH7"/>
  <c r="P18" i="19" s="1"/>
  <c r="P16"/>
  <c r="JY8" i="9"/>
  <c r="KA8" s="1"/>
  <c r="HE7"/>
  <c r="P17" i="19" s="1"/>
  <c r="GU7" i="9" l="1"/>
  <c r="AM210" s="1"/>
  <c r="CZ210"/>
  <c r="C15" i="6" s="1"/>
  <c r="P20" i="19"/>
  <c r="R10" i="11"/>
  <c r="R28" i="18"/>
  <c r="BO14" i="11"/>
  <c r="BR14"/>
  <c r="BU14"/>
  <c r="BX14"/>
  <c r="BN14"/>
  <c r="BY14"/>
  <c r="BT14"/>
  <c r="BW14"/>
  <c r="BQ14"/>
  <c r="BP14"/>
  <c r="BS14"/>
  <c r="BV14"/>
  <c r="BO12"/>
  <c r="BR12"/>
  <c r="BQ12"/>
  <c r="BX12"/>
  <c r="BN12"/>
  <c r="BU12"/>
  <c r="BT12"/>
  <c r="BW12"/>
  <c r="BY12"/>
  <c r="BP12"/>
  <c r="BS12"/>
  <c r="BV12"/>
  <c r="BO18"/>
  <c r="BR18"/>
  <c r="BU18"/>
  <c r="BX18"/>
  <c r="BN18"/>
  <c r="BY18"/>
  <c r="BT18"/>
  <c r="BW18"/>
  <c r="BQ18"/>
  <c r="BP18"/>
  <c r="BS18"/>
  <c r="BV18"/>
  <c r="FB216" i="9"/>
  <c r="FE212"/>
  <c r="FB212"/>
  <c r="FB217"/>
  <c r="FB214"/>
  <c r="FF212"/>
  <c r="FC212"/>
  <c r="FB218"/>
  <c r="FB215"/>
  <c r="FD212"/>
  <c r="FB210"/>
  <c r="K210"/>
  <c r="C5" i="6" s="1"/>
  <c r="M212" i="9"/>
  <c r="H5" i="6" s="1"/>
  <c r="K212" i="9"/>
  <c r="L212"/>
  <c r="G5" i="6" s="1"/>
  <c r="N212" i="9"/>
  <c r="I5" i="6" s="1"/>
  <c r="CJ215" i="9"/>
  <c r="K13" i="6" s="1"/>
  <c r="CJ214" i="9"/>
  <c r="J13" i="6" s="1"/>
  <c r="CJ217" i="9"/>
  <c r="L13" i="6" s="1"/>
  <c r="CS212" i="9"/>
  <c r="I13" i="6" s="1"/>
  <c r="CJ212" i="9"/>
  <c r="F13" i="6" s="1"/>
  <c r="CJ216" i="9"/>
  <c r="CJ210"/>
  <c r="CK212"/>
  <c r="G13" i="6" s="1"/>
  <c r="CL212" i="9"/>
  <c r="H13" i="6" s="1"/>
  <c r="CJ218" i="9"/>
  <c r="M13" i="6" s="1"/>
  <c r="DA212" i="9"/>
  <c r="G15" i="6" s="1"/>
  <c r="DB212" i="9"/>
  <c r="H15" i="6" s="1"/>
  <c r="CZ214" i="9"/>
  <c r="J15" i="6" s="1"/>
  <c r="CZ216" i="9"/>
  <c r="CZ217"/>
  <c r="L15" i="6" s="1"/>
  <c r="CZ212" i="9"/>
  <c r="F15" i="6" s="1"/>
  <c r="DD212" i="9"/>
  <c r="CZ215"/>
  <c r="K15" i="6" s="1"/>
  <c r="DC212" i="9"/>
  <c r="I15" i="6" s="1"/>
  <c r="CZ218" i="9"/>
  <c r="M15" i="6" s="1"/>
  <c r="FJ214" i="9"/>
  <c r="FJ212"/>
  <c r="FJ216"/>
  <c r="FL212"/>
  <c r="FN212"/>
  <c r="FJ215"/>
  <c r="FJ210"/>
  <c r="FK212"/>
  <c r="FJ218"/>
  <c r="FM212"/>
  <c r="FJ217"/>
  <c r="I6" i="6"/>
  <c r="Y212" i="9"/>
  <c r="Z212"/>
  <c r="G6" i="6" s="1"/>
  <c r="AB212" i="9"/>
  <c r="AA212"/>
  <c r="H6" i="6" s="1"/>
  <c r="AO212" i="9"/>
  <c r="H7" i="6" s="1"/>
  <c r="CU217" i="9"/>
  <c r="L14" i="6" s="1"/>
  <c r="CX212" i="9"/>
  <c r="I14" i="6" s="1"/>
  <c r="CV212" i="9"/>
  <c r="G14" i="6" s="1"/>
  <c r="CU212" i="9"/>
  <c r="F14" i="6" s="1"/>
  <c r="CU216" i="9"/>
  <c r="CU218"/>
  <c r="M14" i="6" s="1"/>
  <c r="CU214" i="9"/>
  <c r="J14" i="6" s="1"/>
  <c r="CW212" i="9"/>
  <c r="H14" i="6" s="1"/>
  <c r="CU210" i="9"/>
  <c r="C14" i="6" s="1"/>
  <c r="CU215" i="9"/>
  <c r="K14" i="6" s="1"/>
  <c r="HV213" i="9"/>
  <c r="HV214"/>
  <c r="HV208"/>
  <c r="HV216"/>
  <c r="HY7"/>
  <c r="EL214"/>
  <c r="EP212"/>
  <c r="EL212"/>
  <c r="EL218"/>
  <c r="EN212"/>
  <c r="EL210"/>
  <c r="EL217"/>
  <c r="EL215"/>
  <c r="EO212"/>
  <c r="EM212"/>
  <c r="EL216"/>
  <c r="N5" i="15"/>
  <c r="N215" s="1"/>
  <c r="CE212" i="9"/>
  <c r="F12" i="6" s="1"/>
  <c r="CE210" i="9"/>
  <c r="C12" i="6" s="1"/>
  <c r="CG212" i="9"/>
  <c r="H12" i="6" s="1"/>
  <c r="CE215" i="9"/>
  <c r="K12" i="6" s="1"/>
  <c r="CE217" i="9"/>
  <c r="L12" i="6" s="1"/>
  <c r="CE214" i="9"/>
  <c r="J12" i="6" s="1"/>
  <c r="CE218" i="9"/>
  <c r="M12" i="6" s="1"/>
  <c r="CF212" i="9"/>
  <c r="G12" i="6" s="1"/>
  <c r="CE216" i="9"/>
  <c r="CH212"/>
  <c r="I12" i="6" s="1"/>
  <c r="DZ210" i="9"/>
  <c r="EA212"/>
  <c r="EC212"/>
  <c r="DZ212"/>
  <c r="EB212"/>
  <c r="ED212"/>
  <c r="DZ214"/>
  <c r="FU215"/>
  <c r="FY212"/>
  <c r="FU212"/>
  <c r="FW212"/>
  <c r="FU210"/>
  <c r="FU216"/>
  <c r="FV212"/>
  <c r="FU214"/>
  <c r="FX212"/>
  <c r="FU217"/>
  <c r="IA10"/>
  <c r="R7" i="11" s="1"/>
  <c r="HZ10" i="9"/>
  <c r="IA8"/>
  <c r="R5" i="11" s="1"/>
  <c r="HZ8" i="9"/>
  <c r="AS11" i="15"/>
  <c r="HW7" i="9"/>
  <c r="HV7"/>
  <c r="HN7"/>
  <c r="L5" i="12"/>
  <c r="Y210" i="9"/>
  <c r="HD7"/>
  <c r="R5" i="12"/>
  <c r="HG7" i="9"/>
  <c r="S5" i="12"/>
  <c r="T5"/>
  <c r="FU218" i="9"/>
  <c r="K5" i="12"/>
  <c r="K216" s="1"/>
  <c r="K5" i="15"/>
  <c r="K207" s="1"/>
  <c r="Q5"/>
  <c r="U5" i="12"/>
  <c r="P5" i="15"/>
  <c r="P207" s="1"/>
  <c r="GP7" i="9"/>
  <c r="K215"/>
  <c r="K5" i="6" s="1"/>
  <c r="HM7" i="9"/>
  <c r="BU212" s="1"/>
  <c r="HL7"/>
  <c r="HA7"/>
  <c r="HI7"/>
  <c r="HJ7"/>
  <c r="GS7"/>
  <c r="O5" i="15"/>
  <c r="O207" s="1"/>
  <c r="HC7" i="9"/>
  <c r="L5" i="15"/>
  <c r="L207" s="1"/>
  <c r="DZ215" i="9"/>
  <c r="DZ217"/>
  <c r="DZ218"/>
  <c r="DZ216"/>
  <c r="GO7"/>
  <c r="HF7"/>
  <c r="Y216"/>
  <c r="Y217"/>
  <c r="L6" i="6" s="1"/>
  <c r="F6"/>
  <c r="GR7" i="9"/>
  <c r="Y218"/>
  <c r="M6" i="6" s="1"/>
  <c r="Y214" i="9"/>
  <c r="J6" i="6" s="1"/>
  <c r="GZ7" i="9"/>
  <c r="M5" i="15"/>
  <c r="M207" s="1"/>
  <c r="AM214" i="9"/>
  <c r="AM217"/>
  <c r="Y215"/>
  <c r="K6" i="6" s="1"/>
  <c r="AM218" i="9"/>
  <c r="K217"/>
  <c r="L5" i="6" s="1"/>
  <c r="K214" i="9"/>
  <c r="J5" i="6" s="1"/>
  <c r="K216" i="9"/>
  <c r="K218"/>
  <c r="M5" i="6" s="1"/>
  <c r="AM215" i="9"/>
  <c r="N207" i="15" l="1"/>
  <c r="Q212" i="9"/>
  <c r="AM216"/>
  <c r="N210" i="15"/>
  <c r="N216"/>
  <c r="HR7" i="9"/>
  <c r="G27" i="19" s="1"/>
  <c r="AM212" i="9"/>
  <c r="F7" i="6" s="1"/>
  <c r="AN212" i="9"/>
  <c r="G7" i="6" s="1"/>
  <c r="HQ7" i="9"/>
  <c r="M5" i="12"/>
  <c r="N208" i="15"/>
  <c r="N213"/>
  <c r="HO7" i="9"/>
  <c r="L27" i="19" s="1"/>
  <c r="AP212" i="9"/>
  <c r="I7" i="6" s="1"/>
  <c r="N209" i="15"/>
  <c r="N214"/>
  <c r="HP7" i="9"/>
  <c r="K25" i="19"/>
  <c r="HX21" i="9"/>
  <c r="HV209"/>
  <c r="P24" i="19"/>
  <c r="BO10" i="11"/>
  <c r="BR10"/>
  <c r="BU10"/>
  <c r="BX10"/>
  <c r="BN10"/>
  <c r="BY10"/>
  <c r="BT10"/>
  <c r="BW10"/>
  <c r="BQ10"/>
  <c r="BP10"/>
  <c r="BS10"/>
  <c r="BV10"/>
  <c r="BW212" i="9"/>
  <c r="H11" i="6"/>
  <c r="AE212" i="9"/>
  <c r="D6" i="6" s="1"/>
  <c r="O6" s="1"/>
  <c r="D5"/>
  <c r="O5" s="1"/>
  <c r="Q214" i="15"/>
  <c r="Q207"/>
  <c r="EE212" i="9"/>
  <c r="DZ213" s="1"/>
  <c r="CI212"/>
  <c r="D12" i="6" s="1"/>
  <c r="O12" s="1"/>
  <c r="CY212" i="9"/>
  <c r="D14" i="6" s="1"/>
  <c r="FO212" i="9"/>
  <c r="FJ213" s="1"/>
  <c r="C6" i="6"/>
  <c r="DE212" i="9"/>
  <c r="D15" i="6" s="1"/>
  <c r="O15" s="1"/>
  <c r="EQ212" i="9"/>
  <c r="EL213" s="1"/>
  <c r="CT212"/>
  <c r="D13" i="6" s="1"/>
  <c r="FG212" i="9"/>
  <c r="FB213" s="1"/>
  <c r="GC212"/>
  <c r="FU213" s="1"/>
  <c r="K215" i="15"/>
  <c r="AR5"/>
  <c r="IB13" i="9"/>
  <c r="HX19"/>
  <c r="HX14"/>
  <c r="HX30"/>
  <c r="N27" i="11" s="1"/>
  <c r="HX29" i="9"/>
  <c r="N26" i="11" s="1"/>
  <c r="HX27" i="9"/>
  <c r="N24" i="11" s="1"/>
  <c r="HX20" i="9"/>
  <c r="HX31"/>
  <c r="N28" i="11" s="1"/>
  <c r="HX15" i="9"/>
  <c r="N12" i="11" s="1"/>
  <c r="HX10" i="9"/>
  <c r="HX26"/>
  <c r="N23" i="11" s="1"/>
  <c r="HX25" i="9"/>
  <c r="N22" i="11" s="1"/>
  <c r="HX28" i="9"/>
  <c r="N25" i="11" s="1"/>
  <c r="HX16" i="9"/>
  <c r="HX36"/>
  <c r="N33" i="11" s="1"/>
  <c r="HX7" i="9"/>
  <c r="HX22"/>
  <c r="HX35"/>
  <c r="N32" i="11" s="1"/>
  <c r="HX37" i="9"/>
  <c r="N34" i="11" s="1"/>
  <c r="HX12" i="9"/>
  <c r="HX32"/>
  <c r="N29" i="11" s="1"/>
  <c r="HX23" i="9"/>
  <c r="HX18"/>
  <c r="HX34"/>
  <c r="N31" i="11" s="1"/>
  <c r="HX33" i="9"/>
  <c r="N30" i="11" s="1"/>
  <c r="HX8" i="9"/>
  <c r="HX24"/>
  <c r="HX11"/>
  <c r="K216" i="15"/>
  <c r="K210" i="12"/>
  <c r="AO5" i="15"/>
  <c r="S5"/>
  <c r="AP5"/>
  <c r="R5"/>
  <c r="HV211" i="9"/>
  <c r="HV210"/>
  <c r="JO7"/>
  <c r="JN7"/>
  <c r="L216" i="12"/>
  <c r="L215"/>
  <c r="L208"/>
  <c r="L214"/>
  <c r="L213"/>
  <c r="L210"/>
  <c r="L209"/>
  <c r="L207"/>
  <c r="M209" i="15"/>
  <c r="M210"/>
  <c r="M215"/>
  <c r="M216"/>
  <c r="M208"/>
  <c r="M213"/>
  <c r="M214"/>
  <c r="L214"/>
  <c r="L213"/>
  <c r="L215"/>
  <c r="L208"/>
  <c r="L210"/>
  <c r="L216"/>
  <c r="L209"/>
  <c r="O209"/>
  <c r="O216"/>
  <c r="O215"/>
  <c r="O214"/>
  <c r="O213"/>
  <c r="O210"/>
  <c r="O208"/>
  <c r="Q208"/>
  <c r="Q210"/>
  <c r="Q215"/>
  <c r="Q216"/>
  <c r="Q213"/>
  <c r="Q209"/>
  <c r="K207" i="12"/>
  <c r="K213"/>
  <c r="K215"/>
  <c r="K214"/>
  <c r="K208"/>
  <c r="O14" i="6"/>
  <c r="T214" i="12"/>
  <c r="T213"/>
  <c r="T210"/>
  <c r="T209"/>
  <c r="T208"/>
  <c r="T207"/>
  <c r="T216"/>
  <c r="T215"/>
  <c r="U215"/>
  <c r="U216"/>
  <c r="U207"/>
  <c r="U213"/>
  <c r="U214"/>
  <c r="U209"/>
  <c r="U210"/>
  <c r="U208"/>
  <c r="K210" i="15"/>
  <c r="K209"/>
  <c r="K208"/>
  <c r="S210" i="12"/>
  <c r="S209"/>
  <c r="S208"/>
  <c r="S207"/>
  <c r="S216"/>
  <c r="S215"/>
  <c r="S214"/>
  <c r="S213"/>
  <c r="N211" i="15"/>
  <c r="N206" s="1"/>
  <c r="N212" s="1"/>
  <c r="P209"/>
  <c r="P210"/>
  <c r="P216"/>
  <c r="P215"/>
  <c r="P214"/>
  <c r="P213"/>
  <c r="P208"/>
  <c r="M209" i="12"/>
  <c r="M210"/>
  <c r="M213"/>
  <c r="M207"/>
  <c r="M208"/>
  <c r="M215"/>
  <c r="M216"/>
  <c r="M214"/>
  <c r="C13" i="6"/>
  <c r="R213" i="12"/>
  <c r="R214"/>
  <c r="R209"/>
  <c r="R210"/>
  <c r="R216"/>
  <c r="R207"/>
  <c r="R208"/>
  <c r="R215"/>
  <c r="F5" i="6"/>
  <c r="K213" i="15"/>
  <c r="K214"/>
  <c r="K209" i="12"/>
  <c r="H5" i="15"/>
  <c r="J7" i="6"/>
  <c r="C7"/>
  <c r="L7"/>
  <c r="M7"/>
  <c r="K7"/>
  <c r="AF25" i="19" l="1"/>
  <c r="N5" i="11"/>
  <c r="P265" i="19"/>
  <c r="N20" i="11"/>
  <c r="AF145" i="19"/>
  <c r="N13" i="11"/>
  <c r="AF55" i="19"/>
  <c r="N7" i="11"/>
  <c r="P205" i="19"/>
  <c r="N16" i="11"/>
  <c r="AF265" i="19"/>
  <c r="N21" i="11"/>
  <c r="AF175" i="19"/>
  <c r="N15" i="11"/>
  <c r="AF205" i="19"/>
  <c r="N17" i="11"/>
  <c r="AF115" i="19"/>
  <c r="N11" i="11"/>
  <c r="AF85" i="19"/>
  <c r="N9" i="11"/>
  <c r="P25" i="19"/>
  <c r="N4" i="11"/>
  <c r="P235" i="19"/>
  <c r="N18" i="11"/>
  <c r="P85" i="19"/>
  <c r="N8" i="11"/>
  <c r="AF235" i="19"/>
  <c r="N19" i="11"/>
  <c r="P295" i="19"/>
  <c r="AF295"/>
  <c r="Y213" i="9"/>
  <c r="AQ212"/>
  <c r="D7" i="6" s="1"/>
  <c r="O7" s="1"/>
  <c r="P145" i="19"/>
  <c r="U28" i="4"/>
  <c r="V5" i="12"/>
  <c r="CZ213" i="9"/>
  <c r="E15" i="6" s="1"/>
  <c r="BS213" i="9"/>
  <c r="E11" i="6" s="1"/>
  <c r="D11"/>
  <c r="O11" s="1"/>
  <c r="K213" i="9"/>
  <c r="E5" i="6" s="1"/>
  <c r="CU213" i="9"/>
  <c r="E14" i="6" s="1"/>
  <c r="K211" i="15"/>
  <c r="K206" s="1"/>
  <c r="K212" s="1"/>
  <c r="Q211"/>
  <c r="Q206" s="1"/>
  <c r="Q212" s="1"/>
  <c r="E6" i="6"/>
  <c r="HV212" i="9"/>
  <c r="HV218" s="1"/>
  <c r="IC218" s="1"/>
  <c r="CJ213"/>
  <c r="E13" i="6" s="1"/>
  <c r="CE213" i="9"/>
  <c r="E12" i="6" s="1"/>
  <c r="IB10" i="9"/>
  <c r="K211" i="12"/>
  <c r="K206" s="1"/>
  <c r="K212" s="1"/>
  <c r="JQ7" i="9"/>
  <c r="JV7"/>
  <c r="JU7"/>
  <c r="JY7"/>
  <c r="KA7" s="1"/>
  <c r="JX7"/>
  <c r="JW7"/>
  <c r="JZ7"/>
  <c r="JT7"/>
  <c r="JS7"/>
  <c r="JR7"/>
  <c r="JN212"/>
  <c r="JS212" s="1"/>
  <c r="JN211"/>
  <c r="JU211" s="1"/>
  <c r="JN215"/>
  <c r="JY215" s="1"/>
  <c r="KA215" s="1"/>
  <c r="JN218"/>
  <c r="JT218" s="1"/>
  <c r="JN210"/>
  <c r="JY210" s="1"/>
  <c r="KA210" s="1"/>
  <c r="R211" i="12"/>
  <c r="R206" s="1"/>
  <c r="R212" s="1"/>
  <c r="L211"/>
  <c r="L206" s="1"/>
  <c r="L212" s="1"/>
  <c r="U211"/>
  <c r="U206" s="1"/>
  <c r="U212" s="1"/>
  <c r="T211"/>
  <c r="T206" s="1"/>
  <c r="T212" s="1"/>
  <c r="E211" i="15"/>
  <c r="E212" s="1"/>
  <c r="E213"/>
  <c r="G213" s="1"/>
  <c r="M211" i="12"/>
  <c r="M206" s="1"/>
  <c r="M212" s="1"/>
  <c r="P211" i="15"/>
  <c r="P206" s="1"/>
  <c r="P212" s="1"/>
  <c r="O211"/>
  <c r="O206" s="1"/>
  <c r="O212" s="1"/>
  <c r="L211"/>
  <c r="L206" s="1"/>
  <c r="L212" s="1"/>
  <c r="S211" i="12"/>
  <c r="S206" s="1"/>
  <c r="S212" s="1"/>
  <c r="M211" i="15"/>
  <c r="M206" s="1"/>
  <c r="M212" s="1"/>
  <c r="JN216" i="9"/>
  <c r="JY216" s="1"/>
  <c r="KA216" s="1"/>
  <c r="JN209"/>
  <c r="F207" i="15"/>
  <c r="E214"/>
  <c r="IC214" i="9"/>
  <c r="JN217"/>
  <c r="JS217" s="1"/>
  <c r="H5" i="12"/>
  <c r="J4" i="11"/>
  <c r="O13" i="6"/>
  <c r="O10"/>
  <c r="IB8" i="9"/>
  <c r="AM213" l="1"/>
  <c r="E7" i="6" s="1"/>
  <c r="O4" i="11"/>
  <c r="F210"/>
  <c r="F211" s="1"/>
  <c r="F212"/>
  <c r="G206"/>
  <c r="F214" i="12"/>
  <c r="F213"/>
  <c r="F211"/>
  <c r="F212" s="1"/>
  <c r="BO5" i="11"/>
  <c r="BR5"/>
  <c r="BY5"/>
  <c r="BX5"/>
  <c r="BN5"/>
  <c r="BU5"/>
  <c r="BT5"/>
  <c r="BW5"/>
  <c r="BQ5"/>
  <c r="BP5"/>
  <c r="BS5"/>
  <c r="BV5"/>
  <c r="HV215" i="9"/>
  <c r="JT211"/>
  <c r="IA7"/>
  <c r="R4" i="11" s="1"/>
  <c r="HZ7" i="9"/>
  <c r="JR216"/>
  <c r="JR212"/>
  <c r="JQ215"/>
  <c r="JR215"/>
  <c r="JS211"/>
  <c r="JY211"/>
  <c r="KA211" s="1"/>
  <c r="JQ217"/>
  <c r="JR211"/>
  <c r="JQ211"/>
  <c r="JY212"/>
  <c r="KA212" s="1"/>
  <c r="JQ212"/>
  <c r="JU212"/>
  <c r="JT212"/>
  <c r="JU215"/>
  <c r="JT217"/>
  <c r="JT215"/>
  <c r="JS215"/>
  <c r="JV209"/>
  <c r="JX209"/>
  <c r="JW209"/>
  <c r="JZ209"/>
  <c r="JR210"/>
  <c r="JX210"/>
  <c r="JW210"/>
  <c r="JZ210"/>
  <c r="JV210"/>
  <c r="JZ211"/>
  <c r="JV211"/>
  <c r="JX211"/>
  <c r="JW211"/>
  <c r="JV217"/>
  <c r="JX217"/>
  <c r="JW217"/>
  <c r="JZ217"/>
  <c r="JZ215"/>
  <c r="JV215"/>
  <c r="JX215"/>
  <c r="JW215"/>
  <c r="JV216"/>
  <c r="JX216"/>
  <c r="JW216"/>
  <c r="JZ216"/>
  <c r="JX218"/>
  <c r="JW218"/>
  <c r="JZ218"/>
  <c r="JV218"/>
  <c r="JV212"/>
  <c r="JX212"/>
  <c r="JW212"/>
  <c r="JZ212"/>
  <c r="JQ216"/>
  <c r="JS218"/>
  <c r="JR218"/>
  <c r="JU216"/>
  <c r="JT216"/>
  <c r="JQ218"/>
  <c r="JY218"/>
  <c r="KA218" s="1"/>
  <c r="JN213"/>
  <c r="JQ213" s="1"/>
  <c r="JS216"/>
  <c r="JU218"/>
  <c r="JQ210"/>
  <c r="JU210"/>
  <c r="JT210"/>
  <c r="JS210"/>
  <c r="JU217"/>
  <c r="JY217"/>
  <c r="KA217" s="1"/>
  <c r="JR217"/>
  <c r="JU209"/>
  <c r="JT209"/>
  <c r="JY209"/>
  <c r="KA209" s="1"/>
  <c r="JS209"/>
  <c r="JR209"/>
  <c r="JQ209"/>
  <c r="P4" i="11"/>
  <c r="F213" i="15"/>
  <c r="F211"/>
  <c r="G211" s="1"/>
  <c r="G212" s="1"/>
  <c r="Q4" i="11"/>
  <c r="AS5" i="15"/>
  <c r="F214"/>
  <c r="G214" s="1"/>
  <c r="M4" i="11"/>
  <c r="I5" i="15"/>
  <c r="I5" i="12"/>
  <c r="L4" i="11"/>
  <c r="J5" i="12"/>
  <c r="JN214" i="9"/>
  <c r="JN208"/>
  <c r="JS213" l="1"/>
  <c r="G207" i="11"/>
  <c r="G208"/>
  <c r="G209"/>
  <c r="F207"/>
  <c r="F209"/>
  <c r="F208"/>
  <c r="G212"/>
  <c r="H212" s="1"/>
  <c r="G210"/>
  <c r="G211" s="1"/>
  <c r="BN4"/>
  <c r="IB7" i="9"/>
  <c r="IB213" s="1"/>
  <c r="IB210"/>
  <c r="IB209"/>
  <c r="IC209" s="1"/>
  <c r="JR213"/>
  <c r="JU213"/>
  <c r="JT213"/>
  <c r="JY213"/>
  <c r="KA213" s="1"/>
  <c r="E209" i="15"/>
  <c r="E208"/>
  <c r="E210"/>
  <c r="F210" i="12"/>
  <c r="F209"/>
  <c r="F208"/>
  <c r="JX214" i="9"/>
  <c r="JW214"/>
  <c r="JZ214"/>
  <c r="JV214"/>
  <c r="JV208"/>
  <c r="JX208"/>
  <c r="JW208"/>
  <c r="JZ208"/>
  <c r="JV213"/>
  <c r="JX213"/>
  <c r="JW213"/>
  <c r="JZ213"/>
  <c r="F212" i="15"/>
  <c r="BX4" i="11"/>
  <c r="BU4"/>
  <c r="BO4"/>
  <c r="BY4"/>
  <c r="BR4"/>
  <c r="BS4"/>
  <c r="BP4"/>
  <c r="BV4"/>
  <c r="BW4"/>
  <c r="BT4"/>
  <c r="BQ4"/>
  <c r="JY208" i="9"/>
  <c r="KA208" s="1"/>
  <c r="JT208"/>
  <c r="JS208"/>
  <c r="JR208"/>
  <c r="JQ208"/>
  <c r="JU208"/>
  <c r="JY214"/>
  <c r="KA214" s="1"/>
  <c r="JR214"/>
  <c r="JQ214"/>
  <c r="JU214"/>
  <c r="JT214"/>
  <c r="JS214"/>
  <c r="H210" i="11" l="1"/>
  <c r="H211" s="1"/>
  <c r="H207"/>
  <c r="H208"/>
  <c r="IB214" i="9"/>
  <c r="IB208"/>
  <c r="AS8" i="15" l="1"/>
  <c r="F210" s="1"/>
  <c r="G210" s="1"/>
  <c r="IC210" i="9"/>
  <c r="F208" i="15" l="1"/>
  <c r="G208" s="1"/>
  <c r="F209"/>
  <c r="G209" s="1"/>
  <c r="IB211" i="9"/>
  <c r="BO7" i="11" l="1"/>
  <c r="BR7"/>
  <c r="BY7"/>
  <c r="BX7"/>
  <c r="BN7"/>
  <c r="BU7"/>
  <c r="BT7"/>
  <c r="BW7"/>
  <c r="BQ7"/>
  <c r="BP7"/>
  <c r="BS7"/>
  <c r="BV7"/>
  <c r="IC211" i="9"/>
  <c r="IB212"/>
  <c r="IB215" s="1"/>
  <c r="IB217"/>
  <c r="IB216"/>
  <c r="IC216" s="1"/>
  <c r="IC213"/>
  <c r="H209" i="11"/>
  <c r="BN209" l="1"/>
  <c r="BN208"/>
  <c r="BN207"/>
  <c r="BN211"/>
  <c r="BN212"/>
  <c r="BN213"/>
  <c r="BN216"/>
  <c r="BP213"/>
  <c r="E33" i="6" s="1"/>
  <c r="BP211" i="11"/>
  <c r="E31" i="6" s="1"/>
  <c r="BP212" i="11"/>
  <c r="E32" i="6" s="1"/>
  <c r="BP216" i="11"/>
  <c r="E36" i="6" s="1"/>
  <c r="BP209" i="11"/>
  <c r="E29" i="6" s="1"/>
  <c r="BP207" i="11"/>
  <c r="BP208"/>
  <c r="E28" i="6" s="1"/>
  <c r="BQ212" i="11"/>
  <c r="F32" i="6" s="1"/>
  <c r="BQ211" i="11"/>
  <c r="F31" i="6" s="1"/>
  <c r="BQ209" i="11"/>
  <c r="F29" i="6" s="1"/>
  <c r="BQ207" i="11"/>
  <c r="BQ213"/>
  <c r="F33" i="6" s="1"/>
  <c r="BQ216" i="11"/>
  <c r="F36" i="6" s="1"/>
  <c r="BQ208" i="11"/>
  <c r="F28" i="6" s="1"/>
  <c r="BO209" i="11"/>
  <c r="D29" i="6" s="1"/>
  <c r="BO212" i="11"/>
  <c r="D32" i="6" s="1"/>
  <c r="BO207" i="11"/>
  <c r="BO213"/>
  <c r="D33" i="6" s="1"/>
  <c r="BO211" i="11"/>
  <c r="D31" i="6" s="1"/>
  <c r="BO216" i="11"/>
  <c r="D36" i="6" s="1"/>
  <c r="BO208" i="11"/>
  <c r="D28" i="6" s="1"/>
  <c r="BR209" i="11"/>
  <c r="G29" i="6" s="1"/>
  <c r="BR216" i="11"/>
  <c r="G36" i="6" s="1"/>
  <c r="BR211" i="11"/>
  <c r="G31" i="6" s="1"/>
  <c r="BR207" i="11"/>
  <c r="BR208"/>
  <c r="G28" i="6" s="1"/>
  <c r="BR212" i="11"/>
  <c r="G32" i="6" s="1"/>
  <c r="BR213" i="11"/>
  <c r="G33" i="6" s="1"/>
  <c r="IB218" i="9"/>
  <c r="IC212"/>
  <c r="IC215" s="1"/>
  <c r="BV211" i="11"/>
  <c r="K31" i="6" s="1"/>
  <c r="BV208" i="11"/>
  <c r="K28" i="6" s="1"/>
  <c r="BV213" i="11"/>
  <c r="K33" i="6" s="1"/>
  <c r="BV216" i="11"/>
  <c r="K36" i="6" s="1"/>
  <c r="BV207" i="11"/>
  <c r="BV212"/>
  <c r="K32" i="6" s="1"/>
  <c r="BV209" i="11"/>
  <c r="K29" i="6" s="1"/>
  <c r="BT211" i="11"/>
  <c r="I31" i="6" s="1"/>
  <c r="BT216" i="11"/>
  <c r="I36" i="6" s="1"/>
  <c r="BT212" i="11"/>
  <c r="I32" i="6" s="1"/>
  <c r="BT208" i="11"/>
  <c r="I28" i="6" s="1"/>
  <c r="BT207" i="11"/>
  <c r="BT209"/>
  <c r="I29" i="6" s="1"/>
  <c r="BT213" i="11"/>
  <c r="I33" i="6" s="1"/>
  <c r="BX212" i="11"/>
  <c r="M32" i="6" s="1"/>
  <c r="BX213" i="11"/>
  <c r="M33" i="6" s="1"/>
  <c r="BX211" i="11"/>
  <c r="M31" i="6" s="1"/>
  <c r="BX216" i="11"/>
  <c r="M36" i="6" s="1"/>
  <c r="BX208" i="11"/>
  <c r="M28" i="6" s="1"/>
  <c r="BX209" i="11"/>
  <c r="M29" i="6" s="1"/>
  <c r="BX207" i="11"/>
  <c r="BW208"/>
  <c r="L28" i="6" s="1"/>
  <c r="BW212" i="11"/>
  <c r="L32" i="6" s="1"/>
  <c r="BW211" i="11"/>
  <c r="L31" i="6" s="1"/>
  <c r="BW213" i="11"/>
  <c r="L33" i="6" s="1"/>
  <c r="BW207" i="11"/>
  <c r="BW216"/>
  <c r="L36" i="6" s="1"/>
  <c r="BW209" i="11"/>
  <c r="L29" i="6" s="1"/>
  <c r="BY216" i="11"/>
  <c r="N36" i="6" s="1"/>
  <c r="BY212" i="11"/>
  <c r="N32" i="6" s="1"/>
  <c r="BY208" i="11"/>
  <c r="N28" i="6" s="1"/>
  <c r="BY207" i="11"/>
  <c r="BY213"/>
  <c r="N33" i="6" s="1"/>
  <c r="BY209" i="11"/>
  <c r="N29" i="6" s="1"/>
  <c r="BY211" i="11"/>
  <c r="N31" i="6" s="1"/>
  <c r="BU216" i="11"/>
  <c r="J36" i="6" s="1"/>
  <c r="BU213" i="11"/>
  <c r="J33" i="6" s="1"/>
  <c r="BU209" i="11"/>
  <c r="J29" i="6" s="1"/>
  <c r="BU212" i="11"/>
  <c r="J32" i="6" s="1"/>
  <c r="BU208" i="11"/>
  <c r="J28" i="6" s="1"/>
  <c r="BU211" i="11"/>
  <c r="J31" i="6" s="1"/>
  <c r="BU207" i="11"/>
  <c r="BS208"/>
  <c r="H28" i="6" s="1"/>
  <c r="BS216" i="11"/>
  <c r="H36" i="6" s="1"/>
  <c r="BS213" i="11"/>
  <c r="H33" i="6" s="1"/>
  <c r="BS212" i="11"/>
  <c r="H32" i="6" s="1"/>
  <c r="BS209" i="11"/>
  <c r="H29" i="6" s="1"/>
  <c r="BS207" i="11"/>
  <c r="BS211"/>
  <c r="H31" i="6" s="1"/>
  <c r="BN210" i="11" l="1"/>
  <c r="BN214" s="1"/>
  <c r="BN215" s="1"/>
  <c r="N27" i="6"/>
  <c r="BY210" i="11"/>
  <c r="BT210"/>
  <c r="I27" i="6"/>
  <c r="C31"/>
  <c r="BZ211" i="11"/>
  <c r="O31" i="6" s="1"/>
  <c r="C29"/>
  <c r="BZ209" i="11"/>
  <c r="O29" i="6" s="1"/>
  <c r="G27"/>
  <c r="BR210" i="11"/>
  <c r="D27" i="6"/>
  <c r="BO210" i="11"/>
  <c r="M27" i="6"/>
  <c r="BX210" i="11"/>
  <c r="K27" i="6"/>
  <c r="BV210" i="11"/>
  <c r="C32" i="6"/>
  <c r="BZ212" i="11"/>
  <c r="O32" i="6" s="1"/>
  <c r="C36"/>
  <c r="BZ216" i="11"/>
  <c r="O36" i="6" s="1"/>
  <c r="E27"/>
  <c r="BP210" i="11"/>
  <c r="BU210"/>
  <c r="J27" i="6"/>
  <c r="L27"/>
  <c r="BW210" i="11"/>
  <c r="BZ207"/>
  <c r="O27" i="6" s="1"/>
  <c r="C27"/>
  <c r="C33"/>
  <c r="BZ213" i="11"/>
  <c r="O33" i="6" s="1"/>
  <c r="F27"/>
  <c r="BQ210" i="11"/>
  <c r="H27" i="6"/>
  <c r="BS210" i="11"/>
  <c r="C28" i="6"/>
  <c r="BZ208" i="11"/>
  <c r="O28" i="6" s="1"/>
  <c r="BP214" i="11" l="1"/>
  <c r="E30" i="6"/>
  <c r="BV214" i="11"/>
  <c r="K30" i="6"/>
  <c r="BO214" i="11"/>
  <c r="D30" i="6"/>
  <c r="F30"/>
  <c r="BQ214" i="11"/>
  <c r="L30" i="6"/>
  <c r="BW214" i="11"/>
  <c r="BX214"/>
  <c r="M30" i="6"/>
  <c r="BR214" i="11"/>
  <c r="G30" i="6"/>
  <c r="N30"/>
  <c r="BY214" i="11"/>
  <c r="BS214"/>
  <c r="H30" i="6"/>
  <c r="BZ210" i="11"/>
  <c r="O30" i="6" s="1"/>
  <c r="C30"/>
  <c r="BU214" i="11"/>
  <c r="J30" i="6"/>
  <c r="I30"/>
  <c r="BT214" i="11"/>
  <c r="C35" i="6" l="1"/>
  <c r="BZ214" i="11"/>
  <c r="C34" i="6"/>
  <c r="BY215" i="11"/>
  <c r="N35" i="6" s="1"/>
  <c r="N34"/>
  <c r="F34"/>
  <c r="BQ215" i="11"/>
  <c r="F35" i="6" s="1"/>
  <c r="BT215" i="11"/>
  <c r="I35" i="6" s="1"/>
  <c r="I34"/>
  <c r="BS215" i="11"/>
  <c r="H35" i="6" s="1"/>
  <c r="H34"/>
  <c r="BR215" i="11"/>
  <c r="G35" i="6" s="1"/>
  <c r="G34"/>
  <c r="D34"/>
  <c r="BO215" i="11"/>
  <c r="D35" i="6" s="1"/>
  <c r="E34"/>
  <c r="BP215" i="11"/>
  <c r="E35" i="6" s="1"/>
  <c r="J34"/>
  <c r="BU215" i="11"/>
  <c r="J35" i="6" s="1"/>
  <c r="L34"/>
  <c r="BW215" i="11"/>
  <c r="L35" i="6" s="1"/>
  <c r="BX215" i="11"/>
  <c r="M35" i="6" s="1"/>
  <c r="M34"/>
  <c r="BV215" i="11"/>
  <c r="K35" i="6" s="1"/>
  <c r="K34"/>
  <c r="O34" l="1"/>
  <c r="BZ215" i="11"/>
  <c r="O35" i="6" s="1"/>
</calcChain>
</file>

<file path=xl/sharedStrings.xml><?xml version="1.0" encoding="utf-8"?>
<sst xmlns="http://schemas.openxmlformats.org/spreadsheetml/2006/main" count="850" uniqueCount="277">
  <si>
    <t>SRNO</t>
  </si>
  <si>
    <t>ROLL NO</t>
  </si>
  <si>
    <t>OBC</t>
  </si>
  <si>
    <t>Class</t>
  </si>
  <si>
    <t>Section</t>
  </si>
  <si>
    <t>DOA</t>
  </si>
  <si>
    <t>Gender</t>
  </si>
  <si>
    <t>Category</t>
  </si>
  <si>
    <t>A</t>
  </si>
  <si>
    <t>F</t>
  </si>
  <si>
    <t>M</t>
  </si>
  <si>
    <t>PHOTO</t>
  </si>
  <si>
    <t>oSdfYid fo"k;ksa dh lwph</t>
  </si>
  <si>
    <t>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</si>
  <si>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</si>
  <si>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</si>
  <si>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</si>
  <si>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</si>
  <si>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</si>
  <si>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</si>
  <si>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</si>
  <si>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</si>
  <si>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</si>
  <si>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</si>
  <si>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</si>
  <si>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</si>
  <si>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</si>
  <si>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TOTAL EXEMPTION</t>
  </si>
  <si>
    <t>mRrh.kZ@    lkuqxzg mRrh.kZ@ vuqRrh.kZ@ iwjd@ vuqifLFkr</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</si>
  <si>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</si>
  <si>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</si>
  <si>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</si>
  <si>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</si>
  <si>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</si>
  <si>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</si>
  <si>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</si>
  <si>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</si>
  <si>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</si>
  <si>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</si>
  <si>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</si>
  <si>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</si>
  <si>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</si>
  <si>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</si>
  <si>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</si>
  <si>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</si>
  <si>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</si>
  <si>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</si>
  <si>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</si>
  <si>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</si>
  <si>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</si>
  <si>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</si>
  <si>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</si>
  <si>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</si>
  <si>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</si>
  <si>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</si>
  <si>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</si>
  <si>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</si>
  <si>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</si>
  <si>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</si>
  <si>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</si>
  <si>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</si>
  <si>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</si>
  <si>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</si>
  <si>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</si>
  <si>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</si>
  <si>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</si>
  <si>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</si>
  <si>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</si>
  <si>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</si>
  <si>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 xml:space="preserve"> Whats App No. 09001884272</t>
  </si>
  <si>
    <t>heeralaljatchandawal@gmail.com</t>
  </si>
  <si>
    <t>Sr. Teacher at GSSS Inderwara (PALI)</t>
  </si>
  <si>
    <t>Programmer  &amp;   Presented By</t>
  </si>
  <si>
    <t>Sr. Teacher at MGGS BAR (PALI)</t>
  </si>
  <si>
    <t>BY Grace</t>
  </si>
  <si>
    <t>G</t>
  </si>
  <si>
    <t>Total Attendance</t>
  </si>
  <si>
    <t>.-------------Cut here-------------------------Cut here-------------------------Cut here-------------------------Cut here-------------------------Cut here-------------------Cut here-------------</t>
  </si>
  <si>
    <t>TO</t>
  </si>
  <si>
    <t xml:space="preserve"> </t>
  </si>
  <si>
    <t>:: इस एक्सेल शीट पर कार्य करने हेतु विशेष निर्देश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</si>
  <si>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</si>
  <si>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t xml:space="preserve">इसके अतिरिक्त रिजल्ट वर्कबुक में एंट्री करते समय आनेवाली सामान्य समस्याएं व समाधान </t>
  </si>
  <si>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</si>
  <si>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</si>
  <si>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</si>
  <si>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</si>
  <si>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</si>
  <si>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</si>
  <si>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</si>
  <si>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</si>
  <si>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</si>
  <si>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</si>
  <si>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</si>
  <si>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</si>
  <si>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</si>
  <si>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</si>
  <si>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</si>
  <si>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</si>
  <si>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</si>
  <si>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</si>
  <si>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</si>
  <si>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</si>
  <si>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</si>
  <si>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</si>
  <si>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</si>
  <si>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</si>
  <si>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</si>
  <si>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</si>
  <si>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</si>
  <si>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G.S.S.S. BAR</t>
  </si>
  <si>
    <t>Suresh Kumar</t>
  </si>
  <si>
    <t>Radheshyam</t>
  </si>
  <si>
    <t>Yogendra</t>
  </si>
  <si>
    <t>Lalit Kumar</t>
  </si>
  <si>
    <t>Heeralal Jat</t>
  </si>
  <si>
    <t>Gurudev Vasudev Ji Maharaj</t>
  </si>
  <si>
    <t>रोल न.</t>
  </si>
  <si>
    <t xml:space="preserve">कक्षा </t>
  </si>
  <si>
    <t>प्रवेशांक</t>
  </si>
  <si>
    <t xml:space="preserve">प्रवेश तिथि </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</si>
  <si>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</si>
  <si>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</si>
  <si>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</si>
  <si>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</si>
  <si>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</si>
  <si>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</si>
  <si>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</si>
  <si>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</si>
  <si>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</si>
  <si>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</si>
  <si>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</si>
  <si>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H</t>
  </si>
  <si>
    <t>E</t>
  </si>
  <si>
    <t>Grade</t>
  </si>
  <si>
    <t>Percentage</t>
  </si>
  <si>
    <t>Details</t>
  </si>
  <si>
    <t>CATEGORY-WISE RESULT WILL SHOW INCULDE THE DECLARATION OF THE SUPPLEMENTARY EXAM. RESULTS</t>
  </si>
  <si>
    <t>Main Exam</t>
  </si>
  <si>
    <t>Supp. Exam</t>
  </si>
  <si>
    <t>Date of Supplementary result declaration :-</t>
  </si>
  <si>
    <t>Final Result</t>
  </si>
  <si>
    <t>Grace Marks</t>
  </si>
  <si>
    <t>Total Meeting</t>
  </si>
  <si>
    <t>Class Position</t>
  </si>
  <si>
    <t>Sheet Password :-</t>
  </si>
  <si>
    <t>MARKSHEET  PRINT</t>
  </si>
  <si>
    <t>SHOW</t>
  </si>
  <si>
    <t xml:space="preserve"> Marks Ob.</t>
  </si>
  <si>
    <t>कक्षा 09 के प्रत्येक विद्यार्थी के तृतीय भाषा  विषय को भरने हेतु प्रत्येक विद्यार्थी के सामने ऑप्शन दे रखे है , इसके लिए आप 1 , 2 , 3, 4, 5 , 6  कोड भर सकते है I इनका सम्बन्ध तृतीय भाषा विषय के स्थान के क्रमानुसार है I</t>
  </si>
  <si>
    <t>यह वर्कबुक कक्षा 09 के सामान्य विषय के अलावा व्यावसायिक शिक्षा  के लिए भी समान रूप से उपयोगी है I  विषय के सम्बन्ध में डिटेल आप मास्टर शीट पर फिल कर सकते है I आवश्यकता होने पर केवल  विषयों के  पूर्णाक में बदलाव कर सकते है I</t>
  </si>
  <si>
    <t xml:space="preserve">तृतीय भाषा </t>
  </si>
  <si>
    <t>Class09</t>
  </si>
  <si>
    <t>SS</t>
  </si>
  <si>
    <t>VO</t>
  </si>
  <si>
    <t>व्यावसायिक शिक्षा</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</si>
  <si>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</si>
  <si>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</si>
  <si>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</si>
  <si>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</si>
  <si>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</si>
  <si>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</si>
  <si>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</si>
  <si>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</si>
  <si>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</si>
  <si>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</si>
  <si>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Sharad Sharma</t>
  </si>
  <si>
    <t>Rakesh kumar Sharma</t>
  </si>
  <si>
    <t>Suresh kumar Singariya</t>
  </si>
  <si>
    <t>Sharda Choudhary</t>
  </si>
  <si>
    <t>A+</t>
  </si>
  <si>
    <t>Pravin kumar</t>
  </si>
  <si>
    <t>Rahul</t>
  </si>
  <si>
    <r>
      <t xml:space="preserve">सबसे पहले शीट को ओपन करने के बाद </t>
    </r>
    <r>
      <rPr>
        <b/>
        <sz val="12"/>
        <color theme="1" tint="4.9989318521683403E-2"/>
        <rFont val="Calibri"/>
        <family val="2"/>
        <scheme val="minor"/>
      </rPr>
      <t xml:space="preserve">स्कूल प्रोफाइल </t>
    </r>
    <r>
      <rPr>
        <sz val="12"/>
        <color theme="1" tint="4.9989318521683403E-2"/>
        <rFont val="Calibri"/>
        <family val="2"/>
        <scheme val="minor"/>
      </rPr>
      <t>पर जो विद्यालय से सम्बंधित जो सामान्य जानकारी पूर्ण कर लेवें I</t>
    </r>
  </si>
  <si>
    <t xml:space="preserve">यू टूयूब विडियो लिंक </t>
  </si>
  <si>
    <t xml:space="preserve">You tube Video Link </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</si>
  <si>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scheme val="major"/>
      </rPr>
      <t>www.rajguruji.com</t>
    </r>
    <r>
      <rPr>
        <b/>
        <sz val="12"/>
        <color rgb="FF0000CC"/>
        <rFont val="Cambria"/>
        <family val="1"/>
        <scheme val="major"/>
      </rPr>
      <t xml:space="preserve"> , </t>
    </r>
    <r>
      <rPr>
        <b/>
        <sz val="14"/>
        <color rgb="FF0000CC"/>
        <rFont val="Cambria"/>
        <family val="1"/>
      </rPr>
      <t xml:space="preserve">www.rajgyan.co.in , www.rajteachers.com , www.rajsevak.com/excel and Shala sugum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t>
    </r>
    <r>
      <rPr>
        <b/>
        <u/>
        <sz val="14"/>
        <color rgb="FF9900FF"/>
        <rFont val="Calibri"/>
        <family val="2"/>
        <scheme val="minor"/>
      </rPr>
      <t>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</si>
  <si>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t xml:space="preserve">यह एक्सेल शीट 200 विद्यार्थियों को ध्यान में रखकर बनाई गयी है I अगर आपकी स्कूल में विद्यार्थी 200 से कम है तो अतिरिक्त कॉलम की हाईड कर लेवे, जिससे प्रिंट निकालने में असुविधा न हो I अगर विद्यार्थी एक सेक्शन में 200 से भी अधिक है तो फिर सेक्शन वार शीट भी तैयार कर सकते है I  </t>
  </si>
  <si>
    <r>
      <rPr>
        <sz val="12"/>
        <rFont val="Calibri"/>
        <family val="2"/>
        <scheme val="minor"/>
      </rPr>
      <t xml:space="preserve">प्रत्येक वर्कबुक में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 xml:space="preserve"> हिंदी हेतु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यदि उक्त  font आपके  computer में  installed न हो तो  website से download कर save करने के पश्चात् नीचे दिए तरीके के अनुसार  install  कर सकते है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</si>
  <si>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</si>
  <si>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</si>
  <si>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</si>
  <si>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</si>
  <si>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</si>
  <si>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</si>
  <si>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 xml:space="preserve">महात्मा गाँधी राजकीय विद्यालय (अंग्रेजी माध्यम) बर, पाली </t>
  </si>
  <si>
    <t>Hindi</t>
  </si>
  <si>
    <t>Rakesh Kumar</t>
  </si>
  <si>
    <t>Yogesh</t>
  </si>
  <si>
    <t>Class Teacher 9th :-</t>
  </si>
  <si>
    <t>Third Lang.</t>
  </si>
  <si>
    <t>संस्कृत (71)</t>
  </si>
  <si>
    <t>Sanskrit  (71)</t>
  </si>
  <si>
    <t xml:space="preserve">उर्दू (72) </t>
  </si>
  <si>
    <t>Urdu (72)</t>
  </si>
  <si>
    <t>गुजराती (73)</t>
  </si>
  <si>
    <t>Gujrati (73)</t>
  </si>
  <si>
    <t xml:space="preserve">सिंधी (74) </t>
  </si>
  <si>
    <t>Sindhi (74)</t>
  </si>
  <si>
    <t>पंजाबी (75)</t>
  </si>
  <si>
    <t>Punjabi (75)</t>
  </si>
  <si>
    <t>संस्कृतम (95)</t>
  </si>
  <si>
    <t>Sanskritam (95)</t>
  </si>
  <si>
    <t>Rahul Jat</t>
  </si>
  <si>
    <t>HL Jat</t>
  </si>
  <si>
    <t>Lali</t>
  </si>
  <si>
    <t>S. N.</t>
  </si>
  <si>
    <t xml:space="preserve">क्र. स. </t>
  </si>
  <si>
    <t>Shyam</t>
  </si>
  <si>
    <t>Ram</t>
  </si>
  <si>
    <t>Sita</t>
  </si>
  <si>
    <t>Mukesh Kumar</t>
  </si>
  <si>
    <t>Dinesh</t>
  </si>
  <si>
    <t>Ramesh</t>
  </si>
  <si>
    <t>Gita</t>
  </si>
  <si>
    <t>Mita</t>
  </si>
  <si>
    <t>Rita</t>
  </si>
  <si>
    <t>Sonu</t>
  </si>
  <si>
    <t>Monu</t>
  </si>
  <si>
    <t>GEN</t>
  </si>
  <si>
    <t>SC</t>
  </si>
  <si>
    <t>SBC</t>
  </si>
  <si>
    <t>MIN</t>
  </si>
  <si>
    <t>ST</t>
  </si>
  <si>
    <t>9th</t>
  </si>
  <si>
    <t>सेक्शन</t>
  </si>
  <si>
    <t>AB</t>
  </si>
  <si>
    <t>NA</t>
  </si>
  <si>
    <t>ML</t>
  </si>
  <si>
    <t>jay</t>
  </si>
  <si>
    <t>viru</t>
  </si>
  <si>
    <t>anil</t>
  </si>
  <si>
    <t>rahim</t>
  </si>
  <si>
    <t>karim</t>
  </si>
  <si>
    <t>fatima</t>
  </si>
  <si>
    <t>laxmi</t>
  </si>
  <si>
    <t>raza</t>
  </si>
  <si>
    <t>roza</t>
  </si>
  <si>
    <t>viliam</t>
  </si>
  <si>
    <t>rozer</t>
  </si>
  <si>
    <t>dinesh</t>
  </si>
  <si>
    <t>mahesh</t>
  </si>
  <si>
    <t>rina</t>
  </si>
  <si>
    <t>diza</t>
  </si>
  <si>
    <t>bipasa</t>
  </si>
  <si>
    <t>dimple</t>
  </si>
  <si>
    <t>dipika</t>
  </si>
  <si>
    <t>devendra</t>
  </si>
  <si>
    <t>ravindra</t>
  </si>
  <si>
    <t>Date of Birth</t>
  </si>
  <si>
    <t>Vacational Subject :-</t>
  </si>
  <si>
    <t>70/35</t>
  </si>
  <si>
    <t>100/50</t>
  </si>
  <si>
    <r>
      <t xml:space="preserve">Max. Marks  </t>
    </r>
    <r>
      <rPr>
        <b/>
        <sz val="12"/>
        <rFont val="Wingdings"/>
        <charset val="2"/>
      </rPr>
      <t>Ü</t>
    </r>
  </si>
  <si>
    <r>
      <rPr>
        <b/>
        <sz val="14"/>
        <color rgb="FFFF0000"/>
        <rFont val="Wingdings"/>
        <charset val="2"/>
      </rPr>
      <t>E</t>
    </r>
    <r>
      <rPr>
        <b/>
        <sz val="14"/>
        <color rgb="FFFF0000"/>
        <rFont val="Calibri"/>
        <family val="2"/>
        <scheme val="minor"/>
      </rPr>
      <t>If you want Marksheet of any student of 9th Class , you must be write Roll No. in Yellow Colour Cell Either Move Form Develover Tab Butten</t>
    </r>
  </si>
  <si>
    <t>https://youtu.be/6Uilt-YxIxk</t>
  </si>
  <si>
    <r>
      <t>इस वर्कबुक की सिक्यूरिटी के लिए C</t>
    </r>
    <r>
      <rPr>
        <b/>
        <sz val="14"/>
        <color rgb="FFFF0000"/>
        <rFont val="Calibri"/>
        <family val="2"/>
        <scheme val="minor"/>
      </rPr>
      <t>lass09</t>
    </r>
    <r>
      <rPr>
        <b/>
        <sz val="13"/>
        <color rgb="FFFF0000"/>
        <rFont val="Calibri"/>
        <family val="2"/>
        <scheme val="minor"/>
      </rPr>
      <t xml:space="preserve">  पासवर्ड है I ( जो इंस्ट्रक्शन शीट , मास्टर शीट व मार्कशीट शीट पर काम नहीं करेगा - सिक्यूरिटी के लिए )</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</si>
  <si>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20 विद्यार्थियों की मार्कशीट्स एक साथ निकाल सकते है I</t>
    </r>
  </si>
  <si>
    <t>UPDATE ON</t>
  </si>
  <si>
    <t>Ghanshyam Singh</t>
  </si>
  <si>
    <t>रिजल्ट शीट  (Green Sheet)</t>
  </si>
  <si>
    <t>SUBJECT MM</t>
  </si>
  <si>
    <t>SUBJECT RESULT</t>
  </si>
  <si>
    <t>SUBJECT DIVISION</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</si>
  <si>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</si>
  <si>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</si>
  <si>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</si>
  <si>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This Sheet Password :-     Class09</t>
  </si>
  <si>
    <t>अंग्रेजी</t>
  </si>
  <si>
    <t>you can print 20 Marksheets at once. Two columns are given above, in which you can print the 20 marksheets. you want to print by writing their first and 20th Roll Numbers. Example : 901 to 920, 921 to 940, 941 to 960 …………</t>
  </si>
  <si>
    <t>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t>
  </si>
  <si>
    <t>https://youtu.be/YgrB3e6SHv8</t>
  </si>
  <si>
    <t>Session  :-</t>
  </si>
  <si>
    <t>Yes</t>
  </si>
  <si>
    <t>https://youtu.be/atAmvhXLU30</t>
  </si>
  <si>
    <t>2025-2026</t>
  </si>
  <si>
    <t>Dewanand</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</si>
</sst>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53">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b/>
      <sz val="11"/>
      <color indexed="10"/>
      <name val="Kruti Dev 010"/>
    </font>
    <font>
      <b/>
      <sz val="12"/>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6"/>
      <color rgb="FFFF66CC"/>
      <name val="Arial"/>
      <family val="2"/>
    </font>
    <font>
      <b/>
      <sz val="10"/>
      <color rgb="FFFF0000"/>
      <name val="Calibri"/>
      <family val="2"/>
    </font>
    <font>
      <b/>
      <sz val="20"/>
      <name val="Kruti Dev 010"/>
    </font>
    <font>
      <sz val="10"/>
      <color indexed="10"/>
      <name val="Arial"/>
      <family val="2"/>
    </font>
    <font>
      <sz val="14"/>
      <name val="Kruti Dev 010"/>
    </font>
    <font>
      <sz val="10"/>
      <color indexed="3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8"/>
      <name val="Calibri"/>
      <family val="2"/>
      <scheme val="minor"/>
    </font>
    <font>
      <b/>
      <sz val="8"/>
      <name val="Cambria"/>
      <family val="1"/>
    </font>
    <font>
      <b/>
      <sz val="11"/>
      <color rgb="FF0000FF"/>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1"/>
      <color theme="0"/>
      <name val="Calibri"/>
      <family val="2"/>
      <scheme val="minor"/>
    </font>
    <font>
      <b/>
      <sz val="24"/>
      <color rgb="FFFF0000"/>
      <name val="Wingdings"/>
      <charset val="2"/>
    </font>
    <font>
      <b/>
      <i/>
      <u/>
      <sz val="16"/>
      <color rgb="FF7030A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0000CC"/>
      <name val="Calibri"/>
      <family val="2"/>
      <scheme val="minor"/>
    </font>
    <font>
      <b/>
      <sz val="12"/>
      <color rgb="FFCC0099"/>
      <name val="Calibri"/>
      <family val="2"/>
      <scheme val="minor"/>
    </font>
    <font>
      <b/>
      <sz val="12"/>
      <color rgb="FFD60093"/>
      <name val="Calibri"/>
      <family val="2"/>
      <scheme val="minor"/>
    </font>
    <font>
      <b/>
      <sz val="14"/>
      <color theme="1"/>
      <name val="Cambria"/>
      <family val="1"/>
      <scheme val="major"/>
    </font>
    <font>
      <b/>
      <i/>
      <sz val="14"/>
      <name val="Calibri"/>
      <family val="2"/>
      <scheme val="minor"/>
    </font>
    <font>
      <b/>
      <sz val="9"/>
      <color theme="1"/>
      <name val="Calibri"/>
      <family val="2"/>
      <scheme val="min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4"/>
      <color theme="0" tint="-0.14999847407452621"/>
      <name val="Calibri"/>
      <family val="2"/>
      <scheme val="minor"/>
    </font>
    <font>
      <b/>
      <sz val="11"/>
      <color indexed="8"/>
      <name val="Calibri"/>
      <family val="2"/>
    </font>
    <font>
      <b/>
      <sz val="10.5"/>
      <color theme="1"/>
      <name val="Calibri"/>
      <family val="2"/>
      <scheme val="minor"/>
    </font>
    <font>
      <b/>
      <sz val="10.5"/>
      <color theme="1"/>
      <name val="Kruti Dev 010"/>
    </font>
    <font>
      <b/>
      <sz val="10"/>
      <color rgb="FF0000CC"/>
      <name val="Calibri"/>
      <family val="2"/>
      <scheme val="minor"/>
    </font>
    <font>
      <b/>
      <sz val="16"/>
      <color rgb="FFCC0099"/>
      <name val="Calibri"/>
      <family val="2"/>
      <scheme val="minor"/>
    </font>
    <font>
      <b/>
      <sz val="13"/>
      <name val="Calibri"/>
      <family val="2"/>
      <scheme val="minor"/>
    </font>
    <font>
      <b/>
      <sz val="16"/>
      <name val="Cambria"/>
      <family val="1"/>
      <scheme val="major"/>
    </font>
    <font>
      <b/>
      <sz val="14"/>
      <color rgb="FF0000CC"/>
      <name val="Cambria"/>
      <family val="1"/>
      <scheme val="major"/>
    </font>
    <font>
      <b/>
      <sz val="10"/>
      <color indexed="12"/>
      <name val="Calibri"/>
      <family val="2"/>
      <scheme val="minor"/>
    </font>
    <font>
      <b/>
      <sz val="11"/>
      <color rgb="FFC00000"/>
      <name val="Calibri"/>
      <family val="2"/>
      <scheme val="minor"/>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
      <color rgb="FF005024"/>
      <name val="Cambria"/>
      <family val="1"/>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15"/>
      <color rgb="FF9900FF"/>
      <name val="Calibri"/>
      <family val="2"/>
      <scheme val="minor"/>
    </font>
    <font>
      <b/>
      <sz val="9"/>
      <color rgb="FF004620"/>
      <name val="Cambria"/>
      <family val="1"/>
    </font>
    <font>
      <b/>
      <i/>
      <sz val="14"/>
      <color theme="1"/>
      <name val="Cambria"/>
      <family val="1"/>
      <scheme val="major"/>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sz val="11"/>
      <color indexed="8"/>
      <name val="Calibri"/>
      <family val="2"/>
      <scheme val="minor"/>
    </font>
    <font>
      <b/>
      <sz val="10"/>
      <color indexed="8"/>
      <name val="Calibri"/>
      <family val="2"/>
      <scheme val="minor"/>
    </font>
    <font>
      <sz val="11"/>
      <color theme="0" tint="-0.34998626667073579"/>
      <name val="Calibri"/>
      <family val="2"/>
      <scheme val="minor"/>
    </font>
    <font>
      <sz val="12"/>
      <color theme="0" tint="-0.34998626667073579"/>
      <name val="Calibri"/>
      <family val="2"/>
      <scheme val="minor"/>
    </font>
    <font>
      <b/>
      <u/>
      <sz val="14"/>
      <color rgb="FF0000CC"/>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i/>
      <sz val="14"/>
      <color rgb="FF0000CC"/>
      <name val="Calibri"/>
      <family val="2"/>
      <scheme val="minor"/>
    </font>
    <font>
      <b/>
      <sz val="8"/>
      <color rgb="FFFF0000"/>
      <name val="Cambria"/>
      <family val="1"/>
    </font>
    <font>
      <b/>
      <sz val="11"/>
      <color theme="0" tint="-0.14999847407452621"/>
      <name val="Calibri"/>
      <family val="2"/>
      <scheme val="minor"/>
    </font>
    <font>
      <b/>
      <u val="double"/>
      <sz val="14"/>
      <color rgb="FFFFFF00"/>
      <name val="Calibri"/>
      <family val="2"/>
      <scheme val="minor"/>
    </font>
    <font>
      <b/>
      <sz val="9.5"/>
      <color theme="1"/>
      <name val="Calibri"/>
      <family val="2"/>
      <scheme val="minor"/>
    </font>
    <font>
      <b/>
      <sz val="11"/>
      <color rgb="FF0000FF"/>
      <name val="Cambria"/>
      <family val="1"/>
      <scheme val="major"/>
    </font>
    <font>
      <b/>
      <sz val="11"/>
      <color rgb="FF9900FF"/>
      <name val="Cambria"/>
      <family val="1"/>
      <scheme val="major"/>
    </font>
    <font>
      <b/>
      <sz val="12"/>
      <color rgb="FFFF0000"/>
      <name val="Cambria"/>
      <family val="1"/>
      <scheme val="major"/>
    </font>
    <font>
      <b/>
      <sz val="9.5"/>
      <name val="Calibri"/>
      <family val="2"/>
      <scheme val="minor"/>
    </font>
    <font>
      <b/>
      <sz val="14"/>
      <name val="Arial"/>
      <family val="2"/>
    </font>
    <font>
      <b/>
      <sz val="11"/>
      <name val="Cambria"/>
      <family val="1"/>
      <scheme val="major"/>
    </font>
    <font>
      <b/>
      <sz val="12"/>
      <color rgb="FF0000CC"/>
      <name val="Cambria"/>
      <family val="1"/>
      <scheme val="major"/>
    </font>
    <font>
      <b/>
      <u/>
      <sz val="14"/>
      <color rgb="FF9900FF"/>
      <name val="Calibri"/>
      <family val="2"/>
      <scheme val="minor"/>
    </font>
    <font>
      <b/>
      <i/>
      <sz val="13"/>
      <color rgb="FF0000CC"/>
      <name val="Cambria"/>
      <family val="1"/>
      <scheme val="major"/>
    </font>
    <font>
      <b/>
      <sz val="14"/>
      <color rgb="FFCC00CC"/>
      <name val="Calibri"/>
      <family val="2"/>
      <scheme val="minor"/>
    </font>
    <font>
      <b/>
      <u/>
      <sz val="14"/>
      <color theme="10"/>
      <name val="Calibri"/>
      <family val="2"/>
    </font>
    <font>
      <b/>
      <sz val="12"/>
      <color theme="0" tint="-0.14999847407452621"/>
      <name val="Cambria"/>
      <family val="1"/>
      <scheme val="major"/>
    </font>
    <font>
      <b/>
      <sz val="11.5"/>
      <color theme="1"/>
      <name val="Calibri"/>
      <family val="2"/>
      <scheme val="minor"/>
    </font>
    <font>
      <b/>
      <sz val="11.5"/>
      <color theme="1"/>
      <name val="Kruti Dev 010"/>
    </font>
    <font>
      <b/>
      <u val="double"/>
      <sz val="14"/>
      <color rgb="FF005024"/>
      <name val="Calibri"/>
      <family val="2"/>
      <scheme val="minor"/>
    </font>
    <font>
      <b/>
      <sz val="14"/>
      <color rgb="FFFFFF00"/>
      <name val="Calibri"/>
      <family val="2"/>
      <scheme val="minor"/>
    </font>
    <font>
      <b/>
      <sz val="14"/>
      <color rgb="FF005024"/>
      <name val="Calibri"/>
      <family val="2"/>
      <scheme val="minor"/>
    </font>
    <font>
      <b/>
      <sz val="13"/>
      <color rgb="FF9900FF"/>
      <name val="Calibri"/>
      <family val="2"/>
      <scheme val="minor"/>
    </font>
    <font>
      <b/>
      <sz val="13"/>
      <color theme="1"/>
      <name val="Cambria"/>
      <family val="1"/>
      <scheme val="major"/>
    </font>
    <font>
      <b/>
      <sz val="9.5"/>
      <color rgb="FFD60093"/>
      <name val="Cambria"/>
      <family val="1"/>
    </font>
    <font>
      <b/>
      <sz val="9.5"/>
      <color rgb="FF0000CC"/>
      <name val="Cambria"/>
      <family val="1"/>
    </font>
    <font>
      <b/>
      <sz val="9.5"/>
      <color rgb="FFD60093"/>
      <name val="Calibri"/>
      <family val="2"/>
      <scheme val="minor"/>
    </font>
    <font>
      <b/>
      <sz val="9.5"/>
      <color rgb="FF0000CC"/>
      <name val="Calibri"/>
      <family val="2"/>
      <scheme val="minor"/>
    </font>
    <font>
      <b/>
      <sz val="9.5"/>
      <color indexed="10"/>
      <name val="Calibri"/>
      <family val="2"/>
      <scheme val="minor"/>
    </font>
    <font>
      <b/>
      <sz val="10"/>
      <color rgb="FF006600"/>
      <name val="Cambria"/>
      <family val="1"/>
      <scheme val="major"/>
    </font>
    <font>
      <b/>
      <sz val="11"/>
      <color rgb="FFD60093"/>
      <name val="Cambria"/>
      <family val="1"/>
      <scheme val="major"/>
    </font>
    <font>
      <b/>
      <i/>
      <sz val="10.5"/>
      <name val="Calibri"/>
      <family val="2"/>
      <scheme val="minor"/>
    </font>
    <font>
      <b/>
      <sz val="9"/>
      <color rgb="FFFF0000"/>
      <name val="Cambria"/>
      <family val="1"/>
      <scheme val="major"/>
    </font>
    <font>
      <b/>
      <sz val="10"/>
      <color theme="0"/>
      <name val="Cambria"/>
      <family val="1"/>
      <scheme val="major"/>
    </font>
    <font>
      <b/>
      <sz val="11"/>
      <color indexed="10"/>
      <name val="Calibri"/>
      <family val="2"/>
      <scheme val="minor"/>
    </font>
    <font>
      <b/>
      <sz val="9.5"/>
      <color rgb="FFCC0099"/>
      <name val="Cambria"/>
      <family val="1"/>
    </font>
    <font>
      <b/>
      <i/>
      <sz val="10.5"/>
      <color indexed="10"/>
      <name val="Calibri"/>
      <family val="2"/>
      <scheme val="minor"/>
    </font>
    <font>
      <b/>
      <sz val="11"/>
      <color theme="1"/>
      <name val="Cambria"/>
      <family val="1"/>
      <scheme val="major"/>
    </font>
    <font>
      <b/>
      <sz val="10.5"/>
      <name val="Cambria"/>
      <family val="1"/>
      <scheme val="major"/>
    </font>
    <font>
      <b/>
      <u val="double"/>
      <sz val="12"/>
      <color rgb="FF0000CC"/>
      <name val="Cambria"/>
      <family val="1"/>
      <scheme val="major"/>
    </font>
    <font>
      <b/>
      <sz val="10.5"/>
      <color rgb="FFC00000"/>
      <name val="Calibri"/>
      <family val="2"/>
      <scheme val="minor"/>
    </font>
    <font>
      <b/>
      <sz val="10"/>
      <color rgb="FFC00000"/>
      <name val="Cambria"/>
      <family val="1"/>
    </font>
    <font>
      <b/>
      <u val="double"/>
      <sz val="13"/>
      <color rgb="FFFF0000"/>
      <name val="Calibri"/>
      <family val="2"/>
      <scheme val="minor"/>
    </font>
    <font>
      <b/>
      <sz val="11.5"/>
      <name val="Calibri"/>
      <family val="2"/>
      <scheme val="minor"/>
    </font>
    <font>
      <b/>
      <sz val="11.5"/>
      <color rgb="FF9900FF"/>
      <name val="Calibri"/>
      <family val="2"/>
      <scheme val="minor"/>
    </font>
    <font>
      <b/>
      <sz val="10"/>
      <color rgb="FF9900FF"/>
      <name val="Calibri"/>
      <family val="2"/>
      <scheme val="minor"/>
    </font>
    <font>
      <b/>
      <sz val="13"/>
      <color rgb="FFD60093"/>
      <name val="Calibri"/>
      <family val="2"/>
      <scheme val="minor"/>
    </font>
    <font>
      <b/>
      <sz val="13"/>
      <name val="Cambria"/>
      <family val="1"/>
      <scheme val="maj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FF0000"/>
      <name val="Cambria"/>
      <family val="1"/>
    </font>
    <font>
      <sz val="11"/>
      <color theme="8" tint="-0.249977111117893"/>
      <name val="Calibri"/>
      <family val="2"/>
      <scheme val="minor"/>
    </font>
    <font>
      <b/>
      <u/>
      <sz val="11"/>
      <color rgb="FFD60093"/>
      <name val="Calibri"/>
      <family val="2"/>
      <scheme val="minor"/>
    </font>
    <font>
      <sz val="11.5"/>
      <color theme="1"/>
      <name val="Calibri"/>
      <family val="2"/>
      <scheme val="minor"/>
    </font>
    <font>
      <b/>
      <sz val="11"/>
      <color rgb="FF005024"/>
      <name val="Calibri"/>
      <family val="2"/>
      <scheme val="minor"/>
    </font>
    <font>
      <b/>
      <sz val="11"/>
      <color rgb="FF005024"/>
      <name val="Cambria"/>
      <family val="1"/>
      <scheme val="major"/>
    </font>
    <font>
      <b/>
      <u/>
      <sz val="10"/>
      <color rgb="FF9900FF"/>
      <name val="Calibri"/>
      <family val="2"/>
      <scheme val="minor"/>
    </font>
    <font>
      <b/>
      <sz val="10"/>
      <color rgb="FFBF11B3"/>
      <name val="Calibri"/>
      <family val="2"/>
      <scheme val="minor"/>
    </font>
    <font>
      <b/>
      <sz val="10.5"/>
      <color rgb="FFFF0000"/>
      <name val="Cambria"/>
      <family val="1"/>
      <scheme val="major"/>
    </font>
    <font>
      <b/>
      <sz val="10.5"/>
      <color rgb="FFFF0000"/>
      <name val="Calibri"/>
      <family val="2"/>
      <scheme val="minor"/>
    </font>
    <font>
      <b/>
      <sz val="12.5"/>
      <color rgb="FFFF0000"/>
      <name val="Calibri"/>
      <family val="2"/>
      <scheme val="minor"/>
    </font>
    <font>
      <b/>
      <sz val="11.5"/>
      <color rgb="FFD60093"/>
      <name val="Calibri"/>
      <family val="2"/>
      <scheme val="minor"/>
    </font>
    <font>
      <b/>
      <sz val="11.5"/>
      <color rgb="FFFF0000"/>
      <name val="Calibri"/>
      <family val="2"/>
      <scheme val="minor"/>
    </font>
    <font>
      <b/>
      <sz val="12"/>
      <color rgb="FF9900FF"/>
      <name val="Cambria"/>
      <family val="1"/>
      <scheme val="major"/>
    </font>
    <font>
      <b/>
      <sz val="14"/>
      <color rgb="FFFF0000"/>
      <name val="Wingdings"/>
      <charset val="2"/>
    </font>
    <font>
      <b/>
      <sz val="11"/>
      <name val="DevLys 010"/>
    </font>
    <font>
      <b/>
      <sz val="13"/>
      <color rgb="FFC00000"/>
      <name val="Calibri"/>
      <family val="2"/>
      <scheme val="minor"/>
    </font>
    <font>
      <b/>
      <sz val="10.5"/>
      <color rgb="FF0000CC"/>
      <name val="Calibri"/>
      <family val="2"/>
      <scheme val="minor"/>
    </font>
    <font>
      <b/>
      <sz val="10.5"/>
      <color rgb="FFB41C8C"/>
      <name val="Calibri"/>
      <family val="2"/>
      <scheme val="minor"/>
    </font>
    <font>
      <b/>
      <sz val="10.5"/>
      <color rgb="FFD60093"/>
      <name val="Calibri"/>
      <family val="2"/>
      <scheme val="minor"/>
    </font>
    <font>
      <b/>
      <sz val="10.5"/>
      <color indexed="12"/>
      <name val="Calibri"/>
      <family val="2"/>
      <scheme val="minor"/>
    </font>
    <font>
      <b/>
      <sz val="11.5"/>
      <color rgb="FF0000CC"/>
      <name val="Calibri"/>
      <family val="2"/>
      <scheme val="minor"/>
    </font>
    <font>
      <b/>
      <i/>
      <sz val="12"/>
      <color rgb="FF0000CC"/>
      <name val="Calibri"/>
      <family val="2"/>
      <scheme val="minor"/>
    </font>
    <font>
      <b/>
      <sz val="10"/>
      <color rgb="FF004620"/>
      <name val="Calibri"/>
      <family val="2"/>
      <scheme val="minor"/>
    </font>
    <font>
      <b/>
      <u/>
      <sz val="14"/>
      <color theme="10"/>
      <name val="Arial"/>
      <family val="2"/>
    </font>
    <font>
      <b/>
      <i/>
      <u/>
      <sz val="14"/>
      <color theme="9" tint="-0.499984740745262"/>
      <name val="Calibri"/>
      <family val="2"/>
    </font>
    <font>
      <b/>
      <sz val="10.5"/>
      <color rgb="FFCC0099"/>
      <name val="Calibri"/>
      <family val="2"/>
      <scheme val="minor"/>
    </font>
    <font>
      <b/>
      <sz val="16"/>
      <color rgb="FF0000CC"/>
      <name val="Arial"/>
      <family val="2"/>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FF0000"/>
      <name val="Cambria"/>
      <family val="1"/>
      <scheme val="major"/>
    </font>
    <font>
      <b/>
      <u/>
      <sz val="11"/>
      <color theme="1"/>
      <name val="Calibri"/>
      <family val="2"/>
      <scheme val="minor"/>
    </font>
    <font>
      <b/>
      <u/>
      <sz val="12"/>
      <color theme="1"/>
      <name val="Calibri"/>
      <family val="2"/>
      <scheme val="minor"/>
    </font>
    <font>
      <b/>
      <sz val="11"/>
      <color rgb="FFFF0000"/>
      <name val="Cambria"/>
      <family val="1"/>
      <scheme val="major"/>
    </font>
    <font>
      <b/>
      <sz val="11"/>
      <color rgb="FFD60093"/>
      <name val="Cambria"/>
      <family val="1"/>
    </font>
    <font>
      <b/>
      <sz val="11"/>
      <color rgb="FF0000CC"/>
      <name val="Cambria"/>
      <family val="1"/>
    </font>
    <font>
      <b/>
      <sz val="12"/>
      <color rgb="FFFF0000"/>
      <name val="Cambria"/>
      <family val="1"/>
    </font>
    <font>
      <b/>
      <sz val="10"/>
      <color rgb="FFD60093"/>
      <name val="Cambria"/>
      <family val="1"/>
      <scheme val="major"/>
    </font>
    <font>
      <b/>
      <sz val="9.5"/>
      <color rgb="FFCC0099"/>
      <name val="Cambria"/>
      <family val="1"/>
      <scheme val="major"/>
    </font>
    <font>
      <b/>
      <sz val="13.5"/>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patternFill patternType="solid">
        <fgColor theme="9" tint="0.79998168889431442"/>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45">
        <stop position="0">
          <color theme="5" tint="0.40000610370189521"/>
        </stop>
        <stop position="1">
          <color theme="9" tint="0.40000610370189521"/>
        </stop>
      </gradientFill>
    </fill>
    <fill>
      <gradientFill degree="90">
        <stop position="0">
          <color theme="0"/>
        </stop>
        <stop position="1">
          <color theme="2"/>
        </stop>
      </gradientFill>
    </fill>
    <fill>
      <patternFill patternType="solid">
        <fgColor rgb="FF92D050"/>
        <bgColor indexed="64"/>
      </patternFill>
    </fill>
    <fill>
      <gradientFill degree="90">
        <stop position="0">
          <color theme="5"/>
        </stop>
        <stop position="1">
          <color theme="4"/>
        </stop>
      </gradientFill>
    </fill>
    <fill>
      <gradientFill degree="90">
        <stop position="0">
          <color theme="7" tint="0.59999389629810485"/>
        </stop>
        <stop position="1">
          <color theme="6" tint="0.59999389629810485"/>
        </stop>
      </gradientFill>
    </fill>
    <fill>
      <patternFill patternType="solid">
        <fgColor theme="8" tint="0.59999389629810485"/>
        <bgColor indexed="64"/>
      </patternFill>
    </fill>
    <fill>
      <gradientFill degree="90">
        <stop position="0">
          <color rgb="FFFFFF00"/>
        </stop>
        <stop position="1">
          <color theme="7" tint="0.59999389629810485"/>
        </stop>
      </gradientFill>
    </fill>
    <fill>
      <gradientFill type="path" left="0.5" right="0.5" top="0.5" bottom="0.5">
        <stop position="0">
          <color theme="6" tint="0.40000610370189521"/>
        </stop>
        <stop position="1">
          <color theme="7" tint="0.40000610370189521"/>
        </stop>
      </gradientFill>
    </fill>
    <fill>
      <gradientFill type="path">
        <stop position="0">
          <color theme="0"/>
        </stop>
        <stop position="1">
          <color rgb="FF7030A0"/>
        </stop>
      </gradientFill>
    </fill>
  </fills>
  <borders count="3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right style="double">
        <color theme="5" tint="-0.499984740745262"/>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double">
        <color indexed="57"/>
      </left>
      <right style="thin">
        <color indexed="46"/>
      </right>
      <top style="thin">
        <color indexed="46"/>
      </top>
      <bottom style="double">
        <color indexed="57"/>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style="double">
        <color rgb="FF00B050"/>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right style="double">
        <color theme="5" tint="-0.249977111117893"/>
      </right>
      <top/>
      <bottom/>
      <diagonal/>
    </border>
    <border>
      <left style="medium">
        <color rgb="FF9900FF"/>
      </left>
      <right/>
      <top style="medium">
        <color rgb="FF9900FF"/>
      </top>
      <bottom/>
      <diagonal/>
    </border>
    <border>
      <left/>
      <right style="medium">
        <color rgb="FF9900FF"/>
      </right>
      <top style="medium">
        <color rgb="FF9900FF"/>
      </top>
      <bottom/>
      <diagonal/>
    </border>
    <border>
      <left style="medium">
        <color rgb="FF9900FF"/>
      </left>
      <right/>
      <top/>
      <bottom/>
      <diagonal/>
    </border>
    <border>
      <left/>
      <right style="medium">
        <color rgb="FF9900FF"/>
      </right>
      <top/>
      <bottom/>
      <diagonal/>
    </border>
    <border>
      <left style="medium">
        <color rgb="FF9900FF"/>
      </left>
      <right/>
      <top/>
      <bottom style="medium">
        <color rgb="FF9900FF"/>
      </bottom>
      <diagonal/>
    </border>
    <border>
      <left/>
      <right style="medium">
        <color rgb="FF9900FF"/>
      </right>
      <top/>
      <bottom style="medium">
        <color rgb="FF9900FF"/>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style="thin">
        <color rgb="FF0000CC"/>
      </left>
      <right/>
      <top style="thin">
        <color rgb="FF0000CC"/>
      </top>
      <bottom style="thin">
        <color rgb="FF0000CC"/>
      </bottom>
      <diagonal/>
    </border>
    <border>
      <left style="thin">
        <color rgb="FF0000CC"/>
      </left>
      <right style="thin">
        <color rgb="FF0000CC"/>
      </right>
      <top style="thin">
        <color rgb="FF0000CC"/>
      </top>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right style="thin">
        <color indexed="64"/>
      </right>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bottom style="thin">
        <color rgb="FF9900FF"/>
      </bottom>
      <diagonal/>
    </border>
    <border>
      <left style="thin">
        <color rgb="FF9900FF"/>
      </left>
      <right style="thin">
        <color rgb="FF9900FF"/>
      </right>
      <top/>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right style="thin">
        <color rgb="FF9900FF"/>
      </right>
      <top/>
      <bottom style="thin">
        <color rgb="FF9900FF"/>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double">
        <color theme="9" tint="-0.499984740745262"/>
      </left>
      <right/>
      <top style="double">
        <color theme="9" tint="-0.499984740745262"/>
      </top>
      <bottom/>
      <diagonal/>
    </border>
    <border>
      <left style="hair">
        <color rgb="FF0070C0"/>
      </left>
      <right style="hair">
        <color rgb="FF0070C0"/>
      </right>
      <top style="hair">
        <color rgb="FF0070C0"/>
      </top>
      <bottom style="hair">
        <color rgb="FF0070C0"/>
      </bottom>
      <diagonal/>
    </border>
    <border>
      <left style="hair">
        <color rgb="FF0070C0"/>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style="thin">
        <color rgb="FF0000CC"/>
      </left>
      <right style="thin">
        <color rgb="FF0000CC"/>
      </right>
      <top/>
      <bottom/>
      <diagonal/>
    </border>
    <border>
      <left style="thin">
        <color rgb="FF7030A0"/>
      </left>
      <right style="thin">
        <color rgb="FF7030A0"/>
      </right>
      <top style="thin">
        <color rgb="FF7030A0"/>
      </top>
      <bottom style="thin">
        <color rgb="FF7030A0"/>
      </bottom>
      <diagonal/>
    </border>
    <border>
      <left/>
      <right style="thin">
        <color rgb="FF9900FF"/>
      </right>
      <top/>
      <bottom/>
      <diagonal/>
    </border>
    <border>
      <left style="thin">
        <color rgb="FF7030A0"/>
      </left>
      <right/>
      <top style="thin">
        <color rgb="FF9900FF"/>
      </top>
      <bottom style="thin">
        <color rgb="FF9900FF"/>
      </bottom>
      <diagonal/>
    </border>
    <border>
      <left/>
      <right/>
      <top style="thin">
        <color rgb="FF7030A0"/>
      </top>
      <bottom style="thin">
        <color rgb="FF9900FF"/>
      </bottom>
      <diagonal/>
    </border>
    <border>
      <left style="thin">
        <color rgb="FF7030A0"/>
      </left>
      <right/>
      <top style="thin">
        <color rgb="FF7030A0"/>
      </top>
      <bottom style="thin">
        <color rgb="FF9900FF"/>
      </bottom>
      <diagonal/>
    </border>
    <border>
      <left/>
      <right style="thin">
        <color rgb="FF9900FF"/>
      </right>
      <top style="thin">
        <color rgb="FF9900FF"/>
      </top>
      <bottom/>
      <diagonal/>
    </border>
    <border>
      <left style="thin">
        <color rgb="FF9900FF"/>
      </left>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style="thin">
        <color rgb="FF9900FF"/>
      </bottom>
      <diagonal/>
    </border>
    <border>
      <left/>
      <right style="thin">
        <color rgb="FF7030A0"/>
      </right>
      <top style="thin">
        <color rgb="FF9900FF"/>
      </top>
      <bottom style="thin">
        <color rgb="FF9900FF"/>
      </bottom>
      <diagonal/>
    </border>
    <border>
      <left style="thin">
        <color rgb="FF7030A0"/>
      </left>
      <right/>
      <top style="thin">
        <color rgb="FF9900FF"/>
      </top>
      <bottom style="thin">
        <color rgb="FF7030A0"/>
      </bottom>
      <diagonal/>
    </border>
    <border>
      <left/>
      <right style="thin">
        <color rgb="FF7030A0"/>
      </right>
      <top style="thin">
        <color rgb="FF9900FF"/>
      </top>
      <bottom style="thin">
        <color rgb="FF7030A0"/>
      </bottom>
      <diagonal/>
    </border>
    <border>
      <left style="medium">
        <color rgb="FFFFFF00"/>
      </left>
      <right/>
      <top/>
      <bottom/>
      <diagonal/>
    </border>
    <border>
      <left/>
      <right style="medium">
        <color rgb="FFFFFF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style="medium">
        <color rgb="FFFF0000"/>
      </top>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style="medium">
        <color rgb="FFFFFF00"/>
      </top>
      <bottom/>
      <diagonal/>
    </border>
    <border>
      <left/>
      <right style="medium">
        <color rgb="FFFFC000"/>
      </right>
      <top style="medium">
        <color rgb="FFFFFF00"/>
      </top>
      <bottom/>
      <diagonal/>
    </border>
    <border>
      <left style="medium">
        <color rgb="FFFFC000"/>
      </left>
      <right/>
      <top/>
      <bottom style="medium">
        <color rgb="FFFFC000"/>
      </bottom>
      <diagonal/>
    </border>
    <border>
      <left/>
      <right style="medium">
        <color rgb="FFFFC000"/>
      </right>
      <top/>
      <bottom style="medium">
        <color rgb="FFFFC000"/>
      </bottom>
      <diagonal/>
    </border>
    <border>
      <left style="medium">
        <color rgb="FFCC00CC"/>
      </left>
      <right style="medium">
        <color rgb="FFCC00CC"/>
      </right>
      <top style="medium">
        <color rgb="FFCC00CC"/>
      </top>
      <bottom style="medium">
        <color rgb="FFCC00CC"/>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9" tint="-0.499984740745262"/>
      </left>
      <right/>
      <top/>
      <bottom/>
      <diagonal/>
    </border>
    <border>
      <left style="double">
        <color theme="9" tint="-0.499984740745262"/>
      </left>
      <right/>
      <top/>
      <bottom style="double">
        <color theme="9" tint="-0.499984740745262"/>
      </bottom>
      <diagonal/>
    </border>
    <border>
      <left style="thin">
        <color theme="5" tint="-0.249977111117893"/>
      </left>
      <right style="thin">
        <color theme="5" tint="-0.249977111117893"/>
      </right>
      <top/>
      <bottom style="thin">
        <color theme="5"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5" tint="-0.249977111117893"/>
      </left>
      <right/>
      <top/>
      <bottom style="thin">
        <color theme="5" tint="-0.249977111117893"/>
      </bottom>
      <diagonal/>
    </border>
    <border>
      <left style="medium">
        <color theme="9" tint="-0.499984740745262"/>
      </left>
      <right style="thin">
        <color theme="5" tint="-0.249977111117893"/>
      </right>
      <top style="medium">
        <color theme="9" tint="-0.499984740745262"/>
      </top>
      <bottom style="thin">
        <color theme="5" tint="-0.249977111117893"/>
      </bottom>
      <diagonal/>
    </border>
    <border>
      <left style="thin">
        <color theme="5" tint="-0.249977111117893"/>
      </left>
      <right style="thin">
        <color theme="5" tint="-0.249977111117893"/>
      </right>
      <top style="medium">
        <color theme="9" tint="-0.499984740745262"/>
      </top>
      <bottom style="thin">
        <color theme="5" tint="-0.249977111117893"/>
      </bottom>
      <diagonal/>
    </border>
    <border>
      <left style="thin">
        <color theme="5" tint="-0.249977111117893"/>
      </left>
      <right style="medium">
        <color theme="9" tint="-0.499984740745262"/>
      </right>
      <top style="medium">
        <color theme="9" tint="-0.499984740745262"/>
      </top>
      <bottom/>
      <diagonal/>
    </border>
    <border>
      <left style="medium">
        <color theme="9" tint="-0.499984740745262"/>
      </left>
      <right style="thin">
        <color theme="5" tint="-0.249977111117893"/>
      </right>
      <top style="thin">
        <color theme="5" tint="-0.249977111117893"/>
      </top>
      <bottom style="thin">
        <color theme="5" tint="-0.249977111117893"/>
      </bottom>
      <diagonal/>
    </border>
    <border>
      <left style="thin">
        <color theme="9" tint="-0.499984740745262"/>
      </left>
      <right style="medium">
        <color theme="9" tint="-0.499984740745262"/>
      </right>
      <top style="thin">
        <color theme="9" tint="-0.499984740745262"/>
      </top>
      <bottom style="thin">
        <color theme="9" tint="-0.499984740745262"/>
      </bottom>
      <diagonal/>
    </border>
    <border>
      <left style="medium">
        <color theme="9" tint="-0.499984740745262"/>
      </left>
      <right style="thin">
        <color theme="5" tint="-0.249977111117893"/>
      </right>
      <top style="thin">
        <color theme="5" tint="-0.249977111117893"/>
      </top>
      <bottom style="medium">
        <color theme="9" tint="-0.499984740745262"/>
      </bottom>
      <diagonal/>
    </border>
    <border>
      <left style="thin">
        <color theme="5" tint="-0.249977111117893"/>
      </left>
      <right style="thin">
        <color theme="5" tint="-0.249977111117893"/>
      </right>
      <top/>
      <bottom style="medium">
        <color theme="9" tint="-0.499984740745262"/>
      </bottom>
      <diagonal/>
    </border>
    <border>
      <left style="thin">
        <color theme="5" tint="-0.249977111117893"/>
      </left>
      <right/>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double">
        <color theme="5" tint="-0.249977111117893"/>
      </left>
      <right/>
      <top style="double">
        <color theme="9" tint="-0.499984740745262"/>
      </top>
      <bottom style="double">
        <color theme="9" tint="-0.499984740745262"/>
      </bottom>
      <diagonal/>
    </border>
    <border>
      <left style="double">
        <color theme="9" tint="-0.499984740745262"/>
      </left>
      <right/>
      <top style="double">
        <color theme="9" tint="-0.499984740745262"/>
      </top>
      <bottom style="double">
        <color theme="9" tint="-0.499984740745262"/>
      </bottom>
      <diagonal/>
    </border>
    <border>
      <left style="double">
        <color theme="9" tint="-0.499984740745262"/>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style="double">
        <color theme="5" tint="-0.249977111117893"/>
      </bottom>
      <diagonal/>
    </border>
    <border>
      <left/>
      <right style="double">
        <color theme="5" tint="-0.249977111117893"/>
      </right>
      <top style="double">
        <color theme="9" tint="-0.499984740745262"/>
      </top>
      <bottom style="double">
        <color theme="5" tint="-0.249977111117893"/>
      </bottom>
      <diagonal/>
    </border>
    <border>
      <left/>
      <right style="double">
        <color theme="9" tint="-0.499984740745262"/>
      </right>
      <top style="double">
        <color theme="9" tint="-0.499984740745262"/>
      </top>
      <bottom style="double">
        <color theme="5" tint="-0.249977111117893"/>
      </bottom>
      <diagonal/>
    </border>
    <border>
      <left style="double">
        <color theme="9" tint="-0.499984740745262"/>
      </left>
      <right style="double">
        <color theme="5" tint="-0.249977111117893"/>
      </right>
      <top/>
      <bottom style="double">
        <color theme="9" tint="-0.499984740745262"/>
      </bottom>
      <diagonal/>
    </border>
    <border>
      <left style="double">
        <color theme="5" tint="-0.249977111117893"/>
      </left>
      <right style="double">
        <color theme="5" tint="-0.249977111117893"/>
      </right>
      <top/>
      <bottom style="double">
        <color theme="9" tint="-0.499984740745262"/>
      </bottom>
      <diagonal/>
    </border>
    <border>
      <left/>
      <right/>
      <top style="double">
        <color theme="9" tint="-0.499984740745262"/>
      </top>
      <bottom style="double">
        <color theme="5" tint="-0.249977111117893"/>
      </bottom>
      <diagonal/>
    </border>
    <border>
      <left/>
      <right style="double">
        <color theme="5" tint="-0.249977111117893"/>
      </right>
      <top style="double">
        <color theme="5" tint="-0.499984740745262"/>
      </top>
      <bottom style="double">
        <color theme="5" tint="-0.499984740745262"/>
      </bottom>
      <diagonal/>
    </border>
    <border>
      <left/>
      <right/>
      <top style="double">
        <color theme="9" tint="-0.499984740745262"/>
      </top>
      <bottom/>
      <diagonal/>
    </border>
    <border>
      <left style="double">
        <color theme="5" tint="-0.249977111117893"/>
      </left>
      <right/>
      <top/>
      <bottom style="double">
        <color theme="5" tint="-0.249977111117893"/>
      </bottom>
      <diagonal/>
    </border>
    <border>
      <left style="double">
        <color theme="5" tint="-0.249977111117893"/>
      </left>
      <right style="double">
        <color theme="5" tint="-0.249977111117893"/>
      </right>
      <top/>
      <bottom/>
      <diagonal/>
    </border>
    <border>
      <left style="medium">
        <color theme="9" tint="-0.499984740745262"/>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hair">
        <color rgb="FF00B0F0"/>
      </left>
      <right style="medium">
        <color theme="9" tint="-0.499984740745262"/>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9" tint="-0.499984740745262"/>
      </left>
      <right/>
      <top style="double">
        <color theme="5" tint="-0.249977111117893"/>
      </top>
      <bottom style="double">
        <color theme="5" tint="-0.249977111117893"/>
      </bottom>
      <diagonal/>
    </border>
    <border>
      <left style="medium">
        <color theme="9" tint="-0.499984740745262"/>
      </left>
      <right style="hair">
        <color rgb="FF00B0F0"/>
      </right>
      <top style="medium">
        <color theme="9" tint="-0.499984740745262"/>
      </top>
      <bottom/>
      <diagonal/>
    </border>
    <border>
      <left/>
      <right style="hair">
        <color rgb="FF00B0F0"/>
      </right>
      <top style="medium">
        <color theme="9" tint="-0.499984740745262"/>
      </top>
      <bottom style="hair">
        <color rgb="FF00B0F0"/>
      </bottom>
      <diagonal/>
    </border>
    <border>
      <left style="medium">
        <color theme="9" tint="-0.499984740745262"/>
      </left>
      <right style="hair">
        <color rgb="FF0070C0"/>
      </right>
      <top style="hair">
        <color rgb="FF0070C0"/>
      </top>
      <bottom style="hair">
        <color rgb="FF0070C0"/>
      </bottom>
      <diagonal/>
    </border>
    <border>
      <left style="medium">
        <color theme="9" tint="-0.499984740745262"/>
      </left>
      <right style="hair">
        <color rgb="FF00B0F0"/>
      </right>
      <top/>
      <bottom style="hair">
        <color rgb="FF00B0F0"/>
      </bottom>
      <diagonal/>
    </border>
    <border>
      <left/>
      <right style="hair">
        <color rgb="FF00B0F0"/>
      </right>
      <top style="hair">
        <color rgb="FF00B0F0"/>
      </top>
      <bottom style="medium">
        <color theme="9" tint="-0.499984740745262"/>
      </bottom>
      <diagonal/>
    </border>
    <border>
      <left style="medium">
        <color theme="9" tint="-0.499984740745262"/>
      </left>
      <right/>
      <top style="medium">
        <color theme="9" tint="-0.499984740745262"/>
      </top>
      <bottom/>
      <diagonal/>
    </border>
    <border>
      <left style="medium">
        <color theme="9" tint="-0.499984740745262"/>
      </left>
      <right/>
      <top style="hair">
        <color rgb="FF0070C0"/>
      </top>
      <bottom style="hair">
        <color rgb="FF0070C0"/>
      </bottom>
      <diagonal/>
    </border>
    <border>
      <left style="medium">
        <color theme="9" tint="-0.499984740745262"/>
      </left>
      <right/>
      <top style="hair">
        <color rgb="FF00B0F0"/>
      </top>
      <bottom style="medium">
        <color theme="9" tint="-0.499984740745262"/>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thin">
        <color rgb="FFCC0099"/>
      </left>
      <right style="medium">
        <color rgb="FFCC0099"/>
      </right>
      <top style="medium">
        <color rgb="FFCC0099"/>
      </top>
      <bottom style="thin">
        <color rgb="FFCC0099"/>
      </bottom>
      <diagonal/>
    </border>
    <border>
      <left style="medium">
        <color rgb="FFCC0099"/>
      </left>
      <right style="thin">
        <color rgb="FFCC0099"/>
      </right>
      <top style="thin">
        <color rgb="FFCC0099"/>
      </top>
      <bottom style="thin">
        <color rgb="FFCC0099"/>
      </bottom>
      <diagonal/>
    </border>
    <border>
      <left style="thin">
        <color rgb="FFCC0099"/>
      </left>
      <right style="medium">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thin">
        <color rgb="FFCC0099"/>
      </left>
      <right style="medium">
        <color rgb="FFCC0099"/>
      </right>
      <top style="thin">
        <color rgb="FFCC0099"/>
      </top>
      <bottom style="medium">
        <color rgb="FFCC0099"/>
      </bottom>
      <diagonal/>
    </border>
    <border>
      <left style="medium">
        <color rgb="FFCC0099"/>
      </left>
      <right style="thin">
        <color rgb="FFCC0099"/>
      </right>
      <top/>
      <bottom style="thin">
        <color rgb="FFCC0099"/>
      </bottom>
      <diagonal/>
    </border>
    <border>
      <left style="thin">
        <color rgb="FFCC0099"/>
      </left>
      <right style="medium">
        <color rgb="FFCC0099"/>
      </right>
      <top/>
      <bottom style="thin">
        <color rgb="FFCC0099"/>
      </bottom>
      <diagonal/>
    </border>
    <border>
      <left style="medium">
        <color rgb="FFCC0099"/>
      </left>
      <right/>
      <top style="thin">
        <color rgb="FFCC0099"/>
      </top>
      <bottom/>
      <diagonal/>
    </border>
    <border>
      <left style="medium">
        <color rgb="FFCC0099"/>
      </left>
      <right/>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008E40"/>
      </left>
      <right/>
      <top/>
      <bottom style="thin">
        <color rgb="FF00B050"/>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thin">
        <color rgb="FFD60093"/>
      </bottom>
      <diagonal/>
    </border>
    <border>
      <left/>
      <right/>
      <top style="thin">
        <color rgb="FFD60093"/>
      </top>
      <bottom style="thin">
        <color rgb="FFD60093"/>
      </bottom>
      <diagonal/>
    </border>
    <border>
      <left style="double">
        <color indexed="17"/>
      </left>
      <right/>
      <top style="thin">
        <color rgb="FF00B050"/>
      </top>
      <bottom style="double">
        <color rgb="FF00B050"/>
      </bottom>
      <diagonal/>
    </border>
    <border>
      <left/>
      <right/>
      <top style="thin">
        <color rgb="FF00B050"/>
      </top>
      <bottom style="double">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thin">
        <color rgb="FF9900FF"/>
      </right>
      <top style="thin">
        <color rgb="FF7030A0"/>
      </top>
      <bottom style="thin">
        <color rgb="FF9900FF"/>
      </bottom>
      <diagonal/>
    </border>
    <border>
      <left/>
      <right style="thin">
        <color rgb="FF9900FF"/>
      </right>
      <top style="thin">
        <color rgb="FF9900FF"/>
      </top>
      <bottom style="thin">
        <color rgb="FF7030A0"/>
      </bottom>
      <diagonal/>
    </border>
    <border>
      <left style="thin">
        <color rgb="FF0000CC"/>
      </left>
      <right style="thin">
        <color rgb="FF0000CC"/>
      </right>
      <top/>
      <bottom style="thin">
        <color rgb="FF0000CC"/>
      </bottom>
      <diagonal/>
    </border>
    <border>
      <left style="thin">
        <color rgb="FF9900FF"/>
      </left>
      <right/>
      <top style="thin">
        <color rgb="FF9900FF"/>
      </top>
      <bottom style="thin">
        <color rgb="FF7030A0"/>
      </bottom>
      <diagonal/>
    </border>
    <border>
      <left/>
      <right/>
      <top style="thin">
        <color rgb="FF9900FF"/>
      </top>
      <bottom style="thin">
        <color rgb="FF7030A0"/>
      </bottom>
      <diagonal/>
    </border>
    <border>
      <left style="medium">
        <color rgb="FF0000CC"/>
      </left>
      <right style="thin">
        <color rgb="FF0000CC"/>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diagonal/>
    </border>
    <border>
      <left/>
      <right style="medium">
        <color rgb="FF0000CC"/>
      </right>
      <top style="thin">
        <color rgb="FF0000CC"/>
      </top>
      <bottom style="thin">
        <color rgb="FF0000CC"/>
      </bottom>
      <diagonal/>
    </border>
    <border>
      <left/>
      <right style="medium">
        <color rgb="FF0000CC"/>
      </right>
      <top/>
      <bottom style="thin">
        <color rgb="FF0000CC"/>
      </bottom>
      <diagonal/>
    </border>
    <border>
      <left style="thin">
        <color rgb="FF0000CC"/>
      </left>
      <right style="thin">
        <color rgb="FF0000CC"/>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style="thin">
        <color rgb="FF0000CC"/>
      </bottom>
      <diagonal/>
    </border>
    <border>
      <left/>
      <right style="medium">
        <color rgb="FF0000CC"/>
      </right>
      <top/>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style="thin">
        <color rgb="FF006600"/>
      </bottom>
      <diagonal/>
    </border>
    <border>
      <left style="thin">
        <color rgb="FF006600"/>
      </left>
      <right/>
      <top style="thin">
        <color rgb="FF00660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6600"/>
      </right>
      <top/>
      <bottom style="thin">
        <color rgb="FF006600"/>
      </bottom>
      <diagonal/>
    </border>
    <border>
      <left/>
      <right style="thin">
        <color rgb="FF006600"/>
      </right>
      <top style="thin">
        <color rgb="FF006600"/>
      </top>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right/>
      <top style="thin">
        <color rgb="FF004620"/>
      </top>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top/>
      <bottom style="thin">
        <color rgb="FF004620"/>
      </bottom>
      <diagonal/>
    </border>
    <border>
      <left/>
      <right style="thin">
        <color rgb="FF004620"/>
      </right>
      <top style="thin">
        <color rgb="FF006600"/>
      </top>
      <bottom style="thin">
        <color rgb="FF004620"/>
      </bottom>
      <diagonal/>
    </border>
    <border>
      <left style="thin">
        <color theme="5" tint="-0.249977111117893"/>
      </left>
      <right style="thin">
        <color theme="5" tint="-0.249977111117893"/>
      </right>
      <top/>
      <bottom/>
      <diagonal/>
    </border>
  </borders>
  <cellStyleXfs count="6">
    <xf numFmtId="0" fontId="0" fillId="0" borderId="0"/>
    <xf numFmtId="0" fontId="2" fillId="0" borderId="0"/>
    <xf numFmtId="0" fontId="4" fillId="0" borderId="0"/>
    <xf numFmtId="0" fontId="5" fillId="0" borderId="0"/>
    <xf numFmtId="0" fontId="31" fillId="0" borderId="0" applyNumberFormat="0" applyFill="0" applyBorder="0" applyAlignment="0" applyProtection="0">
      <alignment vertical="top"/>
      <protection locked="0"/>
    </xf>
    <xf numFmtId="0" fontId="29" fillId="0" borderId="0"/>
  </cellStyleXfs>
  <cellXfs count="1736">
    <xf numFmtId="0" fontId="0" fillId="0" borderId="0" xfId="0"/>
    <xf numFmtId="0" fontId="0" fillId="8" borderId="0" xfId="0" applyFill="1" applyProtection="1">
      <protection hidden="1"/>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0"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9"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23" fillId="3" borderId="8" xfId="0" applyFont="1" applyFill="1" applyBorder="1" applyAlignment="1" applyProtection="1">
      <alignment horizontal="center" vertical="center" wrapText="1"/>
      <protection locked="0"/>
    </xf>
    <xf numFmtId="0" fontId="0" fillId="25" borderId="0" xfId="0" applyFill="1" applyProtection="1">
      <protection hidden="1"/>
    </xf>
    <xf numFmtId="0" fontId="85" fillId="25" borderId="0" xfId="0" applyFont="1" applyFill="1" applyAlignment="1" applyProtection="1">
      <alignment horizontal="center" vertical="center"/>
      <protection hidden="1"/>
    </xf>
    <xf numFmtId="0" fontId="10" fillId="25" borderId="0" xfId="0" applyFont="1" applyFill="1" applyAlignment="1" applyProtection="1">
      <alignment vertical="center" wrapText="1"/>
      <protection hidden="1"/>
    </xf>
    <xf numFmtId="0" fontId="0" fillId="25" borderId="0" xfId="0" applyFill="1" applyAlignment="1" applyProtection="1">
      <alignment horizontal="center" vertical="center"/>
      <protection hidden="1"/>
    </xf>
    <xf numFmtId="0" fontId="11" fillId="25" borderId="0" xfId="0" applyFont="1" applyFill="1" applyBorder="1" applyAlignment="1" applyProtection="1">
      <alignment vertical="center"/>
      <protection hidden="1"/>
    </xf>
    <xf numFmtId="0" fontId="153" fillId="25" borderId="0" xfId="0" applyFont="1" applyFill="1" applyBorder="1" applyAlignment="1" applyProtection="1">
      <alignment horizontal="center" vertical="center"/>
      <protection hidden="1"/>
    </xf>
    <xf numFmtId="0" fontId="155" fillId="25" borderId="0" xfId="0" applyFont="1" applyFill="1" applyBorder="1" applyAlignment="1" applyProtection="1">
      <alignment vertical="center" wrapText="1"/>
      <protection hidden="1"/>
    </xf>
    <xf numFmtId="0" fontId="157" fillId="3" borderId="8" xfId="0" applyFont="1" applyFill="1" applyBorder="1" applyAlignment="1" applyProtection="1">
      <alignment horizontal="center" vertical="center" wrapText="1"/>
      <protection locked="0"/>
    </xf>
    <xf numFmtId="0" fontId="119" fillId="0" borderId="0" xfId="0" applyFont="1" applyProtection="1">
      <protection hidden="1"/>
    </xf>
    <xf numFmtId="0" fontId="0" fillId="0" borderId="0" xfId="0" applyFont="1" applyProtection="1">
      <protection hidden="1"/>
    </xf>
    <xf numFmtId="0" fontId="163" fillId="0" borderId="0" xfId="0" applyFont="1" applyProtection="1">
      <protection hidden="1"/>
    </xf>
    <xf numFmtId="0" fontId="0" fillId="0" borderId="0" xfId="0" applyBorder="1" applyProtection="1">
      <protection hidden="1"/>
    </xf>
    <xf numFmtId="0" fontId="8" fillId="3" borderId="94"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left" vertical="center"/>
      <protection locked="0"/>
    </xf>
    <xf numFmtId="0" fontId="8" fillId="7" borderId="4" xfId="0" applyFont="1" applyFill="1" applyBorder="1" applyAlignment="1" applyProtection="1">
      <alignment horizontal="left" vertical="center"/>
      <protection locked="0"/>
    </xf>
    <xf numFmtId="0" fontId="8" fillId="7" borderId="1" xfId="0" applyFont="1" applyFill="1" applyBorder="1" applyAlignment="1" applyProtection="1">
      <alignment horizontal="left" vertical="center"/>
      <protection locked="0"/>
    </xf>
    <xf numFmtId="1" fontId="115" fillId="0" borderId="162" xfId="0" applyNumberFormat="1" applyFont="1" applyFill="1" applyBorder="1" applyAlignment="1" applyProtection="1">
      <alignment horizontal="center" vertical="center" wrapText="1"/>
      <protection hidden="1"/>
    </xf>
    <xf numFmtId="1" fontId="60" fillId="0" borderId="162"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1" fontId="27" fillId="0" borderId="1" xfId="0" applyNumberFormat="1" applyFont="1" applyBorder="1" applyAlignment="1" applyProtection="1">
      <alignment horizontal="center" vertical="center" wrapText="1"/>
      <protection locked="0"/>
    </xf>
    <xf numFmtId="1" fontId="156"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98" fillId="0" borderId="0" xfId="0" applyFont="1" applyProtection="1">
      <protection hidden="1"/>
    </xf>
    <xf numFmtId="0" fontId="255" fillId="0" borderId="0" xfId="0" applyFont="1" applyProtection="1">
      <protection hidden="1"/>
    </xf>
    <xf numFmtId="0" fontId="256" fillId="0" borderId="0" xfId="0" applyFont="1" applyProtection="1">
      <protection hidden="1"/>
    </xf>
    <xf numFmtId="0" fontId="259" fillId="6" borderId="0" xfId="0" applyFont="1" applyFill="1" applyBorder="1" applyAlignment="1" applyProtection="1">
      <alignment vertical="center"/>
      <protection hidden="1"/>
    </xf>
    <xf numFmtId="0" fontId="0" fillId="12" borderId="0" xfId="0" applyFill="1" applyAlignment="1" applyProtection="1">
      <alignment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12" fillId="27"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13" fillId="10" borderId="1" xfId="0" applyFont="1" applyFill="1" applyBorder="1" applyAlignment="1" applyProtection="1">
      <alignment horizontal="center" vertical="center" wrapText="1"/>
      <protection hidden="1"/>
    </xf>
    <xf numFmtId="0" fontId="214" fillId="10" borderId="1" xfId="0" applyFont="1" applyFill="1" applyBorder="1" applyAlignment="1" applyProtection="1">
      <alignment horizontal="center" vertical="center" wrapText="1"/>
      <protection hidden="1"/>
    </xf>
    <xf numFmtId="0" fontId="96" fillId="9" borderId="1" xfId="0" applyFont="1" applyFill="1" applyBorder="1" applyAlignment="1" applyProtection="1">
      <alignment horizontal="center" vertical="center" wrapText="1"/>
      <protection hidden="1"/>
    </xf>
    <xf numFmtId="0" fontId="215"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5" fillId="0" borderId="0" xfId="0" applyFont="1" applyBorder="1" applyAlignment="1" applyProtection="1">
      <alignment horizontal="center" wrapText="1"/>
      <protection hidden="1"/>
    </xf>
    <xf numFmtId="0" fontId="81"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2"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3" fillId="0" borderId="0" xfId="0" applyFont="1" applyBorder="1" applyAlignment="1" applyProtection="1">
      <alignment horizontal="center" wrapText="1"/>
      <protection hidden="1"/>
    </xf>
    <xf numFmtId="0" fontId="81"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3" fillId="0" borderId="0" xfId="0" applyFont="1" applyFill="1" applyBorder="1" applyAlignment="1" applyProtection="1">
      <alignment horizontal="center" wrapText="1"/>
      <protection hidden="1"/>
    </xf>
    <xf numFmtId="0" fontId="32" fillId="0" borderId="0" xfId="0" applyFont="1" applyBorder="1" applyAlignment="1" applyProtection="1">
      <alignment horizontal="center" wrapText="1"/>
      <protection hidden="1"/>
    </xf>
    <xf numFmtId="0" fontId="32" fillId="0" borderId="0" xfId="0" applyFont="1" applyFill="1" applyBorder="1" applyAlignment="1" applyProtection="1">
      <alignment horizontal="center" wrapText="1"/>
      <protection hidden="1"/>
    </xf>
    <xf numFmtId="0" fontId="35" fillId="0" borderId="106" xfId="0" applyFont="1" applyFill="1" applyBorder="1" applyAlignment="1" applyProtection="1">
      <alignment vertical="center" wrapText="1"/>
      <protection hidden="1"/>
    </xf>
    <xf numFmtId="0" fontId="32" fillId="0" borderId="106"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center" wrapText="1"/>
      <protection hidden="1"/>
    </xf>
    <xf numFmtId="0" fontId="30" fillId="0" borderId="106" xfId="0" applyFont="1" applyFill="1" applyBorder="1" applyAlignment="1" applyProtection="1">
      <alignment vertical="center" wrapText="1"/>
      <protection hidden="1"/>
    </xf>
    <xf numFmtId="0" fontId="58" fillId="0" borderId="51" xfId="0" applyFont="1" applyFill="1" applyBorder="1" applyAlignment="1" applyProtection="1">
      <alignment horizontal="center" vertical="center" wrapText="1"/>
      <protection hidden="1"/>
    </xf>
    <xf numFmtId="0" fontId="229" fillId="21" borderId="106" xfId="0" applyFont="1" applyFill="1" applyBorder="1" applyAlignment="1" applyProtection="1">
      <alignment horizontal="center" vertical="center" wrapText="1"/>
      <protection hidden="1"/>
    </xf>
    <xf numFmtId="0" fontId="232" fillId="21" borderId="106" xfId="0" applyFont="1" applyFill="1" applyBorder="1" applyAlignment="1" applyProtection="1">
      <alignment horizontal="center" vertical="center" wrapText="1"/>
      <protection hidden="1"/>
    </xf>
    <xf numFmtId="0" fontId="229" fillId="0" borderId="106" xfId="0" applyFont="1" applyFill="1" applyBorder="1" applyAlignment="1" applyProtection="1">
      <alignment horizontal="center" vertical="center" textRotation="90" wrapText="1"/>
      <protection hidden="1"/>
    </xf>
    <xf numFmtId="0" fontId="229" fillId="0" borderId="106" xfId="0" applyFont="1" applyFill="1" applyBorder="1" applyAlignment="1" applyProtection="1">
      <alignment horizontal="center" vertical="center" wrapText="1"/>
      <protection hidden="1"/>
    </xf>
    <xf numFmtId="0" fontId="230" fillId="0" borderId="106" xfId="0" applyFont="1" applyFill="1" applyBorder="1" applyAlignment="1" applyProtection="1">
      <alignment horizontal="center" vertical="center" wrapText="1"/>
      <protection hidden="1"/>
    </xf>
    <xf numFmtId="0" fontId="43" fillId="21" borderId="106" xfId="0" applyFont="1" applyFill="1" applyBorder="1" applyAlignment="1" applyProtection="1">
      <alignment horizontal="center" vertical="center" wrapText="1"/>
      <protection hidden="1"/>
    </xf>
    <xf numFmtId="0" fontId="45" fillId="21" borderId="106" xfId="0" applyFont="1" applyFill="1" applyBorder="1" applyAlignment="1" applyProtection="1">
      <alignment horizontal="center" vertical="center" wrapText="1"/>
      <protection hidden="1"/>
    </xf>
    <xf numFmtId="0" fontId="43" fillId="23" borderId="106" xfId="0" applyFont="1" applyFill="1" applyBorder="1" applyAlignment="1" applyProtection="1">
      <alignment horizontal="center" vertical="center" wrapText="1"/>
      <protection hidden="1"/>
    </xf>
    <xf numFmtId="0" fontId="113" fillId="23" borderId="106" xfId="0" applyFont="1" applyFill="1" applyBorder="1" applyAlignment="1" applyProtection="1">
      <alignment horizontal="center" vertical="center" wrapText="1"/>
      <protection hidden="1"/>
    </xf>
    <xf numFmtId="0" fontId="89" fillId="0" borderId="113" xfId="0" applyFont="1" applyFill="1" applyBorder="1" applyAlignment="1" applyProtection="1">
      <alignment horizontal="center" vertical="center" wrapText="1"/>
      <protection hidden="1"/>
    </xf>
    <xf numFmtId="0" fontId="88" fillId="0" borderId="113" xfId="0" applyFont="1" applyFill="1" applyBorder="1" applyAlignment="1" applyProtection="1">
      <alignment horizontal="center" vertical="center" wrapText="1"/>
      <protection hidden="1"/>
    </xf>
    <xf numFmtId="1" fontId="48" fillId="0" borderId="106" xfId="0" applyNumberFormat="1" applyFont="1" applyFill="1" applyBorder="1" applyAlignment="1" applyProtection="1">
      <alignment horizontal="center" vertical="center" wrapText="1"/>
      <protection hidden="1"/>
    </xf>
    <xf numFmtId="0" fontId="50" fillId="0" borderId="0" xfId="0" applyFont="1" applyFill="1" applyBorder="1" applyAlignment="1" applyProtection="1">
      <alignment horizontal="center" wrapText="1"/>
      <protection hidden="1"/>
    </xf>
    <xf numFmtId="0" fontId="84" fillId="0" borderId="51" xfId="0" applyFont="1" applyBorder="1" applyAlignment="1" applyProtection="1">
      <alignment vertical="center" wrapText="1"/>
      <protection hidden="1"/>
    </xf>
    <xf numFmtId="0" fontId="84"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0" fillId="0" borderId="51" xfId="0" applyFont="1" applyFill="1" applyBorder="1" applyAlignment="1" applyProtection="1">
      <alignment vertical="center" wrapText="1"/>
      <protection hidden="1"/>
    </xf>
    <xf numFmtId="2" fontId="115" fillId="0" borderId="51" xfId="0" applyNumberFormat="1" applyFont="1" applyBorder="1" applyAlignment="1" applyProtection="1">
      <alignment horizontal="center" vertical="center" wrapText="1"/>
      <protection hidden="1"/>
    </xf>
    <xf numFmtId="0" fontId="58" fillId="0" borderId="51" xfId="0" applyFont="1" applyFill="1" applyBorder="1" applyAlignment="1" applyProtection="1">
      <alignment vertical="center" wrapText="1"/>
      <protection hidden="1"/>
    </xf>
    <xf numFmtId="0" fontId="104" fillId="0" borderId="51" xfId="0" applyFont="1" applyFill="1" applyBorder="1" applyAlignment="1" applyProtection="1">
      <alignment vertical="center" wrapText="1"/>
      <protection hidden="1"/>
    </xf>
    <xf numFmtId="0" fontId="104" fillId="0" borderId="51" xfId="0" applyFont="1" applyFill="1" applyBorder="1" applyAlignment="1" applyProtection="1">
      <alignment horizontal="center" vertical="center" wrapText="1"/>
      <protection hidden="1"/>
    </xf>
    <xf numFmtId="0" fontId="12" fillId="0" borderId="106" xfId="0" applyFont="1" applyFill="1" applyBorder="1" applyAlignment="1" applyProtection="1">
      <alignment horizontal="center" vertical="center" wrapText="1"/>
      <protection hidden="1"/>
    </xf>
    <xf numFmtId="0" fontId="49" fillId="0" borderId="106" xfId="0" applyFont="1" applyFill="1" applyBorder="1" applyAlignment="1" applyProtection="1">
      <alignment horizontal="center" vertical="center" wrapText="1"/>
      <protection hidden="1"/>
    </xf>
    <xf numFmtId="0" fontId="51" fillId="7" borderId="106" xfId="0" applyFont="1" applyFill="1" applyBorder="1" applyAlignment="1" applyProtection="1">
      <alignment horizontal="center" vertical="center" wrapText="1"/>
      <protection hidden="1"/>
    </xf>
    <xf numFmtId="0" fontId="52" fillId="0" borderId="106" xfId="0" applyFont="1" applyFill="1" applyBorder="1" applyAlignment="1" applyProtection="1">
      <alignment horizontal="center" vertical="center" wrapText="1"/>
      <protection hidden="1"/>
    </xf>
    <xf numFmtId="0" fontId="233" fillId="0" borderId="106" xfId="0" applyFont="1" applyFill="1" applyBorder="1" applyAlignment="1" applyProtection="1">
      <alignment horizontal="center" vertical="center" wrapText="1"/>
      <protection hidden="1"/>
    </xf>
    <xf numFmtId="166" fontId="52" fillId="0" borderId="106" xfId="0" applyNumberFormat="1" applyFont="1" applyFill="1" applyBorder="1" applyAlignment="1" applyProtection="1">
      <alignment horizontal="center" vertical="center" wrapText="1"/>
      <protection hidden="1"/>
    </xf>
    <xf numFmtId="0" fontId="113" fillId="0" borderId="106" xfId="0" applyFont="1" applyFill="1" applyBorder="1" applyAlignment="1" applyProtection="1">
      <alignment horizontal="left" vertical="center" wrapText="1"/>
      <protection hidden="1"/>
    </xf>
    <xf numFmtId="0" fontId="43" fillId="0" borderId="106" xfId="0" applyFont="1" applyFill="1" applyBorder="1" applyAlignment="1" applyProtection="1">
      <alignment horizontal="center" vertical="center" wrapText="1"/>
      <protection hidden="1"/>
    </xf>
    <xf numFmtId="0" fontId="46" fillId="0" borderId="106" xfId="0" applyFont="1" applyFill="1" applyBorder="1" applyAlignment="1" applyProtection="1">
      <alignment horizontal="center" vertical="center" wrapText="1"/>
      <protection hidden="1"/>
    </xf>
    <xf numFmtId="0" fontId="231" fillId="0" borderId="106" xfId="0" applyFont="1" applyFill="1" applyBorder="1" applyAlignment="1" applyProtection="1">
      <alignment horizontal="center" vertical="center" wrapText="1"/>
      <protection hidden="1"/>
    </xf>
    <xf numFmtId="0" fontId="46" fillId="26" borderId="106" xfId="0" applyFont="1" applyFill="1" applyBorder="1" applyAlignment="1" applyProtection="1">
      <alignment horizontal="center" vertical="center" wrapText="1"/>
      <protection hidden="1"/>
    </xf>
    <xf numFmtId="0" fontId="46" fillId="23" borderId="106" xfId="0" applyFont="1" applyFill="1" applyBorder="1" applyAlignment="1" applyProtection="1">
      <alignment horizontal="center" vertical="center" wrapText="1"/>
      <protection hidden="1"/>
    </xf>
    <xf numFmtId="0" fontId="35" fillId="21" borderId="106" xfId="0" applyFont="1" applyFill="1" applyBorder="1" applyAlignment="1" applyProtection="1">
      <alignment horizontal="center" vertical="center" wrapText="1"/>
      <protection hidden="1"/>
    </xf>
    <xf numFmtId="1" fontId="47" fillId="0" borderId="108" xfId="0" applyNumberFormat="1" applyFont="1" applyFill="1" applyBorder="1" applyAlignment="1" applyProtection="1">
      <alignment horizontal="center" vertical="center" wrapText="1"/>
      <protection hidden="1"/>
    </xf>
    <xf numFmtId="1" fontId="228" fillId="0" borderId="108" xfId="0" applyNumberFormat="1" applyFont="1" applyFill="1" applyBorder="1" applyAlignment="1" applyProtection="1">
      <alignment horizontal="center" vertical="center" wrapText="1"/>
      <protection hidden="1"/>
    </xf>
    <xf numFmtId="0" fontId="53" fillId="0" borderId="106" xfId="5" applyFont="1" applyBorder="1" applyAlignment="1" applyProtection="1">
      <alignment horizontal="center"/>
      <protection hidden="1"/>
    </xf>
    <xf numFmtId="0" fontId="54" fillId="0" borderId="106" xfId="0" applyFont="1" applyFill="1" applyBorder="1" applyAlignment="1" applyProtection="1">
      <alignment horizontal="center" vertical="center" wrapText="1"/>
      <protection hidden="1"/>
    </xf>
    <xf numFmtId="0" fontId="55" fillId="0" borderId="106" xfId="0" applyFont="1" applyFill="1" applyBorder="1" applyAlignment="1" applyProtection="1">
      <alignment horizontal="center" vertical="center" wrapText="1"/>
      <protection hidden="1"/>
    </xf>
    <xf numFmtId="0" fontId="53" fillId="0" borderId="106" xfId="5" applyFont="1" applyFill="1" applyBorder="1" applyAlignment="1" applyProtection="1">
      <alignment horizontal="center"/>
      <protection hidden="1"/>
    </xf>
    <xf numFmtId="0" fontId="112" fillId="0" borderId="106" xfId="0" applyFont="1" applyFill="1" applyBorder="1" applyAlignment="1" applyProtection="1">
      <alignment horizontal="center" vertical="center" wrapText="1"/>
      <protection hidden="1"/>
    </xf>
    <xf numFmtId="0" fontId="33" fillId="0" borderId="106" xfId="0" applyFont="1" applyFill="1" applyBorder="1" applyAlignment="1" applyProtection="1">
      <alignment horizontal="center" vertical="center" wrapText="1"/>
      <protection hidden="1"/>
    </xf>
    <xf numFmtId="0" fontId="57" fillId="0" borderId="0" xfId="0" applyFont="1" applyFill="1" applyBorder="1" applyAlignment="1" applyProtection="1">
      <alignment horizontal="center" wrapText="1"/>
      <protection hidden="1"/>
    </xf>
    <xf numFmtId="0" fontId="50" fillId="0" borderId="51" xfId="0" applyFont="1" applyFill="1" applyBorder="1" applyAlignment="1" applyProtection="1">
      <alignment horizontal="center" wrapText="1"/>
      <protection hidden="1"/>
    </xf>
    <xf numFmtId="0" fontId="57" fillId="0" borderId="51" xfId="0" applyFont="1" applyFill="1" applyBorder="1" applyAlignment="1" applyProtection="1">
      <alignment horizontal="center" wrapText="1"/>
      <protection hidden="1"/>
    </xf>
    <xf numFmtId="0" fontId="57" fillId="0" borderId="0" xfId="0" applyFont="1" applyFill="1" applyBorder="1" applyAlignment="1" applyProtection="1">
      <alignment horizontal="left" wrapText="1"/>
      <protection hidden="1"/>
    </xf>
    <xf numFmtId="0" fontId="93" fillId="17" borderId="110" xfId="0" applyFont="1" applyFill="1" applyBorder="1" applyAlignment="1" applyProtection="1">
      <alignment vertical="center" wrapText="1"/>
      <protection hidden="1"/>
    </xf>
    <xf numFmtId="0" fontId="93" fillId="17" borderId="106" xfId="0" applyFont="1" applyFill="1" applyBorder="1" applyAlignment="1" applyProtection="1">
      <alignment vertical="center" wrapText="1"/>
      <protection hidden="1"/>
    </xf>
    <xf numFmtId="0" fontId="33" fillId="0" borderId="106" xfId="0" applyFont="1" applyFill="1" applyBorder="1" applyAlignment="1" applyProtection="1">
      <alignment vertical="center" wrapText="1"/>
      <protection hidden="1"/>
    </xf>
    <xf numFmtId="0" fontId="36" fillId="0" borderId="106" xfId="0" applyFont="1" applyFill="1" applyBorder="1" applyAlignment="1" applyProtection="1">
      <alignment vertical="center" wrapText="1"/>
      <protection hidden="1"/>
    </xf>
    <xf numFmtId="0" fontId="69" fillId="0" borderId="112" xfId="0" applyFont="1" applyBorder="1" applyAlignment="1" applyProtection="1">
      <alignment wrapText="1"/>
      <protection hidden="1"/>
    </xf>
    <xf numFmtId="0" fontId="69" fillId="0" borderId="0" xfId="0" applyFont="1" applyBorder="1" applyAlignment="1" applyProtection="1">
      <alignment horizontal="center" wrapText="1"/>
      <protection hidden="1"/>
    </xf>
    <xf numFmtId="0" fontId="225" fillId="17" borderId="110" xfId="0" applyFont="1" applyFill="1" applyBorder="1" applyAlignment="1" applyProtection="1">
      <alignment vertical="center" wrapText="1"/>
      <protection hidden="1"/>
    </xf>
    <xf numFmtId="0" fontId="225" fillId="17" borderId="106" xfId="0" applyFont="1" applyFill="1" applyBorder="1" applyAlignment="1" applyProtection="1">
      <alignment vertical="center" wrapText="1"/>
      <protection hidden="1"/>
    </xf>
    <xf numFmtId="0" fontId="60" fillId="17" borderId="106" xfId="0" applyFont="1" applyFill="1" applyBorder="1" applyAlignment="1" applyProtection="1">
      <alignment horizontal="center" wrapText="1"/>
      <protection hidden="1"/>
    </xf>
    <xf numFmtId="0" fontId="69" fillId="0" borderId="0" xfId="0" applyFont="1" applyBorder="1" applyAlignment="1" applyProtection="1">
      <alignment wrapText="1"/>
      <protection hidden="1"/>
    </xf>
    <xf numFmtId="0" fontId="57" fillId="0" borderId="0" xfId="0" applyFont="1" applyBorder="1" applyAlignment="1" applyProtection="1">
      <alignment horizontal="center" wrapText="1"/>
      <protection hidden="1"/>
    </xf>
    <xf numFmtId="0" fontId="226" fillId="17" borderId="110" xfId="0" applyFont="1" applyFill="1" applyBorder="1" applyAlignment="1" applyProtection="1">
      <alignment vertical="center" wrapText="1"/>
      <protection hidden="1"/>
    </xf>
    <xf numFmtId="0" fontId="226" fillId="17" borderId="106" xfId="0" applyFont="1" applyFill="1" applyBorder="1" applyAlignment="1" applyProtection="1">
      <alignment vertical="center" wrapText="1"/>
      <protection hidden="1"/>
    </xf>
    <xf numFmtId="0" fontId="57" fillId="17" borderId="106" xfId="0" applyFont="1" applyFill="1" applyBorder="1" applyAlignment="1" applyProtection="1">
      <alignment horizontal="center" wrapText="1"/>
      <protection hidden="1"/>
    </xf>
    <xf numFmtId="0" fontId="48" fillId="0" borderId="106" xfId="0" applyFont="1" applyFill="1" applyBorder="1" applyAlignment="1" applyProtection="1">
      <alignment vertical="center" wrapText="1"/>
      <protection hidden="1"/>
    </xf>
    <xf numFmtId="0" fontId="72" fillId="0" borderId="0" xfId="0" applyFont="1" applyBorder="1" applyAlignment="1" applyProtection="1">
      <alignment horizontal="center" wrapText="1"/>
      <protection hidden="1"/>
    </xf>
    <xf numFmtId="0" fontId="42" fillId="17" borderId="106" xfId="0" applyNumberFormat="1" applyFont="1" applyFill="1" applyBorder="1" applyAlignment="1" applyProtection="1">
      <alignment vertical="center" wrapText="1"/>
      <protection hidden="1"/>
    </xf>
    <xf numFmtId="0" fontId="71" fillId="17" borderId="106" xfId="0" applyFont="1" applyFill="1" applyBorder="1" applyAlignment="1" applyProtection="1">
      <alignment horizontal="center" vertical="center" wrapText="1"/>
      <protection hidden="1"/>
    </xf>
    <xf numFmtId="0" fontId="79" fillId="17" borderId="106" xfId="0" applyFont="1" applyFill="1" applyBorder="1" applyAlignment="1" applyProtection="1">
      <alignment horizontal="center" vertical="center" wrapText="1"/>
      <protection hidden="1"/>
    </xf>
    <xf numFmtId="0" fontId="94" fillId="17" borderId="110" xfId="0" applyFont="1" applyFill="1" applyBorder="1" applyAlignment="1" applyProtection="1">
      <alignment horizontal="center" vertical="center" wrapText="1"/>
      <protection hidden="1"/>
    </xf>
    <xf numFmtId="0" fontId="94" fillId="17" borderId="106" xfId="0" applyFont="1" applyFill="1" applyBorder="1" applyAlignment="1" applyProtection="1">
      <alignment horizontal="center" vertical="center" wrapText="1"/>
      <protection hidden="1"/>
    </xf>
    <xf numFmtId="0" fontId="71" fillId="17" borderId="106" xfId="0" applyFont="1" applyFill="1" applyBorder="1" applyAlignment="1" applyProtection="1">
      <alignment horizontal="center" wrapText="1"/>
      <protection hidden="1"/>
    </xf>
    <xf numFmtId="0" fontId="42" fillId="17" borderId="106" xfId="0" applyFont="1" applyFill="1" applyBorder="1" applyAlignment="1" applyProtection="1">
      <alignment horizontal="center" vertical="center" wrapText="1"/>
      <protection hidden="1"/>
    </xf>
    <xf numFmtId="0" fontId="73" fillId="0" borderId="106" xfId="0" applyFont="1" applyBorder="1" applyAlignment="1" applyProtection="1">
      <alignment vertical="center" wrapText="1"/>
      <protection hidden="1"/>
    </xf>
    <xf numFmtId="0" fontId="79" fillId="0" borderId="106" xfId="0" applyFont="1" applyFill="1" applyBorder="1" applyAlignment="1" applyProtection="1">
      <alignment horizontal="center" vertical="center" wrapText="1"/>
      <protection hidden="1"/>
    </xf>
    <xf numFmtId="0" fontId="87" fillId="17" borderId="106" xfId="0" applyFont="1" applyFill="1" applyBorder="1" applyAlignment="1" applyProtection="1">
      <alignment wrapText="1"/>
      <protection hidden="1"/>
    </xf>
    <xf numFmtId="0" fontId="35" fillId="17" borderId="106" xfId="0" applyFont="1" applyFill="1" applyBorder="1" applyAlignment="1" applyProtection="1">
      <alignment vertical="center" wrapText="1"/>
      <protection hidden="1"/>
    </xf>
    <xf numFmtId="0" fontId="93" fillId="17" borderId="110" xfId="0" applyFont="1" applyFill="1" applyBorder="1" applyAlignment="1" applyProtection="1">
      <alignment horizontal="center" vertical="center" wrapText="1"/>
      <protection hidden="1"/>
    </xf>
    <xf numFmtId="0" fontId="93"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wrapText="1"/>
      <protection hidden="1"/>
    </xf>
    <xf numFmtId="0" fontId="9" fillId="0" borderId="109" xfId="0" applyFont="1" applyFill="1" applyBorder="1" applyAlignment="1" applyProtection="1">
      <alignment horizontal="center" vertical="center" wrapText="1"/>
      <protection hidden="1"/>
    </xf>
    <xf numFmtId="2" fontId="95" fillId="17" borderId="110" xfId="0" applyNumberFormat="1" applyFont="1" applyFill="1" applyBorder="1" applyAlignment="1" applyProtection="1">
      <alignment vertical="center" wrapText="1"/>
      <protection hidden="1"/>
    </xf>
    <xf numFmtId="2" fontId="95" fillId="17" borderId="106" xfId="0" applyNumberFormat="1" applyFont="1" applyFill="1" applyBorder="1" applyAlignment="1" applyProtection="1">
      <alignment vertical="center" wrapText="1"/>
      <protection hidden="1"/>
    </xf>
    <xf numFmtId="0" fontId="90" fillId="17" borderId="106" xfId="0" applyFont="1" applyFill="1" applyBorder="1" applyAlignment="1" applyProtection="1">
      <alignment horizontal="center" wrapText="1"/>
      <protection hidden="1"/>
    </xf>
    <xf numFmtId="2" fontId="61" fillId="17" borderId="106" xfId="0" applyNumberFormat="1" applyFont="1" applyFill="1" applyBorder="1" applyAlignment="1" applyProtection="1">
      <alignment horizontal="center" vertical="center" wrapText="1"/>
      <protection hidden="1"/>
    </xf>
    <xf numFmtId="2" fontId="61" fillId="0" borderId="106" xfId="0" applyNumberFormat="1" applyFont="1" applyFill="1" applyBorder="1" applyAlignment="1" applyProtection="1">
      <alignment vertical="center" wrapText="1"/>
      <protection hidden="1"/>
    </xf>
    <xf numFmtId="0" fontId="74" fillId="0" borderId="0" xfId="0" applyFont="1" applyBorder="1" applyAlignment="1" applyProtection="1">
      <alignment horizontal="center" wrapText="1"/>
      <protection hidden="1"/>
    </xf>
    <xf numFmtId="0" fontId="95" fillId="17" borderId="110" xfId="0" applyFont="1" applyFill="1" applyBorder="1" applyAlignment="1" applyProtection="1">
      <alignment vertical="center" wrapText="1"/>
      <protection hidden="1"/>
    </xf>
    <xf numFmtId="0" fontId="95" fillId="17" borderId="106" xfId="0" applyFont="1" applyFill="1" applyBorder="1" applyAlignment="1" applyProtection="1">
      <alignment vertical="center" wrapText="1"/>
      <protection hidden="1"/>
    </xf>
    <xf numFmtId="0" fontId="91" fillId="17" borderId="106" xfId="0" applyFont="1" applyFill="1" applyBorder="1" applyAlignment="1" applyProtection="1">
      <alignment horizontal="center" wrapText="1"/>
      <protection hidden="1"/>
    </xf>
    <xf numFmtId="0" fontId="60" fillId="0" borderId="106" xfId="0" applyFont="1" applyFill="1" applyBorder="1" applyAlignment="1" applyProtection="1">
      <alignment vertical="center" wrapText="1"/>
      <protection hidden="1"/>
    </xf>
    <xf numFmtId="0" fontId="76" fillId="0" borderId="0" xfId="0" applyFont="1" applyFill="1" applyBorder="1" applyAlignment="1" applyProtection="1">
      <alignment horizontal="center" wrapText="1"/>
      <protection hidden="1"/>
    </xf>
    <xf numFmtId="0" fontId="61" fillId="0" borderId="106" xfId="0" applyFont="1" applyFill="1" applyBorder="1" applyAlignment="1" applyProtection="1">
      <alignment vertical="center" wrapText="1"/>
      <protection hidden="1"/>
    </xf>
    <xf numFmtId="172" fontId="223" fillId="0" borderId="109" xfId="0" applyNumberFormat="1" applyFont="1" applyFill="1" applyBorder="1" applyAlignment="1" applyProtection="1">
      <alignment horizontal="center" vertical="center" wrapText="1"/>
      <protection hidden="1"/>
    </xf>
    <xf numFmtId="0" fontId="77" fillId="0" borderId="0" xfId="0" applyFont="1" applyBorder="1" applyAlignment="1" applyProtection="1">
      <alignment horizontal="center" wrapText="1"/>
      <protection hidden="1"/>
    </xf>
    <xf numFmtId="0" fontId="16" fillId="17" borderId="106" xfId="0"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26" fillId="0" borderId="0" xfId="0" applyFont="1" applyFill="1" applyBorder="1" applyAlignment="1" applyProtection="1">
      <alignment horizontal="center" vertical="center" wrapText="1"/>
      <protection hidden="1"/>
    </xf>
    <xf numFmtId="0" fontId="69" fillId="0" borderId="117" xfId="0" applyFont="1" applyBorder="1" applyAlignment="1" applyProtection="1">
      <alignment wrapText="1"/>
      <protection hidden="1"/>
    </xf>
    <xf numFmtId="0" fontId="34" fillId="0" borderId="0" xfId="0" applyFont="1" applyFill="1" applyBorder="1" applyAlignment="1" applyProtection="1">
      <alignment horizontal="right" wrapText="1"/>
      <protection hidden="1"/>
    </xf>
    <xf numFmtId="0" fontId="20"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4" fillId="0" borderId="0" xfId="0" applyFont="1" applyFill="1" applyBorder="1" applyAlignment="1" applyProtection="1">
      <alignment horizontal="center" wrapText="1"/>
      <protection hidden="1"/>
    </xf>
    <xf numFmtId="0" fontId="34" fillId="0" borderId="112" xfId="0" applyFont="1" applyFill="1" applyBorder="1" applyAlignment="1" applyProtection="1">
      <alignment horizontal="center" wrapText="1"/>
      <protection hidden="1"/>
    </xf>
    <xf numFmtId="0" fontId="80" fillId="0" borderId="0" xfId="0" applyFont="1" applyFill="1" applyBorder="1" applyAlignment="1" applyProtection="1">
      <alignment horizontal="center" wrapText="1"/>
      <protection hidden="1"/>
    </xf>
    <xf numFmtId="0" fontId="31" fillId="0" borderId="0" xfId="4" applyFill="1" applyBorder="1" applyAlignment="1" applyProtection="1">
      <alignment vertical="center" wrapText="1"/>
      <protection hidden="1"/>
    </xf>
    <xf numFmtId="0" fontId="20" fillId="0" borderId="0" xfId="0" applyFont="1" applyFill="1" applyBorder="1" applyAlignment="1" applyProtection="1">
      <alignment wrapText="1"/>
      <protection hidden="1"/>
    </xf>
    <xf numFmtId="0" fontId="43" fillId="0" borderId="51" xfId="0" applyFont="1" applyFill="1" applyBorder="1" applyAlignment="1" applyProtection="1">
      <alignment horizontal="center" vertical="center" wrapText="1"/>
      <protection hidden="1"/>
    </xf>
    <xf numFmtId="169" fontId="43" fillId="0" borderId="51" xfId="0" applyNumberFormat="1" applyFont="1" applyFill="1" applyBorder="1" applyAlignment="1" applyProtection="1">
      <alignment horizontal="center" vertical="center" wrapText="1"/>
      <protection hidden="1"/>
    </xf>
    <xf numFmtId="0" fontId="43" fillId="0" borderId="51" xfId="0" applyFont="1" applyFill="1" applyBorder="1" applyAlignment="1" applyProtection="1">
      <alignment horizontal="left" vertical="center" wrapText="1"/>
      <protection hidden="1"/>
    </xf>
    <xf numFmtId="0" fontId="49" fillId="0" borderId="51" xfId="0" applyFont="1" applyFill="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wrapText="1"/>
      <protection hidden="1"/>
    </xf>
    <xf numFmtId="1" fontId="60" fillId="0" borderId="51" xfId="0" applyNumberFormat="1" applyFont="1" applyBorder="1" applyAlignment="1" applyProtection="1">
      <alignment horizontal="center" vertical="center" wrapText="1"/>
      <protection hidden="1"/>
    </xf>
    <xf numFmtId="0" fontId="110" fillId="19" borderId="51" xfId="0" applyFont="1" applyFill="1" applyBorder="1" applyAlignment="1" applyProtection="1">
      <alignment horizontal="center" vertical="center" wrapText="1"/>
      <protection locked="0"/>
    </xf>
    <xf numFmtId="0" fontId="110" fillId="2" borderId="51" xfId="0" applyFont="1" applyFill="1" applyBorder="1" applyAlignment="1" applyProtection="1">
      <alignment horizontal="center" vertical="center" wrapText="1"/>
      <protection locked="0"/>
    </xf>
    <xf numFmtId="0" fontId="100" fillId="0" borderId="0" xfId="0" applyFont="1" applyProtection="1">
      <protection hidden="1"/>
    </xf>
    <xf numFmtId="0" fontId="110" fillId="19" borderId="51" xfId="0" applyFont="1" applyFill="1" applyBorder="1" applyAlignment="1" applyProtection="1">
      <alignment horizontal="center" vertical="center" wrapText="1"/>
      <protection hidden="1"/>
    </xf>
    <xf numFmtId="0" fontId="100" fillId="19" borderId="51" xfId="0" applyFont="1" applyFill="1" applyBorder="1" applyProtection="1">
      <protection hidden="1"/>
    </xf>
    <xf numFmtId="0" fontId="12" fillId="19" borderId="51" xfId="0" applyFont="1" applyFill="1" applyBorder="1" applyAlignment="1" applyProtection="1">
      <alignment horizontal="center" vertical="center" wrapText="1"/>
      <protection hidden="1"/>
    </xf>
    <xf numFmtId="2" fontId="43" fillId="0" borderId="51" xfId="0" applyNumberFormat="1" applyFont="1" applyFill="1" applyBorder="1" applyAlignment="1" applyProtection="1">
      <alignment horizontal="center" vertical="center" wrapText="1"/>
      <protection hidden="1"/>
    </xf>
    <xf numFmtId="1" fontId="60" fillId="0" borderId="51" xfId="0" applyNumberFormat="1"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protection hidden="1"/>
    </xf>
    <xf numFmtId="0" fontId="60" fillId="0" borderId="51" xfId="0" applyNumberFormat="1" applyFont="1" applyBorder="1" applyAlignment="1" applyProtection="1">
      <alignment horizontal="center" wrapText="1"/>
      <protection hidden="1"/>
    </xf>
    <xf numFmtId="2" fontId="60"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01" fillId="0" borderId="146" xfId="0" applyFont="1" applyFill="1" applyBorder="1" applyAlignment="1" applyProtection="1">
      <alignment vertical="center" wrapText="1"/>
      <protection hidden="1"/>
    </xf>
    <xf numFmtId="0" fontId="75" fillId="0" borderId="148" xfId="0" applyFont="1" applyFill="1" applyBorder="1" applyAlignment="1" applyProtection="1">
      <alignment vertical="center" wrapText="1"/>
      <protection hidden="1"/>
    </xf>
    <xf numFmtId="0" fontId="75" fillId="0" borderId="149" xfId="0" applyFont="1" applyFill="1" applyBorder="1" applyAlignment="1" applyProtection="1">
      <alignment vertical="center" wrapText="1"/>
      <protection hidden="1"/>
    </xf>
    <xf numFmtId="0" fontId="101" fillId="0" borderId="150" xfId="0" applyFont="1" applyFill="1" applyBorder="1" applyAlignment="1" applyProtection="1">
      <alignment vertical="center" wrapText="1"/>
      <protection hidden="1"/>
    </xf>
    <xf numFmtId="0" fontId="46" fillId="0" borderId="51" xfId="0"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wrapText="1"/>
      <protection hidden="1"/>
    </xf>
    <xf numFmtId="1" fontId="46" fillId="0" borderId="51" xfId="0" applyNumberFormat="1" applyFont="1" applyFill="1" applyBorder="1" applyAlignment="1" applyProtection="1">
      <alignment horizontal="center" vertical="center" wrapText="1"/>
      <protection hidden="1"/>
    </xf>
    <xf numFmtId="0" fontId="75" fillId="0" borderId="0" xfId="0" applyFont="1" applyFill="1" applyBorder="1" applyAlignment="1" applyProtection="1">
      <alignment vertical="center" wrapText="1"/>
      <protection hidden="1"/>
    </xf>
    <xf numFmtId="0" fontId="75" fillId="0" borderId="151" xfId="0" applyFont="1" applyFill="1" applyBorder="1" applyAlignment="1" applyProtection="1">
      <alignment vertical="center" wrapText="1"/>
      <protection hidden="1"/>
    </xf>
    <xf numFmtId="1" fontId="46" fillId="0" borderId="51" xfId="0" applyNumberFormat="1" applyFont="1" applyBorder="1" applyAlignment="1" applyProtection="1">
      <alignment horizontal="center" vertical="center"/>
      <protection hidden="1"/>
    </xf>
    <xf numFmtId="1" fontId="46" fillId="0" borderId="51" xfId="0" applyNumberFormat="1" applyFont="1" applyBorder="1" applyAlignment="1" applyProtection="1">
      <alignment horizontal="center" vertical="center" wrapText="1"/>
      <protection hidden="1"/>
    </xf>
    <xf numFmtId="0" fontId="46" fillId="0" borderId="51" xfId="0" applyFont="1" applyFill="1" applyBorder="1" applyAlignment="1" applyProtection="1">
      <alignment horizontal="center" vertical="center"/>
      <protection hidden="1"/>
    </xf>
    <xf numFmtId="0" fontId="97" fillId="0" borderId="150" xfId="0" applyFont="1" applyBorder="1" applyProtection="1">
      <protection hidden="1"/>
    </xf>
    <xf numFmtId="0" fontId="98" fillId="0" borderId="150" xfId="0" applyFont="1" applyBorder="1" applyProtection="1">
      <protection hidden="1"/>
    </xf>
    <xf numFmtId="1" fontId="46" fillId="0" borderId="51" xfId="0" applyNumberFormat="1" applyFont="1" applyFill="1" applyBorder="1" applyAlignment="1" applyProtection="1">
      <alignment horizontal="center" vertical="center"/>
      <protection hidden="1"/>
    </xf>
    <xf numFmtId="0" fontId="0" fillId="0" borderId="150" xfId="0" applyBorder="1" applyProtection="1">
      <protection hidden="1"/>
    </xf>
    <xf numFmtId="0" fontId="46" fillId="0" borderId="51" xfId="0" applyFont="1" applyBorder="1" applyAlignment="1" applyProtection="1">
      <alignment horizontal="center" vertical="center"/>
      <protection hidden="1"/>
    </xf>
    <xf numFmtId="172" fontId="111" fillId="0" borderId="51" xfId="0" applyNumberFormat="1" applyFont="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protection hidden="1"/>
    </xf>
    <xf numFmtId="0" fontId="111" fillId="0" borderId="141" xfId="0" applyFont="1" applyFill="1" applyBorder="1" applyAlignment="1" applyProtection="1">
      <alignment horizontal="center" vertical="center" wrapText="1"/>
      <protection hidden="1"/>
    </xf>
    <xf numFmtId="0" fontId="19" fillId="0" borderId="141" xfId="0" applyFont="1" applyFill="1" applyBorder="1" applyAlignment="1" applyProtection="1">
      <alignment horizontal="center" vertical="center" wrapText="1"/>
      <protection hidden="1"/>
    </xf>
    <xf numFmtId="1" fontId="19" fillId="0" borderId="51" xfId="0" applyNumberFormat="1" applyFont="1" applyBorder="1" applyAlignment="1" applyProtection="1">
      <alignment horizontal="center" vertical="center" wrapText="1"/>
      <protection hidden="1"/>
    </xf>
    <xf numFmtId="0" fontId="19" fillId="0" borderId="51" xfId="0" applyFont="1" applyFill="1" applyBorder="1" applyAlignment="1" applyProtection="1">
      <alignment horizontal="center" vertical="center"/>
      <protection hidden="1"/>
    </xf>
    <xf numFmtId="0" fontId="111" fillId="0" borderId="145" xfId="0" applyFont="1" applyFill="1" applyBorder="1" applyAlignment="1" applyProtection="1">
      <alignment horizontal="center" vertical="center" wrapText="1"/>
      <protection hidden="1"/>
    </xf>
    <xf numFmtId="0" fontId="19" fillId="0" borderId="145" xfId="0" applyFont="1" applyFill="1" applyBorder="1" applyAlignment="1" applyProtection="1">
      <alignment horizontal="center" vertical="center" wrapText="1"/>
      <protection hidden="1"/>
    </xf>
    <xf numFmtId="168" fontId="19" fillId="0" borderId="51" xfId="0" applyNumberFormat="1" applyFont="1" applyFill="1" applyBorder="1" applyAlignment="1" applyProtection="1">
      <alignment horizontal="center" vertical="center" wrapText="1"/>
      <protection hidden="1"/>
    </xf>
    <xf numFmtId="0" fontId="0" fillId="0" borderId="151" xfId="0" applyBorder="1" applyProtection="1">
      <protection hidden="1"/>
    </xf>
    <xf numFmtId="0" fontId="0" fillId="0" borderId="152" xfId="0" applyBorder="1" applyProtection="1">
      <protection hidden="1"/>
    </xf>
    <xf numFmtId="0" fontId="0" fillId="0" borderId="153" xfId="0" applyBorder="1" applyProtection="1">
      <protection hidden="1"/>
    </xf>
    <xf numFmtId="0" fontId="101" fillId="0" borderId="49" xfId="0" applyFont="1" applyFill="1" applyBorder="1" applyAlignment="1" applyProtection="1">
      <alignment vertical="center" wrapText="1"/>
      <protection hidden="1"/>
    </xf>
    <xf numFmtId="0" fontId="101" fillId="0" borderId="50" xfId="0" applyFont="1" applyFill="1" applyBorder="1" applyAlignment="1" applyProtection="1">
      <alignment vertical="center" wrapText="1"/>
      <protection hidden="1"/>
    </xf>
    <xf numFmtId="0" fontId="165" fillId="0" borderId="126" xfId="0" applyFont="1" applyBorder="1" applyAlignment="1" applyProtection="1">
      <alignment horizontal="left" vertical="center" wrapText="1"/>
      <protection hidden="1"/>
    </xf>
    <xf numFmtId="0" fontId="235" fillId="0" borderId="17" xfId="0" applyFont="1" applyBorder="1" applyAlignment="1" applyProtection="1">
      <alignment horizontal="left" vertical="center" wrapText="1"/>
      <protection hidden="1"/>
    </xf>
    <xf numFmtId="0" fontId="60" fillId="0" borderId="17" xfId="0" applyFont="1" applyBorder="1" applyAlignment="1" applyProtection="1">
      <alignment horizontal="center" vertical="center" wrapText="1"/>
      <protection hidden="1"/>
    </xf>
    <xf numFmtId="2" fontId="60" fillId="0" borderId="17" xfId="0" applyNumberFormat="1" applyFont="1" applyBorder="1" applyAlignment="1" applyProtection="1">
      <alignment horizontal="center" vertical="center" wrapText="1"/>
      <protection hidden="1"/>
    </xf>
    <xf numFmtId="0" fontId="60" fillId="0" borderId="17" xfId="0" applyFont="1" applyFill="1" applyBorder="1" applyAlignment="1" applyProtection="1">
      <alignment horizontal="center" vertical="center" wrapText="1"/>
      <protection hidden="1"/>
    </xf>
    <xf numFmtId="0" fontId="60" fillId="0" borderId="122" xfId="0" applyFont="1" applyFill="1" applyBorder="1" applyAlignment="1" applyProtection="1">
      <alignment horizontal="center" vertical="center" wrapText="1"/>
      <protection hidden="1"/>
    </xf>
    <xf numFmtId="0" fontId="60" fillId="0" borderId="127" xfId="0" applyFont="1" applyFill="1" applyBorder="1" applyAlignment="1" applyProtection="1">
      <alignment horizontal="center" vertical="center" wrapText="1"/>
      <protection hidden="1"/>
    </xf>
    <xf numFmtId="0" fontId="165" fillId="0" borderId="23" xfId="0" applyFont="1" applyBorder="1" applyAlignment="1" applyProtection="1">
      <alignment horizontal="left" vertical="center" wrapText="1"/>
      <protection hidden="1"/>
    </xf>
    <xf numFmtId="0" fontId="235" fillId="0" borderId="1" xfId="0" applyFont="1" applyBorder="1" applyAlignment="1" applyProtection="1">
      <alignment horizontal="left" vertical="center" wrapText="1"/>
      <protection hidden="1"/>
    </xf>
    <xf numFmtId="0" fontId="60" fillId="0" borderId="1" xfId="0" applyFont="1" applyBorder="1" applyAlignment="1" applyProtection="1">
      <alignment horizontal="center" vertical="center" wrapText="1"/>
      <protection hidden="1"/>
    </xf>
    <xf numFmtId="2" fontId="60" fillId="0" borderId="1" xfId="0" applyNumberFormat="1" applyFont="1" applyBorder="1" applyAlignment="1" applyProtection="1">
      <alignment horizontal="center" vertical="center" wrapText="1"/>
      <protection hidden="1"/>
    </xf>
    <xf numFmtId="0" fontId="60" fillId="0" borderId="1" xfId="0" applyFont="1" applyFill="1" applyBorder="1" applyAlignment="1" applyProtection="1">
      <alignment horizontal="center" vertical="center" wrapText="1"/>
      <protection hidden="1"/>
    </xf>
    <xf numFmtId="0" fontId="60" fillId="0" borderId="121" xfId="0" applyFont="1" applyFill="1" applyBorder="1" applyAlignment="1" applyProtection="1">
      <alignment horizontal="center" vertical="center" wrapText="1"/>
      <protection hidden="1"/>
    </xf>
    <xf numFmtId="0" fontId="165" fillId="0" borderId="23" xfId="0" applyFont="1" applyFill="1" applyBorder="1" applyAlignment="1" applyProtection="1">
      <alignment horizontal="left" vertical="center" wrapText="1"/>
      <protection hidden="1"/>
    </xf>
    <xf numFmtId="0" fontId="235" fillId="0" borderId="1" xfId="0" applyFont="1" applyFill="1" applyBorder="1" applyAlignment="1" applyProtection="1">
      <alignment horizontal="left" vertical="center" wrapText="1"/>
      <protection hidden="1"/>
    </xf>
    <xf numFmtId="1" fontId="60" fillId="0" borderId="1" xfId="0" applyNumberFormat="1" applyFont="1" applyFill="1" applyBorder="1" applyAlignment="1" applyProtection="1">
      <alignment horizontal="center" vertical="center" wrapText="1"/>
      <protection hidden="1"/>
    </xf>
    <xf numFmtId="1" fontId="60" fillId="0" borderId="1" xfId="0" applyNumberFormat="1" applyFont="1" applyBorder="1" applyAlignment="1" applyProtection="1">
      <alignment horizontal="center" vertical="center" wrapText="1"/>
      <protection hidden="1"/>
    </xf>
    <xf numFmtId="0" fontId="165" fillId="0" borderId="25" xfId="0" applyFont="1" applyBorder="1" applyAlignment="1" applyProtection="1">
      <alignment horizontal="left" vertical="center" wrapText="1"/>
      <protection hidden="1"/>
    </xf>
    <xf numFmtId="0" fontId="60" fillId="0" borderId="26" xfId="0" applyFont="1" applyBorder="1" applyAlignment="1" applyProtection="1">
      <alignment horizontal="center" vertical="center" wrapText="1"/>
      <protection hidden="1"/>
    </xf>
    <xf numFmtId="1" fontId="60" fillId="0" borderId="26" xfId="0" applyNumberFormat="1" applyFont="1" applyBorder="1" applyAlignment="1" applyProtection="1">
      <alignment horizontal="center" vertical="center" wrapText="1"/>
      <protection hidden="1"/>
    </xf>
    <xf numFmtId="2" fontId="60" fillId="0" borderId="26" xfId="0" applyNumberFormat="1" applyFont="1" applyBorder="1" applyAlignment="1" applyProtection="1">
      <alignment horizontal="center" vertical="center" wrapText="1"/>
      <protection hidden="1"/>
    </xf>
    <xf numFmtId="0" fontId="60" fillId="0" borderId="26" xfId="0" applyFont="1" applyFill="1" applyBorder="1" applyAlignment="1" applyProtection="1">
      <alignment horizontal="center" vertical="center" wrapText="1"/>
      <protection hidden="1"/>
    </xf>
    <xf numFmtId="0" fontId="60" fillId="0" borderId="157"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6" fillId="0" borderId="0" xfId="0" applyFont="1" applyBorder="1" applyAlignment="1" applyProtection="1">
      <alignment horizontal="left" vertical="center" wrapText="1"/>
      <protection hidden="1"/>
    </xf>
    <xf numFmtId="0" fontId="60" fillId="0" borderId="0" xfId="0" applyFont="1" applyBorder="1" applyAlignment="1" applyProtection="1">
      <alignment horizontal="center" vertical="center" wrapText="1"/>
      <protection hidden="1"/>
    </xf>
    <xf numFmtId="1" fontId="60" fillId="0" borderId="0" xfId="0" applyNumberFormat="1" applyFont="1" applyBorder="1" applyAlignment="1" applyProtection="1">
      <alignment horizontal="center" vertical="center" wrapText="1"/>
      <protection hidden="1"/>
    </xf>
    <xf numFmtId="2" fontId="60" fillId="0" borderId="0" xfId="0" applyNumberFormat="1"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2" fontId="49" fillId="0" borderId="0" xfId="0" applyNumberFormat="1" applyFont="1" applyBorder="1" applyAlignment="1" applyProtection="1">
      <alignment horizontal="center" vertical="center" wrapText="1"/>
      <protection hidden="1"/>
    </xf>
    <xf numFmtId="0" fontId="49" fillId="0" borderId="0"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0" fontId="41" fillId="0" borderId="0" xfId="0" applyFont="1" applyBorder="1" applyAlignment="1" applyProtection="1">
      <alignment horizontal="left" wrapText="1"/>
      <protection hidden="1"/>
    </xf>
    <xf numFmtId="0" fontId="104" fillId="0" borderId="0" xfId="0" applyFont="1" applyFill="1" applyBorder="1" applyAlignment="1" applyProtection="1">
      <alignment vertical="center" wrapText="1"/>
      <protection hidden="1"/>
    </xf>
    <xf numFmtId="0" fontId="59" fillId="0" borderId="0" xfId="0" applyFont="1" applyAlignment="1" applyProtection="1">
      <alignment vertical="center"/>
      <protection hidden="1"/>
    </xf>
    <xf numFmtId="0" fontId="59" fillId="0" borderId="0" xfId="0" applyFont="1" applyBorder="1" applyAlignment="1" applyProtection="1">
      <alignment vertical="center"/>
      <protection hidden="1"/>
    </xf>
    <xf numFmtId="0" fontId="43" fillId="0" borderId="129" xfId="0" applyFont="1" applyFill="1" applyBorder="1" applyAlignment="1" applyProtection="1">
      <alignment horizontal="center" vertical="center" wrapText="1"/>
      <protection hidden="1"/>
    </xf>
    <xf numFmtId="0" fontId="43" fillId="0" borderId="129" xfId="0" applyFont="1" applyFill="1" applyBorder="1" applyAlignment="1" applyProtection="1">
      <alignment horizontal="center" vertical="center"/>
      <protection hidden="1"/>
    </xf>
    <xf numFmtId="0" fontId="61" fillId="0" borderId="17" xfId="0" applyFont="1" applyFill="1" applyBorder="1" applyAlignment="1" applyProtection="1">
      <alignment horizontal="center" vertical="center"/>
      <protection hidden="1"/>
    </xf>
    <xf numFmtId="0" fontId="61" fillId="0" borderId="127" xfId="0" applyFont="1" applyFill="1" applyBorder="1" applyAlignment="1" applyProtection="1">
      <alignment horizontal="center" vertical="center"/>
      <protection hidden="1"/>
    </xf>
    <xf numFmtId="0" fontId="61" fillId="0" borderId="1" xfId="0" applyFont="1" applyFill="1" applyBorder="1" applyAlignment="1" applyProtection="1">
      <alignment horizontal="center" vertical="center"/>
      <protection hidden="1"/>
    </xf>
    <xf numFmtId="0" fontId="61" fillId="0" borderId="24" xfId="0" applyFont="1" applyFill="1" applyBorder="1" applyAlignment="1" applyProtection="1">
      <alignment horizontal="center" vertical="center"/>
      <protection hidden="1"/>
    </xf>
    <xf numFmtId="0" fontId="62" fillId="0" borderId="0" xfId="0" applyFont="1" applyFill="1" applyBorder="1" applyAlignment="1" applyProtection="1">
      <alignment horizontal="center" vertical="center"/>
      <protection hidden="1"/>
    </xf>
    <xf numFmtId="0" fontId="63" fillId="0" borderId="0" xfId="0" applyFont="1" applyFill="1" applyBorder="1" applyAlignment="1" applyProtection="1">
      <alignment horizontal="center" vertical="center" wrapText="1"/>
      <protection hidden="1"/>
    </xf>
    <xf numFmtId="0" fontId="64" fillId="0" borderId="0" xfId="0" applyFont="1" applyFill="1" applyBorder="1" applyAlignment="1" applyProtection="1">
      <alignment horizontal="center" vertical="center"/>
      <protection hidden="1"/>
    </xf>
    <xf numFmtId="2" fontId="61" fillId="0" borderId="1" xfId="0" applyNumberFormat="1" applyFont="1" applyFill="1" applyBorder="1" applyAlignment="1" applyProtection="1">
      <alignment horizontal="center" vertical="center"/>
      <protection hidden="1"/>
    </xf>
    <xf numFmtId="2" fontId="61" fillId="0" borderId="24" xfId="0" applyNumberFormat="1" applyFont="1" applyFill="1" applyBorder="1" applyAlignment="1" applyProtection="1">
      <alignment horizontal="center" vertical="center"/>
      <protection hidden="1"/>
    </xf>
    <xf numFmtId="0" fontId="61" fillId="0" borderId="26" xfId="0" applyFont="1" applyFill="1" applyBorder="1" applyAlignment="1" applyProtection="1">
      <alignment horizontal="center" vertical="center"/>
      <protection hidden="1"/>
    </xf>
    <xf numFmtId="0" fontId="61" fillId="0" borderId="125"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protection hidden="1"/>
    </xf>
    <xf numFmtId="0" fontId="67" fillId="0" borderId="0" xfId="0" applyFont="1" applyFill="1" applyBorder="1" applyAlignment="1" applyProtection="1">
      <alignment horizontal="center" vertical="center"/>
      <protection hidden="1"/>
    </xf>
    <xf numFmtId="165" fontId="20"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00" fillId="0" borderId="0" xfId="0" applyFont="1" applyAlignment="1" applyProtection="1">
      <alignment vertical="center"/>
      <protection hidden="1"/>
    </xf>
    <xf numFmtId="0" fontId="36" fillId="0" borderId="34" xfId="0" applyFont="1" applyFill="1" applyBorder="1" applyAlignment="1" applyProtection="1">
      <alignment horizontal="left" vertical="center" wrapText="1"/>
      <protection hidden="1"/>
    </xf>
    <xf numFmtId="0" fontId="52" fillId="0" borderId="35" xfId="0" applyFont="1" applyFill="1" applyBorder="1" applyAlignment="1" applyProtection="1">
      <alignment horizontal="center" vertical="center" wrapText="1"/>
      <protection hidden="1"/>
    </xf>
    <xf numFmtId="0" fontId="52" fillId="0" borderId="36" xfId="0" applyFont="1" applyFill="1" applyBorder="1" applyAlignment="1" applyProtection="1">
      <alignment horizontal="center" vertical="center"/>
      <protection hidden="1"/>
    </xf>
    <xf numFmtId="0" fontId="46" fillId="0" borderId="136" xfId="0" applyFont="1" applyFill="1" applyBorder="1" applyAlignment="1" applyProtection="1">
      <alignment horizontal="center" vertical="center" wrapText="1"/>
      <protection hidden="1"/>
    </xf>
    <xf numFmtId="0" fontId="44" fillId="0" borderId="136" xfId="0" applyFont="1" applyFill="1" applyBorder="1" applyAlignment="1" applyProtection="1">
      <alignment horizontal="center" vertical="center" wrapText="1"/>
      <protection hidden="1"/>
    </xf>
    <xf numFmtId="0" fontId="244" fillId="0" borderId="136" xfId="0" applyFont="1" applyFill="1" applyBorder="1" applyAlignment="1" applyProtection="1">
      <alignment horizontal="center" vertical="center" wrapText="1"/>
      <protection hidden="1"/>
    </xf>
    <xf numFmtId="0" fontId="113" fillId="0" borderId="136" xfId="0" applyFont="1" applyFill="1" applyBorder="1" applyAlignment="1" applyProtection="1">
      <alignment horizontal="left" vertical="center" wrapText="1"/>
      <protection hidden="1"/>
    </xf>
    <xf numFmtId="0" fontId="113" fillId="0" borderId="171" xfId="0" applyFont="1" applyFill="1" applyBorder="1" applyAlignment="1" applyProtection="1">
      <alignment horizontal="center" vertical="center" wrapText="1"/>
      <protection hidden="1"/>
    </xf>
    <xf numFmtId="1" fontId="43" fillId="0" borderId="136" xfId="0" applyNumberFormat="1" applyFont="1" applyFill="1" applyBorder="1" applyAlignment="1" applyProtection="1">
      <alignment horizontal="center" vertical="center" wrapText="1"/>
      <protection hidden="1"/>
    </xf>
    <xf numFmtId="2" fontId="112" fillId="0" borderId="136" xfId="0" applyNumberFormat="1" applyFont="1" applyFill="1" applyBorder="1" applyAlignment="1" applyProtection="1">
      <alignment horizontal="center" vertical="center" wrapText="1"/>
      <protection hidden="1"/>
    </xf>
    <xf numFmtId="0" fontId="112" fillId="0" borderId="136" xfId="0" applyFont="1" applyBorder="1" applyAlignment="1" applyProtection="1">
      <alignment horizontal="center" vertical="center" wrapText="1"/>
      <protection hidden="1"/>
    </xf>
    <xf numFmtId="167" fontId="43" fillId="0" borderId="136" xfId="0" applyNumberFormat="1" applyFont="1" applyBorder="1" applyAlignment="1" applyProtection="1">
      <alignment horizontal="center" vertical="center" wrapText="1"/>
      <protection hidden="1"/>
    </xf>
    <xf numFmtId="0" fontId="73" fillId="0" borderId="136" xfId="0" applyFont="1" applyBorder="1" applyAlignment="1" applyProtection="1">
      <alignment horizontal="center" vertical="center" wrapText="1"/>
      <protection hidden="1"/>
    </xf>
    <xf numFmtId="0" fontId="43" fillId="0" borderId="136" xfId="0" applyFont="1" applyFill="1" applyBorder="1" applyAlignment="1" applyProtection="1">
      <alignment horizontal="center" vertical="center" wrapText="1"/>
      <protection hidden="1"/>
    </xf>
    <xf numFmtId="0" fontId="35" fillId="0" borderId="34" xfId="0" applyFont="1" applyFill="1" applyBorder="1" applyAlignment="1" applyProtection="1">
      <alignment horizontal="left" vertical="center" wrapText="1"/>
      <protection hidden="1"/>
    </xf>
    <xf numFmtId="0" fontId="43" fillId="0" borderId="14" xfId="0" applyFont="1" applyBorder="1" applyAlignment="1" applyProtection="1">
      <alignment horizontal="center" vertical="center" wrapText="1"/>
      <protection hidden="1"/>
    </xf>
    <xf numFmtId="0" fontId="43" fillId="0" borderId="15"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01" fillId="0" borderId="0" xfId="0" applyFont="1" applyFill="1" applyBorder="1" applyAlignment="1" applyProtection="1">
      <alignment horizontal="center" vertical="center" wrapText="1"/>
      <protection hidden="1"/>
    </xf>
    <xf numFmtId="0" fontId="102" fillId="0" borderId="0" xfId="0" applyFont="1" applyFill="1" applyBorder="1" applyAlignment="1" applyProtection="1">
      <alignment horizontal="center" wrapText="1"/>
      <protection hidden="1"/>
    </xf>
    <xf numFmtId="0" fontId="105" fillId="0" borderId="42" xfId="0" applyFont="1" applyBorder="1" applyAlignment="1" applyProtection="1">
      <alignment vertical="center"/>
      <protection hidden="1"/>
    </xf>
    <xf numFmtId="0" fontId="28" fillId="0" borderId="136" xfId="0" applyFont="1" applyFill="1" applyBorder="1" applyAlignment="1" applyProtection="1">
      <alignment horizontal="center" vertical="center" wrapText="1"/>
      <protection hidden="1"/>
    </xf>
    <xf numFmtId="0" fontId="32" fillId="0" borderId="34" xfId="0" applyFont="1" applyBorder="1" applyAlignment="1" applyProtection="1">
      <alignment vertical="center"/>
      <protection hidden="1"/>
    </xf>
    <xf numFmtId="0" fontId="106" fillId="0" borderId="35" xfId="0" applyFont="1" applyFill="1" applyBorder="1" applyAlignment="1" applyProtection="1">
      <alignment horizontal="center" vertical="center" wrapText="1"/>
      <protection hidden="1"/>
    </xf>
    <xf numFmtId="0" fontId="107" fillId="0" borderId="36" xfId="0" applyFont="1" applyBorder="1" applyAlignment="1" applyProtection="1">
      <alignment horizontal="center" vertical="center" wrapText="1"/>
      <protection hidden="1"/>
    </xf>
    <xf numFmtId="1" fontId="28" fillId="0" borderId="136" xfId="0" applyNumberFormat="1" applyFont="1" applyBorder="1" applyAlignment="1" applyProtection="1">
      <alignment horizontal="center" vertical="center"/>
      <protection hidden="1"/>
    </xf>
    <xf numFmtId="0" fontId="46" fillId="0" borderId="35" xfId="0" applyFont="1" applyFill="1" applyBorder="1" applyAlignment="1" applyProtection="1">
      <alignment horizontal="center" vertical="center"/>
      <protection hidden="1"/>
    </xf>
    <xf numFmtId="0" fontId="46" fillId="0" borderId="36" xfId="0" applyFont="1" applyBorder="1" applyAlignment="1" applyProtection="1">
      <alignment horizontal="center" vertical="center"/>
      <protection hidden="1"/>
    </xf>
    <xf numFmtId="1" fontId="28" fillId="0" borderId="136" xfId="0" applyNumberFormat="1" applyFont="1" applyFill="1" applyBorder="1" applyAlignment="1" applyProtection="1">
      <alignment horizontal="center" vertical="center" wrapText="1"/>
      <protection hidden="1"/>
    </xf>
    <xf numFmtId="0" fontId="28" fillId="0" borderId="136" xfId="0" applyFont="1" applyBorder="1" applyAlignment="1" applyProtection="1">
      <alignment horizontal="center" vertical="center"/>
      <protection hidden="1"/>
    </xf>
    <xf numFmtId="0" fontId="103" fillId="0" borderId="0" xfId="0" applyFont="1" applyFill="1" applyBorder="1" applyAlignment="1" applyProtection="1">
      <alignment horizontal="center" vertical="center" wrapText="1"/>
      <protection hidden="1"/>
    </xf>
    <xf numFmtId="0" fontId="108" fillId="0" borderId="0" xfId="0" applyFont="1" applyFill="1" applyBorder="1" applyAlignment="1" applyProtection="1">
      <alignment horizontal="center" wrapText="1"/>
      <protection hidden="1"/>
    </xf>
    <xf numFmtId="167" fontId="28" fillId="0" borderId="136" xfId="0" applyNumberFormat="1" applyFont="1" applyBorder="1" applyAlignment="1" applyProtection="1">
      <alignment horizontal="center" vertical="center"/>
      <protection hidden="1"/>
    </xf>
    <xf numFmtId="0" fontId="10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05" fillId="0" borderId="0" xfId="0" applyFont="1" applyAlignment="1" applyProtection="1">
      <alignment vertical="center"/>
      <protection hidden="1"/>
    </xf>
    <xf numFmtId="0" fontId="32" fillId="0" borderId="0" xfId="0" applyFont="1" applyAlignment="1" applyProtection="1">
      <alignment vertical="center"/>
      <protection hidden="1"/>
    </xf>
    <xf numFmtId="2" fontId="43" fillId="0" borderId="35" xfId="0" applyNumberFormat="1" applyFont="1" applyFill="1" applyBorder="1" applyAlignment="1" applyProtection="1">
      <alignment horizontal="center" vertical="center"/>
      <protection hidden="1"/>
    </xf>
    <xf numFmtId="2" fontId="43" fillId="0" borderId="36" xfId="0" applyNumberFormat="1" applyFont="1" applyFill="1" applyBorder="1" applyAlignment="1" applyProtection="1">
      <alignment horizontal="center" vertical="center"/>
      <protection hidden="1"/>
    </xf>
    <xf numFmtId="0" fontId="109" fillId="0" borderId="47" xfId="0" applyFont="1" applyFill="1" applyBorder="1" applyAlignment="1" applyProtection="1">
      <alignment horizontal="center" vertical="center"/>
      <protection hidden="1"/>
    </xf>
    <xf numFmtId="0" fontId="46" fillId="0" borderId="48" xfId="0" applyFont="1" applyBorder="1" applyAlignment="1" applyProtection="1">
      <alignment horizontal="center" vertical="center"/>
      <protection hidden="1"/>
    </xf>
    <xf numFmtId="171" fontId="262" fillId="0" borderId="136" xfId="0" applyNumberFormat="1" applyFont="1" applyFill="1" applyBorder="1" applyAlignment="1" applyProtection="1">
      <alignment horizontal="center" vertical="center" wrapText="1"/>
      <protection hidden="1"/>
    </xf>
    <xf numFmtId="171" fontId="112" fillId="0" borderId="51" xfId="0" applyNumberFormat="1" applyFont="1" applyFill="1" applyBorder="1" applyAlignment="1" applyProtection="1">
      <alignment horizontal="center" vertical="center" wrapText="1"/>
      <protection hidden="1"/>
    </xf>
    <xf numFmtId="0" fontId="112" fillId="0" borderId="51" xfId="0" applyFont="1" applyFill="1" applyBorder="1" applyAlignment="1" applyProtection="1">
      <alignment horizontal="left" vertical="center" wrapText="1"/>
      <protection hidden="1"/>
    </xf>
    <xf numFmtId="172" fontId="49" fillId="0" borderId="51" xfId="0" applyNumberFormat="1" applyFont="1" applyFill="1" applyBorder="1" applyAlignment="1" applyProtection="1">
      <alignment horizontal="center" vertical="center" wrapText="1"/>
      <protection hidden="1"/>
    </xf>
    <xf numFmtId="2" fontId="112" fillId="0" borderId="51" xfId="0" applyNumberFormat="1" applyFont="1" applyFill="1" applyBorder="1" applyAlignment="1" applyProtection="1">
      <alignment horizontal="center" vertical="center" wrapText="1"/>
      <protection hidden="1"/>
    </xf>
    <xf numFmtId="0" fontId="101" fillId="0" borderId="59" xfId="0" applyFont="1" applyFill="1" applyBorder="1" applyAlignment="1" applyProtection="1">
      <alignment vertical="center" wrapText="1"/>
      <protection hidden="1"/>
    </xf>
    <xf numFmtId="0" fontId="17" fillId="0" borderId="161" xfId="0" applyFont="1" applyBorder="1" applyAlignment="1" applyProtection="1">
      <alignment horizontal="center" vertical="center" wrapText="1"/>
      <protection hidden="1"/>
    </xf>
    <xf numFmtId="0" fontId="101" fillId="0" borderId="60" xfId="0" applyFont="1" applyFill="1" applyBorder="1" applyAlignment="1" applyProtection="1">
      <alignment vertical="center" wrapText="1"/>
      <protection hidden="1"/>
    </xf>
    <xf numFmtId="0" fontId="111" fillId="0" borderId="51" xfId="0" applyFont="1" applyBorder="1" applyAlignment="1" applyProtection="1">
      <alignment horizontal="center" vertical="center" wrapText="1"/>
      <protection hidden="1"/>
    </xf>
    <xf numFmtId="0" fontId="46" fillId="0" borderId="0" xfId="0" applyFont="1" applyBorder="1" applyAlignment="1" applyProtection="1">
      <alignment horizontal="center" vertical="center" wrapText="1"/>
      <protection hidden="1"/>
    </xf>
    <xf numFmtId="1" fontId="46" fillId="0" borderId="0" xfId="0" applyNumberFormat="1" applyFont="1" applyBorder="1" applyAlignment="1" applyProtection="1">
      <alignment horizontal="center" vertical="center" wrapText="1"/>
      <protection hidden="1"/>
    </xf>
    <xf numFmtId="0" fontId="97" fillId="0" borderId="60" xfId="0" applyFont="1" applyBorder="1" applyProtection="1">
      <protection hidden="1"/>
    </xf>
    <xf numFmtId="0" fontId="98" fillId="0" borderId="60" xfId="0" applyFont="1" applyBorder="1" applyProtection="1">
      <protection hidden="1"/>
    </xf>
    <xf numFmtId="0" fontId="0" fillId="0" borderId="60" xfId="0" applyBorder="1" applyProtection="1">
      <protection hidden="1"/>
    </xf>
    <xf numFmtId="167" fontId="19" fillId="0" borderId="0" xfId="0" applyNumberFormat="1" applyFont="1" applyBorder="1" applyAlignment="1" applyProtection="1">
      <alignment horizontal="center" vertical="center" wrapText="1"/>
      <protection hidden="1"/>
    </xf>
    <xf numFmtId="2" fontId="49" fillId="0" borderId="51" xfId="0" applyNumberFormat="1" applyFont="1" applyFill="1" applyBorder="1" applyAlignment="1" applyProtection="1">
      <alignment horizontal="center" vertical="center" textRotation="90"/>
      <protection hidden="1"/>
    </xf>
    <xf numFmtId="1" fontId="19" fillId="0" borderId="0" xfId="0" applyNumberFormat="1" applyFont="1" applyBorder="1" applyAlignment="1" applyProtection="1">
      <alignment horizontal="center" vertical="center" wrapText="1"/>
      <protection hidden="1"/>
    </xf>
    <xf numFmtId="168" fontId="19" fillId="0" borderId="0" xfId="0" applyNumberFormat="1" applyFont="1" applyFill="1" applyBorder="1" applyAlignment="1" applyProtection="1">
      <alignment horizontal="center" vertical="center" wrapText="1"/>
      <protection hidden="1"/>
    </xf>
    <xf numFmtId="1" fontId="19" fillId="0" borderId="51" xfId="0" applyNumberFormat="1" applyFont="1" applyFill="1" applyBorder="1" applyAlignment="1" applyProtection="1">
      <alignment horizontal="center" vertical="center"/>
      <protection hidden="1"/>
    </xf>
    <xf numFmtId="0" fontId="101" fillId="0" borderId="0" xfId="0" applyFont="1" applyFill="1" applyBorder="1" applyAlignment="1" applyProtection="1">
      <alignment vertical="center" wrapText="1"/>
      <protection hidden="1"/>
    </xf>
    <xf numFmtId="0" fontId="0" fillId="0" borderId="61" xfId="0" applyBorder="1" applyProtection="1">
      <protection hidden="1"/>
    </xf>
    <xf numFmtId="0" fontId="0" fillId="0" borderId="62" xfId="0" applyBorder="1" applyProtection="1">
      <protection hidden="1"/>
    </xf>
    <xf numFmtId="0" fontId="0" fillId="0" borderId="160" xfId="0" applyBorder="1" applyProtection="1">
      <protection hidden="1"/>
    </xf>
    <xf numFmtId="0" fontId="116" fillId="0" borderId="0" xfId="0" applyFont="1" applyBorder="1" applyAlignment="1" applyProtection="1">
      <protection hidden="1"/>
    </xf>
    <xf numFmtId="0" fontId="6" fillId="0" borderId="0" xfId="0" applyFont="1" applyBorder="1" applyAlignment="1" applyProtection="1">
      <alignment vertical="center"/>
      <protection hidden="1"/>
    </xf>
    <xf numFmtId="0" fontId="116" fillId="0" borderId="90" xfId="0" applyFont="1" applyBorder="1" applyAlignment="1" applyProtection="1">
      <protection hidden="1"/>
    </xf>
    <xf numFmtId="0" fontId="116" fillId="0" borderId="91" xfId="0" applyFont="1" applyBorder="1" applyAlignment="1" applyProtection="1">
      <protection hidden="1"/>
    </xf>
    <xf numFmtId="0" fontId="162" fillId="0" borderId="0" xfId="0" applyFont="1" applyBorder="1" applyAlignment="1" applyProtection="1">
      <protection hidden="1"/>
    </xf>
    <xf numFmtId="0" fontId="116" fillId="0" borderId="92" xfId="0" applyFont="1" applyBorder="1" applyAlignment="1" applyProtection="1">
      <protection hidden="1"/>
    </xf>
    <xf numFmtId="0" fontId="116" fillId="0" borderId="93" xfId="0" applyFont="1" applyBorder="1" applyAlignment="1" applyProtection="1">
      <protection hidden="1"/>
    </xf>
    <xf numFmtId="0" fontId="84" fillId="0" borderId="0" xfId="0" applyFont="1" applyFill="1" applyBorder="1" applyAlignment="1" applyProtection="1">
      <alignment horizontal="right" vertical="top" wrapText="1"/>
      <protection hidden="1"/>
    </xf>
    <xf numFmtId="0" fontId="84" fillId="0" borderId="0" xfId="0" applyFont="1" applyBorder="1" applyAlignment="1" applyProtection="1">
      <alignment horizontal="right" vertical="center" wrapText="1"/>
      <protection hidden="1"/>
    </xf>
    <xf numFmtId="170" fontId="117" fillId="0" borderId="0" xfId="0" applyNumberFormat="1" applyFont="1" applyBorder="1" applyAlignment="1" applyProtection="1">
      <alignment horizontal="center"/>
      <protection hidden="1"/>
    </xf>
    <xf numFmtId="1" fontId="165" fillId="0" borderId="162" xfId="0" applyNumberFormat="1" applyFont="1" applyFill="1" applyBorder="1" applyAlignment="1" applyProtection="1">
      <alignment horizontal="center" vertical="center" wrapText="1"/>
      <protection hidden="1"/>
    </xf>
    <xf numFmtId="1" fontId="114" fillId="0" borderId="162" xfId="0" applyNumberFormat="1" applyFont="1" applyFill="1" applyBorder="1" applyAlignment="1" applyProtection="1">
      <alignment horizontal="center" vertical="center" wrapText="1"/>
      <protection hidden="1"/>
    </xf>
    <xf numFmtId="0" fontId="250" fillId="0" borderId="0" xfId="0" applyFont="1" applyBorder="1" applyAlignment="1" applyProtection="1">
      <protection hidden="1"/>
    </xf>
    <xf numFmtId="0" fontId="255" fillId="0" borderId="0" xfId="0" applyNumberFormat="1" applyFont="1" applyProtection="1">
      <protection hidden="1"/>
    </xf>
    <xf numFmtId="0" fontId="0" fillId="0" borderId="0" xfId="0" applyNumberFormat="1" applyFont="1" applyProtection="1">
      <protection hidden="1"/>
    </xf>
    <xf numFmtId="0" fontId="255"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18" fillId="0" borderId="177" xfId="0" applyNumberFormat="1" applyFont="1" applyFill="1" applyBorder="1" applyAlignment="1" applyProtection="1">
      <alignment horizontal="center" vertical="center" wrapText="1"/>
      <protection hidden="1"/>
    </xf>
    <xf numFmtId="0" fontId="156" fillId="0" borderId="177" xfId="0" applyNumberFormat="1" applyFont="1" applyFill="1" applyBorder="1" applyAlignment="1" applyProtection="1">
      <alignment horizontal="center" vertical="center" wrapText="1"/>
      <protection hidden="1"/>
    </xf>
    <xf numFmtId="0" fontId="164" fillId="0" borderId="177" xfId="0" applyNumberFormat="1" applyFont="1" applyFill="1" applyBorder="1" applyAlignment="1" applyProtection="1">
      <alignment horizontal="center" vertical="center" wrapText="1"/>
      <protection hidden="1"/>
    </xf>
    <xf numFmtId="0" fontId="220" fillId="0" borderId="106" xfId="0" applyFont="1" applyFill="1" applyBorder="1" applyAlignment="1" applyProtection="1">
      <alignment horizontal="center" vertical="center" textRotation="90" wrapText="1"/>
      <protection hidden="1"/>
    </xf>
    <xf numFmtId="0" fontId="211" fillId="6" borderId="0" xfId="0" applyFont="1" applyFill="1" applyBorder="1" applyAlignment="1" applyProtection="1">
      <alignment horizontal="center" vertical="center"/>
      <protection hidden="1"/>
    </xf>
    <xf numFmtId="0" fontId="36" fillId="0" borderId="143" xfId="0" applyFont="1" applyFill="1" applyBorder="1" applyAlignment="1" applyProtection="1">
      <alignment vertical="center" wrapText="1"/>
      <protection hidden="1"/>
    </xf>
    <xf numFmtId="0" fontId="36" fillId="0" borderId="110" xfId="0" applyFont="1" applyFill="1" applyBorder="1" applyAlignment="1" applyProtection="1">
      <alignment vertical="center" wrapText="1"/>
      <protection hidden="1"/>
    </xf>
    <xf numFmtId="0" fontId="49" fillId="26" borderId="106"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14" fillId="0" borderId="110" xfId="0" applyFont="1" applyFill="1" applyBorder="1" applyAlignment="1" applyProtection="1">
      <alignment horizontal="center" vertical="center" wrapText="1"/>
      <protection hidden="1"/>
    </xf>
    <xf numFmtId="0" fontId="69" fillId="0" borderId="112"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49" fillId="0" borderId="106" xfId="0"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1" fontId="227" fillId="0" borderId="108" xfId="0" applyNumberFormat="1" applyFont="1" applyFill="1" applyBorder="1" applyAlignment="1" applyProtection="1">
      <alignment horizontal="center" vertical="center" wrapText="1"/>
      <protection hidden="1"/>
    </xf>
    <xf numFmtId="0" fontId="153" fillId="25" borderId="0" xfId="0" applyFont="1" applyFill="1" applyAlignment="1" applyProtection="1">
      <alignment horizontal="center" vertical="center"/>
      <protection hidden="1"/>
    </xf>
    <xf numFmtId="0" fontId="43" fillId="21" borderId="110" xfId="0" applyFont="1" applyFill="1" applyBorder="1" applyAlignment="1" applyProtection="1">
      <alignment horizontal="center" vertical="center" wrapText="1"/>
      <protection hidden="1"/>
    </xf>
    <xf numFmtId="0" fontId="260" fillId="0" borderId="106" xfId="0" applyFont="1" applyFill="1" applyBorder="1" applyAlignment="1" applyProtection="1">
      <alignment horizontal="center" vertical="center" wrapText="1"/>
      <protection hidden="1"/>
    </xf>
    <xf numFmtId="0" fontId="61" fillId="17" borderId="106" xfId="0"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21" fillId="17"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35" fillId="17" borderId="109" xfId="0" applyFont="1" applyFill="1" applyBorder="1" applyAlignment="1" applyProtection="1">
      <alignment vertical="center" wrapText="1"/>
      <protection hidden="1"/>
    </xf>
    <xf numFmtId="0" fontId="35" fillId="17" borderId="143" xfId="0" applyFont="1" applyFill="1" applyBorder="1" applyAlignment="1" applyProtection="1">
      <alignment vertical="center" wrapText="1"/>
      <protection hidden="1"/>
    </xf>
    <xf numFmtId="0" fontId="35" fillId="17" borderId="110" xfId="0" applyFont="1" applyFill="1" applyBorder="1" applyAlignment="1" applyProtection="1">
      <alignment vertical="center" wrapText="1"/>
      <protection hidden="1"/>
    </xf>
    <xf numFmtId="0" fontId="60" fillId="17" borderId="143" xfId="0" applyFont="1" applyFill="1" applyBorder="1" applyAlignment="1" applyProtection="1">
      <alignment vertical="center" wrapText="1"/>
      <protection hidden="1"/>
    </xf>
    <xf numFmtId="0" fontId="60" fillId="17" borderId="110" xfId="0" applyFont="1" applyFill="1" applyBorder="1" applyAlignment="1" applyProtection="1">
      <alignment vertical="center" wrapText="1"/>
      <protection hidden="1"/>
    </xf>
    <xf numFmtId="0" fontId="21" fillId="17" borderId="143" xfId="0" applyFont="1" applyFill="1" applyBorder="1" applyAlignment="1" applyProtection="1">
      <alignment vertical="center" wrapText="1"/>
      <protection hidden="1"/>
    </xf>
    <xf numFmtId="0" fontId="21" fillId="17" borderId="110" xfId="0" applyFont="1" applyFill="1" applyBorder="1" applyAlignment="1" applyProtection="1">
      <alignment vertical="center" wrapText="1"/>
      <protection hidden="1"/>
    </xf>
    <xf numFmtId="172" fontId="61" fillId="17" borderId="143" xfId="0" applyNumberFormat="1" applyFont="1" applyFill="1" applyBorder="1" applyAlignment="1" applyProtection="1">
      <alignment vertical="center" wrapText="1"/>
      <protection hidden="1"/>
    </xf>
    <xf numFmtId="172" fontId="61" fillId="17" borderId="110" xfId="0" applyNumberFormat="1" applyFont="1" applyFill="1" applyBorder="1" applyAlignment="1" applyProtection="1">
      <alignment vertical="center" wrapText="1"/>
      <protection hidden="1"/>
    </xf>
    <xf numFmtId="0" fontId="61" fillId="17" borderId="143" xfId="0" applyFont="1" applyFill="1" applyBorder="1" applyAlignment="1" applyProtection="1">
      <alignment vertical="center" wrapText="1"/>
      <protection hidden="1"/>
    </xf>
    <xf numFmtId="0" fontId="61" fillId="17" borderId="110" xfId="0" applyFont="1" applyFill="1" applyBorder="1" applyAlignment="1" applyProtection="1">
      <alignment vertical="center" wrapText="1"/>
      <protection hidden="1"/>
    </xf>
    <xf numFmtId="0" fontId="35" fillId="0" borderId="55" xfId="0" applyFont="1" applyFill="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235" fillId="0" borderId="26" xfId="0" applyFont="1" applyBorder="1" applyAlignment="1" applyProtection="1">
      <alignment horizontal="left" vertical="center" wrapText="1"/>
      <protection hidden="1"/>
    </xf>
    <xf numFmtId="1" fontId="60" fillId="0" borderId="26" xfId="0" applyNumberFormat="1" applyFont="1" applyFill="1" applyBorder="1" applyAlignment="1" applyProtection="1">
      <alignment horizontal="center" vertical="center" wrapText="1"/>
      <protection hidden="1"/>
    </xf>
    <xf numFmtId="2" fontId="35" fillId="0" borderId="65" xfId="0" applyNumberFormat="1" applyFont="1" applyFill="1" applyBorder="1" applyAlignment="1" applyProtection="1">
      <alignment horizontal="center" vertical="center" textRotation="90" wrapText="1"/>
      <protection hidden="1"/>
    </xf>
    <xf numFmtId="2" fontId="43" fillId="0" borderId="142" xfId="0" applyNumberFormat="1" applyFont="1" applyFill="1" applyBorder="1" applyAlignment="1" applyProtection="1">
      <alignment horizontal="center" vertical="center" wrapText="1"/>
      <protection hidden="1"/>
    </xf>
    <xf numFmtId="0" fontId="49" fillId="0" borderId="186" xfId="0" applyFont="1" applyFill="1" applyBorder="1" applyAlignment="1" applyProtection="1">
      <alignment horizontal="center" vertical="center" wrapText="1"/>
      <protection hidden="1"/>
    </xf>
    <xf numFmtId="0" fontId="112" fillId="0" borderId="186" xfId="0" applyFont="1" applyFill="1" applyBorder="1" applyAlignment="1" applyProtection="1">
      <alignment horizontal="center" vertical="center" wrapText="1"/>
      <protection hidden="1"/>
    </xf>
    <xf numFmtId="2" fontId="35" fillId="0" borderId="64" xfId="0" applyNumberFormat="1" applyFont="1" applyFill="1" applyBorder="1" applyAlignment="1" applyProtection="1">
      <alignment horizontal="center" vertical="center" textRotation="90" wrapText="1"/>
      <protection hidden="1"/>
    </xf>
    <xf numFmtId="0" fontId="8" fillId="0" borderId="0" xfId="0" applyFont="1" applyFill="1" applyBorder="1" applyAlignment="1" applyProtection="1">
      <alignment horizontal="left" vertical="center" wrapText="1"/>
      <protection hidden="1"/>
    </xf>
    <xf numFmtId="1" fontId="115" fillId="0" borderId="175" xfId="0" applyNumberFormat="1" applyFont="1" applyFill="1" applyBorder="1" applyAlignment="1" applyProtection="1">
      <alignment horizontal="center" vertical="center" wrapText="1"/>
      <protection hidden="1"/>
    </xf>
    <xf numFmtId="0" fontId="165" fillId="0" borderId="175" xfId="0" applyFont="1" applyFill="1" applyBorder="1" applyAlignment="1" applyProtection="1">
      <alignment vertical="top" wrapText="1"/>
      <protection hidden="1"/>
    </xf>
    <xf numFmtId="0" fontId="8" fillId="0" borderId="0" xfId="0" applyFont="1" applyFill="1" applyBorder="1" applyAlignment="1" applyProtection="1">
      <alignment horizontal="left" vertical="center" wrapText="1"/>
      <protection hidden="1"/>
    </xf>
    <xf numFmtId="0" fontId="157" fillId="0" borderId="168" xfId="0" applyFont="1" applyFill="1" applyBorder="1" applyAlignment="1" applyProtection="1">
      <alignment horizontal="center" vertical="center" wrapText="1"/>
      <protection hidden="1"/>
    </xf>
    <xf numFmtId="0" fontId="169" fillId="0" borderId="0" xfId="0" applyNumberFormat="1" applyFont="1" applyFill="1" applyBorder="1" applyAlignment="1" applyProtection="1">
      <alignment horizontal="center" vertical="top" wrapText="1"/>
      <protection hidden="1"/>
    </xf>
    <xf numFmtId="0" fontId="156" fillId="0" borderId="174" xfId="0" applyFont="1" applyFill="1" applyBorder="1" applyAlignment="1" applyProtection="1">
      <alignment vertical="top" wrapText="1"/>
      <protection hidden="1"/>
    </xf>
    <xf numFmtId="0" fontId="118" fillId="0" borderId="178" xfId="0" applyNumberFormat="1" applyFont="1" applyFill="1" applyBorder="1" applyAlignment="1" applyProtection="1">
      <alignment horizontal="center" vertical="center" wrapText="1"/>
      <protection hidden="1"/>
    </xf>
    <xf numFmtId="0" fontId="156" fillId="0" borderId="178" xfId="0" applyNumberFormat="1" applyFont="1" applyFill="1" applyBorder="1" applyAlignment="1" applyProtection="1">
      <alignment horizontal="center" vertical="center" wrapText="1"/>
      <protection hidden="1"/>
    </xf>
    <xf numFmtId="0" fontId="164" fillId="0" borderId="178" xfId="0" applyNumberFormat="1" applyFont="1" applyFill="1" applyBorder="1" applyAlignment="1" applyProtection="1">
      <alignment horizontal="center" vertical="center" wrapText="1"/>
      <protection hidden="1"/>
    </xf>
    <xf numFmtId="0" fontId="156" fillId="0" borderId="180" xfId="0" applyNumberFormat="1" applyFont="1" applyFill="1" applyBorder="1" applyAlignment="1" applyProtection="1">
      <alignment horizontal="center" vertical="center" wrapText="1"/>
      <protection hidden="1"/>
    </xf>
    <xf numFmtId="171" fontId="242" fillId="0" borderId="200" xfId="0" applyNumberFormat="1" applyFont="1" applyFill="1" applyBorder="1" applyAlignment="1" applyProtection="1">
      <alignment horizontal="center" vertical="center" wrapText="1"/>
      <protection hidden="1"/>
    </xf>
    <xf numFmtId="0" fontId="9" fillId="0" borderId="200" xfId="0" applyNumberFormat="1" applyFont="1" applyFill="1" applyBorder="1" applyAlignment="1" applyProtection="1">
      <alignment horizontal="center" vertical="center" wrapText="1"/>
      <protection hidden="1"/>
    </xf>
    <xf numFmtId="0" fontId="35" fillId="0" borderId="190" xfId="0" applyNumberFormat="1" applyFont="1" applyFill="1" applyBorder="1" applyAlignment="1" applyProtection="1">
      <alignment horizontal="right" vertical="center" wrapText="1"/>
      <protection hidden="1"/>
    </xf>
    <xf numFmtId="0" fontId="60" fillId="0" borderId="192" xfId="0" applyNumberFormat="1" applyFont="1" applyFill="1" applyBorder="1" applyAlignment="1" applyProtection="1">
      <alignment horizontal="left" vertical="top" wrapText="1"/>
      <protection hidden="1"/>
    </xf>
    <xf numFmtId="0" fontId="269" fillId="0" borderId="190" xfId="0" applyNumberFormat="1" applyFont="1" applyFill="1" applyBorder="1" applyAlignment="1" applyProtection="1">
      <alignment horizontal="right" vertical="center" wrapText="1"/>
      <protection hidden="1"/>
    </xf>
    <xf numFmtId="0" fontId="156" fillId="0" borderId="192" xfId="0" applyNumberFormat="1" applyFont="1" applyFill="1" applyBorder="1" applyAlignment="1" applyProtection="1">
      <alignment horizontal="left" vertical="top" wrapText="1"/>
      <protection hidden="1"/>
    </xf>
    <xf numFmtId="0" fontId="104" fillId="0" borderId="51" xfId="0" applyFont="1" applyFill="1" applyBorder="1" applyAlignment="1" applyProtection="1">
      <alignment horizontal="center" vertical="center" wrapText="1"/>
      <protection hidden="1"/>
    </xf>
    <xf numFmtId="0" fontId="38" fillId="0" borderId="0" xfId="0" applyNumberFormat="1" applyFont="1" applyBorder="1" applyAlignment="1" applyProtection="1">
      <alignment horizontal="left" vertical="center" wrapText="1"/>
      <protection hidden="1"/>
    </xf>
    <xf numFmtId="0" fontId="49" fillId="0" borderId="106" xfId="0" applyFont="1" applyFill="1" applyBorder="1" applyAlignment="1" applyProtection="1">
      <alignment horizontal="center" vertical="center" wrapText="1"/>
      <protection hidden="1"/>
    </xf>
    <xf numFmtId="0" fontId="176" fillId="2" borderId="1" xfId="0" applyFont="1" applyFill="1" applyBorder="1" applyAlignment="1" applyProtection="1">
      <alignment vertical="center"/>
      <protection locked="0"/>
    </xf>
    <xf numFmtId="0" fontId="8" fillId="0" borderId="0" xfId="0" applyFont="1" applyFill="1" applyBorder="1" applyAlignment="1" applyProtection="1">
      <alignment horizontal="left" vertical="center" wrapText="1"/>
      <protection hidden="1"/>
    </xf>
    <xf numFmtId="0" fontId="112" fillId="0" borderId="106" xfId="0" applyFont="1" applyFill="1" applyBorder="1" applyAlignment="1" applyProtection="1">
      <alignment horizontal="center" vertical="center" wrapText="1"/>
      <protection hidden="1"/>
    </xf>
    <xf numFmtId="0" fontId="11" fillId="29" borderId="213" xfId="0" applyFont="1" applyFill="1" applyBorder="1" applyAlignment="1" applyProtection="1">
      <alignment vertical="center"/>
      <protection hidden="1"/>
    </xf>
    <xf numFmtId="0" fontId="11" fillId="29" borderId="214" xfId="0" applyFont="1" applyFill="1" applyBorder="1" applyAlignment="1" applyProtection="1">
      <alignment vertical="center"/>
      <protection hidden="1"/>
    </xf>
    <xf numFmtId="0" fontId="209" fillId="32" borderId="215" xfId="0" applyFont="1" applyFill="1" applyBorder="1" applyAlignment="1" applyProtection="1">
      <alignment horizontal="right"/>
      <protection hidden="1"/>
    </xf>
    <xf numFmtId="0" fontId="209" fillId="32" borderId="216" xfId="0" applyFont="1" applyFill="1" applyBorder="1" applyAlignment="1" applyProtection="1">
      <alignment horizontal="right" vertical="center"/>
      <protection hidden="1"/>
    </xf>
    <xf numFmtId="0" fontId="274" fillId="32" borderId="216" xfId="0" applyFont="1" applyFill="1" applyBorder="1" applyAlignment="1" applyProtection="1">
      <alignment horizontal="right" vertical="center"/>
      <protection hidden="1"/>
    </xf>
    <xf numFmtId="0" fontId="209" fillId="32" borderId="217" xfId="0" applyFont="1" applyFill="1" applyBorder="1" applyAlignment="1" applyProtection="1">
      <alignment horizontal="right" vertical="center"/>
      <protection hidden="1"/>
    </xf>
    <xf numFmtId="0" fontId="11" fillId="29" borderId="0" xfId="0" applyFont="1" applyFill="1" applyBorder="1" applyAlignment="1" applyProtection="1">
      <alignment vertical="center"/>
      <protection hidden="1"/>
    </xf>
    <xf numFmtId="0" fontId="155" fillId="29" borderId="0" xfId="0" applyFont="1" applyFill="1" applyBorder="1" applyAlignment="1" applyProtection="1">
      <alignment vertical="center" wrapText="1"/>
      <protection hidden="1"/>
    </xf>
    <xf numFmtId="0" fontId="11" fillId="29" borderId="219" xfId="0" applyFont="1" applyFill="1" applyBorder="1" applyAlignment="1" applyProtection="1">
      <alignment vertical="center"/>
      <protection hidden="1"/>
    </xf>
    <xf numFmtId="0" fontId="155" fillId="29" borderId="220" xfId="0" applyFont="1" applyFill="1" applyBorder="1" applyAlignment="1" applyProtection="1">
      <alignment vertical="center" wrapText="1"/>
      <protection hidden="1"/>
    </xf>
    <xf numFmtId="0" fontId="11" fillId="29" borderId="220" xfId="0" applyFont="1" applyFill="1" applyBorder="1" applyAlignment="1" applyProtection="1">
      <alignment vertical="center"/>
      <protection hidden="1"/>
    </xf>
    <xf numFmtId="0" fontId="11" fillId="29" borderId="221" xfId="0" applyFont="1" applyFill="1" applyBorder="1" applyAlignment="1" applyProtection="1">
      <alignment vertical="center"/>
      <protection hidden="1"/>
    </xf>
    <xf numFmtId="0" fontId="11" fillId="30" borderId="222" xfId="0" applyFont="1" applyFill="1" applyBorder="1" applyAlignment="1" applyProtection="1">
      <alignment vertical="center"/>
      <protection hidden="1"/>
    </xf>
    <xf numFmtId="0" fontId="11" fillId="30" borderId="223" xfId="0" applyFont="1" applyFill="1" applyBorder="1" applyAlignment="1" applyProtection="1">
      <alignment vertical="center"/>
      <protection hidden="1"/>
    </xf>
    <xf numFmtId="0" fontId="11" fillId="29" borderId="222" xfId="0" applyFont="1" applyFill="1" applyBorder="1" applyAlignment="1" applyProtection="1">
      <alignment vertical="center"/>
      <protection hidden="1"/>
    </xf>
    <xf numFmtId="0" fontId="11" fillId="29" borderId="223" xfId="0" applyFont="1" applyFill="1" applyBorder="1" applyAlignment="1" applyProtection="1">
      <alignment vertical="center"/>
      <protection hidden="1"/>
    </xf>
    <xf numFmtId="0" fontId="11" fillId="29" borderId="224" xfId="0" applyFont="1" applyFill="1" applyBorder="1" applyAlignment="1" applyProtection="1">
      <alignment vertical="center"/>
      <protection hidden="1"/>
    </xf>
    <xf numFmtId="0" fontId="11" fillId="29" borderId="225" xfId="0" applyFont="1" applyFill="1" applyBorder="1" applyAlignment="1" applyProtection="1">
      <alignment vertical="center"/>
      <protection hidden="1"/>
    </xf>
    <xf numFmtId="0" fontId="11" fillId="29" borderId="226" xfId="0" applyFont="1" applyFill="1" applyBorder="1" applyAlignment="1" applyProtection="1">
      <alignment vertical="center"/>
      <protection hidden="1"/>
    </xf>
    <xf numFmtId="0" fontId="11" fillId="29" borderId="227" xfId="0" applyFont="1" applyFill="1" applyBorder="1" applyAlignment="1" applyProtection="1">
      <alignment vertical="center"/>
      <protection hidden="1"/>
    </xf>
    <xf numFmtId="0" fontId="276" fillId="14" borderId="228" xfId="4" applyFont="1" applyFill="1" applyBorder="1" applyAlignment="1" applyProtection="1">
      <protection locked="0"/>
    </xf>
    <xf numFmtId="0" fontId="8" fillId="33" borderId="229" xfId="0" applyFont="1" applyFill="1" applyBorder="1" applyAlignment="1" applyProtection="1">
      <alignment vertical="center"/>
      <protection locked="0"/>
    </xf>
    <xf numFmtId="0" fontId="210" fillId="33" borderId="230" xfId="0" applyFont="1" applyFill="1" applyBorder="1" applyAlignment="1" applyProtection="1">
      <alignment vertical="center"/>
      <protection locked="0"/>
    </xf>
    <xf numFmtId="0" fontId="8" fillId="33" borderId="230" xfId="0" applyFont="1" applyFill="1" applyBorder="1" applyAlignment="1" applyProtection="1">
      <alignment horizontal="left" vertical="center"/>
      <protection locked="0"/>
    </xf>
    <xf numFmtId="0" fontId="210" fillId="33" borderId="230" xfId="0" applyFont="1" applyFill="1" applyBorder="1" applyAlignment="1" applyProtection="1">
      <alignment horizontal="left" vertical="center"/>
      <protection locked="0"/>
    </xf>
    <xf numFmtId="171" fontId="175" fillId="33" borderId="230" xfId="0" applyNumberFormat="1" applyFont="1" applyFill="1" applyBorder="1" applyAlignment="1" applyProtection="1">
      <alignment horizontal="left" vertical="center"/>
      <protection locked="0"/>
    </xf>
    <xf numFmtId="0" fontId="275" fillId="33" borderId="230" xfId="0" applyFont="1" applyFill="1" applyBorder="1" applyAlignment="1" applyProtection="1">
      <alignment horizontal="left" vertical="center"/>
      <protection locked="0"/>
    </xf>
    <xf numFmtId="0" fontId="210" fillId="3" borderId="230" xfId="0" applyFont="1" applyFill="1" applyBorder="1" applyAlignment="1" applyProtection="1">
      <alignment horizontal="left" vertical="center"/>
      <protection locked="0"/>
    </xf>
    <xf numFmtId="171" fontId="175" fillId="33" borderId="231" xfId="0" applyNumberFormat="1" applyFont="1" applyFill="1" applyBorder="1" applyAlignment="1" applyProtection="1">
      <alignment horizontal="left" vertical="center"/>
      <protection locked="0"/>
    </xf>
    <xf numFmtId="0" fontId="277" fillId="6" borderId="0" xfId="0" applyFont="1" applyFill="1" applyBorder="1" applyAlignment="1" applyProtection="1">
      <alignment vertical="center"/>
      <protection hidden="1"/>
    </xf>
    <xf numFmtId="0" fontId="213" fillId="34" borderId="218" xfId="0" applyFont="1" applyFill="1" applyBorder="1" applyAlignment="1" applyProtection="1">
      <alignment horizontal="center" vertical="center" wrapText="1"/>
      <protection hidden="1"/>
    </xf>
    <xf numFmtId="0" fontId="8" fillId="34" borderId="232" xfId="0" applyFont="1" applyFill="1" applyBorder="1" applyAlignment="1" applyProtection="1">
      <alignment horizontal="center" vertical="center" wrapText="1"/>
      <protection hidden="1"/>
    </xf>
    <xf numFmtId="0" fontId="213" fillId="2" borderId="233" xfId="0" applyFont="1" applyFill="1" applyBorder="1" applyAlignment="1" applyProtection="1">
      <alignment horizontal="left" vertical="center" wrapText="1"/>
      <protection locked="0"/>
    </xf>
    <xf numFmtId="0" fontId="278" fillId="2" borderId="234" xfId="0" applyFont="1" applyFill="1" applyBorder="1" applyAlignment="1" applyProtection="1">
      <alignment horizontal="left" vertical="center" wrapText="1"/>
      <protection locked="0"/>
    </xf>
    <xf numFmtId="0" fontId="214" fillId="2" borderId="235" xfId="0" applyFont="1" applyFill="1" applyBorder="1" applyAlignment="1" applyProtection="1">
      <alignment horizontal="left" vertical="center" wrapText="1"/>
      <protection locked="0"/>
    </xf>
    <xf numFmtId="0" fontId="279" fillId="2" borderId="236" xfId="0" applyFont="1" applyFill="1" applyBorder="1" applyAlignment="1" applyProtection="1">
      <alignment horizontal="left" vertical="center" wrapText="1"/>
      <protection locked="0"/>
    </xf>
    <xf numFmtId="0" fontId="204" fillId="12" borderId="2" xfId="0" applyFont="1" applyFill="1" applyBorder="1" applyAlignment="1" applyProtection="1">
      <alignment vertical="center" wrapText="1"/>
      <protection hidden="1"/>
    </xf>
    <xf numFmtId="0" fontId="243" fillId="12" borderId="237" xfId="0" applyFont="1" applyFill="1" applyBorder="1" applyAlignment="1" applyProtection="1">
      <alignment vertical="center" wrapText="1"/>
      <protection hidden="1"/>
    </xf>
    <xf numFmtId="0" fontId="243" fillId="12" borderId="0" xfId="0" applyFont="1" applyFill="1" applyBorder="1" applyAlignment="1" applyProtection="1">
      <alignment vertical="center" wrapText="1"/>
      <protection hidden="1"/>
    </xf>
    <xf numFmtId="0" fontId="153" fillId="12" borderId="0" xfId="0" applyFont="1" applyFill="1" applyBorder="1" applyAlignment="1" applyProtection="1">
      <alignment horizontal="right" vertical="center"/>
      <protection hidden="1"/>
    </xf>
    <xf numFmtId="0" fontId="25" fillId="12" borderId="239" xfId="0" applyFont="1" applyFill="1" applyBorder="1" applyAlignment="1" applyProtection="1">
      <alignment horizontal="center" vertical="center" wrapText="1"/>
      <protection hidden="1"/>
    </xf>
    <xf numFmtId="166" fontId="253" fillId="12" borderId="239" xfId="0" applyNumberFormat="1" applyFont="1" applyFill="1" applyBorder="1" applyAlignment="1" applyProtection="1">
      <alignment horizontal="center" vertical="center" wrapText="1"/>
      <protection hidden="1"/>
    </xf>
    <xf numFmtId="0" fontId="254" fillId="12" borderId="239" xfId="0" applyFont="1" applyFill="1" applyBorder="1" applyAlignment="1" applyProtection="1">
      <alignment horizontal="left" vertical="center" wrapText="1"/>
      <protection hidden="1"/>
    </xf>
    <xf numFmtId="0" fontId="254" fillId="12" borderId="241" xfId="0" applyFont="1" applyFill="1" applyBorder="1" applyAlignment="1" applyProtection="1">
      <alignment horizontal="left" vertical="center" wrapText="1"/>
      <protection hidden="1"/>
    </xf>
    <xf numFmtId="0" fontId="253" fillId="12" borderId="240" xfId="0" applyFont="1" applyFill="1" applyBorder="1" applyAlignment="1" applyProtection="1">
      <alignment horizontal="center" vertical="center" wrapText="1"/>
      <protection hidden="1"/>
    </xf>
    <xf numFmtId="0" fontId="25" fillId="12" borderId="242" xfId="0" applyFont="1" applyFill="1" applyBorder="1" applyAlignment="1" applyProtection="1">
      <alignment horizontal="center" vertical="center" wrapText="1"/>
      <protection hidden="1"/>
    </xf>
    <xf numFmtId="0" fontId="25" fillId="12" borderId="243" xfId="0" applyFont="1" applyFill="1" applyBorder="1" applyAlignment="1" applyProtection="1">
      <alignment horizontal="center" vertical="center" wrapText="1"/>
      <protection hidden="1"/>
    </xf>
    <xf numFmtId="166" fontId="253" fillId="12" borderId="243" xfId="0" applyNumberFormat="1" applyFont="1" applyFill="1" applyBorder="1" applyAlignment="1" applyProtection="1">
      <alignment horizontal="center" vertical="center" wrapText="1"/>
      <protection hidden="1"/>
    </xf>
    <xf numFmtId="0" fontId="253" fillId="12" borderId="244" xfId="0" applyFont="1" applyFill="1" applyBorder="1" applyAlignment="1" applyProtection="1">
      <alignment horizontal="center" vertical="center" wrapText="1"/>
      <protection hidden="1"/>
    </xf>
    <xf numFmtId="0" fontId="25" fillId="12" borderId="245" xfId="0" applyFont="1" applyFill="1" applyBorder="1" applyAlignment="1" applyProtection="1">
      <alignment horizontal="center" vertical="center" wrapText="1"/>
      <protection hidden="1"/>
    </xf>
    <xf numFmtId="0" fontId="253" fillId="12" borderId="246" xfId="0" applyFont="1" applyFill="1" applyBorder="1" applyAlignment="1" applyProtection="1">
      <alignment horizontal="center" vertical="center" wrapText="1"/>
      <protection hidden="1"/>
    </xf>
    <xf numFmtId="0" fontId="25" fillId="12" borderId="247" xfId="0" applyFont="1" applyFill="1" applyBorder="1" applyAlignment="1" applyProtection="1">
      <alignment horizontal="center" vertical="center"/>
      <protection hidden="1"/>
    </xf>
    <xf numFmtId="0" fontId="25" fillId="12" borderId="248" xfId="0" applyFont="1" applyFill="1" applyBorder="1" applyAlignment="1" applyProtection="1">
      <alignment horizontal="center" vertical="center" wrapText="1"/>
      <protection hidden="1"/>
    </xf>
    <xf numFmtId="166" fontId="253" fillId="12" borderId="248" xfId="0" applyNumberFormat="1" applyFont="1" applyFill="1" applyBorder="1" applyAlignment="1" applyProtection="1">
      <alignment horizontal="center" vertical="center" wrapText="1"/>
      <protection hidden="1"/>
    </xf>
    <xf numFmtId="0" fontId="254" fillId="12" borderId="248" xfId="0" applyFont="1" applyFill="1" applyBorder="1" applyAlignment="1" applyProtection="1">
      <alignment horizontal="left" vertical="center" wrapText="1"/>
      <protection hidden="1"/>
    </xf>
    <xf numFmtId="0" fontId="254" fillId="12" borderId="249" xfId="0" applyFont="1" applyFill="1" applyBorder="1" applyAlignment="1" applyProtection="1">
      <alignment horizontal="left" vertical="center" wrapText="1"/>
      <protection hidden="1"/>
    </xf>
    <xf numFmtId="0" fontId="253" fillId="12" borderId="250" xfId="0" applyFont="1" applyFill="1" applyBorder="1" applyAlignment="1" applyProtection="1">
      <alignment horizontal="center" vertical="center" wrapText="1"/>
      <protection hidden="1"/>
    </xf>
    <xf numFmtId="0" fontId="253" fillId="12" borderId="251"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locked="0"/>
    </xf>
    <xf numFmtId="0" fontId="115" fillId="3" borderId="17" xfId="0" applyFont="1" applyFill="1" applyBorder="1" applyAlignment="1" applyProtection="1">
      <alignment horizontal="center" vertical="center" wrapText="1"/>
      <protection hidden="1"/>
    </xf>
    <xf numFmtId="0" fontId="115" fillId="0" borderId="16" xfId="0" applyFont="1" applyBorder="1" applyAlignment="1" applyProtection="1">
      <alignment horizontal="center" vertical="center" wrapText="1"/>
      <protection hidden="1"/>
    </xf>
    <xf numFmtId="171" fontId="115" fillId="0" borderId="16" xfId="0" applyNumberFormat="1" applyFont="1" applyBorder="1" applyAlignment="1" applyProtection="1">
      <alignment horizontal="center" vertical="center" wrapText="1"/>
      <protection hidden="1"/>
    </xf>
    <xf numFmtId="0" fontId="115" fillId="0" borderId="16" xfId="0" applyFont="1" applyBorder="1" applyAlignment="1" applyProtection="1">
      <alignment horizontal="left" vertical="center" wrapText="1"/>
      <protection hidden="1"/>
    </xf>
    <xf numFmtId="0" fontId="60" fillId="28" borderId="82" xfId="0" applyFont="1" applyFill="1" applyBorder="1" applyAlignment="1" applyProtection="1">
      <alignment horizontal="center" vertical="center" textRotation="90" wrapText="1"/>
      <protection hidden="1"/>
    </xf>
    <xf numFmtId="0" fontId="60" fillId="28" borderId="267" xfId="0" applyFont="1" applyFill="1" applyBorder="1" applyAlignment="1" applyProtection="1">
      <alignment horizontal="center" vertical="center" textRotation="90" wrapText="1"/>
      <protection hidden="1"/>
    </xf>
    <xf numFmtId="0" fontId="47" fillId="2" borderId="268" xfId="0" applyFont="1" applyFill="1" applyBorder="1" applyAlignment="1" applyProtection="1">
      <alignment horizontal="center" vertical="center" wrapText="1"/>
      <protection locked="0"/>
    </xf>
    <xf numFmtId="0" fontId="60" fillId="23" borderId="82" xfId="0" applyFont="1" applyFill="1" applyBorder="1" applyAlignment="1" applyProtection="1">
      <alignment horizontal="center" vertical="center" textRotation="90" wrapText="1"/>
      <protection hidden="1"/>
    </xf>
    <xf numFmtId="0" fontId="9" fillId="3" borderId="269" xfId="0" applyFont="1" applyFill="1" applyBorder="1" applyAlignment="1" applyProtection="1">
      <alignment horizontal="center" vertical="center" wrapText="1"/>
      <protection locked="0"/>
    </xf>
    <xf numFmtId="0" fontId="9" fillId="3" borderId="270" xfId="0" applyFont="1" applyFill="1" applyBorder="1" applyAlignment="1" applyProtection="1">
      <alignment horizontal="center" vertical="center" wrapText="1"/>
      <protection locked="0"/>
    </xf>
    <xf numFmtId="0" fontId="23" fillId="3" borderId="270" xfId="0" applyFont="1" applyFill="1" applyBorder="1" applyAlignment="1" applyProtection="1">
      <alignment horizontal="center" vertical="center" wrapText="1"/>
      <protection locked="0"/>
    </xf>
    <xf numFmtId="0" fontId="157" fillId="3" borderId="270" xfId="0" applyFont="1" applyFill="1" applyBorder="1" applyAlignment="1" applyProtection="1">
      <alignment horizontal="center" vertical="center" wrapText="1"/>
      <protection locked="0"/>
    </xf>
    <xf numFmtId="0" fontId="157" fillId="3" borderId="271" xfId="0" applyFont="1" applyFill="1" applyBorder="1" applyAlignment="1" applyProtection="1">
      <alignment horizontal="center" vertical="center" wrapText="1"/>
      <protection locked="0"/>
    </xf>
    <xf numFmtId="0" fontId="9" fillId="3" borderId="272" xfId="0" applyFont="1" applyFill="1" applyBorder="1" applyAlignment="1" applyProtection="1">
      <alignment horizontal="center" vertical="center" wrapText="1"/>
      <protection locked="0"/>
    </xf>
    <xf numFmtId="0" fontId="157" fillId="3" borderId="273" xfId="0" applyFont="1" applyFill="1" applyBorder="1" applyAlignment="1" applyProtection="1">
      <alignment horizontal="center" vertical="center" wrapText="1"/>
      <protection locked="0"/>
    </xf>
    <xf numFmtId="0" fontId="9" fillId="3" borderId="274" xfId="0" applyFont="1" applyFill="1" applyBorder="1" applyAlignment="1" applyProtection="1">
      <alignment horizontal="center" vertical="center" wrapText="1"/>
      <protection locked="0"/>
    </xf>
    <xf numFmtId="0" fontId="9" fillId="3" borderId="275" xfId="0" applyFont="1" applyFill="1" applyBorder="1" applyAlignment="1" applyProtection="1">
      <alignment horizontal="center" vertical="center" wrapText="1"/>
      <protection locked="0"/>
    </xf>
    <xf numFmtId="0" fontId="23" fillId="3" borderId="275" xfId="0" applyFont="1" applyFill="1" applyBorder="1" applyAlignment="1" applyProtection="1">
      <alignment horizontal="center" vertical="center" wrapText="1"/>
      <protection locked="0"/>
    </xf>
    <xf numFmtId="0" fontId="157" fillId="3" borderId="275" xfId="0" applyFont="1" applyFill="1" applyBorder="1" applyAlignment="1" applyProtection="1">
      <alignment horizontal="center" vertical="center" wrapText="1"/>
      <protection locked="0"/>
    </xf>
    <xf numFmtId="0" fontId="157" fillId="3" borderId="276" xfId="0" applyFont="1" applyFill="1" applyBorder="1" applyAlignment="1" applyProtection="1">
      <alignment horizontal="center" vertical="center" wrapText="1"/>
      <protection locked="0"/>
    </xf>
    <xf numFmtId="0" fontId="217" fillId="28" borderId="278" xfId="0" applyFont="1" applyFill="1" applyBorder="1" applyAlignment="1" applyProtection="1">
      <alignment horizontal="center" vertical="center" wrapText="1"/>
      <protection locked="0"/>
    </xf>
    <xf numFmtId="0" fontId="9" fillId="3" borderId="279" xfId="0" applyFont="1" applyFill="1" applyBorder="1" applyAlignment="1" applyProtection="1">
      <alignment horizontal="center" vertical="center" wrapText="1"/>
      <protection locked="0"/>
    </xf>
    <xf numFmtId="0" fontId="217" fillId="28" borderId="280" xfId="0" applyFont="1" applyFill="1" applyBorder="1" applyAlignment="1" applyProtection="1">
      <alignment horizontal="center" vertical="center" wrapText="1"/>
      <protection locked="0"/>
    </xf>
    <xf numFmtId="0" fontId="217" fillId="28" borderId="281" xfId="0" applyFont="1" applyFill="1" applyBorder="1" applyAlignment="1" applyProtection="1">
      <alignment horizontal="center" vertical="center" wrapText="1"/>
      <protection locked="0"/>
    </xf>
    <xf numFmtId="0" fontId="217" fillId="28" borderId="272" xfId="0" applyFont="1" applyFill="1" applyBorder="1" applyAlignment="1" applyProtection="1">
      <alignment horizontal="center" vertical="center" wrapText="1"/>
      <protection locked="0"/>
    </xf>
    <xf numFmtId="0" fontId="217" fillId="28" borderId="274" xfId="0" applyFont="1" applyFill="1" applyBorder="1" applyAlignment="1" applyProtection="1">
      <alignment horizontal="center" vertical="center" wrapText="1"/>
      <protection locked="0"/>
    </xf>
    <xf numFmtId="0" fontId="9" fillId="3" borderId="282" xfId="0" applyFont="1" applyFill="1" applyBorder="1" applyAlignment="1" applyProtection="1">
      <alignment horizontal="center" vertical="center" wrapText="1"/>
      <protection locked="0"/>
    </xf>
    <xf numFmtId="0" fontId="217" fillId="28" borderId="283" xfId="0" applyFont="1" applyFill="1" applyBorder="1" applyAlignment="1" applyProtection="1">
      <alignment horizontal="center" vertical="center" wrapText="1"/>
      <protection locked="0"/>
    </xf>
    <xf numFmtId="0" fontId="217" fillId="28" borderId="284" xfId="0" applyFont="1" applyFill="1" applyBorder="1" applyAlignment="1" applyProtection="1">
      <alignment horizontal="center" vertical="center" wrapText="1"/>
      <protection locked="0"/>
    </xf>
    <xf numFmtId="0" fontId="217" fillId="28" borderId="285" xfId="0" applyFont="1" applyFill="1" applyBorder="1" applyAlignment="1" applyProtection="1">
      <alignment horizontal="center" vertical="center" wrapText="1"/>
      <protection locked="0"/>
    </xf>
    <xf numFmtId="0" fontId="9" fillId="3" borderId="271" xfId="0" applyFont="1" applyFill="1" applyBorder="1" applyAlignment="1" applyProtection="1">
      <alignment horizontal="center" vertical="center" wrapText="1"/>
      <protection locked="0"/>
    </xf>
    <xf numFmtId="0" fontId="9" fillId="3" borderId="273" xfId="0" applyFont="1" applyFill="1" applyBorder="1" applyAlignment="1" applyProtection="1">
      <alignment horizontal="center" vertical="center" wrapText="1"/>
      <protection locked="0"/>
    </xf>
    <xf numFmtId="0" fontId="9" fillId="3" borderId="276" xfId="0" applyFont="1" applyFill="1" applyBorder="1" applyAlignment="1" applyProtection="1">
      <alignment horizontal="center" vertical="center" wrapText="1"/>
      <protection locked="0"/>
    </xf>
    <xf numFmtId="0" fontId="159" fillId="0" borderId="143" xfId="0" applyFont="1" applyBorder="1" applyAlignment="1" applyProtection="1">
      <alignment vertical="center"/>
      <protection hidden="1"/>
    </xf>
    <xf numFmtId="0" fontId="159" fillId="0" borderId="110" xfId="0" applyFont="1" applyBorder="1" applyAlignment="1" applyProtection="1">
      <alignment vertical="center"/>
      <protection hidden="1"/>
    </xf>
    <xf numFmtId="0" fontId="284" fillId="0" borderId="143" xfId="0" applyFont="1" applyBorder="1" applyAlignment="1" applyProtection="1">
      <alignment vertical="center"/>
      <protection hidden="1"/>
    </xf>
    <xf numFmtId="0" fontId="285" fillId="0" borderId="106" xfId="0" applyFont="1" applyFill="1" applyBorder="1" applyAlignment="1" applyProtection="1">
      <alignment horizontal="center" vertical="center" wrapText="1"/>
      <protection hidden="1"/>
    </xf>
    <xf numFmtId="0" fontId="286" fillId="0" borderId="106"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textRotation="90" wrapText="1"/>
      <protection hidden="1"/>
    </xf>
    <xf numFmtId="0" fontId="287" fillId="3" borderId="121" xfId="0" applyFont="1" applyFill="1" applyBorder="1" applyAlignment="1" applyProtection="1">
      <alignment horizontal="center" vertical="center" textRotation="90" wrapText="1" shrinkToFit="1"/>
      <protection hidden="1"/>
    </xf>
    <xf numFmtId="0" fontId="35" fillId="0" borderId="106"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textRotation="90" wrapText="1"/>
      <protection hidden="1"/>
    </xf>
    <xf numFmtId="0" fontId="60" fillId="0" borderId="106" xfId="0" applyFont="1" applyFill="1" applyBorder="1" applyAlignment="1" applyProtection="1">
      <alignment horizontal="center" vertical="center" wrapText="1"/>
      <protection hidden="1"/>
    </xf>
    <xf numFmtId="0" fontId="36" fillId="21" borderId="106" xfId="0" applyFont="1" applyFill="1" applyBorder="1" applyAlignment="1" applyProtection="1">
      <alignment horizontal="center" vertical="center" textRotation="90" wrapText="1"/>
      <protection hidden="1"/>
    </xf>
    <xf numFmtId="0" fontId="38" fillId="0" borderId="0" xfId="0" applyFont="1" applyFill="1" applyBorder="1" applyAlignment="1" applyProtection="1">
      <alignment vertical="center" wrapText="1"/>
      <protection hidden="1"/>
    </xf>
    <xf numFmtId="0" fontId="219" fillId="0" borderId="0" xfId="0" applyFont="1" applyFill="1" applyBorder="1" applyAlignment="1" applyProtection="1">
      <alignment vertical="center" wrapText="1"/>
      <protection hidden="1"/>
    </xf>
    <xf numFmtId="0" fontId="43" fillId="0" borderId="106" xfId="0" applyFont="1" applyFill="1" applyBorder="1" applyAlignment="1" applyProtection="1">
      <alignment horizontal="left" vertical="center" wrapText="1"/>
      <protection hidden="1"/>
    </xf>
    <xf numFmtId="0" fontId="14" fillId="0" borderId="0" xfId="0" applyFont="1" applyFill="1" applyBorder="1" applyAlignment="1" applyProtection="1">
      <alignment wrapText="1"/>
      <protection hidden="1"/>
    </xf>
    <xf numFmtId="0" fontId="229" fillId="0" borderId="108" xfId="0" applyFont="1" applyFill="1" applyBorder="1" applyAlignment="1" applyProtection="1">
      <alignment horizontal="center" vertical="center" wrapText="1"/>
      <protection hidden="1"/>
    </xf>
    <xf numFmtId="0" fontId="285" fillId="0" borderId="108" xfId="0" applyFont="1" applyFill="1" applyBorder="1" applyAlignment="1" applyProtection="1">
      <alignment horizontal="center" vertical="center" wrapText="1"/>
      <protection hidden="1"/>
    </xf>
    <xf numFmtId="0" fontId="286" fillId="0" borderId="108" xfId="0" applyFont="1" applyFill="1" applyBorder="1" applyAlignment="1" applyProtection="1">
      <alignment horizontal="center" vertical="center" wrapText="1"/>
      <protection hidden="1"/>
    </xf>
    <xf numFmtId="0" fontId="230" fillId="0" borderId="108" xfId="0" applyFont="1" applyFill="1" applyBorder="1" applyAlignment="1" applyProtection="1">
      <alignment horizontal="center" vertical="center" wrapText="1"/>
      <protection hidden="1"/>
    </xf>
    <xf numFmtId="0" fontId="231" fillId="0" borderId="108" xfId="0" applyFont="1" applyFill="1" applyBorder="1" applyAlignment="1" applyProtection="1">
      <alignment horizontal="center" vertical="center" wrapText="1"/>
      <protection hidden="1"/>
    </xf>
    <xf numFmtId="0" fontId="287" fillId="3" borderId="106" xfId="0" applyFont="1" applyFill="1" applyBorder="1" applyAlignment="1" applyProtection="1">
      <alignment horizontal="center" vertical="center" textRotation="90" wrapText="1" shrinkToFit="1"/>
      <protection hidden="1"/>
    </xf>
    <xf numFmtId="0" fontId="229" fillId="21" borderId="108" xfId="0" applyFont="1" applyFill="1" applyBorder="1" applyAlignment="1" applyProtection="1">
      <alignment horizontal="center" vertical="center" wrapText="1"/>
      <protection hidden="1"/>
    </xf>
    <xf numFmtId="0" fontId="229" fillId="0" borderId="108" xfId="0" applyFont="1" applyFill="1" applyBorder="1" applyAlignment="1" applyProtection="1">
      <alignment horizontal="left" vertical="center" wrapText="1"/>
      <protection hidden="1"/>
    </xf>
    <xf numFmtId="0" fontId="14" fillId="0" borderId="117" xfId="0" applyFont="1" applyFill="1" applyBorder="1" applyAlignment="1" applyProtection="1">
      <alignment wrapText="1"/>
      <protection hidden="1"/>
    </xf>
    <xf numFmtId="0" fontId="14" fillId="0" borderId="0"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172" fontId="290" fillId="3" borderId="109" xfId="0" applyNumberFormat="1" applyFont="1" applyFill="1" applyBorder="1" applyAlignment="1" applyProtection="1">
      <alignment horizontal="center" vertical="center" shrinkToFit="1"/>
      <protection hidden="1"/>
    </xf>
    <xf numFmtId="2" fontId="56" fillId="0" borderId="110" xfId="0" applyNumberFormat="1" applyFont="1" applyFill="1" applyBorder="1" applyAlignment="1" applyProtection="1">
      <alignment horizontal="center" vertical="center" wrapText="1"/>
      <protection hidden="1"/>
    </xf>
    <xf numFmtId="0" fontId="291" fillId="3" borderId="106" xfId="0" applyFont="1" applyFill="1" applyBorder="1" applyAlignment="1" applyProtection="1">
      <alignment horizontal="center" vertical="center"/>
      <protection hidden="1"/>
    </xf>
    <xf numFmtId="0" fontId="260" fillId="0" borderId="109" xfId="0" applyFont="1" applyFill="1" applyBorder="1" applyAlignment="1" applyProtection="1">
      <alignment horizontal="center" vertical="center" wrapText="1"/>
      <protection hidden="1"/>
    </xf>
    <xf numFmtId="2" fontId="48" fillId="0" borderId="110" xfId="0" applyNumberFormat="1" applyFont="1" applyFill="1" applyBorder="1" applyAlignment="1" applyProtection="1">
      <alignment horizontal="center" vertical="center" wrapText="1"/>
      <protection hidden="1"/>
    </xf>
    <xf numFmtId="0" fontId="268" fillId="3" borderId="106" xfId="0" applyFont="1" applyFill="1" applyBorder="1" applyAlignment="1" applyProtection="1">
      <alignment horizontal="center" vertical="center" shrinkToFit="1"/>
      <protection hidden="1"/>
    </xf>
    <xf numFmtId="0" fontId="56" fillId="0" borderId="109" xfId="0" applyFont="1" applyFill="1" applyBorder="1" applyAlignment="1" applyProtection="1">
      <alignment horizontal="center" vertical="center" shrinkToFit="1"/>
      <protection hidden="1"/>
    </xf>
    <xf numFmtId="0" fontId="56" fillId="0" borderId="106" xfId="0" applyFont="1" applyFill="1" applyBorder="1" applyAlignment="1" applyProtection="1">
      <alignment horizontal="center" vertical="center" shrinkToFit="1"/>
      <protection hidden="1"/>
    </xf>
    <xf numFmtId="0" fontId="60" fillId="0"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1" fillId="0" borderId="106"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60" fillId="3" borderId="110" xfId="0" applyFont="1" applyFill="1" applyBorder="1" applyAlignment="1" applyProtection="1">
      <alignment horizontal="center" vertical="center"/>
      <protection hidden="1"/>
    </xf>
    <xf numFmtId="0" fontId="293" fillId="17" borderId="110"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35" fillId="17" borderId="110"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93" fillId="17" borderId="106"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06" xfId="0" applyFont="1" applyFill="1" applyBorder="1" applyAlignment="1" applyProtection="1">
      <alignment horizontal="center" vertical="center" shrinkToFit="1"/>
      <protection hidden="1"/>
    </xf>
    <xf numFmtId="0" fontId="79" fillId="17" borderId="109" xfId="0" applyFont="1" applyFill="1" applyBorder="1" applyAlignment="1" applyProtection="1">
      <alignment horizontal="center" vertical="center" shrinkToFit="1"/>
      <protection hidden="1"/>
    </xf>
    <xf numFmtId="0" fontId="294" fillId="17" borderId="106" xfId="0" applyFont="1" applyFill="1" applyBorder="1" applyAlignment="1" applyProtection="1">
      <alignment horizontal="center" vertical="center" wrapText="1"/>
      <protection hidden="1"/>
    </xf>
    <xf numFmtId="0" fontId="88" fillId="17" borderId="106" xfId="0" applyFont="1" applyFill="1" applyBorder="1" applyAlignment="1" applyProtection="1">
      <alignment horizontal="center" wrapText="1"/>
      <protection hidden="1"/>
    </xf>
    <xf numFmtId="0" fontId="88" fillId="17" borderId="108" xfId="0" applyFont="1" applyFill="1" applyBorder="1" applyAlignment="1" applyProtection="1">
      <alignment horizontal="center" vertical="center" wrapText="1"/>
      <protection hidden="1"/>
    </xf>
    <xf numFmtId="0" fontId="88" fillId="17" borderId="110" xfId="0" applyFont="1" applyFill="1" applyBorder="1" applyAlignment="1" applyProtection="1">
      <alignment horizontal="center" vertical="center" shrinkToFit="1"/>
      <protection hidden="1"/>
    </xf>
    <xf numFmtId="0" fontId="79" fillId="17" borderId="110" xfId="0" applyFont="1" applyFill="1" applyBorder="1" applyAlignment="1" applyProtection="1">
      <alignment horizontal="center" vertical="center" wrapText="1"/>
      <protection hidden="1"/>
    </xf>
    <xf numFmtId="0" fontId="35" fillId="0" borderId="111" xfId="0" applyFont="1" applyBorder="1" applyAlignment="1" applyProtection="1">
      <alignment vertical="center" wrapText="1"/>
      <protection hidden="1"/>
    </xf>
    <xf numFmtId="0" fontId="35" fillId="0" borderId="112" xfId="0" applyFont="1" applyBorder="1" applyAlignment="1" applyProtection="1">
      <alignment vertical="center" wrapText="1"/>
      <protection hidden="1"/>
    </xf>
    <xf numFmtId="0" fontId="35" fillId="0" borderId="114" xfId="0" applyFont="1" applyBorder="1" applyAlignment="1" applyProtection="1">
      <alignment vertical="center" wrapText="1"/>
      <protection hidden="1"/>
    </xf>
    <xf numFmtId="0" fontId="35" fillId="0" borderId="0" xfId="0" applyFont="1" applyBorder="1" applyAlignment="1" applyProtection="1">
      <alignment vertical="center" wrapText="1"/>
      <protection hidden="1"/>
    </xf>
    <xf numFmtId="0" fontId="35" fillId="0" borderId="116" xfId="0" applyFont="1" applyBorder="1" applyAlignment="1" applyProtection="1">
      <alignment vertical="center" wrapText="1"/>
      <protection hidden="1"/>
    </xf>
    <xf numFmtId="0" fontId="35" fillId="0" borderId="117" xfId="0" applyFont="1" applyBorder="1" applyAlignment="1" applyProtection="1">
      <alignment vertical="center" wrapText="1"/>
      <protection hidden="1"/>
    </xf>
    <xf numFmtId="0" fontId="60" fillId="17" borderId="108" xfId="0" applyFont="1" applyFill="1" applyBorder="1" applyAlignment="1" applyProtection="1">
      <alignment horizontal="center" vertical="center" wrapText="1"/>
      <protection hidden="1"/>
    </xf>
    <xf numFmtId="0" fontId="60" fillId="17" borderId="106" xfId="0" applyNumberFormat="1" applyFont="1" applyFill="1" applyBorder="1" applyAlignment="1" applyProtection="1">
      <alignment horizontal="center" vertical="center" wrapText="1"/>
      <protection hidden="1"/>
    </xf>
    <xf numFmtId="0" fontId="60" fillId="17" borderId="110" xfId="0" applyNumberFormat="1" applyFont="1" applyFill="1" applyBorder="1" applyAlignment="1" applyProtection="1">
      <alignment horizontal="center" vertical="center" wrapText="1"/>
      <protection hidden="1"/>
    </xf>
    <xf numFmtId="0" fontId="225" fillId="17" borderId="110" xfId="0" applyFont="1" applyFill="1" applyBorder="1" applyAlignment="1" applyProtection="1">
      <alignment horizontal="center" vertical="center" wrapText="1"/>
      <protection hidden="1"/>
    </xf>
    <xf numFmtId="0" fontId="225" fillId="17" borderId="106"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shrinkToFit="1"/>
      <protection hidden="1"/>
    </xf>
    <xf numFmtId="0" fontId="295" fillId="0" borderId="106"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172" fontId="296" fillId="0" borderId="106" xfId="0" applyNumberFormat="1" applyFont="1" applyFill="1" applyBorder="1" applyAlignment="1" applyProtection="1">
      <alignment horizontal="center" vertical="center" shrinkToFit="1"/>
      <protection hidden="1"/>
    </xf>
    <xf numFmtId="14" fontId="70" fillId="0" borderId="0" xfId="0" applyNumberFormat="1" applyFont="1" applyFill="1" applyBorder="1" applyAlignment="1" applyProtection="1">
      <alignment vertical="center" wrapText="1"/>
      <protection hidden="1"/>
    </xf>
    <xf numFmtId="0" fontId="20" fillId="0" borderId="287" xfId="0" applyFont="1" applyFill="1" applyBorder="1" applyAlignment="1" applyProtection="1">
      <alignment horizontal="center" vertical="center" wrapText="1"/>
      <protection hidden="1"/>
    </xf>
    <xf numFmtId="0" fontId="26" fillId="0" borderId="292" xfId="0" applyFont="1" applyBorder="1" applyAlignment="1" applyProtection="1">
      <alignment horizontal="center" vertical="center" wrapText="1"/>
      <protection hidden="1"/>
    </xf>
    <xf numFmtId="171" fontId="240" fillId="0" borderId="108" xfId="0" applyNumberFormat="1" applyFont="1" applyFill="1" applyBorder="1" applyAlignment="1" applyProtection="1">
      <alignment horizontal="center" vertical="center" wrapText="1"/>
      <protection hidden="1"/>
    </xf>
    <xf numFmtId="0" fontId="241" fillId="7" borderId="143" xfId="0" applyFont="1" applyFill="1" applyBorder="1" applyAlignment="1" applyProtection="1">
      <alignment vertical="center" wrapText="1"/>
      <protection hidden="1"/>
    </xf>
    <xf numFmtId="0" fontId="112" fillId="0" borderId="107" xfId="0" applyFont="1" applyFill="1" applyBorder="1" applyAlignment="1" applyProtection="1">
      <alignment horizontal="center" vertical="center" wrapText="1"/>
      <protection hidden="1"/>
    </xf>
    <xf numFmtId="0" fontId="33" fillId="0" borderId="107" xfId="0" applyFont="1" applyFill="1" applyBorder="1" applyAlignment="1" applyProtection="1">
      <alignment horizontal="center" vertical="center" wrapText="1"/>
      <protection hidden="1"/>
    </xf>
    <xf numFmtId="0" fontId="49" fillId="0" borderId="107" xfId="0" applyFont="1" applyFill="1" applyBorder="1" applyAlignment="1" applyProtection="1">
      <alignment horizontal="center" vertical="center" wrapText="1"/>
      <protection hidden="1"/>
    </xf>
    <xf numFmtId="0" fontId="56" fillId="0" borderId="107" xfId="0" applyFont="1" applyFill="1" applyBorder="1" applyAlignment="1" applyProtection="1">
      <alignment horizontal="center" vertical="center" shrinkToFit="1"/>
      <protection hidden="1"/>
    </xf>
    <xf numFmtId="0" fontId="268" fillId="3" borderId="107" xfId="0" applyFont="1" applyFill="1" applyBorder="1" applyAlignment="1" applyProtection="1">
      <alignment horizontal="center" vertical="center" shrinkToFit="1"/>
      <protection hidden="1"/>
    </xf>
    <xf numFmtId="2" fontId="48" fillId="0" borderId="113" xfId="0" applyNumberFormat="1" applyFont="1" applyFill="1" applyBorder="1" applyAlignment="1" applyProtection="1">
      <alignment horizontal="center" vertical="center" wrapText="1"/>
      <protection hidden="1"/>
    </xf>
    <xf numFmtId="0" fontId="260" fillId="0" borderId="111" xfId="0" applyFont="1" applyFill="1" applyBorder="1" applyAlignment="1" applyProtection="1">
      <alignment horizontal="center" vertical="center" wrapText="1"/>
      <protection hidden="1"/>
    </xf>
    <xf numFmtId="172" fontId="290" fillId="3" borderId="111" xfId="0" applyNumberFormat="1" applyFont="1" applyFill="1" applyBorder="1" applyAlignment="1" applyProtection="1">
      <alignment horizontal="center" vertical="center" shrinkToFit="1"/>
      <protection hidden="1"/>
    </xf>
    <xf numFmtId="0" fontId="260" fillId="3" borderId="113" xfId="0" applyFont="1" applyFill="1" applyBorder="1" applyAlignment="1" applyProtection="1">
      <alignment horizontal="center" vertical="center"/>
      <protection hidden="1"/>
    </xf>
    <xf numFmtId="2" fontId="56" fillId="0" borderId="113" xfId="0" applyNumberFormat="1" applyFont="1" applyFill="1" applyBorder="1" applyAlignment="1" applyProtection="1">
      <alignment horizontal="center" vertical="center" wrapText="1"/>
      <protection hidden="1"/>
    </xf>
    <xf numFmtId="0" fontId="12" fillId="0" borderId="107" xfId="0" applyFont="1" applyFill="1" applyBorder="1" applyAlignment="1" applyProtection="1">
      <alignment horizontal="center" vertical="center" wrapText="1"/>
      <protection hidden="1"/>
    </xf>
    <xf numFmtId="0" fontId="20" fillId="9" borderId="288" xfId="0" applyFont="1" applyFill="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9" fillId="17" borderId="290" xfId="0" applyFont="1" applyFill="1" applyBorder="1" applyAlignment="1" applyProtection="1">
      <alignment horizontal="center" vertical="center" wrapText="1"/>
      <protection hidden="1"/>
    </xf>
    <xf numFmtId="0" fontId="224" fillId="17" borderId="290" xfId="0" applyFont="1" applyFill="1" applyBorder="1" applyAlignment="1" applyProtection="1">
      <alignment horizontal="center" vertical="center" wrapText="1"/>
      <protection hidden="1"/>
    </xf>
    <xf numFmtId="0" fontId="20" fillId="17" borderId="290" xfId="0" applyFont="1" applyFill="1" applyBorder="1" applyAlignment="1" applyProtection="1">
      <alignment horizontal="center" vertical="center" wrapText="1"/>
      <protection hidden="1"/>
    </xf>
    <xf numFmtId="172" fontId="223" fillId="17" borderId="290" xfId="0" applyNumberFormat="1" applyFont="1" applyFill="1" applyBorder="1" applyAlignment="1" applyProtection="1">
      <alignment horizontal="center" vertical="center" wrapText="1"/>
      <protection hidden="1"/>
    </xf>
    <xf numFmtId="0" fontId="27" fillId="17" borderId="290" xfId="0" applyFont="1" applyFill="1" applyBorder="1" applyAlignment="1" applyProtection="1">
      <alignment horizontal="center" vertical="center" wrapText="1"/>
      <protection hidden="1"/>
    </xf>
    <xf numFmtId="0" fontId="242" fillId="17" borderId="293" xfId="0" applyFont="1" applyFill="1" applyBorder="1" applyAlignment="1" applyProtection="1">
      <alignment horizontal="center" vertical="center" wrapText="1"/>
      <protection hidden="1"/>
    </xf>
    <xf numFmtId="0" fontId="298" fillId="0" borderId="109" xfId="0" applyFont="1" applyBorder="1" applyAlignment="1" applyProtection="1">
      <alignment horizontal="right" vertical="center"/>
      <protection hidden="1"/>
    </xf>
    <xf numFmtId="0" fontId="112" fillId="0" borderId="51" xfId="0" applyFont="1" applyBorder="1" applyAlignment="1" applyProtection="1">
      <alignment horizontal="center" vertical="center" shrinkToFit="1"/>
      <protection hidden="1"/>
    </xf>
    <xf numFmtId="0" fontId="35" fillId="0" borderId="51" xfId="0" applyFont="1" applyFill="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0" fillId="0" borderId="301" xfId="0" applyBorder="1" applyProtection="1">
      <protection hidden="1"/>
    </xf>
    <xf numFmtId="0" fontId="0" fillId="0" borderId="56" xfId="0" applyBorder="1" applyProtection="1">
      <protection hidden="1"/>
    </xf>
    <xf numFmtId="0" fontId="60" fillId="0" borderId="147" xfId="0" applyFont="1" applyFill="1" applyBorder="1" applyAlignment="1" applyProtection="1">
      <alignment horizontal="center" vertical="center" wrapText="1"/>
      <protection hidden="1"/>
    </xf>
    <xf numFmtId="172" fontId="46" fillId="0" borderId="51" xfId="0" applyNumberFormat="1" applyFont="1" applyBorder="1" applyAlignment="1" applyProtection="1">
      <alignment horizontal="center" vertical="center" wrapText="1"/>
      <protection hidden="1"/>
    </xf>
    <xf numFmtId="1" fontId="302" fillId="0" borderId="147" xfId="0" applyNumberFormat="1" applyFont="1" applyFill="1" applyBorder="1" applyAlignment="1" applyProtection="1">
      <alignment horizontal="center" vertical="center" wrapText="1"/>
      <protection hidden="1"/>
    </xf>
    <xf numFmtId="0" fontId="112" fillId="0" borderId="106" xfId="0" applyFont="1" applyFill="1" applyBorder="1" applyAlignment="1" applyProtection="1">
      <alignment horizontal="center" vertical="center" wrapText="1"/>
      <protection hidden="1"/>
    </xf>
    <xf numFmtId="171" fontId="307" fillId="33" borderId="231" xfId="0" applyNumberFormat="1" applyFont="1" applyFill="1" applyBorder="1" applyAlignment="1" applyProtection="1">
      <alignment horizontal="left" vertical="center"/>
      <protection locked="0"/>
    </xf>
    <xf numFmtId="0" fontId="209" fillId="39" borderId="217" xfId="0" applyFont="1" applyFill="1" applyBorder="1" applyAlignment="1" applyProtection="1">
      <alignment horizontal="right" vertical="center"/>
      <protection hidden="1"/>
    </xf>
    <xf numFmtId="0" fontId="236" fillId="0" borderId="129" xfId="0" applyFont="1" applyBorder="1" applyAlignment="1" applyProtection="1">
      <alignment horizontal="center" vertical="center" wrapText="1"/>
      <protection hidden="1"/>
    </xf>
    <xf numFmtId="0" fontId="305" fillId="0" borderId="129" xfId="0" applyFont="1" applyFill="1" applyBorder="1" applyAlignment="1" applyProtection="1">
      <alignment horizontal="center" vertical="center" wrapText="1"/>
      <protection hidden="1"/>
    </xf>
    <xf numFmtId="0" fontId="306" fillId="0" borderId="129" xfId="0" applyFont="1" applyFill="1" applyBorder="1" applyAlignment="1" applyProtection="1">
      <alignment horizontal="center" vertical="center" textRotation="90" wrapText="1"/>
      <protection hidden="1"/>
    </xf>
    <xf numFmtId="0" fontId="236" fillId="0" borderId="129" xfId="0" applyFont="1" applyFill="1" applyBorder="1" applyAlignment="1" applyProtection="1">
      <alignment horizontal="center" vertical="center" textRotation="90" wrapText="1"/>
      <protection hidden="1"/>
    </xf>
    <xf numFmtId="0" fontId="49" fillId="0" borderId="109" xfId="0" applyFont="1" applyBorder="1" applyAlignment="1" applyProtection="1">
      <alignment horizontal="right" vertical="center"/>
      <protection hidden="1"/>
    </xf>
    <xf numFmtId="0" fontId="49" fillId="0" borderId="171" xfId="0" applyFont="1" applyFill="1" applyBorder="1" applyAlignment="1" applyProtection="1">
      <alignment horizontal="center" vertical="center" textRotation="90" wrapText="1"/>
      <protection hidden="1"/>
    </xf>
    <xf numFmtId="0" fontId="49" fillId="0" borderId="172" xfId="0" applyFont="1" applyBorder="1" applyAlignment="1" applyProtection="1">
      <alignment horizontal="center" vertical="center" textRotation="90" wrapText="1"/>
      <protection hidden="1"/>
    </xf>
    <xf numFmtId="0" fontId="35" fillId="0" borderId="155" xfId="0" applyFont="1" applyFill="1" applyBorder="1" applyAlignment="1" applyProtection="1">
      <alignment horizontal="center" vertical="center" wrapText="1"/>
      <protection hidden="1"/>
    </xf>
    <xf numFmtId="0" fontId="36" fillId="0" borderId="34" xfId="0" applyFont="1" applyBorder="1" applyAlignment="1" applyProtection="1">
      <alignment vertical="center"/>
      <protection hidden="1"/>
    </xf>
    <xf numFmtId="0" fontId="36" fillId="0" borderId="37" xfId="0" applyFont="1" applyBorder="1" applyAlignment="1" applyProtection="1">
      <alignment vertical="center"/>
      <protection hidden="1"/>
    </xf>
    <xf numFmtId="0" fontId="251" fillId="0" borderId="142" xfId="0" applyFont="1" applyFill="1" applyBorder="1" applyAlignment="1" applyProtection="1">
      <alignment horizontal="center" vertical="center" textRotation="90" wrapText="1"/>
      <protection hidden="1"/>
    </xf>
    <xf numFmtId="0" fontId="251" fillId="0" borderId="142" xfId="0" applyFont="1" applyFill="1" applyBorder="1" applyAlignment="1" applyProtection="1">
      <alignment horizontal="center" vertical="center" wrapText="1"/>
      <protection hidden="1"/>
    </xf>
    <xf numFmtId="0" fontId="35" fillId="0" borderId="154" xfId="0" applyFont="1" applyFill="1" applyBorder="1" applyAlignment="1" applyProtection="1">
      <alignment horizontal="center" vertical="center" textRotation="90" wrapText="1"/>
      <protection hidden="1"/>
    </xf>
    <xf numFmtId="0" fontId="35" fillId="0" borderId="142" xfId="0" applyFont="1" applyFill="1" applyBorder="1" applyAlignment="1" applyProtection="1">
      <alignment horizontal="center" vertical="center" wrapText="1"/>
      <protection hidden="1"/>
    </xf>
    <xf numFmtId="166" fontId="117" fillId="0" borderId="51" xfId="0" applyNumberFormat="1" applyFont="1" applyFill="1" applyBorder="1" applyAlignment="1" applyProtection="1">
      <alignment horizontal="center" vertical="center" wrapText="1"/>
      <protection hidden="1"/>
    </xf>
    <xf numFmtId="0" fontId="21" fillId="18" borderId="306" xfId="0" applyFont="1" applyFill="1" applyBorder="1" applyAlignment="1" applyProtection="1">
      <alignment vertical="center" wrapText="1"/>
      <protection hidden="1"/>
    </xf>
    <xf numFmtId="0" fontId="21" fillId="18" borderId="307" xfId="0" applyFont="1" applyFill="1" applyBorder="1" applyAlignment="1" applyProtection="1">
      <alignment vertical="center" wrapText="1"/>
      <protection hidden="1"/>
    </xf>
    <xf numFmtId="0" fontId="49" fillId="0" borderId="141" xfId="0" applyFont="1" applyFill="1" applyBorder="1" applyAlignment="1" applyProtection="1">
      <alignment horizontal="center" vertical="center" wrapText="1"/>
      <protection hidden="1"/>
    </xf>
    <xf numFmtId="172" fontId="49" fillId="0" borderId="141" xfId="0" applyNumberFormat="1" applyFont="1" applyFill="1" applyBorder="1" applyAlignment="1" applyProtection="1">
      <alignment horizontal="center" vertical="center" wrapText="1"/>
      <protection hidden="1"/>
    </xf>
    <xf numFmtId="2" fontId="43" fillId="0" borderId="154" xfId="0" applyNumberFormat="1" applyFont="1" applyFill="1" applyBorder="1" applyAlignment="1" applyProtection="1">
      <alignment horizontal="center" vertical="center" wrapText="1"/>
      <protection hidden="1"/>
    </xf>
    <xf numFmtId="2" fontId="43" fillId="0" borderId="141" xfId="0" applyNumberFormat="1" applyFont="1" applyFill="1" applyBorder="1" applyAlignment="1" applyProtection="1">
      <alignment horizontal="center" vertical="center" wrapText="1"/>
      <protection hidden="1"/>
    </xf>
    <xf numFmtId="0" fontId="43" fillId="0" borderId="141" xfId="0" applyFont="1" applyFill="1" applyBorder="1" applyAlignment="1" applyProtection="1">
      <alignment horizontal="center" vertical="center" wrapText="1"/>
      <protection hidden="1"/>
    </xf>
    <xf numFmtId="171" fontId="112" fillId="0" borderId="141" xfId="0" applyNumberFormat="1" applyFont="1" applyFill="1" applyBorder="1" applyAlignment="1" applyProtection="1">
      <alignment horizontal="center" vertical="center" wrapText="1"/>
      <protection hidden="1"/>
    </xf>
    <xf numFmtId="0" fontId="112" fillId="0" borderId="141" xfId="0" applyFont="1" applyFill="1" applyBorder="1" applyAlignment="1" applyProtection="1">
      <alignment horizontal="left" vertical="center" wrapText="1"/>
      <protection hidden="1"/>
    </xf>
    <xf numFmtId="1" fontId="47" fillId="0" borderId="142" xfId="0" applyNumberFormat="1" applyFont="1" applyFill="1" applyBorder="1" applyAlignment="1" applyProtection="1">
      <alignment horizontal="center" vertical="center" wrapText="1"/>
      <protection hidden="1"/>
    </xf>
    <xf numFmtId="0" fontId="312" fillId="0" borderId="51" xfId="0" applyFont="1" applyBorder="1" applyAlignment="1" applyProtection="1">
      <alignment horizontal="center" vertical="center" wrapText="1"/>
      <protection hidden="1"/>
    </xf>
    <xf numFmtId="0" fontId="313" fillId="25" borderId="0" xfId="0" applyFont="1" applyFill="1" applyProtection="1">
      <protection hidden="1"/>
    </xf>
    <xf numFmtId="0" fontId="60" fillId="0" borderId="0" xfId="0" applyNumberFormat="1" applyFont="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8" fillId="0" borderId="0" xfId="0" applyFont="1" applyFill="1" applyBorder="1" applyAlignment="1" applyProtection="1">
      <alignment horizontal="left" vertical="center" wrapText="1"/>
      <protection hidden="1"/>
    </xf>
    <xf numFmtId="0" fontId="315" fillId="0" borderId="0" xfId="0" applyFont="1" applyProtection="1">
      <protection hidden="1"/>
    </xf>
    <xf numFmtId="0" fontId="314" fillId="0" borderId="0" xfId="0" applyFont="1" applyBorder="1" applyAlignment="1" applyProtection="1">
      <alignment horizontal="center" vertical="center"/>
      <protection hidden="1"/>
    </xf>
    <xf numFmtId="0" fontId="314" fillId="0" borderId="88" xfId="0" applyFont="1" applyBorder="1" applyAlignment="1" applyProtection="1">
      <alignment horizontal="center" vertical="center"/>
      <protection hidden="1"/>
    </xf>
    <xf numFmtId="0" fontId="314" fillId="0" borderId="89" xfId="0" applyFont="1" applyBorder="1" applyAlignment="1" applyProtection="1">
      <alignment horizontal="center"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vertical="center"/>
      <protection hidden="1"/>
    </xf>
    <xf numFmtId="0" fontId="239" fillId="0" borderId="168" xfId="0" applyFont="1" applyFill="1" applyBorder="1" applyAlignment="1" applyProtection="1">
      <alignment horizontal="center" vertical="center" wrapText="1"/>
      <protection hidden="1"/>
    </xf>
    <xf numFmtId="0" fontId="60" fillId="0" borderId="162" xfId="0" applyFont="1" applyFill="1" applyBorder="1" applyAlignment="1" applyProtection="1">
      <alignment horizontal="center" vertical="center" textRotation="90" wrapText="1"/>
      <protection hidden="1"/>
    </xf>
    <xf numFmtId="0" fontId="287" fillId="3" borderId="162" xfId="0" applyFont="1" applyFill="1" applyBorder="1" applyAlignment="1" applyProtection="1">
      <alignment horizontal="center" vertical="center" textRotation="90" wrapText="1" shrinkToFit="1"/>
      <protection hidden="1"/>
    </xf>
    <xf numFmtId="0" fontId="35" fillId="0" borderId="162" xfId="0" applyFont="1" applyFill="1" applyBorder="1" applyAlignment="1" applyProtection="1">
      <alignment horizontal="center" vertical="center" textRotation="90" wrapText="1"/>
      <protection hidden="1"/>
    </xf>
    <xf numFmtId="0" fontId="220" fillId="0" borderId="162" xfId="0" applyFont="1" applyFill="1" applyBorder="1" applyAlignment="1" applyProtection="1">
      <alignment horizontal="center" vertical="center" textRotation="90" wrapText="1"/>
      <protection hidden="1"/>
    </xf>
    <xf numFmtId="0" fontId="165" fillId="37" borderId="162" xfId="0" applyNumberFormat="1" applyFont="1" applyFill="1" applyBorder="1" applyAlignment="1" applyProtection="1">
      <alignment horizontal="center" vertical="center" wrapText="1"/>
      <protection hidden="1"/>
    </xf>
    <xf numFmtId="0" fontId="117" fillId="37" borderId="162" xfId="0" applyNumberFormat="1" applyFont="1" applyFill="1" applyBorder="1" applyAlignment="1" applyProtection="1">
      <alignment horizontal="center" vertical="center" wrapText="1"/>
      <protection hidden="1"/>
    </xf>
    <xf numFmtId="0" fontId="249" fillId="37" borderId="162" xfId="0" applyNumberFormat="1" applyFont="1" applyFill="1" applyBorder="1" applyAlignment="1" applyProtection="1">
      <alignment horizontal="center" vertical="center" wrapText="1"/>
      <protection hidden="1"/>
    </xf>
    <xf numFmtId="0" fontId="117" fillId="37" borderId="162" xfId="0" applyFont="1" applyFill="1" applyBorder="1" applyAlignment="1" applyProtection="1">
      <alignment horizontal="center" vertical="center" wrapText="1"/>
      <protection hidden="1"/>
    </xf>
    <xf numFmtId="0" fontId="96" fillId="37" borderId="162" xfId="0" applyFont="1" applyFill="1" applyBorder="1" applyAlignment="1" applyProtection="1">
      <alignment horizontal="center" vertical="center" shrinkToFit="1"/>
      <protection hidden="1"/>
    </xf>
    <xf numFmtId="0" fontId="117" fillId="37" borderId="162" xfId="0" applyFont="1" applyFill="1" applyBorder="1" applyAlignment="1" applyProtection="1">
      <alignment horizontal="center" vertical="center" shrinkToFit="1"/>
      <protection hidden="1"/>
    </xf>
    <xf numFmtId="0" fontId="318" fillId="0" borderId="91" xfId="0" applyFont="1" applyBorder="1" applyAlignment="1" applyProtection="1">
      <alignment vertical="center"/>
      <protection hidden="1"/>
    </xf>
    <xf numFmtId="0" fontId="115" fillId="0" borderId="0" xfId="0" applyFont="1" applyFill="1" applyBorder="1" applyAlignment="1" applyProtection="1">
      <alignment horizontal="left" vertical="center" wrapText="1"/>
      <protection hidden="1"/>
    </xf>
    <xf numFmtId="0" fontId="314" fillId="0" borderId="0"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wrapText="1"/>
      <protection hidden="1"/>
    </xf>
    <xf numFmtId="0" fontId="60" fillId="0" borderId="0" xfId="0" applyNumberFormat="1" applyFont="1" applyBorder="1" applyAlignment="1" applyProtection="1">
      <alignment horizontal="left" vertical="center" wrapText="1"/>
      <protection hidden="1"/>
    </xf>
    <xf numFmtId="0" fontId="247" fillId="0" borderId="0" xfId="0" applyFont="1" applyFill="1" applyBorder="1" applyAlignment="1" applyProtection="1">
      <alignment horizontal="right" vertical="top" wrapText="1"/>
      <protection hidden="1"/>
    </xf>
    <xf numFmtId="0" fontId="249" fillId="0" borderId="167" xfId="0" applyNumberFormat="1" applyFont="1" applyFill="1" applyBorder="1" applyAlignment="1" applyProtection="1">
      <alignment horizontal="center" vertical="center" wrapText="1"/>
      <protection hidden="1"/>
    </xf>
    <xf numFmtId="172" fontId="158" fillId="0" borderId="167" xfId="0" applyNumberFormat="1" applyFont="1" applyFill="1" applyBorder="1" applyAlignment="1" applyProtection="1">
      <alignment horizontal="center" vertical="center" wrapText="1"/>
      <protection hidden="1"/>
    </xf>
    <xf numFmtId="0" fontId="249" fillId="0" borderId="162" xfId="0" applyNumberFormat="1" applyFont="1" applyFill="1" applyBorder="1" applyAlignment="1" applyProtection="1">
      <alignment horizontal="center" vertical="center" wrapText="1"/>
      <protection hidden="1"/>
    </xf>
    <xf numFmtId="0" fontId="246" fillId="0" borderId="0" xfId="0" applyFont="1" applyBorder="1" applyAlignment="1" applyProtection="1">
      <alignment horizontal="center" vertical="center"/>
      <protection hidden="1"/>
    </xf>
    <xf numFmtId="1" fontId="27" fillId="7" borderId="162" xfId="0" applyNumberFormat="1" applyFont="1" applyFill="1" applyBorder="1" applyAlignment="1" applyProtection="1">
      <alignment horizontal="center" vertical="center" wrapText="1"/>
      <protection hidden="1"/>
    </xf>
    <xf numFmtId="0" fontId="322" fillId="0" borderId="167" xfId="0" applyNumberFormat="1" applyFont="1" applyFill="1" applyBorder="1" applyAlignment="1" applyProtection="1">
      <alignment horizontal="center" vertical="center" wrapText="1"/>
      <protection hidden="1"/>
    </xf>
    <xf numFmtId="2" fontId="323" fillId="0" borderId="162" xfId="0" applyNumberFormat="1" applyFont="1" applyFill="1" applyBorder="1" applyAlignment="1" applyProtection="1">
      <alignment horizontal="center" vertical="center" wrapText="1"/>
      <protection hidden="1"/>
    </xf>
    <xf numFmtId="0" fontId="324" fillId="0" borderId="162" xfId="0" applyNumberFormat="1" applyFont="1" applyFill="1" applyBorder="1" applyAlignment="1" applyProtection="1">
      <alignment horizontal="center" vertical="center" wrapText="1"/>
      <protection hidden="1"/>
    </xf>
    <xf numFmtId="1" fontId="28" fillId="0" borderId="162" xfId="0" applyNumberFormat="1" applyFont="1" applyFill="1" applyBorder="1" applyAlignment="1" applyProtection="1">
      <alignment horizontal="center" vertical="center" wrapText="1"/>
      <protection hidden="1"/>
    </xf>
    <xf numFmtId="0" fontId="35" fillId="0" borderId="0" xfId="0" applyNumberFormat="1" applyFont="1" applyBorder="1" applyAlignment="1" applyProtection="1">
      <alignment horizontal="right" vertical="top" wrapText="1"/>
      <protection hidden="1"/>
    </xf>
    <xf numFmtId="0" fontId="35" fillId="0" borderId="0" xfId="0" applyNumberFormat="1" applyFont="1" applyBorder="1" applyAlignment="1" applyProtection="1">
      <alignment horizontal="right" vertical="center" wrapText="1"/>
      <protection hidden="1"/>
    </xf>
    <xf numFmtId="0" fontId="35" fillId="0" borderId="0" xfId="0" applyNumberFormat="1" applyFont="1" applyBorder="1" applyAlignment="1" applyProtection="1">
      <alignment horizontal="right" vertical="center" wrapText="1"/>
      <protection hidden="1"/>
    </xf>
    <xf numFmtId="0" fontId="156" fillId="0" borderId="162" xfId="0" applyFont="1" applyFill="1" applyBorder="1" applyAlignment="1" applyProtection="1">
      <alignment horizontal="center" vertical="center" wrapText="1"/>
      <protection hidden="1"/>
    </xf>
    <xf numFmtId="0" fontId="156" fillId="0" borderId="167" xfId="0" applyFont="1" applyFill="1" applyBorder="1" applyAlignment="1" applyProtection="1">
      <alignment horizontal="center" vertical="center" wrapText="1"/>
      <protection hidden="1"/>
    </xf>
    <xf numFmtId="0" fontId="314" fillId="0" borderId="0" xfId="0" applyFont="1" applyBorder="1" applyAlignment="1" applyProtection="1">
      <alignment horizontal="center" vertical="center"/>
      <protection hidden="1"/>
    </xf>
    <xf numFmtId="0" fontId="35" fillId="0" borderId="0" xfId="0" applyNumberFormat="1" applyFont="1" applyBorder="1" applyAlignment="1" applyProtection="1">
      <alignment horizontal="right" vertical="center" wrapText="1"/>
      <protection hidden="1"/>
    </xf>
    <xf numFmtId="0" fontId="60" fillId="0" borderId="0" xfId="0" applyNumberFormat="1" applyFont="1" applyBorder="1" applyAlignment="1" applyProtection="1">
      <alignment horizontal="left" vertical="center" wrapText="1"/>
      <protection hidden="1"/>
    </xf>
    <xf numFmtId="1" fontId="49" fillId="0" borderId="162" xfId="0" applyNumberFormat="1" applyFont="1" applyFill="1" applyBorder="1" applyAlignment="1" applyProtection="1">
      <alignment horizontal="center" vertical="center" wrapText="1"/>
      <protection hidden="1"/>
    </xf>
    <xf numFmtId="171" fontId="35" fillId="0" borderId="200" xfId="0" applyNumberFormat="1" applyFont="1" applyFill="1" applyBorder="1" applyAlignment="1" applyProtection="1">
      <alignment horizontal="center" vertical="center" wrapText="1"/>
      <protection hidden="1"/>
    </xf>
    <xf numFmtId="0" fontId="0" fillId="13" borderId="66" xfId="0" applyFill="1" applyBorder="1" applyProtection="1">
      <protection hidden="1"/>
    </xf>
    <xf numFmtId="0" fontId="0" fillId="13" borderId="68" xfId="0" applyFill="1" applyBorder="1" applyProtection="1">
      <protection hidden="1"/>
    </xf>
    <xf numFmtId="0" fontId="0" fillId="13" borderId="69" xfId="0" applyFill="1" applyBorder="1" applyProtection="1">
      <protection hidden="1"/>
    </xf>
    <xf numFmtId="0" fontId="8" fillId="13" borderId="0" xfId="0" applyFont="1" applyFill="1" applyBorder="1" applyAlignment="1" applyProtection="1">
      <alignment horizontal="center"/>
      <protection hidden="1"/>
    </xf>
    <xf numFmtId="0" fontId="0" fillId="13" borderId="70" xfId="0" applyFill="1" applyBorder="1" applyProtection="1">
      <protection hidden="1"/>
    </xf>
    <xf numFmtId="0" fontId="0" fillId="13" borderId="0" xfId="0" applyFill="1" applyBorder="1" applyProtection="1">
      <protection hidden="1"/>
    </xf>
    <xf numFmtId="0" fontId="8" fillId="13" borderId="0" xfId="0" applyFont="1" applyFill="1" applyBorder="1" applyAlignment="1" applyProtection="1">
      <alignment horizontal="center" vertical="center"/>
      <protection hidden="1"/>
    </xf>
    <xf numFmtId="0" fontId="0" fillId="13" borderId="71" xfId="0" applyFill="1" applyBorder="1" applyProtection="1">
      <protection hidden="1"/>
    </xf>
    <xf numFmtId="0" fontId="0" fillId="13" borderId="72" xfId="0" applyFill="1" applyBorder="1" applyProtection="1">
      <protection hidden="1"/>
    </xf>
    <xf numFmtId="0" fontId="0" fillId="13" borderId="73" xfId="0" applyFill="1" applyBorder="1" applyProtection="1">
      <protection hidden="1"/>
    </xf>
    <xf numFmtId="0" fontId="245" fillId="0" borderId="0" xfId="0" applyFont="1" applyBorder="1" applyAlignment="1" applyProtection="1">
      <protection hidden="1"/>
    </xf>
    <xf numFmtId="0" fontId="261" fillId="0" borderId="0" xfId="0" applyFont="1" applyBorder="1" applyAlignment="1" applyProtection="1">
      <protection hidden="1"/>
    </xf>
    <xf numFmtId="0" fontId="246" fillId="0" borderId="0" xfId="0" applyFont="1" applyBorder="1" applyAlignment="1" applyProtection="1">
      <alignment vertical="center"/>
      <protection hidden="1"/>
    </xf>
    <xf numFmtId="0" fontId="251" fillId="0" borderId="162" xfId="0" applyFont="1" applyFill="1" applyBorder="1" applyAlignment="1" applyProtection="1">
      <alignment horizontal="center" vertical="center" textRotation="90" wrapText="1"/>
      <protection hidden="1"/>
    </xf>
    <xf numFmtId="0" fontId="331" fillId="3" borderId="162" xfId="0" applyFont="1" applyFill="1" applyBorder="1" applyAlignment="1" applyProtection="1">
      <alignment horizontal="center" vertical="center" textRotation="90" wrapText="1" shrinkToFit="1"/>
      <protection hidden="1"/>
    </xf>
    <xf numFmtId="0" fontId="332" fillId="0" borderId="162" xfId="0" applyFont="1" applyFill="1" applyBorder="1" applyAlignment="1" applyProtection="1">
      <alignment horizontal="center" vertical="center" textRotation="90" wrapText="1"/>
      <protection hidden="1"/>
    </xf>
    <xf numFmtId="0" fontId="118" fillId="3" borderId="162" xfId="0" applyFont="1" applyFill="1" applyBorder="1" applyAlignment="1" applyProtection="1">
      <alignment horizontal="center" vertical="center" textRotation="90" wrapText="1" shrinkToFit="1"/>
      <protection hidden="1"/>
    </xf>
    <xf numFmtId="0" fontId="96" fillId="37" borderId="162" xfId="0" applyFont="1" applyFill="1" applyBorder="1" applyAlignment="1" applyProtection="1">
      <alignment horizontal="center" vertical="center" wrapText="1"/>
      <protection hidden="1"/>
    </xf>
    <xf numFmtId="0" fontId="96" fillId="37" borderId="162" xfId="0" applyNumberFormat="1" applyFont="1" applyFill="1" applyBorder="1" applyAlignment="1" applyProtection="1">
      <alignment horizontal="center" vertical="center" wrapText="1"/>
      <protection hidden="1"/>
    </xf>
    <xf numFmtId="0" fontId="215" fillId="37" borderId="162" xfId="0" applyNumberFormat="1" applyFont="1" applyFill="1" applyBorder="1" applyAlignment="1" applyProtection="1">
      <alignment horizontal="center" vertical="center" wrapText="1"/>
      <protection hidden="1"/>
    </xf>
    <xf numFmtId="0" fontId="333" fillId="0" borderId="162" xfId="0" applyFont="1" applyFill="1" applyBorder="1" applyAlignment="1" applyProtection="1">
      <alignment horizontal="center" vertical="center" wrapText="1"/>
      <protection hidden="1"/>
    </xf>
    <xf numFmtId="0" fontId="333" fillId="0" borderId="167" xfId="0" applyFont="1" applyFill="1" applyBorder="1" applyAlignment="1" applyProtection="1">
      <alignment horizontal="center" vertical="center" wrapText="1"/>
      <protection hidden="1"/>
    </xf>
    <xf numFmtId="1" fontId="112" fillId="0" borderId="319" xfId="0" applyNumberFormat="1" applyFont="1" applyFill="1" applyBorder="1" applyAlignment="1" applyProtection="1">
      <alignment horizontal="center" vertical="center" wrapText="1"/>
      <protection hidden="1"/>
    </xf>
    <xf numFmtId="0" fontId="9" fillId="0" borderId="323" xfId="0" applyFont="1" applyBorder="1" applyAlignment="1" applyProtection="1">
      <alignment horizontal="center" vertical="center"/>
      <protection hidden="1"/>
    </xf>
    <xf numFmtId="0" fontId="215" fillId="0" borderId="162" xfId="0" applyFont="1" applyFill="1" applyBorder="1" applyAlignment="1" applyProtection="1">
      <alignment horizontal="center" vertical="center" wrapText="1"/>
      <protection hidden="1"/>
    </xf>
    <xf numFmtId="0" fontId="249" fillId="0" borderId="162" xfId="0" applyFont="1" applyFill="1" applyBorder="1" applyAlignment="1" applyProtection="1">
      <alignment horizontal="center" vertical="center" wrapText="1"/>
      <protection hidden="1"/>
    </xf>
    <xf numFmtId="0" fontId="335" fillId="0" borderId="162" xfId="0" applyFont="1" applyFill="1" applyBorder="1" applyAlignment="1" applyProtection="1">
      <alignment horizontal="center" vertical="center" wrapText="1"/>
      <protection hidden="1"/>
    </xf>
    <xf numFmtId="0" fontId="334" fillId="0" borderId="162" xfId="0" applyFont="1" applyFill="1" applyBorder="1" applyAlignment="1" applyProtection="1">
      <alignment horizontal="center" vertical="center" wrapText="1"/>
      <protection hidden="1"/>
    </xf>
    <xf numFmtId="0" fontId="335" fillId="0" borderId="319" xfId="0" applyFont="1" applyFill="1" applyBorder="1" applyAlignment="1" applyProtection="1">
      <alignment horizontal="center" vertical="center" wrapText="1"/>
      <protection hidden="1"/>
    </xf>
    <xf numFmtId="0" fontId="249" fillId="0" borderId="319" xfId="0"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60" fillId="0" borderId="110" xfId="0" applyFont="1" applyBorder="1" applyAlignment="1" applyProtection="1">
      <alignment horizontal="left" vertical="center"/>
      <protection hidden="1"/>
    </xf>
    <xf numFmtId="0" fontId="237" fillId="0" borderId="136" xfId="0" applyFont="1" applyFill="1" applyBorder="1" applyAlignment="1" applyProtection="1">
      <alignment horizontal="center" wrapText="1"/>
      <protection hidden="1"/>
    </xf>
    <xf numFmtId="0" fontId="28" fillId="0" borderId="136" xfId="0"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0" fontId="112" fillId="0" borderId="184" xfId="0" applyFont="1" applyFill="1" applyBorder="1" applyAlignment="1" applyProtection="1">
      <alignment horizontal="center" wrapText="1"/>
      <protection hidden="1"/>
    </xf>
    <xf numFmtId="0" fontId="215" fillId="0" borderId="162" xfId="0" applyFont="1" applyFill="1" applyBorder="1" applyAlignment="1" applyProtection="1">
      <alignment horizontal="center" vertical="center" wrapText="1"/>
      <protection hidden="1"/>
    </xf>
    <xf numFmtId="0" fontId="118" fillId="0" borderId="162" xfId="0"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0" fontId="115" fillId="0" borderId="0" xfId="0" applyFont="1" applyFill="1" applyBorder="1" applyAlignment="1" applyProtection="1">
      <alignment horizontal="left" vertical="center" wrapText="1"/>
      <protection hidden="1"/>
    </xf>
    <xf numFmtId="0" fontId="15" fillId="0" borderId="0" xfId="0" applyFont="1" applyFill="1" applyBorder="1" applyAlignment="1" applyProtection="1">
      <alignment horizontal="center" vertical="center" textRotation="90"/>
      <protection hidden="1"/>
    </xf>
    <xf numFmtId="0" fontId="14" fillId="0" borderId="0" xfId="0" applyFont="1" applyFill="1" applyBorder="1" applyAlignment="1" applyProtection="1">
      <alignment vertical="center" wrapText="1"/>
      <protection hidden="1"/>
    </xf>
    <xf numFmtId="0" fontId="12" fillId="11" borderId="1" xfId="0" applyFont="1" applyFill="1" applyBorder="1" applyAlignment="1" applyProtection="1">
      <alignment vertical="center"/>
      <protection hidden="1"/>
    </xf>
    <xf numFmtId="0" fontId="13" fillId="0" borderId="1" xfId="0" applyFont="1" applyBorder="1" applyAlignment="1" applyProtection="1">
      <alignment horizontal="left" vertical="center"/>
      <protection hidden="1"/>
    </xf>
    <xf numFmtId="0" fontId="60" fillId="19" borderId="262" xfId="0" applyFont="1" applyFill="1" applyBorder="1" applyAlignment="1" applyProtection="1">
      <alignment horizontal="center" vertical="center" textRotation="90" wrapText="1"/>
      <protection hidden="1"/>
    </xf>
    <xf numFmtId="0" fontId="60" fillId="19" borderId="263" xfId="0" applyFont="1" applyFill="1" applyBorder="1" applyAlignment="1" applyProtection="1">
      <alignment horizontal="center" vertical="center" textRotation="90" wrapText="1"/>
      <protection hidden="1"/>
    </xf>
    <xf numFmtId="0" fontId="60" fillId="12" borderId="262" xfId="0" applyFont="1" applyFill="1" applyBorder="1" applyAlignment="1" applyProtection="1">
      <alignment horizontal="center" vertical="center" textRotation="90" wrapText="1"/>
      <protection hidden="1"/>
    </xf>
    <xf numFmtId="0" fontId="60" fillId="12" borderId="263" xfId="0" applyFont="1" applyFill="1" applyBorder="1" applyAlignment="1" applyProtection="1">
      <alignment horizontal="center" vertical="center" textRotation="90" wrapText="1"/>
      <protection hidden="1"/>
    </xf>
    <xf numFmtId="0" fontId="60" fillId="16" borderId="262" xfId="0" applyFont="1" applyFill="1" applyBorder="1" applyAlignment="1" applyProtection="1">
      <alignment horizontal="center" vertical="center" textRotation="90" wrapText="1"/>
      <protection hidden="1"/>
    </xf>
    <xf numFmtId="0" fontId="60" fillId="16" borderId="263" xfId="0" applyFont="1" applyFill="1" applyBorder="1" applyAlignment="1" applyProtection="1">
      <alignment horizontal="center" vertical="center" textRotation="90" wrapText="1"/>
      <protection hidden="1"/>
    </xf>
    <xf numFmtId="0" fontId="60" fillId="37" borderId="262" xfId="0" applyFont="1" applyFill="1" applyBorder="1" applyAlignment="1" applyProtection="1">
      <alignment horizontal="center" vertical="center" textRotation="90" wrapText="1"/>
      <protection hidden="1"/>
    </xf>
    <xf numFmtId="0" fontId="60" fillId="37" borderId="263" xfId="0" applyFont="1" applyFill="1" applyBorder="1" applyAlignment="1" applyProtection="1">
      <alignment horizontal="center" vertical="center" textRotation="90" wrapText="1"/>
      <protection hidden="1"/>
    </xf>
    <xf numFmtId="0" fontId="60" fillId="24" borderId="10" xfId="0" applyFont="1" applyFill="1" applyBorder="1" applyAlignment="1" applyProtection="1">
      <alignment horizontal="center" vertical="center" textRotation="90" wrapText="1"/>
      <protection hidden="1"/>
    </xf>
    <xf numFmtId="0" fontId="60" fillId="12" borderId="82" xfId="0" applyFont="1" applyFill="1" applyBorder="1" applyAlignment="1" applyProtection="1">
      <alignment horizontal="center" vertical="center" textRotation="90" wrapText="1"/>
      <protection hidden="1"/>
    </xf>
    <xf numFmtId="0" fontId="60" fillId="12" borderId="10" xfId="0" applyFont="1" applyFill="1" applyBorder="1" applyAlignment="1" applyProtection="1">
      <alignment horizontal="center" vertical="center" textRotation="90" wrapText="1"/>
      <protection hidden="1"/>
    </xf>
    <xf numFmtId="0" fontId="60" fillId="12" borderId="79" xfId="0" applyFont="1" applyFill="1" applyBorder="1" applyAlignment="1" applyProtection="1">
      <alignment horizontal="center" vertical="center" textRotation="90" wrapText="1"/>
      <protection hidden="1"/>
    </xf>
    <xf numFmtId="0" fontId="18" fillId="0" borderId="0" xfId="0" applyFont="1" applyFill="1" applyBorder="1" applyAlignment="1" applyProtection="1">
      <alignment horizontal="center" vertical="center" textRotation="90"/>
      <protection hidden="1"/>
    </xf>
    <xf numFmtId="0" fontId="16" fillId="0" borderId="0" xfId="0" applyFont="1" applyFill="1" applyBorder="1" applyAlignment="1" applyProtection="1">
      <alignment horizontal="center" vertical="center" wrapText="1"/>
      <protection hidden="1"/>
    </xf>
    <xf numFmtId="1" fontId="20" fillId="0" borderId="0" xfId="0" applyNumberFormat="1" applyFont="1" applyFill="1" applyBorder="1" applyAlignment="1" applyProtection="1">
      <alignment horizontal="center" vertical="center"/>
      <protection hidden="1"/>
    </xf>
    <xf numFmtId="1" fontId="9" fillId="0" borderId="0" xfId="0" applyNumberFormat="1" applyFont="1" applyFill="1" applyBorder="1" applyAlignment="1" applyProtection="1">
      <alignment horizontal="center" vertical="center" wrapText="1"/>
      <protection hidden="1"/>
    </xf>
    <xf numFmtId="0" fontId="5" fillId="9" borderId="0" xfId="0" applyFont="1" applyFill="1" applyBorder="1" applyAlignment="1" applyProtection="1">
      <alignment vertical="center"/>
      <protection hidden="1"/>
    </xf>
    <xf numFmtId="0" fontId="126" fillId="0" borderId="0" xfId="0" applyNumberFormat="1" applyFont="1" applyFill="1" applyBorder="1" applyAlignment="1" applyProtection="1">
      <alignment horizontal="center" vertical="center" wrapText="1"/>
      <protection hidden="1"/>
    </xf>
    <xf numFmtId="0" fontId="127" fillId="0" borderId="0" xfId="0" applyNumberFormat="1" applyFont="1" applyFill="1" applyBorder="1" applyAlignment="1" applyProtection="1">
      <alignment horizontal="center" vertical="center" wrapText="1"/>
      <protection hidden="1"/>
    </xf>
    <xf numFmtId="0" fontId="128"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129" fillId="9" borderId="0" xfId="0" applyFont="1" applyFill="1" applyBorder="1" applyAlignment="1" applyProtection="1">
      <alignment vertical="center"/>
      <protection hidden="1"/>
    </xf>
    <xf numFmtId="0" fontId="132" fillId="0" borderId="0" xfId="0" applyFont="1" applyFill="1" applyBorder="1" applyAlignment="1" applyProtection="1">
      <alignment horizontal="left" vertical="center" wrapText="1"/>
      <protection hidden="1"/>
    </xf>
    <xf numFmtId="0" fontId="131" fillId="0" borderId="0"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left" vertical="center"/>
      <protection hidden="1"/>
    </xf>
    <xf numFmtId="0" fontId="208" fillId="9" borderId="0" xfId="0" applyFont="1" applyFill="1" applyBorder="1" applyAlignment="1" applyProtection="1">
      <alignment horizontal="center" vertical="center"/>
      <protection hidden="1"/>
    </xf>
    <xf numFmtId="0" fontId="270" fillId="9" borderId="0" xfId="0" applyFont="1" applyFill="1" applyBorder="1" applyAlignment="1" applyProtection="1">
      <alignment horizontal="center" vertical="center"/>
      <protection hidden="1"/>
    </xf>
    <xf numFmtId="0" fontId="336" fillId="9" borderId="0" xfId="4" applyFont="1" applyFill="1" applyBorder="1" applyAlignment="1" applyProtection="1">
      <alignment horizontal="center" vertical="center"/>
      <protection hidden="1"/>
    </xf>
    <xf numFmtId="0" fontId="134" fillId="0" borderId="0" xfId="0" applyFont="1" applyFill="1" applyBorder="1" applyAlignment="1" applyProtection="1">
      <alignment horizontal="left"/>
      <protection hidden="1"/>
    </xf>
    <xf numFmtId="0" fontId="135" fillId="9" borderId="0" xfId="0" applyFont="1" applyFill="1" applyBorder="1" applyProtection="1">
      <protection hidden="1"/>
    </xf>
    <xf numFmtId="0" fontId="136" fillId="0" borderId="0" xfId="0" applyFont="1" applyFill="1" applyBorder="1" applyAlignment="1" applyProtection="1">
      <alignment wrapText="1"/>
      <protection hidden="1"/>
    </xf>
    <xf numFmtId="0" fontId="137" fillId="0" borderId="0" xfId="0" applyFont="1" applyFill="1" applyBorder="1" applyAlignment="1" applyProtection="1">
      <alignment horizontal="left" vertical="center" wrapText="1"/>
      <protection hidden="1"/>
    </xf>
    <xf numFmtId="0" fontId="137" fillId="0" borderId="0" xfId="0" applyFont="1" applyFill="1" applyBorder="1" applyAlignment="1" applyProtection="1">
      <alignment horizontal="left" vertical="center"/>
      <protection hidden="1"/>
    </xf>
    <xf numFmtId="0" fontId="132" fillId="0" borderId="0"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left" vertical="center"/>
      <protection hidden="1"/>
    </xf>
    <xf numFmtId="0" fontId="146" fillId="0" borderId="0" xfId="0" applyFont="1" applyFill="1" applyBorder="1" applyAlignment="1" applyProtection="1">
      <alignment horizontal="left" vertical="center" wrapText="1"/>
      <protection hidden="1"/>
    </xf>
    <xf numFmtId="0" fontId="147" fillId="0" borderId="0" xfId="0" applyFont="1" applyFill="1" applyBorder="1" applyAlignment="1" applyProtection="1">
      <alignment horizontal="left" vertical="center"/>
      <protection hidden="1"/>
    </xf>
    <xf numFmtId="0" fontId="134" fillId="0" borderId="0" xfId="0" applyFont="1" applyFill="1" applyBorder="1" applyAlignment="1" applyProtection="1">
      <alignment horizontal="left" vertical="center"/>
      <protection hidden="1"/>
    </xf>
    <xf numFmtId="0" fontId="148" fillId="0" borderId="0" xfId="0"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153" fillId="25" borderId="0" xfId="0" applyFont="1" applyFill="1" applyAlignment="1" applyProtection="1">
      <alignment horizontal="center" vertical="center"/>
      <protection hidden="1"/>
    </xf>
    <xf numFmtId="171" fontId="216" fillId="9" borderId="0" xfId="0" applyNumberFormat="1" applyFont="1" applyFill="1" applyBorder="1" applyAlignment="1" applyProtection="1">
      <alignment horizontal="center" vertical="center"/>
      <protection hidden="1"/>
    </xf>
    <xf numFmtId="0" fontId="339" fillId="9" borderId="0" xfId="0" applyFont="1" applyFill="1" applyBorder="1" applyAlignment="1" applyProtection="1">
      <alignment horizontal="center" vertical="center"/>
      <protection hidden="1"/>
    </xf>
    <xf numFmtId="0" fontId="309" fillId="0" borderId="0" xfId="0" applyFont="1" applyBorder="1" applyAlignment="1" applyProtection="1">
      <alignment horizontal="center" vertical="center"/>
      <protection hidden="1"/>
    </xf>
    <xf numFmtId="0" fontId="275"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342" fillId="0" borderId="0" xfId="0" applyFont="1" applyBorder="1" applyAlignment="1" applyProtection="1">
      <alignment horizontal="right" vertical="center"/>
      <protection hidden="1"/>
    </xf>
    <xf numFmtId="0" fontId="275" fillId="0" borderId="0" xfId="0" applyFont="1" applyBorder="1" applyAlignment="1" applyProtection="1">
      <alignment horizontal="left" vertical="center"/>
      <protection hidden="1"/>
    </xf>
    <xf numFmtId="0" fontId="341" fillId="0" borderId="0" xfId="0" applyFont="1" applyBorder="1" applyAlignment="1" applyProtection="1">
      <alignment horizontal="center" vertical="center"/>
      <protection hidden="1"/>
    </xf>
    <xf numFmtId="0" fontId="46" fillId="0" borderId="0" xfId="0" applyFont="1" applyFill="1" applyBorder="1" applyAlignment="1" applyProtection="1">
      <alignment vertical="center" wrapText="1"/>
      <protection hidden="1"/>
    </xf>
    <xf numFmtId="0" fontId="111" fillId="0" borderId="0" xfId="0" applyFont="1" applyFill="1" applyBorder="1" applyAlignment="1" applyProtection="1">
      <alignment vertical="center" wrapText="1"/>
      <protection hidden="1"/>
    </xf>
    <xf numFmtId="0" fontId="271" fillId="3" borderId="0" xfId="0" applyFont="1" applyFill="1" applyBorder="1" applyAlignment="1" applyProtection="1">
      <alignment vertical="center" wrapText="1"/>
      <protection hidden="1"/>
    </xf>
    <xf numFmtId="0" fontId="88" fillId="3" borderId="0" xfId="0" applyFont="1" applyFill="1" applyBorder="1" applyAlignment="1" applyProtection="1">
      <alignment horizontal="center" vertical="center" wrapText="1"/>
      <protection hidden="1"/>
    </xf>
    <xf numFmtId="0" fontId="89" fillId="3" borderId="0" xfId="0" applyFont="1" applyFill="1" applyBorder="1" applyAlignment="1" applyProtection="1">
      <alignment vertical="center" wrapText="1"/>
      <protection hidden="1"/>
    </xf>
    <xf numFmtId="0" fontId="343" fillId="3" borderId="0" xfId="0" applyFont="1" applyFill="1" applyBorder="1" applyAlignment="1" applyProtection="1">
      <alignment horizontal="center" vertical="center" wrapText="1"/>
      <protection hidden="1"/>
    </xf>
    <xf numFmtId="0" fontId="346" fillId="3" borderId="0" xfId="0" applyFont="1" applyFill="1" applyBorder="1" applyAlignment="1" applyProtection="1">
      <alignment vertical="center" wrapText="1"/>
      <protection hidden="1"/>
    </xf>
    <xf numFmtId="172" fontId="111" fillId="0" borderId="0" xfId="0" applyNumberFormat="1" applyFont="1" applyFill="1" applyBorder="1" applyAlignment="1" applyProtection="1">
      <alignment vertical="center" wrapText="1"/>
      <protection hidden="1"/>
    </xf>
    <xf numFmtId="0" fontId="35" fillId="0" borderId="343" xfId="0" applyFont="1" applyFill="1" applyBorder="1" applyAlignment="1" applyProtection="1">
      <alignment horizontal="center" vertical="center" textRotation="90" wrapText="1"/>
      <protection hidden="1"/>
    </xf>
    <xf numFmtId="0" fontId="287" fillId="3" borderId="343" xfId="0" applyFont="1" applyFill="1" applyBorder="1" applyAlignment="1" applyProtection="1">
      <alignment horizontal="center" vertical="center" textRotation="90" wrapText="1" shrinkToFit="1"/>
      <protection hidden="1"/>
    </xf>
    <xf numFmtId="0" fontId="56" fillId="28" borderId="343" xfId="0" applyFont="1" applyFill="1" applyBorder="1" applyAlignment="1" applyProtection="1">
      <alignment horizontal="center" vertical="center" wrapText="1"/>
      <protection hidden="1"/>
    </xf>
    <xf numFmtId="0" fontId="350" fillId="28" borderId="343" xfId="0" applyFont="1" applyFill="1" applyBorder="1" applyAlignment="1" applyProtection="1">
      <alignment horizontal="center" vertical="center" wrapText="1"/>
      <protection hidden="1"/>
    </xf>
    <xf numFmtId="0" fontId="260" fillId="28" borderId="343" xfId="0" applyFont="1" applyFill="1" applyBorder="1" applyAlignment="1" applyProtection="1">
      <alignment horizontal="center" vertical="center" wrapText="1"/>
      <protection hidden="1"/>
    </xf>
    <xf numFmtId="0" fontId="88" fillId="28" borderId="343" xfId="0" applyFont="1" applyFill="1" applyBorder="1" applyAlignment="1" applyProtection="1">
      <alignment horizontal="center" vertical="center" wrapText="1"/>
      <protection hidden="1"/>
    </xf>
    <xf numFmtId="0" fontId="8" fillId="28" borderId="343" xfId="0" applyFont="1" applyFill="1" applyBorder="1" applyAlignment="1" applyProtection="1">
      <alignment horizontal="center"/>
      <protection hidden="1"/>
    </xf>
    <xf numFmtId="0" fontId="46" fillId="0" borderId="343" xfId="0" applyFont="1" applyFill="1" applyBorder="1" applyAlignment="1" applyProtection="1">
      <alignment horizontal="center" vertical="center" wrapText="1"/>
      <protection hidden="1"/>
    </xf>
    <xf numFmtId="0" fontId="44" fillId="0" borderId="343" xfId="0" applyFont="1" applyFill="1" applyBorder="1" applyAlignment="1" applyProtection="1">
      <alignment horizontal="center" vertical="center" wrapText="1"/>
      <protection hidden="1"/>
    </xf>
    <xf numFmtId="0" fontId="244" fillId="0" borderId="343" xfId="0" applyFont="1" applyFill="1" applyBorder="1" applyAlignment="1" applyProtection="1">
      <alignment horizontal="center" vertical="center" wrapText="1"/>
      <protection hidden="1"/>
    </xf>
    <xf numFmtId="171" fontId="44" fillId="0" borderId="343" xfId="0" applyNumberFormat="1" applyFont="1" applyFill="1" applyBorder="1" applyAlignment="1" applyProtection="1">
      <alignment horizontal="center" vertical="center" wrapText="1"/>
      <protection hidden="1"/>
    </xf>
    <xf numFmtId="0" fontId="113" fillId="0" borderId="343" xfId="0" applyFont="1" applyFill="1" applyBorder="1" applyAlignment="1" applyProtection="1">
      <alignment horizontal="left" vertical="center" wrapText="1"/>
      <protection hidden="1"/>
    </xf>
    <xf numFmtId="0" fontId="113" fillId="0" borderId="343" xfId="0" applyFont="1" applyFill="1" applyBorder="1" applyAlignment="1" applyProtection="1">
      <alignment horizontal="center" vertical="center" wrapText="1"/>
      <protection hidden="1"/>
    </xf>
    <xf numFmtId="0" fontId="56" fillId="3" borderId="343" xfId="0" applyFont="1" applyFill="1" applyBorder="1" applyAlignment="1" applyProtection="1">
      <alignment horizontal="center" vertical="center" wrapText="1"/>
      <protection hidden="1"/>
    </xf>
    <xf numFmtId="0" fontId="350" fillId="0" borderId="343" xfId="0" applyFont="1" applyFill="1" applyBorder="1" applyAlignment="1" applyProtection="1">
      <alignment horizontal="center" vertical="center" wrapText="1"/>
      <protection hidden="1"/>
    </xf>
    <xf numFmtId="0" fontId="260" fillId="3" borderId="343" xfId="0" applyFont="1" applyFill="1" applyBorder="1" applyAlignment="1" applyProtection="1">
      <alignment horizontal="center" vertical="center" wrapText="1"/>
      <protection hidden="1"/>
    </xf>
    <xf numFmtId="0" fontId="88" fillId="3" borderId="343" xfId="0" applyFont="1" applyFill="1" applyBorder="1" applyAlignment="1" applyProtection="1">
      <alignment horizontal="center" vertical="center" wrapText="1"/>
      <protection hidden="1"/>
    </xf>
    <xf numFmtId="0" fontId="343" fillId="3" borderId="343" xfId="0" applyFont="1" applyFill="1" applyBorder="1" applyAlignment="1" applyProtection="1">
      <alignment horizontal="center" vertical="center" wrapText="1"/>
      <protection hidden="1"/>
    </xf>
    <xf numFmtId="0" fontId="43" fillId="0" borderId="343" xfId="0" applyFont="1" applyFill="1" applyBorder="1" applyAlignment="1" applyProtection="1">
      <alignment horizontal="center" vertical="center" wrapText="1"/>
      <protection hidden="1"/>
    </xf>
    <xf numFmtId="0" fontId="351" fillId="3" borderId="343" xfId="0" applyFont="1" applyFill="1" applyBorder="1" applyAlignment="1" applyProtection="1">
      <alignment horizontal="center" vertical="center" wrapText="1"/>
      <protection hidden="1"/>
    </xf>
    <xf numFmtId="0" fontId="316" fillId="3" borderId="343" xfId="0" applyFont="1" applyFill="1" applyBorder="1" applyAlignment="1" applyProtection="1">
      <alignment horizontal="center" vertical="center"/>
      <protection hidden="1"/>
    </xf>
    <xf numFmtId="0" fontId="275" fillId="0" borderId="0" xfId="0" applyFont="1" applyBorder="1" applyAlignment="1" applyProtection="1">
      <alignment vertical="center"/>
      <protection hidden="1"/>
    </xf>
    <xf numFmtId="0" fontId="46" fillId="0" borderId="348" xfId="0" applyFont="1" applyFill="1" applyBorder="1" applyAlignment="1" applyProtection="1">
      <alignment vertical="center" wrapText="1"/>
      <protection hidden="1"/>
    </xf>
    <xf numFmtId="0" fontId="271" fillId="3" borderId="354" xfId="0" applyFont="1" applyFill="1" applyBorder="1" applyAlignment="1" applyProtection="1">
      <alignment vertical="center" wrapText="1"/>
      <protection hidden="1"/>
    </xf>
    <xf numFmtId="0" fontId="9" fillId="0" borderId="0" xfId="0" applyNumberFormat="1" applyFont="1" applyBorder="1" applyAlignment="1" applyProtection="1">
      <alignment vertical="top" wrapText="1"/>
      <protection hidden="1"/>
    </xf>
    <xf numFmtId="0" fontId="309" fillId="0" borderId="0" xfId="0" applyFont="1" applyBorder="1" applyAlignment="1" applyProtection="1">
      <alignment horizontal="center" vertical="center"/>
      <protection hidden="1"/>
    </xf>
    <xf numFmtId="0" fontId="176" fillId="33" borderId="230" xfId="0" applyFont="1" applyFill="1" applyBorder="1" applyAlignment="1" applyProtection="1">
      <alignment horizontal="left" vertical="center"/>
      <protection locked="0"/>
    </xf>
    <xf numFmtId="171" fontId="38" fillId="25" borderId="0" xfId="0" applyNumberFormat="1" applyFont="1" applyFill="1" applyAlignment="1" applyProtection="1">
      <alignment horizontal="center" vertical="center" wrapText="1"/>
      <protection hidden="1"/>
    </xf>
    <xf numFmtId="0" fontId="216" fillId="12" borderId="0" xfId="0" applyFont="1" applyFill="1" applyBorder="1" applyAlignment="1" applyProtection="1">
      <alignment horizontal="center" vertical="center" wrapText="1"/>
      <protection hidden="1"/>
    </xf>
    <xf numFmtId="0" fontId="253" fillId="12" borderId="356" xfId="0" applyFont="1" applyFill="1" applyBorder="1" applyAlignment="1" applyProtection="1">
      <alignment horizontal="center" vertical="center" wrapText="1"/>
      <protection hidden="1"/>
    </xf>
    <xf numFmtId="0" fontId="49" fillId="0" borderId="109" xfId="0" applyFont="1" applyFill="1" applyBorder="1" applyAlignment="1" applyProtection="1">
      <alignment horizontal="center" vertical="center" shrinkToFit="1"/>
      <protection hidden="1"/>
    </xf>
    <xf numFmtId="0" fontId="49" fillId="0" borderId="106" xfId="0" applyFont="1" applyFill="1" applyBorder="1" applyAlignment="1" applyProtection="1">
      <alignment horizontal="center" vertical="center" shrinkToFit="1"/>
      <protection hidden="1"/>
    </xf>
    <xf numFmtId="172" fontId="43" fillId="0" borderId="136" xfId="0" applyNumberFormat="1" applyFont="1" applyFill="1" applyBorder="1" applyAlignment="1" applyProtection="1">
      <alignment horizontal="center" vertical="center" wrapText="1"/>
      <protection hidden="1"/>
    </xf>
    <xf numFmtId="0" fontId="350" fillId="3" borderId="106" xfId="0" applyFont="1" applyFill="1" applyBorder="1" applyAlignment="1" applyProtection="1">
      <alignment horizontal="center" vertical="center"/>
      <protection hidden="1"/>
    </xf>
    <xf numFmtId="0" fontId="49" fillId="0" borderId="145" xfId="0" applyFont="1" applyFill="1" applyBorder="1" applyAlignment="1" applyProtection="1">
      <alignment horizontal="center" vertical="center" shrinkToFit="1"/>
      <protection hidden="1"/>
    </xf>
    <xf numFmtId="0" fontId="336" fillId="25" borderId="0" xfId="4" applyFont="1" applyFill="1" applyAlignment="1" applyProtection="1">
      <alignment horizontal="center" vertical="center"/>
      <protection hidden="1"/>
    </xf>
    <xf numFmtId="0" fontId="336" fillId="9" borderId="0" xfId="4" applyFont="1" applyFill="1" applyBorder="1" applyAlignment="1" applyProtection="1">
      <alignment vertical="center"/>
      <protection hidden="1"/>
    </xf>
    <xf numFmtId="0" fontId="123" fillId="20" borderId="104" xfId="0" applyFont="1" applyFill="1" applyBorder="1" applyAlignment="1" applyProtection="1">
      <alignment horizontal="center" vertical="center"/>
      <protection hidden="1"/>
    </xf>
    <xf numFmtId="0" fontId="123" fillId="20" borderId="0" xfId="0" applyFont="1" applyFill="1" applyBorder="1" applyAlignment="1" applyProtection="1">
      <alignment horizontal="center" vertical="center"/>
      <protection hidden="1"/>
    </xf>
    <xf numFmtId="0" fontId="123" fillId="20" borderId="105" xfId="0" applyFont="1" applyFill="1" applyBorder="1" applyAlignment="1" applyProtection="1">
      <alignment horizontal="center" vertical="center"/>
      <protection hidden="1"/>
    </xf>
    <xf numFmtId="0" fontId="124" fillId="20" borderId="104" xfId="0" applyFont="1" applyFill="1" applyBorder="1" applyAlignment="1" applyProtection="1">
      <alignment horizontal="center" vertical="center"/>
      <protection hidden="1"/>
    </xf>
    <xf numFmtId="0" fontId="124" fillId="20" borderId="0" xfId="0" applyFont="1" applyFill="1" applyBorder="1" applyAlignment="1" applyProtection="1">
      <alignment horizontal="center" vertical="center"/>
      <protection hidden="1"/>
    </xf>
    <xf numFmtId="0" fontId="124" fillId="20" borderId="105" xfId="0" applyFont="1" applyFill="1" applyBorder="1" applyAlignment="1" applyProtection="1">
      <alignment horizontal="center" vertical="center"/>
      <protection hidden="1"/>
    </xf>
    <xf numFmtId="0" fontId="151" fillId="23" borderId="101" xfId="0" applyFont="1" applyFill="1" applyBorder="1" applyAlignment="1" applyProtection="1">
      <alignment horizontal="left" vertical="center" wrapText="1"/>
      <protection hidden="1"/>
    </xf>
    <xf numFmtId="0" fontId="151" fillId="23" borderId="102" xfId="0" applyFont="1" applyFill="1" applyBorder="1" applyAlignment="1" applyProtection="1">
      <alignment horizontal="left" vertical="center" wrapText="1"/>
      <protection hidden="1"/>
    </xf>
    <xf numFmtId="0" fontId="151" fillId="23" borderId="103" xfId="0" applyFont="1" applyFill="1" applyBorder="1" applyAlignment="1" applyProtection="1">
      <alignment horizontal="left" vertical="center" wrapText="1"/>
      <protection hidden="1"/>
    </xf>
    <xf numFmtId="0" fontId="27" fillId="12" borderId="95" xfId="0" applyFont="1" applyFill="1" applyBorder="1" applyAlignment="1" applyProtection="1">
      <alignment horizontal="center" vertical="center"/>
      <protection hidden="1"/>
    </xf>
    <xf numFmtId="0" fontId="27" fillId="12" borderId="96" xfId="0" applyFont="1" applyFill="1" applyBorder="1" applyAlignment="1" applyProtection="1">
      <alignment horizontal="center" vertical="center"/>
      <protection hidden="1"/>
    </xf>
    <xf numFmtId="0" fontId="27" fillId="12" borderId="97" xfId="0" applyFont="1" applyFill="1" applyBorder="1" applyAlignment="1" applyProtection="1">
      <alignment horizontal="center" vertical="center"/>
      <protection hidden="1"/>
    </xf>
    <xf numFmtId="0" fontId="152" fillId="20" borderId="98" xfId="0" applyFont="1" applyFill="1" applyBorder="1" applyAlignment="1" applyProtection="1">
      <alignment horizontal="center" vertical="center"/>
      <protection hidden="1"/>
    </xf>
    <xf numFmtId="0" fontId="152" fillId="20" borderId="99" xfId="0" applyFont="1" applyFill="1" applyBorder="1" applyAlignment="1" applyProtection="1">
      <alignment horizontal="center" vertical="center"/>
      <protection hidden="1"/>
    </xf>
    <xf numFmtId="0" fontId="152" fillId="20" borderId="100" xfId="0" applyFont="1" applyFill="1" applyBorder="1" applyAlignment="1" applyProtection="1">
      <alignment horizontal="center" vertical="center"/>
      <protection hidden="1"/>
    </xf>
    <xf numFmtId="0" fontId="207" fillId="20" borderId="104" xfId="0" applyFont="1" applyFill="1" applyBorder="1" applyAlignment="1" applyProtection="1">
      <alignment horizontal="center" vertical="center"/>
      <protection hidden="1"/>
    </xf>
    <xf numFmtId="0" fontId="207" fillId="20" borderId="0" xfId="0" applyFont="1" applyFill="1" applyBorder="1" applyAlignment="1" applyProtection="1">
      <alignment horizontal="center" vertical="center"/>
      <protection hidden="1"/>
    </xf>
    <xf numFmtId="0" fontId="207" fillId="20" borderId="105" xfId="0" applyFont="1" applyFill="1" applyBorder="1" applyAlignment="1" applyProtection="1">
      <alignment horizontal="center" vertical="center"/>
      <protection hidden="1"/>
    </xf>
    <xf numFmtId="0" fontId="122" fillId="20" borderId="104" xfId="0" applyFont="1" applyFill="1" applyBorder="1" applyAlignment="1" applyProtection="1">
      <alignment horizontal="center" vertical="center"/>
      <protection hidden="1"/>
    </xf>
    <xf numFmtId="0" fontId="122" fillId="20" borderId="0" xfId="0" applyFont="1" applyFill="1" applyBorder="1" applyAlignment="1" applyProtection="1">
      <alignment horizontal="center" vertical="center"/>
      <protection hidden="1"/>
    </xf>
    <xf numFmtId="0" fontId="122" fillId="20" borderId="105" xfId="0" applyFont="1" applyFill="1" applyBorder="1" applyAlignment="1" applyProtection="1">
      <alignment horizontal="center" vertical="center"/>
      <protection hidden="1"/>
    </xf>
    <xf numFmtId="0" fontId="202" fillId="16" borderId="95" xfId="0" applyFont="1" applyFill="1" applyBorder="1" applyAlignment="1" applyProtection="1">
      <alignment horizontal="center" vertical="center" wrapText="1"/>
      <protection hidden="1"/>
    </xf>
    <xf numFmtId="0" fontId="202" fillId="16" borderId="96" xfId="0" applyFont="1" applyFill="1" applyBorder="1" applyAlignment="1" applyProtection="1">
      <alignment horizontal="center" vertical="center" wrapText="1"/>
      <protection hidden="1"/>
    </xf>
    <xf numFmtId="0" fontId="202" fillId="16" borderId="97" xfId="0" applyFont="1" applyFill="1" applyBorder="1" applyAlignment="1" applyProtection="1">
      <alignment horizontal="center" vertical="center" wrapText="1"/>
      <protection hidden="1"/>
    </xf>
    <xf numFmtId="0" fontId="203" fillId="20" borderId="74" xfId="0" applyFont="1" applyFill="1" applyBorder="1" applyAlignment="1" applyProtection="1">
      <alignment horizontal="center" vertical="center" wrapText="1"/>
      <protection hidden="1"/>
    </xf>
    <xf numFmtId="0" fontId="203" fillId="20" borderId="0" xfId="0" applyFont="1" applyFill="1" applyBorder="1" applyAlignment="1" applyProtection="1">
      <alignment horizontal="center" vertical="center" wrapText="1"/>
      <protection hidden="1"/>
    </xf>
    <xf numFmtId="0" fontId="177" fillId="5" borderId="98" xfId="0" applyFont="1" applyFill="1" applyBorder="1" applyAlignment="1" applyProtection="1">
      <alignment horizontal="left" vertical="center" wrapText="1"/>
      <protection hidden="1"/>
    </xf>
    <xf numFmtId="0" fontId="177" fillId="5" borderId="99" xfId="0" applyFont="1" applyFill="1" applyBorder="1" applyAlignment="1" applyProtection="1">
      <alignment horizontal="left" vertical="center" wrapText="1"/>
      <protection hidden="1"/>
    </xf>
    <xf numFmtId="0" fontId="177" fillId="5" borderId="100" xfId="0" applyFont="1" applyFill="1" applyBorder="1" applyAlignment="1" applyProtection="1">
      <alignment horizontal="left" vertical="center" wrapText="1"/>
      <protection hidden="1"/>
    </xf>
    <xf numFmtId="0" fontId="185" fillId="5" borderId="104" xfId="0" applyFont="1" applyFill="1" applyBorder="1" applyAlignment="1" applyProtection="1">
      <alignment horizontal="left" vertical="center" wrapText="1"/>
      <protection hidden="1"/>
    </xf>
    <xf numFmtId="0" fontId="185" fillId="5" borderId="0" xfId="0" applyFont="1" applyFill="1" applyBorder="1" applyAlignment="1" applyProtection="1">
      <alignment horizontal="left" vertical="center" wrapText="1"/>
      <protection hidden="1"/>
    </xf>
    <xf numFmtId="0" fontId="185" fillId="5" borderId="105" xfId="0" applyFont="1" applyFill="1" applyBorder="1" applyAlignment="1" applyProtection="1">
      <alignment horizontal="left" vertical="center" wrapText="1"/>
      <protection hidden="1"/>
    </xf>
    <xf numFmtId="0" fontId="9" fillId="5" borderId="101" xfId="0" applyFont="1" applyFill="1" applyBorder="1" applyAlignment="1" applyProtection="1">
      <alignment horizontal="left" vertical="center" wrapText="1"/>
      <protection hidden="1"/>
    </xf>
    <xf numFmtId="0" fontId="150" fillId="5" borderId="102" xfId="0" applyFont="1" applyFill="1" applyBorder="1" applyAlignment="1" applyProtection="1">
      <alignment horizontal="left" vertical="center" wrapText="1"/>
      <protection hidden="1"/>
    </xf>
    <xf numFmtId="0" fontId="150" fillId="5" borderId="103" xfId="0" applyFont="1" applyFill="1" applyBorder="1" applyAlignment="1" applyProtection="1">
      <alignment horizontal="left" vertical="center" wrapText="1"/>
      <protection hidden="1"/>
    </xf>
    <xf numFmtId="0" fontId="139" fillId="5" borderId="104" xfId="0" applyFont="1" applyFill="1" applyBorder="1" applyAlignment="1" applyProtection="1">
      <alignment horizontal="left" vertical="center" wrapText="1"/>
      <protection hidden="1"/>
    </xf>
    <xf numFmtId="0" fontId="139" fillId="5" borderId="0" xfId="0" applyFont="1" applyFill="1" applyBorder="1" applyAlignment="1" applyProtection="1">
      <alignment horizontal="left" vertical="center" wrapText="1"/>
      <protection hidden="1"/>
    </xf>
    <xf numFmtId="0" fontId="139" fillId="5" borderId="105" xfId="0" applyFont="1" applyFill="1" applyBorder="1" applyAlignment="1" applyProtection="1">
      <alignment horizontal="left" vertical="center" wrapText="1"/>
      <protection hidden="1"/>
    </xf>
    <xf numFmtId="0" fontId="142" fillId="5" borderId="104" xfId="0" applyFont="1" applyFill="1" applyBorder="1" applyAlignment="1" applyProtection="1">
      <alignment horizontal="left" vertical="center" wrapText="1"/>
      <protection hidden="1"/>
    </xf>
    <xf numFmtId="0" fontId="142" fillId="5" borderId="0" xfId="0" applyFont="1" applyFill="1" applyBorder="1" applyAlignment="1" applyProtection="1">
      <alignment horizontal="left" vertical="center" wrapText="1"/>
      <protection hidden="1"/>
    </xf>
    <xf numFmtId="0" fontId="142" fillId="5" borderId="105" xfId="0" applyFont="1" applyFill="1" applyBorder="1" applyAlignment="1" applyProtection="1">
      <alignment horizontal="left" vertical="center" wrapText="1"/>
      <protection hidden="1"/>
    </xf>
    <xf numFmtId="0" fontId="142" fillId="5" borderId="101" xfId="0" applyFont="1" applyFill="1" applyBorder="1" applyAlignment="1" applyProtection="1">
      <alignment horizontal="left" vertical="center" wrapText="1"/>
      <protection hidden="1"/>
    </xf>
    <xf numFmtId="0" fontId="142" fillId="5" borderId="102" xfId="0" applyFont="1" applyFill="1" applyBorder="1" applyAlignment="1" applyProtection="1">
      <alignment horizontal="left" vertical="center" wrapText="1"/>
      <protection hidden="1"/>
    </xf>
    <xf numFmtId="0" fontId="142" fillId="5" borderId="103" xfId="0" applyFont="1" applyFill="1" applyBorder="1" applyAlignment="1" applyProtection="1">
      <alignment horizontal="left" vertical="center" wrapText="1"/>
      <protection hidden="1"/>
    </xf>
    <xf numFmtId="0" fontId="149" fillId="22" borderId="74" xfId="0" applyFont="1" applyFill="1" applyBorder="1" applyAlignment="1" applyProtection="1">
      <alignment horizontal="center" vertical="center" wrapText="1"/>
      <protection hidden="1"/>
    </xf>
    <xf numFmtId="0" fontId="149" fillId="22" borderId="0" xfId="0" applyFont="1" applyFill="1" applyBorder="1" applyAlignment="1" applyProtection="1">
      <alignment horizontal="center" vertical="center" wrapText="1"/>
      <protection hidden="1"/>
    </xf>
    <xf numFmtId="0" fontId="139" fillId="5" borderId="98" xfId="0" applyFont="1" applyFill="1" applyBorder="1" applyAlignment="1" applyProtection="1">
      <alignment horizontal="left" vertical="center" wrapText="1"/>
      <protection hidden="1"/>
    </xf>
    <xf numFmtId="0" fontId="139" fillId="5" borderId="99" xfId="0" applyFont="1" applyFill="1" applyBorder="1" applyAlignment="1" applyProtection="1">
      <alignment horizontal="left" vertical="center" wrapText="1"/>
      <protection hidden="1"/>
    </xf>
    <xf numFmtId="0" fontId="139" fillId="5" borderId="100" xfId="0" applyFont="1" applyFill="1" applyBorder="1" applyAlignment="1" applyProtection="1">
      <alignment horizontal="left" vertical="center" wrapText="1"/>
      <protection hidden="1"/>
    </xf>
    <xf numFmtId="0" fontId="179" fillId="24" borderId="98" xfId="4" applyFont="1" applyFill="1" applyBorder="1" applyAlignment="1" applyProtection="1">
      <alignment horizontal="left" vertical="center" wrapText="1"/>
      <protection hidden="1"/>
    </xf>
    <xf numFmtId="0" fontId="179" fillId="24" borderId="99" xfId="4" applyFont="1" applyFill="1" applyBorder="1" applyAlignment="1" applyProtection="1">
      <alignment horizontal="left" vertical="center" wrapText="1"/>
      <protection hidden="1"/>
    </xf>
    <xf numFmtId="0" fontId="179" fillId="24" borderId="100" xfId="4" applyFont="1" applyFill="1" applyBorder="1" applyAlignment="1" applyProtection="1">
      <alignment horizontal="left" vertical="center" wrapText="1"/>
      <protection hidden="1"/>
    </xf>
    <xf numFmtId="0" fontId="179" fillId="24" borderId="104" xfId="4" applyFont="1" applyFill="1" applyBorder="1" applyAlignment="1" applyProtection="1">
      <alignment horizontal="left" vertical="center" wrapText="1"/>
      <protection hidden="1"/>
    </xf>
    <xf numFmtId="0" fontId="179" fillId="24" borderId="0" xfId="4" applyFont="1" applyFill="1" applyBorder="1" applyAlignment="1" applyProtection="1">
      <alignment horizontal="left" vertical="center" wrapText="1"/>
      <protection hidden="1"/>
    </xf>
    <xf numFmtId="0" fontId="179" fillId="24" borderId="105" xfId="4" applyFont="1" applyFill="1" applyBorder="1" applyAlignment="1" applyProtection="1">
      <alignment horizontal="left" vertical="center" wrapText="1"/>
      <protection hidden="1"/>
    </xf>
    <xf numFmtId="0" fontId="181" fillId="24" borderId="104" xfId="4" applyFont="1" applyFill="1" applyBorder="1" applyAlignment="1" applyProtection="1">
      <alignment horizontal="left" vertical="center" wrapText="1"/>
      <protection hidden="1"/>
    </xf>
    <xf numFmtId="0" fontId="181" fillId="24" borderId="0" xfId="4" applyFont="1" applyFill="1" applyBorder="1" applyAlignment="1" applyProtection="1">
      <alignment horizontal="left" vertical="center" wrapText="1"/>
      <protection hidden="1"/>
    </xf>
    <xf numFmtId="0" fontId="181" fillId="24" borderId="105" xfId="4" applyFont="1" applyFill="1" applyBorder="1" applyAlignment="1" applyProtection="1">
      <alignment horizontal="left" vertical="center" wrapText="1"/>
      <protection hidden="1"/>
    </xf>
    <xf numFmtId="0" fontId="176" fillId="23" borderId="98" xfId="0" applyFont="1" applyFill="1" applyBorder="1" applyAlignment="1" applyProtection="1">
      <alignment horizontal="left" vertical="center" wrapText="1"/>
      <protection hidden="1"/>
    </xf>
    <xf numFmtId="0" fontId="176" fillId="23" borderId="99" xfId="0" applyFont="1" applyFill="1" applyBorder="1" applyAlignment="1" applyProtection="1">
      <alignment horizontal="left" vertical="center" wrapText="1"/>
      <protection hidden="1"/>
    </xf>
    <xf numFmtId="0" fontId="176" fillId="23" borderId="100" xfId="0" applyFont="1" applyFill="1" applyBorder="1" applyAlignment="1" applyProtection="1">
      <alignment horizontal="left" vertical="center" wrapText="1"/>
      <protection hidden="1"/>
    </xf>
    <xf numFmtId="0" fontId="178" fillId="22" borderId="74" xfId="0" applyFont="1" applyFill="1" applyBorder="1" applyAlignment="1" applyProtection="1">
      <alignment horizontal="center" vertical="center" wrapText="1"/>
      <protection hidden="1"/>
    </xf>
    <xf numFmtId="0" fontId="178" fillId="22" borderId="0" xfId="0" applyFont="1" applyFill="1" applyBorder="1" applyAlignment="1" applyProtection="1">
      <alignment horizontal="center" vertical="center" wrapText="1"/>
      <protection hidden="1"/>
    </xf>
    <xf numFmtId="0" fontId="336" fillId="20" borderId="101" xfId="4" applyFont="1" applyFill="1" applyBorder="1" applyAlignment="1" applyProtection="1">
      <alignment horizontal="center" vertical="center"/>
      <protection hidden="1"/>
    </xf>
    <xf numFmtId="0" fontId="337" fillId="20" borderId="102" xfId="4" applyFont="1" applyFill="1" applyBorder="1" applyAlignment="1" applyProtection="1">
      <alignment horizontal="center" vertical="center"/>
      <protection hidden="1"/>
    </xf>
    <xf numFmtId="0" fontId="337" fillId="20" borderId="103" xfId="4" applyFont="1" applyFill="1" applyBorder="1" applyAlignment="1" applyProtection="1">
      <alignment horizontal="center" vertical="center"/>
      <protection hidden="1"/>
    </xf>
    <xf numFmtId="0" fontId="175" fillId="2" borderId="95" xfId="0" applyFont="1" applyFill="1" applyBorder="1" applyAlignment="1" applyProtection="1">
      <alignment horizontal="left" vertical="center" wrapText="1"/>
      <protection hidden="1"/>
    </xf>
    <xf numFmtId="0" fontId="175" fillId="2" borderId="96" xfId="0" applyFont="1" applyFill="1" applyBorder="1" applyAlignment="1" applyProtection="1">
      <alignment horizontal="left" vertical="center" wrapText="1"/>
      <protection hidden="1"/>
    </xf>
    <xf numFmtId="0" fontId="175" fillId="2" borderId="97" xfId="0" applyFont="1" applyFill="1" applyBorder="1" applyAlignment="1" applyProtection="1">
      <alignment horizontal="left" vertical="center" wrapText="1"/>
      <protection hidden="1"/>
    </xf>
    <xf numFmtId="0" fontId="172" fillId="5" borderId="95" xfId="0" applyFont="1" applyFill="1" applyBorder="1" applyAlignment="1" applyProtection="1">
      <alignment horizontal="center" vertical="center" wrapText="1"/>
      <protection hidden="1"/>
    </xf>
    <xf numFmtId="0" fontId="172" fillId="5" borderId="96" xfId="0" applyFont="1" applyFill="1" applyBorder="1" applyAlignment="1" applyProtection="1">
      <alignment horizontal="center" vertical="center" wrapText="1"/>
      <protection hidden="1"/>
    </xf>
    <xf numFmtId="0" fontId="172" fillId="5" borderId="97" xfId="0" applyFont="1" applyFill="1" applyBorder="1" applyAlignment="1" applyProtection="1">
      <alignment horizontal="center" vertical="center" wrapText="1"/>
      <protection hidden="1"/>
    </xf>
    <xf numFmtId="0" fontId="173" fillId="19" borderId="74" xfId="0" applyFont="1" applyFill="1" applyBorder="1" applyAlignment="1" applyProtection="1">
      <alignment horizontal="center" vertical="center"/>
      <protection hidden="1"/>
    </xf>
    <xf numFmtId="0" fontId="173" fillId="19" borderId="0" xfId="0" applyFont="1" applyFill="1" applyBorder="1" applyAlignment="1" applyProtection="1">
      <alignment horizontal="center" vertical="center"/>
      <protection hidden="1"/>
    </xf>
    <xf numFmtId="0" fontId="174" fillId="4" borderId="95" xfId="0" applyFont="1" applyFill="1" applyBorder="1" applyAlignment="1" applyProtection="1">
      <alignment horizontal="left" vertical="center" wrapText="1"/>
      <protection hidden="1"/>
    </xf>
    <xf numFmtId="0" fontId="174" fillId="4" borderId="96" xfId="0" applyFont="1" applyFill="1" applyBorder="1" applyAlignment="1" applyProtection="1">
      <alignment horizontal="left" vertical="center" wrapText="1"/>
      <protection hidden="1"/>
    </xf>
    <xf numFmtId="0" fontId="174" fillId="4" borderId="97" xfId="0" applyFont="1" applyFill="1" applyBorder="1" applyAlignment="1" applyProtection="1">
      <alignment horizontal="left" vertical="center" wrapText="1"/>
      <protection hidden="1"/>
    </xf>
    <xf numFmtId="0" fontId="194" fillId="22" borderId="74" xfId="0" applyFont="1" applyFill="1" applyBorder="1" applyAlignment="1" applyProtection="1">
      <alignment horizontal="center" vertical="center" wrapText="1"/>
      <protection hidden="1"/>
    </xf>
    <xf numFmtId="0" fontId="194" fillId="22" borderId="0" xfId="0" applyFont="1" applyFill="1" applyBorder="1" applyAlignment="1" applyProtection="1">
      <alignment horizontal="center" vertical="center" wrapText="1"/>
      <protection hidden="1"/>
    </xf>
    <xf numFmtId="0" fontId="140" fillId="5" borderId="101" xfId="0" applyFont="1" applyFill="1" applyBorder="1" applyAlignment="1" applyProtection="1">
      <alignment horizontal="left" vertical="center" wrapText="1"/>
      <protection hidden="1"/>
    </xf>
    <xf numFmtId="0" fontId="140" fillId="5" borderId="102" xfId="0" applyFont="1" applyFill="1" applyBorder="1" applyAlignment="1" applyProtection="1">
      <alignment horizontal="left" vertical="center" wrapText="1"/>
      <protection hidden="1"/>
    </xf>
    <xf numFmtId="0" fontId="140" fillId="5" borderId="103" xfId="0" applyFont="1" applyFill="1" applyBorder="1" applyAlignment="1" applyProtection="1">
      <alignment horizontal="left" vertical="center" wrapText="1"/>
      <protection hidden="1"/>
    </xf>
    <xf numFmtId="0" fontId="191" fillId="22" borderId="74" xfId="0" applyFont="1" applyFill="1" applyBorder="1" applyAlignment="1" applyProtection="1">
      <alignment horizontal="center" vertical="center" wrapText="1"/>
      <protection hidden="1"/>
    </xf>
    <xf numFmtId="0" fontId="191" fillId="22" borderId="0" xfId="0" applyFont="1" applyFill="1" applyBorder="1" applyAlignment="1" applyProtection="1">
      <alignment horizontal="center" vertical="center" wrapText="1"/>
      <protection hidden="1"/>
    </xf>
    <xf numFmtId="0" fontId="174" fillId="23" borderId="101" xfId="0" applyFont="1" applyFill="1" applyBorder="1" applyAlignment="1" applyProtection="1">
      <alignment horizontal="left" vertical="center" wrapText="1"/>
      <protection hidden="1"/>
    </xf>
    <xf numFmtId="0" fontId="174" fillId="23" borderId="102" xfId="0" applyFont="1" applyFill="1" applyBorder="1" applyAlignment="1" applyProtection="1">
      <alignment horizontal="left" vertical="center" wrapText="1"/>
      <protection hidden="1"/>
    </xf>
    <xf numFmtId="0" fontId="174" fillId="23" borderId="103" xfId="0" applyFont="1" applyFill="1" applyBorder="1" applyAlignment="1" applyProtection="1">
      <alignment horizontal="left" vertical="center" wrapText="1"/>
      <protection hidden="1"/>
    </xf>
    <xf numFmtId="0" fontId="179" fillId="24" borderId="101" xfId="4" applyFont="1" applyFill="1" applyBorder="1" applyAlignment="1" applyProtection="1">
      <alignment horizontal="left" vertical="center" wrapText="1"/>
      <protection hidden="1"/>
    </xf>
    <xf numFmtId="0" fontId="179" fillId="24" borderId="102" xfId="4" applyFont="1" applyFill="1" applyBorder="1" applyAlignment="1" applyProtection="1">
      <alignment horizontal="left" vertical="center" wrapText="1"/>
      <protection hidden="1"/>
    </xf>
    <xf numFmtId="0" fontId="179" fillId="24" borderId="103" xfId="4" applyFont="1" applyFill="1" applyBorder="1" applyAlignment="1" applyProtection="1">
      <alignment horizontal="left" vertical="center" wrapText="1"/>
      <protection hidden="1"/>
    </xf>
    <xf numFmtId="0" fontId="125" fillId="20" borderId="104" xfId="4" applyFont="1" applyFill="1" applyBorder="1" applyAlignment="1" applyProtection="1">
      <alignment horizontal="center" vertical="center"/>
      <protection hidden="1"/>
    </xf>
    <xf numFmtId="0" fontId="125" fillId="20" borderId="0" xfId="4" applyFont="1" applyFill="1" applyBorder="1" applyAlignment="1" applyProtection="1">
      <alignment horizontal="center" vertical="center"/>
      <protection hidden="1"/>
    </xf>
    <xf numFmtId="0" fontId="125" fillId="20" borderId="105" xfId="4" applyFont="1" applyFill="1" applyBorder="1" applyAlignment="1" applyProtection="1">
      <alignment horizontal="center" vertical="center"/>
      <protection hidden="1"/>
    </xf>
    <xf numFmtId="0" fontId="205" fillId="20" borderId="74" xfId="0" applyFont="1" applyFill="1" applyBorder="1" applyAlignment="1" applyProtection="1">
      <alignment horizontal="center" vertical="center" wrapText="1"/>
      <protection hidden="1"/>
    </xf>
    <xf numFmtId="0" fontId="205" fillId="20" borderId="0" xfId="0" applyFont="1" applyFill="1" applyBorder="1" applyAlignment="1" applyProtection="1">
      <alignment horizontal="center" vertical="center" wrapText="1"/>
      <protection hidden="1"/>
    </xf>
    <xf numFmtId="0" fontId="138" fillId="23" borderId="98" xfId="0" applyFont="1" applyFill="1" applyBorder="1" applyAlignment="1" applyProtection="1">
      <alignment horizontal="left" vertical="center" wrapText="1"/>
      <protection hidden="1"/>
    </xf>
    <xf numFmtId="0" fontId="138" fillId="23" borderId="99" xfId="0" applyFont="1" applyFill="1" applyBorder="1" applyAlignment="1" applyProtection="1">
      <alignment horizontal="left" vertical="center" wrapText="1"/>
      <protection hidden="1"/>
    </xf>
    <xf numFmtId="0" fontId="138" fillId="23" borderId="100" xfId="0" applyFont="1" applyFill="1" applyBorder="1" applyAlignment="1" applyProtection="1">
      <alignment horizontal="left" vertical="center" wrapText="1"/>
      <protection hidden="1"/>
    </xf>
    <xf numFmtId="0" fontId="9" fillId="0" borderId="194" xfId="0" applyFont="1" applyBorder="1" applyAlignment="1" applyProtection="1">
      <alignment horizontal="left" vertical="center"/>
      <protection locked="0"/>
    </xf>
    <xf numFmtId="0" fontId="9" fillId="0" borderId="195" xfId="0" applyFont="1" applyBorder="1" applyAlignment="1" applyProtection="1">
      <alignment horizontal="left" vertical="center"/>
      <protection locked="0"/>
    </xf>
    <xf numFmtId="0" fontId="9" fillId="0" borderId="196" xfId="0" applyFont="1" applyBorder="1" applyAlignment="1" applyProtection="1">
      <alignment horizontal="left" vertical="center"/>
      <protection locked="0"/>
    </xf>
    <xf numFmtId="0" fontId="264" fillId="25" borderId="0" xfId="0" applyFont="1" applyFill="1" applyAlignment="1" applyProtection="1">
      <alignment horizontal="center" vertical="center"/>
      <protection hidden="1"/>
    </xf>
    <xf numFmtId="0" fontId="11" fillId="31" borderId="222" xfId="0" applyFont="1" applyFill="1" applyBorder="1" applyAlignment="1" applyProtection="1">
      <alignment horizontal="center" vertical="center"/>
      <protection hidden="1"/>
    </xf>
    <xf numFmtId="0" fontId="11" fillId="31" borderId="223" xfId="0" applyFont="1" applyFill="1" applyBorder="1" applyAlignment="1" applyProtection="1">
      <alignment horizontal="center" vertical="center"/>
      <protection hidden="1"/>
    </xf>
    <xf numFmtId="0" fontId="153" fillId="25" borderId="120" xfId="0" applyFont="1" applyFill="1" applyBorder="1" applyAlignment="1" applyProtection="1">
      <alignment horizontal="center" vertical="center"/>
      <protection hidden="1"/>
    </xf>
    <xf numFmtId="0" fontId="153" fillId="25" borderId="0" xfId="0" applyFont="1" applyFill="1" applyBorder="1" applyAlignment="1" applyProtection="1">
      <alignment horizontal="center" vertical="center"/>
      <protection hidden="1"/>
    </xf>
    <xf numFmtId="0" fontId="153" fillId="25" borderId="0" xfId="0" applyFont="1" applyFill="1" applyAlignment="1" applyProtection="1">
      <alignment horizontal="center" vertical="center"/>
      <protection hidden="1"/>
    </xf>
    <xf numFmtId="0" fontId="125" fillId="20" borderId="77" xfId="4" applyFont="1" applyFill="1" applyBorder="1" applyAlignment="1" applyProtection="1">
      <alignment horizontal="center" vertical="center"/>
      <protection hidden="1"/>
    </xf>
    <xf numFmtId="0" fontId="125" fillId="20" borderId="78" xfId="4" applyFont="1" applyFill="1" applyBorder="1" applyAlignment="1" applyProtection="1">
      <alignment horizontal="center" vertical="center"/>
      <protection hidden="1"/>
    </xf>
    <xf numFmtId="0" fontId="121" fillId="20" borderId="75" xfId="0" applyFont="1" applyFill="1" applyBorder="1" applyAlignment="1" applyProtection="1">
      <alignment horizontal="center" vertical="center"/>
      <protection hidden="1"/>
    </xf>
    <xf numFmtId="0" fontId="121" fillId="20" borderId="76" xfId="0" applyFont="1" applyFill="1" applyBorder="1" applyAlignment="1" applyProtection="1">
      <alignment horizontal="center" vertical="center"/>
      <protection hidden="1"/>
    </xf>
    <xf numFmtId="0" fontId="258" fillId="20" borderId="77" xfId="0" applyFont="1" applyFill="1" applyBorder="1" applyAlignment="1" applyProtection="1">
      <alignment horizontal="center" vertical="center"/>
      <protection hidden="1"/>
    </xf>
    <xf numFmtId="0" fontId="258" fillId="20" borderId="76" xfId="0" applyFont="1" applyFill="1" applyBorder="1" applyAlignment="1" applyProtection="1">
      <alignment horizontal="center" vertical="center"/>
      <protection hidden="1"/>
    </xf>
    <xf numFmtId="0" fontId="122" fillId="20" borderId="77" xfId="0" applyFont="1" applyFill="1" applyBorder="1" applyAlignment="1" applyProtection="1">
      <alignment horizontal="center" vertical="center"/>
      <protection hidden="1"/>
    </xf>
    <xf numFmtId="0" fontId="122" fillId="20" borderId="76" xfId="0" applyFont="1" applyFill="1" applyBorder="1" applyAlignment="1" applyProtection="1">
      <alignment horizontal="center" vertical="center"/>
      <protection hidden="1"/>
    </xf>
    <xf numFmtId="0" fontId="123" fillId="20" borderId="77" xfId="0" applyFont="1" applyFill="1" applyBorder="1" applyAlignment="1" applyProtection="1">
      <alignment horizontal="center" vertical="center"/>
      <protection hidden="1"/>
    </xf>
    <xf numFmtId="0" fontId="123" fillId="20" borderId="76" xfId="0" applyFont="1" applyFill="1" applyBorder="1" applyAlignment="1" applyProtection="1">
      <alignment horizontal="center" vertical="center"/>
      <protection hidden="1"/>
    </xf>
    <xf numFmtId="0" fontId="124" fillId="20" borderId="77" xfId="0" applyFont="1" applyFill="1" applyBorder="1" applyAlignment="1" applyProtection="1">
      <alignment horizontal="center" vertical="center"/>
      <protection hidden="1"/>
    </xf>
    <xf numFmtId="0" fontId="124" fillId="20" borderId="76" xfId="0" applyFont="1" applyFill="1" applyBorder="1" applyAlignment="1" applyProtection="1">
      <alignment horizontal="center" vertical="center"/>
      <protection hidden="1"/>
    </xf>
    <xf numFmtId="0" fontId="263" fillId="6" borderId="0" xfId="0" applyFont="1" applyFill="1" applyBorder="1" applyAlignment="1" applyProtection="1">
      <alignment horizontal="left" vertical="center"/>
      <protection hidden="1"/>
    </xf>
    <xf numFmtId="0" fontId="6" fillId="25" borderId="0" xfId="0" applyFont="1" applyFill="1" applyAlignment="1" applyProtection="1">
      <alignment horizontal="center" vertical="center"/>
      <protection hidden="1"/>
    </xf>
    <xf numFmtId="0" fontId="336" fillId="25" borderId="0" xfId="4" applyFont="1" applyFill="1" applyAlignment="1" applyProtection="1">
      <alignment horizontal="center" vertical="center"/>
      <protection hidden="1"/>
    </xf>
    <xf numFmtId="0" fontId="277" fillId="6" borderId="0" xfId="0" applyFont="1" applyFill="1" applyBorder="1" applyAlignment="1" applyProtection="1">
      <alignment horizontal="left" vertical="center"/>
      <protection hidden="1"/>
    </xf>
    <xf numFmtId="0" fontId="277" fillId="6" borderId="173" xfId="0" applyFont="1" applyFill="1" applyBorder="1" applyAlignment="1" applyProtection="1">
      <alignment horizontal="left" vertical="center"/>
      <protection hidden="1"/>
    </xf>
    <xf numFmtId="0" fontId="6" fillId="25" borderId="0" xfId="0" applyFont="1" applyFill="1" applyBorder="1" applyAlignment="1" applyProtection="1">
      <alignment horizontal="center" vertical="center"/>
      <protection hidden="1"/>
    </xf>
    <xf numFmtId="0" fontId="182"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53" fillId="12" borderId="2" xfId="0" applyFont="1" applyFill="1" applyBorder="1" applyAlignment="1" applyProtection="1">
      <alignment horizontal="center" vertical="center" wrapText="1"/>
      <protection hidden="1"/>
    </xf>
    <xf numFmtId="0" fontId="22" fillId="9" borderId="3" xfId="0" applyFont="1" applyFill="1" applyBorder="1" applyAlignment="1" applyProtection="1">
      <alignment horizontal="center" vertical="center" wrapText="1"/>
      <protection hidden="1"/>
    </xf>
    <xf numFmtId="0" fontId="22" fillId="9" borderId="4" xfId="0" applyFont="1" applyFill="1" applyBorder="1" applyAlignment="1" applyProtection="1">
      <alignment horizontal="center" vertical="center" wrapText="1"/>
      <protection hidden="1"/>
    </xf>
    <xf numFmtId="0" fontId="60" fillId="12" borderId="259" xfId="0" applyFont="1" applyFill="1" applyBorder="1" applyAlignment="1" applyProtection="1">
      <alignment horizontal="center" vertical="center" wrapText="1"/>
      <protection hidden="1"/>
    </xf>
    <xf numFmtId="0" fontId="60" fillId="12" borderId="264" xfId="0" applyFont="1" applyFill="1" applyBorder="1" applyAlignment="1" applyProtection="1">
      <alignment horizontal="center" vertical="center" wrapText="1"/>
      <protection hidden="1"/>
    </xf>
    <xf numFmtId="0" fontId="60" fillId="28" borderId="86" xfId="0" applyFont="1" applyFill="1" applyBorder="1" applyAlignment="1" applyProtection="1">
      <alignment horizontal="center" vertical="center" textRotation="90" wrapText="1"/>
      <protection hidden="1"/>
    </xf>
    <xf numFmtId="0" fontId="60" fillId="28" borderId="266" xfId="0" applyFont="1" applyFill="1" applyBorder="1" applyAlignment="1" applyProtection="1">
      <alignment horizontal="center" vertical="center" textRotation="90" wrapText="1"/>
      <protection hidden="1"/>
    </xf>
    <xf numFmtId="0" fontId="60" fillId="28" borderId="21" xfId="0" applyFont="1" applyFill="1" applyBorder="1" applyAlignment="1" applyProtection="1">
      <alignment horizontal="center" vertical="center" textRotation="90" wrapText="1"/>
      <protection hidden="1"/>
    </xf>
    <xf numFmtId="0" fontId="60" fillId="23" borderId="86" xfId="0" applyFont="1" applyFill="1" applyBorder="1" applyAlignment="1" applyProtection="1">
      <alignment horizontal="center" vertical="center" textRotation="90" wrapText="1"/>
      <protection hidden="1"/>
    </xf>
    <xf numFmtId="0" fontId="60" fillId="19" borderId="86" xfId="0" applyFont="1" applyFill="1" applyBorder="1" applyAlignment="1" applyProtection="1">
      <alignment horizontal="center" vertical="center" textRotation="90" wrapText="1"/>
      <protection hidden="1"/>
    </xf>
    <xf numFmtId="0" fontId="60" fillId="12" borderId="86" xfId="0" applyFont="1" applyFill="1" applyBorder="1" applyAlignment="1" applyProtection="1">
      <alignment horizontal="center" vertical="center" textRotation="90" wrapText="1"/>
      <protection hidden="1"/>
    </xf>
    <xf numFmtId="0" fontId="60" fillId="16" borderId="86" xfId="0" applyFont="1" applyFill="1" applyBorder="1" applyAlignment="1" applyProtection="1">
      <alignment horizontal="center" vertical="center" textRotation="90" wrapText="1"/>
      <protection hidden="1"/>
    </xf>
    <xf numFmtId="0" fontId="60" fillId="37" borderId="86" xfId="0" applyFont="1" applyFill="1" applyBorder="1" applyAlignment="1" applyProtection="1">
      <alignment horizontal="center" vertical="center" textRotation="90" wrapText="1"/>
      <protection hidden="1"/>
    </xf>
    <xf numFmtId="0" fontId="60" fillId="12" borderId="277" xfId="0" applyFont="1" applyFill="1" applyBorder="1" applyAlignment="1" applyProtection="1">
      <alignment horizontal="center" vertical="center" wrapText="1"/>
      <protection hidden="1"/>
    </xf>
    <xf numFmtId="0" fontId="60" fillId="12" borderId="81" xfId="0" applyFont="1" applyFill="1" applyBorder="1" applyAlignment="1" applyProtection="1">
      <alignment horizontal="center" vertical="center" wrapText="1"/>
      <protection hidden="1"/>
    </xf>
    <xf numFmtId="0" fontId="281" fillId="35" borderId="6" xfId="0" applyFont="1" applyFill="1" applyBorder="1" applyAlignment="1" applyProtection="1">
      <alignment horizontal="center" vertical="center"/>
      <protection hidden="1"/>
    </xf>
    <xf numFmtId="0" fontId="281" fillId="35" borderId="19" xfId="0" applyFont="1" applyFill="1" applyBorder="1" applyAlignment="1" applyProtection="1">
      <alignment horizontal="center" vertical="center"/>
      <protection hidden="1"/>
    </xf>
    <xf numFmtId="0" fontId="60" fillId="23" borderId="256" xfId="0" applyFont="1" applyFill="1" applyBorder="1" applyAlignment="1" applyProtection="1">
      <alignment horizontal="center" vertical="center" wrapText="1"/>
      <protection hidden="1"/>
    </xf>
    <xf numFmtId="0" fontId="60" fillId="23" borderId="258" xfId="0" applyFont="1" applyFill="1" applyBorder="1" applyAlignment="1" applyProtection="1">
      <alignment horizontal="center" vertical="center" wrapText="1"/>
      <protection hidden="1"/>
    </xf>
    <xf numFmtId="0" fontId="60" fillId="23" borderId="257" xfId="0" applyFont="1" applyFill="1" applyBorder="1" applyAlignment="1" applyProtection="1">
      <alignment horizontal="center" vertical="center" wrapText="1"/>
      <protection hidden="1"/>
    </xf>
    <xf numFmtId="0" fontId="60" fillId="19" borderId="255" xfId="0" applyFont="1" applyFill="1" applyBorder="1" applyAlignment="1" applyProtection="1">
      <alignment horizontal="center" vertical="center" wrapText="1"/>
      <protection hidden="1"/>
    </xf>
    <xf numFmtId="0" fontId="60" fillId="19" borderId="252" xfId="0" applyFont="1" applyFill="1" applyBorder="1" applyAlignment="1" applyProtection="1">
      <alignment horizontal="center" vertical="center" wrapText="1"/>
      <protection hidden="1"/>
    </xf>
    <xf numFmtId="0" fontId="60" fillId="19" borderId="253" xfId="0" applyFont="1" applyFill="1" applyBorder="1" applyAlignment="1" applyProtection="1">
      <alignment horizontal="center" vertical="center" wrapText="1"/>
      <protection hidden="1"/>
    </xf>
    <xf numFmtId="0" fontId="60" fillId="12" borderId="255" xfId="0" applyFont="1" applyFill="1" applyBorder="1" applyAlignment="1" applyProtection="1">
      <alignment horizontal="center" vertical="center" wrapText="1"/>
      <protection hidden="1"/>
    </xf>
    <xf numFmtId="0" fontId="60" fillId="12" borderId="252" xfId="0" applyFont="1" applyFill="1" applyBorder="1" applyAlignment="1" applyProtection="1">
      <alignment horizontal="center" vertical="center" wrapText="1"/>
      <protection hidden="1"/>
    </xf>
    <xf numFmtId="0" fontId="60" fillId="12" borderId="253" xfId="0" applyFont="1" applyFill="1" applyBorder="1" applyAlignment="1" applyProtection="1">
      <alignment horizontal="center" vertical="center" wrapText="1"/>
      <protection hidden="1"/>
    </xf>
    <xf numFmtId="0" fontId="60" fillId="16" borderId="255" xfId="0" applyFont="1" applyFill="1" applyBorder="1" applyAlignment="1" applyProtection="1">
      <alignment horizontal="center" vertical="center" wrapText="1"/>
      <protection hidden="1"/>
    </xf>
    <xf numFmtId="0" fontId="60" fillId="16" borderId="252" xfId="0" applyFont="1" applyFill="1" applyBorder="1" applyAlignment="1" applyProtection="1">
      <alignment horizontal="center" vertical="center" wrapText="1"/>
      <protection hidden="1"/>
    </xf>
    <xf numFmtId="0" fontId="60" fillId="16" borderId="253" xfId="0" applyFont="1" applyFill="1" applyBorder="1" applyAlignment="1" applyProtection="1">
      <alignment horizontal="center" vertical="center" wrapText="1"/>
      <protection hidden="1"/>
    </xf>
    <xf numFmtId="0" fontId="162" fillId="19" borderId="19" xfId="0" applyFont="1" applyFill="1" applyBorder="1" applyAlignment="1" applyProtection="1">
      <alignment horizontal="center" vertical="center" textRotation="90" wrapText="1"/>
      <protection hidden="1"/>
    </xf>
    <xf numFmtId="0" fontId="162" fillId="19" borderId="0" xfId="0" applyFont="1" applyFill="1" applyBorder="1" applyAlignment="1" applyProtection="1">
      <alignment horizontal="center" vertical="center" textRotation="90" wrapText="1"/>
      <protection hidden="1"/>
    </xf>
    <xf numFmtId="0" fontId="162" fillId="19" borderId="87" xfId="0" applyFont="1" applyFill="1" applyBorder="1" applyAlignment="1" applyProtection="1">
      <alignment horizontal="center" vertical="center" textRotation="90" wrapText="1"/>
      <protection hidden="1"/>
    </xf>
    <xf numFmtId="0" fontId="162" fillId="12" borderId="79" xfId="0" applyFont="1" applyFill="1" applyBorder="1" applyAlignment="1" applyProtection="1">
      <alignment horizontal="center" vertical="center" wrapText="1"/>
      <protection hidden="1"/>
    </xf>
    <xf numFmtId="0" fontId="162" fillId="12" borderId="80" xfId="0" applyFont="1" applyFill="1" applyBorder="1" applyAlignment="1" applyProtection="1">
      <alignment horizontal="center" vertical="center" wrapText="1"/>
      <protection hidden="1"/>
    </xf>
    <xf numFmtId="0" fontId="38" fillId="16" borderId="20" xfId="0" applyFont="1" applyFill="1" applyBorder="1" applyAlignment="1" applyProtection="1">
      <alignment horizontal="center" vertical="center"/>
      <protection hidden="1"/>
    </xf>
    <xf numFmtId="0" fontId="38" fillId="16" borderId="21" xfId="0" applyFont="1" applyFill="1" applyBorder="1" applyAlignment="1" applyProtection="1">
      <alignment horizontal="center" vertical="center"/>
      <protection hidden="1"/>
    </xf>
    <xf numFmtId="0" fontId="60" fillId="37" borderId="255" xfId="0" applyFont="1" applyFill="1" applyBorder="1" applyAlignment="1" applyProtection="1">
      <alignment horizontal="center" vertical="center" wrapText="1"/>
      <protection hidden="1"/>
    </xf>
    <xf numFmtId="0" fontId="60" fillId="37" borderId="252" xfId="0" applyFont="1" applyFill="1" applyBorder="1" applyAlignment="1" applyProtection="1">
      <alignment horizontal="center" vertical="center" wrapText="1"/>
      <protection hidden="1"/>
    </xf>
    <xf numFmtId="0" fontId="60" fillId="37" borderId="253" xfId="0" applyFont="1" applyFill="1" applyBorder="1" applyAlignment="1" applyProtection="1">
      <alignment horizontal="center" vertical="center" wrapText="1"/>
      <protection hidden="1"/>
    </xf>
    <xf numFmtId="0" fontId="38" fillId="19" borderId="20" xfId="0" applyFont="1" applyFill="1" applyBorder="1" applyAlignment="1" applyProtection="1">
      <alignment horizontal="center" vertical="center"/>
      <protection hidden="1"/>
    </xf>
    <xf numFmtId="0" fontId="38" fillId="19" borderId="21" xfId="0" applyFont="1" applyFill="1" applyBorder="1" applyAlignment="1" applyProtection="1">
      <alignment horizontal="center" vertical="center"/>
      <protection hidden="1"/>
    </xf>
    <xf numFmtId="0" fontId="38" fillId="12" borderId="20" xfId="0" applyFont="1" applyFill="1" applyBorder="1" applyAlignment="1" applyProtection="1">
      <alignment horizontal="center" vertical="center"/>
      <protection hidden="1"/>
    </xf>
    <xf numFmtId="0" fontId="38" fillId="12" borderId="21" xfId="0" applyFont="1" applyFill="1" applyBorder="1" applyAlignment="1" applyProtection="1">
      <alignment horizontal="center" vertical="center"/>
      <protection hidden="1"/>
    </xf>
    <xf numFmtId="0" fontId="162" fillId="19" borderId="85" xfId="0" applyFont="1" applyFill="1" applyBorder="1" applyAlignment="1" applyProtection="1">
      <alignment horizontal="center" vertical="center" wrapText="1"/>
      <protection hidden="1"/>
    </xf>
    <xf numFmtId="0" fontId="162" fillId="19" borderId="83" xfId="0" applyFont="1" applyFill="1" applyBorder="1" applyAlignment="1" applyProtection="1">
      <alignment horizontal="center" vertical="center" wrapText="1"/>
      <protection hidden="1"/>
    </xf>
    <xf numFmtId="0" fontId="165" fillId="12" borderId="20" xfId="0" applyFont="1" applyFill="1" applyBorder="1" applyAlignment="1" applyProtection="1">
      <alignment horizontal="center" vertical="center" wrapText="1"/>
      <protection hidden="1"/>
    </xf>
    <xf numFmtId="0" fontId="165" fillId="12" borderId="21" xfId="0" applyFont="1" applyFill="1" applyBorder="1" applyAlignment="1" applyProtection="1">
      <alignment horizontal="center" vertical="center" wrapText="1"/>
      <protection hidden="1"/>
    </xf>
    <xf numFmtId="0" fontId="166" fillId="12" borderId="10" xfId="0" applyFont="1" applyFill="1" applyBorder="1" applyAlignment="1" applyProtection="1">
      <alignment horizontal="center" vertical="center" wrapText="1"/>
      <protection hidden="1"/>
    </xf>
    <xf numFmtId="0" fontId="156" fillId="12" borderId="86" xfId="0" applyFont="1" applyFill="1" applyBorder="1" applyAlignment="1" applyProtection="1">
      <alignment horizontal="center" vertical="center" textRotation="90" wrapText="1"/>
      <protection hidden="1"/>
    </xf>
    <xf numFmtId="0" fontId="156" fillId="12" borderId="170" xfId="0" applyFont="1" applyFill="1" applyBorder="1" applyAlignment="1" applyProtection="1">
      <alignment horizontal="center" vertical="center" textRotation="90" wrapText="1"/>
      <protection hidden="1"/>
    </xf>
    <xf numFmtId="0" fontId="205" fillId="23" borderId="79" xfId="0" applyFont="1" applyFill="1" applyBorder="1" applyAlignment="1" applyProtection="1">
      <alignment horizontal="center" vertical="center" wrapText="1"/>
      <protection hidden="1"/>
    </xf>
    <xf numFmtId="0" fontId="205" fillId="23" borderId="80" xfId="0" applyFont="1" applyFill="1" applyBorder="1" applyAlignment="1" applyProtection="1">
      <alignment horizontal="center" vertical="center" wrapText="1"/>
      <protection hidden="1"/>
    </xf>
    <xf numFmtId="0" fontId="205" fillId="23" borderId="83" xfId="0" applyFont="1" applyFill="1" applyBorder="1" applyAlignment="1" applyProtection="1">
      <alignment horizontal="center" vertical="center" wrapText="1"/>
      <protection hidden="1"/>
    </xf>
    <xf numFmtId="0" fontId="156" fillId="12" borderId="81" xfId="0" applyFont="1" applyFill="1" applyBorder="1" applyAlignment="1" applyProtection="1">
      <alignment horizontal="center" vertical="center" textRotation="90" wrapText="1"/>
      <protection hidden="1"/>
    </xf>
    <xf numFmtId="0" fontId="156" fillId="12" borderId="84" xfId="0" applyFont="1" applyFill="1" applyBorder="1" applyAlignment="1" applyProtection="1">
      <alignment horizontal="center" vertical="center" textRotation="90" wrapText="1"/>
      <protection hidden="1"/>
    </xf>
    <xf numFmtId="0" fontId="153" fillId="23" borderId="20" xfId="0" applyFont="1" applyFill="1" applyBorder="1" applyAlignment="1" applyProtection="1">
      <alignment horizontal="center" vertical="center"/>
      <protection hidden="1"/>
    </xf>
    <xf numFmtId="0" fontId="153" fillId="23" borderId="21" xfId="0" applyFont="1" applyFill="1" applyBorder="1" applyAlignment="1" applyProtection="1">
      <alignment horizontal="center" vertical="center"/>
      <protection hidden="1"/>
    </xf>
    <xf numFmtId="0" fontId="24" fillId="12" borderId="6" xfId="0" applyFont="1" applyFill="1" applyBorder="1" applyAlignment="1" applyProtection="1">
      <alignment horizontal="center" vertical="center"/>
      <protection hidden="1"/>
    </xf>
    <xf numFmtId="0" fontId="24" fillId="12" borderId="7" xfId="0" applyFont="1" applyFill="1" applyBorder="1" applyAlignment="1" applyProtection="1">
      <alignment horizontal="center" vertical="center"/>
      <protection hidden="1"/>
    </xf>
    <xf numFmtId="0" fontId="24" fillId="12" borderId="11" xfId="0" applyFont="1" applyFill="1" applyBorder="1" applyAlignment="1" applyProtection="1">
      <alignment horizontal="center" vertical="center"/>
      <protection hidden="1"/>
    </xf>
    <xf numFmtId="0" fontId="24" fillId="12" borderId="12" xfId="0" applyFont="1" applyFill="1" applyBorder="1" applyAlignment="1" applyProtection="1">
      <alignment horizontal="center" vertical="center"/>
      <protection hidden="1"/>
    </xf>
    <xf numFmtId="0" fontId="153" fillId="28" borderId="20" xfId="0" applyFont="1" applyFill="1" applyBorder="1" applyAlignment="1" applyProtection="1">
      <alignment horizontal="center" vertical="center"/>
      <protection hidden="1"/>
    </xf>
    <xf numFmtId="0" fontId="153" fillId="28" borderId="21" xfId="0" applyFont="1" applyFill="1" applyBorder="1" applyAlignment="1" applyProtection="1">
      <alignment horizontal="center" vertical="center"/>
      <protection hidden="1"/>
    </xf>
    <xf numFmtId="0" fontId="60" fillId="28" borderId="254" xfId="0" applyFont="1" applyFill="1" applyBorder="1" applyAlignment="1" applyProtection="1">
      <alignment horizontal="center" vertical="center" wrapText="1"/>
      <protection hidden="1"/>
    </xf>
    <xf numFmtId="0" fontId="60" fillId="28" borderId="252" xfId="0" applyFont="1" applyFill="1" applyBorder="1" applyAlignment="1" applyProtection="1">
      <alignment horizontal="center" vertical="center" wrapText="1"/>
      <protection hidden="1"/>
    </xf>
    <xf numFmtId="0" fontId="205" fillId="28" borderId="85" xfId="0" applyFont="1" applyFill="1" applyBorder="1" applyAlignment="1" applyProtection="1">
      <alignment horizontal="center" vertical="center" wrapText="1"/>
      <protection hidden="1"/>
    </xf>
    <xf numFmtId="0" fontId="205" fillId="28" borderId="83" xfId="0" applyFont="1" applyFill="1" applyBorder="1" applyAlignment="1" applyProtection="1">
      <alignment horizontal="center" vertical="center" wrapText="1"/>
      <protection hidden="1"/>
    </xf>
    <xf numFmtId="0" fontId="162" fillId="24" borderId="19" xfId="0" applyFont="1" applyFill="1" applyBorder="1" applyAlignment="1" applyProtection="1">
      <alignment horizontal="center" vertical="center" textRotation="90" wrapText="1"/>
      <protection hidden="1"/>
    </xf>
    <xf numFmtId="0" fontId="162" fillId="24" borderId="0" xfId="0" applyFont="1" applyFill="1" applyBorder="1" applyAlignment="1" applyProtection="1">
      <alignment horizontal="center" vertical="center" textRotation="90" wrapText="1"/>
      <protection hidden="1"/>
    </xf>
    <xf numFmtId="0" fontId="162" fillId="24" borderId="87" xfId="0" applyFont="1" applyFill="1" applyBorder="1" applyAlignment="1" applyProtection="1">
      <alignment horizontal="center" vertical="center" textRotation="90" wrapText="1"/>
      <protection hidden="1"/>
    </xf>
    <xf numFmtId="0" fontId="60" fillId="16" borderId="264" xfId="0" applyFont="1" applyFill="1" applyBorder="1" applyAlignment="1" applyProtection="1">
      <alignment horizontal="center" vertical="center" wrapText="1"/>
      <protection hidden="1"/>
    </xf>
    <xf numFmtId="0" fontId="60" fillId="16" borderId="260" xfId="0" applyFont="1" applyFill="1" applyBorder="1" applyAlignment="1" applyProtection="1">
      <alignment horizontal="center" vertical="center" wrapText="1"/>
      <protection hidden="1"/>
    </xf>
    <xf numFmtId="0" fontId="60" fillId="16" borderId="259" xfId="0" applyFont="1" applyFill="1" applyBorder="1" applyAlignment="1" applyProtection="1">
      <alignment horizontal="center" vertical="center" wrapText="1"/>
      <protection hidden="1"/>
    </xf>
    <xf numFmtId="0" fontId="60" fillId="16" borderId="261" xfId="0" applyFont="1" applyFill="1" applyBorder="1" applyAlignment="1" applyProtection="1">
      <alignment horizontal="center" vertical="center" wrapText="1"/>
      <protection hidden="1"/>
    </xf>
    <xf numFmtId="0" fontId="38" fillId="37" borderId="20" xfId="0" applyFont="1" applyFill="1" applyBorder="1" applyAlignment="1" applyProtection="1">
      <alignment horizontal="center" vertical="center"/>
      <protection hidden="1"/>
    </xf>
    <xf numFmtId="0" fontId="38" fillId="37" borderId="21" xfId="0" applyFont="1" applyFill="1" applyBorder="1" applyAlignment="1" applyProtection="1">
      <alignment horizontal="center" vertical="center"/>
      <protection hidden="1"/>
    </xf>
    <xf numFmtId="0" fontId="282" fillId="38" borderId="255" xfId="0" applyFont="1" applyFill="1" applyBorder="1" applyAlignment="1" applyProtection="1">
      <alignment horizontal="center" vertical="center" wrapText="1"/>
      <protection hidden="1"/>
    </xf>
    <xf numFmtId="0" fontId="282" fillId="38" borderId="252" xfId="0" applyFont="1" applyFill="1" applyBorder="1" applyAlignment="1" applyProtection="1">
      <alignment horizontal="center" vertical="center" wrapText="1"/>
      <protection hidden="1"/>
    </xf>
    <xf numFmtId="0" fontId="282" fillId="38" borderId="253" xfId="0" applyFont="1" applyFill="1" applyBorder="1" applyAlignment="1" applyProtection="1">
      <alignment horizontal="center" vertical="center" wrapText="1"/>
      <protection hidden="1"/>
    </xf>
    <xf numFmtId="0" fontId="9" fillId="17" borderId="197" xfId="0" applyFont="1" applyFill="1" applyBorder="1" applyAlignment="1" applyProtection="1">
      <alignment horizontal="center" vertical="center"/>
      <protection locked="0"/>
    </xf>
    <xf numFmtId="0" fontId="9" fillId="17" borderId="198" xfId="0" applyFont="1" applyFill="1" applyBorder="1" applyAlignment="1" applyProtection="1">
      <alignment horizontal="center" vertical="center"/>
      <protection locked="0"/>
    </xf>
    <xf numFmtId="0" fontId="9" fillId="17" borderId="5" xfId="0" applyFont="1" applyFill="1" applyBorder="1" applyAlignment="1" applyProtection="1">
      <alignment horizontal="center" vertical="center"/>
      <protection locked="0"/>
    </xf>
    <xf numFmtId="0" fontId="9" fillId="17" borderId="19" xfId="0" applyFont="1" applyFill="1" applyBorder="1" applyAlignment="1" applyProtection="1">
      <alignment horizontal="center" vertical="center"/>
      <protection locked="0"/>
    </xf>
    <xf numFmtId="0" fontId="9" fillId="17" borderId="265" xfId="0" applyFont="1" applyFill="1" applyBorder="1" applyAlignment="1" applyProtection="1">
      <alignment horizontal="center" vertical="center"/>
      <protection locked="0"/>
    </xf>
    <xf numFmtId="0" fontId="153" fillId="36" borderId="6" xfId="0" applyFont="1" applyFill="1" applyBorder="1" applyAlignment="1" applyProtection="1">
      <alignment horizontal="center" vertical="center"/>
      <protection hidden="1"/>
    </xf>
    <xf numFmtId="0" fontId="153" fillId="36" borderId="19" xfId="0" applyFont="1" applyFill="1" applyBorder="1" applyAlignment="1" applyProtection="1">
      <alignment horizontal="center" vertical="center"/>
      <protection hidden="1"/>
    </xf>
    <xf numFmtId="0" fontId="153" fillId="12" borderId="20" xfId="0" applyFont="1" applyFill="1" applyBorder="1" applyAlignment="1" applyProtection="1">
      <alignment horizontal="center" vertical="center" wrapText="1"/>
      <protection hidden="1"/>
    </xf>
    <xf numFmtId="0" fontId="153" fillId="12" borderId="21" xfId="0" applyFont="1" applyFill="1" applyBorder="1" applyAlignment="1" applyProtection="1">
      <alignment horizontal="center" vertical="center" wrapText="1"/>
      <protection hidden="1"/>
    </xf>
    <xf numFmtId="0" fontId="283" fillId="12" borderId="13" xfId="0" applyFont="1" applyFill="1" applyBorder="1" applyAlignment="1" applyProtection="1">
      <alignment horizontal="center" vertical="center" wrapText="1"/>
      <protection hidden="1"/>
    </xf>
    <xf numFmtId="0" fontId="283" fillId="12" borderId="10" xfId="0" applyFont="1" applyFill="1" applyBorder="1" applyAlignment="1" applyProtection="1">
      <alignment horizontal="center" vertical="center" wrapText="1"/>
      <protection hidden="1"/>
    </xf>
    <xf numFmtId="0" fontId="165" fillId="12" borderId="22" xfId="0" applyFont="1" applyFill="1" applyBorder="1" applyAlignment="1" applyProtection="1">
      <alignment horizontal="center" vertical="center" wrapText="1"/>
      <protection hidden="1"/>
    </xf>
    <xf numFmtId="0" fontId="166" fillId="12" borderId="13" xfId="0" applyFont="1" applyFill="1" applyBorder="1" applyAlignment="1" applyProtection="1">
      <alignment horizontal="center" vertical="center" wrapText="1"/>
      <protection hidden="1"/>
    </xf>
    <xf numFmtId="0" fontId="60" fillId="12" borderId="86" xfId="0" applyFont="1" applyFill="1" applyBorder="1" applyAlignment="1" applyProtection="1">
      <alignment horizontal="center" vertical="center" wrapText="1"/>
      <protection hidden="1"/>
    </xf>
    <xf numFmtId="0" fontId="60" fillId="12" borderId="261" xfId="0" applyFont="1" applyFill="1" applyBorder="1" applyAlignment="1" applyProtection="1">
      <alignment horizontal="center" vertical="center" wrapText="1"/>
      <protection hidden="1"/>
    </xf>
    <xf numFmtId="0" fontId="243" fillId="12" borderId="237" xfId="0" applyFont="1" applyFill="1" applyBorder="1" applyAlignment="1" applyProtection="1">
      <alignment horizontal="center" vertical="center" wrapText="1"/>
      <protection hidden="1"/>
    </xf>
    <xf numFmtId="0" fontId="243" fillId="12" borderId="0" xfId="0" applyFont="1" applyFill="1" applyBorder="1" applyAlignment="1" applyProtection="1">
      <alignment horizontal="center" vertical="center" wrapText="1"/>
      <protection hidden="1"/>
    </xf>
    <xf numFmtId="0" fontId="243" fillId="12" borderId="12" xfId="0" applyFont="1" applyFill="1" applyBorder="1" applyAlignment="1" applyProtection="1">
      <alignment horizontal="center" vertical="center" wrapText="1"/>
      <protection hidden="1"/>
    </xf>
    <xf numFmtId="0" fontId="280" fillId="12" borderId="0" xfId="0" applyFont="1" applyFill="1" applyBorder="1" applyAlignment="1" applyProtection="1">
      <alignment horizontal="center" vertical="center" wrapText="1"/>
      <protection hidden="1"/>
    </xf>
    <xf numFmtId="0" fontId="257" fillId="12" borderId="237" xfId="0" applyFont="1" applyFill="1" applyBorder="1" applyAlignment="1" applyProtection="1">
      <alignment horizontal="center" vertical="center" wrapText="1"/>
      <protection hidden="1"/>
    </xf>
    <xf numFmtId="0" fontId="257" fillId="12" borderId="0" xfId="0" applyFont="1" applyFill="1" applyBorder="1" applyAlignment="1" applyProtection="1">
      <alignment horizontal="center" vertical="center" wrapText="1"/>
      <protection hidden="1"/>
    </xf>
    <xf numFmtId="0" fontId="257" fillId="12" borderId="12" xfId="0" applyFont="1" applyFill="1" applyBorder="1" applyAlignment="1" applyProtection="1">
      <alignment horizontal="center" vertical="center" wrapText="1"/>
      <protection hidden="1"/>
    </xf>
    <xf numFmtId="0" fontId="156" fillId="12" borderId="193" xfId="0" applyFont="1" applyFill="1" applyBorder="1" applyAlignment="1" applyProtection="1">
      <alignment horizontal="center" vertical="center" wrapText="1"/>
      <protection hidden="1"/>
    </xf>
    <xf numFmtId="0" fontId="156" fillId="12" borderId="237" xfId="0" applyFont="1" applyFill="1" applyBorder="1" applyAlignment="1" applyProtection="1">
      <alignment horizontal="center" vertical="center" wrapText="1"/>
      <protection hidden="1"/>
    </xf>
    <xf numFmtId="0" fontId="156" fillId="12" borderId="238" xfId="0" applyFont="1" applyFill="1" applyBorder="1" applyAlignment="1" applyProtection="1">
      <alignment horizontal="center" vertical="center" wrapText="1"/>
      <protection hidden="1"/>
    </xf>
    <xf numFmtId="0" fontId="205" fillId="16" borderId="79" xfId="0" applyFont="1" applyFill="1" applyBorder="1" applyAlignment="1" applyProtection="1">
      <alignment horizontal="center" vertical="center" wrapText="1"/>
      <protection hidden="1"/>
    </xf>
    <xf numFmtId="0" fontId="205" fillId="16" borderId="80" xfId="0" applyFont="1" applyFill="1" applyBorder="1" applyAlignment="1" applyProtection="1">
      <alignment horizontal="center" vertical="center" wrapText="1"/>
      <protection hidden="1"/>
    </xf>
    <xf numFmtId="0" fontId="205" fillId="37" borderId="79" xfId="0" applyFont="1" applyFill="1" applyBorder="1" applyAlignment="1" applyProtection="1">
      <alignment horizontal="center" vertical="center" wrapText="1"/>
      <protection hidden="1"/>
    </xf>
    <xf numFmtId="0" fontId="205" fillId="37" borderId="80" xfId="0" applyFont="1" applyFill="1" applyBorder="1" applyAlignment="1" applyProtection="1">
      <alignment horizontal="center" vertical="center" wrapText="1"/>
      <protection hidden="1"/>
    </xf>
    <xf numFmtId="0" fontId="60" fillId="0" borderId="109" xfId="0" applyFont="1" applyBorder="1" applyAlignment="1" applyProtection="1">
      <alignment horizontal="center" vertical="center" wrapText="1"/>
      <protection hidden="1"/>
    </xf>
    <xf numFmtId="0" fontId="60" fillId="0" borderId="143" xfId="0" applyFont="1" applyBorder="1" applyAlignment="1" applyProtection="1">
      <alignment horizontal="center" vertical="center" wrapText="1"/>
      <protection hidden="1"/>
    </xf>
    <xf numFmtId="0" fontId="60" fillId="0" borderId="110" xfId="0" applyFont="1" applyBorder="1" applyAlignment="1" applyProtection="1">
      <alignment horizontal="center" vertical="center" wrapText="1"/>
      <protection hidden="1"/>
    </xf>
    <xf numFmtId="0" fontId="9" fillId="0" borderId="106" xfId="0" applyFont="1" applyFill="1" applyBorder="1" applyAlignment="1" applyProtection="1">
      <alignment horizontal="center" wrapText="1"/>
      <protection hidden="1"/>
    </xf>
    <xf numFmtId="0" fontId="35" fillId="0" borderId="106" xfId="0" applyFont="1" applyBorder="1" applyAlignment="1" applyProtection="1">
      <alignment horizontal="center" vertical="center" wrapText="1"/>
      <protection hidden="1"/>
    </xf>
    <xf numFmtId="0" fontId="60" fillId="0" borderId="106" xfId="0" applyFont="1" applyBorder="1" applyAlignment="1" applyProtection="1">
      <alignment horizontal="center" vertical="center" wrapText="1"/>
      <protection hidden="1"/>
    </xf>
    <xf numFmtId="0" fontId="9" fillId="0" borderId="106" xfId="0" applyFont="1" applyBorder="1" applyAlignment="1" applyProtection="1">
      <alignment horizontal="center" vertical="center" wrapText="1"/>
      <protection hidden="1"/>
    </xf>
    <xf numFmtId="0" fontId="79" fillId="0" borderId="106" xfId="0" applyFont="1" applyFill="1" applyBorder="1" applyAlignment="1" applyProtection="1">
      <alignment horizontal="center" vertical="center" wrapText="1"/>
      <protection hidden="1"/>
    </xf>
    <xf numFmtId="0" fontId="295" fillId="0" borderId="109" xfId="0" applyFont="1" applyBorder="1" applyAlignment="1" applyProtection="1">
      <alignment horizontal="center" vertical="center" wrapText="1"/>
      <protection hidden="1"/>
    </xf>
    <xf numFmtId="0" fontId="295" fillId="0" borderId="110" xfId="0" applyFont="1" applyBorder="1" applyAlignment="1" applyProtection="1">
      <alignment horizontal="center" vertical="center" wrapText="1"/>
      <protection hidden="1"/>
    </xf>
    <xf numFmtId="172" fontId="61" fillId="0" borderId="106" xfId="0" applyNumberFormat="1" applyFont="1" applyFill="1" applyBorder="1" applyAlignment="1" applyProtection="1">
      <alignment horizontal="center" vertical="center" wrapText="1"/>
      <protection hidden="1"/>
    </xf>
    <xf numFmtId="0" fontId="271" fillId="18" borderId="298" xfId="0" applyFont="1" applyFill="1" applyBorder="1" applyAlignment="1" applyProtection="1">
      <alignment horizontal="center" vertical="center" wrapText="1"/>
      <protection hidden="1"/>
    </xf>
    <xf numFmtId="0" fontId="271" fillId="18" borderId="299" xfId="0" applyFont="1" applyFill="1" applyBorder="1" applyAlignment="1" applyProtection="1">
      <alignment horizontal="center" vertical="center" wrapText="1"/>
      <protection hidden="1"/>
    </xf>
    <xf numFmtId="0" fontId="271" fillId="18" borderId="300" xfId="0" applyFont="1" applyFill="1" applyBorder="1" applyAlignment="1" applyProtection="1">
      <alignment horizontal="center" vertical="center" wrapText="1"/>
      <protection hidden="1"/>
    </xf>
    <xf numFmtId="0" fontId="39" fillId="0" borderId="296" xfId="0" applyFont="1" applyFill="1" applyBorder="1" applyAlignment="1" applyProtection="1">
      <alignment horizontal="center" vertical="center" wrapText="1"/>
      <protection hidden="1"/>
    </xf>
    <xf numFmtId="0" fontId="39" fillId="0" borderId="104" xfId="0" applyFont="1" applyFill="1" applyBorder="1" applyAlignment="1" applyProtection="1">
      <alignment horizontal="center" vertical="center" wrapText="1"/>
      <protection hidden="1"/>
    </xf>
    <xf numFmtId="0" fontId="39" fillId="0" borderId="297" xfId="0" applyFont="1" applyFill="1" applyBorder="1" applyAlignment="1" applyProtection="1">
      <alignment horizontal="center" vertical="center" wrapText="1"/>
      <protection hidden="1"/>
    </xf>
    <xf numFmtId="0" fontId="117" fillId="0" borderId="286" xfId="0" applyFont="1" applyFill="1" applyBorder="1" applyAlignment="1" applyProtection="1">
      <alignment horizontal="center" vertical="center" wrapText="1"/>
      <protection hidden="1"/>
    </xf>
    <xf numFmtId="0" fontId="117" fillId="0" borderId="287" xfId="0" applyFont="1" applyFill="1" applyBorder="1" applyAlignment="1" applyProtection="1">
      <alignment horizontal="center" vertical="center" wrapText="1"/>
      <protection hidden="1"/>
    </xf>
    <xf numFmtId="0" fontId="60" fillId="0" borderId="289" xfId="0" applyFont="1" applyFill="1" applyBorder="1" applyAlignment="1" applyProtection="1">
      <alignment horizontal="center" vertical="center" wrapText="1"/>
      <protection hidden="1"/>
    </xf>
    <xf numFmtId="0" fontId="60" fillId="0" borderId="106" xfId="0" applyFont="1" applyFill="1" applyBorder="1" applyAlignment="1" applyProtection="1">
      <alignment horizontal="center" vertical="center" wrapText="1"/>
      <protection hidden="1"/>
    </xf>
    <xf numFmtId="0" fontId="20" fillId="0" borderId="108" xfId="0" applyFont="1" applyFill="1" applyBorder="1" applyAlignment="1" applyProtection="1">
      <alignment horizontal="center" vertical="center" wrapText="1"/>
      <protection hidden="1"/>
    </xf>
    <xf numFmtId="0" fontId="20" fillId="0" borderId="295" xfId="0" applyFont="1" applyFill="1" applyBorder="1" applyAlignment="1" applyProtection="1">
      <alignment horizontal="center" vertical="center" wrapText="1"/>
      <protection hidden="1"/>
    </xf>
    <xf numFmtId="0" fontId="222" fillId="0" borderId="106" xfId="0" applyFont="1" applyFill="1" applyBorder="1" applyAlignment="1" applyProtection="1">
      <alignment horizontal="center" vertical="center" wrapText="1"/>
      <protection hidden="1"/>
    </xf>
    <xf numFmtId="0" fontId="222" fillId="0" borderId="290" xfId="0" applyFont="1" applyFill="1" applyBorder="1" applyAlignment="1" applyProtection="1">
      <alignment horizontal="center" vertical="center" wrapText="1"/>
      <protection hidden="1"/>
    </xf>
    <xf numFmtId="0" fontId="35" fillId="0" borderId="112" xfId="0" applyFont="1" applyBorder="1" applyAlignment="1" applyProtection="1">
      <alignment horizontal="center" vertical="center" wrapText="1"/>
      <protection hidden="1"/>
    </xf>
    <xf numFmtId="0" fontId="35" fillId="0" borderId="0" xfId="0" applyFont="1" applyBorder="1" applyAlignment="1" applyProtection="1">
      <alignment horizontal="center" vertical="center" wrapText="1"/>
      <protection hidden="1"/>
    </xf>
    <xf numFmtId="0" fontId="35" fillId="0" borderId="117" xfId="0" applyFont="1" applyBorder="1" applyAlignment="1" applyProtection="1">
      <alignment horizontal="center" vertical="center" wrapText="1"/>
      <protection hidden="1"/>
    </xf>
    <xf numFmtId="172" fontId="61" fillId="0" borderId="109" xfId="0" applyNumberFormat="1" applyFont="1" applyFill="1" applyBorder="1" applyAlignment="1" applyProtection="1">
      <alignment horizontal="center" vertical="center" wrapText="1"/>
      <protection hidden="1"/>
    </xf>
    <xf numFmtId="172" fontId="61" fillId="0" borderId="143" xfId="0" applyNumberFormat="1" applyFont="1" applyFill="1" applyBorder="1" applyAlignment="1" applyProtection="1">
      <alignment horizontal="center" vertical="center" wrapText="1"/>
      <protection hidden="1"/>
    </xf>
    <xf numFmtId="172" fontId="61" fillId="0" borderId="110" xfId="0" applyNumberFormat="1" applyFont="1" applyFill="1" applyBorder="1" applyAlignment="1" applyProtection="1">
      <alignment horizontal="center" vertical="center" wrapText="1"/>
      <protection hidden="1"/>
    </xf>
    <xf numFmtId="0" fontId="79" fillId="0" borderId="109" xfId="0" applyFont="1" applyFill="1" applyBorder="1" applyAlignment="1" applyProtection="1">
      <alignment horizontal="center" vertical="center" wrapText="1"/>
      <protection hidden="1"/>
    </xf>
    <xf numFmtId="0" fontId="79" fillId="0" borderId="110" xfId="0" applyFont="1" applyFill="1" applyBorder="1" applyAlignment="1" applyProtection="1">
      <alignment horizontal="center" vertical="center" wrapText="1"/>
      <protection hidden="1"/>
    </xf>
    <xf numFmtId="0" fontId="295" fillId="0" borderId="106" xfId="0" applyFont="1" applyBorder="1" applyAlignment="1" applyProtection="1">
      <alignment horizontal="center" vertical="center" wrapText="1"/>
      <protection hidden="1"/>
    </xf>
    <xf numFmtId="1" fontId="61" fillId="17" borderId="109" xfId="0" applyNumberFormat="1" applyFont="1" applyFill="1" applyBorder="1" applyAlignment="1" applyProtection="1">
      <alignment horizontal="center" vertical="center" wrapText="1"/>
      <protection hidden="1"/>
    </xf>
    <xf numFmtId="1" fontId="61" fillId="17" borderId="143" xfId="0" applyNumberFormat="1" applyFont="1" applyFill="1" applyBorder="1" applyAlignment="1" applyProtection="1">
      <alignment horizontal="center" vertical="center" wrapText="1"/>
      <protection hidden="1"/>
    </xf>
    <xf numFmtId="1" fontId="61" fillId="17" borderId="110" xfId="0" applyNumberFormat="1" applyFont="1" applyFill="1" applyBorder="1" applyAlignment="1" applyProtection="1">
      <alignment horizontal="center" vertical="center" wrapText="1"/>
      <protection hidden="1"/>
    </xf>
    <xf numFmtId="0" fontId="35" fillId="17" borderId="109" xfId="0" applyFont="1" applyFill="1" applyBorder="1" applyAlignment="1" applyProtection="1">
      <alignment horizontal="center" vertical="center" wrapText="1"/>
      <protection hidden="1"/>
    </xf>
    <xf numFmtId="0" fontId="35" fillId="17" borderId="143" xfId="0" applyFont="1" applyFill="1" applyBorder="1" applyAlignment="1" applyProtection="1">
      <alignment horizontal="center" vertical="center" wrapText="1"/>
      <protection hidden="1"/>
    </xf>
    <xf numFmtId="0" fontId="35" fillId="17" borderId="110" xfId="0" applyFont="1" applyFill="1" applyBorder="1" applyAlignment="1" applyProtection="1">
      <alignment horizontal="center" vertical="center" wrapText="1"/>
      <protection hidden="1"/>
    </xf>
    <xf numFmtId="0" fontId="60" fillId="17" borderId="109" xfId="0" applyFont="1" applyFill="1" applyBorder="1" applyAlignment="1" applyProtection="1">
      <alignment horizontal="center" vertical="center" wrapText="1"/>
      <protection hidden="1"/>
    </xf>
    <xf numFmtId="0" fontId="60" fillId="17" borderId="143" xfId="0" applyFont="1" applyFill="1" applyBorder="1" applyAlignment="1" applyProtection="1">
      <alignment horizontal="center" vertical="center" wrapText="1"/>
      <protection hidden="1"/>
    </xf>
    <xf numFmtId="0" fontId="60" fillId="17" borderId="110" xfId="0" applyFont="1" applyFill="1" applyBorder="1" applyAlignment="1" applyProtection="1">
      <alignment horizontal="center" vertical="center" wrapText="1"/>
      <protection hidden="1"/>
    </xf>
    <xf numFmtId="0" fontId="21" fillId="17" borderId="109" xfId="0" applyFont="1" applyFill="1" applyBorder="1" applyAlignment="1" applyProtection="1">
      <alignment horizontal="center" vertical="center" wrapText="1"/>
      <protection hidden="1"/>
    </xf>
    <xf numFmtId="0" fontId="21" fillId="17" borderId="143" xfId="0" applyFont="1" applyFill="1" applyBorder="1" applyAlignment="1" applyProtection="1">
      <alignment horizontal="center" vertical="center" wrapText="1"/>
      <protection hidden="1"/>
    </xf>
    <xf numFmtId="0" fontId="21" fillId="17" borderId="110" xfId="0" applyFont="1" applyFill="1" applyBorder="1" applyAlignment="1" applyProtection="1">
      <alignment horizontal="center" vertical="center" wrapText="1"/>
      <protection hidden="1"/>
    </xf>
    <xf numFmtId="172" fontId="61" fillId="17" borderId="109" xfId="0" applyNumberFormat="1" applyFont="1" applyFill="1" applyBorder="1" applyAlignment="1" applyProtection="1">
      <alignment horizontal="center" vertical="center" wrapText="1"/>
      <protection hidden="1"/>
    </xf>
    <xf numFmtId="172" fontId="61" fillId="17" borderId="143" xfId="0" applyNumberFormat="1" applyFont="1" applyFill="1" applyBorder="1" applyAlignment="1" applyProtection="1">
      <alignment horizontal="center" vertical="center" wrapText="1"/>
      <protection hidden="1"/>
    </xf>
    <xf numFmtId="172" fontId="61" fillId="17" borderId="110" xfId="0" applyNumberFormat="1" applyFont="1" applyFill="1" applyBorder="1" applyAlignment="1" applyProtection="1">
      <alignment horizontal="center" vertical="center" wrapText="1"/>
      <protection hidden="1"/>
    </xf>
    <xf numFmtId="1" fontId="61" fillId="17" borderId="106" xfId="0" applyNumberFormat="1" applyFont="1" applyFill="1" applyBorder="1" applyAlignment="1" applyProtection="1">
      <alignment horizontal="center" vertical="center" wrapText="1"/>
      <protection hidden="1"/>
    </xf>
    <xf numFmtId="0" fontId="35" fillId="17" borderId="106" xfId="0" applyFont="1" applyFill="1" applyBorder="1" applyAlignment="1" applyProtection="1">
      <alignment horizontal="center" vertical="center" wrapText="1"/>
      <protection hidden="1"/>
    </xf>
    <xf numFmtId="0" fontId="60" fillId="17" borderId="106" xfId="0" applyFont="1" applyFill="1" applyBorder="1" applyAlignment="1" applyProtection="1">
      <alignment horizontal="center" vertical="center" wrapText="1"/>
      <protection hidden="1"/>
    </xf>
    <xf numFmtId="0" fontId="21" fillId="17" borderId="106" xfId="0" applyFont="1" applyFill="1" applyBorder="1" applyAlignment="1" applyProtection="1">
      <alignment horizontal="center" vertical="center" wrapText="1"/>
      <protection hidden="1"/>
    </xf>
    <xf numFmtId="172" fontId="61" fillId="17" borderId="106" xfId="0" applyNumberFormat="1" applyFont="1" applyFill="1" applyBorder="1" applyAlignment="1" applyProtection="1">
      <alignment horizontal="center" vertical="center" wrapText="1"/>
      <protection hidden="1"/>
    </xf>
    <xf numFmtId="0" fontId="157" fillId="15" borderId="111" xfId="4" applyFont="1" applyFill="1" applyBorder="1" applyAlignment="1" applyProtection="1">
      <alignment horizontal="center" vertical="center" wrapText="1"/>
      <protection hidden="1"/>
    </xf>
    <xf numFmtId="0" fontId="157" fillId="15" borderId="112" xfId="4" applyFont="1" applyFill="1" applyBorder="1" applyAlignment="1" applyProtection="1">
      <alignment horizontal="center" vertical="center" wrapText="1"/>
      <protection hidden="1"/>
    </xf>
    <xf numFmtId="0" fontId="157" fillId="15" borderId="113" xfId="4" applyFont="1" applyFill="1" applyBorder="1" applyAlignment="1" applyProtection="1">
      <alignment horizontal="center" vertical="center" wrapText="1"/>
      <protection hidden="1"/>
    </xf>
    <xf numFmtId="0" fontId="157" fillId="15" borderId="116" xfId="4" applyFont="1" applyFill="1" applyBorder="1" applyAlignment="1" applyProtection="1">
      <alignment horizontal="center" vertical="center" wrapText="1"/>
      <protection hidden="1"/>
    </xf>
    <xf numFmtId="0" fontId="157" fillId="15" borderId="117" xfId="4" applyFont="1" applyFill="1" applyBorder="1" applyAlignment="1" applyProtection="1">
      <alignment horizontal="center" vertical="center" wrapText="1"/>
      <protection hidden="1"/>
    </xf>
    <xf numFmtId="0" fontId="157" fillId="15" borderId="118" xfId="4"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textRotation="90" wrapText="1"/>
      <protection hidden="1"/>
    </xf>
    <xf numFmtId="0" fontId="35" fillId="0" borderId="109" xfId="0" applyFont="1" applyFill="1" applyBorder="1" applyAlignment="1" applyProtection="1">
      <alignment horizontal="center" vertical="center" wrapText="1"/>
      <protection hidden="1"/>
    </xf>
    <xf numFmtId="0" fontId="35" fillId="0" borderId="110" xfId="0" applyFont="1" applyFill="1" applyBorder="1" applyAlignment="1" applyProtection="1">
      <alignment horizontal="center" vertical="center" wrapText="1"/>
      <protection hidden="1"/>
    </xf>
    <xf numFmtId="0" fontId="251" fillId="0" borderId="106" xfId="0" applyFont="1" applyFill="1" applyBorder="1" applyAlignment="1" applyProtection="1">
      <alignment horizontal="center" vertical="center" wrapText="1"/>
      <protection hidden="1"/>
    </xf>
    <xf numFmtId="0" fontId="235" fillId="0" borderId="107" xfId="0" applyFont="1" applyFill="1" applyBorder="1" applyAlignment="1" applyProtection="1">
      <alignment horizontal="center" vertical="center" textRotation="90" wrapText="1"/>
      <protection hidden="1"/>
    </xf>
    <xf numFmtId="0" fontId="235" fillId="0" borderId="108" xfId="0" applyFont="1" applyFill="1" applyBorder="1" applyAlignment="1" applyProtection="1">
      <alignment horizontal="center" vertical="center" textRotation="90" wrapText="1"/>
      <protection hidden="1"/>
    </xf>
    <xf numFmtId="0" fontId="288" fillId="3" borderId="106" xfId="0" applyFont="1" applyFill="1" applyBorder="1" applyAlignment="1" applyProtection="1">
      <alignment horizontal="center" vertical="center" textRotation="90" wrapText="1" shrinkToFit="1"/>
      <protection hidden="1"/>
    </xf>
    <xf numFmtId="0" fontId="60" fillId="0" borderId="0" xfId="0" applyFont="1" applyFill="1" applyBorder="1" applyAlignment="1" applyProtection="1">
      <alignment horizontal="center" vertical="center" wrapText="1"/>
      <protection hidden="1"/>
    </xf>
    <xf numFmtId="0" fontId="40" fillId="21" borderId="107" xfId="0" applyFont="1" applyFill="1" applyBorder="1" applyAlignment="1" applyProtection="1">
      <alignment horizontal="center" vertical="center" textRotation="90" wrapText="1"/>
      <protection hidden="1"/>
    </xf>
    <xf numFmtId="0" fontId="40" fillId="21" borderId="108" xfId="0" applyFont="1" applyFill="1" applyBorder="1" applyAlignment="1" applyProtection="1">
      <alignment horizontal="center" vertical="center" textRotation="90" wrapText="1"/>
      <protection hidden="1"/>
    </xf>
    <xf numFmtId="0" fontId="36" fillId="23" borderId="106" xfId="0" applyFont="1" applyFill="1" applyBorder="1" applyAlignment="1" applyProtection="1">
      <alignment horizontal="center" vertical="center" textRotation="90" wrapText="1"/>
      <protection hidden="1"/>
    </xf>
    <xf numFmtId="0" fontId="36" fillId="21" borderId="107" xfId="0" applyFont="1" applyFill="1" applyBorder="1" applyAlignment="1" applyProtection="1">
      <alignment horizontal="center" vertical="center" textRotation="90" wrapText="1"/>
      <protection hidden="1"/>
    </xf>
    <xf numFmtId="0" fontId="36" fillId="21" borderId="108" xfId="0" applyFont="1" applyFill="1" applyBorder="1" applyAlignment="1" applyProtection="1">
      <alignment horizontal="center" vertical="center" textRotation="90" wrapText="1"/>
      <protection hidden="1"/>
    </xf>
    <xf numFmtId="0" fontId="36" fillId="21" borderId="106" xfId="0" applyFont="1" applyFill="1" applyBorder="1" applyAlignment="1" applyProtection="1">
      <alignment horizontal="center" vertical="center" wrapText="1"/>
      <protection hidden="1"/>
    </xf>
    <xf numFmtId="0" fontId="46" fillId="21" borderId="106" xfId="0" applyFont="1" applyFill="1" applyBorder="1" applyAlignment="1" applyProtection="1">
      <alignment horizontal="center" vertical="center" wrapText="1"/>
      <protection hidden="1"/>
    </xf>
    <xf numFmtId="0" fontId="165" fillId="0" borderId="106" xfId="0" applyFont="1" applyFill="1" applyBorder="1" applyAlignment="1" applyProtection="1">
      <alignment horizontal="center" vertical="center" textRotation="90" wrapText="1"/>
      <protection hidden="1"/>
    </xf>
    <xf numFmtId="0" fontId="165" fillId="0" borderId="107" xfId="0" applyFont="1" applyFill="1" applyBorder="1" applyAlignment="1" applyProtection="1">
      <alignment horizontal="center" vertical="center" textRotation="90" wrapText="1"/>
      <protection hidden="1"/>
    </xf>
    <xf numFmtId="0" fontId="36" fillId="21" borderId="106" xfId="0" applyFont="1" applyFill="1" applyBorder="1" applyAlignment="1" applyProtection="1">
      <alignment horizontal="center" vertical="center" textRotation="90" wrapText="1"/>
      <protection hidden="1"/>
    </xf>
    <xf numFmtId="0" fontId="289" fillId="3" borderId="106" xfId="0" applyFont="1" applyFill="1" applyBorder="1" applyAlignment="1" applyProtection="1">
      <alignment horizontal="center" vertical="center" textRotation="90" wrapText="1" shrinkToFit="1"/>
      <protection hidden="1"/>
    </xf>
    <xf numFmtId="0" fontId="40" fillId="21" borderId="110" xfId="0" applyFont="1" applyFill="1" applyBorder="1" applyAlignment="1" applyProtection="1">
      <alignment horizontal="center" vertical="center" textRotation="90" wrapText="1"/>
      <protection hidden="1"/>
    </xf>
    <xf numFmtId="0" fontId="35" fillId="0" borderId="109" xfId="0" applyFont="1" applyBorder="1" applyAlignment="1" applyProtection="1">
      <alignment horizontal="center" vertical="center" wrapText="1"/>
      <protection hidden="1"/>
    </xf>
    <xf numFmtId="0" fontId="35" fillId="0" borderId="143" xfId="0" applyFont="1" applyBorder="1" applyAlignment="1" applyProtection="1">
      <alignment horizontal="center" vertical="center" wrapText="1"/>
      <protection hidden="1"/>
    </xf>
    <xf numFmtId="0" fontId="35" fillId="0" borderId="110" xfId="0" applyFont="1" applyBorder="1" applyAlignment="1" applyProtection="1">
      <alignment horizontal="center" vertical="center" wrapText="1"/>
      <protection hidden="1"/>
    </xf>
    <xf numFmtId="0" fontId="69" fillId="0" borderId="111" xfId="0" applyFont="1" applyBorder="1" applyAlignment="1" applyProtection="1">
      <alignment horizontal="center" wrapText="1"/>
      <protection hidden="1"/>
    </xf>
    <xf numFmtId="0" fontId="69" fillId="0" borderId="112" xfId="0" applyFont="1" applyBorder="1" applyAlignment="1" applyProtection="1">
      <alignment horizontal="center" wrapText="1"/>
      <protection hidden="1"/>
    </xf>
    <xf numFmtId="0" fontId="69" fillId="0" borderId="114" xfId="0" applyFont="1" applyBorder="1" applyAlignment="1" applyProtection="1">
      <alignment horizontal="center" wrapText="1"/>
      <protection hidden="1"/>
    </xf>
    <xf numFmtId="0" fontId="69" fillId="0" borderId="0" xfId="0" applyFont="1" applyBorder="1" applyAlignment="1" applyProtection="1">
      <alignment horizontal="center" wrapText="1"/>
      <protection hidden="1"/>
    </xf>
    <xf numFmtId="0" fontId="69" fillId="0" borderId="116" xfId="0" applyFont="1" applyBorder="1" applyAlignment="1" applyProtection="1">
      <alignment horizontal="center" wrapText="1"/>
      <protection hidden="1"/>
    </xf>
    <xf numFmtId="0" fontId="69" fillId="0" borderId="117" xfId="0" applyFont="1" applyBorder="1" applyAlignment="1" applyProtection="1">
      <alignment horizontal="center" wrapText="1"/>
      <protection hidden="1"/>
    </xf>
    <xf numFmtId="0" fontId="60" fillId="0" borderId="106" xfId="0" applyFont="1" applyFill="1" applyBorder="1" applyAlignment="1" applyProtection="1">
      <alignment horizontal="center" vertical="center" textRotation="90" wrapText="1"/>
      <protection hidden="1"/>
    </xf>
    <xf numFmtId="0" fontId="35" fillId="0" borderId="111" xfId="0" applyFont="1" applyBorder="1" applyAlignment="1" applyProtection="1">
      <alignment horizontal="center" vertical="center" wrapText="1"/>
      <protection hidden="1"/>
    </xf>
    <xf numFmtId="0" fontId="35" fillId="0" borderId="114" xfId="0" applyFont="1" applyBorder="1" applyAlignment="1" applyProtection="1">
      <alignment horizontal="center" vertical="center" wrapText="1"/>
      <protection hidden="1"/>
    </xf>
    <xf numFmtId="0" fontId="35" fillId="0" borderId="116" xfId="0" applyFont="1" applyBorder="1" applyAlignment="1" applyProtection="1">
      <alignment horizontal="center" vertical="center" wrapText="1"/>
      <protection hidden="1"/>
    </xf>
    <xf numFmtId="0" fontId="9" fillId="0" borderId="106" xfId="0" applyFont="1" applyFill="1" applyBorder="1" applyAlignment="1" applyProtection="1">
      <alignment horizontal="center" vertical="center" wrapText="1"/>
      <protection hidden="1"/>
    </xf>
    <xf numFmtId="0" fontId="9" fillId="0" borderId="109" xfId="0" applyFont="1" applyBorder="1" applyAlignment="1" applyProtection="1">
      <alignment horizontal="center" vertical="center" wrapText="1"/>
      <protection hidden="1"/>
    </xf>
    <xf numFmtId="0" fontId="9" fillId="0" borderId="143" xfId="0" applyFont="1" applyBorder="1" applyAlignment="1" applyProtection="1">
      <alignment horizontal="center" vertical="center" wrapText="1"/>
      <protection hidden="1"/>
    </xf>
    <xf numFmtId="0" fontId="9" fillId="0" borderId="110" xfId="0" applyFont="1" applyBorder="1" applyAlignment="1" applyProtection="1">
      <alignment horizontal="center" vertical="center" wrapText="1"/>
      <protection hidden="1"/>
    </xf>
    <xf numFmtId="0" fontId="251" fillId="0" borderId="109" xfId="0" applyFont="1" applyFill="1" applyBorder="1" applyAlignment="1" applyProtection="1">
      <alignment horizontal="center" vertical="center" wrapText="1"/>
      <protection hidden="1"/>
    </xf>
    <xf numFmtId="0" fontId="251" fillId="0" borderId="143" xfId="0" applyFont="1" applyFill="1" applyBorder="1" applyAlignment="1" applyProtection="1">
      <alignment horizontal="center" vertical="center" wrapText="1"/>
      <protection hidden="1"/>
    </xf>
    <xf numFmtId="0" fontId="251" fillId="0" borderId="110" xfId="0" applyFont="1" applyFill="1" applyBorder="1" applyAlignment="1" applyProtection="1">
      <alignment horizontal="center" vertical="center" wrapText="1"/>
      <protection hidden="1"/>
    </xf>
    <xf numFmtId="0" fontId="251" fillId="0" borderId="107" xfId="0" applyFont="1" applyFill="1" applyBorder="1" applyAlignment="1" applyProtection="1">
      <alignment horizontal="center" vertical="center" wrapText="1"/>
      <protection hidden="1"/>
    </xf>
    <xf numFmtId="0" fontId="251" fillId="0" borderId="108" xfId="0" applyFont="1" applyFill="1" applyBorder="1" applyAlignment="1" applyProtection="1">
      <alignment horizontal="center" vertical="center" wrapText="1"/>
      <protection hidden="1"/>
    </xf>
    <xf numFmtId="0" fontId="35" fillId="0" borderId="106" xfId="0" applyFont="1" applyFill="1" applyBorder="1" applyAlignment="1" applyProtection="1">
      <alignment horizontal="center" vertical="center" wrapText="1"/>
      <protection hidden="1"/>
    </xf>
    <xf numFmtId="0" fontId="40" fillId="21" borderId="106" xfId="0" applyFont="1" applyFill="1" applyBorder="1" applyAlignment="1" applyProtection="1">
      <alignment horizontal="center" vertical="center" textRotation="90" wrapText="1"/>
      <protection hidden="1"/>
    </xf>
    <xf numFmtId="0" fontId="9" fillId="0" borderId="107" xfId="0" applyFont="1" applyFill="1" applyBorder="1" applyAlignment="1" applyProtection="1">
      <alignment horizontal="center" vertical="center" textRotation="90" wrapText="1"/>
      <protection hidden="1"/>
    </xf>
    <xf numFmtId="0" fontId="9" fillId="0" borderId="119" xfId="0" applyFont="1" applyFill="1" applyBorder="1" applyAlignment="1" applyProtection="1">
      <alignment horizontal="center" vertical="center" textRotation="90" wrapText="1"/>
      <protection hidden="1"/>
    </xf>
    <xf numFmtId="0" fontId="9" fillId="0" borderId="108" xfId="0" applyFont="1" applyFill="1" applyBorder="1" applyAlignment="1" applyProtection="1">
      <alignment horizontal="center" vertical="center" textRotation="90" wrapText="1"/>
      <protection hidden="1"/>
    </xf>
    <xf numFmtId="0" fontId="112" fillId="0" borderId="106" xfId="0" applyFont="1" applyFill="1" applyBorder="1" applyAlignment="1" applyProtection="1">
      <alignment horizontal="center" vertical="center" wrapText="1"/>
      <protection hidden="1"/>
    </xf>
    <xf numFmtId="0" fontId="35" fillId="0" borderId="143" xfId="0" applyFont="1" applyFill="1" applyBorder="1" applyAlignment="1" applyProtection="1">
      <alignment horizontal="center" vertical="center" wrapText="1"/>
      <protection hidden="1"/>
    </xf>
    <xf numFmtId="0" fontId="221" fillId="0" borderId="106" xfId="0" applyFont="1" applyFill="1" applyBorder="1" applyAlignment="1" applyProtection="1">
      <alignment horizontal="center" vertical="center" textRotation="90" wrapText="1"/>
      <protection hidden="1"/>
    </xf>
    <xf numFmtId="0" fontId="36" fillId="0" borderId="106" xfId="0" applyFont="1" applyFill="1" applyBorder="1" applyAlignment="1" applyProtection="1">
      <alignment horizontal="center" vertical="center" textRotation="90" wrapText="1"/>
      <protection hidden="1"/>
    </xf>
    <xf numFmtId="0" fontId="96" fillId="0" borderId="106" xfId="0" applyFont="1" applyFill="1" applyBorder="1" applyAlignment="1" applyProtection="1">
      <alignment horizontal="center" vertical="center" wrapText="1"/>
      <protection hidden="1"/>
    </xf>
    <xf numFmtId="0" fontId="104" fillId="0" borderId="51" xfId="0" applyFont="1" applyFill="1" applyBorder="1" applyAlignment="1" applyProtection="1">
      <alignment horizontal="center" vertical="center" wrapText="1"/>
      <protection hidden="1"/>
    </xf>
    <xf numFmtId="0" fontId="292" fillId="0" borderId="289" xfId="0" applyFont="1" applyFill="1" applyBorder="1" applyAlignment="1" applyProtection="1">
      <alignment horizontal="center" vertical="center" wrapText="1"/>
      <protection hidden="1"/>
    </xf>
    <xf numFmtId="0" fontId="292" fillId="0" borderId="106" xfId="0" applyFont="1" applyFill="1" applyBorder="1" applyAlignment="1" applyProtection="1">
      <alignment horizontal="center" vertical="center" wrapText="1"/>
      <protection hidden="1"/>
    </xf>
    <xf numFmtId="0" fontId="292" fillId="0" borderId="291" xfId="0" applyFont="1" applyFill="1" applyBorder="1" applyAlignment="1" applyProtection="1">
      <alignment horizontal="center" vertical="center" wrapText="1"/>
      <protection hidden="1"/>
    </xf>
    <xf numFmtId="0" fontId="292" fillId="0" borderId="292" xfId="0" applyFont="1" applyFill="1" applyBorder="1" applyAlignment="1" applyProtection="1">
      <alignment horizontal="center" vertical="center" wrapText="1"/>
      <protection hidden="1"/>
    </xf>
    <xf numFmtId="0" fontId="26" fillId="0" borderId="106" xfId="0" applyFont="1" applyFill="1" applyBorder="1" applyAlignment="1" applyProtection="1">
      <alignment horizontal="center" vertical="center" wrapText="1"/>
      <protection hidden="1"/>
    </xf>
    <xf numFmtId="0" fontId="26" fillId="0" borderId="290" xfId="0" applyFont="1" applyFill="1" applyBorder="1" applyAlignment="1" applyProtection="1">
      <alignment horizontal="center" vertical="center" wrapText="1"/>
      <protection hidden="1"/>
    </xf>
    <xf numFmtId="0" fontId="26" fillId="0" borderId="292" xfId="0" applyFont="1" applyBorder="1" applyAlignment="1" applyProtection="1">
      <alignment horizontal="center" vertical="center" wrapText="1"/>
      <protection hidden="1"/>
    </xf>
    <xf numFmtId="0" fontId="26" fillId="0" borderId="293" xfId="0" applyFont="1" applyBorder="1" applyAlignment="1" applyProtection="1">
      <alignment horizontal="center" vertical="center" wrapText="1"/>
      <protection hidden="1"/>
    </xf>
    <xf numFmtId="0" fontId="9" fillId="0" borderId="292" xfId="0" applyFont="1" applyFill="1" applyBorder="1" applyAlignment="1" applyProtection="1">
      <alignment horizontal="center" wrapText="1"/>
      <protection hidden="1"/>
    </xf>
    <xf numFmtId="0" fontId="117" fillId="0" borderId="108" xfId="0" applyFont="1" applyFill="1" applyBorder="1" applyAlignment="1" applyProtection="1">
      <alignment horizontal="center" vertical="center" wrapText="1"/>
      <protection hidden="1"/>
    </xf>
    <xf numFmtId="0" fontId="60" fillId="0" borderId="292" xfId="0" applyFont="1" applyFill="1" applyBorder="1" applyAlignment="1" applyProtection="1">
      <alignment horizontal="center" vertical="center" wrapText="1"/>
      <protection hidden="1"/>
    </xf>
    <xf numFmtId="0" fontId="60" fillId="0" borderId="291" xfId="0" applyFont="1" applyFill="1" applyBorder="1" applyAlignment="1" applyProtection="1">
      <alignment horizontal="center" vertical="center" wrapText="1"/>
      <protection hidden="1"/>
    </xf>
    <xf numFmtId="0" fontId="271" fillId="10" borderId="298" xfId="0" applyFont="1" applyFill="1" applyBorder="1" applyAlignment="1" applyProtection="1">
      <alignment horizontal="center" vertical="center" wrapText="1"/>
      <protection hidden="1"/>
    </xf>
    <xf numFmtId="0" fontId="271" fillId="10" borderId="299" xfId="0" applyFont="1" applyFill="1" applyBorder="1" applyAlignment="1" applyProtection="1">
      <alignment horizontal="center" vertical="center" wrapText="1"/>
      <protection hidden="1"/>
    </xf>
    <xf numFmtId="0" fontId="271" fillId="10" borderId="300" xfId="0" applyFont="1" applyFill="1" applyBorder="1" applyAlignment="1" applyProtection="1">
      <alignment horizontal="center" vertical="center" wrapText="1"/>
      <protection hidden="1"/>
    </xf>
    <xf numFmtId="0" fontId="35" fillId="0" borderId="107" xfId="0" applyFont="1" applyFill="1" applyBorder="1" applyAlignment="1" applyProtection="1">
      <alignment horizontal="center" vertical="center" textRotation="90" wrapText="1"/>
      <protection hidden="1"/>
    </xf>
    <xf numFmtId="0" fontId="35" fillId="0" borderId="119" xfId="0" applyFont="1" applyFill="1" applyBorder="1" applyAlignment="1" applyProtection="1">
      <alignment horizontal="center" vertical="center" textRotation="90" wrapText="1"/>
      <protection hidden="1"/>
    </xf>
    <xf numFmtId="0" fontId="35" fillId="0" borderId="108" xfId="0" applyFont="1" applyFill="1" applyBorder="1" applyAlignment="1" applyProtection="1">
      <alignment horizontal="center" vertical="center" textRotation="90" wrapText="1"/>
      <protection hidden="1"/>
    </xf>
    <xf numFmtId="0" fontId="251" fillId="0" borderId="107" xfId="0" applyFont="1" applyFill="1" applyBorder="1" applyAlignment="1" applyProtection="1">
      <alignment horizontal="center" vertical="center" textRotation="90" wrapText="1"/>
      <protection hidden="1"/>
    </xf>
    <xf numFmtId="0" fontId="251" fillId="0" borderId="119" xfId="0" applyFont="1" applyFill="1" applyBorder="1" applyAlignment="1" applyProtection="1">
      <alignment horizontal="center" vertical="center" textRotation="90" wrapText="1"/>
      <protection hidden="1"/>
    </xf>
    <xf numFmtId="0" fontId="251" fillId="0" borderId="108" xfId="0" applyFont="1" applyFill="1" applyBorder="1" applyAlignment="1" applyProtection="1">
      <alignment horizontal="center" vertical="center" textRotation="90" wrapText="1"/>
      <protection hidden="1"/>
    </xf>
    <xf numFmtId="0" fontId="61" fillId="17" borderId="106" xfId="0" applyFont="1" applyFill="1" applyBorder="1" applyAlignment="1" applyProtection="1">
      <alignment horizontal="center" vertical="center" wrapText="1"/>
      <protection hidden="1"/>
    </xf>
    <xf numFmtId="0" fontId="86" fillId="0" borderId="106" xfId="0" applyFont="1" applyFill="1" applyBorder="1" applyAlignment="1" applyProtection="1">
      <alignment horizontal="center" vertical="center" wrapText="1"/>
      <protection hidden="1"/>
    </xf>
    <xf numFmtId="0" fontId="60" fillId="17" borderId="108" xfId="0" applyFont="1" applyFill="1" applyBorder="1" applyAlignment="1" applyProtection="1">
      <alignment horizontal="center" vertical="center" wrapText="1"/>
      <protection hidden="1"/>
    </xf>
    <xf numFmtId="0" fontId="42" fillId="17" borderId="106" xfId="0" applyNumberFormat="1" applyFont="1" applyFill="1" applyBorder="1" applyAlignment="1" applyProtection="1">
      <alignment horizontal="center" vertical="center" wrapText="1"/>
      <protection hidden="1"/>
    </xf>
    <xf numFmtId="0" fontId="87" fillId="17" borderId="106" xfId="0" applyFont="1" applyFill="1" applyBorder="1" applyAlignment="1" applyProtection="1">
      <alignment horizontal="center" wrapText="1"/>
      <protection hidden="1"/>
    </xf>
    <xf numFmtId="0" fontId="96" fillId="0" borderId="106" xfId="0" applyFont="1" applyFill="1" applyBorder="1" applyAlignment="1" applyProtection="1">
      <alignment horizontal="center" vertical="center" textRotation="90" wrapText="1"/>
      <protection hidden="1"/>
    </xf>
    <xf numFmtId="0" fontId="60" fillId="0" borderId="108" xfId="0" applyFont="1" applyFill="1" applyBorder="1" applyAlignment="1" applyProtection="1">
      <alignment horizontal="center" vertical="center" textRotation="90" wrapText="1"/>
      <protection hidden="1"/>
    </xf>
    <xf numFmtId="0" fontId="60" fillId="0" borderId="107" xfId="0" applyFont="1" applyFill="1" applyBorder="1" applyAlignment="1" applyProtection="1">
      <alignment horizontal="center" vertical="center" textRotation="90" wrapText="1"/>
      <protection hidden="1"/>
    </xf>
    <xf numFmtId="0" fontId="60" fillId="0" borderId="119" xfId="0" applyFont="1" applyFill="1" applyBorder="1" applyAlignment="1" applyProtection="1">
      <alignment horizontal="center" vertical="center" textRotation="90" wrapText="1"/>
      <protection hidden="1"/>
    </xf>
    <xf numFmtId="0" fontId="60" fillId="0" borderId="108" xfId="0" applyFont="1" applyFill="1" applyBorder="1" applyAlignment="1" applyProtection="1">
      <alignment horizontal="center" vertical="center" wrapText="1"/>
      <protection hidden="1"/>
    </xf>
    <xf numFmtId="0" fontId="9" fillId="17" borderId="106" xfId="0" applyFont="1" applyFill="1" applyBorder="1" applyAlignment="1" applyProtection="1">
      <alignment horizontal="center" vertical="center" wrapText="1"/>
      <protection hidden="1"/>
    </xf>
    <xf numFmtId="0" fontId="293" fillId="17" borderId="109" xfId="0" applyFont="1" applyFill="1" applyBorder="1" applyAlignment="1" applyProtection="1">
      <alignment horizontal="center" vertical="center" shrinkToFit="1"/>
      <protection hidden="1"/>
    </xf>
    <xf numFmtId="0" fontId="293" fillId="17" borderId="110" xfId="0" applyFont="1" applyFill="1" applyBorder="1" applyAlignment="1" applyProtection="1">
      <alignment horizontal="center" vertical="center" shrinkToFit="1"/>
      <protection hidden="1"/>
    </xf>
    <xf numFmtId="0" fontId="117" fillId="17" borderId="109" xfId="0" applyFont="1" applyFill="1" applyBorder="1" applyAlignment="1" applyProtection="1">
      <alignment horizontal="center" vertical="center" shrinkToFit="1"/>
      <protection hidden="1"/>
    </xf>
    <xf numFmtId="0" fontId="117" fillId="17" borderId="110" xfId="0" applyFont="1" applyFill="1" applyBorder="1" applyAlignment="1" applyProtection="1">
      <alignment horizontal="center" vertical="center" shrinkToFit="1"/>
      <protection hidden="1"/>
    </xf>
    <xf numFmtId="0" fontId="88" fillId="17" borderId="106" xfId="0" applyFont="1" applyFill="1" applyBorder="1" applyAlignment="1" applyProtection="1">
      <alignment horizontal="center" vertical="center" wrapText="1"/>
      <protection hidden="1"/>
    </xf>
    <xf numFmtId="0" fontId="292" fillId="0" borderId="1" xfId="0" applyFont="1" applyFill="1" applyBorder="1" applyAlignment="1" applyProtection="1">
      <alignment horizontal="right" wrapText="1"/>
      <protection hidden="1"/>
    </xf>
    <xf numFmtId="0" fontId="86" fillId="0" borderId="109" xfId="0" applyFont="1" applyFill="1" applyBorder="1" applyAlignment="1" applyProtection="1">
      <alignment horizontal="center" vertical="center" wrapText="1"/>
      <protection hidden="1"/>
    </xf>
    <xf numFmtId="0" fontId="21" fillId="17" borderId="107" xfId="0" applyFont="1" applyFill="1" applyBorder="1" applyAlignment="1" applyProtection="1">
      <alignment horizontal="center" vertical="center" wrapText="1"/>
      <protection hidden="1"/>
    </xf>
    <xf numFmtId="0" fontId="40" fillId="21" borderId="118" xfId="0" applyFont="1" applyFill="1" applyBorder="1" applyAlignment="1" applyProtection="1">
      <alignment horizontal="center" vertical="center" textRotation="90" wrapText="1"/>
      <protection hidden="1"/>
    </xf>
    <xf numFmtId="0" fontId="251" fillId="0" borderId="1" xfId="0" applyFont="1" applyFill="1" applyBorder="1" applyAlignment="1" applyProtection="1">
      <alignment horizontal="right" wrapText="1"/>
      <protection hidden="1"/>
    </xf>
    <xf numFmtId="0" fontId="60" fillId="0" borderId="109" xfId="0" applyFont="1" applyFill="1" applyBorder="1" applyAlignment="1" applyProtection="1">
      <alignment horizontal="center" vertical="center" wrapText="1"/>
      <protection hidden="1"/>
    </xf>
    <xf numFmtId="0" fontId="60" fillId="0" borderId="143" xfId="0" applyFont="1" applyFill="1" applyBorder="1" applyAlignment="1" applyProtection="1">
      <alignment horizontal="center" vertical="center" wrapText="1"/>
      <protection hidden="1"/>
    </xf>
    <xf numFmtId="0" fontId="60" fillId="0" borderId="110" xfId="0" applyFont="1" applyFill="1" applyBorder="1" applyAlignment="1" applyProtection="1">
      <alignment horizontal="center" vertical="center" wrapText="1"/>
      <protection hidden="1"/>
    </xf>
    <xf numFmtId="0" fontId="9" fillId="0" borderId="290" xfId="0" applyFont="1" applyFill="1" applyBorder="1" applyAlignment="1" applyProtection="1">
      <alignment horizontal="center" vertical="center" wrapText="1"/>
      <protection hidden="1"/>
    </xf>
    <xf numFmtId="0" fontId="224" fillId="0" borderId="106" xfId="0" applyFont="1" applyFill="1" applyBorder="1" applyAlignment="1" applyProtection="1">
      <alignment horizontal="center" vertical="center" wrapText="1"/>
      <protection hidden="1"/>
    </xf>
    <xf numFmtId="0" fontId="224" fillId="0" borderId="290" xfId="0" applyFont="1" applyFill="1" applyBorder="1" applyAlignment="1" applyProtection="1">
      <alignment horizontal="center" vertical="center" wrapText="1"/>
      <protection hidden="1"/>
    </xf>
    <xf numFmtId="0" fontId="20" fillId="0" borderId="106" xfId="0" applyFont="1" applyFill="1" applyBorder="1" applyAlignment="1" applyProtection="1">
      <alignment horizontal="center" vertical="center" wrapText="1"/>
      <protection hidden="1"/>
    </xf>
    <xf numFmtId="0" fontId="20" fillId="0" borderId="290" xfId="0" applyFont="1" applyFill="1" applyBorder="1" applyAlignment="1" applyProtection="1">
      <alignment horizontal="center" vertical="center" wrapText="1"/>
      <protection hidden="1"/>
    </xf>
    <xf numFmtId="172" fontId="223" fillId="0" borderId="106" xfId="0" applyNumberFormat="1" applyFont="1" applyFill="1" applyBorder="1" applyAlignment="1" applyProtection="1">
      <alignment horizontal="center" vertical="center" wrapText="1"/>
      <protection hidden="1"/>
    </xf>
    <xf numFmtId="172" fontId="223" fillId="0" borderId="290" xfId="0" applyNumberFormat="1" applyFont="1" applyFill="1" applyBorder="1" applyAlignment="1" applyProtection="1">
      <alignment horizontal="center" vertical="center" wrapText="1"/>
      <protection hidden="1"/>
    </xf>
    <xf numFmtId="0" fontId="297" fillId="0" borderId="294" xfId="0" applyFont="1" applyFill="1" applyBorder="1" applyAlignment="1" applyProtection="1">
      <alignment horizontal="center" vertical="center" wrapText="1"/>
      <protection hidden="1"/>
    </xf>
    <xf numFmtId="0" fontId="297" fillId="0" borderId="108" xfId="0" applyFont="1" applyFill="1" applyBorder="1" applyAlignment="1" applyProtection="1">
      <alignment horizontal="center" vertical="center" wrapText="1"/>
      <protection hidden="1"/>
    </xf>
    <xf numFmtId="0" fontId="104" fillId="0" borderId="52" xfId="0" applyFont="1" applyFill="1" applyBorder="1" applyAlignment="1" applyProtection="1">
      <alignment horizontal="center" vertical="center" wrapText="1"/>
      <protection hidden="1"/>
    </xf>
    <xf numFmtId="0" fontId="104" fillId="0" borderId="53" xfId="0" applyFont="1" applyFill="1" applyBorder="1" applyAlignment="1" applyProtection="1">
      <alignment horizontal="center" vertical="center" wrapText="1"/>
      <protection hidden="1"/>
    </xf>
    <xf numFmtId="0" fontId="104" fillId="0" borderId="54" xfId="0" applyFont="1" applyFill="1" applyBorder="1" applyAlignment="1" applyProtection="1">
      <alignment horizontal="center" vertical="center" wrapText="1"/>
      <protection hidden="1"/>
    </xf>
    <xf numFmtId="0" fontId="104" fillId="0" borderId="55" xfId="0" applyFont="1" applyFill="1" applyBorder="1" applyAlignment="1" applyProtection="1">
      <alignment horizontal="center" vertical="center" wrapText="1"/>
      <protection hidden="1"/>
    </xf>
    <xf numFmtId="0" fontId="104" fillId="0" borderId="56" xfId="0" applyFont="1" applyFill="1" applyBorder="1" applyAlignment="1" applyProtection="1">
      <alignment horizontal="center" vertical="center" wrapText="1"/>
      <protection hidden="1"/>
    </xf>
    <xf numFmtId="0" fontId="104" fillId="0" borderId="57" xfId="0" applyFont="1" applyFill="1" applyBorder="1" applyAlignment="1" applyProtection="1">
      <alignment horizontal="center" vertical="center" wrapText="1"/>
      <protection hidden="1"/>
    </xf>
    <xf numFmtId="0" fontId="9" fillId="0" borderId="109" xfId="0" applyFont="1" applyFill="1" applyBorder="1" applyAlignment="1" applyProtection="1">
      <alignment horizontal="right" vertical="center" wrapText="1"/>
      <protection hidden="1"/>
    </xf>
    <xf numFmtId="0" fontId="9" fillId="0" borderId="143" xfId="0" applyFont="1" applyFill="1" applyBorder="1" applyAlignment="1" applyProtection="1">
      <alignment horizontal="right" vertical="center" wrapText="1"/>
      <protection hidden="1"/>
    </xf>
    <xf numFmtId="0" fontId="9" fillId="0" borderId="109" xfId="0" applyFont="1" applyFill="1" applyBorder="1" applyAlignment="1" applyProtection="1">
      <alignment horizontal="left" vertical="center" wrapText="1"/>
      <protection hidden="1"/>
    </xf>
    <xf numFmtId="0" fontId="9" fillId="0" borderId="143" xfId="0" applyFont="1" applyFill="1" applyBorder="1" applyAlignment="1" applyProtection="1">
      <alignment horizontal="left" vertical="center" wrapText="1"/>
      <protection hidden="1"/>
    </xf>
    <xf numFmtId="0" fontId="9" fillId="0" borderId="112" xfId="0" applyFont="1" applyFill="1" applyBorder="1" applyAlignment="1" applyProtection="1">
      <alignment horizontal="left" vertical="center" wrapText="1"/>
      <protection hidden="1"/>
    </xf>
    <xf numFmtId="0" fontId="9" fillId="0" borderId="113" xfId="0" applyFont="1" applyFill="1" applyBorder="1" applyAlignment="1" applyProtection="1">
      <alignment horizontal="left" vertical="center" wrapText="1"/>
      <protection hidden="1"/>
    </xf>
    <xf numFmtId="0" fontId="219" fillId="0" borderId="0" xfId="0" applyFont="1" applyFill="1" applyBorder="1" applyAlignment="1" applyProtection="1">
      <alignment horizontal="center" vertical="center" wrapText="1"/>
      <protection hidden="1"/>
    </xf>
    <xf numFmtId="0" fontId="60" fillId="0" borderId="109" xfId="0" applyFont="1" applyFill="1" applyBorder="1" applyAlignment="1" applyProtection="1">
      <alignment horizontal="right" vertical="center" wrapText="1"/>
      <protection hidden="1"/>
    </xf>
    <xf numFmtId="0" fontId="60" fillId="0" borderId="143" xfId="0" applyFont="1" applyFill="1" applyBorder="1" applyAlignment="1" applyProtection="1">
      <alignment horizontal="right" vertical="center" wrapText="1"/>
      <protection hidden="1"/>
    </xf>
    <xf numFmtId="0" fontId="9" fillId="0" borderId="110" xfId="0" applyFont="1" applyFill="1" applyBorder="1" applyAlignment="1" applyProtection="1">
      <alignment horizontal="left" vertical="center" wrapText="1"/>
      <protection hidden="1"/>
    </xf>
    <xf numFmtId="0" fontId="289" fillId="3" borderId="17" xfId="0" applyFont="1" applyFill="1" applyBorder="1" applyAlignment="1" applyProtection="1">
      <alignment horizontal="center" vertical="center" textRotation="90" wrapText="1" shrinkToFit="1"/>
      <protection hidden="1"/>
    </xf>
    <xf numFmtId="0" fontId="289" fillId="3" borderId="1" xfId="0" applyFont="1" applyFill="1" applyBorder="1" applyAlignment="1" applyProtection="1">
      <alignment horizontal="center" vertical="center" textRotation="90" wrapText="1" shrinkToFit="1"/>
      <protection hidden="1"/>
    </xf>
    <xf numFmtId="0" fontId="49" fillId="0" borderId="136" xfId="0" applyFont="1" applyFill="1" applyBorder="1" applyAlignment="1" applyProtection="1">
      <alignment horizontal="center" vertical="center" wrapText="1"/>
      <protection hidden="1"/>
    </xf>
    <xf numFmtId="0" fontId="36" fillId="26" borderId="111" xfId="0" applyFont="1" applyFill="1" applyBorder="1" applyAlignment="1" applyProtection="1">
      <alignment horizontal="center" vertical="center" wrapText="1"/>
      <protection hidden="1"/>
    </xf>
    <xf numFmtId="0" fontId="36" fillId="26" borderId="112" xfId="0" applyFont="1" applyFill="1" applyBorder="1" applyAlignment="1" applyProtection="1">
      <alignment horizontal="center" vertical="center" wrapText="1"/>
      <protection hidden="1"/>
    </xf>
    <xf numFmtId="0" fontId="36" fillId="26" borderId="113" xfId="0" applyFont="1" applyFill="1" applyBorder="1" applyAlignment="1" applyProtection="1">
      <alignment horizontal="center" vertical="center" wrapText="1"/>
      <protection hidden="1"/>
    </xf>
    <xf numFmtId="0" fontId="36" fillId="26" borderId="114" xfId="0" applyFont="1" applyFill="1" applyBorder="1" applyAlignment="1" applyProtection="1">
      <alignment horizontal="center" vertical="center" wrapText="1"/>
      <protection hidden="1"/>
    </xf>
    <xf numFmtId="0" fontId="36" fillId="26" borderId="0" xfId="0" applyFont="1" applyFill="1" applyBorder="1" applyAlignment="1" applyProtection="1">
      <alignment horizontal="center" vertical="center" wrapText="1"/>
      <protection hidden="1"/>
    </xf>
    <xf numFmtId="0" fontId="36" fillId="26" borderId="115" xfId="0" applyFont="1" applyFill="1" applyBorder="1" applyAlignment="1" applyProtection="1">
      <alignment horizontal="center" vertical="center" wrapText="1"/>
      <protection hidden="1"/>
    </xf>
    <xf numFmtId="0" fontId="36" fillId="26" borderId="116" xfId="0" applyFont="1" applyFill="1" applyBorder="1" applyAlignment="1" applyProtection="1">
      <alignment horizontal="center" vertical="center" wrapText="1"/>
      <protection hidden="1"/>
    </xf>
    <xf numFmtId="0" fontId="36" fillId="26" borderId="117" xfId="0" applyFont="1" applyFill="1" applyBorder="1" applyAlignment="1" applyProtection="1">
      <alignment horizontal="center" vertical="center" wrapText="1"/>
      <protection hidden="1"/>
    </xf>
    <xf numFmtId="0" fontId="36" fillId="26" borderId="118" xfId="0" applyFont="1" applyFill="1" applyBorder="1" applyAlignment="1" applyProtection="1">
      <alignment horizontal="center" vertical="center" wrapText="1"/>
      <protection hidden="1"/>
    </xf>
    <xf numFmtId="0" fontId="92" fillId="0" borderId="106" xfId="0" applyFont="1" applyFill="1" applyBorder="1" applyAlignment="1" applyProtection="1">
      <alignment horizontal="center" vertical="center" wrapText="1"/>
      <protection hidden="1"/>
    </xf>
    <xf numFmtId="0" fontId="288" fillId="3" borderId="17" xfId="0" applyFont="1" applyFill="1" applyBorder="1" applyAlignment="1" applyProtection="1">
      <alignment horizontal="center" vertical="center" textRotation="90" wrapText="1" shrinkToFit="1"/>
      <protection hidden="1"/>
    </xf>
    <xf numFmtId="0" fontId="288" fillId="3" borderId="1" xfId="0" applyFont="1" applyFill="1" applyBorder="1" applyAlignment="1" applyProtection="1">
      <alignment horizontal="center" vertical="center" textRotation="90" wrapText="1" shrinkToFit="1"/>
      <protection hidden="1"/>
    </xf>
    <xf numFmtId="0" fontId="35" fillId="0" borderId="110" xfId="0" applyFont="1" applyFill="1" applyBorder="1" applyAlignment="1" applyProtection="1">
      <alignment horizontal="center" vertical="center" textRotation="90" wrapText="1"/>
      <protection hidden="1"/>
    </xf>
    <xf numFmtId="0" fontId="68" fillId="7" borderId="111" xfId="0" applyFont="1" applyFill="1" applyBorder="1" applyAlignment="1" applyProtection="1">
      <alignment horizontal="center" vertical="center" wrapText="1"/>
      <protection hidden="1"/>
    </xf>
    <xf numFmtId="0" fontId="68" fillId="7" borderId="112" xfId="0" applyFont="1" applyFill="1" applyBorder="1" applyAlignment="1" applyProtection="1">
      <alignment horizontal="center" vertical="center" wrapText="1"/>
      <protection hidden="1"/>
    </xf>
    <xf numFmtId="0" fontId="68" fillId="7" borderId="143" xfId="0" applyFont="1" applyFill="1" applyBorder="1" applyAlignment="1" applyProtection="1">
      <alignment horizontal="center" vertical="center" wrapText="1"/>
      <protection hidden="1"/>
    </xf>
    <xf numFmtId="0" fontId="160" fillId="0" borderId="111" xfId="0" applyFont="1" applyFill="1" applyBorder="1" applyAlignment="1" applyProtection="1">
      <alignment horizontal="center" vertical="center" textRotation="45" wrapText="1"/>
      <protection hidden="1"/>
    </xf>
    <xf numFmtId="0" fontId="160" fillId="0" borderId="112" xfId="0" applyFont="1" applyFill="1" applyBorder="1" applyAlignment="1" applyProtection="1">
      <alignment horizontal="center" vertical="center" textRotation="45" wrapText="1"/>
      <protection hidden="1"/>
    </xf>
    <xf numFmtId="0" fontId="160" fillId="0" borderId="113" xfId="0" applyFont="1" applyFill="1" applyBorder="1" applyAlignment="1" applyProtection="1">
      <alignment horizontal="center" vertical="center" textRotation="45" wrapText="1"/>
      <protection hidden="1"/>
    </xf>
    <xf numFmtId="0" fontId="160" fillId="0" borderId="114" xfId="0" applyFont="1" applyFill="1" applyBorder="1" applyAlignment="1" applyProtection="1">
      <alignment horizontal="center" vertical="center" textRotation="45" wrapText="1"/>
      <protection hidden="1"/>
    </xf>
    <xf numFmtId="0" fontId="160" fillId="0" borderId="0" xfId="0" applyFont="1" applyFill="1" applyBorder="1" applyAlignment="1" applyProtection="1">
      <alignment horizontal="center" vertical="center" textRotation="45" wrapText="1"/>
      <protection hidden="1"/>
    </xf>
    <xf numFmtId="0" fontId="160" fillId="0" borderId="115" xfId="0" applyFont="1" applyFill="1" applyBorder="1" applyAlignment="1" applyProtection="1">
      <alignment horizontal="center" vertical="center" textRotation="45" wrapText="1"/>
      <protection hidden="1"/>
    </xf>
    <xf numFmtId="0" fontId="160" fillId="0" borderId="116" xfId="0" applyFont="1" applyFill="1" applyBorder="1" applyAlignment="1" applyProtection="1">
      <alignment horizontal="center" vertical="center" textRotation="45" wrapText="1"/>
      <protection hidden="1"/>
    </xf>
    <xf numFmtId="0" fontId="160" fillId="0" borderId="117" xfId="0" applyFont="1" applyFill="1" applyBorder="1" applyAlignment="1" applyProtection="1">
      <alignment horizontal="center" vertical="center" textRotation="45" wrapText="1"/>
      <protection hidden="1"/>
    </xf>
    <xf numFmtId="0" fontId="160" fillId="0" borderId="118" xfId="0" applyFont="1" applyFill="1" applyBorder="1" applyAlignment="1" applyProtection="1">
      <alignment horizontal="center" vertical="center" textRotation="45" wrapText="1"/>
      <protection hidden="1"/>
    </xf>
    <xf numFmtId="0" fontId="84" fillId="0" borderId="52" xfId="0" applyFont="1" applyBorder="1" applyAlignment="1" applyProtection="1">
      <alignment horizontal="center" vertical="center" wrapText="1"/>
      <protection hidden="1"/>
    </xf>
    <xf numFmtId="0" fontId="84" fillId="0" borderId="53" xfId="0" applyFont="1" applyBorder="1" applyAlignment="1" applyProtection="1">
      <alignment horizontal="center" vertical="center" wrapText="1"/>
      <protection hidden="1"/>
    </xf>
    <xf numFmtId="0" fontId="84" fillId="0" borderId="54" xfId="0" applyFont="1" applyBorder="1" applyAlignment="1" applyProtection="1">
      <alignment horizontal="center" vertical="center" wrapText="1"/>
      <protection hidden="1"/>
    </xf>
    <xf numFmtId="0" fontId="84" fillId="0" borderId="55" xfId="0" applyFont="1" applyBorder="1" applyAlignment="1" applyProtection="1">
      <alignment horizontal="center" vertical="center" wrapText="1"/>
      <protection hidden="1"/>
    </xf>
    <xf numFmtId="0" fontId="84" fillId="0" borderId="56" xfId="0" applyFont="1" applyBorder="1" applyAlignment="1" applyProtection="1">
      <alignment horizontal="center" vertical="center" wrapText="1"/>
      <protection hidden="1"/>
    </xf>
    <xf numFmtId="0" fontId="84"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0" fontId="21" fillId="0" borderId="106" xfId="0" applyFont="1" applyFill="1" applyBorder="1" applyAlignment="1" applyProtection="1">
      <alignment horizontal="center" vertical="center" wrapText="1"/>
      <protection hidden="1"/>
    </xf>
    <xf numFmtId="0" fontId="21" fillId="0" borderId="290" xfId="0" applyFont="1" applyFill="1" applyBorder="1" applyAlignment="1" applyProtection="1">
      <alignment horizontal="center" vertical="center" wrapText="1"/>
      <protection hidden="1"/>
    </xf>
    <xf numFmtId="0" fontId="58" fillId="0" borderId="52" xfId="0" applyFont="1" applyFill="1" applyBorder="1" applyAlignment="1" applyProtection="1">
      <alignment horizontal="center" vertical="center" wrapText="1"/>
      <protection hidden="1"/>
    </xf>
    <xf numFmtId="0" fontId="58" fillId="0" borderId="53" xfId="0" applyFont="1" applyFill="1" applyBorder="1" applyAlignment="1" applyProtection="1">
      <alignment horizontal="center" vertical="center" wrapText="1"/>
      <protection hidden="1"/>
    </xf>
    <xf numFmtId="0" fontId="58" fillId="0" borderId="54" xfId="0" applyFont="1" applyFill="1" applyBorder="1" applyAlignment="1" applyProtection="1">
      <alignment horizontal="center" vertical="center" wrapText="1"/>
      <protection hidden="1"/>
    </xf>
    <xf numFmtId="0" fontId="58" fillId="0" borderId="55" xfId="0" applyFont="1" applyFill="1" applyBorder="1" applyAlignment="1" applyProtection="1">
      <alignment horizontal="center" vertical="center" wrapText="1"/>
      <protection hidden="1"/>
    </xf>
    <xf numFmtId="0" fontId="58" fillId="0" borderId="56" xfId="0" applyFont="1" applyFill="1" applyBorder="1" applyAlignment="1" applyProtection="1">
      <alignment horizontal="center" vertical="center" wrapText="1"/>
      <protection hidden="1"/>
    </xf>
    <xf numFmtId="0" fontId="58" fillId="0" borderId="57" xfId="0" applyFont="1" applyFill="1" applyBorder="1" applyAlignment="1" applyProtection="1">
      <alignment horizontal="center" vertical="center" wrapText="1"/>
      <protection hidden="1"/>
    </xf>
    <xf numFmtId="0" fontId="218" fillId="0" borderId="0"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36" fillId="0" borderId="106" xfId="0" applyFont="1" applyFill="1" applyBorder="1" applyAlignment="1" applyProtection="1">
      <alignment horizontal="center" vertical="center" wrapText="1"/>
      <protection hidden="1"/>
    </xf>
    <xf numFmtId="0" fontId="165" fillId="37" borderId="111" xfId="0" applyFont="1" applyFill="1" applyBorder="1" applyAlignment="1" applyProtection="1">
      <alignment horizontal="center" vertical="center" wrapText="1"/>
      <protection hidden="1"/>
    </xf>
    <xf numFmtId="0" fontId="165" fillId="37" borderId="112" xfId="0" applyFont="1" applyFill="1" applyBorder="1" applyAlignment="1" applyProtection="1">
      <alignment horizontal="center" vertical="center" wrapText="1"/>
      <protection hidden="1"/>
    </xf>
    <xf numFmtId="0" fontId="165" fillId="37" borderId="113" xfId="0" applyFont="1" applyFill="1" applyBorder="1" applyAlignment="1" applyProtection="1">
      <alignment horizontal="center" vertical="center" wrapText="1"/>
      <protection hidden="1"/>
    </xf>
    <xf numFmtId="0" fontId="165" fillId="37" borderId="116" xfId="0" applyFont="1" applyFill="1" applyBorder="1" applyAlignment="1" applyProtection="1">
      <alignment horizontal="center" vertical="center" wrapText="1"/>
      <protection hidden="1"/>
    </xf>
    <xf numFmtId="0" fontId="165" fillId="37" borderId="117" xfId="0" applyFont="1" applyFill="1" applyBorder="1" applyAlignment="1" applyProtection="1">
      <alignment horizontal="center" vertical="center" wrapText="1"/>
      <protection hidden="1"/>
    </xf>
    <xf numFmtId="0" fontId="165" fillId="37" borderId="118" xfId="0" applyFont="1" applyFill="1" applyBorder="1" applyAlignment="1" applyProtection="1">
      <alignment horizontal="center" vertical="center" wrapText="1"/>
      <protection hidden="1"/>
    </xf>
    <xf numFmtId="0" fontId="9" fillId="0" borderId="106" xfId="0" applyFont="1" applyFill="1" applyBorder="1" applyAlignment="1" applyProtection="1">
      <alignment horizontal="center" vertical="center" textRotation="90" wrapText="1"/>
      <protection hidden="1"/>
    </xf>
    <xf numFmtId="0" fontId="340" fillId="0" borderId="0" xfId="0" applyFont="1" applyBorder="1" applyAlignment="1" applyProtection="1">
      <alignment horizontal="center" vertical="center"/>
      <protection hidden="1"/>
    </xf>
    <xf numFmtId="0" fontId="173" fillId="0" borderId="0" xfId="0" applyFont="1" applyBorder="1" applyAlignment="1" applyProtection="1">
      <alignment horizontal="center" vertical="center"/>
      <protection hidden="1"/>
    </xf>
    <xf numFmtId="0" fontId="156" fillId="0" borderId="0" xfId="0" applyFont="1" applyBorder="1" applyAlignment="1" applyProtection="1">
      <alignment horizontal="right" vertical="center"/>
      <protection hidden="1"/>
    </xf>
    <xf numFmtId="0" fontId="341" fillId="12" borderId="0" xfId="0" applyFont="1" applyFill="1" applyBorder="1" applyAlignment="1" applyProtection="1">
      <alignment horizontal="center" vertical="center"/>
      <protection locked="0"/>
    </xf>
    <xf numFmtId="0" fontId="35" fillId="0" borderId="343" xfId="0" applyFont="1" applyFill="1" applyBorder="1" applyAlignment="1" applyProtection="1">
      <alignment horizontal="center" vertical="center" wrapText="1"/>
      <protection hidden="1"/>
    </xf>
    <xf numFmtId="0" fontId="35" fillId="0" borderId="343" xfId="0" applyFont="1" applyBorder="1" applyAlignment="1" applyProtection="1">
      <alignment horizontal="center" vertical="center" textRotation="90" wrapText="1"/>
      <protection hidden="1"/>
    </xf>
    <xf numFmtId="0" fontId="35" fillId="0" borderId="343" xfId="0" applyFont="1" applyFill="1" applyBorder="1" applyAlignment="1" applyProtection="1">
      <alignment horizontal="center" vertical="center" textRotation="90" wrapText="1"/>
      <protection hidden="1"/>
    </xf>
    <xf numFmtId="0" fontId="27" fillId="0" borderId="0" xfId="0" applyFont="1" applyAlignment="1" applyProtection="1">
      <alignment horizontal="center" vertical="center" wrapText="1"/>
      <protection hidden="1"/>
    </xf>
    <xf numFmtId="0" fontId="288" fillId="3" borderId="343" xfId="0" applyFont="1" applyFill="1" applyBorder="1" applyAlignment="1" applyProtection="1">
      <alignment horizontal="center" vertical="center" textRotation="90" wrapText="1" shrinkToFit="1"/>
      <protection hidden="1"/>
    </xf>
    <xf numFmtId="0" fontId="70" fillId="3" borderId="343" xfId="0" applyFont="1" applyFill="1" applyBorder="1" applyAlignment="1" applyProtection="1">
      <alignment horizontal="center" vertical="center" textRotation="90" wrapText="1"/>
      <protection hidden="1"/>
    </xf>
    <xf numFmtId="0" fontId="35" fillId="3" borderId="343" xfId="0" applyFont="1" applyFill="1" applyBorder="1" applyAlignment="1" applyProtection="1">
      <alignment horizontal="center" vertical="center" textRotation="90" wrapText="1"/>
      <protection hidden="1"/>
    </xf>
    <xf numFmtId="0" fontId="269" fillId="3" borderId="343" xfId="0" applyFont="1" applyFill="1" applyBorder="1" applyAlignment="1" applyProtection="1">
      <alignment horizontal="center" vertical="center" textRotation="90" wrapText="1" shrinkToFit="1"/>
      <protection hidden="1"/>
    </xf>
    <xf numFmtId="0" fontId="115" fillId="3" borderId="343" xfId="0" applyFont="1" applyFill="1" applyBorder="1" applyAlignment="1" applyProtection="1">
      <alignment horizontal="center" vertical="center" textRotation="90"/>
      <protection hidden="1"/>
    </xf>
    <xf numFmtId="0" fontId="115" fillId="3" borderId="343" xfId="0" applyFont="1" applyFill="1" applyBorder="1" applyAlignment="1" applyProtection="1">
      <alignment vertical="center"/>
      <protection hidden="1"/>
    </xf>
    <xf numFmtId="0" fontId="6" fillId="40" borderId="0" xfId="0" applyFont="1" applyFill="1" applyBorder="1" applyAlignment="1" applyProtection="1">
      <alignment horizontal="center" vertical="center" wrapText="1"/>
      <protection hidden="1"/>
    </xf>
    <xf numFmtId="0" fontId="344" fillId="0" borderId="0" xfId="0" applyFont="1" applyAlignment="1" applyProtection="1">
      <alignment horizontal="center"/>
      <protection hidden="1"/>
    </xf>
    <xf numFmtId="0" fontId="46" fillId="9" borderId="344" xfId="0" applyFont="1" applyFill="1" applyBorder="1" applyAlignment="1" applyProtection="1">
      <alignment horizontal="center" vertical="center" wrapText="1"/>
      <protection hidden="1"/>
    </xf>
    <xf numFmtId="0" fontId="19" fillId="0" borderId="345" xfId="0" applyFont="1" applyFill="1" applyBorder="1" applyAlignment="1" applyProtection="1">
      <alignment horizontal="center" vertical="center" wrapText="1"/>
      <protection hidden="1"/>
    </xf>
    <xf numFmtId="0" fontId="19" fillId="0" borderId="346" xfId="0" applyFont="1" applyFill="1" applyBorder="1" applyAlignment="1" applyProtection="1">
      <alignment horizontal="center" vertical="center" wrapText="1"/>
      <protection hidden="1"/>
    </xf>
    <xf numFmtId="0" fontId="19" fillId="0" borderId="347" xfId="0" applyFont="1" applyFill="1" applyBorder="1" applyAlignment="1" applyProtection="1">
      <alignment horizontal="center" vertical="center" wrapText="1"/>
      <protection hidden="1"/>
    </xf>
    <xf numFmtId="0" fontId="19" fillId="0" borderId="350" xfId="0" applyFont="1" applyFill="1" applyBorder="1" applyAlignment="1" applyProtection="1">
      <alignment horizontal="center" vertical="center" wrapText="1"/>
      <protection hidden="1"/>
    </xf>
    <xf numFmtId="0" fontId="19" fillId="0" borderId="336" xfId="0" applyFont="1" applyFill="1" applyBorder="1" applyAlignment="1" applyProtection="1">
      <alignment horizontal="center" vertical="center" wrapText="1"/>
      <protection hidden="1"/>
    </xf>
    <xf numFmtId="0" fontId="19" fillId="0" borderId="339" xfId="0" applyFont="1" applyFill="1" applyBorder="1" applyAlignment="1" applyProtection="1">
      <alignment horizontal="center" vertical="center" wrapText="1"/>
      <protection hidden="1"/>
    </xf>
    <xf numFmtId="0" fontId="19" fillId="0" borderId="352" xfId="0" applyFont="1" applyFill="1" applyBorder="1" applyAlignment="1" applyProtection="1">
      <alignment horizontal="center" vertical="center" wrapText="1"/>
      <protection hidden="1"/>
    </xf>
    <xf numFmtId="0" fontId="19" fillId="0" borderId="353" xfId="0" applyFont="1" applyFill="1" applyBorder="1" applyAlignment="1" applyProtection="1">
      <alignment horizontal="center" vertical="center" wrapText="1"/>
      <protection hidden="1"/>
    </xf>
    <xf numFmtId="0" fontId="292" fillId="0" borderId="340" xfId="0" applyFont="1" applyFill="1" applyBorder="1" applyAlignment="1" applyProtection="1">
      <alignment horizontal="right" wrapText="1"/>
      <protection hidden="1"/>
    </xf>
    <xf numFmtId="0" fontId="113" fillId="3" borderId="349" xfId="0" applyFont="1" applyFill="1" applyBorder="1" applyAlignment="1" applyProtection="1">
      <alignment horizontal="center" vertical="center" wrapText="1"/>
      <protection hidden="1"/>
    </xf>
    <xf numFmtId="0" fontId="113" fillId="3" borderId="351" xfId="0" applyFont="1" applyFill="1" applyBorder="1" applyAlignment="1" applyProtection="1">
      <alignment horizontal="center" vertical="center" wrapText="1"/>
      <protection hidden="1"/>
    </xf>
    <xf numFmtId="0" fontId="113" fillId="3" borderId="355" xfId="0" applyFont="1" applyFill="1" applyBorder="1" applyAlignment="1" applyProtection="1">
      <alignment horizontal="center" vertical="center" wrapText="1"/>
      <protection hidden="1"/>
    </xf>
    <xf numFmtId="0" fontId="348" fillId="0" borderId="342" xfId="0" applyFont="1" applyFill="1" applyBorder="1" applyAlignment="1" applyProtection="1">
      <alignment horizontal="center" vertical="center" wrapText="1"/>
      <protection hidden="1"/>
    </xf>
    <xf numFmtId="0" fontId="348" fillId="0" borderId="335" xfId="0" applyFont="1" applyFill="1" applyBorder="1" applyAlignment="1" applyProtection="1">
      <alignment horizontal="center" vertical="center" wrapText="1"/>
      <protection hidden="1"/>
    </xf>
    <xf numFmtId="0" fontId="348" fillId="0" borderId="337" xfId="0" applyFont="1" applyFill="1" applyBorder="1" applyAlignment="1" applyProtection="1">
      <alignment horizontal="center" vertical="center" wrapText="1"/>
      <protection hidden="1"/>
    </xf>
    <xf numFmtId="0" fontId="347" fillId="0" borderId="341" xfId="0" applyFont="1" applyFill="1" applyBorder="1" applyAlignment="1" applyProtection="1">
      <alignment horizontal="center" vertical="center" wrapText="1"/>
      <protection hidden="1"/>
    </xf>
    <xf numFmtId="0" fontId="347" fillId="0" borderId="338" xfId="0" applyFont="1" applyFill="1" applyBorder="1" applyAlignment="1" applyProtection="1">
      <alignment horizontal="center" vertical="center" wrapText="1"/>
      <protection hidden="1"/>
    </xf>
    <xf numFmtId="0" fontId="251" fillId="0" borderId="343" xfId="0" applyFont="1" applyFill="1" applyBorder="1" applyAlignment="1" applyProtection="1">
      <alignment horizontal="center" vertical="center" wrapText="1"/>
      <protection hidden="1"/>
    </xf>
    <xf numFmtId="172" fontId="111" fillId="0" borderId="340" xfId="0" applyNumberFormat="1" applyFont="1" applyFill="1" applyBorder="1" applyAlignment="1" applyProtection="1">
      <alignment horizontal="center" vertical="center" wrapText="1"/>
      <protection hidden="1"/>
    </xf>
    <xf numFmtId="0" fontId="271" fillId="3" borderId="340" xfId="0" applyFont="1" applyFill="1" applyBorder="1" applyAlignment="1" applyProtection="1">
      <alignment horizontal="center" vertical="center" wrapText="1"/>
      <protection hidden="1"/>
    </xf>
    <xf numFmtId="0" fontId="251" fillId="0" borderId="340" xfId="0" applyFont="1" applyFill="1" applyBorder="1" applyAlignment="1" applyProtection="1">
      <alignment horizontal="right" wrapText="1"/>
      <protection hidden="1"/>
    </xf>
    <xf numFmtId="0" fontId="46" fillId="0" borderId="340" xfId="0" applyFont="1" applyFill="1" applyBorder="1" applyAlignment="1" applyProtection="1">
      <alignment horizontal="center" vertical="center" wrapText="1"/>
      <protection hidden="1"/>
    </xf>
    <xf numFmtId="0" fontId="111" fillId="0" borderId="340" xfId="0" applyFont="1" applyFill="1" applyBorder="1" applyAlignment="1" applyProtection="1">
      <alignment horizontal="center" vertical="center" wrapText="1"/>
      <protection hidden="1"/>
    </xf>
    <xf numFmtId="0" fontId="349" fillId="0" borderId="337" xfId="0" applyFont="1" applyFill="1" applyBorder="1" applyAlignment="1" applyProtection="1">
      <alignment horizontal="center" vertical="center" wrapText="1"/>
      <protection hidden="1"/>
    </xf>
    <xf numFmtId="0" fontId="349" fillId="0" borderId="342" xfId="0" applyFont="1" applyFill="1" applyBorder="1" applyAlignment="1" applyProtection="1">
      <alignment horizontal="center" vertical="center" wrapText="1"/>
      <protection hidden="1"/>
    </xf>
    <xf numFmtId="0" fontId="157" fillId="0" borderId="0"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265" fillId="0" borderId="51" xfId="0" applyFont="1" applyBorder="1" applyAlignment="1" applyProtection="1">
      <alignment horizontal="center" vertical="center" textRotation="90" wrapText="1"/>
      <protection hidden="1"/>
    </xf>
    <xf numFmtId="0" fontId="217" fillId="0" borderId="51" xfId="0" applyFont="1" applyBorder="1" applyAlignment="1" applyProtection="1">
      <alignment horizontal="left" vertical="center"/>
      <protection hidden="1"/>
    </xf>
    <xf numFmtId="0" fontId="300" fillId="0" borderId="0" xfId="0" applyFont="1" applyBorder="1" applyAlignment="1" applyProtection="1">
      <alignment horizontal="center" vertical="center"/>
      <protection hidden="1"/>
    </xf>
    <xf numFmtId="0" fontId="60" fillId="0" borderId="51" xfId="0" applyFont="1" applyBorder="1" applyAlignment="1" applyProtection="1">
      <alignment horizontal="right" vertical="center"/>
      <protection hidden="1"/>
    </xf>
    <xf numFmtId="0" fontId="60" fillId="0" borderId="51" xfId="0" applyFont="1" applyFill="1" applyBorder="1" applyAlignment="1" applyProtection="1">
      <alignment horizontal="center" vertical="center" wrapText="1"/>
      <protection hidden="1"/>
    </xf>
    <xf numFmtId="0" fontId="239" fillId="0" borderId="51" xfId="0" applyFont="1" applyBorder="1" applyAlignment="1" applyProtection="1">
      <alignment horizontal="center" vertical="center" textRotation="90" wrapText="1"/>
      <protection hidden="1"/>
    </xf>
    <xf numFmtId="0" fontId="35"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wrapText="1"/>
      <protection hidden="1"/>
    </xf>
    <xf numFmtId="0" fontId="251" fillId="0" borderId="51" xfId="0" applyFont="1" applyFill="1" applyBorder="1" applyAlignment="1" applyProtection="1">
      <alignment horizontal="center" vertical="center" wrapText="1"/>
      <protection hidden="1"/>
    </xf>
    <xf numFmtId="2" fontId="35" fillId="0" borderId="51" xfId="0" applyNumberFormat="1" applyFont="1" applyFill="1" applyBorder="1" applyAlignment="1" applyProtection="1">
      <alignment horizontal="center" vertical="center" textRotation="90" wrapText="1"/>
      <protection hidden="1"/>
    </xf>
    <xf numFmtId="0" fontId="35" fillId="0" borderId="147" xfId="0" applyFont="1" applyFill="1" applyBorder="1" applyAlignment="1" applyProtection="1">
      <alignment horizontal="center" vertical="center" wrapText="1"/>
      <protection hidden="1"/>
    </xf>
    <xf numFmtId="0" fontId="28" fillId="0" borderId="147" xfId="0" applyFont="1" applyFill="1" applyBorder="1" applyAlignment="1" applyProtection="1">
      <alignment horizontal="center" wrapText="1"/>
      <protection hidden="1"/>
    </xf>
    <xf numFmtId="0" fontId="28" fillId="0" borderId="51" xfId="0" applyFont="1" applyFill="1" applyBorder="1" applyAlignment="1" applyProtection="1">
      <alignment horizontal="center" wrapText="1"/>
      <protection hidden="1"/>
    </xf>
    <xf numFmtId="0" fontId="21" fillId="18" borderId="58" xfId="0" applyFont="1" applyFill="1" applyBorder="1" applyAlignment="1" applyProtection="1">
      <alignment horizontal="center" vertical="center" wrapText="1"/>
      <protection hidden="1"/>
    </xf>
    <xf numFmtId="0" fontId="21" fillId="18" borderId="33"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center" vertical="center" textRotation="90" wrapText="1"/>
      <protection hidden="1"/>
    </xf>
    <xf numFmtId="0" fontId="251" fillId="0" borderId="51" xfId="0" applyFont="1" applyFill="1" applyBorder="1" applyAlignment="1" applyProtection="1">
      <alignment horizontal="center" vertical="center" textRotation="90" wrapText="1"/>
      <protection hidden="1"/>
    </xf>
    <xf numFmtId="0" fontId="251" fillId="0" borderId="51" xfId="0" applyFont="1" applyBorder="1" applyAlignment="1" applyProtection="1">
      <alignment horizontal="center" vertical="center" wrapText="1"/>
      <protection hidden="1"/>
    </xf>
    <xf numFmtId="0" fontId="299" fillId="0" borderId="51" xfId="0" applyFont="1" applyFill="1" applyBorder="1" applyAlignment="1" applyProtection="1">
      <alignment horizontal="center" vertical="center" wrapText="1"/>
      <protection hidden="1"/>
    </xf>
    <xf numFmtId="0" fontId="35" fillId="0" borderId="51" xfId="0" applyFont="1" applyFill="1" applyBorder="1" applyAlignment="1" applyProtection="1">
      <alignment horizontal="right" vertical="center" wrapText="1"/>
      <protection hidden="1"/>
    </xf>
    <xf numFmtId="0" fontId="19" fillId="0" borderId="156" xfId="0" applyFont="1" applyBorder="1" applyAlignment="1" applyProtection="1">
      <alignment horizontal="center" vertical="center" wrapText="1"/>
      <protection hidden="1"/>
    </xf>
    <xf numFmtId="0" fontId="19" fillId="0" borderId="144"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301" fillId="0" borderId="147" xfId="0" applyFont="1" applyFill="1" applyBorder="1" applyAlignment="1" applyProtection="1">
      <alignment horizontal="right" vertical="center" wrapText="1"/>
      <protection hidden="1"/>
    </xf>
    <xf numFmtId="0" fontId="60" fillId="0" borderId="147" xfId="0" applyFont="1" applyFill="1" applyBorder="1" applyAlignment="1" applyProtection="1">
      <alignment horizontal="right" vertical="center" wrapText="1"/>
      <protection hidden="1"/>
    </xf>
    <xf numFmtId="0" fontId="75" fillId="0" borderId="0" xfId="0" applyFont="1" applyFill="1" applyBorder="1" applyAlignment="1" applyProtection="1">
      <alignment horizontal="center" vertical="center" wrapText="1"/>
      <protection hidden="1"/>
    </xf>
    <xf numFmtId="0" fontId="35" fillId="0" borderId="63" xfId="0" applyFont="1" applyFill="1" applyBorder="1" applyAlignment="1" applyProtection="1">
      <alignment horizontal="right" vertical="center" wrapText="1"/>
      <protection hidden="1"/>
    </xf>
    <xf numFmtId="0" fontId="35" fillId="0" borderId="64" xfId="0" applyFont="1" applyFill="1" applyBorder="1" applyAlignment="1" applyProtection="1">
      <alignment horizontal="right" vertical="center" wrapText="1"/>
      <protection hidden="1"/>
    </xf>
    <xf numFmtId="0" fontId="35" fillId="0" borderId="56" xfId="0" applyFont="1" applyFill="1" applyBorder="1" applyAlignment="1" applyProtection="1">
      <alignment horizontal="right" vertical="center" wrapText="1"/>
      <protection hidden="1"/>
    </xf>
    <xf numFmtId="0" fontId="35" fillId="0" borderId="57" xfId="0" applyFont="1" applyFill="1" applyBorder="1" applyAlignment="1" applyProtection="1">
      <alignment horizontal="right" vertical="center" wrapText="1"/>
      <protection hidden="1"/>
    </xf>
    <xf numFmtId="0" fontId="101" fillId="0" borderId="63" xfId="0" applyFont="1" applyFill="1" applyBorder="1" applyAlignment="1" applyProtection="1">
      <alignment horizontal="center" vertical="center" wrapText="1"/>
      <protection hidden="1"/>
    </xf>
    <xf numFmtId="0" fontId="101" fillId="0" borderId="64" xfId="0" applyFont="1" applyFill="1" applyBorder="1" applyAlignment="1" applyProtection="1">
      <alignment horizontal="center" vertical="center" wrapText="1"/>
      <protection hidden="1"/>
    </xf>
    <xf numFmtId="0" fontId="101" fillId="0" borderId="65" xfId="0" applyFont="1" applyFill="1" applyBorder="1" applyAlignment="1" applyProtection="1">
      <alignment horizontal="center" vertical="center" wrapText="1"/>
      <protection hidden="1"/>
    </xf>
    <xf numFmtId="0" fontId="165" fillId="0" borderId="0" xfId="0" applyFont="1" applyFill="1" applyBorder="1" applyAlignment="1" applyProtection="1">
      <alignment horizontal="center" vertical="center" wrapText="1"/>
      <protection hidden="1"/>
    </xf>
    <xf numFmtId="0" fontId="114" fillId="0" borderId="0" xfId="0" applyFont="1" applyFill="1" applyBorder="1" applyAlignment="1" applyProtection="1">
      <alignment horizontal="center" vertical="center" wrapText="1"/>
      <protection hidden="1"/>
    </xf>
    <xf numFmtId="0" fontId="60" fillId="0" borderId="0" xfId="0" applyFont="1" applyBorder="1" applyAlignment="1" applyProtection="1">
      <alignment horizontal="center" wrapText="1"/>
      <protection hidden="1"/>
    </xf>
    <xf numFmtId="0" fontId="60" fillId="0" borderId="0" xfId="0" applyFont="1" applyFill="1" applyBorder="1" applyAlignment="1" applyProtection="1">
      <alignment horizontal="center" wrapText="1"/>
      <protection hidden="1"/>
    </xf>
    <xf numFmtId="0" fontId="38" fillId="0" borderId="135" xfId="0" applyFont="1" applyFill="1" applyBorder="1" applyAlignment="1" applyProtection="1">
      <alignment horizontal="left" vertical="center" wrapText="1"/>
      <protection hidden="1"/>
    </xf>
    <xf numFmtId="0" fontId="9" fillId="0" borderId="135" xfId="0" applyFont="1" applyFill="1" applyBorder="1" applyAlignment="1" applyProtection="1">
      <alignment horizontal="right" vertical="center"/>
      <protection hidden="1"/>
    </xf>
    <xf numFmtId="0" fontId="38" fillId="0" borderId="134" xfId="0" applyFont="1" applyFill="1" applyBorder="1" applyAlignment="1" applyProtection="1">
      <alignment horizontal="left" vertical="center" wrapText="1"/>
      <protection hidden="1"/>
    </xf>
    <xf numFmtId="0" fontId="60" fillId="0" borderId="126" xfId="0" applyFont="1" applyBorder="1" applyAlignment="1" applyProtection="1">
      <alignment horizontal="center" vertical="center"/>
      <protection hidden="1"/>
    </xf>
    <xf numFmtId="0" fontId="60" fillId="0" borderId="17" xfId="0" applyFont="1" applyBorder="1" applyAlignment="1" applyProtection="1">
      <alignment horizontal="center" vertical="center"/>
      <protection hidden="1"/>
    </xf>
    <xf numFmtId="0" fontId="60" fillId="0" borderId="302" xfId="0" applyFont="1" applyFill="1" applyBorder="1" applyAlignment="1" applyProtection="1">
      <alignment horizontal="center" vertical="center"/>
      <protection hidden="1"/>
    </xf>
    <xf numFmtId="0" fontId="60" fillId="0" borderId="303" xfId="0" applyFont="1" applyFill="1" applyBorder="1" applyAlignment="1" applyProtection="1">
      <alignment horizontal="center" vertical="center"/>
      <protection hidden="1"/>
    </xf>
    <xf numFmtId="0" fontId="234" fillId="0" borderId="0" xfId="0" applyFont="1" applyAlignment="1" applyProtection="1">
      <alignment horizontal="center" vertical="center"/>
      <protection hidden="1"/>
    </xf>
    <xf numFmtId="0" fontId="303" fillId="0" borderId="0" xfId="0" applyFont="1" applyFill="1" applyBorder="1" applyAlignment="1" applyProtection="1">
      <alignment horizontal="center" vertical="center" wrapText="1"/>
      <protection hidden="1"/>
    </xf>
    <xf numFmtId="0" fontId="304" fillId="0" borderId="130" xfId="0" applyFont="1" applyBorder="1" applyAlignment="1" applyProtection="1">
      <alignment horizontal="center" vertical="center" wrapText="1"/>
      <protection hidden="1"/>
    </xf>
    <xf numFmtId="0" fontId="304" fillId="0" borderId="123" xfId="0" applyFont="1" applyBorder="1" applyAlignment="1" applyProtection="1">
      <alignment horizontal="center" vertical="center" wrapText="1"/>
      <protection hidden="1"/>
    </xf>
    <xf numFmtId="0" fontId="304" fillId="0" borderId="131" xfId="0" applyFont="1" applyBorder="1" applyAlignment="1" applyProtection="1">
      <alignment horizontal="center" vertical="center" wrapText="1"/>
      <protection hidden="1"/>
    </xf>
    <xf numFmtId="0" fontId="304" fillId="0" borderId="132" xfId="0" applyFont="1" applyBorder="1" applyAlignment="1" applyProtection="1">
      <alignment horizontal="center" vertical="center" wrapText="1"/>
      <protection hidden="1"/>
    </xf>
    <xf numFmtId="0" fontId="217" fillId="0" borderId="123" xfId="0" applyFont="1" applyBorder="1" applyAlignment="1" applyProtection="1">
      <alignment horizontal="left" vertical="center" wrapText="1"/>
      <protection hidden="1"/>
    </xf>
    <xf numFmtId="0" fontId="217" fillId="0" borderId="132" xfId="0" applyFont="1" applyBorder="1" applyAlignment="1" applyProtection="1">
      <alignment horizontal="left" vertical="center" wrapText="1"/>
      <protection hidden="1"/>
    </xf>
    <xf numFmtId="0" fontId="304" fillId="0" borderId="123" xfId="0" applyFont="1" applyBorder="1" applyAlignment="1" applyProtection="1">
      <alignment horizontal="right" vertical="center" wrapText="1"/>
      <protection hidden="1"/>
    </xf>
    <xf numFmtId="0" fontId="304" fillId="0" borderId="132" xfId="0" applyFont="1" applyBorder="1" applyAlignment="1" applyProtection="1">
      <alignment horizontal="right" vertical="center" wrapText="1"/>
      <protection hidden="1"/>
    </xf>
    <xf numFmtId="0" fontId="217" fillId="0" borderId="124" xfId="0" applyFont="1" applyBorder="1" applyAlignment="1" applyProtection="1">
      <alignment horizontal="left" vertical="center" wrapText="1"/>
      <protection hidden="1"/>
    </xf>
    <xf numFmtId="0" fontId="217" fillId="0" borderId="133" xfId="0" applyFont="1" applyBorder="1" applyAlignment="1" applyProtection="1">
      <alignment horizontal="left" vertical="center" wrapText="1"/>
      <protection hidden="1"/>
    </xf>
    <xf numFmtId="0" fontId="308" fillId="0" borderId="0" xfId="0" applyFont="1" applyFill="1" applyBorder="1" applyAlignment="1" applyProtection="1">
      <alignment horizontal="center" vertical="center" wrapText="1"/>
      <protection hidden="1"/>
    </xf>
    <xf numFmtId="0" fontId="9" fillId="0" borderId="128" xfId="0" applyFont="1" applyFill="1" applyBorder="1" applyAlignment="1" applyProtection="1">
      <alignment horizontal="center" vertical="center"/>
      <protection hidden="1"/>
    </xf>
    <xf numFmtId="0" fontId="9" fillId="0" borderId="135" xfId="0" applyFont="1" applyFill="1" applyBorder="1" applyAlignment="1" applyProtection="1">
      <alignment horizontal="center" vertical="center"/>
      <protection hidden="1"/>
    </xf>
    <xf numFmtId="0" fontId="9" fillId="0" borderId="129" xfId="0" applyFont="1" applyBorder="1" applyAlignment="1" applyProtection="1">
      <alignment horizontal="center" vertical="center" wrapText="1"/>
      <protection hidden="1"/>
    </xf>
    <xf numFmtId="0" fontId="89" fillId="0" borderId="304" xfId="0" applyFont="1" applyBorder="1" applyAlignment="1" applyProtection="1">
      <alignment horizontal="center" vertical="center" wrapText="1"/>
      <protection hidden="1"/>
    </xf>
    <xf numFmtId="0" fontId="309" fillId="0" borderId="0" xfId="0" applyFont="1" applyBorder="1" applyAlignment="1" applyProtection="1">
      <alignment horizontal="center" vertical="center"/>
      <protection hidden="1"/>
    </xf>
    <xf numFmtId="0" fontId="49" fillId="0" borderId="136" xfId="0" applyFont="1" applyFill="1" applyBorder="1" applyAlignment="1" applyProtection="1">
      <alignment horizontal="center" vertical="center" textRotation="90" wrapText="1"/>
      <protection hidden="1"/>
    </xf>
    <xf numFmtId="0" fontId="99" fillId="0" borderId="27" xfId="0" applyFont="1" applyFill="1" applyBorder="1" applyAlignment="1" applyProtection="1">
      <alignment horizontal="center" vertical="center" wrapText="1"/>
      <protection hidden="1"/>
    </xf>
    <xf numFmtId="0" fontId="99" fillId="0" borderId="28" xfId="0" applyFont="1" applyFill="1" applyBorder="1" applyAlignment="1" applyProtection="1">
      <alignment horizontal="center" vertical="center" wrapText="1"/>
      <protection hidden="1"/>
    </xf>
    <xf numFmtId="0" fontId="99" fillId="0" borderId="29" xfId="0" applyFont="1" applyFill="1" applyBorder="1" applyAlignment="1" applyProtection="1">
      <alignment horizontal="center" vertical="center" wrapText="1"/>
      <protection hidden="1"/>
    </xf>
    <xf numFmtId="0" fontId="99" fillId="0" borderId="30" xfId="0" applyFont="1" applyFill="1" applyBorder="1" applyAlignment="1" applyProtection="1">
      <alignment horizontal="center" vertical="center" wrapText="1"/>
      <protection hidden="1"/>
    </xf>
    <xf numFmtId="0" fontId="99" fillId="0" borderId="31" xfId="0" applyFont="1" applyFill="1" applyBorder="1" applyAlignment="1" applyProtection="1">
      <alignment horizontal="center" vertical="center" wrapText="1"/>
      <protection hidden="1"/>
    </xf>
    <xf numFmtId="0" fontId="99" fillId="0" borderId="32" xfId="0" applyFont="1" applyFill="1" applyBorder="1" applyAlignment="1" applyProtection="1">
      <alignment horizontal="center" vertical="center" wrapText="1"/>
      <protection hidden="1"/>
    </xf>
    <xf numFmtId="0" fontId="60" fillId="0" borderId="143" xfId="0" applyFont="1" applyBorder="1" applyAlignment="1" applyProtection="1">
      <alignment horizontal="left" vertical="center"/>
      <protection hidden="1"/>
    </xf>
    <xf numFmtId="0" fontId="60" fillId="0" borderId="110" xfId="0" applyFont="1" applyBorder="1" applyAlignment="1" applyProtection="1">
      <alignment horizontal="left" vertical="center"/>
      <protection hidden="1"/>
    </xf>
    <xf numFmtId="0" fontId="35" fillId="0" borderId="159" xfId="0" applyFont="1" applyFill="1" applyBorder="1" applyAlignment="1" applyProtection="1">
      <alignment horizontal="center" vertical="center" wrapText="1"/>
      <protection hidden="1"/>
    </xf>
    <xf numFmtId="0" fontId="35" fillId="0" borderId="136" xfId="0" applyFont="1" applyFill="1" applyBorder="1" applyAlignment="1" applyProtection="1">
      <alignment horizontal="center" vertical="center" wrapText="1"/>
      <protection hidden="1"/>
    </xf>
    <xf numFmtId="0" fontId="49" fillId="0" borderId="159" xfId="0" applyFont="1" applyFill="1" applyBorder="1" applyAlignment="1" applyProtection="1">
      <alignment horizontal="center" vertical="center" textRotation="90" wrapText="1"/>
      <protection hidden="1"/>
    </xf>
    <xf numFmtId="0" fontId="35" fillId="0" borderId="109" xfId="0" applyFont="1" applyBorder="1" applyAlignment="1" applyProtection="1">
      <alignment horizontal="right" vertical="center" wrapText="1"/>
      <protection hidden="1"/>
    </xf>
    <xf numFmtId="0" fontId="35" fillId="0" borderId="143" xfId="0" applyFont="1" applyBorder="1" applyAlignment="1" applyProtection="1">
      <alignment horizontal="right" vertical="center" wrapText="1"/>
      <protection hidden="1"/>
    </xf>
    <xf numFmtId="0" fontId="35" fillId="18" borderId="40" xfId="0" applyFont="1" applyFill="1" applyBorder="1" applyAlignment="1" applyProtection="1">
      <alignment horizontal="center" vertical="center" wrapText="1"/>
      <protection hidden="1"/>
    </xf>
    <xf numFmtId="0" fontId="35" fillId="18" borderId="0" xfId="0" applyFont="1" applyFill="1" applyBorder="1" applyAlignment="1" applyProtection="1">
      <alignment horizontal="center" vertical="center" wrapText="1"/>
      <protection hidden="1"/>
    </xf>
    <xf numFmtId="0" fontId="35" fillId="18" borderId="41" xfId="0" applyFont="1" applyFill="1" applyBorder="1" applyAlignment="1" applyProtection="1">
      <alignment horizontal="center" vertical="center" wrapText="1"/>
      <protection hidden="1"/>
    </xf>
    <xf numFmtId="0" fontId="238" fillId="0" borderId="136" xfId="0" applyFont="1" applyFill="1" applyBorder="1" applyAlignment="1" applyProtection="1">
      <alignment horizontal="right" vertical="center" wrapText="1"/>
      <protection hidden="1"/>
    </xf>
    <xf numFmtId="0" fontId="237" fillId="0" borderId="136" xfId="0" applyFont="1" applyFill="1" applyBorder="1" applyAlignment="1" applyProtection="1">
      <alignment horizontal="center" wrapText="1"/>
      <protection hidden="1"/>
    </xf>
    <xf numFmtId="0" fontId="237" fillId="0" borderId="158" xfId="0" applyFont="1" applyFill="1" applyBorder="1" applyAlignment="1" applyProtection="1">
      <alignment horizontal="center" wrapText="1"/>
      <protection hidden="1"/>
    </xf>
    <xf numFmtId="0" fontId="311" fillId="0" borderId="136" xfId="0" applyFont="1" applyFill="1" applyBorder="1" applyAlignment="1" applyProtection="1">
      <alignment horizontal="center" wrapText="1"/>
      <protection hidden="1"/>
    </xf>
    <xf numFmtId="0" fontId="34" fillId="0" borderId="43" xfId="0" applyFont="1" applyFill="1" applyBorder="1" applyAlignment="1" applyProtection="1">
      <alignment horizontal="center" vertical="center"/>
      <protection hidden="1"/>
    </xf>
    <xf numFmtId="0" fontId="34" fillId="0" borderId="44" xfId="0" applyFont="1" applyFill="1" applyBorder="1" applyAlignment="1" applyProtection="1">
      <alignment horizontal="center" vertical="center"/>
      <protection hidden="1"/>
    </xf>
    <xf numFmtId="0" fontId="220" fillId="0" borderId="136" xfId="0" applyFont="1" applyFill="1" applyBorder="1" applyAlignment="1" applyProtection="1">
      <alignment horizontal="right" vertical="center" wrapText="1"/>
      <protection hidden="1"/>
    </xf>
    <xf numFmtId="0" fontId="28" fillId="0" borderId="136" xfId="0" applyFont="1" applyBorder="1" applyAlignment="1" applyProtection="1">
      <alignment horizontal="center" vertical="center" wrapText="1"/>
      <protection hidden="1"/>
    </xf>
    <xf numFmtId="0" fontId="28" fillId="0" borderId="158" xfId="0" applyFont="1" applyBorder="1" applyAlignment="1" applyProtection="1">
      <alignment horizontal="center" vertical="center" wrapText="1"/>
      <protection hidden="1"/>
    </xf>
    <xf numFmtId="0" fontId="239" fillId="0" borderId="159" xfId="0" applyFont="1" applyBorder="1" applyAlignment="1" applyProtection="1">
      <alignment horizontal="center"/>
      <protection hidden="1"/>
    </xf>
    <xf numFmtId="0" fontId="239" fillId="0" borderId="136" xfId="0" applyFont="1" applyBorder="1" applyAlignment="1" applyProtection="1">
      <alignment horizontal="center"/>
      <protection hidden="1"/>
    </xf>
    <xf numFmtId="0" fontId="21" fillId="18" borderId="40" xfId="0" applyFont="1" applyFill="1" applyBorder="1" applyAlignment="1" applyProtection="1">
      <alignment horizontal="center" vertical="center" wrapText="1"/>
      <protection hidden="1"/>
    </xf>
    <xf numFmtId="0" fontId="21" fillId="18" borderId="0" xfId="0" applyFont="1" applyFill="1" applyBorder="1" applyAlignment="1" applyProtection="1">
      <alignment horizontal="center" vertical="center" wrapText="1"/>
      <protection hidden="1"/>
    </xf>
    <xf numFmtId="0" fontId="21" fillId="18" borderId="41" xfId="0" applyFont="1" applyFill="1" applyBorder="1" applyAlignment="1" applyProtection="1">
      <alignment horizontal="center" vertical="center" wrapText="1"/>
      <protection hidden="1"/>
    </xf>
    <xf numFmtId="0" fontId="49" fillId="0" borderId="107" xfId="0" applyFont="1" applyFill="1" applyBorder="1" applyAlignment="1" applyProtection="1">
      <alignment horizontal="center" vertical="center" textRotation="90" wrapText="1"/>
      <protection hidden="1"/>
    </xf>
    <xf numFmtId="0" fontId="49" fillId="0" borderId="108" xfId="0" applyFont="1" applyFill="1" applyBorder="1" applyAlignment="1" applyProtection="1">
      <alignment horizontal="center" vertical="center" textRotation="90" wrapText="1"/>
      <protection hidden="1"/>
    </xf>
    <xf numFmtId="0" fontId="311" fillId="0" borderId="38" xfId="0" applyFont="1" applyFill="1" applyBorder="1" applyAlignment="1" applyProtection="1">
      <alignment horizontal="center" wrapText="1"/>
      <protection hidden="1"/>
    </xf>
    <xf numFmtId="0" fontId="311" fillId="0" borderId="39" xfId="0" applyFont="1" applyFill="1" applyBorder="1" applyAlignment="1" applyProtection="1">
      <alignment horizontal="center" wrapText="1"/>
      <protection hidden="1"/>
    </xf>
    <xf numFmtId="0" fontId="311" fillId="0" borderId="45" xfId="0" applyFont="1" applyFill="1" applyBorder="1" applyAlignment="1" applyProtection="1">
      <alignment horizontal="center" wrapText="1"/>
      <protection hidden="1"/>
    </xf>
    <xf numFmtId="0" fontId="311" fillId="0" borderId="46" xfId="0" applyFont="1" applyFill="1" applyBorder="1" applyAlignment="1" applyProtection="1">
      <alignment horizontal="center" wrapText="1"/>
      <protection hidden="1"/>
    </xf>
    <xf numFmtId="0" fontId="239" fillId="0" borderId="138" xfId="0" applyFont="1" applyBorder="1" applyAlignment="1" applyProtection="1">
      <alignment horizontal="center"/>
      <protection hidden="1"/>
    </xf>
    <xf numFmtId="0" fontId="239" fillId="0" borderId="38" xfId="0" applyFont="1" applyBorder="1" applyAlignment="1" applyProtection="1">
      <alignment horizontal="center"/>
      <protection hidden="1"/>
    </xf>
    <xf numFmtId="0" fontId="239" fillId="0" borderId="39" xfId="0" applyFont="1" applyBorder="1" applyAlignment="1" applyProtection="1">
      <alignment horizontal="center"/>
      <protection hidden="1"/>
    </xf>
    <xf numFmtId="0" fontId="239" fillId="0" borderId="139" xfId="0" applyFont="1" applyBorder="1" applyAlignment="1" applyProtection="1">
      <alignment horizontal="center"/>
      <protection hidden="1"/>
    </xf>
    <xf numFmtId="0" fontId="239" fillId="0" borderId="0" xfId="0" applyFont="1" applyBorder="1" applyAlignment="1" applyProtection="1">
      <alignment horizontal="center"/>
      <protection hidden="1"/>
    </xf>
    <xf numFmtId="0" fontId="239" fillId="0" borderId="41" xfId="0" applyFont="1" applyBorder="1" applyAlignment="1" applyProtection="1">
      <alignment horizontal="center"/>
      <protection hidden="1"/>
    </xf>
    <xf numFmtId="0" fontId="239" fillId="0" borderId="140" xfId="0" applyFont="1" applyBorder="1" applyAlignment="1" applyProtection="1">
      <alignment horizontal="center"/>
      <protection hidden="1"/>
    </xf>
    <xf numFmtId="0" fontId="239" fillId="0" borderId="49" xfId="0" applyFont="1" applyBorder="1" applyAlignment="1" applyProtection="1">
      <alignment horizontal="center"/>
      <protection hidden="1"/>
    </xf>
    <xf numFmtId="0" fontId="239" fillId="0" borderId="137" xfId="0" applyFont="1" applyBorder="1" applyAlignment="1" applyProtection="1">
      <alignment horizontal="center"/>
      <protection hidden="1"/>
    </xf>
    <xf numFmtId="0" fontId="310" fillId="0" borderId="136" xfId="0" applyFont="1" applyFill="1" applyBorder="1" applyAlignment="1" applyProtection="1">
      <alignment horizontal="right" vertical="center" wrapText="1"/>
      <protection hidden="1"/>
    </xf>
    <xf numFmtId="1" fontId="28" fillId="0" borderId="136" xfId="0" applyNumberFormat="1" applyFont="1" applyBorder="1" applyAlignment="1" applyProtection="1">
      <alignment horizontal="center" vertical="center" wrapText="1"/>
      <protection hidden="1"/>
    </xf>
    <xf numFmtId="167" fontId="28" fillId="0" borderId="136" xfId="0" applyNumberFormat="1" applyFont="1" applyBorder="1" applyAlignment="1" applyProtection="1">
      <alignment horizontal="center" vertical="center" wrapText="1"/>
      <protection hidden="1"/>
    </xf>
    <xf numFmtId="167" fontId="28" fillId="0" borderId="158" xfId="0" applyNumberFormat="1" applyFont="1" applyBorder="1" applyAlignment="1" applyProtection="1">
      <alignment horizontal="center" vertical="center" wrapText="1"/>
      <protection hidden="1"/>
    </xf>
    <xf numFmtId="1" fontId="28" fillId="0" borderId="158" xfId="0" applyNumberFormat="1" applyFont="1" applyBorder="1" applyAlignment="1" applyProtection="1">
      <alignment horizontal="center" vertical="center"/>
      <protection hidden="1"/>
    </xf>
    <xf numFmtId="1" fontId="28" fillId="0" borderId="305" xfId="0" applyNumberFormat="1" applyFont="1" applyBorder="1" applyAlignment="1" applyProtection="1">
      <alignment horizontal="center" vertical="center"/>
      <protection hidden="1"/>
    </xf>
    <xf numFmtId="0" fontId="35" fillId="0" borderId="65" xfId="0" applyFont="1" applyFill="1" applyBorder="1" applyAlignment="1" applyProtection="1">
      <alignment horizontal="right" vertical="center" wrapText="1"/>
      <protection hidden="1"/>
    </xf>
    <xf numFmtId="0" fontId="49" fillId="0" borderId="184" xfId="0" applyFont="1" applyFill="1" applyBorder="1" applyAlignment="1" applyProtection="1">
      <alignment horizontal="center" wrapText="1"/>
      <protection hidden="1"/>
    </xf>
    <xf numFmtId="0" fontId="49" fillId="0" borderId="185" xfId="0" applyFont="1" applyFill="1" applyBorder="1" applyAlignment="1" applyProtection="1">
      <alignment horizontal="center" wrapText="1"/>
      <protection hidden="1"/>
    </xf>
    <xf numFmtId="0" fontId="112" fillId="0" borderId="184" xfId="0" applyFont="1" applyFill="1" applyBorder="1" applyAlignment="1" applyProtection="1">
      <alignment horizontal="center" wrapText="1"/>
      <protection hidden="1"/>
    </xf>
    <xf numFmtId="0" fontId="112" fillId="0" borderId="185" xfId="0" applyFont="1" applyFill="1" applyBorder="1" applyAlignment="1" applyProtection="1">
      <alignment horizontal="center" wrapText="1"/>
      <protection hidden="1"/>
    </xf>
    <xf numFmtId="2" fontId="35" fillId="0" borderId="145" xfId="0" applyNumberFormat="1" applyFont="1" applyFill="1" applyBorder="1" applyAlignment="1" applyProtection="1">
      <alignment horizontal="center" vertical="center" textRotation="90" wrapText="1"/>
      <protection hidden="1"/>
    </xf>
    <xf numFmtId="0" fontId="35" fillId="0" borderId="51"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60" fillId="0" borderId="52" xfId="0" applyFont="1" applyBorder="1" applyAlignment="1" applyProtection="1">
      <alignment horizontal="right" vertical="center"/>
      <protection hidden="1"/>
    </xf>
    <xf numFmtId="0" fontId="60" fillId="0" borderId="53" xfId="0" applyFont="1" applyBorder="1" applyAlignment="1" applyProtection="1">
      <alignment horizontal="right" vertical="center"/>
      <protection hidden="1"/>
    </xf>
    <xf numFmtId="0" fontId="60" fillId="0" borderId="55" xfId="0" applyFont="1" applyBorder="1" applyAlignment="1" applyProtection="1">
      <alignment horizontal="right" vertical="center"/>
      <protection hidden="1"/>
    </xf>
    <xf numFmtId="0" fontId="60" fillId="0" borderId="56" xfId="0" applyFont="1" applyBorder="1" applyAlignment="1" applyProtection="1">
      <alignment horizontal="right" vertical="center"/>
      <protection hidden="1"/>
    </xf>
    <xf numFmtId="0" fontId="60" fillId="0" borderId="53" xfId="0" applyFont="1" applyFill="1" applyBorder="1" applyAlignment="1" applyProtection="1">
      <alignment horizontal="right" vertical="center" wrapText="1"/>
      <protection hidden="1"/>
    </xf>
    <xf numFmtId="0" fontId="60"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60" fillId="0" borderId="65" xfId="0" applyFont="1" applyFill="1" applyBorder="1" applyAlignment="1" applyProtection="1">
      <alignment horizontal="center" vertical="center" wrapText="1"/>
      <protection hidden="1"/>
    </xf>
    <xf numFmtId="0" fontId="60" fillId="0" borderId="63" xfId="0" applyFont="1" applyFill="1" applyBorder="1" applyAlignment="1" applyProtection="1">
      <alignment horizontal="center" vertical="center" wrapText="1"/>
      <protection hidden="1"/>
    </xf>
    <xf numFmtId="0" fontId="60" fillId="0" borderId="52" xfId="0" applyFont="1" applyFill="1" applyBorder="1" applyAlignment="1" applyProtection="1">
      <alignment horizontal="center" vertical="center" wrapText="1"/>
      <protection hidden="1"/>
    </xf>
    <xf numFmtId="0" fontId="60" fillId="0" borderId="53" xfId="0" applyFont="1" applyFill="1" applyBorder="1" applyAlignment="1" applyProtection="1">
      <alignment horizontal="center" vertical="center" wrapText="1"/>
      <protection hidden="1"/>
    </xf>
    <xf numFmtId="0" fontId="60" fillId="0" borderId="54" xfId="0" applyFont="1" applyFill="1" applyBorder="1" applyAlignment="1" applyProtection="1">
      <alignment horizontal="center" vertical="center" wrapText="1"/>
      <protection hidden="1"/>
    </xf>
    <xf numFmtId="0" fontId="251" fillId="0" borderId="141" xfId="0" applyFont="1" applyFill="1" applyBorder="1" applyAlignment="1" applyProtection="1">
      <alignment horizontal="center" vertical="center" wrapText="1"/>
      <protection hidden="1"/>
    </xf>
    <xf numFmtId="0" fontId="251" fillId="0" borderId="144" xfId="0" applyFont="1" applyFill="1" applyBorder="1" applyAlignment="1" applyProtection="1">
      <alignment horizontal="center" vertical="center" wrapText="1"/>
      <protection hidden="1"/>
    </xf>
    <xf numFmtId="0" fontId="96" fillId="0" borderId="63" xfId="0" applyFont="1" applyFill="1" applyBorder="1" applyAlignment="1" applyProtection="1">
      <alignment horizontal="right" vertical="center" wrapText="1"/>
      <protection hidden="1"/>
    </xf>
    <xf numFmtId="0" fontId="96" fillId="0" borderId="64" xfId="0" applyFont="1" applyFill="1" applyBorder="1" applyAlignment="1" applyProtection="1">
      <alignment horizontal="right" vertical="center" wrapText="1"/>
      <protection hidden="1"/>
    </xf>
    <xf numFmtId="0" fontId="96" fillId="0" borderId="65" xfId="0" applyFont="1" applyFill="1" applyBorder="1" applyAlignment="1" applyProtection="1">
      <alignment horizontal="right" vertical="center" wrapText="1"/>
      <protection hidden="1"/>
    </xf>
    <xf numFmtId="0" fontId="61" fillId="18" borderId="308" xfId="0" applyFont="1" applyFill="1" applyBorder="1" applyAlignment="1" applyProtection="1">
      <alignment horizontal="center" vertical="center" wrapText="1"/>
      <protection hidden="1"/>
    </xf>
    <xf numFmtId="0" fontId="61" fillId="18" borderId="309" xfId="0" applyFont="1" applyFill="1" applyBorder="1" applyAlignment="1" applyProtection="1">
      <alignment horizontal="center" vertical="center" wrapText="1"/>
      <protection hidden="1"/>
    </xf>
    <xf numFmtId="0" fontId="61" fillId="18" borderId="310" xfId="0" applyFont="1" applyFill="1" applyBorder="1" applyAlignment="1" applyProtection="1">
      <alignment horizontal="center" vertical="center" wrapText="1"/>
      <protection hidden="1"/>
    </xf>
    <xf numFmtId="0" fontId="96" fillId="0" borderId="142" xfId="0" applyFont="1" applyFill="1" applyBorder="1" applyAlignment="1" applyProtection="1">
      <alignment horizontal="center" vertical="center" wrapText="1"/>
      <protection hidden="1"/>
    </xf>
    <xf numFmtId="0" fontId="251" fillId="0" borderId="55"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right" vertical="center" wrapText="1"/>
      <protection hidden="1"/>
    </xf>
    <xf numFmtId="0" fontId="251" fillId="0" borderId="56" xfId="0" applyFont="1" applyFill="1" applyBorder="1" applyAlignment="1" applyProtection="1">
      <alignment horizontal="center" vertical="center" wrapText="1"/>
      <protection hidden="1"/>
    </xf>
    <xf numFmtId="0" fontId="251" fillId="0" borderId="57" xfId="0" applyFont="1" applyFill="1" applyBorder="1" applyAlignment="1" applyProtection="1">
      <alignment horizontal="center" vertical="center" wrapText="1"/>
      <protection hidden="1"/>
    </xf>
    <xf numFmtId="0" fontId="215" fillId="0" borderId="162" xfId="0" applyFont="1" applyFill="1" applyBorder="1" applyAlignment="1" applyProtection="1">
      <alignment horizontal="center" vertical="center" wrapText="1"/>
      <protection hidden="1"/>
    </xf>
    <xf numFmtId="0" fontId="118" fillId="0" borderId="318" xfId="0" applyFont="1" applyFill="1" applyBorder="1" applyAlignment="1" applyProtection="1">
      <alignment horizontal="center" vertical="center" wrapText="1"/>
      <protection hidden="1"/>
    </xf>
    <xf numFmtId="0" fontId="118" fillId="0" borderId="162" xfId="0" applyFont="1" applyFill="1" applyBorder="1" applyAlignment="1" applyProtection="1">
      <alignment horizontal="center" vertical="center" wrapText="1"/>
      <protection hidden="1"/>
    </xf>
    <xf numFmtId="0" fontId="158" fillId="0" borderId="318" xfId="0" applyFont="1" applyFill="1" applyBorder="1" applyAlignment="1" applyProtection="1">
      <alignment horizontal="center" vertical="center" wrapText="1"/>
      <protection hidden="1"/>
    </xf>
    <xf numFmtId="0" fontId="158" fillId="0" borderId="162" xfId="0" applyFont="1" applyFill="1" applyBorder="1" applyAlignment="1" applyProtection="1">
      <alignment horizontal="center" vertical="center" wrapText="1"/>
      <protection hidden="1"/>
    </xf>
    <xf numFmtId="0" fontId="156" fillId="0" borderId="162" xfId="0" applyFont="1" applyFill="1" applyBorder="1" applyAlignment="1" applyProtection="1">
      <alignment horizontal="center" vertical="center" wrapText="1"/>
      <protection hidden="1"/>
    </xf>
    <xf numFmtId="1" fontId="49" fillId="0" borderId="163" xfId="0" applyNumberFormat="1" applyFont="1" applyFill="1" applyBorder="1" applyAlignment="1" applyProtection="1">
      <alignment horizontal="center" vertical="center" wrapText="1"/>
      <protection hidden="1"/>
    </xf>
    <xf numFmtId="1" fontId="49" fillId="0" borderId="322" xfId="0" applyNumberFormat="1" applyFont="1" applyFill="1" applyBorder="1" applyAlignment="1" applyProtection="1">
      <alignment horizontal="center" vertical="center" wrapText="1"/>
      <protection hidden="1"/>
    </xf>
    <xf numFmtId="1" fontId="49" fillId="0" borderId="169" xfId="0" applyNumberFormat="1" applyFont="1" applyFill="1" applyBorder="1" applyAlignment="1" applyProtection="1">
      <alignment horizontal="center" vertical="center" wrapText="1"/>
      <protection hidden="1"/>
    </xf>
    <xf numFmtId="1" fontId="49" fillId="0" borderId="331" xfId="0" applyNumberFormat="1" applyFont="1" applyFill="1" applyBorder="1" applyAlignment="1" applyProtection="1">
      <alignment horizontal="center" vertical="center" wrapText="1"/>
      <protection hidden="1"/>
    </xf>
    <xf numFmtId="1" fontId="49" fillId="0" borderId="165" xfId="0" applyNumberFormat="1" applyFont="1" applyFill="1" applyBorder="1" applyAlignment="1" applyProtection="1">
      <alignment horizontal="center" vertical="center" wrapText="1"/>
      <protection hidden="1"/>
    </xf>
    <xf numFmtId="1" fontId="49" fillId="0" borderId="324" xfId="0" applyNumberFormat="1" applyFont="1" applyFill="1" applyBorder="1" applyAlignment="1" applyProtection="1">
      <alignment horizontal="center" vertical="center" wrapText="1"/>
      <protection hidden="1"/>
    </xf>
    <xf numFmtId="1" fontId="35" fillId="0" borderId="162" xfId="0" applyNumberFormat="1" applyFont="1" applyFill="1" applyBorder="1" applyAlignment="1" applyProtection="1">
      <alignment horizontal="center" vertical="center" wrapText="1"/>
      <protection hidden="1"/>
    </xf>
    <xf numFmtId="0" fontId="251" fillId="0" borderId="326" xfId="0" applyNumberFormat="1" applyFont="1" applyFill="1" applyBorder="1" applyAlignment="1" applyProtection="1">
      <alignment horizontal="center" vertical="center" wrapText="1"/>
      <protection hidden="1"/>
    </xf>
    <xf numFmtId="0" fontId="251" fillId="0" borderId="327" xfId="0" applyNumberFormat="1" applyFont="1" applyFill="1" applyBorder="1" applyAlignment="1" applyProtection="1">
      <alignment horizontal="center" vertical="center" wrapText="1"/>
      <protection hidden="1"/>
    </xf>
    <xf numFmtId="0" fontId="251" fillId="0" borderId="328" xfId="0" applyNumberFormat="1" applyFont="1" applyFill="1" applyBorder="1" applyAlignment="1" applyProtection="1">
      <alignment horizontal="center" vertical="center" wrapText="1"/>
      <protection hidden="1"/>
    </xf>
    <xf numFmtId="0" fontId="164" fillId="0" borderId="163" xfId="0" applyNumberFormat="1" applyFont="1" applyFill="1" applyBorder="1" applyAlignment="1" applyProtection="1">
      <alignment horizontal="center" wrapText="1"/>
      <protection hidden="1"/>
    </xf>
    <xf numFmtId="0" fontId="164" fillId="0" borderId="164" xfId="0" applyNumberFormat="1" applyFont="1" applyFill="1" applyBorder="1" applyAlignment="1" applyProtection="1">
      <alignment horizontal="center" wrapText="1"/>
      <protection hidden="1"/>
    </xf>
    <xf numFmtId="0" fontId="164" fillId="0" borderId="322" xfId="0" applyNumberFormat="1" applyFont="1" applyFill="1" applyBorder="1" applyAlignment="1" applyProtection="1">
      <alignment horizontal="center" wrapText="1"/>
      <protection hidden="1"/>
    </xf>
    <xf numFmtId="0" fontId="239" fillId="0" borderId="162" xfId="0" applyFont="1" applyFill="1" applyBorder="1" applyAlignment="1" applyProtection="1">
      <alignment horizontal="center" vertical="center" wrapText="1"/>
      <protection hidden="1"/>
    </xf>
    <xf numFmtId="0" fontId="239" fillId="0" borderId="167" xfId="0" applyFont="1" applyFill="1" applyBorder="1" applyAlignment="1" applyProtection="1">
      <alignment horizontal="center" vertical="center" shrinkToFit="1"/>
      <protection hidden="1"/>
    </xf>
    <xf numFmtId="0" fontId="239" fillId="0" borderId="175" xfId="0" applyFont="1" applyFill="1" applyBorder="1" applyAlignment="1" applyProtection="1">
      <alignment horizontal="center" vertical="center" shrinkToFit="1"/>
      <protection hidden="1"/>
    </xf>
    <xf numFmtId="1" fontId="325" fillId="7" borderId="163" xfId="0" applyNumberFormat="1" applyFont="1" applyFill="1" applyBorder="1" applyAlignment="1" applyProtection="1">
      <alignment horizontal="center" vertical="center" wrapText="1"/>
      <protection hidden="1"/>
    </xf>
    <xf numFmtId="1" fontId="325" fillId="7" borderId="164" xfId="0" applyNumberFormat="1" applyFont="1" applyFill="1" applyBorder="1" applyAlignment="1" applyProtection="1">
      <alignment horizontal="center" vertical="center" wrapText="1"/>
      <protection hidden="1"/>
    </xf>
    <xf numFmtId="1" fontId="325" fillId="7" borderId="322" xfId="0" applyNumberFormat="1" applyFont="1" applyFill="1" applyBorder="1" applyAlignment="1" applyProtection="1">
      <alignment horizontal="center" vertical="center" wrapText="1"/>
      <protection hidden="1"/>
    </xf>
    <xf numFmtId="1" fontId="325" fillId="7" borderId="165" xfId="0" applyNumberFormat="1" applyFont="1" applyFill="1" applyBorder="1" applyAlignment="1" applyProtection="1">
      <alignment horizontal="center" vertical="center" wrapText="1"/>
      <protection hidden="1"/>
    </xf>
    <xf numFmtId="1" fontId="325" fillId="7" borderId="166" xfId="0" applyNumberFormat="1" applyFont="1" applyFill="1" applyBorder="1" applyAlignment="1" applyProtection="1">
      <alignment horizontal="center" vertical="center" wrapText="1"/>
      <protection hidden="1"/>
    </xf>
    <xf numFmtId="1" fontId="325" fillId="7" borderId="324" xfId="0" applyNumberFormat="1" applyFont="1" applyFill="1" applyBorder="1" applyAlignment="1" applyProtection="1">
      <alignment horizontal="center" vertical="center" wrapText="1"/>
      <protection hidden="1"/>
    </xf>
    <xf numFmtId="1" fontId="49" fillId="0" borderId="167" xfId="0" applyNumberFormat="1" applyFont="1" applyFill="1" applyBorder="1" applyAlignment="1" applyProtection="1">
      <alignment horizontal="center" vertical="center" wrapText="1"/>
      <protection hidden="1"/>
    </xf>
    <xf numFmtId="1" fontId="49" fillId="0" borderId="175" xfId="0" applyNumberFormat="1" applyFont="1" applyFill="1" applyBorder="1" applyAlignment="1" applyProtection="1">
      <alignment horizontal="center" vertical="center" wrapText="1"/>
      <protection hidden="1"/>
    </xf>
    <xf numFmtId="0" fontId="92" fillId="0" borderId="66" xfId="0" applyFont="1" applyBorder="1" applyAlignment="1" applyProtection="1">
      <alignment horizontal="center" vertical="center" wrapText="1"/>
      <protection hidden="1"/>
    </xf>
    <xf numFmtId="0" fontId="92" fillId="0" borderId="67" xfId="0" applyFont="1" applyBorder="1" applyAlignment="1" applyProtection="1">
      <alignment horizontal="center" vertical="center" wrapText="1"/>
      <protection hidden="1"/>
    </xf>
    <xf numFmtId="0" fontId="92" fillId="0" borderId="68" xfId="0" applyFont="1" applyBorder="1" applyAlignment="1" applyProtection="1">
      <alignment horizontal="center" vertical="center" wrapText="1"/>
      <protection hidden="1"/>
    </xf>
    <xf numFmtId="0" fontId="92" fillId="0" borderId="69" xfId="0" applyFont="1" applyBorder="1" applyAlignment="1" applyProtection="1">
      <alignment horizontal="center" vertical="center" wrapText="1"/>
      <protection hidden="1"/>
    </xf>
    <xf numFmtId="0" fontId="92" fillId="0" borderId="0" xfId="0" applyFont="1" applyBorder="1" applyAlignment="1" applyProtection="1">
      <alignment horizontal="center" vertical="center" wrapText="1"/>
      <protection hidden="1"/>
    </xf>
    <xf numFmtId="0" fontId="92" fillId="0" borderId="70" xfId="0" applyFont="1" applyBorder="1" applyAlignment="1" applyProtection="1">
      <alignment horizontal="center" vertical="center" wrapText="1"/>
      <protection hidden="1"/>
    </xf>
    <xf numFmtId="0" fontId="92" fillId="0" borderId="71" xfId="0" applyFont="1" applyBorder="1" applyAlignment="1" applyProtection="1">
      <alignment horizontal="center" vertical="center" wrapText="1"/>
      <protection hidden="1"/>
    </xf>
    <xf numFmtId="0" fontId="92" fillId="0" borderId="72" xfId="0" applyFont="1" applyBorder="1" applyAlignment="1" applyProtection="1">
      <alignment horizontal="center" vertical="center" wrapText="1"/>
      <protection hidden="1"/>
    </xf>
    <xf numFmtId="0" fontId="92" fillId="0" borderId="73" xfId="0" applyFont="1" applyBorder="1" applyAlignment="1" applyProtection="1">
      <alignment horizontal="center" vertical="center" wrapText="1"/>
      <protection hidden="1"/>
    </xf>
    <xf numFmtId="171" fontId="9" fillId="0" borderId="0" xfId="0" applyNumberFormat="1" applyFont="1" applyBorder="1" applyAlignment="1" applyProtection="1">
      <alignment horizontal="left" vertical="center"/>
      <protection hidden="1"/>
    </xf>
    <xf numFmtId="171" fontId="9" fillId="0" borderId="91" xfId="0" applyNumberFormat="1" applyFont="1" applyBorder="1" applyAlignment="1" applyProtection="1">
      <alignment horizontal="left" vertical="center"/>
      <protection hidden="1"/>
    </xf>
    <xf numFmtId="0" fontId="162" fillId="0" borderId="0" xfId="0" applyFont="1" applyBorder="1" applyAlignment="1" applyProtection="1">
      <alignment horizontal="center"/>
      <protection hidden="1"/>
    </xf>
    <xf numFmtId="0" fontId="239" fillId="0" borderId="317" xfId="0" applyFont="1" applyFill="1" applyBorder="1" applyAlignment="1" applyProtection="1">
      <alignment horizontal="center" vertical="center" wrapText="1"/>
      <protection hidden="1"/>
    </xf>
    <xf numFmtId="0" fontId="239" fillId="0" borderId="330" xfId="0" applyFont="1" applyFill="1" applyBorder="1" applyAlignment="1" applyProtection="1">
      <alignment horizontal="center" vertical="center" wrapText="1"/>
      <protection hidden="1"/>
    </xf>
    <xf numFmtId="0" fontId="239" fillId="0" borderId="319" xfId="0" applyFont="1" applyFill="1" applyBorder="1" applyAlignment="1" applyProtection="1">
      <alignment horizontal="center" vertical="center" wrapText="1"/>
      <protection hidden="1"/>
    </xf>
    <xf numFmtId="0" fontId="318" fillId="0" borderId="0" xfId="0" applyFont="1" applyBorder="1" applyAlignment="1" applyProtection="1">
      <alignment horizontal="center" vertical="center"/>
      <protection hidden="1"/>
    </xf>
    <xf numFmtId="170" fontId="338" fillId="0" borderId="0" xfId="0" applyNumberFormat="1" applyFont="1" applyBorder="1" applyAlignment="1" applyProtection="1">
      <alignment horizontal="left" vertical="center"/>
      <protection hidden="1"/>
    </xf>
    <xf numFmtId="0" fontId="289" fillId="3" borderId="317" xfId="0" applyFont="1" applyFill="1" applyBorder="1" applyAlignment="1" applyProtection="1">
      <alignment horizontal="center" vertical="center" textRotation="90" wrapText="1" shrinkToFit="1"/>
      <protection hidden="1"/>
    </xf>
    <xf numFmtId="0" fontId="289" fillId="3" borderId="162" xfId="0" applyFont="1" applyFill="1" applyBorder="1" applyAlignment="1" applyProtection="1">
      <alignment horizontal="center" vertical="center" textRotation="90" wrapText="1" shrinkToFit="1"/>
      <protection hidden="1"/>
    </xf>
    <xf numFmtId="0" fontId="239" fillId="0" borderId="329" xfId="0" applyFont="1" applyFill="1" applyBorder="1" applyAlignment="1" applyProtection="1">
      <alignment horizontal="center" vertical="center" textRotation="90" wrapText="1"/>
      <protection hidden="1"/>
    </xf>
    <xf numFmtId="0" fontId="239" fillId="0" borderId="199" xfId="0" applyFont="1" applyFill="1" applyBorder="1" applyAlignment="1" applyProtection="1">
      <alignment horizontal="center" vertical="center" textRotation="90" wrapText="1"/>
      <protection hidden="1"/>
    </xf>
    <xf numFmtId="0" fontId="239" fillId="0" borderId="313" xfId="0" applyFont="1" applyFill="1" applyBorder="1" applyAlignment="1" applyProtection="1">
      <alignment horizontal="center" vertical="center" textRotation="90" wrapText="1"/>
      <protection hidden="1"/>
    </xf>
    <xf numFmtId="0" fontId="251" fillId="0" borderId="317" xfId="0" applyFont="1" applyFill="1" applyBorder="1" applyAlignment="1" applyProtection="1">
      <alignment horizontal="center" vertical="center" wrapText="1"/>
      <protection hidden="1"/>
    </xf>
    <xf numFmtId="0" fontId="288" fillId="3" borderId="317" xfId="0" applyFont="1" applyFill="1" applyBorder="1" applyAlignment="1" applyProtection="1">
      <alignment horizontal="center" vertical="center" textRotation="90" wrapText="1" shrinkToFit="1"/>
      <protection hidden="1"/>
    </xf>
    <xf numFmtId="0" fontId="288" fillId="3" borderId="162" xfId="0" applyFont="1" applyFill="1" applyBorder="1" applyAlignment="1" applyProtection="1">
      <alignment horizontal="center" vertical="center" textRotation="90" wrapText="1" shrinkToFit="1"/>
      <protection hidden="1"/>
    </xf>
    <xf numFmtId="0" fontId="272" fillId="0" borderId="0" xfId="0" applyFont="1" applyBorder="1" applyAlignment="1" applyProtection="1">
      <alignment horizontal="center"/>
      <protection hidden="1"/>
    </xf>
    <xf numFmtId="0" fontId="115" fillId="0" borderId="0" xfId="0" applyFont="1" applyFill="1" applyBorder="1" applyAlignment="1" applyProtection="1">
      <alignment horizontal="left" vertical="center" wrapText="1"/>
      <protection hidden="1"/>
    </xf>
    <xf numFmtId="0" fontId="213" fillId="0" borderId="0" xfId="0" applyFont="1" applyFill="1" applyBorder="1" applyAlignment="1" applyProtection="1">
      <alignment horizontal="right" vertical="top" wrapText="1"/>
      <protection hidden="1"/>
    </xf>
    <xf numFmtId="0" fontId="314" fillId="0" borderId="0" xfId="0" applyFont="1" applyBorder="1" applyAlignment="1" applyProtection="1">
      <alignment horizontal="center" vertical="center"/>
      <protection hidden="1"/>
    </xf>
    <xf numFmtId="0" fontId="213" fillId="0" borderId="0" xfId="0" applyNumberFormat="1"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8" fillId="0" borderId="0" xfId="0" applyNumberFormat="1" applyFont="1" applyFill="1" applyBorder="1" applyAlignment="1" applyProtection="1">
      <alignment horizontal="right" vertical="center" wrapText="1"/>
      <protection hidden="1"/>
    </xf>
    <xf numFmtId="0" fontId="248" fillId="2" borderId="0" xfId="3" applyFont="1" applyFill="1" applyBorder="1" applyAlignment="1" applyProtection="1">
      <alignment horizontal="center" vertical="center" wrapText="1"/>
      <protection locked="0"/>
    </xf>
    <xf numFmtId="0" fontId="213" fillId="0" borderId="0" xfId="0" applyFont="1" applyBorder="1" applyAlignment="1" applyProtection="1">
      <alignment horizontal="right" vertical="center" wrapText="1"/>
      <protection hidden="1"/>
    </xf>
    <xf numFmtId="0" fontId="316" fillId="0" borderId="0" xfId="0" applyFont="1" applyBorder="1" applyAlignment="1" applyProtection="1">
      <alignment horizontal="center"/>
      <protection hidden="1"/>
    </xf>
    <xf numFmtId="0" fontId="157" fillId="0" borderId="162" xfId="0" applyFont="1" applyFill="1" applyBorder="1" applyAlignment="1" applyProtection="1">
      <alignment horizontal="center" vertical="center" wrapText="1"/>
      <protection hidden="1"/>
    </xf>
    <xf numFmtId="0" fontId="35" fillId="0" borderId="320" xfId="0" applyFont="1" applyFill="1" applyBorder="1" applyAlignment="1" applyProtection="1">
      <alignment horizontal="right" vertical="center" wrapText="1"/>
      <protection hidden="1"/>
    </xf>
    <xf numFmtId="0" fontId="35" fillId="0" borderId="166" xfId="0" applyFont="1" applyFill="1" applyBorder="1" applyAlignment="1" applyProtection="1">
      <alignment horizontal="right" vertical="center" wrapText="1"/>
      <protection hidden="1"/>
    </xf>
    <xf numFmtId="0" fontId="265" fillId="0" borderId="320" xfId="0" applyFont="1" applyFill="1" applyBorder="1" applyAlignment="1" applyProtection="1">
      <alignment horizontal="center" vertical="center" wrapText="1"/>
      <protection hidden="1"/>
    </xf>
    <xf numFmtId="0" fontId="265" fillId="0" borderId="166" xfId="0" applyFont="1" applyFill="1" applyBorder="1" applyAlignment="1" applyProtection="1">
      <alignment horizontal="center" vertical="center" wrapText="1"/>
      <protection hidden="1"/>
    </xf>
    <xf numFmtId="0" fontId="265" fillId="0" borderId="321" xfId="0" applyFont="1" applyFill="1" applyBorder="1" applyAlignment="1" applyProtection="1">
      <alignment horizontal="center" vertical="center" wrapText="1"/>
      <protection hidden="1"/>
    </xf>
    <xf numFmtId="0" fontId="265" fillId="0" borderId="174" xfId="0" applyFont="1" applyFill="1" applyBorder="1" applyAlignment="1" applyProtection="1">
      <alignment horizontal="center" vertical="center" wrapText="1"/>
      <protection hidden="1"/>
    </xf>
    <xf numFmtId="0" fontId="161" fillId="0" borderId="321" xfId="0" applyFont="1" applyFill="1" applyBorder="1" applyAlignment="1" applyProtection="1">
      <alignment horizontal="right" vertical="center" wrapText="1"/>
      <protection hidden="1"/>
    </xf>
    <xf numFmtId="0" fontId="161" fillId="0" borderId="174" xfId="0" applyFont="1" applyFill="1" applyBorder="1" applyAlignment="1" applyProtection="1">
      <alignment horizontal="right" vertical="center" wrapText="1"/>
      <protection hidden="1"/>
    </xf>
    <xf numFmtId="0" fontId="239" fillId="0" borderId="321" xfId="0" applyFont="1" applyFill="1" applyBorder="1" applyAlignment="1" applyProtection="1">
      <alignment horizontal="left" vertical="center" wrapText="1"/>
      <protection hidden="1"/>
    </xf>
    <xf numFmtId="0" fontId="239" fillId="0" borderId="174" xfId="0" applyFont="1" applyFill="1" applyBorder="1" applyAlignment="1" applyProtection="1">
      <alignment horizontal="left" vertical="center" wrapText="1"/>
      <protection hidden="1"/>
    </xf>
    <xf numFmtId="0" fontId="239" fillId="0" borderId="175" xfId="0" applyFont="1" applyFill="1" applyBorder="1" applyAlignment="1" applyProtection="1">
      <alignment horizontal="left" vertical="center" wrapText="1"/>
      <protection hidden="1"/>
    </xf>
    <xf numFmtId="0" fontId="265" fillId="0" borderId="321" xfId="0" applyFont="1" applyFill="1" applyBorder="1" applyAlignment="1" applyProtection="1">
      <alignment horizontal="right" vertical="center" wrapText="1"/>
      <protection hidden="1"/>
    </xf>
    <xf numFmtId="0" fontId="265" fillId="0" borderId="174" xfId="0" applyFont="1" applyFill="1" applyBorder="1" applyAlignment="1" applyProtection="1">
      <alignment horizontal="right" vertical="center" wrapText="1"/>
      <protection hidden="1"/>
    </xf>
    <xf numFmtId="1" fontId="320" fillId="7" borderId="167" xfId="0" applyNumberFormat="1" applyFont="1" applyFill="1" applyBorder="1" applyAlignment="1" applyProtection="1">
      <alignment horizontal="center" vertical="center" wrapText="1"/>
      <protection hidden="1"/>
    </xf>
    <xf numFmtId="1" fontId="320" fillId="7" borderId="174" xfId="0" applyNumberFormat="1" applyFont="1" applyFill="1" applyBorder="1" applyAlignment="1" applyProtection="1">
      <alignment horizontal="center" vertical="center" wrapText="1"/>
      <protection hidden="1"/>
    </xf>
    <xf numFmtId="1" fontId="320" fillId="7" borderId="323" xfId="0" applyNumberFormat="1" applyFont="1" applyFill="1" applyBorder="1" applyAlignment="1" applyProtection="1">
      <alignment horizontal="center" vertical="center" wrapText="1"/>
      <protection hidden="1"/>
    </xf>
    <xf numFmtId="0" fontId="35" fillId="0" borderId="318" xfId="0" applyFont="1" applyFill="1" applyBorder="1" applyAlignment="1" applyProtection="1">
      <alignment horizontal="center" vertical="center" shrinkToFit="1"/>
      <protection hidden="1"/>
    </xf>
    <xf numFmtId="0" fontId="35" fillId="0" borderId="162" xfId="0" applyFont="1" applyFill="1" applyBorder="1" applyAlignment="1" applyProtection="1">
      <alignment horizontal="center" vertical="center" shrinkToFit="1"/>
      <protection hidden="1"/>
    </xf>
    <xf numFmtId="0" fontId="35" fillId="0" borderId="162" xfId="0" applyFont="1" applyFill="1" applyBorder="1" applyAlignment="1" applyProtection="1">
      <alignment horizontal="center" vertical="center" wrapText="1"/>
      <protection hidden="1"/>
    </xf>
    <xf numFmtId="0" fontId="213" fillId="0" borderId="332" xfId="0" applyFont="1" applyFill="1" applyBorder="1" applyAlignment="1" applyProtection="1">
      <alignment horizontal="center" vertical="center" wrapText="1"/>
      <protection hidden="1"/>
    </xf>
    <xf numFmtId="0" fontId="213" fillId="0" borderId="333" xfId="0" applyFont="1" applyFill="1" applyBorder="1" applyAlignment="1" applyProtection="1">
      <alignment horizontal="center" vertical="center" wrapText="1"/>
      <protection hidden="1"/>
    </xf>
    <xf numFmtId="0" fontId="213" fillId="0" borderId="334" xfId="0" applyFont="1" applyFill="1" applyBorder="1" applyAlignment="1" applyProtection="1">
      <alignment horizontal="center" vertical="center" wrapText="1"/>
      <protection hidden="1"/>
    </xf>
    <xf numFmtId="0" fontId="319" fillId="0" borderId="321" xfId="0" applyFont="1" applyFill="1" applyBorder="1" applyAlignment="1" applyProtection="1">
      <alignment horizontal="right" vertical="center" shrinkToFit="1"/>
      <protection hidden="1"/>
    </xf>
    <xf numFmtId="0" fontId="319" fillId="0" borderId="174" xfId="0" applyFont="1" applyFill="1" applyBorder="1" applyAlignment="1" applyProtection="1">
      <alignment horizontal="right" vertical="center" shrinkToFit="1"/>
      <protection hidden="1"/>
    </xf>
    <xf numFmtId="0" fontId="319" fillId="0" borderId="175" xfId="0" applyFont="1" applyFill="1" applyBorder="1" applyAlignment="1" applyProtection="1">
      <alignment horizontal="right" vertical="center" shrinkToFit="1"/>
      <protection hidden="1"/>
    </xf>
    <xf numFmtId="171" fontId="266" fillId="7" borderId="167" xfId="0" applyNumberFormat="1" applyFont="1" applyFill="1" applyBorder="1" applyAlignment="1" applyProtection="1">
      <alignment horizontal="center" vertical="center" wrapText="1"/>
      <protection hidden="1"/>
    </xf>
    <xf numFmtId="171" fontId="266" fillId="7" borderId="174" xfId="0" applyNumberFormat="1" applyFont="1" applyFill="1" applyBorder="1" applyAlignment="1" applyProtection="1">
      <alignment horizontal="center" vertical="center" wrapText="1"/>
      <protection hidden="1"/>
    </xf>
    <xf numFmtId="171" fontId="266" fillId="7" borderId="175" xfId="0" applyNumberFormat="1" applyFont="1" applyFill="1" applyBorder="1" applyAlignment="1" applyProtection="1">
      <alignment horizontal="center" vertical="center" wrapText="1"/>
      <protection hidden="1"/>
    </xf>
    <xf numFmtId="0" fontId="321" fillId="0" borderId="321" xfId="0" applyFont="1" applyFill="1" applyBorder="1" applyAlignment="1" applyProtection="1">
      <alignment horizontal="right" vertical="center" wrapText="1"/>
      <protection hidden="1"/>
    </xf>
    <xf numFmtId="0" fontId="321" fillId="0" borderId="174" xfId="0" applyFont="1" applyFill="1" applyBorder="1" applyAlignment="1" applyProtection="1">
      <alignment horizontal="right" vertical="center" wrapText="1"/>
      <protection hidden="1"/>
    </xf>
    <xf numFmtId="0" fontId="321" fillId="0" borderId="175" xfId="0" applyFont="1" applyFill="1" applyBorder="1" applyAlignment="1" applyProtection="1">
      <alignment horizontal="right" vertical="center" wrapText="1"/>
      <protection hidden="1"/>
    </xf>
    <xf numFmtId="0" fontId="329" fillId="0" borderId="321" xfId="0" applyFont="1" applyFill="1" applyBorder="1" applyAlignment="1" applyProtection="1">
      <alignment horizontal="right" vertical="center" wrapText="1"/>
      <protection hidden="1"/>
    </xf>
    <xf numFmtId="0" fontId="329" fillId="0" borderId="174" xfId="0" applyFont="1" applyFill="1" applyBorder="1" applyAlignment="1" applyProtection="1">
      <alignment horizontal="right" vertical="center" wrapText="1"/>
      <protection hidden="1"/>
    </xf>
    <xf numFmtId="0" fontId="329" fillId="0" borderId="175" xfId="0" applyFont="1" applyFill="1" applyBorder="1" applyAlignment="1" applyProtection="1">
      <alignment horizontal="right" vertical="center" wrapText="1"/>
      <protection hidden="1"/>
    </xf>
    <xf numFmtId="0" fontId="330" fillId="0" borderId="321" xfId="0" applyFont="1" applyFill="1" applyBorder="1" applyAlignment="1" applyProtection="1">
      <alignment horizontal="right" vertical="center" wrapText="1"/>
      <protection hidden="1"/>
    </xf>
    <xf numFmtId="0" fontId="330" fillId="0" borderId="174" xfId="0" applyFont="1" applyFill="1" applyBorder="1" applyAlignment="1" applyProtection="1">
      <alignment horizontal="right" vertical="center" wrapText="1"/>
      <protection hidden="1"/>
    </xf>
    <xf numFmtId="0" fontId="330" fillId="0" borderId="175" xfId="0" applyFont="1" applyFill="1" applyBorder="1" applyAlignment="1" applyProtection="1">
      <alignment horizontal="right" vertical="center" wrapText="1"/>
      <protection hidden="1"/>
    </xf>
    <xf numFmtId="0" fontId="238" fillId="0" borderId="325" xfId="0" applyFont="1" applyFill="1" applyBorder="1" applyAlignment="1" applyProtection="1">
      <alignment horizontal="center" wrapText="1"/>
      <protection hidden="1"/>
    </xf>
    <xf numFmtId="0" fontId="238" fillId="0" borderId="162" xfId="0" applyFont="1" applyFill="1" applyBorder="1" applyAlignment="1" applyProtection="1">
      <alignment horizontal="center" wrapText="1"/>
      <protection hidden="1"/>
    </xf>
    <xf numFmtId="0" fontId="239" fillId="0" borderId="316" xfId="0" applyFont="1" applyFill="1" applyBorder="1" applyAlignment="1" applyProtection="1">
      <alignment horizontal="center" vertical="center" wrapText="1"/>
      <protection hidden="1"/>
    </xf>
    <xf numFmtId="0" fontId="239" fillId="0" borderId="318" xfId="0" applyFont="1" applyFill="1" applyBorder="1" applyAlignment="1" applyProtection="1">
      <alignment horizontal="center" vertical="center" wrapText="1"/>
      <protection hidden="1"/>
    </xf>
    <xf numFmtId="0" fontId="213" fillId="0" borderId="321" xfId="0" applyFont="1" applyFill="1" applyBorder="1" applyAlignment="1" applyProtection="1">
      <alignment horizontal="center" vertical="center" wrapText="1"/>
      <protection hidden="1"/>
    </xf>
    <xf numFmtId="0" fontId="213" fillId="0" borderId="174" xfId="0" applyFont="1" applyFill="1" applyBorder="1" applyAlignment="1" applyProtection="1">
      <alignment horizontal="center" vertical="center" wrapText="1"/>
      <protection hidden="1"/>
    </xf>
    <xf numFmtId="0" fontId="213" fillId="0" borderId="175" xfId="0" applyFont="1" applyFill="1" applyBorder="1" applyAlignment="1" applyProtection="1">
      <alignment horizontal="center" vertical="center" wrapText="1"/>
      <protection hidden="1"/>
    </xf>
    <xf numFmtId="0" fontId="304" fillId="0" borderId="0" xfId="0" applyNumberFormat="1" applyFont="1" applyBorder="1" applyAlignment="1" applyProtection="1">
      <alignment horizontal="center" wrapText="1"/>
      <protection hidden="1"/>
    </xf>
    <xf numFmtId="0" fontId="304" fillId="0" borderId="0" xfId="0" applyNumberFormat="1" applyFont="1" applyBorder="1" applyAlignment="1" applyProtection="1">
      <alignment horizontal="center"/>
      <protection hidden="1"/>
    </xf>
    <xf numFmtId="0" fontId="304" fillId="0" borderId="182" xfId="0" applyNumberFormat="1" applyFont="1" applyBorder="1" applyAlignment="1" applyProtection="1">
      <alignment horizontal="center"/>
      <protection hidden="1"/>
    </xf>
    <xf numFmtId="0" fontId="251" fillId="0" borderId="0" xfId="0" applyNumberFormat="1" applyFont="1" applyAlignment="1" applyProtection="1">
      <alignment horizontal="center" vertical="center" wrapText="1"/>
      <protection hidden="1"/>
    </xf>
    <xf numFmtId="0" fontId="251" fillId="0" borderId="177" xfId="0" applyNumberFormat="1" applyFont="1" applyFill="1" applyBorder="1" applyAlignment="1" applyProtection="1">
      <alignment horizontal="center" vertical="center" wrapText="1"/>
      <protection hidden="1"/>
    </xf>
    <xf numFmtId="0" fontId="251" fillId="0" borderId="176" xfId="0" applyNumberFormat="1" applyFont="1" applyFill="1" applyBorder="1" applyAlignment="1" applyProtection="1">
      <alignment horizontal="center" vertical="center" wrapText="1"/>
      <protection hidden="1"/>
    </xf>
    <xf numFmtId="0" fontId="251" fillId="0" borderId="179" xfId="0" applyNumberFormat="1" applyFont="1" applyFill="1" applyBorder="1" applyAlignment="1" applyProtection="1">
      <alignment horizontal="center" vertical="center" wrapText="1"/>
      <protection hidden="1"/>
    </xf>
    <xf numFmtId="0" fontId="251" fillId="0" borderId="180" xfId="0" applyNumberFormat="1" applyFont="1" applyFill="1" applyBorder="1" applyAlignment="1" applyProtection="1">
      <alignment horizontal="center" vertical="center" wrapText="1"/>
      <protection hidden="1"/>
    </xf>
    <xf numFmtId="0" fontId="251" fillId="0" borderId="181" xfId="0" applyNumberFormat="1" applyFont="1" applyFill="1" applyBorder="1" applyAlignment="1" applyProtection="1">
      <alignment horizontal="center" vertical="center" wrapText="1"/>
      <protection hidden="1"/>
    </xf>
    <xf numFmtId="0" fontId="267" fillId="0" borderId="176" xfId="0" applyNumberFormat="1" applyFont="1" applyFill="1" applyBorder="1" applyAlignment="1" applyProtection="1">
      <alignment horizontal="center" vertical="center" wrapText="1"/>
      <protection hidden="1"/>
    </xf>
    <xf numFmtId="0" fontId="269" fillId="0" borderId="176" xfId="0" applyNumberFormat="1" applyFont="1" applyFill="1" applyBorder="1" applyAlignment="1" applyProtection="1">
      <alignment horizontal="center" vertical="center" wrapText="1"/>
      <protection hidden="1"/>
    </xf>
    <xf numFmtId="0" fontId="252" fillId="0" borderId="179" xfId="0" applyNumberFormat="1" applyFont="1" applyFill="1" applyBorder="1" applyAlignment="1" applyProtection="1">
      <alignment horizontal="center" vertical="center" wrapText="1"/>
      <protection hidden="1"/>
    </xf>
    <xf numFmtId="0" fontId="252" fillId="0" borderId="180" xfId="0" applyNumberFormat="1" applyFont="1" applyFill="1" applyBorder="1" applyAlignment="1" applyProtection="1">
      <alignment horizontal="center" vertical="center" wrapText="1"/>
      <protection hidden="1"/>
    </xf>
    <xf numFmtId="0" fontId="252" fillId="0" borderId="181" xfId="0" applyNumberFormat="1" applyFont="1" applyFill="1" applyBorder="1" applyAlignment="1" applyProtection="1">
      <alignment horizontal="center" vertical="center" wrapText="1"/>
      <protection hidden="1"/>
    </xf>
    <xf numFmtId="0" fontId="105" fillId="0" borderId="211" xfId="0" applyNumberFormat="1" applyFont="1" applyFill="1" applyBorder="1" applyAlignment="1" applyProtection="1">
      <alignment horizontal="center" vertical="center" wrapText="1"/>
      <protection hidden="1"/>
    </xf>
    <xf numFmtId="0" fontId="105" fillId="0" borderId="212" xfId="0" applyNumberFormat="1" applyFont="1" applyFill="1" applyBorder="1" applyAlignment="1" applyProtection="1">
      <alignment horizontal="center" vertical="center" wrapText="1"/>
      <protection hidden="1"/>
    </xf>
    <xf numFmtId="0" fontId="118" fillId="0" borderId="211" xfId="0" applyNumberFormat="1" applyFont="1" applyFill="1" applyBorder="1" applyAlignment="1" applyProtection="1">
      <alignment horizontal="center" vertical="center" wrapText="1"/>
      <protection hidden="1"/>
    </xf>
    <xf numFmtId="0" fontId="118" fillId="0" borderId="312" xfId="0" applyNumberFormat="1" applyFont="1" applyFill="1" applyBorder="1" applyAlignment="1" applyProtection="1">
      <alignment horizontal="center" vertical="center" wrapText="1"/>
      <protection hidden="1"/>
    </xf>
    <xf numFmtId="0" fontId="269" fillId="0" borderId="314" xfId="0" applyNumberFormat="1" applyFont="1" applyFill="1" applyBorder="1" applyAlignment="1" applyProtection="1">
      <alignment horizontal="center" vertical="center" shrinkToFit="1"/>
      <protection hidden="1"/>
    </xf>
    <xf numFmtId="0" fontId="269" fillId="0" borderId="315" xfId="0" applyNumberFormat="1" applyFont="1" applyFill="1" applyBorder="1" applyAlignment="1" applyProtection="1">
      <alignment horizontal="center" vertical="center" shrinkToFit="1"/>
      <protection hidden="1"/>
    </xf>
    <xf numFmtId="0" fontId="269" fillId="0" borderId="212" xfId="0" applyNumberFormat="1" applyFont="1" applyFill="1" applyBorder="1" applyAlignment="1" applyProtection="1">
      <alignment horizontal="center" vertical="center" shrinkToFit="1"/>
      <protection hidden="1"/>
    </xf>
    <xf numFmtId="171" fontId="157" fillId="0" borderId="190" xfId="0" applyNumberFormat="1" applyFont="1" applyFill="1" applyBorder="1" applyAlignment="1" applyProtection="1">
      <alignment horizontal="center" vertical="center" wrapText="1"/>
      <protection hidden="1"/>
    </xf>
    <xf numFmtId="171" fontId="157" fillId="0" borderId="192" xfId="0" applyNumberFormat="1" applyFont="1" applyFill="1" applyBorder="1" applyAlignment="1" applyProtection="1">
      <alignment horizontal="center" vertical="center" wrapText="1"/>
      <protection hidden="1"/>
    </xf>
    <xf numFmtId="0" fontId="251" fillId="0" borderId="190" xfId="0" applyNumberFormat="1" applyFont="1" applyFill="1" applyBorder="1" applyAlignment="1" applyProtection="1">
      <alignment horizontal="center" vertical="center" wrapText="1"/>
      <protection hidden="1"/>
    </xf>
    <xf numFmtId="0" fontId="251" fillId="0" borderId="192" xfId="0" applyNumberFormat="1" applyFont="1" applyFill="1" applyBorder="1" applyAlignment="1" applyProtection="1">
      <alignment horizontal="center" vertical="center" wrapText="1"/>
      <protection hidden="1"/>
    </xf>
    <xf numFmtId="0" fontId="166" fillId="0" borderId="204" xfId="0" applyNumberFormat="1" applyFont="1" applyFill="1" applyBorder="1" applyAlignment="1" applyProtection="1">
      <alignment horizontal="center" vertical="center" wrapText="1"/>
      <protection hidden="1"/>
    </xf>
    <xf numFmtId="0" fontId="166" fillId="0" borderId="209" xfId="0" applyNumberFormat="1" applyFont="1" applyFill="1" applyBorder="1" applyAlignment="1" applyProtection="1">
      <alignment horizontal="center" vertical="center" wrapText="1"/>
      <protection hidden="1"/>
    </xf>
    <xf numFmtId="0" fontId="35" fillId="0" borderId="190" xfId="0" applyNumberFormat="1" applyFont="1" applyFill="1" applyBorder="1" applyAlignment="1" applyProtection="1">
      <alignment horizontal="center" vertical="center" wrapText="1"/>
      <protection hidden="1"/>
    </xf>
    <xf numFmtId="0" fontId="35" fillId="0" borderId="192" xfId="0" applyNumberFormat="1" applyFont="1" applyFill="1" applyBorder="1" applyAlignment="1" applyProtection="1">
      <alignment horizontal="center" vertical="center" wrapText="1"/>
      <protection hidden="1"/>
    </xf>
    <xf numFmtId="0" fontId="60" fillId="0" borderId="190" xfId="0" applyNumberFormat="1" applyFont="1" applyFill="1" applyBorder="1" applyAlignment="1" applyProtection="1">
      <alignment horizontal="center" vertical="center" wrapText="1"/>
      <protection hidden="1"/>
    </xf>
    <xf numFmtId="0" fontId="60" fillId="0" borderId="192" xfId="0" applyNumberFormat="1" applyFont="1" applyFill="1" applyBorder="1" applyAlignment="1" applyProtection="1">
      <alignment horizontal="center" vertical="center" wrapText="1"/>
      <protection hidden="1"/>
    </xf>
    <xf numFmtId="172" fontId="158" fillId="0" borderId="190" xfId="0" applyNumberFormat="1" applyFont="1" applyFill="1" applyBorder="1" applyAlignment="1" applyProtection="1">
      <alignment horizontal="center" vertical="center" wrapText="1"/>
      <protection hidden="1"/>
    </xf>
    <xf numFmtId="172" fontId="158" fillId="0" borderId="192" xfId="0" applyNumberFormat="1" applyFont="1" applyFill="1" applyBorder="1" applyAlignment="1" applyProtection="1">
      <alignment horizontal="center" vertical="center" wrapText="1"/>
      <protection hidden="1"/>
    </xf>
    <xf numFmtId="0" fontId="60" fillId="0" borderId="204" xfId="0" applyNumberFormat="1" applyFont="1" applyFill="1" applyBorder="1" applyAlignment="1" applyProtection="1">
      <alignment horizontal="center" vertical="center" wrapText="1"/>
      <protection hidden="1"/>
    </xf>
    <xf numFmtId="0" fontId="60" fillId="0" borderId="203" xfId="0" applyNumberFormat="1" applyFont="1" applyFill="1" applyBorder="1" applyAlignment="1" applyProtection="1">
      <alignment horizontal="center" vertical="center" wrapText="1"/>
      <protection hidden="1"/>
    </xf>
    <xf numFmtId="0" fontId="105" fillId="0" borderId="204" xfId="0" applyNumberFormat="1" applyFont="1" applyFill="1" applyBorder="1" applyAlignment="1" applyProtection="1">
      <alignment horizontal="center" vertical="center" wrapText="1"/>
      <protection hidden="1"/>
    </xf>
    <xf numFmtId="0" fontId="105" fillId="0" borderId="209" xfId="0" applyNumberFormat="1" applyFont="1" applyFill="1" applyBorder="1" applyAlignment="1" applyProtection="1">
      <alignment horizontal="center" vertical="center" wrapText="1"/>
      <protection hidden="1"/>
    </xf>
    <xf numFmtId="0" fontId="118" fillId="0" borderId="204" xfId="0" applyNumberFormat="1" applyFont="1" applyFill="1" applyBorder="1" applyAlignment="1" applyProtection="1">
      <alignment horizontal="center" vertical="center" wrapText="1"/>
      <protection hidden="1"/>
    </xf>
    <xf numFmtId="0" fontId="118" fillId="0" borderId="311" xfId="0" applyNumberFormat="1" applyFont="1" applyFill="1" applyBorder="1" applyAlignment="1" applyProtection="1">
      <alignment horizontal="center" vertical="center" wrapText="1"/>
      <protection hidden="1"/>
    </xf>
    <xf numFmtId="0" fontId="105" fillId="0" borderId="187" xfId="0" applyNumberFormat="1" applyFont="1" applyFill="1" applyBorder="1" applyAlignment="1" applyProtection="1">
      <alignment horizontal="center" vertical="center" wrapText="1"/>
      <protection hidden="1"/>
    </xf>
    <xf numFmtId="0" fontId="105" fillId="0" borderId="188" xfId="0" applyNumberFormat="1" applyFont="1" applyFill="1" applyBorder="1" applyAlignment="1" applyProtection="1">
      <alignment horizontal="center" vertical="center" wrapText="1"/>
      <protection hidden="1"/>
    </xf>
    <xf numFmtId="0" fontId="105" fillId="0" borderId="189" xfId="0" applyNumberFormat="1" applyFont="1" applyFill="1" applyBorder="1" applyAlignment="1" applyProtection="1">
      <alignment horizontal="center" vertical="center" wrapText="1"/>
      <protection hidden="1"/>
    </xf>
    <xf numFmtId="0" fontId="105" fillId="0" borderId="202" xfId="0" applyNumberFormat="1" applyFont="1" applyFill="1" applyBorder="1" applyAlignment="1" applyProtection="1">
      <alignment horizontal="center" vertical="center" wrapText="1"/>
      <protection hidden="1"/>
    </xf>
    <xf numFmtId="0" fontId="105" fillId="0" borderId="210" xfId="0" applyNumberFormat="1" applyFont="1" applyFill="1" applyBorder="1" applyAlignment="1" applyProtection="1">
      <alignment horizontal="center" vertical="center" wrapText="1"/>
      <protection hidden="1"/>
    </xf>
    <xf numFmtId="0" fontId="118" fillId="0" borderId="202" xfId="0" applyNumberFormat="1" applyFont="1" applyFill="1" applyBorder="1" applyAlignment="1" applyProtection="1">
      <alignment horizontal="center" vertical="center" wrapText="1"/>
      <protection hidden="1"/>
    </xf>
    <xf numFmtId="0" fontId="118" fillId="0" borderId="181" xfId="0" applyNumberFormat="1" applyFont="1" applyFill="1" applyBorder="1" applyAlignment="1" applyProtection="1">
      <alignment horizontal="center" vertical="center" wrapText="1"/>
      <protection hidden="1"/>
    </xf>
    <xf numFmtId="0" fontId="105" fillId="0" borderId="179" xfId="0" applyNumberFormat="1" applyFont="1" applyFill="1" applyBorder="1" applyAlignment="1" applyProtection="1">
      <alignment horizontal="center" vertical="center" wrapText="1"/>
      <protection hidden="1"/>
    </xf>
    <xf numFmtId="0" fontId="105" fillId="0" borderId="180" xfId="0" applyNumberFormat="1" applyFont="1" applyFill="1" applyBorder="1" applyAlignment="1" applyProtection="1">
      <alignment horizontal="center" vertical="center" wrapText="1"/>
      <protection hidden="1"/>
    </xf>
    <xf numFmtId="0" fontId="105" fillId="0" borderId="181" xfId="0" applyNumberFormat="1" applyFont="1" applyFill="1" applyBorder="1" applyAlignment="1" applyProtection="1">
      <alignment horizontal="center" vertical="center" wrapText="1"/>
      <protection hidden="1"/>
    </xf>
    <xf numFmtId="0" fontId="35" fillId="0" borderId="183" xfId="0" applyNumberFormat="1" applyFont="1" applyFill="1" applyBorder="1" applyAlignment="1" applyProtection="1">
      <alignment horizontal="center" vertical="center" wrapText="1"/>
      <protection hidden="1"/>
    </xf>
    <xf numFmtId="0" fontId="35" fillId="0" borderId="205" xfId="0" applyNumberFormat="1" applyFont="1" applyFill="1" applyBorder="1" applyAlignment="1" applyProtection="1">
      <alignment horizontal="center" vertical="center" wrapText="1"/>
      <protection hidden="1"/>
    </xf>
    <xf numFmtId="0" fontId="35" fillId="0" borderId="206" xfId="0" applyNumberFormat="1" applyFont="1" applyFill="1" applyBorder="1" applyAlignment="1" applyProtection="1">
      <alignment horizontal="left" vertical="center" wrapText="1"/>
      <protection hidden="1"/>
    </xf>
    <xf numFmtId="0" fontId="35" fillId="0" borderId="0" xfId="0" applyNumberFormat="1" applyFont="1" applyFill="1" applyBorder="1" applyAlignment="1" applyProtection="1">
      <alignment horizontal="left" vertical="center" wrapText="1"/>
      <protection hidden="1"/>
    </xf>
    <xf numFmtId="0" fontId="35" fillId="0" borderId="180" xfId="0" applyNumberFormat="1" applyFont="1" applyFill="1" applyBorder="1" applyAlignment="1" applyProtection="1">
      <alignment horizontal="left" vertical="center" wrapText="1"/>
      <protection hidden="1"/>
    </xf>
    <xf numFmtId="0" fontId="35" fillId="0" borderId="181" xfId="0" applyNumberFormat="1" applyFont="1" applyFill="1" applyBorder="1" applyAlignment="1" applyProtection="1">
      <alignment horizontal="left" vertical="center" wrapText="1"/>
      <protection hidden="1"/>
    </xf>
    <xf numFmtId="0" fontId="170" fillId="0" borderId="207" xfId="0" applyNumberFormat="1" applyFont="1" applyFill="1" applyBorder="1" applyAlignment="1" applyProtection="1">
      <alignment horizontal="center" vertical="top" wrapText="1"/>
      <protection hidden="1"/>
    </xf>
    <xf numFmtId="0" fontId="170" fillId="0" borderId="208" xfId="0" applyNumberFormat="1" applyFont="1" applyFill="1" applyBorder="1" applyAlignment="1" applyProtection="1">
      <alignment horizontal="center" vertical="top" wrapText="1"/>
      <protection hidden="1"/>
    </xf>
    <xf numFmtId="0" fontId="170" fillId="0" borderId="191" xfId="0" applyNumberFormat="1" applyFont="1" applyFill="1" applyBorder="1" applyAlignment="1" applyProtection="1">
      <alignment horizontal="center" vertical="top" wrapText="1"/>
      <protection hidden="1"/>
    </xf>
    <xf numFmtId="0" fontId="60" fillId="0" borderId="191" xfId="0" applyNumberFormat="1" applyFont="1" applyFill="1" applyBorder="1" applyAlignment="1" applyProtection="1">
      <alignment horizontal="right" vertical="center" wrapText="1"/>
      <protection hidden="1"/>
    </xf>
    <xf numFmtId="0" fontId="327" fillId="0" borderId="191" xfId="0" applyNumberFormat="1" applyFont="1" applyFill="1" applyBorder="1" applyAlignment="1" applyProtection="1">
      <alignment horizontal="right" vertical="center" wrapText="1"/>
      <protection hidden="1"/>
    </xf>
    <xf numFmtId="0" fontId="92" fillId="0" borderId="190" xfId="0" applyNumberFormat="1" applyFont="1" applyFill="1" applyBorder="1" applyAlignment="1" applyProtection="1">
      <alignment horizontal="center" vertical="center" wrapText="1"/>
      <protection hidden="1"/>
    </xf>
    <xf numFmtId="0" fontId="92" fillId="0" borderId="192" xfId="0" applyNumberFormat="1" applyFont="1" applyFill="1" applyBorder="1" applyAlignment="1" applyProtection="1">
      <alignment horizontal="center" vertical="center" wrapText="1"/>
      <protection hidden="1"/>
    </xf>
    <xf numFmtId="0" fontId="35" fillId="0" borderId="179" xfId="0" applyNumberFormat="1" applyFont="1" applyFill="1" applyBorder="1" applyAlignment="1" applyProtection="1">
      <alignment horizontal="center" vertical="center" wrapText="1"/>
      <protection hidden="1"/>
    </xf>
    <xf numFmtId="0" fontId="35" fillId="0" borderId="181" xfId="0" applyNumberFormat="1" applyFont="1" applyFill="1" applyBorder="1" applyAlignment="1" applyProtection="1">
      <alignment horizontal="center" vertical="center" wrapText="1"/>
      <protection hidden="1"/>
    </xf>
    <xf numFmtId="0" fontId="169" fillId="0" borderId="188" xfId="0" applyNumberFormat="1" applyFont="1" applyFill="1" applyBorder="1" applyAlignment="1" applyProtection="1">
      <alignment horizontal="center" vertical="top" wrapText="1"/>
      <protection hidden="1"/>
    </xf>
    <xf numFmtId="0" fontId="35" fillId="0" borderId="206" xfId="0" applyNumberFormat="1" applyFont="1" applyFill="1" applyBorder="1" applyAlignment="1" applyProtection="1">
      <alignment horizontal="center" vertical="center" wrapText="1"/>
      <protection hidden="1"/>
    </xf>
    <xf numFmtId="0" fontId="35" fillId="0" borderId="201" xfId="0" applyNumberFormat="1" applyFont="1" applyFill="1" applyBorder="1" applyAlignment="1" applyProtection="1">
      <alignment horizontal="center" vertical="center" wrapText="1"/>
      <protection hidden="1"/>
    </xf>
    <xf numFmtId="0" fontId="35" fillId="0" borderId="187" xfId="0" applyNumberFormat="1" applyFont="1" applyFill="1" applyBorder="1" applyAlignment="1" applyProtection="1">
      <alignment horizontal="center" vertical="center" wrapText="1"/>
      <protection hidden="1"/>
    </xf>
    <xf numFmtId="0" fontId="35" fillId="0" borderId="189" xfId="0" applyNumberFormat="1" applyFont="1" applyFill="1" applyBorder="1" applyAlignment="1" applyProtection="1">
      <alignment horizontal="center" vertical="center" wrapText="1"/>
      <protection hidden="1"/>
    </xf>
    <xf numFmtId="0" fontId="251" fillId="0" borderId="162" xfId="0" applyFont="1" applyFill="1" applyBorder="1" applyAlignment="1" applyProtection="1">
      <alignment horizontal="center" vertical="center" wrapText="1"/>
      <protection hidden="1"/>
    </xf>
    <xf numFmtId="0" fontId="239" fillId="0" borderId="168" xfId="0" applyFont="1" applyFill="1" applyBorder="1" applyAlignment="1" applyProtection="1">
      <alignment horizontal="center" vertical="center" textRotation="90" wrapText="1"/>
      <protection hidden="1"/>
    </xf>
    <xf numFmtId="0" fontId="35" fillId="0" borderId="0" xfId="0" applyNumberFormat="1" applyFont="1" applyBorder="1" applyAlignment="1" applyProtection="1">
      <alignment horizontal="left" vertical="center" wrapText="1"/>
      <protection hidden="1"/>
    </xf>
    <xf numFmtId="0" fontId="35" fillId="0" borderId="0" xfId="0" applyNumberFormat="1" applyFont="1" applyBorder="1" applyAlignment="1" applyProtection="1">
      <alignment horizontal="right" vertical="center" wrapText="1"/>
      <protection hidden="1"/>
    </xf>
    <xf numFmtId="0" fontId="328" fillId="0" borderId="0" xfId="0" applyNumberFormat="1" applyFont="1" applyFill="1" applyBorder="1" applyAlignment="1" applyProtection="1">
      <alignment horizontal="left" vertical="center" wrapText="1"/>
      <protection hidden="1"/>
    </xf>
    <xf numFmtId="0" fontId="171" fillId="0" borderId="0" xfId="0" applyFont="1" applyAlignment="1" applyProtection="1">
      <alignment horizontal="center" vertical="center" textRotation="90"/>
      <protection hidden="1"/>
    </xf>
    <xf numFmtId="0" fontId="317" fillId="0" borderId="0" xfId="0" applyFont="1" applyBorder="1" applyAlignment="1" applyProtection="1">
      <alignment horizontal="center"/>
      <protection hidden="1"/>
    </xf>
    <xf numFmtId="0" fontId="318" fillId="0" borderId="0" xfId="0" applyFont="1" applyBorder="1" applyAlignment="1" applyProtection="1">
      <alignment horizontal="left" vertical="center"/>
      <protection hidden="1"/>
    </xf>
    <xf numFmtId="0" fontId="60" fillId="0" borderId="0" xfId="0" applyNumberFormat="1" applyFont="1" applyBorder="1" applyAlignment="1" applyProtection="1">
      <alignment horizontal="left" vertical="center" wrapText="1"/>
      <protection hidden="1"/>
    </xf>
    <xf numFmtId="171" fontId="35" fillId="0" borderId="0" xfId="0" applyNumberFormat="1" applyFont="1" applyBorder="1" applyAlignment="1" applyProtection="1">
      <alignment horizontal="left" vertical="center" wrapText="1"/>
      <protection hidden="1"/>
    </xf>
    <xf numFmtId="0" fontId="9" fillId="0" borderId="0" xfId="0" applyNumberFormat="1" applyFont="1" applyBorder="1" applyAlignment="1" applyProtection="1">
      <alignment horizontal="center" vertical="top" wrapText="1"/>
      <protection hidden="1"/>
    </xf>
    <xf numFmtId="0" fontId="8" fillId="13" borderId="67" xfId="0" applyFont="1" applyFill="1" applyBorder="1" applyAlignment="1" applyProtection="1">
      <alignment horizontal="center"/>
      <protection hidden="1"/>
    </xf>
    <xf numFmtId="0" fontId="168" fillId="0" borderId="0" xfId="0" applyNumberFormat="1" applyFont="1" applyFill="1" applyBorder="1" applyAlignment="1" applyProtection="1">
      <alignment horizontal="left" vertical="center" wrapText="1"/>
      <protection hidden="1"/>
    </xf>
    <xf numFmtId="0" fontId="169" fillId="0" borderId="0" xfId="0" applyNumberFormat="1" applyFont="1" applyBorder="1" applyAlignment="1" applyProtection="1">
      <alignment horizontal="center" vertical="top" wrapText="1"/>
      <protection hidden="1"/>
    </xf>
    <xf numFmtId="0" fontId="352" fillId="34" borderId="66" xfId="0" applyFont="1" applyFill="1" applyBorder="1" applyAlignment="1" applyProtection="1">
      <alignment horizontal="center" vertical="center" wrapText="1"/>
      <protection hidden="1"/>
    </xf>
    <xf numFmtId="0" fontId="352" fillId="34" borderId="67" xfId="0" applyFont="1" applyFill="1" applyBorder="1" applyAlignment="1" applyProtection="1">
      <alignment horizontal="center" vertical="center" wrapText="1"/>
      <protection hidden="1"/>
    </xf>
    <xf numFmtId="0" fontId="352" fillId="34" borderId="68" xfId="0" applyFont="1" applyFill="1" applyBorder="1" applyAlignment="1" applyProtection="1">
      <alignment horizontal="center" vertical="center" wrapText="1"/>
      <protection hidden="1"/>
    </xf>
    <xf numFmtId="0" fontId="352" fillId="34" borderId="69" xfId="0" applyFont="1" applyFill="1" applyBorder="1" applyAlignment="1" applyProtection="1">
      <alignment horizontal="center" vertical="center" wrapText="1"/>
      <protection hidden="1"/>
    </xf>
    <xf numFmtId="0" fontId="352" fillId="34" borderId="0" xfId="0" applyFont="1" applyFill="1" applyBorder="1" applyAlignment="1" applyProtection="1">
      <alignment horizontal="center" vertical="center" wrapText="1"/>
      <protection hidden="1"/>
    </xf>
    <xf numFmtId="0" fontId="352" fillId="34" borderId="70" xfId="0" applyFont="1" applyFill="1" applyBorder="1" applyAlignment="1" applyProtection="1">
      <alignment horizontal="center" vertical="center" wrapText="1"/>
      <protection hidden="1"/>
    </xf>
    <xf numFmtId="0" fontId="352" fillId="34" borderId="71" xfId="0" applyFont="1" applyFill="1" applyBorder="1" applyAlignment="1" applyProtection="1">
      <alignment horizontal="center" vertical="center" wrapText="1"/>
      <protection hidden="1"/>
    </xf>
    <xf numFmtId="0" fontId="352" fillId="34" borderId="72" xfId="0" applyFont="1" applyFill="1" applyBorder="1" applyAlignment="1" applyProtection="1">
      <alignment horizontal="center" vertical="center" wrapText="1"/>
      <protection hidden="1"/>
    </xf>
    <xf numFmtId="0" fontId="352" fillId="34" borderId="73" xfId="0" applyFont="1" applyFill="1" applyBorder="1" applyAlignment="1" applyProtection="1">
      <alignment horizontal="center" vertical="center" wrapText="1"/>
      <protection hidden="1"/>
    </xf>
    <xf numFmtId="0" fontId="27" fillId="0" borderId="66" xfId="0" applyFont="1" applyBorder="1" applyAlignment="1" applyProtection="1">
      <alignment horizontal="center" vertical="center" wrapText="1"/>
      <protection hidden="1"/>
    </xf>
    <xf numFmtId="0" fontId="27" fillId="0" borderId="67" xfId="0" applyFont="1" applyBorder="1" applyAlignment="1" applyProtection="1">
      <alignment horizontal="center" vertical="center" wrapText="1"/>
      <protection hidden="1"/>
    </xf>
    <xf numFmtId="0" fontId="27" fillId="0" borderId="68" xfId="0" applyFont="1" applyBorder="1" applyAlignment="1" applyProtection="1">
      <alignment horizontal="center" vertical="center" wrapText="1"/>
      <protection hidden="1"/>
    </xf>
    <xf numFmtId="0" fontId="27" fillId="0" borderId="69" xfId="0" applyFont="1" applyBorder="1" applyAlignment="1" applyProtection="1">
      <alignment horizontal="center" vertical="center" wrapText="1"/>
      <protection hidden="1"/>
    </xf>
    <xf numFmtId="0" fontId="27" fillId="0" borderId="0" xfId="0" applyFont="1" applyBorder="1" applyAlignment="1" applyProtection="1">
      <alignment horizontal="center" vertical="center" wrapText="1"/>
      <protection hidden="1"/>
    </xf>
    <xf numFmtId="0" fontId="27" fillId="0" borderId="70" xfId="0" applyFont="1" applyBorder="1" applyAlignment="1" applyProtection="1">
      <alignment horizontal="center" vertical="center" wrapText="1"/>
      <protection hidden="1"/>
    </xf>
    <xf numFmtId="0" fontId="27" fillId="0" borderId="71" xfId="0" applyFont="1" applyBorder="1" applyAlignment="1" applyProtection="1">
      <alignment horizontal="center" vertical="center" wrapText="1"/>
      <protection hidden="1"/>
    </xf>
    <xf numFmtId="0" fontId="27" fillId="0" borderId="72" xfId="0" applyFont="1" applyBorder="1" applyAlignment="1" applyProtection="1">
      <alignment horizontal="center" vertical="center" wrapText="1"/>
      <protection hidden="1"/>
    </xf>
    <xf numFmtId="0" fontId="27" fillId="0" borderId="73" xfId="0" applyFont="1" applyBorder="1" applyAlignment="1" applyProtection="1">
      <alignment horizontal="center" vertical="center" wrapText="1"/>
      <protection hidden="1"/>
    </xf>
    <xf numFmtId="170" fontId="60" fillId="0" borderId="0" xfId="0" applyNumberFormat="1" applyFont="1" applyBorder="1" applyAlignment="1" applyProtection="1">
      <alignment horizontal="left" vertical="center"/>
      <protection hidden="1"/>
    </xf>
    <xf numFmtId="0" fontId="213" fillId="0" borderId="317" xfId="0" applyFont="1" applyFill="1" applyBorder="1" applyAlignment="1" applyProtection="1">
      <alignment horizontal="center" vertical="center" wrapText="1"/>
      <protection hidden="1"/>
    </xf>
    <xf numFmtId="0" fontId="213" fillId="0" borderId="330" xfId="0" applyFont="1" applyFill="1" applyBorder="1" applyAlignment="1" applyProtection="1">
      <alignment horizontal="center" vertical="center" wrapText="1"/>
      <protection hidden="1"/>
    </xf>
    <xf numFmtId="1" fontId="49" fillId="0" borderId="162" xfId="0" applyNumberFormat="1" applyFont="1" applyFill="1" applyBorder="1" applyAlignment="1" applyProtection="1">
      <alignment horizontal="center" vertical="center" wrapText="1"/>
      <protection hidden="1"/>
    </xf>
    <xf numFmtId="1" fontId="267" fillId="7" borderId="163" xfId="0" applyNumberFormat="1" applyFont="1" applyFill="1" applyBorder="1" applyAlignment="1" applyProtection="1">
      <alignment horizontal="center" vertical="center" wrapText="1"/>
      <protection hidden="1"/>
    </xf>
    <xf numFmtId="1" fontId="267" fillId="7" borderId="164" xfId="0" applyNumberFormat="1" applyFont="1" applyFill="1" applyBorder="1" applyAlignment="1" applyProtection="1">
      <alignment horizontal="center" vertical="center" wrapText="1"/>
      <protection hidden="1"/>
    </xf>
    <xf numFmtId="1" fontId="267" fillId="7" borderId="322" xfId="0" applyNumberFormat="1" applyFont="1" applyFill="1" applyBorder="1" applyAlignment="1" applyProtection="1">
      <alignment horizontal="center" vertical="center" wrapText="1"/>
      <protection hidden="1"/>
    </xf>
    <xf numFmtId="1" fontId="267" fillId="7" borderId="165" xfId="0" applyNumberFormat="1" applyFont="1" applyFill="1" applyBorder="1" applyAlignment="1" applyProtection="1">
      <alignment horizontal="center" vertical="center" wrapText="1"/>
      <protection hidden="1"/>
    </xf>
    <xf numFmtId="1" fontId="267" fillId="7" borderId="166" xfId="0" applyNumberFormat="1" applyFont="1" applyFill="1" applyBorder="1" applyAlignment="1" applyProtection="1">
      <alignment horizontal="center" vertical="center" wrapText="1"/>
      <protection hidden="1"/>
    </xf>
    <xf numFmtId="1" fontId="267" fillId="7" borderId="324" xfId="0" applyNumberFormat="1" applyFont="1" applyFill="1" applyBorder="1" applyAlignment="1" applyProtection="1">
      <alignment horizontal="center" vertical="center" wrapText="1"/>
      <protection hidden="1"/>
    </xf>
    <xf numFmtId="0" fontId="239" fillId="0" borderId="167" xfId="0" applyFont="1" applyFill="1" applyBorder="1" applyAlignment="1" applyProtection="1">
      <alignment horizontal="center" vertical="center" wrapText="1"/>
      <protection hidden="1"/>
    </xf>
    <xf numFmtId="0" fontId="239" fillId="0" borderId="174" xfId="0" applyFont="1" applyFill="1" applyBorder="1" applyAlignment="1" applyProtection="1">
      <alignment horizontal="center" vertical="center" wrapText="1"/>
      <protection hidden="1"/>
    </xf>
    <xf numFmtId="0" fontId="239" fillId="0" borderId="323" xfId="0" applyFont="1" applyFill="1" applyBorder="1" applyAlignment="1" applyProtection="1">
      <alignment horizontal="center" vertical="center" wrapText="1"/>
      <protection hidden="1"/>
    </xf>
    <xf numFmtId="0" fontId="319" fillId="0" borderId="321" xfId="0" applyFont="1" applyFill="1" applyBorder="1" applyAlignment="1" applyProtection="1">
      <alignment horizontal="right" vertical="center" wrapText="1"/>
      <protection hidden="1"/>
    </xf>
    <xf numFmtId="0" fontId="319" fillId="0" borderId="174" xfId="0" applyFont="1" applyFill="1" applyBorder="1" applyAlignment="1" applyProtection="1">
      <alignment horizontal="right" vertical="center" wrapText="1"/>
      <protection hidden="1"/>
    </xf>
    <xf numFmtId="0" fontId="239" fillId="0" borderId="175" xfId="0" applyFont="1" applyFill="1" applyBorder="1" applyAlignment="1" applyProtection="1">
      <alignment horizontal="center" vertical="center" wrapText="1"/>
      <protection hidden="1"/>
    </xf>
    <xf numFmtId="1" fontId="49" fillId="0" borderId="164" xfId="0" applyNumberFormat="1" applyFont="1" applyFill="1" applyBorder="1" applyAlignment="1" applyProtection="1">
      <alignment horizontal="center" vertical="center" wrapText="1"/>
      <protection hidden="1"/>
    </xf>
    <xf numFmtId="0" fontId="118" fillId="0" borderId="167" xfId="0" applyFont="1" applyFill="1" applyBorder="1" applyAlignment="1" applyProtection="1">
      <alignment horizontal="center" vertical="center" wrapText="1"/>
      <protection hidden="1"/>
    </xf>
    <xf numFmtId="0" fontId="118" fillId="0" borderId="175" xfId="0" applyFont="1" applyFill="1" applyBorder="1" applyAlignment="1" applyProtection="1">
      <alignment horizontal="center" vertical="center" wrapText="1"/>
      <protection hidden="1"/>
    </xf>
    <xf numFmtId="0" fontId="158" fillId="0" borderId="167" xfId="0" applyFont="1" applyFill="1" applyBorder="1" applyAlignment="1" applyProtection="1">
      <alignment horizontal="center" vertical="center" wrapText="1"/>
      <protection hidden="1"/>
    </xf>
    <xf numFmtId="0" fontId="158" fillId="0" borderId="175" xfId="0" applyFont="1" applyFill="1" applyBorder="1" applyAlignment="1" applyProtection="1">
      <alignment horizontal="center" vertical="center" wrapText="1"/>
      <protection hidden="1"/>
    </xf>
    <xf numFmtId="0" fontId="213" fillId="0" borderId="0" xfId="0" applyFont="1" applyBorder="1" applyAlignment="1" applyProtection="1">
      <alignment horizontal="center" vertical="center" wrapText="1"/>
      <protection hidden="1"/>
    </xf>
    <xf numFmtId="0" fontId="166" fillId="0" borderId="0" xfId="0" applyFont="1" applyBorder="1" applyAlignment="1" applyProtection="1">
      <alignment horizontal="center"/>
      <protection hidden="1"/>
    </xf>
  </cellXfs>
  <cellStyles count="6">
    <cellStyle name="Hyperlink" xfId="4" builtinId="8"/>
    <cellStyle name="Normal" xfId="0" builtinId="0"/>
    <cellStyle name="Normal 2" xfId="3"/>
    <cellStyle name="Normal 3" xfId="5"/>
    <cellStyle name="Normal_Sheet1" xfId="1"/>
    <cellStyle name="Normal_Sheet2" xfId="2"/>
  </cellStyles>
  <dxfs count="262">
    <dxf>
      <font>
        <b/>
        <i val="0"/>
        <color rgb="FF0000CC"/>
      </font>
    </dxf>
    <dxf>
      <font>
        <color theme="5" tint="-0.499984740745262"/>
      </font>
    </dxf>
    <dxf>
      <font>
        <b/>
        <i val="0"/>
        <color rgb="FF0000CC"/>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b/>
        <i val="0"/>
        <color rgb="FF0000CC"/>
      </font>
    </dxf>
    <dxf>
      <font>
        <b/>
        <i val="0"/>
        <color rgb="FF0000CC"/>
      </font>
    </dxf>
    <dxf>
      <font>
        <b/>
        <i val="0"/>
        <color rgb="FF0000CC"/>
      </font>
    </dxf>
    <dxf>
      <font>
        <color theme="0"/>
      </font>
      <fill>
        <patternFill>
          <bgColor theme="0"/>
        </patternFill>
      </fill>
      <border>
        <left/>
        <right/>
        <top/>
        <bottom/>
        <vertical/>
        <horizontal/>
      </border>
    </dxf>
    <dxf>
      <font>
        <b/>
        <i val="0"/>
        <color rgb="FF004620"/>
      </font>
      <fill>
        <patternFill>
          <bgColor theme="9" tint="0.79998168889431442"/>
        </patternFill>
      </fill>
    </dxf>
    <dxf>
      <font>
        <b/>
        <i val="0"/>
        <color rgb="FFD60093"/>
      </font>
      <fill>
        <patternFill>
          <bgColor theme="3" tint="0.79998168889431442"/>
        </patternFill>
      </fill>
    </dxf>
    <dxf>
      <font>
        <b/>
        <i val="0"/>
        <color rgb="FFFF0000"/>
      </font>
    </dxf>
    <dxf>
      <font>
        <b/>
        <i val="0"/>
        <color rgb="FF0000CC"/>
      </font>
    </dxf>
    <dxf>
      <font>
        <color theme="5" tint="-0.499984740745262"/>
      </font>
    </dxf>
    <dxf>
      <font>
        <b/>
        <i val="0"/>
        <color rgb="FF0000CC"/>
      </font>
    </dxf>
    <dxf>
      <font>
        <color theme="0"/>
      </font>
    </dxf>
    <dxf>
      <font>
        <b/>
        <i val="0"/>
        <color rgb="FF0000CC"/>
      </font>
    </dxf>
    <dxf>
      <font>
        <b/>
        <i val="0"/>
        <color rgb="FFD60093"/>
      </font>
    </dxf>
    <dxf>
      <font>
        <color theme="0"/>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ndense val="0"/>
        <extend val="0"/>
        <color rgb="FF9C0006"/>
      </font>
      <fill>
        <patternFill>
          <bgColor rgb="FFFFC7CE"/>
        </patternFill>
      </fill>
    </dxf>
    <dxf>
      <fill>
        <patternFill>
          <bgColor rgb="FFFFFF99"/>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b/>
        <i val="0"/>
        <color rgb="FF006100"/>
      </font>
      <fill>
        <patternFill>
          <bgColor rgb="FFC6EFCE"/>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rgb="FF0000FF"/>
      </font>
    </dxf>
    <dxf>
      <font>
        <color rgb="FFFF0000"/>
      </font>
    </dxf>
    <dxf>
      <font>
        <color rgb="FF339933"/>
      </font>
    </dxf>
    <dxf>
      <font>
        <color theme="0"/>
      </font>
    </dxf>
    <dxf>
      <font>
        <b/>
        <i val="0"/>
        <color rgb="FF9C0006"/>
      </font>
      <fill>
        <patternFill patternType="none">
          <bgColor auto="1"/>
        </patternFill>
      </fill>
    </dxf>
    <dxf>
      <font>
        <color theme="0"/>
      </font>
    </dxf>
    <dxf>
      <font>
        <color theme="0"/>
      </font>
    </dxf>
    <dxf>
      <font>
        <color theme="0"/>
      </font>
    </dxf>
    <dxf>
      <fill>
        <patternFill>
          <bgColor theme="5" tint="0.79998168889431442"/>
        </patternFill>
      </fill>
    </dxf>
    <dxf>
      <font>
        <color rgb="FFFF0000"/>
      </font>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4" tint="0.39994506668294322"/>
      </font>
      <fill>
        <patternFill>
          <bgColor theme="4" tint="0.39994506668294322"/>
        </patternFill>
      </fill>
      <border>
        <left/>
        <right/>
        <top/>
        <bottom/>
        <vertical/>
        <horizontal/>
      </border>
    </dxf>
    <dxf>
      <font>
        <condense val="0"/>
        <extend val="0"/>
        <color rgb="FF9C0006"/>
      </font>
      <fill>
        <patternFill>
          <bgColor rgb="FFFFCCFF"/>
        </patternFill>
      </fill>
    </dxf>
    <dxf>
      <font>
        <color rgb="FF0066FF"/>
      </font>
      <fill>
        <patternFill>
          <bgColor theme="6" tint="0.59996337778862885"/>
        </patternFill>
      </fill>
    </dxf>
    <dxf>
      <font>
        <color rgb="FFFF0000"/>
      </font>
      <fill>
        <patternFill>
          <bgColor rgb="FFFFFFCC"/>
        </patternFill>
      </fill>
    </dxf>
    <dxf>
      <font>
        <color rgb="FF0033CC"/>
      </font>
      <fill>
        <patternFill>
          <bgColor theme="4" tint="0.79998168889431442"/>
        </patternFill>
      </fill>
    </dxf>
    <dxf>
      <font>
        <color auto="1"/>
        <name val="Cambria"/>
        <scheme val="none"/>
      </font>
      <fill>
        <patternFill>
          <bgColor theme="9" tint="0.79998168889431442"/>
        </patternFill>
      </fill>
    </dxf>
    <dxf>
      <font>
        <color rgb="FF0033CC"/>
      </font>
      <fill>
        <patternFill>
          <bgColor theme="4" tint="0.79998168889431442"/>
        </patternFill>
      </fill>
    </dxf>
    <dxf>
      <font>
        <color rgb="FFFF0000"/>
      </font>
      <fill>
        <patternFill>
          <bgColor theme="9" tint="0.79998168889431442"/>
        </patternFill>
      </fill>
    </dxf>
    <dxf>
      <font>
        <color theme="0"/>
      </font>
    </dxf>
    <dxf>
      <font>
        <color rgb="FFFFFFCC"/>
      </font>
    </dxf>
  </dxfs>
  <tableStyles count="0" defaultTableStyle="TableStyleMedium9" defaultPivotStyle="PivotStyleLight16"/>
  <colors>
    <mruColors>
      <color rgb="FFD60093"/>
      <color rgb="FF004620"/>
      <color rgb="FF0000CC"/>
      <color rgb="FFCC0099"/>
      <color rgb="FF9900FF"/>
      <color rgb="FF005024"/>
      <color rgb="FF00FF00"/>
      <color rgb="FF008E4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 With Photo'!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13" Type="http://schemas.openxmlformats.org/officeDocument/2006/relationships/image" Target="../media/image17.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image" Target="../media/image16.png"/><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hyperlink" Target="#'Marks Entry'!A1"/><Relationship Id="rId5" Type="http://schemas.openxmlformats.org/officeDocument/2006/relationships/image" Target="../media/image11.jpeg"/><Relationship Id="rId10" Type="http://schemas.openxmlformats.org/officeDocument/2006/relationships/hyperlink" Target="#'School Profile'!A1"/><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Student DATA Entry'!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hyperlink" Target="#'Master Sheet'!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1601732</xdr:colOff>
      <xdr:row>31</xdr:row>
      <xdr:rowOff>276226</xdr:rowOff>
    </xdr:from>
    <xdr:to>
      <xdr:col>0</xdr:col>
      <xdr:colOff>2800350</xdr:colOff>
      <xdr:row>35</xdr:row>
      <xdr:rowOff>219075</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601732" y="17183101"/>
          <a:ext cx="1198618" cy="1266824"/>
        </a:xfrm>
        <a:prstGeom prst="rect">
          <a:avLst/>
        </a:prstGeom>
        <a:ln>
          <a:noFill/>
        </a:ln>
        <a:effectLst>
          <a:softEdge rad="112500"/>
        </a:effectLst>
      </xdr:spPr>
    </xdr:pic>
    <xdr:clientData/>
  </xdr:twoCellAnchor>
  <xdr:twoCellAnchor editAs="oneCell">
    <xdr:from>
      <xdr:col>3</xdr:col>
      <xdr:colOff>257175</xdr:colOff>
      <xdr:row>31</xdr:row>
      <xdr:rowOff>228600</xdr:rowOff>
    </xdr:from>
    <xdr:to>
      <xdr:col>3</xdr:col>
      <xdr:colOff>1552575</xdr:colOff>
      <xdr:row>35</xdr:row>
      <xdr:rowOff>250891</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915400" y="17135475"/>
          <a:ext cx="1295400" cy="1346266"/>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3248023</xdr:colOff>
      <xdr:row>22</xdr:row>
      <xdr:rowOff>152400</xdr:rowOff>
    </xdr:from>
    <xdr:to>
      <xdr:col>4</xdr:col>
      <xdr:colOff>19049</xdr:colOff>
      <xdr:row>23</xdr:row>
      <xdr:rowOff>704850</xdr:rowOff>
    </xdr:to>
    <xdr:sp macro="" textlink="">
      <xdr:nvSpPr>
        <xdr:cNvPr id="2" name="Bevel 1">
          <a:hlinkClick xmlns:r="http://schemas.openxmlformats.org/officeDocument/2006/relationships" r:id="rId1"/>
        </xdr:cNvPr>
        <xdr:cNvSpPr/>
      </xdr:nvSpPr>
      <xdr:spPr>
        <a:xfrm>
          <a:off x="7372348" y="7048500"/>
          <a:ext cx="2000251" cy="7524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161924</xdr:colOff>
      <xdr:row>22</xdr:row>
      <xdr:rowOff>180976</xdr:rowOff>
    </xdr:from>
    <xdr:to>
      <xdr:col>3</xdr:col>
      <xdr:colOff>2686049</xdr:colOff>
      <xdr:row>23</xdr:row>
      <xdr:rowOff>685800</xdr:rowOff>
    </xdr:to>
    <xdr:sp macro="" textlink="">
      <xdr:nvSpPr>
        <xdr:cNvPr id="3" name="Bevel 2">
          <a:hlinkClick xmlns:r="http://schemas.openxmlformats.org/officeDocument/2006/relationships" r:id="rId2"/>
        </xdr:cNvPr>
        <xdr:cNvSpPr/>
      </xdr:nvSpPr>
      <xdr:spPr>
        <a:xfrm>
          <a:off x="4286249" y="7077076"/>
          <a:ext cx="2524125" cy="704849"/>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200025</xdr:colOff>
      <xdr:row>22</xdr:row>
      <xdr:rowOff>95250</xdr:rowOff>
    </xdr:from>
    <xdr:to>
      <xdr:col>2</xdr:col>
      <xdr:colOff>3152775</xdr:colOff>
      <xdr:row>23</xdr:row>
      <xdr:rowOff>676275</xdr:rowOff>
    </xdr:to>
    <xdr:sp macro="" textlink="">
      <xdr:nvSpPr>
        <xdr:cNvPr id="4" name="Bevel 3">
          <a:hlinkClick xmlns:r="http://schemas.openxmlformats.org/officeDocument/2006/relationships" r:id="rId3"/>
        </xdr:cNvPr>
        <xdr:cNvSpPr/>
      </xdr:nvSpPr>
      <xdr:spPr>
        <a:xfrm>
          <a:off x="847725" y="6991350"/>
          <a:ext cx="2952750" cy="781050"/>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 Entry </a:t>
          </a:r>
        </a:p>
      </xdr:txBody>
    </xdr:sp>
    <xdr:clientData/>
  </xdr:twoCellAnchor>
  <xdr:twoCellAnchor editAs="oneCell">
    <xdr:from>
      <xdr:col>11</xdr:col>
      <xdr:colOff>666749</xdr:colOff>
      <xdr:row>4</xdr:row>
      <xdr:rowOff>161925</xdr:rowOff>
    </xdr:from>
    <xdr:to>
      <xdr:col>12</xdr:col>
      <xdr:colOff>657225</xdr:colOff>
      <xdr:row>9</xdr:row>
      <xdr:rowOff>9525</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15887699" y="1295400"/>
          <a:ext cx="1381126" cy="1524000"/>
        </a:xfrm>
        <a:prstGeom prst="rect">
          <a:avLst/>
        </a:prstGeom>
        <a:noFill/>
      </xdr:spPr>
    </xdr:pic>
    <xdr:clientData/>
  </xdr:twoCellAnchor>
  <xdr:twoCellAnchor editAs="oneCell">
    <xdr:from>
      <xdr:col>12</xdr:col>
      <xdr:colOff>0</xdr:colOff>
      <xdr:row>2</xdr:row>
      <xdr:rowOff>114300</xdr:rowOff>
    </xdr:from>
    <xdr:to>
      <xdr:col>12</xdr:col>
      <xdr:colOff>0</xdr:colOff>
      <xdr:row>5</xdr:row>
      <xdr:rowOff>304800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12</xdr:col>
      <xdr:colOff>0</xdr:colOff>
      <xdr:row>2</xdr:row>
      <xdr:rowOff>114300</xdr:rowOff>
    </xdr:from>
    <xdr:to>
      <xdr:col>12</xdr:col>
      <xdr:colOff>0</xdr:colOff>
      <xdr:row>6</xdr:row>
      <xdr:rowOff>9525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8</xdr:col>
      <xdr:colOff>19051</xdr:colOff>
      <xdr:row>2</xdr:row>
      <xdr:rowOff>200025</xdr:rowOff>
    </xdr:from>
    <xdr:to>
      <xdr:col>9</xdr:col>
      <xdr:colOff>1847851</xdr:colOff>
      <xdr:row>4</xdr:row>
      <xdr:rowOff>28575</xdr:rowOff>
    </xdr:to>
    <xdr:sp macro="" textlink="">
      <xdr:nvSpPr>
        <xdr:cNvPr id="9" name="Rectangle 8"/>
        <xdr:cNvSpPr/>
      </xdr:nvSpPr>
      <xdr:spPr>
        <a:xfrm>
          <a:off x="11515726" y="695325"/>
          <a:ext cx="3143250" cy="4667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9</a:t>
          </a:r>
          <a:r>
            <a:rPr lang="en-US" sz="1600" b="1" i="1">
              <a:solidFill>
                <a:srgbClr val="FFFF00"/>
              </a:solidFill>
              <a:latin typeface="+mn-lt"/>
            </a:rPr>
            <a:t>th Subject Teacher Name</a:t>
          </a:r>
        </a:p>
      </xdr:txBody>
    </xdr:sp>
    <xdr:clientData/>
  </xdr:twoCellAnchor>
  <xdr:twoCellAnchor>
    <xdr:from>
      <xdr:col>3</xdr:col>
      <xdr:colOff>1133476</xdr:colOff>
      <xdr:row>2</xdr:row>
      <xdr:rowOff>219075</xdr:rowOff>
    </xdr:from>
    <xdr:to>
      <xdr:col>3</xdr:col>
      <xdr:colOff>3228976</xdr:colOff>
      <xdr:row>4</xdr:row>
      <xdr:rowOff>66675</xdr:rowOff>
    </xdr:to>
    <xdr:sp macro="" textlink="">
      <xdr:nvSpPr>
        <xdr:cNvPr id="10" name="Rectangle 9"/>
        <xdr:cNvSpPr/>
      </xdr:nvSpPr>
      <xdr:spPr>
        <a:xfrm>
          <a:off x="5257801" y="71437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266701</xdr:colOff>
      <xdr:row>24</xdr:row>
      <xdr:rowOff>123825</xdr:rowOff>
    </xdr:from>
    <xdr:to>
      <xdr:col>9</xdr:col>
      <xdr:colOff>1990726</xdr:colOff>
      <xdr:row>26</xdr:row>
      <xdr:rowOff>152400</xdr:rowOff>
    </xdr:to>
    <xdr:sp macro="" textlink="">
      <xdr:nvSpPr>
        <xdr:cNvPr id="11" name="Rectangle 10"/>
        <xdr:cNvSpPr/>
      </xdr:nvSpPr>
      <xdr:spPr>
        <a:xfrm>
          <a:off x="11334751" y="7400925"/>
          <a:ext cx="3390900" cy="4095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600" b="1">
              <a:solidFill>
                <a:srgbClr val="FFFF00"/>
              </a:solidFill>
              <a:latin typeface="+mn-lt"/>
            </a:rPr>
            <a:t>व्यावसायिक शिक्षा वैकल्पिक विषय </a:t>
          </a:r>
          <a:endParaRPr lang="en-US" sz="1600" b="1">
            <a:solidFill>
              <a:srgbClr val="FFFF00"/>
            </a:solidFill>
            <a:latin typeface="+mn-lt"/>
          </a:endParaRPr>
        </a:p>
      </xdr:txBody>
    </xdr:sp>
    <xdr:clientData/>
  </xdr:twoCellAnchor>
  <xdr:twoCellAnchor>
    <xdr:from>
      <xdr:col>10</xdr:col>
      <xdr:colOff>190501</xdr:colOff>
      <xdr:row>20</xdr:row>
      <xdr:rowOff>19050</xdr:rowOff>
    </xdr:from>
    <xdr:to>
      <xdr:col>12</xdr:col>
      <xdr:colOff>295275</xdr:colOff>
      <xdr:row>21</xdr:row>
      <xdr:rowOff>152400</xdr:rowOff>
    </xdr:to>
    <xdr:sp macro="" textlink="">
      <xdr:nvSpPr>
        <xdr:cNvPr id="12" name="Rectangle 11"/>
        <xdr:cNvSpPr/>
      </xdr:nvSpPr>
      <xdr:spPr>
        <a:xfrm>
          <a:off x="15011401" y="6286500"/>
          <a:ext cx="1809749"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11</xdr:col>
      <xdr:colOff>19049</xdr:colOff>
      <xdr:row>23</xdr:row>
      <xdr:rowOff>9525</xdr:rowOff>
    </xdr:from>
    <xdr:to>
      <xdr:col>11</xdr:col>
      <xdr:colOff>1355418</xdr:colOff>
      <xdr:row>23</xdr:row>
      <xdr:rowOff>904875</xdr:rowOff>
    </xdr:to>
    <xdr:pic>
      <xdr:nvPicPr>
        <xdr:cNvPr id="13" name="Picture 12" descr="download.jpg"/>
        <xdr:cNvPicPr>
          <a:picLocks noChangeAspect="1"/>
        </xdr:cNvPicPr>
      </xdr:nvPicPr>
      <xdr:blipFill>
        <a:blip xmlns:r="http://schemas.openxmlformats.org/officeDocument/2006/relationships" r:embed="rId6"/>
        <a:stretch>
          <a:fillRect/>
        </a:stretch>
      </xdr:blipFill>
      <xdr:spPr>
        <a:xfrm>
          <a:off x="15239999" y="7105650"/>
          <a:ext cx="1336369" cy="895350"/>
        </a:xfrm>
        <a:prstGeom prst="rect">
          <a:avLst/>
        </a:prstGeom>
      </xdr:spPr>
    </xdr:pic>
    <xdr:clientData/>
  </xdr:twoCellAnchor>
  <xdr:twoCellAnchor>
    <xdr:from>
      <xdr:col>2</xdr:col>
      <xdr:colOff>257175</xdr:colOff>
      <xdr:row>26</xdr:row>
      <xdr:rowOff>57150</xdr:rowOff>
    </xdr:from>
    <xdr:to>
      <xdr:col>2</xdr:col>
      <xdr:colOff>3000375</xdr:colOff>
      <xdr:row>28</xdr:row>
      <xdr:rowOff>85725</xdr:rowOff>
    </xdr:to>
    <xdr:sp macro="" textlink="">
      <xdr:nvSpPr>
        <xdr:cNvPr id="14" name="Rectangle 13">
          <a:hlinkClick xmlns:r="http://schemas.openxmlformats.org/officeDocument/2006/relationships" r:id="rId7"/>
        </xdr:cNvPr>
        <xdr:cNvSpPr/>
      </xdr:nvSpPr>
      <xdr:spPr>
        <a:xfrm>
          <a:off x="904875" y="8458200"/>
          <a:ext cx="2743200"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171450</xdr:colOff>
      <xdr:row>26</xdr:row>
      <xdr:rowOff>104775</xdr:rowOff>
    </xdr:from>
    <xdr:to>
      <xdr:col>3</xdr:col>
      <xdr:colOff>2657475</xdr:colOff>
      <xdr:row>28</xdr:row>
      <xdr:rowOff>85725</xdr:rowOff>
    </xdr:to>
    <xdr:sp macro="" textlink="">
      <xdr:nvSpPr>
        <xdr:cNvPr id="15" name="Rectangle 14">
          <a:hlinkClick xmlns:r="http://schemas.openxmlformats.org/officeDocument/2006/relationships" r:id="rId8"/>
        </xdr:cNvPr>
        <xdr:cNvSpPr/>
      </xdr:nvSpPr>
      <xdr:spPr>
        <a:xfrm>
          <a:off x="4295775" y="8505825"/>
          <a:ext cx="24860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3314700</xdr:colOff>
      <xdr:row>26</xdr:row>
      <xdr:rowOff>57150</xdr:rowOff>
    </xdr:from>
    <xdr:to>
      <xdr:col>5</xdr:col>
      <xdr:colOff>381000</xdr:colOff>
      <xdr:row>28</xdr:row>
      <xdr:rowOff>85725</xdr:rowOff>
    </xdr:to>
    <xdr:sp macro="" textlink="">
      <xdr:nvSpPr>
        <xdr:cNvPr id="16" name="Rectangle 15">
          <a:hlinkClick xmlns:r="http://schemas.openxmlformats.org/officeDocument/2006/relationships" r:id="rId9"/>
        </xdr:cNvPr>
        <xdr:cNvSpPr/>
      </xdr:nvSpPr>
      <xdr:spPr>
        <a:xfrm>
          <a:off x="7439025" y="8458200"/>
          <a:ext cx="2581275"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28575</xdr:colOff>
      <xdr:row>3</xdr:row>
      <xdr:rowOff>38099</xdr:rowOff>
    </xdr:from>
    <xdr:to>
      <xdr:col>14</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982575" y="1676399"/>
          <a:ext cx="857250" cy="819151"/>
        </a:xfrm>
        <a:prstGeom prst="rect">
          <a:avLst/>
        </a:prstGeom>
        <a:noFill/>
        <a:ln w="9525">
          <a:noFill/>
          <a:miter lim="800000"/>
          <a:headEnd/>
          <a:tailEnd/>
        </a:ln>
      </xdr:spPr>
    </xdr:pic>
    <xdr:clientData/>
  </xdr:twoCellAnchor>
  <xdr:twoCellAnchor editAs="oneCell">
    <xdr:from>
      <xdr:col>14</xdr:col>
      <xdr:colOff>28573</xdr:colOff>
      <xdr:row>8</xdr:row>
      <xdr:rowOff>38099</xdr:rowOff>
    </xdr:from>
    <xdr:to>
      <xdr:col>14</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12372973" y="6105524"/>
          <a:ext cx="895352" cy="809625"/>
        </a:xfrm>
        <a:prstGeom prst="rect">
          <a:avLst/>
        </a:prstGeom>
        <a:noFill/>
      </xdr:spPr>
    </xdr:pic>
    <xdr:clientData/>
  </xdr:twoCellAnchor>
  <xdr:twoCellAnchor editAs="oneCell">
    <xdr:from>
      <xdr:col>14</xdr:col>
      <xdr:colOff>28574</xdr:colOff>
      <xdr:row>6</xdr:row>
      <xdr:rowOff>9525</xdr:rowOff>
    </xdr:from>
    <xdr:to>
      <xdr:col>14</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3"/>
        <a:srcRect/>
        <a:stretch>
          <a:fillRect/>
        </a:stretch>
      </xdr:blipFill>
      <xdr:spPr bwMode="auto">
        <a:xfrm>
          <a:off x="12372974" y="4305300"/>
          <a:ext cx="866776" cy="857250"/>
        </a:xfrm>
        <a:prstGeom prst="rect">
          <a:avLst/>
        </a:prstGeom>
        <a:noFill/>
      </xdr:spPr>
    </xdr:pic>
    <xdr:clientData/>
  </xdr:twoCellAnchor>
  <xdr:twoCellAnchor editAs="oneCell">
    <xdr:from>
      <xdr:col>14</xdr:col>
      <xdr:colOff>19049</xdr:colOff>
      <xdr:row>3</xdr:row>
      <xdr:rowOff>862828</xdr:rowOff>
    </xdr:from>
    <xdr:to>
      <xdr:col>14</xdr:col>
      <xdr:colOff>904874</xdr:colOff>
      <xdr:row>4</xdr:row>
      <xdr:rowOff>847725</xdr:rowOff>
    </xdr:to>
    <xdr:pic>
      <xdr:nvPicPr>
        <xdr:cNvPr id="10246" name="Picture 6"/>
        <xdr:cNvPicPr>
          <a:picLocks noChangeAspect="1" noChangeArrowheads="1"/>
        </xdr:cNvPicPr>
      </xdr:nvPicPr>
      <xdr:blipFill>
        <a:blip xmlns:r="http://schemas.openxmlformats.org/officeDocument/2006/relationships" r:embed="rId4"/>
        <a:srcRect/>
        <a:stretch>
          <a:fillRect/>
        </a:stretch>
      </xdr:blipFill>
      <xdr:spPr bwMode="auto">
        <a:xfrm>
          <a:off x="12363449" y="2501128"/>
          <a:ext cx="885825" cy="870722"/>
        </a:xfrm>
        <a:prstGeom prst="rect">
          <a:avLst/>
        </a:prstGeom>
        <a:noFill/>
      </xdr:spPr>
    </xdr:pic>
    <xdr:clientData/>
  </xdr:twoCellAnchor>
  <xdr:twoCellAnchor editAs="oneCell">
    <xdr:from>
      <xdr:col>14</xdr:col>
      <xdr:colOff>19050</xdr:colOff>
      <xdr:row>9</xdr:row>
      <xdr:rowOff>28576</xdr:rowOff>
    </xdr:from>
    <xdr:to>
      <xdr:col>14</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5" cstate="print"/>
        <a:srcRect/>
        <a:stretch>
          <a:fillRect/>
        </a:stretch>
      </xdr:blipFill>
      <xdr:spPr bwMode="auto">
        <a:xfrm>
          <a:off x="12363450" y="6981826"/>
          <a:ext cx="895350" cy="857250"/>
        </a:xfrm>
        <a:prstGeom prst="rect">
          <a:avLst/>
        </a:prstGeom>
        <a:noFill/>
      </xdr:spPr>
    </xdr:pic>
    <xdr:clientData/>
  </xdr:twoCellAnchor>
  <xdr:twoCellAnchor editAs="oneCell">
    <xdr:from>
      <xdr:col>14</xdr:col>
      <xdr:colOff>28574</xdr:colOff>
      <xdr:row>10</xdr:row>
      <xdr:rowOff>38099</xdr:rowOff>
    </xdr:from>
    <xdr:to>
      <xdr:col>14</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6"/>
        <a:srcRect/>
        <a:stretch>
          <a:fillRect/>
        </a:stretch>
      </xdr:blipFill>
      <xdr:spPr bwMode="auto">
        <a:xfrm>
          <a:off x="12372974" y="7877174"/>
          <a:ext cx="895351" cy="828675"/>
        </a:xfrm>
        <a:prstGeom prst="rect">
          <a:avLst/>
        </a:prstGeom>
        <a:noFill/>
      </xdr:spPr>
    </xdr:pic>
    <xdr:clientData/>
  </xdr:twoCellAnchor>
  <xdr:twoCellAnchor editAs="oneCell">
    <xdr:from>
      <xdr:col>14</xdr:col>
      <xdr:colOff>28575</xdr:colOff>
      <xdr:row>11</xdr:row>
      <xdr:rowOff>0</xdr:rowOff>
    </xdr:from>
    <xdr:to>
      <xdr:col>14</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7"/>
        <a:srcRect/>
        <a:stretch>
          <a:fillRect/>
        </a:stretch>
      </xdr:blipFill>
      <xdr:spPr bwMode="auto">
        <a:xfrm>
          <a:off x="12982575" y="8724900"/>
          <a:ext cx="895350" cy="866776"/>
        </a:xfrm>
        <a:prstGeom prst="rect">
          <a:avLst/>
        </a:prstGeom>
        <a:noFill/>
      </xdr:spPr>
    </xdr:pic>
    <xdr:clientData/>
  </xdr:twoCellAnchor>
  <xdr:twoCellAnchor editAs="oneCell">
    <xdr:from>
      <xdr:col>14</xdr:col>
      <xdr:colOff>28575</xdr:colOff>
      <xdr:row>12</xdr:row>
      <xdr:rowOff>17145</xdr:rowOff>
    </xdr:from>
    <xdr:to>
      <xdr:col>14</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8" cstate="print"/>
        <a:srcRect/>
        <a:stretch>
          <a:fillRect/>
        </a:stretch>
      </xdr:blipFill>
      <xdr:spPr bwMode="auto">
        <a:xfrm>
          <a:off x="12372975" y="9627870"/>
          <a:ext cx="885825" cy="849630"/>
        </a:xfrm>
        <a:prstGeom prst="rect">
          <a:avLst/>
        </a:prstGeom>
        <a:noFill/>
      </xdr:spPr>
    </xdr:pic>
    <xdr:clientData/>
  </xdr:twoCellAnchor>
  <xdr:twoCellAnchor editAs="oneCell">
    <xdr:from>
      <xdr:col>14</xdr:col>
      <xdr:colOff>38100</xdr:colOff>
      <xdr:row>13</xdr:row>
      <xdr:rowOff>28575</xdr:rowOff>
    </xdr:from>
    <xdr:to>
      <xdr:col>14</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9"/>
        <a:srcRect/>
        <a:stretch>
          <a:fillRect/>
        </a:stretch>
      </xdr:blipFill>
      <xdr:spPr bwMode="auto">
        <a:xfrm>
          <a:off x="12382500" y="10525125"/>
          <a:ext cx="866775" cy="828675"/>
        </a:xfrm>
        <a:prstGeom prst="rect">
          <a:avLst/>
        </a:prstGeom>
        <a:noFill/>
      </xdr:spPr>
    </xdr:pic>
    <xdr:clientData/>
  </xdr:twoCellAnchor>
  <xdr:twoCellAnchor>
    <xdr:from>
      <xdr:col>15</xdr:col>
      <xdr:colOff>228600</xdr:colOff>
      <xdr:row>0</xdr:row>
      <xdr:rowOff>0</xdr:rowOff>
    </xdr:from>
    <xdr:to>
      <xdr:col>17</xdr:col>
      <xdr:colOff>446809</xdr:colOff>
      <xdr:row>1</xdr:row>
      <xdr:rowOff>285750</xdr:rowOff>
    </xdr:to>
    <xdr:sp macro="" textlink="">
      <xdr:nvSpPr>
        <xdr:cNvPr id="14" name="Bevel 13">
          <a:hlinkClick xmlns:r="http://schemas.openxmlformats.org/officeDocument/2006/relationships" r:id="rId10"/>
        </xdr:cNvPr>
        <xdr:cNvSpPr/>
      </xdr:nvSpPr>
      <xdr:spPr>
        <a:xfrm>
          <a:off x="14144625" y="0"/>
          <a:ext cx="1608859" cy="67627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600" b="1">
              <a:solidFill>
                <a:schemeClr val="lt1"/>
              </a:solidFill>
              <a:latin typeface="+mn-lt"/>
              <a:ea typeface="+mn-ea"/>
              <a:cs typeface="+mn-cs"/>
            </a:rPr>
            <a:t>Back to Master</a:t>
          </a:r>
          <a:endParaRPr lang="en-US" sz="2400"/>
        </a:p>
      </xdr:txBody>
    </xdr:sp>
    <xdr:clientData/>
  </xdr:twoCellAnchor>
  <xdr:twoCellAnchor editAs="oneCell">
    <xdr:from>
      <xdr:col>14</xdr:col>
      <xdr:colOff>85725</xdr:colOff>
      <xdr:row>202</xdr:row>
      <xdr:rowOff>19050</xdr:rowOff>
    </xdr:from>
    <xdr:to>
      <xdr:col>14</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2" cstate="print"/>
        <a:srcRect/>
        <a:stretch>
          <a:fillRect/>
        </a:stretch>
      </xdr:blipFill>
      <xdr:spPr bwMode="auto">
        <a:xfrm>
          <a:off x="12430125" y="177936525"/>
          <a:ext cx="809625" cy="809625"/>
        </a:xfrm>
        <a:prstGeom prst="rect">
          <a:avLst/>
        </a:prstGeom>
        <a:noFill/>
      </xdr:spPr>
    </xdr:pic>
    <xdr:clientData/>
  </xdr:twoCellAnchor>
  <xdr:twoCellAnchor>
    <xdr:from>
      <xdr:col>15</xdr:col>
      <xdr:colOff>257175</xdr:colOff>
      <xdr:row>1</xdr:row>
      <xdr:rowOff>466725</xdr:rowOff>
    </xdr:from>
    <xdr:to>
      <xdr:col>17</xdr:col>
      <xdr:colOff>475384</xdr:colOff>
      <xdr:row>2</xdr:row>
      <xdr:rowOff>542925</xdr:rowOff>
    </xdr:to>
    <xdr:sp macro="" textlink="">
      <xdr:nvSpPr>
        <xdr:cNvPr id="16" name="Bevel 15">
          <a:hlinkClick xmlns:r="http://schemas.openxmlformats.org/officeDocument/2006/relationships" r:id="rId11"/>
        </xdr:cNvPr>
        <xdr:cNvSpPr/>
      </xdr:nvSpPr>
      <xdr:spPr>
        <a:xfrm>
          <a:off x="14173200" y="857250"/>
          <a:ext cx="1608859" cy="676275"/>
        </a:xfrm>
        <a:prstGeom prst="bevel">
          <a:avLst/>
        </a:prstGeom>
      </xdr:spPr>
      <xdr:style>
        <a:lnRef idx="0">
          <a:schemeClr val="accent4"/>
        </a:lnRef>
        <a:fillRef idx="3">
          <a:schemeClr val="accent4"/>
        </a:fillRef>
        <a:effectRef idx="3">
          <a:schemeClr val="accent4"/>
        </a:effectRef>
        <a:fontRef idx="minor">
          <a:schemeClr val="lt1"/>
        </a:fontRef>
      </xdr:style>
      <xdr:txBody>
        <a:bodyPr rtlCol="0" anchor="ctr"/>
        <a:lstStyle/>
        <a:p>
          <a:pPr algn="ctr"/>
          <a:r>
            <a:rPr lang="en-US" sz="1600" b="1">
              <a:solidFill>
                <a:schemeClr val="lt1"/>
              </a:solidFill>
              <a:latin typeface="+mn-lt"/>
              <a:ea typeface="+mn-ea"/>
              <a:cs typeface="+mn-cs"/>
            </a:rPr>
            <a:t>Go to Mark Entry Sheet</a:t>
          </a:r>
          <a:endParaRPr lang="en-US" sz="2400"/>
        </a:p>
      </xdr:txBody>
    </xdr:sp>
    <xdr:clientData/>
  </xdr:twoCellAnchor>
  <xdr:twoCellAnchor editAs="oneCell">
    <xdr:from>
      <xdr:col>14</xdr:col>
      <xdr:colOff>123825</xdr:colOff>
      <xdr:row>5</xdr:row>
      <xdr:rowOff>1</xdr:rowOff>
    </xdr:from>
    <xdr:to>
      <xdr:col>14</xdr:col>
      <xdr:colOff>914400</xdr:colOff>
      <xdr:row>5</xdr:row>
      <xdr:rowOff>849869</xdr:rowOff>
    </xdr:to>
    <xdr:pic>
      <xdr:nvPicPr>
        <xdr:cNvPr id="17" name="Picture 16" descr="Ph5.png"/>
        <xdr:cNvPicPr>
          <a:picLocks noChangeAspect="1"/>
        </xdr:cNvPicPr>
      </xdr:nvPicPr>
      <xdr:blipFill>
        <a:blip xmlns:r="http://schemas.openxmlformats.org/officeDocument/2006/relationships" r:embed="rId12" cstate="print"/>
        <a:stretch>
          <a:fillRect/>
        </a:stretch>
      </xdr:blipFill>
      <xdr:spPr>
        <a:xfrm>
          <a:off x="13077825" y="3409951"/>
          <a:ext cx="790575" cy="849868"/>
        </a:xfrm>
        <a:prstGeom prst="rect">
          <a:avLst/>
        </a:prstGeom>
      </xdr:spPr>
    </xdr:pic>
    <xdr:clientData/>
  </xdr:twoCellAnchor>
  <xdr:twoCellAnchor editAs="oneCell">
    <xdr:from>
      <xdr:col>14</xdr:col>
      <xdr:colOff>66677</xdr:colOff>
      <xdr:row>7</xdr:row>
      <xdr:rowOff>1</xdr:rowOff>
    </xdr:from>
    <xdr:to>
      <xdr:col>14</xdr:col>
      <xdr:colOff>923925</xdr:colOff>
      <xdr:row>8</xdr:row>
      <xdr:rowOff>0</xdr:rowOff>
    </xdr:to>
    <xdr:pic>
      <xdr:nvPicPr>
        <xdr:cNvPr id="18" name="Picture 17" descr="rahul photo.jpg"/>
        <xdr:cNvPicPr>
          <a:picLocks noChangeAspect="1"/>
        </xdr:cNvPicPr>
      </xdr:nvPicPr>
      <xdr:blipFill>
        <a:blip xmlns:r="http://schemas.openxmlformats.org/officeDocument/2006/relationships" r:embed="rId13"/>
        <a:stretch>
          <a:fillRect/>
        </a:stretch>
      </xdr:blipFill>
      <xdr:spPr>
        <a:xfrm>
          <a:off x="13020677" y="5181601"/>
          <a:ext cx="857248" cy="885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57150</xdr:colOff>
      <xdr:row>0</xdr:row>
      <xdr:rowOff>38101</xdr:rowOff>
    </xdr:from>
    <xdr:to>
      <xdr:col>10</xdr:col>
      <xdr:colOff>285750</xdr:colOff>
      <xdr:row>1</xdr:row>
      <xdr:rowOff>257175</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9944100" y="38101"/>
          <a:ext cx="676275" cy="600074"/>
        </a:xfrm>
        <a:prstGeom prst="rect">
          <a:avLst/>
        </a:prstGeom>
        <a:noFill/>
        <a:ln w="9525">
          <a:noFill/>
          <a:miter lim="800000"/>
          <a:headEnd/>
          <a:tailEnd/>
        </a:ln>
      </xdr:spPr>
    </xdr:pic>
    <xdr:clientData/>
  </xdr:twoCellAnchor>
  <xdr:twoCellAnchor>
    <xdr:from>
      <xdr:col>0</xdr:col>
      <xdr:colOff>0</xdr:colOff>
      <xdr:row>1</xdr:row>
      <xdr:rowOff>38100</xdr:rowOff>
    </xdr:from>
    <xdr:to>
      <xdr:col>2</xdr:col>
      <xdr:colOff>609600</xdr:colOff>
      <xdr:row>2</xdr:row>
      <xdr:rowOff>190500</xdr:rowOff>
    </xdr:to>
    <xdr:sp macro="" textlink="">
      <xdr:nvSpPr>
        <xdr:cNvPr id="3" name="Bevel 2">
          <a:hlinkClick xmlns:r="http://schemas.openxmlformats.org/officeDocument/2006/relationships" r:id="rId2"/>
        </xdr:cNvPr>
        <xdr:cNvSpPr/>
      </xdr:nvSpPr>
      <xdr:spPr>
        <a:xfrm>
          <a:off x="0" y="419100"/>
          <a:ext cx="1731433" cy="586317"/>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400" b="1">
              <a:solidFill>
                <a:schemeClr val="lt1"/>
              </a:solidFill>
              <a:latin typeface="+mn-lt"/>
              <a:ea typeface="+mn-ea"/>
              <a:cs typeface="+mn-cs"/>
            </a:rPr>
            <a:t>Back to Student Data Entry</a:t>
          </a:r>
          <a:endParaRPr 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1104900</xdr:colOff>
      <xdr:row>218</xdr:row>
      <xdr:rowOff>304800</xdr:rowOff>
    </xdr:from>
    <xdr:to>
      <xdr:col>7</xdr:col>
      <xdr:colOff>942975</xdr:colOff>
      <xdr:row>220</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6</xdr:col>
      <xdr:colOff>0</xdr:colOff>
      <xdr:row>0</xdr:row>
      <xdr:rowOff>38101</xdr:rowOff>
    </xdr:from>
    <xdr:to>
      <xdr:col>7</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207818</xdr:colOff>
      <xdr:row>11</xdr:row>
      <xdr:rowOff>190501</xdr:rowOff>
    </xdr:from>
    <xdr:to>
      <xdr:col>26</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155862</xdr:colOff>
      <xdr:row>0</xdr:row>
      <xdr:rowOff>34637</xdr:rowOff>
    </xdr:from>
    <xdr:to>
      <xdr:col>20</xdr:col>
      <xdr:colOff>557864</xdr:colOff>
      <xdr:row>1</xdr:row>
      <xdr:rowOff>173182</xdr:rowOff>
    </xdr:to>
    <xdr:pic>
      <xdr:nvPicPr>
        <xdr:cNvPr id="5" name="Picture 4" descr="download.jpg"/>
        <xdr:cNvPicPr>
          <a:picLocks noChangeAspect="1"/>
        </xdr:cNvPicPr>
      </xdr:nvPicPr>
      <xdr:blipFill>
        <a:blip xmlns:r="http://schemas.openxmlformats.org/officeDocument/2006/relationships" r:embed="rId2" cstate="print"/>
        <a:stretch>
          <a:fillRect/>
        </a:stretch>
      </xdr:blipFill>
      <xdr:spPr>
        <a:xfrm>
          <a:off x="9957953" y="34637"/>
          <a:ext cx="402002" cy="3896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323407</xdr:colOff>
      <xdr:row>0</xdr:row>
      <xdr:rowOff>57151</xdr:rowOff>
    </xdr:from>
    <xdr:to>
      <xdr:col>31</xdr:col>
      <xdr:colOff>358611</xdr:colOff>
      <xdr:row>1</xdr:row>
      <xdr:rowOff>114301</xdr:rowOff>
    </xdr:to>
    <xdr:pic>
      <xdr:nvPicPr>
        <xdr:cNvPr id="3" name="Picture 2" descr="download.jpg"/>
        <xdr:cNvPicPr>
          <a:picLocks noChangeAspect="1"/>
        </xdr:cNvPicPr>
      </xdr:nvPicPr>
      <xdr:blipFill>
        <a:blip xmlns:r="http://schemas.openxmlformats.org/officeDocument/2006/relationships" r:embed="rId1" cstate="print"/>
        <a:stretch>
          <a:fillRect/>
        </a:stretch>
      </xdr:blipFill>
      <xdr:spPr>
        <a:xfrm>
          <a:off x="14462740" y="57151"/>
          <a:ext cx="469121" cy="342900"/>
        </a:xfrm>
        <a:prstGeom prst="rect">
          <a:avLst/>
        </a:prstGeom>
      </xdr:spPr>
    </xdr:pic>
    <xdr:clientData/>
  </xdr:twoCellAnchor>
  <xdr:twoCellAnchor editAs="oneCell">
    <xdr:from>
      <xdr:col>15</xdr:col>
      <xdr:colOff>615</xdr:colOff>
      <xdr:row>0</xdr:row>
      <xdr:rowOff>38101</xdr:rowOff>
    </xdr:from>
    <xdr:to>
      <xdr:col>15</xdr:col>
      <xdr:colOff>354377</xdr:colOff>
      <xdr:row>1</xdr:row>
      <xdr:rowOff>95251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582390" y="38101"/>
          <a:ext cx="353762" cy="342900"/>
        </a:xfrm>
        <a:prstGeom prst="rect">
          <a:avLst/>
        </a:prstGeom>
      </xdr:spPr>
    </xdr:pic>
    <xdr:clientData/>
  </xdr:twoCellAnchor>
  <xdr:twoCellAnchor editAs="oneCell">
    <xdr:from>
      <xdr:col>14</xdr:col>
      <xdr:colOff>504825</xdr:colOff>
      <xdr:row>30</xdr:row>
      <xdr:rowOff>28575</xdr:rowOff>
    </xdr:from>
    <xdr:to>
      <xdr:col>16</xdr:col>
      <xdr:colOff>29912</xdr:colOff>
      <xdr:row>31</xdr:row>
      <xdr:rowOff>85725</xdr:rowOff>
    </xdr:to>
    <xdr:pic>
      <xdr:nvPicPr>
        <xdr:cNvPr id="8" name="Picture 7" descr="download.jpg"/>
        <xdr:cNvPicPr>
          <a:picLocks noChangeAspect="1"/>
        </xdr:cNvPicPr>
      </xdr:nvPicPr>
      <xdr:blipFill>
        <a:blip xmlns:r="http://schemas.openxmlformats.org/officeDocument/2006/relationships" r:embed="rId1" cstate="print"/>
        <a:stretch>
          <a:fillRect/>
        </a:stretch>
      </xdr:blipFill>
      <xdr:spPr>
        <a:xfrm>
          <a:off x="6505575" y="9534525"/>
          <a:ext cx="353762" cy="342900"/>
        </a:xfrm>
        <a:prstGeom prst="rect">
          <a:avLst/>
        </a:prstGeom>
      </xdr:spPr>
    </xdr:pic>
    <xdr:clientData/>
  </xdr:twoCellAnchor>
  <xdr:twoCellAnchor editAs="oneCell">
    <xdr:from>
      <xdr:col>30</xdr:col>
      <xdr:colOff>343959</xdr:colOff>
      <xdr:row>30</xdr:row>
      <xdr:rowOff>68792</xdr:rowOff>
    </xdr:from>
    <xdr:to>
      <xdr:col>31</xdr:col>
      <xdr:colOff>379163</xdr:colOff>
      <xdr:row>31</xdr:row>
      <xdr:rowOff>125942</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14483292" y="9900709"/>
          <a:ext cx="469121" cy="342900"/>
        </a:xfrm>
        <a:prstGeom prst="rect">
          <a:avLst/>
        </a:prstGeom>
      </xdr:spPr>
    </xdr:pic>
    <xdr:clientData/>
  </xdr:twoCellAnchor>
  <xdr:twoCellAnchor editAs="oneCell">
    <xdr:from>
      <xdr:col>14</xdr:col>
      <xdr:colOff>504825</xdr:colOff>
      <xdr:row>60</xdr:row>
      <xdr:rowOff>28575</xdr:rowOff>
    </xdr:from>
    <xdr:to>
      <xdr:col>16</xdr:col>
      <xdr:colOff>29912</xdr:colOff>
      <xdr:row>61</xdr:row>
      <xdr:rowOff>85725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365125</xdr:colOff>
      <xdr:row>60</xdr:row>
      <xdr:rowOff>68791</xdr:rowOff>
    </xdr:from>
    <xdr:to>
      <xdr:col>31</xdr:col>
      <xdr:colOff>400329</xdr:colOff>
      <xdr:row>61</xdr:row>
      <xdr:rowOff>125941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14504458" y="19891374"/>
          <a:ext cx="469121" cy="342900"/>
        </a:xfrm>
        <a:prstGeom prst="rect">
          <a:avLst/>
        </a:prstGeom>
      </xdr:spPr>
    </xdr:pic>
    <xdr:clientData/>
  </xdr:twoCellAnchor>
  <xdr:twoCellAnchor editAs="oneCell">
    <xdr:from>
      <xdr:col>14</xdr:col>
      <xdr:colOff>504825</xdr:colOff>
      <xdr:row>90</xdr:row>
      <xdr:rowOff>28575</xdr:rowOff>
    </xdr:from>
    <xdr:to>
      <xdr:col>16</xdr:col>
      <xdr:colOff>29912</xdr:colOff>
      <xdr:row>91</xdr:row>
      <xdr:rowOff>85725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291042</xdr:colOff>
      <xdr:row>90</xdr:row>
      <xdr:rowOff>47625</xdr:rowOff>
    </xdr:from>
    <xdr:to>
      <xdr:col>31</xdr:col>
      <xdr:colOff>326246</xdr:colOff>
      <xdr:row>91</xdr:row>
      <xdr:rowOff>104775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14430375" y="29860875"/>
          <a:ext cx="469121" cy="342900"/>
        </a:xfrm>
        <a:prstGeom prst="rect">
          <a:avLst/>
        </a:prstGeom>
      </xdr:spPr>
    </xdr:pic>
    <xdr:clientData/>
  </xdr:twoCellAnchor>
  <xdr:twoCellAnchor editAs="oneCell">
    <xdr:from>
      <xdr:col>14</xdr:col>
      <xdr:colOff>504825</xdr:colOff>
      <xdr:row>120</xdr:row>
      <xdr:rowOff>28575</xdr:rowOff>
    </xdr:from>
    <xdr:to>
      <xdr:col>16</xdr:col>
      <xdr:colOff>29912</xdr:colOff>
      <xdr:row>121</xdr:row>
      <xdr:rowOff>85725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301625</xdr:colOff>
      <xdr:row>120</xdr:row>
      <xdr:rowOff>58209</xdr:rowOff>
    </xdr:from>
    <xdr:to>
      <xdr:col>31</xdr:col>
      <xdr:colOff>336829</xdr:colOff>
      <xdr:row>121</xdr:row>
      <xdr:rowOff>115359</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14440958" y="39862126"/>
          <a:ext cx="469121" cy="342900"/>
        </a:xfrm>
        <a:prstGeom prst="rect">
          <a:avLst/>
        </a:prstGeom>
      </xdr:spPr>
    </xdr:pic>
    <xdr:clientData/>
  </xdr:twoCellAnchor>
  <xdr:twoCellAnchor editAs="oneCell">
    <xdr:from>
      <xdr:col>14</xdr:col>
      <xdr:colOff>504825</xdr:colOff>
      <xdr:row>150</xdr:row>
      <xdr:rowOff>28575</xdr:rowOff>
    </xdr:from>
    <xdr:to>
      <xdr:col>16</xdr:col>
      <xdr:colOff>29912</xdr:colOff>
      <xdr:row>151</xdr:row>
      <xdr:rowOff>85725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280459</xdr:colOff>
      <xdr:row>150</xdr:row>
      <xdr:rowOff>47625</xdr:rowOff>
    </xdr:from>
    <xdr:to>
      <xdr:col>31</xdr:col>
      <xdr:colOff>315663</xdr:colOff>
      <xdr:row>151</xdr:row>
      <xdr:rowOff>104775</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14419792" y="49842208"/>
          <a:ext cx="469121" cy="342900"/>
        </a:xfrm>
        <a:prstGeom prst="rect">
          <a:avLst/>
        </a:prstGeom>
      </xdr:spPr>
    </xdr:pic>
    <xdr:clientData/>
  </xdr:twoCellAnchor>
  <xdr:twoCellAnchor editAs="oneCell">
    <xdr:from>
      <xdr:col>14</xdr:col>
      <xdr:colOff>504825</xdr:colOff>
      <xdr:row>180</xdr:row>
      <xdr:rowOff>28575</xdr:rowOff>
    </xdr:from>
    <xdr:to>
      <xdr:col>16</xdr:col>
      <xdr:colOff>29912</xdr:colOff>
      <xdr:row>181</xdr:row>
      <xdr:rowOff>85725</xdr:rowOff>
    </xdr:to>
    <xdr:pic>
      <xdr:nvPicPr>
        <xdr:cNvPr id="20" name="Picture 19" descr="download.jpg"/>
        <xdr:cNvPicPr>
          <a:picLocks noChangeAspect="1"/>
        </xdr:cNvPicPr>
      </xdr:nvPicPr>
      <xdr:blipFill>
        <a:blip xmlns:r="http://schemas.openxmlformats.org/officeDocument/2006/relationships" r:embed="rId1" cstate="print"/>
        <a:stretch>
          <a:fillRect/>
        </a:stretch>
      </xdr:blipFill>
      <xdr:spPr>
        <a:xfrm>
          <a:off x="7010400" y="9839325"/>
          <a:ext cx="458537" cy="342900"/>
        </a:xfrm>
        <a:prstGeom prst="rect">
          <a:avLst/>
        </a:prstGeom>
      </xdr:spPr>
    </xdr:pic>
    <xdr:clientData/>
  </xdr:twoCellAnchor>
  <xdr:twoCellAnchor editAs="oneCell">
    <xdr:from>
      <xdr:col>30</xdr:col>
      <xdr:colOff>312209</xdr:colOff>
      <xdr:row>180</xdr:row>
      <xdr:rowOff>47625</xdr:rowOff>
    </xdr:from>
    <xdr:to>
      <xdr:col>31</xdr:col>
      <xdr:colOff>347413</xdr:colOff>
      <xdr:row>181</xdr:row>
      <xdr:rowOff>104775</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14451542" y="59832875"/>
          <a:ext cx="469121" cy="342900"/>
        </a:xfrm>
        <a:prstGeom prst="rect">
          <a:avLst/>
        </a:prstGeom>
      </xdr:spPr>
    </xdr:pic>
    <xdr:clientData/>
  </xdr:twoCellAnchor>
  <xdr:twoCellAnchor editAs="oneCell">
    <xdr:from>
      <xdr:col>14</xdr:col>
      <xdr:colOff>504825</xdr:colOff>
      <xdr:row>210</xdr:row>
      <xdr:rowOff>28575</xdr:rowOff>
    </xdr:from>
    <xdr:to>
      <xdr:col>16</xdr:col>
      <xdr:colOff>29912</xdr:colOff>
      <xdr:row>211</xdr:row>
      <xdr:rowOff>85725</xdr:rowOff>
    </xdr:to>
    <xdr:pic>
      <xdr:nvPicPr>
        <xdr:cNvPr id="22" name="Picture 21"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322791</xdr:colOff>
      <xdr:row>210</xdr:row>
      <xdr:rowOff>47625</xdr:rowOff>
    </xdr:from>
    <xdr:to>
      <xdr:col>31</xdr:col>
      <xdr:colOff>357995</xdr:colOff>
      <xdr:row>211</xdr:row>
      <xdr:rowOff>104775</xdr:rowOff>
    </xdr:to>
    <xdr:pic>
      <xdr:nvPicPr>
        <xdr:cNvPr id="23" name="Picture 22" descr="download.jpg"/>
        <xdr:cNvPicPr>
          <a:picLocks noChangeAspect="1"/>
        </xdr:cNvPicPr>
      </xdr:nvPicPr>
      <xdr:blipFill>
        <a:blip xmlns:r="http://schemas.openxmlformats.org/officeDocument/2006/relationships" r:embed="rId1" cstate="print"/>
        <a:stretch>
          <a:fillRect/>
        </a:stretch>
      </xdr:blipFill>
      <xdr:spPr>
        <a:xfrm>
          <a:off x="14462124" y="69823542"/>
          <a:ext cx="469121" cy="342900"/>
        </a:xfrm>
        <a:prstGeom prst="rect">
          <a:avLst/>
        </a:prstGeom>
      </xdr:spPr>
    </xdr:pic>
    <xdr:clientData/>
  </xdr:twoCellAnchor>
  <xdr:twoCellAnchor editAs="oneCell">
    <xdr:from>
      <xdr:col>14</xdr:col>
      <xdr:colOff>504825</xdr:colOff>
      <xdr:row>240</xdr:row>
      <xdr:rowOff>28575</xdr:rowOff>
    </xdr:from>
    <xdr:to>
      <xdr:col>16</xdr:col>
      <xdr:colOff>29912</xdr:colOff>
      <xdr:row>241</xdr:row>
      <xdr:rowOff>85725</xdr:rowOff>
    </xdr:to>
    <xdr:pic>
      <xdr:nvPicPr>
        <xdr:cNvPr id="24" name="Picture 23"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343958</xdr:colOff>
      <xdr:row>240</xdr:row>
      <xdr:rowOff>58208</xdr:rowOff>
    </xdr:from>
    <xdr:to>
      <xdr:col>31</xdr:col>
      <xdr:colOff>379162</xdr:colOff>
      <xdr:row>241</xdr:row>
      <xdr:rowOff>115358</xdr:rowOff>
    </xdr:to>
    <xdr:pic>
      <xdr:nvPicPr>
        <xdr:cNvPr id="25" name="Picture 24" descr="download.jpg"/>
        <xdr:cNvPicPr>
          <a:picLocks noChangeAspect="1"/>
        </xdr:cNvPicPr>
      </xdr:nvPicPr>
      <xdr:blipFill>
        <a:blip xmlns:r="http://schemas.openxmlformats.org/officeDocument/2006/relationships" r:embed="rId1" cstate="print"/>
        <a:stretch>
          <a:fillRect/>
        </a:stretch>
      </xdr:blipFill>
      <xdr:spPr>
        <a:xfrm>
          <a:off x="14483291" y="79824791"/>
          <a:ext cx="469121" cy="342900"/>
        </a:xfrm>
        <a:prstGeom prst="rect">
          <a:avLst/>
        </a:prstGeom>
      </xdr:spPr>
    </xdr:pic>
    <xdr:clientData/>
  </xdr:twoCellAnchor>
  <xdr:twoCellAnchor editAs="oneCell">
    <xdr:from>
      <xdr:col>14</xdr:col>
      <xdr:colOff>504825</xdr:colOff>
      <xdr:row>270</xdr:row>
      <xdr:rowOff>28575</xdr:rowOff>
    </xdr:from>
    <xdr:to>
      <xdr:col>16</xdr:col>
      <xdr:colOff>29912</xdr:colOff>
      <xdr:row>271</xdr:row>
      <xdr:rowOff>85725</xdr:rowOff>
    </xdr:to>
    <xdr:pic>
      <xdr:nvPicPr>
        <xdr:cNvPr id="26" name="Picture 25" descr="download.jpg"/>
        <xdr:cNvPicPr>
          <a:picLocks noChangeAspect="1"/>
        </xdr:cNvPicPr>
      </xdr:nvPicPr>
      <xdr:blipFill>
        <a:blip xmlns:r="http://schemas.openxmlformats.org/officeDocument/2006/relationships" r:embed="rId1" cstate="print"/>
        <a:stretch>
          <a:fillRect/>
        </a:stretch>
      </xdr:blipFill>
      <xdr:spPr>
        <a:xfrm>
          <a:off x="7064375" y="59813825"/>
          <a:ext cx="469120" cy="342900"/>
        </a:xfrm>
        <a:prstGeom prst="rect">
          <a:avLst/>
        </a:prstGeom>
      </xdr:spPr>
    </xdr:pic>
    <xdr:clientData/>
  </xdr:twoCellAnchor>
  <xdr:twoCellAnchor editAs="oneCell">
    <xdr:from>
      <xdr:col>30</xdr:col>
      <xdr:colOff>291041</xdr:colOff>
      <xdr:row>270</xdr:row>
      <xdr:rowOff>47625</xdr:rowOff>
    </xdr:from>
    <xdr:to>
      <xdr:col>31</xdr:col>
      <xdr:colOff>326245</xdr:colOff>
      <xdr:row>271</xdr:row>
      <xdr:rowOff>104775</xdr:rowOff>
    </xdr:to>
    <xdr:pic>
      <xdr:nvPicPr>
        <xdr:cNvPr id="27" name="Picture 26" descr="download.jpg"/>
        <xdr:cNvPicPr>
          <a:picLocks noChangeAspect="1"/>
        </xdr:cNvPicPr>
      </xdr:nvPicPr>
      <xdr:blipFill>
        <a:blip xmlns:r="http://schemas.openxmlformats.org/officeDocument/2006/relationships" r:embed="rId1" cstate="print"/>
        <a:stretch>
          <a:fillRect/>
        </a:stretch>
      </xdr:blipFill>
      <xdr:spPr>
        <a:xfrm>
          <a:off x="14430374" y="89804875"/>
          <a:ext cx="469121" cy="34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24</xdr:col>
      <xdr:colOff>207818</xdr:colOff>
      <xdr:row>11</xdr:row>
      <xdr:rowOff>190501</xdr:rowOff>
    </xdr:from>
    <xdr:to>
      <xdr:col>27</xdr:col>
      <xdr:colOff>294409</xdr:colOff>
      <xdr:row>12</xdr:row>
      <xdr:rowOff>216478</xdr:rowOff>
    </xdr:to>
    <xdr:sp macro="" textlink="">
      <xdr:nvSpPr>
        <xdr:cNvPr id="3" name="Bevel 2">
          <a:hlinkClick xmlns:r="http://schemas.openxmlformats.org/officeDocument/2006/relationships" r:id="rId1"/>
        </xdr:cNvPr>
        <xdr:cNvSpPr/>
      </xdr:nvSpPr>
      <xdr:spPr>
        <a:xfrm>
          <a:off x="1164734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20</xdr:col>
      <xdr:colOff>405825</xdr:colOff>
      <xdr:row>0</xdr:row>
      <xdr:rowOff>57152</xdr:rowOff>
    </xdr:from>
    <xdr:to>
      <xdr:col>21</xdr:col>
      <xdr:colOff>266698</xdr:colOff>
      <xdr:row>1</xdr:row>
      <xdr:rowOff>161925</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02250" y="57152"/>
          <a:ext cx="432373" cy="4190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AppData\Roaming\Microsoft\Excel\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youtu.be/6Uilt-YxIxk" TargetMode="External"/><Relationship Id="rId7" Type="http://schemas.openxmlformats.org/officeDocument/2006/relationships/printerSettings" Target="../printerSettings/printerSettings1.bin"/><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hyperlink" Target="https://youtu.be/atAmvhXLU30" TargetMode="External"/><Relationship Id="rId5" Type="http://schemas.openxmlformats.org/officeDocument/2006/relationships/hyperlink" Target="https://youtu.be/atAmvhXLU30" TargetMode="External"/><Relationship Id="rId4" Type="http://schemas.openxmlformats.org/officeDocument/2006/relationships/hyperlink" Target="https://youtu.be/YgrB3e6SHv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atAmvhXLU30" TargetMode="External"/><Relationship Id="rId2" Type="http://schemas.openxmlformats.org/officeDocument/2006/relationships/hyperlink" Target="https://youtu.be/6Uilt-YxIxk" TargetMode="External"/><Relationship Id="rId1" Type="http://schemas.openxmlformats.org/officeDocument/2006/relationships/hyperlink" Target="mailto:heeralaljatchandawal@gmail.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youtu.be/atAmvhXLU3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63"/>
  <sheetViews>
    <sheetView tabSelected="1" workbookViewId="0">
      <selection activeCell="E10" sqref="E10"/>
    </sheetView>
  </sheetViews>
  <sheetFormatPr defaultColWidth="0" defaultRowHeight="27.95" customHeight="1" zeroHeight="1"/>
  <cols>
    <col min="1" max="5" width="37.875" style="757" customWidth="1"/>
    <col min="6" max="16384" width="37.875" style="757" hidden="1"/>
  </cols>
  <sheetData>
    <row r="1" spans="1:18" ht="60.75" customHeight="1" thickBot="1">
      <c r="A1" s="854" t="s">
        <v>94</v>
      </c>
      <c r="B1" s="855"/>
      <c r="C1" s="855"/>
      <c r="D1" s="856"/>
      <c r="E1" s="753"/>
      <c r="F1" s="754"/>
      <c r="G1" s="754"/>
      <c r="H1" s="754"/>
      <c r="I1" s="754"/>
      <c r="J1" s="755"/>
      <c r="K1" s="756"/>
      <c r="L1" s="756"/>
    </row>
    <row r="2" spans="1:18" ht="87.75" customHeight="1" thickBot="1">
      <c r="A2" s="902" t="s">
        <v>176</v>
      </c>
      <c r="B2" s="903"/>
      <c r="C2" s="903"/>
      <c r="D2" s="904"/>
      <c r="E2" s="758" t="s">
        <v>79</v>
      </c>
      <c r="F2" s="759"/>
      <c r="G2" s="759"/>
      <c r="H2" s="759"/>
      <c r="I2" s="759"/>
      <c r="J2" s="760"/>
      <c r="K2" s="761"/>
      <c r="L2" s="761"/>
      <c r="M2" s="761"/>
      <c r="N2" s="761"/>
      <c r="O2" s="761"/>
      <c r="P2" s="761"/>
      <c r="Q2" s="761"/>
      <c r="R2" s="761"/>
    </row>
    <row r="3" spans="1:18" ht="36" customHeight="1" thickBot="1">
      <c r="A3" s="905" t="s">
        <v>80</v>
      </c>
      <c r="B3" s="906"/>
      <c r="C3" s="906"/>
      <c r="D3" s="906"/>
      <c r="E3" s="762" t="s">
        <v>103</v>
      </c>
      <c r="F3" s="759"/>
      <c r="G3" s="759"/>
      <c r="H3" s="759"/>
      <c r="I3" s="759"/>
      <c r="J3" s="760"/>
      <c r="K3" s="761"/>
      <c r="L3" s="761"/>
      <c r="M3" s="761"/>
      <c r="N3" s="761"/>
      <c r="O3" s="761"/>
      <c r="P3" s="761"/>
      <c r="Q3" s="761"/>
      <c r="R3" s="761"/>
    </row>
    <row r="4" spans="1:18" ht="54" customHeight="1" thickBot="1">
      <c r="A4" s="907" t="s">
        <v>177</v>
      </c>
      <c r="B4" s="908"/>
      <c r="C4" s="908"/>
      <c r="D4" s="909"/>
      <c r="E4" s="832" t="s">
        <v>274</v>
      </c>
      <c r="F4" s="759"/>
      <c r="G4" s="759"/>
      <c r="H4" s="759"/>
      <c r="I4" s="759"/>
      <c r="J4" s="760"/>
      <c r="K4" s="761"/>
      <c r="L4" s="761"/>
      <c r="M4" s="761"/>
      <c r="N4" s="761"/>
      <c r="O4" s="761"/>
      <c r="P4" s="761"/>
      <c r="Q4" s="761"/>
      <c r="R4" s="761"/>
    </row>
    <row r="5" spans="1:18" ht="41.25" customHeight="1" thickBot="1">
      <c r="A5" s="899" t="s">
        <v>81</v>
      </c>
      <c r="B5" s="900"/>
      <c r="C5" s="900"/>
      <c r="D5" s="901"/>
      <c r="E5" s="763" t="s">
        <v>174</v>
      </c>
      <c r="F5" s="759"/>
      <c r="G5" s="759"/>
      <c r="H5" s="759"/>
      <c r="I5" s="759"/>
      <c r="J5" s="760"/>
      <c r="K5" s="761"/>
      <c r="L5" s="761"/>
      <c r="M5" s="761"/>
      <c r="N5" s="761"/>
      <c r="O5" s="761"/>
      <c r="P5" s="761"/>
      <c r="Q5" s="761"/>
      <c r="R5" s="761"/>
    </row>
    <row r="6" spans="1:18" ht="33.75" customHeight="1">
      <c r="A6" s="891" t="s">
        <v>256</v>
      </c>
      <c r="B6" s="892"/>
      <c r="C6" s="892"/>
      <c r="D6" s="893"/>
      <c r="E6" s="764" t="s">
        <v>255</v>
      </c>
      <c r="F6" s="759"/>
      <c r="G6" s="759"/>
      <c r="H6" s="759"/>
      <c r="I6" s="759"/>
      <c r="J6" s="760"/>
      <c r="K6" s="761"/>
      <c r="L6" s="761"/>
      <c r="M6" s="761"/>
      <c r="N6" s="761"/>
      <c r="O6" s="761"/>
      <c r="P6" s="761"/>
      <c r="Q6" s="761"/>
      <c r="R6" s="761"/>
    </row>
    <row r="7" spans="1:18" ht="37.5" customHeight="1" thickBot="1">
      <c r="A7" s="917" t="s">
        <v>149</v>
      </c>
      <c r="B7" s="918"/>
      <c r="C7" s="918"/>
      <c r="D7" s="919"/>
      <c r="E7" s="764" t="s">
        <v>271</v>
      </c>
      <c r="F7" s="759"/>
      <c r="G7" s="759"/>
      <c r="H7" s="759"/>
      <c r="I7" s="759"/>
      <c r="J7" s="760"/>
      <c r="K7" s="761"/>
      <c r="L7" s="761"/>
      <c r="M7" s="761"/>
      <c r="N7" s="761"/>
      <c r="O7" s="761"/>
      <c r="P7" s="761"/>
      <c r="Q7" s="761"/>
      <c r="R7" s="761"/>
    </row>
    <row r="8" spans="1:18" ht="27.95" customHeight="1" thickBot="1">
      <c r="A8" s="894" t="s">
        <v>82</v>
      </c>
      <c r="B8" s="895"/>
      <c r="C8" s="895"/>
      <c r="D8" s="895"/>
      <c r="E8" s="780" t="s">
        <v>258</v>
      </c>
      <c r="F8" s="765"/>
      <c r="G8" s="765"/>
      <c r="H8" s="765"/>
      <c r="I8" s="765"/>
      <c r="J8" s="761"/>
      <c r="K8" s="761"/>
      <c r="L8" s="761"/>
      <c r="M8" s="761"/>
      <c r="N8" s="761"/>
      <c r="O8" s="761"/>
      <c r="P8" s="761"/>
      <c r="Q8" s="761"/>
      <c r="R8" s="761"/>
    </row>
    <row r="9" spans="1:18" ht="27.95" customHeight="1">
      <c r="A9" s="882" t="s">
        <v>173</v>
      </c>
      <c r="B9" s="883"/>
      <c r="C9" s="883"/>
      <c r="D9" s="884"/>
      <c r="E9" s="779">
        <v>46074</v>
      </c>
      <c r="F9" s="767"/>
      <c r="G9" s="767"/>
      <c r="H9" s="767"/>
      <c r="I9" s="767"/>
      <c r="J9" s="761"/>
      <c r="K9" s="761"/>
      <c r="L9" s="761"/>
      <c r="M9" s="761"/>
      <c r="N9" s="761"/>
      <c r="O9" s="761"/>
      <c r="P9" s="761"/>
      <c r="Q9" s="761"/>
      <c r="R9" s="761"/>
    </row>
    <row r="10" spans="1:18" ht="45.75" customHeight="1">
      <c r="A10" s="885" t="s">
        <v>83</v>
      </c>
      <c r="B10" s="886"/>
      <c r="C10" s="886"/>
      <c r="D10" s="887"/>
      <c r="E10" s="758"/>
      <c r="F10" s="767"/>
      <c r="G10" s="767"/>
      <c r="H10" s="767"/>
      <c r="I10" s="767"/>
      <c r="J10" s="761"/>
      <c r="K10" s="761"/>
      <c r="L10" s="761"/>
      <c r="M10" s="761"/>
      <c r="N10" s="761"/>
      <c r="O10" s="761"/>
      <c r="P10" s="761"/>
      <c r="Q10" s="761"/>
      <c r="R10" s="761"/>
    </row>
    <row r="11" spans="1:18" ht="81.75" customHeight="1">
      <c r="A11" s="888" t="s">
        <v>84</v>
      </c>
      <c r="B11" s="889"/>
      <c r="C11" s="889"/>
      <c r="D11" s="890"/>
      <c r="E11" s="764" t="s">
        <v>274</v>
      </c>
      <c r="F11" s="767"/>
      <c r="G11" s="767"/>
      <c r="H11" s="767"/>
      <c r="I11" s="767"/>
      <c r="J11" s="761"/>
      <c r="K11" s="761"/>
      <c r="L11" s="761"/>
      <c r="M11" s="761"/>
      <c r="N11" s="761"/>
      <c r="O11" s="761"/>
      <c r="P11" s="761"/>
      <c r="Q11" s="761"/>
      <c r="R11" s="761"/>
    </row>
    <row r="12" spans="1:18" ht="66.75" customHeight="1" thickBot="1">
      <c r="A12" s="920" t="s">
        <v>257</v>
      </c>
      <c r="B12" s="921"/>
      <c r="C12" s="921"/>
      <c r="D12" s="922"/>
      <c r="E12" s="758"/>
      <c r="F12" s="767"/>
      <c r="G12" s="767"/>
      <c r="H12" s="767"/>
      <c r="I12" s="767"/>
      <c r="J12" s="761"/>
      <c r="K12" s="761"/>
      <c r="L12" s="761"/>
      <c r="M12" s="761"/>
      <c r="N12" s="761"/>
      <c r="O12" s="761"/>
      <c r="P12" s="761"/>
      <c r="Q12" s="761"/>
      <c r="R12" s="761"/>
    </row>
    <row r="13" spans="1:18" ht="27.95" customHeight="1" thickBot="1">
      <c r="A13" s="910" t="s">
        <v>98</v>
      </c>
      <c r="B13" s="911"/>
      <c r="C13" s="911"/>
      <c r="D13" s="911"/>
      <c r="E13" s="758"/>
      <c r="F13" s="768"/>
      <c r="G13" s="768"/>
      <c r="H13" s="768"/>
      <c r="I13" s="768"/>
      <c r="J13" s="761"/>
      <c r="K13" s="761"/>
      <c r="L13" s="761"/>
      <c r="M13" s="761"/>
      <c r="N13" s="761"/>
      <c r="O13" s="761"/>
      <c r="P13" s="761"/>
      <c r="Q13" s="761"/>
      <c r="R13" s="761"/>
    </row>
    <row r="14" spans="1:18" ht="43.5" customHeight="1">
      <c r="A14" s="879" t="s">
        <v>85</v>
      </c>
      <c r="B14" s="880"/>
      <c r="C14" s="880"/>
      <c r="D14" s="881"/>
      <c r="E14" s="758"/>
      <c r="F14" s="769"/>
      <c r="G14" s="769"/>
      <c r="H14" s="769"/>
      <c r="I14" s="769"/>
      <c r="J14" s="761"/>
      <c r="K14" s="761"/>
      <c r="L14" s="761"/>
      <c r="M14" s="761"/>
      <c r="N14" s="761"/>
      <c r="O14" s="761"/>
      <c r="P14" s="761"/>
      <c r="Q14" s="761"/>
      <c r="R14" s="761"/>
    </row>
    <row r="15" spans="1:18" ht="39" customHeight="1" thickBot="1">
      <c r="A15" s="912" t="s">
        <v>86</v>
      </c>
      <c r="B15" s="913"/>
      <c r="C15" s="913"/>
      <c r="D15" s="914"/>
      <c r="E15" s="758"/>
      <c r="F15" s="769"/>
      <c r="G15" s="769"/>
      <c r="H15" s="769"/>
      <c r="I15" s="769"/>
      <c r="J15" s="761"/>
      <c r="K15" s="761"/>
      <c r="L15" s="761"/>
      <c r="M15" s="761"/>
      <c r="N15" s="761"/>
      <c r="O15" s="761"/>
      <c r="P15" s="761"/>
      <c r="Q15" s="761"/>
      <c r="R15" s="761"/>
    </row>
    <row r="16" spans="1:18" ht="27.95" customHeight="1" thickBot="1">
      <c r="A16" s="915" t="s">
        <v>87</v>
      </c>
      <c r="B16" s="916"/>
      <c r="C16" s="916"/>
      <c r="D16" s="916"/>
      <c r="E16" s="758"/>
      <c r="F16" s="759"/>
      <c r="G16" s="759"/>
      <c r="H16" s="759"/>
      <c r="I16" s="759"/>
      <c r="J16" s="761"/>
      <c r="K16" s="761"/>
      <c r="L16" s="761"/>
      <c r="M16" s="761"/>
      <c r="N16" s="761"/>
      <c r="O16" s="761"/>
      <c r="P16" s="761"/>
      <c r="Q16" s="761"/>
      <c r="R16" s="761"/>
    </row>
    <row r="17" spans="1:18" ht="33" customHeight="1">
      <c r="A17" s="879" t="s">
        <v>89</v>
      </c>
      <c r="B17" s="880"/>
      <c r="C17" s="880"/>
      <c r="D17" s="881"/>
      <c r="E17" s="766"/>
      <c r="F17" s="759"/>
      <c r="G17" s="759"/>
      <c r="H17" s="759"/>
      <c r="I17" s="759"/>
      <c r="J17" s="761"/>
      <c r="K17" s="761"/>
      <c r="L17" s="761"/>
      <c r="M17" s="761"/>
      <c r="N17" s="761"/>
      <c r="O17" s="761"/>
      <c r="P17" s="761"/>
      <c r="Q17" s="761"/>
      <c r="R17" s="761"/>
    </row>
    <row r="18" spans="1:18" ht="27.95" customHeight="1" thickBot="1">
      <c r="A18" s="874" t="s">
        <v>88</v>
      </c>
      <c r="B18" s="875"/>
      <c r="C18" s="875"/>
      <c r="D18" s="876"/>
      <c r="E18" s="766"/>
      <c r="F18" s="759"/>
      <c r="G18" s="759"/>
      <c r="H18" s="759"/>
      <c r="I18" s="759"/>
      <c r="J18" s="761"/>
      <c r="K18" s="761"/>
      <c r="L18" s="761"/>
      <c r="M18" s="761"/>
      <c r="N18" s="761"/>
      <c r="O18" s="761"/>
      <c r="P18" s="761"/>
      <c r="Q18" s="761"/>
      <c r="R18" s="761"/>
    </row>
    <row r="19" spans="1:18" ht="28.5" thickBot="1">
      <c r="A19" s="877" t="s">
        <v>90</v>
      </c>
      <c r="B19" s="878"/>
      <c r="C19" s="878"/>
      <c r="D19" s="878"/>
      <c r="E19" s="753"/>
      <c r="F19" s="759"/>
      <c r="G19" s="759"/>
      <c r="H19" s="759"/>
      <c r="I19" s="759"/>
    </row>
    <row r="20" spans="1:18" ht="27.75" customHeight="1">
      <c r="A20" s="879" t="s">
        <v>91</v>
      </c>
      <c r="B20" s="880"/>
      <c r="C20" s="880"/>
      <c r="D20" s="881"/>
      <c r="E20" s="753"/>
      <c r="F20" s="770"/>
      <c r="G20" s="770"/>
      <c r="H20" s="770"/>
      <c r="I20" s="770"/>
    </row>
    <row r="21" spans="1:18" ht="44.25" customHeight="1">
      <c r="A21" s="868" t="s">
        <v>178</v>
      </c>
      <c r="B21" s="869"/>
      <c r="C21" s="869"/>
      <c r="D21" s="870"/>
      <c r="E21" s="753"/>
      <c r="F21" s="770"/>
      <c r="G21" s="770"/>
      <c r="H21" s="770"/>
      <c r="I21" s="770"/>
    </row>
    <row r="22" spans="1:18" ht="21.75" customHeight="1">
      <c r="A22" s="871" t="s">
        <v>92</v>
      </c>
      <c r="B22" s="872"/>
      <c r="C22" s="872"/>
      <c r="D22" s="873"/>
      <c r="E22" s="753"/>
      <c r="F22" s="771"/>
      <c r="G22" s="771"/>
      <c r="H22" s="771"/>
      <c r="I22" s="771"/>
    </row>
    <row r="23" spans="1:18" ht="23.25" customHeight="1" thickBot="1">
      <c r="A23" s="874" t="s">
        <v>93</v>
      </c>
      <c r="B23" s="875"/>
      <c r="C23" s="875"/>
      <c r="D23" s="876"/>
      <c r="E23" s="753"/>
      <c r="F23" s="772"/>
      <c r="G23" s="772"/>
      <c r="H23" s="772"/>
      <c r="I23" s="772"/>
    </row>
    <row r="24" spans="1:18" ht="34.5" thickBot="1">
      <c r="A24" s="857" t="s">
        <v>95</v>
      </c>
      <c r="B24" s="858"/>
      <c r="C24" s="858"/>
      <c r="D24" s="858"/>
      <c r="E24" s="753"/>
      <c r="F24" s="773"/>
      <c r="G24" s="773"/>
      <c r="H24" s="773"/>
      <c r="I24" s="773"/>
    </row>
    <row r="25" spans="1:18" ht="46.5" customHeight="1">
      <c r="A25" s="859" t="s">
        <v>150</v>
      </c>
      <c r="B25" s="860"/>
      <c r="C25" s="860"/>
      <c r="D25" s="861"/>
      <c r="E25" s="753"/>
      <c r="F25" s="774"/>
      <c r="G25" s="774"/>
      <c r="H25" s="774"/>
      <c r="I25" s="774"/>
    </row>
    <row r="26" spans="1:18" ht="39.75" customHeight="1">
      <c r="A26" s="862" t="s">
        <v>96</v>
      </c>
      <c r="B26" s="863"/>
      <c r="C26" s="863"/>
      <c r="D26" s="864"/>
      <c r="E26" s="753"/>
      <c r="F26" s="774"/>
      <c r="G26" s="774"/>
      <c r="H26" s="774"/>
      <c r="I26" s="774"/>
    </row>
    <row r="27" spans="1:18" ht="96.75" customHeight="1" thickBot="1">
      <c r="A27" s="865" t="s">
        <v>99</v>
      </c>
      <c r="B27" s="866"/>
      <c r="C27" s="866"/>
      <c r="D27" s="867"/>
      <c r="E27" s="753"/>
      <c r="F27" s="775"/>
      <c r="G27" s="775"/>
      <c r="H27" s="775"/>
      <c r="I27" s="775"/>
    </row>
    <row r="28" spans="1:18" ht="34.5" thickBot="1">
      <c r="A28" s="926" t="s">
        <v>97</v>
      </c>
      <c r="B28" s="927"/>
      <c r="C28" s="927"/>
      <c r="D28" s="927"/>
      <c r="E28" s="753"/>
      <c r="F28" s="773"/>
      <c r="G28" s="773"/>
      <c r="H28" s="773"/>
      <c r="I28" s="773"/>
    </row>
    <row r="29" spans="1:18" ht="23.25" customHeight="1">
      <c r="A29" s="928" t="s">
        <v>100</v>
      </c>
      <c r="B29" s="929"/>
      <c r="C29" s="929"/>
      <c r="D29" s="930"/>
      <c r="E29" s="753"/>
    </row>
    <row r="30" spans="1:18" ht="72.75" customHeight="1" thickBot="1">
      <c r="A30" s="839" t="s">
        <v>101</v>
      </c>
      <c r="B30" s="840"/>
      <c r="C30" s="840"/>
      <c r="D30" s="841"/>
      <c r="E30" s="753"/>
    </row>
    <row r="31" spans="1:18" ht="38.25" customHeight="1" thickBot="1">
      <c r="A31" s="842" t="s">
        <v>102</v>
      </c>
      <c r="B31" s="843"/>
      <c r="C31" s="843"/>
      <c r="D31" s="844"/>
      <c r="E31" s="753"/>
    </row>
    <row r="32" spans="1:18" ht="27.95" customHeight="1">
      <c r="A32" s="845" t="s">
        <v>72</v>
      </c>
      <c r="B32" s="846"/>
      <c r="C32" s="846"/>
      <c r="D32" s="847"/>
      <c r="E32" s="753"/>
    </row>
    <row r="33" spans="1:5" ht="27.95" customHeight="1">
      <c r="A33" s="848" t="s">
        <v>67</v>
      </c>
      <c r="B33" s="849"/>
      <c r="C33" s="849"/>
      <c r="D33" s="850"/>
      <c r="E33" s="753"/>
    </row>
    <row r="34" spans="1:5" ht="21">
      <c r="A34" s="851" t="s">
        <v>73</v>
      </c>
      <c r="B34" s="852"/>
      <c r="C34" s="852"/>
      <c r="D34" s="853"/>
      <c r="E34" s="753"/>
    </row>
    <row r="35" spans="1:5" ht="27.95" customHeight="1">
      <c r="A35" s="833" t="s">
        <v>68</v>
      </c>
      <c r="B35" s="834"/>
      <c r="C35" s="834"/>
      <c r="D35" s="835"/>
      <c r="E35" s="753"/>
    </row>
    <row r="36" spans="1:5" ht="27.95" customHeight="1">
      <c r="A36" s="836" t="s">
        <v>69</v>
      </c>
      <c r="B36" s="837"/>
      <c r="C36" s="837"/>
      <c r="D36" s="838"/>
      <c r="E36" s="753"/>
    </row>
    <row r="37" spans="1:5" ht="27.95" customHeight="1">
      <c r="A37" s="923" t="s">
        <v>70</v>
      </c>
      <c r="B37" s="924"/>
      <c r="C37" s="924"/>
      <c r="D37" s="925"/>
      <c r="E37" s="753"/>
    </row>
    <row r="38" spans="1:5" ht="27.95" customHeight="1" thickBot="1">
      <c r="A38" s="896" t="s">
        <v>255</v>
      </c>
      <c r="B38" s="897"/>
      <c r="C38" s="897"/>
      <c r="D38" s="898"/>
      <c r="E38" s="753"/>
    </row>
    <row r="39" spans="1:5" ht="27.95" customHeight="1">
      <c r="A39" s="753"/>
      <c r="B39" s="753"/>
      <c r="C39" s="753"/>
      <c r="D39" s="753"/>
      <c r="E39" s="753"/>
    </row>
    <row r="40" spans="1:5" ht="27.95" customHeight="1">
      <c r="A40" s="753"/>
      <c r="B40" s="753"/>
      <c r="C40" s="753"/>
      <c r="D40" s="753"/>
      <c r="E40" s="753"/>
    </row>
    <row r="41" spans="1:5" ht="27.95" hidden="1" customHeight="1">
      <c r="E41" s="753"/>
    </row>
    <row r="42" spans="1:5" ht="27.95" hidden="1" customHeight="1">
      <c r="E42" s="753"/>
    </row>
    <row r="43" spans="1:5" ht="27.95" hidden="1" customHeight="1">
      <c r="E43" s="753"/>
    </row>
    <row r="44" spans="1:5" ht="27.95" hidden="1" customHeight="1">
      <c r="E44" s="753"/>
    </row>
    <row r="45" spans="1:5" ht="27.95" hidden="1" customHeight="1">
      <c r="E45" s="753"/>
    </row>
    <row r="46" spans="1:5" ht="27.95" hidden="1" customHeight="1">
      <c r="E46" s="753"/>
    </row>
    <row r="47" spans="1:5" ht="27.95" hidden="1" customHeight="1">
      <c r="E47" s="753"/>
    </row>
    <row r="48" spans="1:5" ht="27.95" hidden="1" customHeight="1">
      <c r="E48" s="753"/>
    </row>
    <row r="49" spans="5:5" ht="27.95" hidden="1" customHeight="1">
      <c r="E49" s="753"/>
    </row>
    <row r="50" spans="5:5" ht="27.95" hidden="1" customHeight="1">
      <c r="E50" s="753"/>
    </row>
    <row r="51" spans="5:5" ht="27.95" hidden="1" customHeight="1">
      <c r="E51" s="753"/>
    </row>
    <row r="52" spans="5:5" ht="27.95" hidden="1" customHeight="1">
      <c r="E52" s="753"/>
    </row>
    <row r="53" spans="5:5" ht="27.95" hidden="1" customHeight="1">
      <c r="E53" s="753"/>
    </row>
    <row r="54" spans="5:5" ht="27.95" hidden="1" customHeight="1">
      <c r="E54" s="753"/>
    </row>
    <row r="55" spans="5:5" ht="27.95" hidden="1" customHeight="1">
      <c r="E55" s="753"/>
    </row>
    <row r="56" spans="5:5" ht="27.95" hidden="1" customHeight="1">
      <c r="E56" s="753"/>
    </row>
    <row r="57" spans="5:5" ht="27.95" hidden="1" customHeight="1">
      <c r="E57" s="753"/>
    </row>
    <row r="58" spans="5:5" ht="27.95" hidden="1" customHeight="1">
      <c r="E58" s="753"/>
    </row>
    <row r="59" spans="5:5" ht="27.95" hidden="1" customHeight="1">
      <c r="E59" s="753"/>
    </row>
    <row r="60" spans="5:5" ht="27.95" hidden="1" customHeight="1">
      <c r="E60" s="753"/>
    </row>
    <row r="61" spans="5:5" ht="27.95" hidden="1" customHeight="1">
      <c r="E61" s="753"/>
    </row>
    <row r="62" spans="5:5" ht="27.95" hidden="1" customHeight="1">
      <c r="E62" s="753"/>
    </row>
    <row r="63" spans="5:5" ht="27.95" customHeight="1"/>
  </sheetData>
  <sheetProtection password="C1FB" sheet="1" objects="1" scenarios="1" selectLockedCells="1"/>
  <mergeCells count="3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5:D35"/>
    <mergeCell ref="A36:D36"/>
    <mergeCell ref="A30:D30"/>
    <mergeCell ref="A31:D31"/>
    <mergeCell ref="A32:D32"/>
    <mergeCell ref="A33:D33"/>
    <mergeCell ref="A34:D34"/>
  </mergeCells>
  <hyperlinks>
    <hyperlink ref="A37" r:id="rId1"/>
    <hyperlink ref="E6" r:id="rId2"/>
    <hyperlink ref="A38" r:id="rId3"/>
    <hyperlink ref="E7" r:id="rId4"/>
    <hyperlink ref="E11" r:id="rId5"/>
    <hyperlink ref="E4" r:id="rId6"/>
  </hyperlinks>
  <pageMargins left="0.7" right="0.7" top="0.75" bottom="0.75" header="0.3" footer="0.3"/>
  <pageSetup orientation="portrait" r:id="rId7"/>
  <drawing r:id="rId8"/>
</worksheet>
</file>

<file path=xl/worksheets/sheet10.xml><?xml version="1.0" encoding="utf-8"?>
<worksheet xmlns="http://schemas.openxmlformats.org/spreadsheetml/2006/main" xmlns:r="http://schemas.openxmlformats.org/officeDocument/2006/relationships">
  <sheetPr>
    <pageSetUpPr fitToPage="1"/>
  </sheetPr>
  <dimension ref="A1:BL218"/>
  <sheetViews>
    <sheetView showGridLines="0" workbookViewId="0">
      <selection activeCell="W6" sqref="W6"/>
    </sheetView>
  </sheetViews>
  <sheetFormatPr defaultColWidth="0" defaultRowHeight="0" customHeight="1" zeroHeight="1"/>
  <cols>
    <col min="1" max="1" width="4" style="6" customWidth="1"/>
    <col min="2" max="2" width="6.625" style="6" customWidth="1"/>
    <col min="3" max="3" width="5.75" style="6" customWidth="1"/>
    <col min="4" max="4" width="8.875" style="6" customWidth="1"/>
    <col min="5" max="5" width="17.375" style="6" customWidth="1"/>
    <col min="6" max="6" width="16.5" style="6" customWidth="1"/>
    <col min="7" max="7" width="15.875" style="6" customWidth="1"/>
    <col min="8" max="8" width="12.5" style="6" customWidth="1"/>
    <col min="9" max="9" width="4.375" style="6" customWidth="1"/>
    <col min="10" max="10" width="8.25" style="6" customWidth="1"/>
    <col min="11" max="21" width="4.625" style="6" customWidth="1"/>
    <col min="22" max="22" width="21.625" style="6" customWidth="1"/>
    <col min="23" max="23" width="8.75" style="6" customWidth="1"/>
    <col min="24" max="16384" width="9.125" style="6" hidden="1"/>
  </cols>
  <sheetData>
    <row r="1" spans="1:64" ht="24.75" customHeight="1">
      <c r="A1" s="1351" t="str">
        <f>IF('School Profile'!D12="Hindi",CONCATENATE("विद्यालय का नाम :-","  ",'School Profile'!D9),CONCATENATE("School Name :-","  ",'School Profile'!D8))</f>
        <v xml:space="preserve">विद्यालय का नाम :-  महात्मा गाँधी राजकीय विद्यालय (अंग्रेजी माध्यम) बर, पाली </v>
      </c>
      <c r="B1" s="1351"/>
      <c r="C1" s="1351"/>
      <c r="D1" s="1351"/>
      <c r="E1" s="1351"/>
      <c r="F1" s="1351"/>
      <c r="G1" s="1351"/>
      <c r="H1" s="1351"/>
      <c r="I1" s="1351"/>
      <c r="J1" s="1351"/>
      <c r="K1" s="1474" t="str">
        <f>IF('School Profile'!D12="Hindi","विषयवार परीक्षा परिणाम कक्षा -9","Subject-wise Result Class 9th")</f>
        <v>विषयवार परीक्षा परिणाम कक्षा -9</v>
      </c>
      <c r="L1" s="1474"/>
      <c r="M1" s="1474"/>
      <c r="N1" s="1474"/>
      <c r="O1" s="1474"/>
      <c r="P1" s="1474"/>
      <c r="Q1" s="1474"/>
      <c r="R1" s="1474"/>
      <c r="S1" s="1474"/>
      <c r="T1" s="1474"/>
      <c r="U1" s="1474"/>
      <c r="V1" s="1474"/>
    </row>
    <row r="2" spans="1:64" ht="18.75" customHeight="1">
      <c r="A2" s="1475" t="str">
        <f>IF('School Profile'!D12="Hindi","कक्षा :-","CLASS :-")</f>
        <v>कक्षा :-</v>
      </c>
      <c r="B2" s="1476"/>
      <c r="C2" s="1481" t="str">
        <f>'Supp. Result Entry'!C2</f>
        <v>9th</v>
      </c>
      <c r="D2" s="1481"/>
      <c r="E2" s="1481"/>
      <c r="F2" s="1481"/>
      <c r="G2" s="1479" t="str">
        <f>IF('School Profile'!D12="Hindi","सत्र  :-","Session :-")</f>
        <v>सत्र  :-</v>
      </c>
      <c r="H2" s="1481" t="str">
        <f>'Supp. Result Entry'!G2</f>
        <v>2025-2026</v>
      </c>
      <c r="I2" s="1481"/>
      <c r="J2" s="1483"/>
      <c r="K2" s="1486" t="str">
        <f>IF('School Profile'!$D$12="Hindi","मुख्य परीक्षा परिणाम","Main Exam Result")</f>
        <v>मुख्य परीक्षा परिणाम</v>
      </c>
      <c r="L2" s="1487"/>
      <c r="M2" s="1487"/>
      <c r="N2" s="1487"/>
      <c r="O2" s="1487"/>
      <c r="P2" s="1487"/>
      <c r="Q2" s="1487"/>
      <c r="R2" s="1487"/>
      <c r="S2" s="1487"/>
      <c r="T2" s="1487"/>
      <c r="U2" s="1488"/>
      <c r="V2" s="1489" t="str">
        <f>IF('School Profile'!$D$12="Hindi"," पूरक परीक्षा / सा.उतीर्ण/  पुनः परीक्षा के विषय","Supplementary,  Re-Exam &amp; By Grace Pass Subject")</f>
        <v xml:space="preserve"> पूरक परीक्षा / सा.उतीर्ण/  पुनः परीक्षा के विषय</v>
      </c>
    </row>
    <row r="3" spans="1:64" s="177" customFormat="1" ht="18" customHeight="1">
      <c r="A3" s="1477"/>
      <c r="B3" s="1478"/>
      <c r="C3" s="1482"/>
      <c r="D3" s="1482"/>
      <c r="E3" s="1482"/>
      <c r="F3" s="1482"/>
      <c r="G3" s="1480"/>
      <c r="H3" s="1482"/>
      <c r="I3" s="1482"/>
      <c r="J3" s="1482"/>
      <c r="K3" s="1472" t="str">
        <f>'Statement of Marks'!GN5</f>
        <v>हिंदी</v>
      </c>
      <c r="L3" s="1472" t="str">
        <f>'Statement of Marks'!GQ5</f>
        <v>अंग्रेजी</v>
      </c>
      <c r="M3" s="1484" t="str">
        <f>'Statement of Marks'!GU4</f>
        <v>तृतीय भाषा</v>
      </c>
      <c r="N3" s="1357"/>
      <c r="O3" s="1357"/>
      <c r="P3" s="1357"/>
      <c r="Q3" s="1485"/>
      <c r="R3" s="1472" t="str">
        <f>'Statement of Marks'!HB5</f>
        <v>गणित</v>
      </c>
      <c r="S3" s="1472" t="str">
        <f>'Statement of Marks'!HE5</f>
        <v>विज्ञान</v>
      </c>
      <c r="T3" s="1472" t="str">
        <f>'Statement of Marks'!HH4</f>
        <v>सामाजिक विज्ञान</v>
      </c>
      <c r="U3" s="1472" t="str">
        <f>IF('School Profile'!$D$12="Hindi","व्यावसायिक शिक्षा","Vocational Education")</f>
        <v>व्यावसायिक शिक्षा</v>
      </c>
      <c r="V3" s="1490"/>
    </row>
    <row r="4" spans="1:64" s="177" customFormat="1" ht="90.75" customHeight="1">
      <c r="A4" s="629" t="str">
        <f>'Result Aggregate'!A3</f>
        <v xml:space="preserve">क्र. स. </v>
      </c>
      <c r="B4" s="629" t="str">
        <f>'Result Aggregate'!B3</f>
        <v>रोल न.</v>
      </c>
      <c r="C4" s="629" t="str">
        <f>'Result Aggregate'!C3</f>
        <v>प्रवेशांक</v>
      </c>
      <c r="D4" s="630" t="str">
        <f>'Result Aggregate'!D2</f>
        <v xml:space="preserve">जन्मतिथि </v>
      </c>
      <c r="E4" s="630" t="str">
        <f>'Result Aggregate'!E2</f>
        <v xml:space="preserve">विद्यार्थी का नाम </v>
      </c>
      <c r="F4" s="630" t="str">
        <f>'Result Aggregate'!F2</f>
        <v xml:space="preserve">पिता का नाम </v>
      </c>
      <c r="G4" s="630" t="str">
        <f>'Result Aggregate'!G2</f>
        <v xml:space="preserve">माता का नाम </v>
      </c>
      <c r="H4" s="632" t="str">
        <f>IF('School Profile'!$D$12="Hindi","परिणाम ","Result")</f>
        <v xml:space="preserve">परिणाम </v>
      </c>
      <c r="I4" s="631" t="str">
        <f>IF('School Profile'!$D$12="Hindi","श्रेणी","Division")</f>
        <v>श्रेणी</v>
      </c>
      <c r="J4" s="387" t="str">
        <f>IF('School Profile'!D12="Hindi","प्राप्तांक प्रतिशत","Marks Obtained Percentage")</f>
        <v>प्राप्तांक प्रतिशत</v>
      </c>
      <c r="K4" s="1472"/>
      <c r="L4" s="1472"/>
      <c r="M4" s="391" t="str">
        <f>'Statement of Marks'!GU5</f>
        <v>संस्कृत (71)</v>
      </c>
      <c r="N4" s="391" t="str">
        <f>'Statement of Marks'!GV5</f>
        <v xml:space="preserve">उर्दू (72) </v>
      </c>
      <c r="O4" s="391" t="str">
        <f>'Statement of Marks'!GW5</f>
        <v>गुजराती (73)</v>
      </c>
      <c r="P4" s="391" t="str">
        <f>'Statement of Marks'!GX5</f>
        <v xml:space="preserve">सिंधी (74) </v>
      </c>
      <c r="Q4" s="395" t="str">
        <f>'Statement of Marks'!GY5</f>
        <v>पंजाबी (75)</v>
      </c>
      <c r="R4" s="1472"/>
      <c r="S4" s="1472"/>
      <c r="T4" s="1472"/>
      <c r="U4" s="1472"/>
      <c r="V4" s="1490"/>
    </row>
    <row r="5" spans="1:64" ht="21" customHeight="1">
      <c r="A5" s="169">
        <f>IF('Statement of Marks'!A7="","",'Statement of Marks'!A7)</f>
        <v>1</v>
      </c>
      <c r="B5" s="169">
        <f>IF('Statement of Marks'!B7="","",'Statement of Marks'!B7)</f>
        <v>901</v>
      </c>
      <c r="C5" s="169">
        <f>IF('Statement of Marks'!D7="","",'Statement of Marks'!D7)</f>
        <v>521</v>
      </c>
      <c r="D5" s="315">
        <f>IF('Statement of Marks'!E7="","",'Statement of Marks'!E7)</f>
        <v>40461</v>
      </c>
      <c r="E5" s="316" t="str">
        <f>IF('Statement of Marks'!F7="","",'Statement of Marks'!F7)</f>
        <v>RAHUL JAT</v>
      </c>
      <c r="F5" s="316" t="str">
        <f>IF('Statement of Marks'!G7="","",'Statement of Marks'!G7)</f>
        <v>HL JAT</v>
      </c>
      <c r="G5" s="316" t="str">
        <f>IF('Statement of Marks'!H7="","",'Statement of Marks'!H7)</f>
        <v>LALI</v>
      </c>
      <c r="H5" s="830" t="str">
        <f>IF('Statement of Marks'!HS7="","",'Statement of Marks'!HS7)</f>
        <v>PASS</v>
      </c>
      <c r="I5" s="172" t="str">
        <f>IF('Statement of Marks'!HV7="","",'Statement of Marks'!HV7)</f>
        <v>1st</v>
      </c>
      <c r="J5" s="317">
        <f>IF('Statement of Marks'!HW7="","",'Statement of Marks'!HW7)</f>
        <v>73.833333333333329</v>
      </c>
      <c r="K5" s="392" t="str">
        <f>'Statement of Marks'!GN7</f>
        <v>I</v>
      </c>
      <c r="L5" s="392" t="str">
        <f>'Statement of Marks'!GQ7</f>
        <v>I</v>
      </c>
      <c r="M5" s="181" t="str">
        <f>'Statement of Marks'!GU7</f>
        <v>I</v>
      </c>
      <c r="N5" s="181" t="str">
        <f>'Statement of Marks'!GV7</f>
        <v/>
      </c>
      <c r="O5" s="181" t="str">
        <f>'Statement of Marks'!GW7</f>
        <v/>
      </c>
      <c r="P5" s="181" t="str">
        <f>'Statement of Marks'!GX7</f>
        <v/>
      </c>
      <c r="Q5" s="181" t="str">
        <f>'Statement of Marks'!GY7</f>
        <v/>
      </c>
      <c r="R5" s="392" t="str">
        <f>'Statement of Marks'!HB7</f>
        <v>I</v>
      </c>
      <c r="S5" s="392" t="str">
        <f>'Statement of Marks'!HE7</f>
        <v>I</v>
      </c>
      <c r="T5" s="392" t="str">
        <f>'Statement of Marks'!HH7</f>
        <v>I</v>
      </c>
      <c r="U5" s="392" t="str">
        <f>'Statement of Marks'!HK7</f>
        <v>D</v>
      </c>
      <c r="V5" s="318" t="str">
        <f>IF(COUNTIF(K5:U5,"F")&gt;0,"",CONCATENATE('Statement of Marks'!HO7,'Statement of Marks'!HP7,'Statement of Marks'!HQ7))</f>
        <v xml:space="preserve">                  </v>
      </c>
      <c r="BI5" s="6">
        <f>IFERROR(VLOOKUP(B5,'Statement of Marks'!$B$7:'Statement of Marks'!$IC$206,41,0),"")</f>
        <v>10</v>
      </c>
      <c r="BJ5" s="6" t="str">
        <f>IFERROR(VLOOKUP(B5,'Statement of Marks'!$B$7:'Statement of Marks'!$IC$206,66,0),"")</f>
        <v>I</v>
      </c>
      <c r="BK5" s="6">
        <f>IFERROR(VLOOKUP(B5,'Statement of Marks'!$B$7:'Statement of Marks'!$IC$206,91,0),"")</f>
        <v>0</v>
      </c>
      <c r="BL5" s="6" t="str">
        <f>IFERROR(VLOOKUP(B5,'Statement of Marks'!$B$7:'Statement of Marks'!$IC$206,117,0),"")</f>
        <v>I</v>
      </c>
    </row>
    <row r="6" spans="1:64" ht="21" customHeight="1">
      <c r="A6" s="169">
        <f>IF('Statement of Marks'!A8="","",'Statement of Marks'!A8)</f>
        <v>2</v>
      </c>
      <c r="B6" s="169">
        <f>IF('Statement of Marks'!B8="","",'Statement of Marks'!B8)</f>
        <v>902</v>
      </c>
      <c r="C6" s="169">
        <f>IF('Statement of Marks'!D8="","",'Statement of Marks'!D8)</f>
        <v>501</v>
      </c>
      <c r="D6" s="315">
        <f>IF('Statement of Marks'!E8="","",'Statement of Marks'!E8)</f>
        <v>40065</v>
      </c>
      <c r="E6" s="316" t="str">
        <f>IF('Statement of Marks'!F8="","",'Statement of Marks'!F8)</f>
        <v>RAM</v>
      </c>
      <c r="F6" s="316" t="str">
        <f>IF('Statement of Marks'!G8="","",'Statement of Marks'!G8)</f>
        <v>SHYAM</v>
      </c>
      <c r="G6" s="316" t="str">
        <f>IF('Statement of Marks'!H8="","",'Statement of Marks'!H8)</f>
        <v>SITA</v>
      </c>
      <c r="H6" s="830" t="str">
        <f>IF('Statement of Marks'!HS8="","",'Statement of Marks'!HS8)</f>
        <v>PASS</v>
      </c>
      <c r="I6" s="172" t="str">
        <f>IF('Statement of Marks'!HV8="","",'Statement of Marks'!HV8)</f>
        <v>1st</v>
      </c>
      <c r="J6" s="317">
        <f>IF('Statement of Marks'!HW8="","",'Statement of Marks'!HW8)</f>
        <v>71.583333333333329</v>
      </c>
      <c r="K6" s="392" t="str">
        <f>'Statement of Marks'!GN8</f>
        <v>I</v>
      </c>
      <c r="L6" s="392" t="str">
        <f>'Statement of Marks'!GQ8</f>
        <v>D</v>
      </c>
      <c r="M6" s="181" t="str">
        <f>'Statement of Marks'!GU8</f>
        <v>D</v>
      </c>
      <c r="N6" s="181" t="str">
        <f>'Statement of Marks'!GV8</f>
        <v/>
      </c>
      <c r="O6" s="181" t="str">
        <f>'Statement of Marks'!GW8</f>
        <v/>
      </c>
      <c r="P6" s="181" t="str">
        <f>'Statement of Marks'!GX8</f>
        <v/>
      </c>
      <c r="Q6" s="181" t="str">
        <f>'Statement of Marks'!GY8</f>
        <v/>
      </c>
      <c r="R6" s="392" t="str">
        <f>'Statement of Marks'!HB8</f>
        <v>II</v>
      </c>
      <c r="S6" s="392" t="str">
        <f>'Statement of Marks'!HE8</f>
        <v>II</v>
      </c>
      <c r="T6" s="392" t="str">
        <f>'Statement of Marks'!HH8</f>
        <v>I</v>
      </c>
      <c r="U6" s="392" t="str">
        <f>'Statement of Marks'!HK8</f>
        <v>II</v>
      </c>
      <c r="V6" s="318" t="str">
        <f>IF(COUNTIF(K6:U6,"F")&gt;0,"",CONCATENATE('Statement of Marks'!HO8,'Statement of Marks'!HP8,'Statement of Marks'!HQ8))</f>
        <v xml:space="preserve">                  </v>
      </c>
      <c r="BI6" s="6">
        <f>IFERROR(VLOOKUP(B6,'Statement of Marks'!$B$7:'Statement of Marks'!$IC$206,41,0),"")</f>
        <v>9</v>
      </c>
      <c r="BJ6" s="6" t="str">
        <f>IFERROR(VLOOKUP(B6,'Statement of Marks'!$B$7:'Statement of Marks'!$IC$206,66,0),"")</f>
        <v>II</v>
      </c>
      <c r="BK6" s="6">
        <f>IFERROR(VLOOKUP(B6,'Statement of Marks'!$B$7:'Statement of Marks'!$IC$206,91,0),"")</f>
        <v>0</v>
      </c>
      <c r="BL6" s="6" t="str">
        <f>IFERROR(VLOOKUP(B6,'Statement of Marks'!$B$7:'Statement of Marks'!$IC$206,117,0),"")</f>
        <v>D</v>
      </c>
    </row>
    <row r="7" spans="1:64" ht="21" customHeight="1">
      <c r="A7" s="169">
        <f>IF('Statement of Marks'!A9="","",'Statement of Marks'!A9)</f>
        <v>3</v>
      </c>
      <c r="B7" s="169">
        <f>IF('Statement of Marks'!B9="","",'Statement of Marks'!B9)</f>
        <v>903</v>
      </c>
      <c r="C7" s="169" t="str">
        <f>IF('Statement of Marks'!D9="","",'Statement of Marks'!D9)</f>
        <v/>
      </c>
      <c r="D7" s="315">
        <f>IF('Statement of Marks'!E9="","",'Statement of Marks'!E9)</f>
        <v>41192</v>
      </c>
      <c r="E7" s="316" t="str">
        <f>IF('Statement of Marks'!F9="","",'Statement of Marks'!F9)</f>
        <v>DINESH</v>
      </c>
      <c r="F7" s="316" t="str">
        <f>IF('Statement of Marks'!G9="","",'Statement of Marks'!G9)</f>
        <v/>
      </c>
      <c r="G7" s="316" t="str">
        <f>IF('Statement of Marks'!H9="","",'Statement of Marks'!H9)</f>
        <v/>
      </c>
      <c r="H7" s="830" t="str">
        <f>IF('Statement of Marks'!HS9="","",'Statement of Marks'!HS9)</f>
        <v>FAIL</v>
      </c>
      <c r="I7" s="172" t="str">
        <f>IF('Statement of Marks'!HV9="","",'Statement of Marks'!HV9)</f>
        <v/>
      </c>
      <c r="J7" s="317" t="str">
        <f>IF('Statement of Marks'!HW9="","",'Statement of Marks'!HW9)</f>
        <v/>
      </c>
      <c r="K7" s="392" t="str">
        <f>'Statement of Marks'!GN9</f>
        <v>F</v>
      </c>
      <c r="L7" s="392" t="str">
        <f>'Statement of Marks'!GQ9</f>
        <v>D</v>
      </c>
      <c r="M7" s="181" t="str">
        <f>'Statement of Marks'!GU9</f>
        <v>II</v>
      </c>
      <c r="N7" s="181" t="str">
        <f>'Statement of Marks'!GV9</f>
        <v/>
      </c>
      <c r="O7" s="181" t="str">
        <f>'Statement of Marks'!GW9</f>
        <v/>
      </c>
      <c r="P7" s="181" t="str">
        <f>'Statement of Marks'!GX9</f>
        <v/>
      </c>
      <c r="Q7" s="181" t="str">
        <f>'Statement of Marks'!GY9</f>
        <v/>
      </c>
      <c r="R7" s="392" t="str">
        <f>'Statement of Marks'!HB9</f>
        <v>D</v>
      </c>
      <c r="S7" s="392" t="str">
        <f>'Statement of Marks'!HE9</f>
        <v>II</v>
      </c>
      <c r="T7" s="392" t="str">
        <f>'Statement of Marks'!HH9</f>
        <v>II</v>
      </c>
      <c r="U7" s="392" t="str">
        <f>'Statement of Marks'!HK9</f>
        <v>D</v>
      </c>
      <c r="V7" s="318" t="str">
        <f>IF(COUNTIF(K7:U7,"F")&gt;0,"",CONCATENATE('Statement of Marks'!HO9,'Statement of Marks'!HP9,'Statement of Marks'!HQ9))</f>
        <v/>
      </c>
      <c r="BI7" s="6">
        <f>IFERROR(VLOOKUP(B7,'Statement of Marks'!$B$7:'Statement of Marks'!$IC$206,41,0),"")</f>
        <v>9</v>
      </c>
      <c r="BJ7" s="6" t="str">
        <f>IFERROR(VLOOKUP(B7,'Statement of Marks'!$B$7:'Statement of Marks'!$IC$206,66,0),"")</f>
        <v>D</v>
      </c>
      <c r="BK7" s="6">
        <f>IFERROR(VLOOKUP(B7,'Statement of Marks'!$B$7:'Statement of Marks'!$IC$206,91,0),"")</f>
        <v>0</v>
      </c>
      <c r="BL7" s="6" t="str">
        <f>IFERROR(VLOOKUP(B7,'Statement of Marks'!$B$7:'Statement of Marks'!$IC$206,117,0),"")</f>
        <v>II</v>
      </c>
    </row>
    <row r="8" spans="1:64" ht="21" customHeight="1">
      <c r="A8" s="169">
        <f>IF('Statement of Marks'!A10="","",'Statement of Marks'!A10)</f>
        <v>4</v>
      </c>
      <c r="B8" s="169">
        <f>IF('Statement of Marks'!B10="","",'Statement of Marks'!B10)</f>
        <v>904</v>
      </c>
      <c r="C8" s="169" t="str">
        <f>IF('Statement of Marks'!D10="","",'Statement of Marks'!D10)</f>
        <v/>
      </c>
      <c r="D8" s="315">
        <f>IF('Statement of Marks'!E10="","",'Statement of Marks'!E10)</f>
        <v>40670</v>
      </c>
      <c r="E8" s="316" t="str">
        <f>IF('Statement of Marks'!F10="","",'Statement of Marks'!F10)</f>
        <v>RAMESH</v>
      </c>
      <c r="F8" s="316" t="str">
        <f>IF('Statement of Marks'!G10="","",'Statement of Marks'!G10)</f>
        <v/>
      </c>
      <c r="G8" s="316" t="str">
        <f>IF('Statement of Marks'!H10="","",'Statement of Marks'!H10)</f>
        <v/>
      </c>
      <c r="H8" s="830" t="str">
        <f>IF('Statement of Marks'!HS10="","",'Statement of Marks'!HS10)</f>
        <v>BY GRACE PASS</v>
      </c>
      <c r="I8" s="172" t="str">
        <f>IF('Statement of Marks'!HV10="","",'Statement of Marks'!HV10)</f>
        <v>2nd</v>
      </c>
      <c r="J8" s="317">
        <f>IF('Statement of Marks'!HW10="","",'Statement of Marks'!HW10)</f>
        <v>57.75</v>
      </c>
      <c r="K8" s="392" t="str">
        <f>'Statement of Marks'!GN10</f>
        <v>I</v>
      </c>
      <c r="L8" s="392" t="str">
        <f>'Statement of Marks'!GQ10</f>
        <v>D</v>
      </c>
      <c r="M8" s="181" t="str">
        <f>'Statement of Marks'!GU10</f>
        <v>II</v>
      </c>
      <c r="N8" s="181" t="str">
        <f>'Statement of Marks'!GV10</f>
        <v/>
      </c>
      <c r="O8" s="181" t="str">
        <f>'Statement of Marks'!GW10</f>
        <v/>
      </c>
      <c r="P8" s="181" t="str">
        <f>'Statement of Marks'!GX10</f>
        <v/>
      </c>
      <c r="Q8" s="181" t="str">
        <f>'Statement of Marks'!GY10</f>
        <v/>
      </c>
      <c r="R8" s="392" t="str">
        <f>'Statement of Marks'!HB10</f>
        <v>G</v>
      </c>
      <c r="S8" s="392" t="str">
        <f>'Statement of Marks'!HE10</f>
        <v>II</v>
      </c>
      <c r="T8" s="392" t="str">
        <f>'Statement of Marks'!HH10</f>
        <v>II</v>
      </c>
      <c r="U8" s="392" t="str">
        <f>'Statement of Marks'!HK10</f>
        <v/>
      </c>
      <c r="V8" s="318" t="str">
        <f>IF(COUNTIF(K8:U8,"F")&gt;0,"",CONCATENATE('Statement of Marks'!HO10,'Statement of Marks'!HP10,'Statement of Marks'!HQ10))</f>
        <v xml:space="preserve">         गणित         </v>
      </c>
      <c r="BI8" s="6">
        <f>IFERROR(VLOOKUP(B8,'Statement of Marks'!$B$7:'Statement of Marks'!$IC$206,41,0),"")</f>
        <v>9</v>
      </c>
      <c r="BJ8" s="6" t="str">
        <f>IFERROR(VLOOKUP(B8,'Statement of Marks'!$B$7:'Statement of Marks'!$IC$206,66,0),"")</f>
        <v>G2</v>
      </c>
      <c r="BK8" s="6">
        <f>IFERROR(VLOOKUP(B8,'Statement of Marks'!$B$7:'Statement of Marks'!$IC$206,91,0),"")</f>
        <v>0</v>
      </c>
      <c r="BL8" s="6" t="str">
        <f>IFERROR(VLOOKUP(B8,'Statement of Marks'!$B$7:'Statement of Marks'!$IC$206,117,0),"")</f>
        <v>II</v>
      </c>
    </row>
    <row r="9" spans="1:64" ht="21" customHeight="1">
      <c r="A9" s="169">
        <f>IF('Statement of Marks'!A11="","",'Statement of Marks'!A11)</f>
        <v>5</v>
      </c>
      <c r="B9" s="169">
        <f>IF('Statement of Marks'!B11="","",'Statement of Marks'!B11)</f>
        <v>905</v>
      </c>
      <c r="C9" s="169" t="str">
        <f>IF('Statement of Marks'!D11="","",'Statement of Marks'!D11)</f>
        <v/>
      </c>
      <c r="D9" s="315">
        <f>IF('Statement of Marks'!E11="","",'Statement of Marks'!E11)</f>
        <v>41525</v>
      </c>
      <c r="E9" s="316" t="str">
        <f>IF('Statement of Marks'!F11="","",'Statement of Marks'!F11)</f>
        <v>SHYAM</v>
      </c>
      <c r="F9" s="316" t="str">
        <f>IF('Statement of Marks'!G11="","",'Statement of Marks'!G11)</f>
        <v/>
      </c>
      <c r="G9" s="316" t="str">
        <f>IF('Statement of Marks'!H11="","",'Statement of Marks'!H11)</f>
        <v/>
      </c>
      <c r="H9" s="830" t="str">
        <f>IF('Statement of Marks'!HS11="","",'Statement of Marks'!HS11)</f>
        <v>PASS</v>
      </c>
      <c r="I9" s="172" t="str">
        <f>IF('Statement of Marks'!HV11="","",'Statement of Marks'!HV11)</f>
        <v>1st</v>
      </c>
      <c r="J9" s="317">
        <f>IF('Statement of Marks'!HW11="","",'Statement of Marks'!HW11)</f>
        <v>60.75</v>
      </c>
      <c r="K9" s="392" t="str">
        <f>'Statement of Marks'!GN11</f>
        <v>I</v>
      </c>
      <c r="L9" s="392" t="str">
        <f>'Statement of Marks'!GQ11</f>
        <v>I</v>
      </c>
      <c r="M9" s="181" t="str">
        <f>'Statement of Marks'!GU11</f>
        <v/>
      </c>
      <c r="N9" s="181" t="str">
        <f>'Statement of Marks'!GV11</f>
        <v>II</v>
      </c>
      <c r="O9" s="181" t="str">
        <f>'Statement of Marks'!GW11</f>
        <v/>
      </c>
      <c r="P9" s="181" t="str">
        <f>'Statement of Marks'!GX11</f>
        <v/>
      </c>
      <c r="Q9" s="181" t="str">
        <f>'Statement of Marks'!GY11</f>
        <v/>
      </c>
      <c r="R9" s="392" t="str">
        <f>'Statement of Marks'!HB11</f>
        <v>II</v>
      </c>
      <c r="S9" s="392" t="str">
        <f>'Statement of Marks'!HE11</f>
        <v>II</v>
      </c>
      <c r="T9" s="392" t="str">
        <f>'Statement of Marks'!HH11</f>
        <v>II</v>
      </c>
      <c r="U9" s="392" t="str">
        <f>'Statement of Marks'!HK11</f>
        <v/>
      </c>
      <c r="V9" s="318" t="str">
        <f>IF(COUNTIF(K9:U9,"F")&gt;0,"",CONCATENATE('Statement of Marks'!HO11,'Statement of Marks'!HP11,'Statement of Marks'!HQ11))</f>
        <v xml:space="preserve">                  </v>
      </c>
      <c r="BI9" s="6">
        <f>IFERROR(VLOOKUP(B9,'Statement of Marks'!$B$7:'Statement of Marks'!$IC$206,41,0),"")</f>
        <v>8</v>
      </c>
      <c r="BJ9" s="6" t="str">
        <f>IFERROR(VLOOKUP(B9,'Statement of Marks'!$B$7:'Statement of Marks'!$IC$206,66,0),"")</f>
        <v>II</v>
      </c>
      <c r="BK9" s="6">
        <f>IFERROR(VLOOKUP(B9,'Statement of Marks'!$B$7:'Statement of Marks'!$IC$206,91,0),"")</f>
        <v>0</v>
      </c>
      <c r="BL9" s="6" t="str">
        <f>IFERROR(VLOOKUP(B9,'Statement of Marks'!$B$7:'Statement of Marks'!$IC$206,117,0),"")</f>
        <v>II</v>
      </c>
    </row>
    <row r="10" spans="1:64" ht="21" customHeight="1">
      <c r="A10" s="169">
        <f>IF('Statement of Marks'!A12="","",'Statement of Marks'!A12)</f>
        <v>6</v>
      </c>
      <c r="B10" s="169">
        <f>IF('Statement of Marks'!B12="","",'Statement of Marks'!B12)</f>
        <v>906</v>
      </c>
      <c r="C10" s="169" t="str">
        <f>IF('Statement of Marks'!D12="","",'Statement of Marks'!D12)</f>
        <v/>
      </c>
      <c r="D10" s="315">
        <f>IF('Statement of Marks'!E12="","",'Statement of Marks'!E12)</f>
        <v>40933</v>
      </c>
      <c r="E10" s="316" t="str">
        <f>IF('Statement of Marks'!F12="","",'Statement of Marks'!F12)</f>
        <v>GITA</v>
      </c>
      <c r="F10" s="316" t="str">
        <f>IF('Statement of Marks'!G12="","",'Statement of Marks'!G12)</f>
        <v/>
      </c>
      <c r="G10" s="316" t="str">
        <f>IF('Statement of Marks'!H12="","",'Statement of Marks'!H12)</f>
        <v/>
      </c>
      <c r="H10" s="830" t="str">
        <f>IF('Statement of Marks'!HS12="","",'Statement of Marks'!HS12)</f>
        <v>PASS</v>
      </c>
      <c r="I10" s="172" t="str">
        <f>IF('Statement of Marks'!HV12="","",'Statement of Marks'!HV12)</f>
        <v>1st</v>
      </c>
      <c r="J10" s="317">
        <f>IF('Statement of Marks'!HW12="","",'Statement of Marks'!HW12)</f>
        <v>65.294117647058826</v>
      </c>
      <c r="K10" s="392" t="str">
        <f>'Statement of Marks'!GN12</f>
        <v>I</v>
      </c>
      <c r="L10" s="392" t="str">
        <f>'Statement of Marks'!GQ12</f>
        <v>D</v>
      </c>
      <c r="M10" s="181" t="str">
        <f>'Statement of Marks'!GU12</f>
        <v/>
      </c>
      <c r="N10" s="181" t="str">
        <f>'Statement of Marks'!GV12</f>
        <v>II</v>
      </c>
      <c r="O10" s="181" t="str">
        <f>'Statement of Marks'!GW12</f>
        <v/>
      </c>
      <c r="P10" s="181" t="str">
        <f>'Statement of Marks'!GX12</f>
        <v/>
      </c>
      <c r="Q10" s="181" t="str">
        <f>'Statement of Marks'!GY12</f>
        <v/>
      </c>
      <c r="R10" s="392" t="str">
        <f>'Statement of Marks'!HB12</f>
        <v>II</v>
      </c>
      <c r="S10" s="392" t="str">
        <f>'Statement of Marks'!HE12</f>
        <v>II</v>
      </c>
      <c r="T10" s="392" t="str">
        <f>'Statement of Marks'!HH12</f>
        <v>II</v>
      </c>
      <c r="U10" s="392" t="str">
        <f>'Statement of Marks'!HK12</f>
        <v/>
      </c>
      <c r="V10" s="318" t="str">
        <f>IF(COUNTIF(K10:U10,"F")&gt;0,"",CONCATENATE('Statement of Marks'!HO12,'Statement of Marks'!HP12,'Statement of Marks'!HQ12))</f>
        <v xml:space="preserve">                  </v>
      </c>
      <c r="W10" s="186"/>
      <c r="BI10" s="6">
        <f>IFERROR(VLOOKUP(B10,'Statement of Marks'!$B$7:'Statement of Marks'!$IC$206,41,0),"")</f>
        <v>8</v>
      </c>
      <c r="BJ10" s="6" t="str">
        <f>IFERROR(VLOOKUP(B10,'Statement of Marks'!$B$7:'Statement of Marks'!$IC$206,66,0),"")</f>
        <v>II</v>
      </c>
      <c r="BK10" s="6">
        <f>IFERROR(VLOOKUP(B10,'Statement of Marks'!$B$7:'Statement of Marks'!$IC$206,91,0),"")</f>
        <v>0</v>
      </c>
      <c r="BL10" s="6" t="str">
        <f>IFERROR(VLOOKUP(B10,'Statement of Marks'!$B$7:'Statement of Marks'!$IC$206,117,0),"")</f>
        <v>II</v>
      </c>
    </row>
    <row r="11" spans="1:64" ht="21" customHeight="1">
      <c r="A11" s="169">
        <f>IF('Statement of Marks'!A13="","",'Statement of Marks'!A13)</f>
        <v>7</v>
      </c>
      <c r="B11" s="169">
        <f>IF('Statement of Marks'!B13="","",'Statement of Marks'!B13)</f>
        <v>907</v>
      </c>
      <c r="C11" s="169" t="str">
        <f>IF('Statement of Marks'!D13="","",'Statement of Marks'!D13)</f>
        <v/>
      </c>
      <c r="D11" s="315">
        <f>IF('Statement of Marks'!E13="","",'Statement of Marks'!E13)</f>
        <v>41317</v>
      </c>
      <c r="E11" s="316" t="str">
        <f>IF('Statement of Marks'!F13="","",'Statement of Marks'!F13)</f>
        <v>MITA</v>
      </c>
      <c r="F11" s="316" t="str">
        <f>IF('Statement of Marks'!G13="","",'Statement of Marks'!G13)</f>
        <v/>
      </c>
      <c r="G11" s="316" t="str">
        <f>IF('Statement of Marks'!H13="","",'Statement of Marks'!H13)</f>
        <v/>
      </c>
      <c r="H11" s="830" t="str">
        <f>IF('Statement of Marks'!HS13="","",'Statement of Marks'!HS13)</f>
        <v>SUPPLEMENTARY</v>
      </c>
      <c r="I11" s="172" t="str">
        <f>IF('Statement of Marks'!HV13="","",'Statement of Marks'!HV13)</f>
        <v/>
      </c>
      <c r="J11" s="317" t="str">
        <f>IF('Statement of Marks'!HW13="","",'Statement of Marks'!HW13)</f>
        <v/>
      </c>
      <c r="K11" s="392" t="str">
        <f>'Statement of Marks'!GN13</f>
        <v>I</v>
      </c>
      <c r="L11" s="392" t="str">
        <f>'Statement of Marks'!GQ13</f>
        <v>I</v>
      </c>
      <c r="M11" s="181" t="str">
        <f>'Statement of Marks'!GU13</f>
        <v/>
      </c>
      <c r="N11" s="181" t="str">
        <f>'Statement of Marks'!GV13</f>
        <v/>
      </c>
      <c r="O11" s="181" t="str">
        <f>'Statement of Marks'!GW13</f>
        <v>II</v>
      </c>
      <c r="P11" s="181" t="str">
        <f>'Statement of Marks'!GX13</f>
        <v/>
      </c>
      <c r="Q11" s="181" t="str">
        <f>'Statement of Marks'!GY13</f>
        <v/>
      </c>
      <c r="R11" s="392" t="str">
        <f>'Statement of Marks'!HB13</f>
        <v>S</v>
      </c>
      <c r="S11" s="392" t="str">
        <f>'Statement of Marks'!HE13</f>
        <v>II</v>
      </c>
      <c r="T11" s="392" t="str">
        <f>'Statement of Marks'!HH13</f>
        <v>I</v>
      </c>
      <c r="U11" s="392" t="str">
        <f>'Statement of Marks'!HK13</f>
        <v/>
      </c>
      <c r="V11" s="318" t="str">
        <f>IF(COUNTIF(K11:U11,"F")&gt;0,"",CONCATENATE('Statement of Marks'!HO13,'Statement of Marks'!HP13,'Statement of Marks'!HQ13))</f>
        <v xml:space="preserve">   गणित               </v>
      </c>
      <c r="BI11" s="6">
        <f>IFERROR(VLOOKUP(B11,'Statement of Marks'!$B$7:'Statement of Marks'!$IC$206,41,0),"")</f>
        <v>8</v>
      </c>
      <c r="BJ11" s="6" t="str">
        <f>IFERROR(VLOOKUP(B11,'Statement of Marks'!$B$7:'Statement of Marks'!$IC$206,66,0),"")</f>
        <v>S</v>
      </c>
      <c r="BK11" s="6">
        <f>IFERROR(VLOOKUP(B11,'Statement of Marks'!$B$7:'Statement of Marks'!$IC$206,91,0),"")</f>
        <v>0</v>
      </c>
      <c r="BL11" s="6" t="str">
        <f>IFERROR(VLOOKUP(B11,'Statement of Marks'!$B$7:'Statement of Marks'!$IC$206,117,0),"")</f>
        <v>II</v>
      </c>
    </row>
    <row r="12" spans="1:64" ht="21" customHeight="1">
      <c r="A12" s="169">
        <f>IF('Statement of Marks'!A14="","",'Statement of Marks'!A14)</f>
        <v>8</v>
      </c>
      <c r="B12" s="169">
        <f>IF('Statement of Marks'!B14="","",'Statement of Marks'!B14)</f>
        <v>908</v>
      </c>
      <c r="C12" s="169" t="str">
        <f>IF('Statement of Marks'!D14="","",'Statement of Marks'!D14)</f>
        <v/>
      </c>
      <c r="D12" s="315">
        <f>IF('Statement of Marks'!E14="","",'Statement of Marks'!E14)</f>
        <v>40282</v>
      </c>
      <c r="E12" s="316" t="str">
        <f>IF('Statement of Marks'!F14="","",'Statement of Marks'!F14)</f>
        <v>SITA</v>
      </c>
      <c r="F12" s="316" t="str">
        <f>IF('Statement of Marks'!G14="","",'Statement of Marks'!G14)</f>
        <v/>
      </c>
      <c r="G12" s="316" t="str">
        <f>IF('Statement of Marks'!H14="","",'Statement of Marks'!H14)</f>
        <v/>
      </c>
      <c r="H12" s="830" t="str">
        <f>IF('Statement of Marks'!HS14="","",'Statement of Marks'!HS14)</f>
        <v>PASS</v>
      </c>
      <c r="I12" s="172" t="str">
        <f>IF('Statement of Marks'!HV14="","",'Statement of Marks'!HV14)</f>
        <v>1st</v>
      </c>
      <c r="J12" s="317">
        <f>IF('Statement of Marks'!HW14="","",'Statement of Marks'!HW14)</f>
        <v>70.5</v>
      </c>
      <c r="K12" s="392" t="str">
        <f>'Statement of Marks'!GN14</f>
        <v>I</v>
      </c>
      <c r="L12" s="392" t="str">
        <f>'Statement of Marks'!GQ14</f>
        <v>D</v>
      </c>
      <c r="M12" s="181" t="str">
        <f>'Statement of Marks'!GU14</f>
        <v/>
      </c>
      <c r="N12" s="181" t="str">
        <f>'Statement of Marks'!GV14</f>
        <v/>
      </c>
      <c r="O12" s="181" t="str">
        <f>'Statement of Marks'!GW14</f>
        <v>D</v>
      </c>
      <c r="P12" s="181" t="str">
        <f>'Statement of Marks'!GX14</f>
        <v/>
      </c>
      <c r="Q12" s="181" t="str">
        <f>'Statement of Marks'!GY14</f>
        <v/>
      </c>
      <c r="R12" s="392" t="str">
        <f>'Statement of Marks'!HB14</f>
        <v>II</v>
      </c>
      <c r="S12" s="392" t="str">
        <f>'Statement of Marks'!HE14</f>
        <v>II</v>
      </c>
      <c r="T12" s="392" t="str">
        <f>'Statement of Marks'!HH14</f>
        <v>II</v>
      </c>
      <c r="U12" s="392" t="str">
        <f>'Statement of Marks'!HK14</f>
        <v/>
      </c>
      <c r="V12" s="318" t="str">
        <f>IF(COUNTIF(K12:U12,"F")&gt;0,"",CONCATENATE('Statement of Marks'!HO14,'Statement of Marks'!HP14,'Statement of Marks'!HQ14))</f>
        <v xml:space="preserve">                  </v>
      </c>
      <c r="BI12" s="6">
        <f>IFERROR(VLOOKUP(B12,'Statement of Marks'!$B$7:'Statement of Marks'!$IC$206,41,0),"")</f>
        <v>8</v>
      </c>
      <c r="BJ12" s="6" t="str">
        <f>IFERROR(VLOOKUP(B12,'Statement of Marks'!$B$7:'Statement of Marks'!$IC$206,66,0),"")</f>
        <v>II</v>
      </c>
      <c r="BK12" s="6">
        <f>IFERROR(VLOOKUP(B12,'Statement of Marks'!$B$7:'Statement of Marks'!$IC$206,91,0),"")</f>
        <v>0</v>
      </c>
      <c r="BL12" s="6" t="str">
        <f>IFERROR(VLOOKUP(B12,'Statement of Marks'!$B$7:'Statement of Marks'!$IC$206,117,0),"")</f>
        <v>D</v>
      </c>
    </row>
    <row r="13" spans="1:64" ht="21" customHeight="1">
      <c r="A13" s="169">
        <f>IF('Statement of Marks'!A15="","",'Statement of Marks'!A15)</f>
        <v>9</v>
      </c>
      <c r="B13" s="169">
        <f>IF('Statement of Marks'!B15="","",'Statement of Marks'!B15)</f>
        <v>909</v>
      </c>
      <c r="C13" s="169" t="str">
        <f>IF('Statement of Marks'!D15="","",'Statement of Marks'!D15)</f>
        <v/>
      </c>
      <c r="D13" s="315">
        <f>IF('Statement of Marks'!E15="","",'Statement of Marks'!E15)</f>
        <v>40065</v>
      </c>
      <c r="E13" s="316" t="str">
        <f>IF('Statement of Marks'!F15="","",'Statement of Marks'!F15)</f>
        <v>RITA</v>
      </c>
      <c r="F13" s="316" t="str">
        <f>IF('Statement of Marks'!G15="","",'Statement of Marks'!G15)</f>
        <v/>
      </c>
      <c r="G13" s="316" t="str">
        <f>IF('Statement of Marks'!H15="","",'Statement of Marks'!H15)</f>
        <v/>
      </c>
      <c r="H13" s="830" t="str">
        <f>IF('Statement of Marks'!HS15="","",'Statement of Marks'!HS15)</f>
        <v>PASS</v>
      </c>
      <c r="I13" s="172" t="str">
        <f>IF('Statement of Marks'!HV15="","",'Statement of Marks'!HV15)</f>
        <v>1st</v>
      </c>
      <c r="J13" s="317">
        <f>IF('Statement of Marks'!HW15="","",'Statement of Marks'!HW15)</f>
        <v>60.333333333333336</v>
      </c>
      <c r="K13" s="392" t="str">
        <f>'Statement of Marks'!GN15</f>
        <v>II</v>
      </c>
      <c r="L13" s="392" t="str">
        <f>'Statement of Marks'!GQ15</f>
        <v>D</v>
      </c>
      <c r="M13" s="181" t="str">
        <f>'Statement of Marks'!GU15</f>
        <v/>
      </c>
      <c r="N13" s="181" t="str">
        <f>'Statement of Marks'!GV15</f>
        <v>II</v>
      </c>
      <c r="O13" s="181" t="str">
        <f>'Statement of Marks'!GW15</f>
        <v/>
      </c>
      <c r="P13" s="181" t="str">
        <f>'Statement of Marks'!GX15</f>
        <v/>
      </c>
      <c r="Q13" s="181" t="str">
        <f>'Statement of Marks'!GY15</f>
        <v/>
      </c>
      <c r="R13" s="392" t="str">
        <f>'Statement of Marks'!HB15</f>
        <v>III</v>
      </c>
      <c r="S13" s="392" t="str">
        <f>'Statement of Marks'!HE15</f>
        <v>II</v>
      </c>
      <c r="T13" s="392" t="str">
        <f>'Statement of Marks'!HH15</f>
        <v>II</v>
      </c>
      <c r="U13" s="392" t="str">
        <f>'Statement of Marks'!HK15</f>
        <v/>
      </c>
      <c r="V13" s="318" t="str">
        <f>IF(COUNTIF(K13:U13,"F")&gt;0,"",CONCATENATE('Statement of Marks'!HO15,'Statement of Marks'!HP15,'Statement of Marks'!HQ15))</f>
        <v xml:space="preserve">                  </v>
      </c>
      <c r="BI13" s="6">
        <f>IFERROR(VLOOKUP(B13,'Statement of Marks'!$B$7:'Statement of Marks'!$IC$206,41,0),"")</f>
        <v>8</v>
      </c>
      <c r="BJ13" s="6" t="str">
        <f>IFERROR(VLOOKUP(B13,'Statement of Marks'!$B$7:'Statement of Marks'!$IC$206,66,0),"")</f>
        <v>III</v>
      </c>
      <c r="BK13" s="6">
        <f>IFERROR(VLOOKUP(B13,'Statement of Marks'!$B$7:'Statement of Marks'!$IC$206,91,0),"")</f>
        <v>0</v>
      </c>
      <c r="BL13" s="6" t="str">
        <f>IFERROR(VLOOKUP(B13,'Statement of Marks'!$B$7:'Statement of Marks'!$IC$206,117,0),"")</f>
        <v>II</v>
      </c>
    </row>
    <row r="14" spans="1:64" ht="21" customHeight="1">
      <c r="A14" s="169">
        <f>IF('Statement of Marks'!A16="","",'Statement of Marks'!A16)</f>
        <v>10</v>
      </c>
      <c r="B14" s="169">
        <f>IF('Statement of Marks'!B16="","",'Statement of Marks'!B16)</f>
        <v>910</v>
      </c>
      <c r="C14" s="169" t="str">
        <f>IF('Statement of Marks'!D16="","",'Statement of Marks'!D16)</f>
        <v/>
      </c>
      <c r="D14" s="315">
        <f>IF('Statement of Marks'!E16="","",'Statement of Marks'!E16)</f>
        <v>40737</v>
      </c>
      <c r="E14" s="316" t="str">
        <f>IF('Statement of Marks'!F16="","",'Statement of Marks'!F16)</f>
        <v>SONU</v>
      </c>
      <c r="F14" s="316" t="str">
        <f>IF('Statement of Marks'!G16="","",'Statement of Marks'!G16)</f>
        <v/>
      </c>
      <c r="G14" s="316" t="str">
        <f>IF('Statement of Marks'!H16="","",'Statement of Marks'!H16)</f>
        <v/>
      </c>
      <c r="H14" s="830" t="str">
        <f>IF('Statement of Marks'!HS16="","",'Statement of Marks'!HS16)</f>
        <v>BY GRACE PASS</v>
      </c>
      <c r="I14" s="172" t="str">
        <f>IF('Statement of Marks'!HV16="","",'Statement of Marks'!HV16)</f>
        <v>2nd</v>
      </c>
      <c r="J14" s="317">
        <f>IF('Statement of Marks'!HW16="","",'Statement of Marks'!HW16)</f>
        <v>52.75</v>
      </c>
      <c r="K14" s="392" t="str">
        <f>'Statement of Marks'!GN16</f>
        <v>I</v>
      </c>
      <c r="L14" s="392" t="str">
        <f>'Statement of Marks'!GQ16</f>
        <v>III</v>
      </c>
      <c r="M14" s="181" t="str">
        <f>'Statement of Marks'!GU16</f>
        <v>II</v>
      </c>
      <c r="N14" s="181" t="str">
        <f>'Statement of Marks'!GV16</f>
        <v/>
      </c>
      <c r="O14" s="181" t="str">
        <f>'Statement of Marks'!GW16</f>
        <v/>
      </c>
      <c r="P14" s="181" t="str">
        <f>'Statement of Marks'!GX16</f>
        <v/>
      </c>
      <c r="Q14" s="181" t="str">
        <f>'Statement of Marks'!GY16</f>
        <v/>
      </c>
      <c r="R14" s="392" t="str">
        <f>'Statement of Marks'!HB16</f>
        <v>G</v>
      </c>
      <c r="S14" s="392" t="str">
        <f>'Statement of Marks'!HE16</f>
        <v>II</v>
      </c>
      <c r="T14" s="392" t="str">
        <f>'Statement of Marks'!HH16</f>
        <v>II</v>
      </c>
      <c r="U14" s="392" t="str">
        <f>'Statement of Marks'!HK16</f>
        <v/>
      </c>
      <c r="V14" s="318" t="str">
        <f>IF(COUNTIF(K14:U14,"F")&gt;0,"",CONCATENATE('Statement of Marks'!HO16,'Statement of Marks'!HP16,'Statement of Marks'!HQ16))</f>
        <v xml:space="preserve">         गणित         </v>
      </c>
      <c r="BI14" s="6">
        <f>IFERROR(VLOOKUP(B14,'Statement of Marks'!$B$7:'Statement of Marks'!$IC$206,41,0),"")</f>
        <v>7</v>
      </c>
      <c r="BJ14" s="6" t="str">
        <f>IFERROR(VLOOKUP(B14,'Statement of Marks'!$B$7:'Statement of Marks'!$IC$206,66,0),"")</f>
        <v>G1</v>
      </c>
      <c r="BK14" s="6">
        <f>IFERROR(VLOOKUP(B14,'Statement of Marks'!$B$7:'Statement of Marks'!$IC$206,91,0),"")</f>
        <v>0</v>
      </c>
      <c r="BL14" s="6" t="str">
        <f>IFERROR(VLOOKUP(B14,'Statement of Marks'!$B$7:'Statement of Marks'!$IC$206,117,0),"")</f>
        <v>II</v>
      </c>
    </row>
    <row r="15" spans="1:64" ht="21" customHeight="1">
      <c r="A15" s="169">
        <f>IF('Statement of Marks'!A17="","",'Statement of Marks'!A17)</f>
        <v>11</v>
      </c>
      <c r="B15" s="169">
        <f>IF('Statement of Marks'!B17="","",'Statement of Marks'!B17)</f>
        <v>911</v>
      </c>
      <c r="C15" s="169" t="str">
        <f>IF('Statement of Marks'!D17="","",'Statement of Marks'!D17)</f>
        <v/>
      </c>
      <c r="D15" s="315">
        <f>IF('Statement of Marks'!E17="","",'Statement of Marks'!E17)</f>
        <v>41878</v>
      </c>
      <c r="E15" s="316" t="str">
        <f>IF('Statement of Marks'!F17="","",'Statement of Marks'!F17)</f>
        <v>MONU</v>
      </c>
      <c r="F15" s="316" t="str">
        <f>IF('Statement of Marks'!G17="","",'Statement of Marks'!G17)</f>
        <v/>
      </c>
      <c r="G15" s="316" t="str">
        <f>IF('Statement of Marks'!H17="","",'Statement of Marks'!H17)</f>
        <v/>
      </c>
      <c r="H15" s="830" t="str">
        <f>IF('Statement of Marks'!HS17="","",'Statement of Marks'!HS17)</f>
        <v>FAIL</v>
      </c>
      <c r="I15" s="172" t="str">
        <f>IF('Statement of Marks'!HV17="","",'Statement of Marks'!HV17)</f>
        <v/>
      </c>
      <c r="J15" s="317" t="str">
        <f>IF('Statement of Marks'!HW17="","",'Statement of Marks'!HW17)</f>
        <v/>
      </c>
      <c r="K15" s="392" t="str">
        <f>'Statement of Marks'!GN17</f>
        <v>AB</v>
      </c>
      <c r="L15" s="392" t="str">
        <f>'Statement of Marks'!GQ17</f>
        <v>D</v>
      </c>
      <c r="M15" s="181" t="str">
        <f>'Statement of Marks'!GU17</f>
        <v>II</v>
      </c>
      <c r="N15" s="181" t="str">
        <f>'Statement of Marks'!GV17</f>
        <v/>
      </c>
      <c r="O15" s="181" t="str">
        <f>'Statement of Marks'!GW17</f>
        <v/>
      </c>
      <c r="P15" s="181" t="str">
        <f>'Statement of Marks'!GX17</f>
        <v/>
      </c>
      <c r="Q15" s="181" t="str">
        <f>'Statement of Marks'!GY17</f>
        <v/>
      </c>
      <c r="R15" s="392" t="str">
        <f>'Statement of Marks'!HB17</f>
        <v>II</v>
      </c>
      <c r="S15" s="392" t="str">
        <f>'Statement of Marks'!HE17</f>
        <v>II</v>
      </c>
      <c r="T15" s="392" t="str">
        <f>'Statement of Marks'!HH17</f>
        <v>II</v>
      </c>
      <c r="U15" s="392" t="str">
        <f>'Statement of Marks'!HK17</f>
        <v/>
      </c>
      <c r="V15" s="318" t="str">
        <f>IF(COUNTIF(K15:U15,"F")&gt;0,"",CONCATENATE('Statement of Marks'!HO17,'Statement of Marks'!HP17,'Statement of Marks'!HQ17))</f>
        <v xml:space="preserve">                  </v>
      </c>
      <c r="BI15" s="6">
        <f>IFERROR(VLOOKUP(B15,'Statement of Marks'!$B$7:'Statement of Marks'!$IC$206,41,0),"")</f>
        <v>7</v>
      </c>
      <c r="BJ15" s="6" t="str">
        <f>IFERROR(VLOOKUP(B15,'Statement of Marks'!$B$7:'Statement of Marks'!$IC$206,66,0),"")</f>
        <v>II</v>
      </c>
      <c r="BK15" s="6">
        <f>IFERROR(VLOOKUP(B15,'Statement of Marks'!$B$7:'Statement of Marks'!$IC$206,91,0),"")</f>
        <v>0</v>
      </c>
      <c r="BL15" s="6" t="str">
        <f>IFERROR(VLOOKUP(B15,'Statement of Marks'!$B$7:'Statement of Marks'!$IC$206,117,0),"")</f>
        <v>II</v>
      </c>
    </row>
    <row r="16" spans="1:64" ht="21" customHeight="1">
      <c r="A16" s="169">
        <f>IF('Statement of Marks'!A18="","",'Statement of Marks'!A18)</f>
        <v>12</v>
      </c>
      <c r="B16" s="169">
        <f>IF('Statement of Marks'!B18="","",'Statement of Marks'!B18)</f>
        <v>912</v>
      </c>
      <c r="C16" s="169" t="str">
        <f>IF('Statement of Marks'!D18="","",'Statement of Marks'!D18)</f>
        <v/>
      </c>
      <c r="D16" s="315" t="str">
        <f>IF('Statement of Marks'!E18="","",'Statement of Marks'!E18)</f>
        <v/>
      </c>
      <c r="E16" s="316" t="str">
        <f>IF('Statement of Marks'!F18="","",'Statement of Marks'!F18)</f>
        <v>JAY</v>
      </c>
      <c r="F16" s="316" t="str">
        <f>IF('Statement of Marks'!G18="","",'Statement of Marks'!G18)</f>
        <v/>
      </c>
      <c r="G16" s="316" t="str">
        <f>IF('Statement of Marks'!H18="","",'Statement of Marks'!H18)</f>
        <v/>
      </c>
      <c r="H16" s="830" t="str">
        <f>IF('Statement of Marks'!HS18="","",'Statement of Marks'!HS18)</f>
        <v>BY GRACE PASS</v>
      </c>
      <c r="I16" s="172" t="str">
        <f>IF('Statement of Marks'!HV18="","",'Statement of Marks'!HV18)</f>
        <v>2nd</v>
      </c>
      <c r="J16" s="317">
        <f>IF('Statement of Marks'!HW18="","",'Statement of Marks'!HW18)</f>
        <v>59.833333333333336</v>
      </c>
      <c r="K16" s="392" t="str">
        <f>'Statement of Marks'!GN18</f>
        <v>I</v>
      </c>
      <c r="L16" s="392" t="str">
        <f>'Statement of Marks'!GQ18</f>
        <v>D</v>
      </c>
      <c r="M16" s="181" t="str">
        <f>'Statement of Marks'!GU18</f>
        <v>II</v>
      </c>
      <c r="N16" s="181" t="str">
        <f>'Statement of Marks'!GV18</f>
        <v/>
      </c>
      <c r="O16" s="181" t="str">
        <f>'Statement of Marks'!GW18</f>
        <v/>
      </c>
      <c r="P16" s="181" t="str">
        <f>'Statement of Marks'!GX18</f>
        <v/>
      </c>
      <c r="Q16" s="181" t="str">
        <f>'Statement of Marks'!GY18</f>
        <v/>
      </c>
      <c r="R16" s="392" t="str">
        <f>'Statement of Marks'!HB18</f>
        <v>G</v>
      </c>
      <c r="S16" s="392" t="str">
        <f>'Statement of Marks'!HE18</f>
        <v>II</v>
      </c>
      <c r="T16" s="392" t="str">
        <f>'Statement of Marks'!HH18</f>
        <v>II</v>
      </c>
      <c r="U16" s="392" t="str">
        <f>'Statement of Marks'!HK18</f>
        <v/>
      </c>
      <c r="V16" s="318" t="str">
        <f>IF(COUNTIF(K16:U16,"F")&gt;0,"",CONCATENATE('Statement of Marks'!HO18,'Statement of Marks'!HP18,'Statement of Marks'!HQ18))</f>
        <v xml:space="preserve">         गणित         </v>
      </c>
      <c r="BI16" s="6">
        <f>IFERROR(VLOOKUP(B16,'Statement of Marks'!$B$7:'Statement of Marks'!$IC$206,41,0),"")</f>
        <v>7</v>
      </c>
      <c r="BJ16" s="6" t="str">
        <f>IFERROR(VLOOKUP(B16,'Statement of Marks'!$B$7:'Statement of Marks'!$IC$206,66,0),"")</f>
        <v>G2</v>
      </c>
      <c r="BK16" s="6">
        <f>IFERROR(VLOOKUP(B16,'Statement of Marks'!$B$7:'Statement of Marks'!$IC$206,91,0),"")</f>
        <v>0</v>
      </c>
      <c r="BL16" s="6" t="str">
        <f>IFERROR(VLOOKUP(B16,'Statement of Marks'!$B$7:'Statement of Marks'!$IC$206,117,0),"")</f>
        <v>II</v>
      </c>
    </row>
    <row r="17" spans="1:64" ht="21" customHeight="1">
      <c r="A17" s="169">
        <f>IF('Statement of Marks'!A19="","",'Statement of Marks'!A19)</f>
        <v>13</v>
      </c>
      <c r="B17" s="169">
        <f>IF('Statement of Marks'!B19="","",'Statement of Marks'!B19)</f>
        <v>913</v>
      </c>
      <c r="C17" s="169" t="str">
        <f>IF('Statement of Marks'!D19="","",'Statement of Marks'!D19)</f>
        <v/>
      </c>
      <c r="D17" s="315" t="str">
        <f>IF('Statement of Marks'!E19="","",'Statement of Marks'!E19)</f>
        <v/>
      </c>
      <c r="E17" s="316" t="str">
        <f>IF('Statement of Marks'!F19="","",'Statement of Marks'!F19)</f>
        <v>VIRU</v>
      </c>
      <c r="F17" s="316" t="str">
        <f>IF('Statement of Marks'!G19="","",'Statement of Marks'!G19)</f>
        <v/>
      </c>
      <c r="G17" s="316" t="str">
        <f>IF('Statement of Marks'!H19="","",'Statement of Marks'!H19)</f>
        <v/>
      </c>
      <c r="H17" s="830" t="str">
        <f>IF('Statement of Marks'!HS19="","",'Statement of Marks'!HS19)</f>
        <v>PASS</v>
      </c>
      <c r="I17" s="172" t="str">
        <f>IF('Statement of Marks'!HV19="","",'Statement of Marks'!HV19)</f>
        <v>1st</v>
      </c>
      <c r="J17" s="317">
        <f>IF('Statement of Marks'!HW19="","",'Statement of Marks'!HW19)</f>
        <v>60.083333333333336</v>
      </c>
      <c r="K17" s="392" t="str">
        <f>'Statement of Marks'!GN19</f>
        <v>I</v>
      </c>
      <c r="L17" s="392" t="str">
        <f>'Statement of Marks'!GQ19</f>
        <v>D</v>
      </c>
      <c r="M17" s="181" t="str">
        <f>'Statement of Marks'!GU19</f>
        <v/>
      </c>
      <c r="N17" s="181" t="str">
        <f>'Statement of Marks'!GV19</f>
        <v>II</v>
      </c>
      <c r="O17" s="181" t="str">
        <f>'Statement of Marks'!GW19</f>
        <v/>
      </c>
      <c r="P17" s="181" t="str">
        <f>'Statement of Marks'!GX19</f>
        <v/>
      </c>
      <c r="Q17" s="181" t="str">
        <f>'Statement of Marks'!GY19</f>
        <v/>
      </c>
      <c r="R17" s="392" t="str">
        <f>'Statement of Marks'!HB19</f>
        <v>II</v>
      </c>
      <c r="S17" s="392" t="str">
        <f>'Statement of Marks'!HE19</f>
        <v>II</v>
      </c>
      <c r="T17" s="392" t="str">
        <f>'Statement of Marks'!HH19</f>
        <v>II</v>
      </c>
      <c r="U17" s="392" t="str">
        <f>'Statement of Marks'!HK19</f>
        <v/>
      </c>
      <c r="V17" s="318" t="str">
        <f>IF(COUNTIF(K17:U17,"F")&gt;0,"",CONCATENATE('Statement of Marks'!HO19,'Statement of Marks'!HP19,'Statement of Marks'!HQ19))</f>
        <v xml:space="preserve">                  </v>
      </c>
      <c r="BI17" s="6">
        <f>IFERROR(VLOOKUP(B17,'Statement of Marks'!$B$7:'Statement of Marks'!$IC$206,41,0),"")</f>
        <v>7</v>
      </c>
      <c r="BJ17" s="6" t="str">
        <f>IFERROR(VLOOKUP(B17,'Statement of Marks'!$B$7:'Statement of Marks'!$IC$206,66,0),"")</f>
        <v>II</v>
      </c>
      <c r="BK17" s="6">
        <f>IFERROR(VLOOKUP(B17,'Statement of Marks'!$B$7:'Statement of Marks'!$IC$206,91,0),"")</f>
        <v>0</v>
      </c>
      <c r="BL17" s="6" t="str">
        <f>IFERROR(VLOOKUP(B17,'Statement of Marks'!$B$7:'Statement of Marks'!$IC$206,117,0),"")</f>
        <v>II</v>
      </c>
    </row>
    <row r="18" spans="1:64" ht="21" customHeight="1">
      <c r="A18" s="169">
        <f>IF('Statement of Marks'!A20="","",'Statement of Marks'!A20)</f>
        <v>14</v>
      </c>
      <c r="B18" s="169">
        <f>IF('Statement of Marks'!B20="","",'Statement of Marks'!B20)</f>
        <v>914</v>
      </c>
      <c r="C18" s="169" t="str">
        <f>IF('Statement of Marks'!D20="","",'Statement of Marks'!D20)</f>
        <v/>
      </c>
      <c r="D18" s="315" t="str">
        <f>IF('Statement of Marks'!E20="","",'Statement of Marks'!E20)</f>
        <v/>
      </c>
      <c r="E18" s="316" t="str">
        <f>IF('Statement of Marks'!F20="","",'Statement of Marks'!F20)</f>
        <v>ANIL</v>
      </c>
      <c r="F18" s="316" t="str">
        <f>IF('Statement of Marks'!G20="","",'Statement of Marks'!G20)</f>
        <v/>
      </c>
      <c r="G18" s="316" t="str">
        <f>IF('Statement of Marks'!H20="","",'Statement of Marks'!H20)</f>
        <v/>
      </c>
      <c r="H18" s="830" t="str">
        <f>IF('Statement of Marks'!HS20="","",'Statement of Marks'!HS20)</f>
        <v>BY GRACE PASS</v>
      </c>
      <c r="I18" s="172" t="str">
        <f>IF('Statement of Marks'!HV20="","",'Statement of Marks'!HV20)</f>
        <v>2nd</v>
      </c>
      <c r="J18" s="317">
        <f>IF('Statement of Marks'!HW20="","",'Statement of Marks'!HW20)</f>
        <v>56.5</v>
      </c>
      <c r="K18" s="392" t="str">
        <f>'Statement of Marks'!GN20</f>
        <v>I</v>
      </c>
      <c r="L18" s="392" t="str">
        <f>'Statement of Marks'!GQ20</f>
        <v>D</v>
      </c>
      <c r="M18" s="181" t="str">
        <f>'Statement of Marks'!GU20</f>
        <v/>
      </c>
      <c r="N18" s="181" t="str">
        <f>'Statement of Marks'!GV20</f>
        <v/>
      </c>
      <c r="O18" s="181" t="str">
        <f>'Statement of Marks'!GW20</f>
        <v/>
      </c>
      <c r="P18" s="181" t="str">
        <f>'Statement of Marks'!GX20</f>
        <v>II</v>
      </c>
      <c r="Q18" s="181" t="str">
        <f>'Statement of Marks'!GY20</f>
        <v/>
      </c>
      <c r="R18" s="392" t="str">
        <f>'Statement of Marks'!HB20</f>
        <v>G</v>
      </c>
      <c r="S18" s="392" t="str">
        <f>'Statement of Marks'!HE20</f>
        <v>G</v>
      </c>
      <c r="T18" s="392" t="str">
        <f>'Statement of Marks'!HH20</f>
        <v>II</v>
      </c>
      <c r="U18" s="392" t="str">
        <f>'Statement of Marks'!HK20</f>
        <v/>
      </c>
      <c r="V18" s="318" t="str">
        <f>IF(COUNTIF(K18:U18,"F")&gt;0,"",CONCATENATE('Statement of Marks'!HO20,'Statement of Marks'!HP20,'Statement of Marks'!HQ20))</f>
        <v xml:space="preserve">         गणित विज्ञान        </v>
      </c>
      <c r="BI18" s="6">
        <f>IFERROR(VLOOKUP(B18,'Statement of Marks'!$B$7:'Statement of Marks'!$IC$206,41,0),"")</f>
        <v>8</v>
      </c>
      <c r="BJ18" s="6" t="str">
        <f>IFERROR(VLOOKUP(B18,'Statement of Marks'!$B$7:'Statement of Marks'!$IC$206,66,0),"")</f>
        <v>G2</v>
      </c>
      <c r="BK18" s="6">
        <f>IFERROR(VLOOKUP(B18,'Statement of Marks'!$B$7:'Statement of Marks'!$IC$206,91,0),"")</f>
        <v>0</v>
      </c>
      <c r="BL18" s="6" t="str">
        <f>IFERROR(VLOOKUP(B18,'Statement of Marks'!$B$7:'Statement of Marks'!$IC$206,117,0),"")</f>
        <v>II</v>
      </c>
    </row>
    <row r="19" spans="1:64" ht="21" customHeight="1">
      <c r="A19" s="169">
        <f>IF('Statement of Marks'!A21="","",'Statement of Marks'!A21)</f>
        <v>15</v>
      </c>
      <c r="B19" s="169">
        <f>IF('Statement of Marks'!B21="","",'Statement of Marks'!B21)</f>
        <v>915</v>
      </c>
      <c r="C19" s="169" t="str">
        <f>IF('Statement of Marks'!D21="","",'Statement of Marks'!D21)</f>
        <v/>
      </c>
      <c r="D19" s="315" t="str">
        <f>IF('Statement of Marks'!E21="","",'Statement of Marks'!E21)</f>
        <v/>
      </c>
      <c r="E19" s="316" t="str">
        <f>IF('Statement of Marks'!F21="","",'Statement of Marks'!F21)</f>
        <v>RAHIM</v>
      </c>
      <c r="F19" s="316" t="str">
        <f>IF('Statement of Marks'!G21="","",'Statement of Marks'!G21)</f>
        <v/>
      </c>
      <c r="G19" s="316" t="str">
        <f>IF('Statement of Marks'!H21="","",'Statement of Marks'!H21)</f>
        <v/>
      </c>
      <c r="H19" s="830" t="str">
        <f>IF('Statement of Marks'!HS21="","",'Statement of Marks'!HS21)</f>
        <v>PASS</v>
      </c>
      <c r="I19" s="172" t="str">
        <f>IF('Statement of Marks'!HV21="","",'Statement of Marks'!HV21)</f>
        <v>2nd</v>
      </c>
      <c r="J19" s="317">
        <f>IF('Statement of Marks'!HW21="","",'Statement of Marks'!HW21)</f>
        <v>57.25</v>
      </c>
      <c r="K19" s="392" t="str">
        <f>'Statement of Marks'!GN21</f>
        <v>II</v>
      </c>
      <c r="L19" s="392" t="str">
        <f>'Statement of Marks'!GQ21</f>
        <v>D</v>
      </c>
      <c r="M19" s="181" t="str">
        <f>'Statement of Marks'!GU21</f>
        <v/>
      </c>
      <c r="N19" s="181" t="str">
        <f>'Statement of Marks'!GV21</f>
        <v/>
      </c>
      <c r="O19" s="181" t="str">
        <f>'Statement of Marks'!GW21</f>
        <v/>
      </c>
      <c r="P19" s="181" t="str">
        <f>'Statement of Marks'!GX21</f>
        <v>II</v>
      </c>
      <c r="Q19" s="181" t="str">
        <f>'Statement of Marks'!GY21</f>
        <v/>
      </c>
      <c r="R19" s="392" t="str">
        <f>'Statement of Marks'!HB21</f>
        <v>III</v>
      </c>
      <c r="S19" s="392" t="str">
        <f>'Statement of Marks'!HE21</f>
        <v>II</v>
      </c>
      <c r="T19" s="392" t="str">
        <f>'Statement of Marks'!HH21</f>
        <v>II</v>
      </c>
      <c r="U19" s="392" t="str">
        <f>'Statement of Marks'!HK21</f>
        <v/>
      </c>
      <c r="V19" s="318" t="str">
        <f>IF(COUNTIF(K19:U19,"F")&gt;0,"",CONCATENATE('Statement of Marks'!HO21,'Statement of Marks'!HP21,'Statement of Marks'!HQ21))</f>
        <v xml:space="preserve">                  </v>
      </c>
      <c r="BI19" s="6">
        <f>IFERROR(VLOOKUP(B19,'Statement of Marks'!$B$7:'Statement of Marks'!$IC$206,41,0),"")</f>
        <v>8</v>
      </c>
      <c r="BJ19" s="6" t="str">
        <f>IFERROR(VLOOKUP(B19,'Statement of Marks'!$B$7:'Statement of Marks'!$IC$206,66,0),"")</f>
        <v>III</v>
      </c>
      <c r="BK19" s="6">
        <f>IFERROR(VLOOKUP(B19,'Statement of Marks'!$B$7:'Statement of Marks'!$IC$206,91,0),"")</f>
        <v>0</v>
      </c>
      <c r="BL19" s="6" t="str">
        <f>IFERROR(VLOOKUP(B19,'Statement of Marks'!$B$7:'Statement of Marks'!$IC$206,117,0),"")</f>
        <v>II</v>
      </c>
    </row>
    <row r="20" spans="1:64" ht="21" customHeight="1">
      <c r="A20" s="169">
        <f>IF('Statement of Marks'!A22="","",'Statement of Marks'!A22)</f>
        <v>16</v>
      </c>
      <c r="B20" s="169">
        <f>IF('Statement of Marks'!B22="","",'Statement of Marks'!B22)</f>
        <v>916</v>
      </c>
      <c r="C20" s="169" t="str">
        <f>IF('Statement of Marks'!D22="","",'Statement of Marks'!D22)</f>
        <v/>
      </c>
      <c r="D20" s="315" t="str">
        <f>IF('Statement of Marks'!E22="","",'Statement of Marks'!E22)</f>
        <v/>
      </c>
      <c r="E20" s="316" t="str">
        <f>IF('Statement of Marks'!F22="","",'Statement of Marks'!F22)</f>
        <v>KARIM</v>
      </c>
      <c r="F20" s="316" t="str">
        <f>IF('Statement of Marks'!G22="","",'Statement of Marks'!G22)</f>
        <v/>
      </c>
      <c r="G20" s="316" t="str">
        <f>IF('Statement of Marks'!H22="","",'Statement of Marks'!H22)</f>
        <v/>
      </c>
      <c r="H20" s="830" t="str">
        <f>IF('Statement of Marks'!HS22="","",'Statement of Marks'!HS22)</f>
        <v>PASS</v>
      </c>
      <c r="I20" s="172" t="str">
        <f>IF('Statement of Marks'!HV22="","",'Statement of Marks'!HV22)</f>
        <v>1st</v>
      </c>
      <c r="J20" s="317">
        <f>IF('Statement of Marks'!HW22="","",'Statement of Marks'!HW22)</f>
        <v>64</v>
      </c>
      <c r="K20" s="392" t="str">
        <f>'Statement of Marks'!GN22</f>
        <v>I</v>
      </c>
      <c r="L20" s="392" t="str">
        <f>'Statement of Marks'!GQ22</f>
        <v>D</v>
      </c>
      <c r="M20" s="181" t="str">
        <f>'Statement of Marks'!GU22</f>
        <v/>
      </c>
      <c r="N20" s="181" t="str">
        <f>'Statement of Marks'!GV22</f>
        <v/>
      </c>
      <c r="O20" s="181" t="str">
        <f>'Statement of Marks'!GW22</f>
        <v/>
      </c>
      <c r="P20" s="181" t="str">
        <f>'Statement of Marks'!GX22</f>
        <v/>
      </c>
      <c r="Q20" s="181" t="str">
        <f>'Statement of Marks'!GY22</f>
        <v>II</v>
      </c>
      <c r="R20" s="392" t="str">
        <f>'Statement of Marks'!HB22</f>
        <v>II</v>
      </c>
      <c r="S20" s="392" t="str">
        <f>'Statement of Marks'!HE22</f>
        <v>II</v>
      </c>
      <c r="T20" s="392" t="str">
        <f>'Statement of Marks'!HH22</f>
        <v>II</v>
      </c>
      <c r="U20" s="392" t="str">
        <f>'Statement of Marks'!HK22</f>
        <v/>
      </c>
      <c r="V20" s="318" t="str">
        <f>IF(COUNTIF(K20:U20,"F")&gt;0,"",CONCATENATE('Statement of Marks'!HO22,'Statement of Marks'!HP22,'Statement of Marks'!HQ22))</f>
        <v xml:space="preserve">                  </v>
      </c>
      <c r="BI20" s="6">
        <f>IFERROR(VLOOKUP(B20,'Statement of Marks'!$B$7:'Statement of Marks'!$IC$206,41,0),"")</f>
        <v>8</v>
      </c>
      <c r="BJ20" s="6" t="str">
        <f>IFERROR(VLOOKUP(B20,'Statement of Marks'!$B$7:'Statement of Marks'!$IC$206,66,0),"")</f>
        <v>II</v>
      </c>
      <c r="BK20" s="6">
        <f>IFERROR(VLOOKUP(B20,'Statement of Marks'!$B$7:'Statement of Marks'!$IC$206,91,0),"")</f>
        <v>0</v>
      </c>
      <c r="BL20" s="6" t="str">
        <f>IFERROR(VLOOKUP(B20,'Statement of Marks'!$B$7:'Statement of Marks'!$IC$206,117,0),"")</f>
        <v>II</v>
      </c>
    </row>
    <row r="21" spans="1:64" ht="21" customHeight="1">
      <c r="A21" s="169">
        <f>IF('Statement of Marks'!A23="","",'Statement of Marks'!A23)</f>
        <v>17</v>
      </c>
      <c r="B21" s="169">
        <f>IF('Statement of Marks'!B23="","",'Statement of Marks'!B23)</f>
        <v>917</v>
      </c>
      <c r="C21" s="169" t="str">
        <f>IF('Statement of Marks'!D23="","",'Statement of Marks'!D23)</f>
        <v/>
      </c>
      <c r="D21" s="315" t="str">
        <f>IF('Statement of Marks'!E23="","",'Statement of Marks'!E23)</f>
        <v/>
      </c>
      <c r="E21" s="316" t="str">
        <f>IF('Statement of Marks'!F23="","",'Statement of Marks'!F23)</f>
        <v>FATIMA</v>
      </c>
      <c r="F21" s="316" t="str">
        <f>IF('Statement of Marks'!G23="","",'Statement of Marks'!G23)</f>
        <v/>
      </c>
      <c r="G21" s="316" t="str">
        <f>IF('Statement of Marks'!H23="","",'Statement of Marks'!H23)</f>
        <v/>
      </c>
      <c r="H21" s="830" t="str">
        <f>IF('Statement of Marks'!HS23="","",'Statement of Marks'!HS23)</f>
        <v>PASS</v>
      </c>
      <c r="I21" s="172" t="str">
        <f>IF('Statement of Marks'!HV23="","",'Statement of Marks'!HV23)</f>
        <v>1st</v>
      </c>
      <c r="J21" s="317">
        <f>IF('Statement of Marks'!HW23="","",'Statement of Marks'!HW23)</f>
        <v>64.083333333333329</v>
      </c>
      <c r="K21" s="392" t="str">
        <f>'Statement of Marks'!GN23</f>
        <v>I</v>
      </c>
      <c r="L21" s="392" t="str">
        <f>'Statement of Marks'!GQ23</f>
        <v>D</v>
      </c>
      <c r="M21" s="181" t="str">
        <f>'Statement of Marks'!GU23</f>
        <v/>
      </c>
      <c r="N21" s="181" t="str">
        <f>'Statement of Marks'!GV23</f>
        <v/>
      </c>
      <c r="O21" s="181" t="str">
        <f>'Statement of Marks'!GW23</f>
        <v/>
      </c>
      <c r="P21" s="181" t="str">
        <f>'Statement of Marks'!GX23</f>
        <v/>
      </c>
      <c r="Q21" s="181" t="str">
        <f>'Statement of Marks'!GY23</f>
        <v>II</v>
      </c>
      <c r="R21" s="392" t="str">
        <f>'Statement of Marks'!HB23</f>
        <v>II</v>
      </c>
      <c r="S21" s="392" t="str">
        <f>'Statement of Marks'!HE23</f>
        <v>II</v>
      </c>
      <c r="T21" s="392" t="str">
        <f>'Statement of Marks'!HH23</f>
        <v>II</v>
      </c>
      <c r="U21" s="392" t="str">
        <f>'Statement of Marks'!HK23</f>
        <v/>
      </c>
      <c r="V21" s="318" t="str">
        <f>IF(COUNTIF(K21:U21,"F")&gt;0,"",CONCATENATE('Statement of Marks'!HO23,'Statement of Marks'!HP23,'Statement of Marks'!HQ23))</f>
        <v xml:space="preserve">                  </v>
      </c>
      <c r="BI21" s="6">
        <f>IFERROR(VLOOKUP(B21,'Statement of Marks'!$B$7:'Statement of Marks'!$IC$206,41,0),"")</f>
        <v>9</v>
      </c>
      <c r="BJ21" s="6" t="str">
        <f>IFERROR(VLOOKUP(B21,'Statement of Marks'!$B$7:'Statement of Marks'!$IC$206,66,0),"")</f>
        <v>II</v>
      </c>
      <c r="BK21" s="6">
        <f>IFERROR(VLOOKUP(B21,'Statement of Marks'!$B$7:'Statement of Marks'!$IC$206,91,0),"")</f>
        <v>0</v>
      </c>
      <c r="BL21" s="6" t="str">
        <f>IFERROR(VLOOKUP(B21,'Statement of Marks'!$B$7:'Statement of Marks'!$IC$206,117,0),"")</f>
        <v>II</v>
      </c>
    </row>
    <row r="22" spans="1:64" ht="21" customHeight="1">
      <c r="A22" s="169">
        <f>IF('Statement of Marks'!A24="","",'Statement of Marks'!A24)</f>
        <v>18</v>
      </c>
      <c r="B22" s="169">
        <f>IF('Statement of Marks'!B24="","",'Statement of Marks'!B24)</f>
        <v>918</v>
      </c>
      <c r="C22" s="169" t="str">
        <f>IF('Statement of Marks'!D24="","",'Statement of Marks'!D24)</f>
        <v/>
      </c>
      <c r="D22" s="315" t="str">
        <f>IF('Statement of Marks'!E24="","",'Statement of Marks'!E24)</f>
        <v/>
      </c>
      <c r="E22" s="316" t="str">
        <f>IF('Statement of Marks'!F24="","",'Statement of Marks'!F24)</f>
        <v>LAXMI</v>
      </c>
      <c r="F22" s="316" t="str">
        <f>IF('Statement of Marks'!G24="","",'Statement of Marks'!G24)</f>
        <v/>
      </c>
      <c r="G22" s="316" t="str">
        <f>IF('Statement of Marks'!H24="","",'Statement of Marks'!H24)</f>
        <v/>
      </c>
      <c r="H22" s="830" t="str">
        <f>IF('Statement of Marks'!HS24="","",'Statement of Marks'!HS24)</f>
        <v>PASS</v>
      </c>
      <c r="I22" s="172" t="str">
        <f>IF('Statement of Marks'!HV24="","",'Statement of Marks'!HV24)</f>
        <v>1st</v>
      </c>
      <c r="J22" s="317">
        <f>IF('Statement of Marks'!HW24="","",'Statement of Marks'!HW24)</f>
        <v>64</v>
      </c>
      <c r="K22" s="392" t="str">
        <f>'Statement of Marks'!GN24</f>
        <v>I</v>
      </c>
      <c r="L22" s="392" t="str">
        <f>'Statement of Marks'!GQ24</f>
        <v>D</v>
      </c>
      <c r="M22" s="181" t="str">
        <f>'Statement of Marks'!GU24</f>
        <v/>
      </c>
      <c r="N22" s="181" t="str">
        <f>'Statement of Marks'!GV24</f>
        <v>II</v>
      </c>
      <c r="O22" s="181" t="str">
        <f>'Statement of Marks'!GW24</f>
        <v/>
      </c>
      <c r="P22" s="181" t="str">
        <f>'Statement of Marks'!GX24</f>
        <v/>
      </c>
      <c r="Q22" s="181" t="str">
        <f>'Statement of Marks'!GY24</f>
        <v/>
      </c>
      <c r="R22" s="392" t="str">
        <f>'Statement of Marks'!HB24</f>
        <v>II</v>
      </c>
      <c r="S22" s="392" t="str">
        <f>'Statement of Marks'!HE24</f>
        <v>II</v>
      </c>
      <c r="T22" s="392" t="str">
        <f>'Statement of Marks'!HH24</f>
        <v>II</v>
      </c>
      <c r="U22" s="392" t="str">
        <f>'Statement of Marks'!HK24</f>
        <v/>
      </c>
      <c r="V22" s="318" t="str">
        <f>IF(COUNTIF(K22:U22,"F")&gt;0,"",CONCATENATE('Statement of Marks'!HO24,'Statement of Marks'!HP24,'Statement of Marks'!HQ24))</f>
        <v xml:space="preserve">                  </v>
      </c>
      <c r="BI22" s="6">
        <f>IFERROR(VLOOKUP(B22,'Statement of Marks'!$B$7:'Statement of Marks'!$IC$206,41,0),"")</f>
        <v>9</v>
      </c>
      <c r="BJ22" s="6" t="str">
        <f>IFERROR(VLOOKUP(B22,'Statement of Marks'!$B$7:'Statement of Marks'!$IC$206,66,0),"")</f>
        <v>II</v>
      </c>
      <c r="BK22" s="6">
        <f>IFERROR(VLOOKUP(B22,'Statement of Marks'!$B$7:'Statement of Marks'!$IC$206,91,0),"")</f>
        <v>0</v>
      </c>
      <c r="BL22" s="6" t="str">
        <f>IFERROR(VLOOKUP(B22,'Statement of Marks'!$B$7:'Statement of Marks'!$IC$206,117,0),"")</f>
        <v>II</v>
      </c>
    </row>
    <row r="23" spans="1:64" ht="21" customHeight="1">
      <c r="A23" s="169">
        <f>IF('Statement of Marks'!A25="","",'Statement of Marks'!A25)</f>
        <v>19</v>
      </c>
      <c r="B23" s="169">
        <f>IF('Statement of Marks'!B25="","",'Statement of Marks'!B25)</f>
        <v>919</v>
      </c>
      <c r="C23" s="169" t="str">
        <f>IF('Statement of Marks'!D25="","",'Statement of Marks'!D25)</f>
        <v/>
      </c>
      <c r="D23" s="315" t="str">
        <f>IF('Statement of Marks'!E25="","",'Statement of Marks'!E25)</f>
        <v/>
      </c>
      <c r="E23" s="316" t="str">
        <f>IF('Statement of Marks'!F25="","",'Statement of Marks'!F25)</f>
        <v>RAZA</v>
      </c>
      <c r="F23" s="316" t="str">
        <f>IF('Statement of Marks'!G25="","",'Statement of Marks'!G25)</f>
        <v/>
      </c>
      <c r="G23" s="316" t="str">
        <f>IF('Statement of Marks'!H25="","",'Statement of Marks'!H25)</f>
        <v/>
      </c>
      <c r="H23" s="830" t="str">
        <f>IF('Statement of Marks'!HS25="","",'Statement of Marks'!HS25)</f>
        <v>PASS</v>
      </c>
      <c r="I23" s="172" t="str">
        <f>IF('Statement of Marks'!HV25="","",'Statement of Marks'!HV25)</f>
        <v>1st</v>
      </c>
      <c r="J23" s="317">
        <f>IF('Statement of Marks'!HW25="","",'Statement of Marks'!HW25)</f>
        <v>64</v>
      </c>
      <c r="K23" s="392" t="str">
        <f>'Statement of Marks'!GN25</f>
        <v>I</v>
      </c>
      <c r="L23" s="392" t="str">
        <f>'Statement of Marks'!GQ25</f>
        <v>D</v>
      </c>
      <c r="M23" s="181" t="str">
        <f>'Statement of Marks'!GU25</f>
        <v/>
      </c>
      <c r="N23" s="181" t="str">
        <f>'Statement of Marks'!GV25</f>
        <v>II</v>
      </c>
      <c r="O23" s="181" t="str">
        <f>'Statement of Marks'!GW25</f>
        <v/>
      </c>
      <c r="P23" s="181" t="str">
        <f>'Statement of Marks'!GX25</f>
        <v/>
      </c>
      <c r="Q23" s="181" t="str">
        <f>'Statement of Marks'!GY25</f>
        <v/>
      </c>
      <c r="R23" s="392" t="str">
        <f>'Statement of Marks'!HB25</f>
        <v>II</v>
      </c>
      <c r="S23" s="392" t="str">
        <f>'Statement of Marks'!HE25</f>
        <v>II</v>
      </c>
      <c r="T23" s="392" t="str">
        <f>'Statement of Marks'!HH25</f>
        <v>II</v>
      </c>
      <c r="U23" s="392" t="str">
        <f>'Statement of Marks'!HK25</f>
        <v/>
      </c>
      <c r="V23" s="318" t="str">
        <f>IF(COUNTIF(K23:U23,"F")&gt;0,"",CONCATENATE('Statement of Marks'!HO25,'Statement of Marks'!HP25,'Statement of Marks'!HQ25))</f>
        <v xml:space="preserve">                  </v>
      </c>
      <c r="BI23" s="6">
        <f>IFERROR(VLOOKUP(B23,'Statement of Marks'!$B$7:'Statement of Marks'!$IC$206,41,0),"")</f>
        <v>9</v>
      </c>
      <c r="BJ23" s="6" t="str">
        <f>IFERROR(VLOOKUP(B23,'Statement of Marks'!$B$7:'Statement of Marks'!$IC$206,66,0),"")</f>
        <v>II</v>
      </c>
      <c r="BK23" s="6">
        <f>IFERROR(VLOOKUP(B23,'Statement of Marks'!$B$7:'Statement of Marks'!$IC$206,91,0),"")</f>
        <v>0</v>
      </c>
      <c r="BL23" s="6" t="str">
        <f>IFERROR(VLOOKUP(B23,'Statement of Marks'!$B$7:'Statement of Marks'!$IC$206,117,0),"")</f>
        <v>II</v>
      </c>
    </row>
    <row r="24" spans="1:64" ht="21" customHeight="1">
      <c r="A24" s="169">
        <f>IF('Statement of Marks'!A26="","",'Statement of Marks'!A26)</f>
        <v>20</v>
      </c>
      <c r="B24" s="169">
        <f>IF('Statement of Marks'!B26="","",'Statement of Marks'!B26)</f>
        <v>920</v>
      </c>
      <c r="C24" s="169" t="str">
        <f>IF('Statement of Marks'!D26="","",'Statement of Marks'!D26)</f>
        <v/>
      </c>
      <c r="D24" s="315" t="str">
        <f>IF('Statement of Marks'!E26="","",'Statement of Marks'!E26)</f>
        <v/>
      </c>
      <c r="E24" s="316" t="str">
        <f>IF('Statement of Marks'!F26="","",'Statement of Marks'!F26)</f>
        <v>ROZA</v>
      </c>
      <c r="F24" s="316" t="str">
        <f>IF('Statement of Marks'!G26="","",'Statement of Marks'!G26)</f>
        <v/>
      </c>
      <c r="G24" s="316" t="str">
        <f>IF('Statement of Marks'!H26="","",'Statement of Marks'!H26)</f>
        <v/>
      </c>
      <c r="H24" s="830" t="str">
        <f>IF('Statement of Marks'!HS26="","",'Statement of Marks'!HS26)</f>
        <v>PASS</v>
      </c>
      <c r="I24" s="172" t="str">
        <f>IF('Statement of Marks'!HV26="","",'Statement of Marks'!HV26)</f>
        <v>1st</v>
      </c>
      <c r="J24" s="317">
        <f>IF('Statement of Marks'!HW26="","",'Statement of Marks'!HW26)</f>
        <v>64</v>
      </c>
      <c r="K24" s="392" t="str">
        <f>'Statement of Marks'!GN26</f>
        <v>I</v>
      </c>
      <c r="L24" s="392" t="str">
        <f>'Statement of Marks'!GQ26</f>
        <v>D</v>
      </c>
      <c r="M24" s="181" t="str">
        <f>'Statement of Marks'!GU26</f>
        <v/>
      </c>
      <c r="N24" s="181" t="str">
        <f>'Statement of Marks'!GV26</f>
        <v/>
      </c>
      <c r="O24" s="181" t="str">
        <f>'Statement of Marks'!GW26</f>
        <v/>
      </c>
      <c r="P24" s="181" t="str">
        <f>'Statement of Marks'!GX26</f>
        <v>II</v>
      </c>
      <c r="Q24" s="181" t="str">
        <f>'Statement of Marks'!GY26</f>
        <v/>
      </c>
      <c r="R24" s="392" t="str">
        <f>'Statement of Marks'!HB26</f>
        <v>II</v>
      </c>
      <c r="S24" s="392" t="str">
        <f>'Statement of Marks'!HE26</f>
        <v>II</v>
      </c>
      <c r="T24" s="392" t="str">
        <f>'Statement of Marks'!HH26</f>
        <v>II</v>
      </c>
      <c r="U24" s="392" t="str">
        <f>'Statement of Marks'!HK26</f>
        <v/>
      </c>
      <c r="V24" s="318" t="str">
        <f>IF(COUNTIF(K24:U24,"F")&gt;0,"",CONCATENATE('Statement of Marks'!HO26,'Statement of Marks'!HP26,'Statement of Marks'!HQ26))</f>
        <v xml:space="preserve">                  </v>
      </c>
      <c r="BI24" s="6">
        <f>IFERROR(VLOOKUP(B24,'Statement of Marks'!$B$7:'Statement of Marks'!$IC$206,41,0),"")</f>
        <v>9</v>
      </c>
      <c r="BJ24" s="6" t="str">
        <f>IFERROR(VLOOKUP(B24,'Statement of Marks'!$B$7:'Statement of Marks'!$IC$206,66,0),"")</f>
        <v>II</v>
      </c>
      <c r="BK24" s="6">
        <f>IFERROR(VLOOKUP(B24,'Statement of Marks'!$B$7:'Statement of Marks'!$IC$206,91,0),"")</f>
        <v>0</v>
      </c>
      <c r="BL24" s="6" t="str">
        <f>IFERROR(VLOOKUP(B24,'Statement of Marks'!$B$7:'Statement of Marks'!$IC$206,117,0),"")</f>
        <v>II</v>
      </c>
    </row>
    <row r="25" spans="1:64" ht="21" customHeight="1">
      <c r="A25" s="169">
        <f>IF('Statement of Marks'!A27="","",'Statement of Marks'!A27)</f>
        <v>21</v>
      </c>
      <c r="B25" s="169">
        <f>IF('Statement of Marks'!B27="","",'Statement of Marks'!B27)</f>
        <v>921</v>
      </c>
      <c r="C25" s="169" t="str">
        <f>IF('Statement of Marks'!D27="","",'Statement of Marks'!D27)</f>
        <v/>
      </c>
      <c r="D25" s="315" t="str">
        <f>IF('Statement of Marks'!E27="","",'Statement of Marks'!E27)</f>
        <v/>
      </c>
      <c r="E25" s="316" t="str">
        <f>IF('Statement of Marks'!F27="","",'Statement of Marks'!F27)</f>
        <v>VILIAM</v>
      </c>
      <c r="F25" s="316" t="str">
        <f>IF('Statement of Marks'!G27="","",'Statement of Marks'!G27)</f>
        <v/>
      </c>
      <c r="G25" s="316" t="str">
        <f>IF('Statement of Marks'!H27="","",'Statement of Marks'!H27)</f>
        <v/>
      </c>
      <c r="H25" s="830" t="str">
        <f>IF('Statement of Marks'!HS27="","",'Statement of Marks'!HS27)</f>
        <v>PASS</v>
      </c>
      <c r="I25" s="172" t="str">
        <f>IF('Statement of Marks'!HV27="","",'Statement of Marks'!HV27)</f>
        <v>1st</v>
      </c>
      <c r="J25" s="317">
        <f>IF('Statement of Marks'!HW27="","",'Statement of Marks'!HW27)</f>
        <v>64</v>
      </c>
      <c r="K25" s="392" t="str">
        <f>'Statement of Marks'!GN27</f>
        <v>I</v>
      </c>
      <c r="L25" s="392" t="str">
        <f>'Statement of Marks'!GQ27</f>
        <v>D</v>
      </c>
      <c r="M25" s="181" t="str">
        <f>'Statement of Marks'!GU27</f>
        <v/>
      </c>
      <c r="N25" s="181" t="str">
        <f>'Statement of Marks'!GV27</f>
        <v>II</v>
      </c>
      <c r="O25" s="181" t="str">
        <f>'Statement of Marks'!GW27</f>
        <v/>
      </c>
      <c r="P25" s="181" t="str">
        <f>'Statement of Marks'!GX27</f>
        <v/>
      </c>
      <c r="Q25" s="181" t="str">
        <f>'Statement of Marks'!GY27</f>
        <v/>
      </c>
      <c r="R25" s="392" t="str">
        <f>'Statement of Marks'!HB27</f>
        <v>II</v>
      </c>
      <c r="S25" s="392" t="str">
        <f>'Statement of Marks'!HE27</f>
        <v>II</v>
      </c>
      <c r="T25" s="392" t="str">
        <f>'Statement of Marks'!HH27</f>
        <v>II</v>
      </c>
      <c r="U25" s="392" t="str">
        <f>'Statement of Marks'!HK27</f>
        <v/>
      </c>
      <c r="V25" s="318" t="str">
        <f>IF(COUNTIF(K25:U25,"F")&gt;0,"",CONCATENATE('Statement of Marks'!HO27,'Statement of Marks'!HP27,'Statement of Marks'!HQ27))</f>
        <v xml:space="preserve">                  </v>
      </c>
      <c r="BI25" s="6">
        <f>IFERROR(VLOOKUP(B25,'Statement of Marks'!$B$7:'Statement of Marks'!$IC$206,41,0),"")</f>
        <v>9</v>
      </c>
      <c r="BJ25" s="6" t="str">
        <f>IFERROR(VLOOKUP(B25,'Statement of Marks'!$B$7:'Statement of Marks'!$IC$206,66,0),"")</f>
        <v>II</v>
      </c>
      <c r="BK25" s="6">
        <f>IFERROR(VLOOKUP(B25,'Statement of Marks'!$B$7:'Statement of Marks'!$IC$206,91,0),"")</f>
        <v>0</v>
      </c>
      <c r="BL25" s="6" t="str">
        <f>IFERROR(VLOOKUP(B25,'Statement of Marks'!$B$7:'Statement of Marks'!$IC$206,117,0),"")</f>
        <v>II</v>
      </c>
    </row>
    <row r="26" spans="1:64" ht="21" customHeight="1">
      <c r="A26" s="169">
        <f>IF('Statement of Marks'!A28="","",'Statement of Marks'!A28)</f>
        <v>22</v>
      </c>
      <c r="B26" s="169">
        <f>IF('Statement of Marks'!B28="","",'Statement of Marks'!B28)</f>
        <v>922</v>
      </c>
      <c r="C26" s="169" t="str">
        <f>IF('Statement of Marks'!D28="","",'Statement of Marks'!D28)</f>
        <v/>
      </c>
      <c r="D26" s="315" t="str">
        <f>IF('Statement of Marks'!E28="","",'Statement of Marks'!E28)</f>
        <v/>
      </c>
      <c r="E26" s="316" t="str">
        <f>IF('Statement of Marks'!F28="","",'Statement of Marks'!F28)</f>
        <v>ROZER</v>
      </c>
      <c r="F26" s="316" t="str">
        <f>IF('Statement of Marks'!G28="","",'Statement of Marks'!G28)</f>
        <v/>
      </c>
      <c r="G26" s="316" t="str">
        <f>IF('Statement of Marks'!H28="","",'Statement of Marks'!H28)</f>
        <v/>
      </c>
      <c r="H26" s="830" t="str">
        <f>IF('Statement of Marks'!HS28="","",'Statement of Marks'!HS28)</f>
        <v>PASS</v>
      </c>
      <c r="I26" s="172" t="str">
        <f>IF('Statement of Marks'!HV28="","",'Statement of Marks'!HV28)</f>
        <v>1st</v>
      </c>
      <c r="J26" s="317">
        <f>IF('Statement of Marks'!HW28="","",'Statement of Marks'!HW28)</f>
        <v>64.25</v>
      </c>
      <c r="K26" s="392" t="str">
        <f>'Statement of Marks'!GN28</f>
        <v>I</v>
      </c>
      <c r="L26" s="392" t="str">
        <f>'Statement of Marks'!GQ28</f>
        <v>D</v>
      </c>
      <c r="M26" s="181" t="str">
        <f>'Statement of Marks'!GU28</f>
        <v/>
      </c>
      <c r="N26" s="181" t="str">
        <f>'Statement of Marks'!GV28</f>
        <v>II</v>
      </c>
      <c r="O26" s="181" t="str">
        <f>'Statement of Marks'!GW28</f>
        <v/>
      </c>
      <c r="P26" s="181" t="str">
        <f>'Statement of Marks'!GX28</f>
        <v/>
      </c>
      <c r="Q26" s="181" t="str">
        <f>'Statement of Marks'!GY28</f>
        <v/>
      </c>
      <c r="R26" s="392" t="str">
        <f>'Statement of Marks'!HB28</f>
        <v>II</v>
      </c>
      <c r="S26" s="392" t="str">
        <f>'Statement of Marks'!HE28</f>
        <v>II</v>
      </c>
      <c r="T26" s="392" t="str">
        <f>'Statement of Marks'!HH28</f>
        <v>II</v>
      </c>
      <c r="U26" s="392" t="str">
        <f>'Statement of Marks'!HK28</f>
        <v/>
      </c>
      <c r="V26" s="318" t="str">
        <f>IF(COUNTIF(K26:U26,"F")&gt;0,"",CONCATENATE('Statement of Marks'!HO28,'Statement of Marks'!HP28,'Statement of Marks'!HQ28))</f>
        <v xml:space="preserve">                  </v>
      </c>
      <c r="BI26" s="6">
        <f>IFERROR(VLOOKUP(B26,'Statement of Marks'!$B$7:'Statement of Marks'!$IC$206,41,0),"")</f>
        <v>10</v>
      </c>
      <c r="BJ26" s="6" t="str">
        <f>IFERROR(VLOOKUP(B26,'Statement of Marks'!$B$7:'Statement of Marks'!$IC$206,66,0),"")</f>
        <v>II</v>
      </c>
      <c r="BK26" s="6">
        <f>IFERROR(VLOOKUP(B26,'Statement of Marks'!$B$7:'Statement of Marks'!$IC$206,91,0),"")</f>
        <v>0</v>
      </c>
      <c r="BL26" s="6" t="str">
        <f>IFERROR(VLOOKUP(B26,'Statement of Marks'!$B$7:'Statement of Marks'!$IC$206,117,0),"")</f>
        <v>II</v>
      </c>
    </row>
    <row r="27" spans="1:64" ht="21" customHeight="1">
      <c r="A27" s="169">
        <f>IF('Statement of Marks'!A29="","",'Statement of Marks'!A29)</f>
        <v>23</v>
      </c>
      <c r="B27" s="169">
        <f>IF('Statement of Marks'!B29="","",'Statement of Marks'!B29)</f>
        <v>923</v>
      </c>
      <c r="C27" s="169" t="str">
        <f>IF('Statement of Marks'!D29="","",'Statement of Marks'!D29)</f>
        <v/>
      </c>
      <c r="D27" s="315" t="str">
        <f>IF('Statement of Marks'!E29="","",'Statement of Marks'!E29)</f>
        <v/>
      </c>
      <c r="E27" s="316" t="str">
        <f>IF('Statement of Marks'!F29="","",'Statement of Marks'!F29)</f>
        <v>DINESH</v>
      </c>
      <c r="F27" s="316" t="str">
        <f>IF('Statement of Marks'!G29="","",'Statement of Marks'!G29)</f>
        <v/>
      </c>
      <c r="G27" s="316" t="str">
        <f>IF('Statement of Marks'!H29="","",'Statement of Marks'!H29)</f>
        <v/>
      </c>
      <c r="H27" s="830" t="str">
        <f>IF('Statement of Marks'!HS29="","",'Statement of Marks'!HS29)</f>
        <v>PASS</v>
      </c>
      <c r="I27" s="172" t="str">
        <f>IF('Statement of Marks'!HV29="","",'Statement of Marks'!HV29)</f>
        <v>1st</v>
      </c>
      <c r="J27" s="317">
        <f>IF('Statement of Marks'!HW29="","",'Statement of Marks'!HW29)</f>
        <v>64.083333333333329</v>
      </c>
      <c r="K27" s="392" t="str">
        <f>'Statement of Marks'!GN29</f>
        <v>I</v>
      </c>
      <c r="L27" s="392" t="str">
        <f>'Statement of Marks'!GQ29</f>
        <v>D</v>
      </c>
      <c r="M27" s="181" t="str">
        <f>'Statement of Marks'!GU29</f>
        <v/>
      </c>
      <c r="N27" s="181" t="str">
        <f>'Statement of Marks'!GV29</f>
        <v/>
      </c>
      <c r="O27" s="181" t="str">
        <f>'Statement of Marks'!GW29</f>
        <v>II</v>
      </c>
      <c r="P27" s="181" t="str">
        <f>'Statement of Marks'!GX29</f>
        <v/>
      </c>
      <c r="Q27" s="181" t="str">
        <f>'Statement of Marks'!GY29</f>
        <v/>
      </c>
      <c r="R27" s="392" t="str">
        <f>'Statement of Marks'!HB29</f>
        <v>II</v>
      </c>
      <c r="S27" s="392" t="str">
        <f>'Statement of Marks'!HE29</f>
        <v>II</v>
      </c>
      <c r="T27" s="392" t="str">
        <f>'Statement of Marks'!HH29</f>
        <v>II</v>
      </c>
      <c r="U27" s="392" t="str">
        <f>'Statement of Marks'!HK29</f>
        <v/>
      </c>
      <c r="V27" s="318" t="str">
        <f>IF(COUNTIF(K27:U27,"F")&gt;0,"",CONCATENATE('Statement of Marks'!HO29,'Statement of Marks'!HP29,'Statement of Marks'!HQ29))</f>
        <v xml:space="preserve">                  </v>
      </c>
      <c r="BI27" s="6">
        <f>IFERROR(VLOOKUP(B27,'Statement of Marks'!$B$7:'Statement of Marks'!$IC$206,41,0),"")</f>
        <v>8</v>
      </c>
      <c r="BJ27" s="6" t="str">
        <f>IFERROR(VLOOKUP(B27,'Statement of Marks'!$B$7:'Statement of Marks'!$IC$206,66,0),"")</f>
        <v>II</v>
      </c>
      <c r="BK27" s="6">
        <f>IFERROR(VLOOKUP(B27,'Statement of Marks'!$B$7:'Statement of Marks'!$IC$206,91,0),"")</f>
        <v>0</v>
      </c>
      <c r="BL27" s="6" t="str">
        <f>IFERROR(VLOOKUP(B27,'Statement of Marks'!$B$7:'Statement of Marks'!$IC$206,117,0),"")</f>
        <v>II</v>
      </c>
    </row>
    <row r="28" spans="1:64" ht="21" customHeight="1">
      <c r="A28" s="169">
        <f>IF('Statement of Marks'!A30="","",'Statement of Marks'!A30)</f>
        <v>24</v>
      </c>
      <c r="B28" s="169">
        <f>IF('Statement of Marks'!B30="","",'Statement of Marks'!B30)</f>
        <v>924</v>
      </c>
      <c r="C28" s="169" t="str">
        <f>IF('Statement of Marks'!D30="","",'Statement of Marks'!D30)</f>
        <v/>
      </c>
      <c r="D28" s="315" t="str">
        <f>IF('Statement of Marks'!E30="","",'Statement of Marks'!E30)</f>
        <v/>
      </c>
      <c r="E28" s="316" t="str">
        <f>IF('Statement of Marks'!F30="","",'Statement of Marks'!F30)</f>
        <v>MAHESH</v>
      </c>
      <c r="F28" s="316" t="str">
        <f>IF('Statement of Marks'!G30="","",'Statement of Marks'!G30)</f>
        <v/>
      </c>
      <c r="G28" s="316" t="str">
        <f>IF('Statement of Marks'!H30="","",'Statement of Marks'!H30)</f>
        <v/>
      </c>
      <c r="H28" s="830" t="str">
        <f>IF('Statement of Marks'!HS30="","",'Statement of Marks'!HS30)</f>
        <v>PASS</v>
      </c>
      <c r="I28" s="172" t="str">
        <f>IF('Statement of Marks'!HV30="","",'Statement of Marks'!HV30)</f>
        <v>1st</v>
      </c>
      <c r="J28" s="317">
        <f>IF('Statement of Marks'!HW30="","",'Statement of Marks'!HW30)</f>
        <v>64</v>
      </c>
      <c r="K28" s="392" t="str">
        <f>'Statement of Marks'!GN30</f>
        <v>I</v>
      </c>
      <c r="L28" s="392" t="str">
        <f>'Statement of Marks'!GQ30</f>
        <v>D</v>
      </c>
      <c r="M28" s="181" t="str">
        <f>'Statement of Marks'!GU30</f>
        <v>II</v>
      </c>
      <c r="N28" s="181" t="str">
        <f>'Statement of Marks'!GV30</f>
        <v/>
      </c>
      <c r="O28" s="181" t="str">
        <f>'Statement of Marks'!GW30</f>
        <v/>
      </c>
      <c r="P28" s="181" t="str">
        <f>'Statement of Marks'!GX30</f>
        <v/>
      </c>
      <c r="Q28" s="181" t="str">
        <f>'Statement of Marks'!GY30</f>
        <v/>
      </c>
      <c r="R28" s="392" t="str">
        <f>'Statement of Marks'!HB30</f>
        <v>II</v>
      </c>
      <c r="S28" s="392" t="str">
        <f>'Statement of Marks'!HE30</f>
        <v>II</v>
      </c>
      <c r="T28" s="392" t="str">
        <f>'Statement of Marks'!HH30</f>
        <v>II</v>
      </c>
      <c r="U28" s="392" t="str">
        <f>'Statement of Marks'!HK30</f>
        <v/>
      </c>
      <c r="V28" s="318" t="str">
        <f>IF(COUNTIF(K28:U28,"F")&gt;0,"",CONCATENATE('Statement of Marks'!HO30,'Statement of Marks'!HP30,'Statement of Marks'!HQ30))</f>
        <v xml:space="preserve">                  </v>
      </c>
      <c r="BI28" s="6">
        <f>IFERROR(VLOOKUP(B28,'Statement of Marks'!$B$7:'Statement of Marks'!$IC$206,41,0),"")</f>
        <v>9</v>
      </c>
      <c r="BJ28" s="6" t="str">
        <f>IFERROR(VLOOKUP(B28,'Statement of Marks'!$B$7:'Statement of Marks'!$IC$206,66,0),"")</f>
        <v>II</v>
      </c>
      <c r="BK28" s="6">
        <f>IFERROR(VLOOKUP(B28,'Statement of Marks'!$B$7:'Statement of Marks'!$IC$206,91,0),"")</f>
        <v>0</v>
      </c>
      <c r="BL28" s="6" t="str">
        <f>IFERROR(VLOOKUP(B28,'Statement of Marks'!$B$7:'Statement of Marks'!$IC$206,117,0),"")</f>
        <v>II</v>
      </c>
    </row>
    <row r="29" spans="1:64" ht="21" customHeight="1">
      <c r="A29" s="169">
        <f>IF('Statement of Marks'!A31="","",'Statement of Marks'!A31)</f>
        <v>25</v>
      </c>
      <c r="B29" s="169">
        <f>IF('Statement of Marks'!B31="","",'Statement of Marks'!B31)</f>
        <v>925</v>
      </c>
      <c r="C29" s="169" t="str">
        <f>IF('Statement of Marks'!D31="","",'Statement of Marks'!D31)</f>
        <v/>
      </c>
      <c r="D29" s="315" t="str">
        <f>IF('Statement of Marks'!E31="","",'Statement of Marks'!E31)</f>
        <v/>
      </c>
      <c r="E29" s="316" t="str">
        <f>IF('Statement of Marks'!F31="","",'Statement of Marks'!F31)</f>
        <v>RINA</v>
      </c>
      <c r="F29" s="316" t="str">
        <f>IF('Statement of Marks'!G31="","",'Statement of Marks'!G31)</f>
        <v/>
      </c>
      <c r="G29" s="316" t="str">
        <f>IF('Statement of Marks'!H31="","",'Statement of Marks'!H31)</f>
        <v/>
      </c>
      <c r="H29" s="830" t="str">
        <f>IF('Statement of Marks'!HS31="","",'Statement of Marks'!HS31)</f>
        <v>PASS</v>
      </c>
      <c r="I29" s="172" t="str">
        <f>IF('Statement of Marks'!HV31="","",'Statement of Marks'!HV31)</f>
        <v>1st</v>
      </c>
      <c r="J29" s="317">
        <f>IF('Statement of Marks'!HW31="","",'Statement of Marks'!HW31)</f>
        <v>64</v>
      </c>
      <c r="K29" s="392" t="str">
        <f>'Statement of Marks'!GN31</f>
        <v>I</v>
      </c>
      <c r="L29" s="392" t="str">
        <f>'Statement of Marks'!GQ31</f>
        <v>D</v>
      </c>
      <c r="M29" s="181" t="str">
        <f>'Statement of Marks'!GU31</f>
        <v/>
      </c>
      <c r="N29" s="181" t="str">
        <f>'Statement of Marks'!GV31</f>
        <v/>
      </c>
      <c r="O29" s="181" t="str">
        <f>'Statement of Marks'!GW31</f>
        <v>II</v>
      </c>
      <c r="P29" s="181" t="str">
        <f>'Statement of Marks'!GX31</f>
        <v/>
      </c>
      <c r="Q29" s="181" t="str">
        <f>'Statement of Marks'!GY31</f>
        <v/>
      </c>
      <c r="R29" s="392" t="str">
        <f>'Statement of Marks'!HB31</f>
        <v>II</v>
      </c>
      <c r="S29" s="392" t="str">
        <f>'Statement of Marks'!HE31</f>
        <v>II</v>
      </c>
      <c r="T29" s="392" t="str">
        <f>'Statement of Marks'!HH31</f>
        <v>II</v>
      </c>
      <c r="U29" s="392" t="str">
        <f>'Statement of Marks'!HK31</f>
        <v/>
      </c>
      <c r="V29" s="318" t="str">
        <f>IF(COUNTIF(K29:U29,"F")&gt;0,"",CONCATENATE('Statement of Marks'!HO31,'Statement of Marks'!HP31,'Statement of Marks'!HQ31))</f>
        <v xml:space="preserve">                  </v>
      </c>
      <c r="BI29" s="6">
        <f>IFERROR(VLOOKUP(B29,'Statement of Marks'!$B$7:'Statement of Marks'!$IC$206,41,0),"")</f>
        <v>9</v>
      </c>
      <c r="BJ29" s="6" t="str">
        <f>IFERROR(VLOOKUP(B29,'Statement of Marks'!$B$7:'Statement of Marks'!$IC$206,66,0),"")</f>
        <v>II</v>
      </c>
      <c r="BK29" s="6">
        <f>IFERROR(VLOOKUP(B29,'Statement of Marks'!$B$7:'Statement of Marks'!$IC$206,91,0),"")</f>
        <v>0</v>
      </c>
      <c r="BL29" s="6" t="str">
        <f>IFERROR(VLOOKUP(B29,'Statement of Marks'!$B$7:'Statement of Marks'!$IC$206,117,0),"")</f>
        <v>II</v>
      </c>
    </row>
    <row r="30" spans="1:64" ht="21" customHeight="1">
      <c r="A30" s="169">
        <f>IF('Statement of Marks'!A32="","",'Statement of Marks'!A32)</f>
        <v>26</v>
      </c>
      <c r="B30" s="169">
        <f>IF('Statement of Marks'!B32="","",'Statement of Marks'!B32)</f>
        <v>926</v>
      </c>
      <c r="C30" s="169" t="str">
        <f>IF('Statement of Marks'!D32="","",'Statement of Marks'!D32)</f>
        <v/>
      </c>
      <c r="D30" s="315" t="str">
        <f>IF('Statement of Marks'!E32="","",'Statement of Marks'!E32)</f>
        <v/>
      </c>
      <c r="E30" s="316" t="str">
        <f>IF('Statement of Marks'!F32="","",'Statement of Marks'!F32)</f>
        <v>DIZA</v>
      </c>
      <c r="F30" s="316" t="str">
        <f>IF('Statement of Marks'!G32="","",'Statement of Marks'!G32)</f>
        <v/>
      </c>
      <c r="G30" s="316" t="str">
        <f>IF('Statement of Marks'!H32="","",'Statement of Marks'!H32)</f>
        <v/>
      </c>
      <c r="H30" s="830" t="str">
        <f>IF('Statement of Marks'!HS32="","",'Statement of Marks'!HS32)</f>
        <v>PASS</v>
      </c>
      <c r="I30" s="172" t="str">
        <f>IF('Statement of Marks'!HV32="","",'Statement of Marks'!HV32)</f>
        <v>1st</v>
      </c>
      <c r="J30" s="317">
        <f>IF('Statement of Marks'!HW32="","",'Statement of Marks'!HW32)</f>
        <v>63.25</v>
      </c>
      <c r="K30" s="392" t="str">
        <f>'Statement of Marks'!GN32</f>
        <v>I</v>
      </c>
      <c r="L30" s="392" t="str">
        <f>'Statement of Marks'!GQ32</f>
        <v>D</v>
      </c>
      <c r="M30" s="181" t="str">
        <f>'Statement of Marks'!GU32</f>
        <v/>
      </c>
      <c r="N30" s="181" t="str">
        <f>'Statement of Marks'!GV32</f>
        <v/>
      </c>
      <c r="O30" s="181" t="str">
        <f>'Statement of Marks'!GW32</f>
        <v/>
      </c>
      <c r="P30" s="181" t="str">
        <f>'Statement of Marks'!GX32</f>
        <v>II</v>
      </c>
      <c r="Q30" s="181" t="str">
        <f>'Statement of Marks'!GY32</f>
        <v/>
      </c>
      <c r="R30" s="392" t="str">
        <f>'Statement of Marks'!HB32</f>
        <v>II</v>
      </c>
      <c r="S30" s="392" t="str">
        <f>'Statement of Marks'!HE32</f>
        <v>II</v>
      </c>
      <c r="T30" s="392" t="str">
        <f>'Statement of Marks'!HH32</f>
        <v>II</v>
      </c>
      <c r="U30" s="392" t="str">
        <f>'Statement of Marks'!HK32</f>
        <v/>
      </c>
      <c r="V30" s="318" t="str">
        <f>IF(COUNTIF(K30:U30,"F")&gt;0,"",CONCATENATE('Statement of Marks'!HO32,'Statement of Marks'!HP32,'Statement of Marks'!HQ32))</f>
        <v xml:space="preserve">                  </v>
      </c>
      <c r="BI30" s="6" t="str">
        <f>IFERROR(VLOOKUP(B30,'Statement of Marks'!$B$7:'Statement of Marks'!$IC$206,41,0),"")</f>
        <v/>
      </c>
      <c r="BJ30" s="6" t="str">
        <f>IFERROR(VLOOKUP(B30,'Statement of Marks'!$B$7:'Statement of Marks'!$IC$206,66,0),"")</f>
        <v>II</v>
      </c>
      <c r="BK30" s="6">
        <f>IFERROR(VLOOKUP(B30,'Statement of Marks'!$B$7:'Statement of Marks'!$IC$206,91,0),"")</f>
        <v>0</v>
      </c>
      <c r="BL30" s="6" t="str">
        <f>IFERROR(VLOOKUP(B30,'Statement of Marks'!$B$7:'Statement of Marks'!$IC$206,117,0),"")</f>
        <v>II</v>
      </c>
    </row>
    <row r="31" spans="1:64" ht="21" customHeight="1">
      <c r="A31" s="169">
        <f>IF('Statement of Marks'!A33="","",'Statement of Marks'!A33)</f>
        <v>27</v>
      </c>
      <c r="B31" s="169">
        <f>IF('Statement of Marks'!B33="","",'Statement of Marks'!B33)</f>
        <v>927</v>
      </c>
      <c r="C31" s="169" t="str">
        <f>IF('Statement of Marks'!D33="","",'Statement of Marks'!D33)</f>
        <v/>
      </c>
      <c r="D31" s="315" t="str">
        <f>IF('Statement of Marks'!E33="","",'Statement of Marks'!E33)</f>
        <v/>
      </c>
      <c r="E31" s="316" t="str">
        <f>IF('Statement of Marks'!F33="","",'Statement of Marks'!F33)</f>
        <v>BIPASA</v>
      </c>
      <c r="F31" s="316" t="str">
        <f>IF('Statement of Marks'!G33="","",'Statement of Marks'!G33)</f>
        <v/>
      </c>
      <c r="G31" s="316" t="str">
        <f>IF('Statement of Marks'!H33="","",'Statement of Marks'!H33)</f>
        <v/>
      </c>
      <c r="H31" s="830" t="str">
        <f>IF('Statement of Marks'!HS33="","",'Statement of Marks'!HS33)</f>
        <v>PASS</v>
      </c>
      <c r="I31" s="172" t="str">
        <f>IF('Statement of Marks'!HV33="","",'Statement of Marks'!HV33)</f>
        <v>1st</v>
      </c>
      <c r="J31" s="317">
        <f>IF('Statement of Marks'!HW33="","",'Statement of Marks'!HW33)</f>
        <v>61.583333333333336</v>
      </c>
      <c r="K31" s="392" t="str">
        <f>'Statement of Marks'!GN33</f>
        <v>II</v>
      </c>
      <c r="L31" s="392" t="str">
        <f>'Statement of Marks'!GQ33</f>
        <v>D</v>
      </c>
      <c r="M31" s="181" t="str">
        <f>'Statement of Marks'!GU33</f>
        <v/>
      </c>
      <c r="N31" s="181" t="str">
        <f>'Statement of Marks'!GV33</f>
        <v/>
      </c>
      <c r="O31" s="181" t="str">
        <f>'Statement of Marks'!GW33</f>
        <v/>
      </c>
      <c r="P31" s="181" t="str">
        <f>'Statement of Marks'!GX33</f>
        <v/>
      </c>
      <c r="Q31" s="181" t="str">
        <f>'Statement of Marks'!GY33</f>
        <v>II</v>
      </c>
      <c r="R31" s="392" t="str">
        <f>'Statement of Marks'!HB33</f>
        <v>II</v>
      </c>
      <c r="S31" s="392" t="str">
        <f>'Statement of Marks'!HE33</f>
        <v>II</v>
      </c>
      <c r="T31" s="392" t="str">
        <f>'Statement of Marks'!HH33</f>
        <v>II</v>
      </c>
      <c r="U31" s="392" t="str">
        <f>'Statement of Marks'!HK33</f>
        <v/>
      </c>
      <c r="V31" s="318" t="str">
        <f>IF(COUNTIF(K31:U31,"F")&gt;0,"",CONCATENATE('Statement of Marks'!HO33,'Statement of Marks'!HP33,'Statement of Marks'!HQ33))</f>
        <v xml:space="preserve">                  </v>
      </c>
      <c r="BI31" s="6" t="str">
        <f>IFERROR(VLOOKUP(B31,'Statement of Marks'!$B$7:'Statement of Marks'!$IC$206,41,0),"")</f>
        <v/>
      </c>
      <c r="BJ31" s="6" t="str">
        <f>IFERROR(VLOOKUP(B31,'Statement of Marks'!$B$7:'Statement of Marks'!$IC$206,66,0),"")</f>
        <v>II</v>
      </c>
      <c r="BK31" s="6">
        <f>IFERROR(VLOOKUP(B31,'Statement of Marks'!$B$7:'Statement of Marks'!$IC$206,91,0),"")</f>
        <v>0</v>
      </c>
      <c r="BL31" s="6" t="str">
        <f>IFERROR(VLOOKUP(B31,'Statement of Marks'!$B$7:'Statement of Marks'!$IC$206,117,0),"")</f>
        <v>II</v>
      </c>
    </row>
    <row r="32" spans="1:64" ht="21" customHeight="1">
      <c r="A32" s="169">
        <f>IF('Statement of Marks'!A34="","",'Statement of Marks'!A34)</f>
        <v>28</v>
      </c>
      <c r="B32" s="169">
        <f>IF('Statement of Marks'!B34="","",'Statement of Marks'!B34)</f>
        <v>928</v>
      </c>
      <c r="C32" s="169" t="str">
        <f>IF('Statement of Marks'!D34="","",'Statement of Marks'!D34)</f>
        <v/>
      </c>
      <c r="D32" s="315" t="str">
        <f>IF('Statement of Marks'!E34="","",'Statement of Marks'!E34)</f>
        <v/>
      </c>
      <c r="E32" s="316" t="str">
        <f>IF('Statement of Marks'!F34="","",'Statement of Marks'!F34)</f>
        <v>DIMPLE</v>
      </c>
      <c r="F32" s="316" t="str">
        <f>IF('Statement of Marks'!G34="","",'Statement of Marks'!G34)</f>
        <v/>
      </c>
      <c r="G32" s="316" t="str">
        <f>IF('Statement of Marks'!H34="","",'Statement of Marks'!H34)</f>
        <v/>
      </c>
      <c r="H32" s="830" t="str">
        <f>IF('Statement of Marks'!HS34="","",'Statement of Marks'!HS34)</f>
        <v>PASS</v>
      </c>
      <c r="I32" s="172" t="str">
        <f>IF('Statement of Marks'!HV34="","",'Statement of Marks'!HV34)</f>
        <v>1st</v>
      </c>
      <c r="J32" s="317">
        <f>IF('Statement of Marks'!HW34="","",'Statement of Marks'!HW34)</f>
        <v>61.5</v>
      </c>
      <c r="K32" s="392" t="str">
        <f>'Statement of Marks'!GN34</f>
        <v>II</v>
      </c>
      <c r="L32" s="392" t="str">
        <f>'Statement of Marks'!GQ34</f>
        <v>D</v>
      </c>
      <c r="M32" s="181" t="str">
        <f>'Statement of Marks'!GU34</f>
        <v>II</v>
      </c>
      <c r="N32" s="181" t="str">
        <f>'Statement of Marks'!GV34</f>
        <v/>
      </c>
      <c r="O32" s="181" t="str">
        <f>'Statement of Marks'!GW34</f>
        <v/>
      </c>
      <c r="P32" s="181" t="str">
        <f>'Statement of Marks'!GX34</f>
        <v/>
      </c>
      <c r="Q32" s="181" t="str">
        <f>'Statement of Marks'!GY34</f>
        <v/>
      </c>
      <c r="R32" s="392" t="str">
        <f>'Statement of Marks'!HB34</f>
        <v>II</v>
      </c>
      <c r="S32" s="392" t="str">
        <f>'Statement of Marks'!HE34</f>
        <v>II</v>
      </c>
      <c r="T32" s="392" t="str">
        <f>'Statement of Marks'!HH34</f>
        <v>II</v>
      </c>
      <c r="U32" s="392" t="str">
        <f>'Statement of Marks'!HK34</f>
        <v/>
      </c>
      <c r="V32" s="318" t="str">
        <f>IF(COUNTIF(K32:U32,"F")&gt;0,"",CONCATENATE('Statement of Marks'!HO34,'Statement of Marks'!HP34,'Statement of Marks'!HQ34))</f>
        <v xml:space="preserve">                  </v>
      </c>
      <c r="BI32" s="6" t="str">
        <f>IFERROR(VLOOKUP(B32,'Statement of Marks'!$B$7:'Statement of Marks'!$IC$206,41,0),"")</f>
        <v/>
      </c>
      <c r="BJ32" s="6" t="str">
        <f>IFERROR(VLOOKUP(B32,'Statement of Marks'!$B$7:'Statement of Marks'!$IC$206,66,0),"")</f>
        <v>II</v>
      </c>
      <c r="BK32" s="6">
        <f>IFERROR(VLOOKUP(B32,'Statement of Marks'!$B$7:'Statement of Marks'!$IC$206,91,0),"")</f>
        <v>0</v>
      </c>
      <c r="BL32" s="6" t="str">
        <f>IFERROR(VLOOKUP(B32,'Statement of Marks'!$B$7:'Statement of Marks'!$IC$206,117,0),"")</f>
        <v>II</v>
      </c>
    </row>
    <row r="33" spans="1:64" ht="21" customHeight="1">
      <c r="A33" s="169">
        <f>IF('Statement of Marks'!A35="","",'Statement of Marks'!A35)</f>
        <v>29</v>
      </c>
      <c r="B33" s="169">
        <f>IF('Statement of Marks'!B35="","",'Statement of Marks'!B35)</f>
        <v>929</v>
      </c>
      <c r="C33" s="169" t="str">
        <f>IF('Statement of Marks'!D35="","",'Statement of Marks'!D35)</f>
        <v/>
      </c>
      <c r="D33" s="315" t="str">
        <f>IF('Statement of Marks'!E35="","",'Statement of Marks'!E35)</f>
        <v/>
      </c>
      <c r="E33" s="316" t="str">
        <f>IF('Statement of Marks'!F35="","",'Statement of Marks'!F35)</f>
        <v>DIPIKA</v>
      </c>
      <c r="F33" s="316" t="str">
        <f>IF('Statement of Marks'!G35="","",'Statement of Marks'!G35)</f>
        <v/>
      </c>
      <c r="G33" s="316" t="str">
        <f>IF('Statement of Marks'!H35="","",'Statement of Marks'!H35)</f>
        <v/>
      </c>
      <c r="H33" s="830" t="str">
        <f>IF('Statement of Marks'!HS35="","",'Statement of Marks'!HS35)</f>
        <v>PASS</v>
      </c>
      <c r="I33" s="172" t="str">
        <f>IF('Statement of Marks'!HV35="","",'Statement of Marks'!HV35)</f>
        <v>1st</v>
      </c>
      <c r="J33" s="317">
        <f>IF('Statement of Marks'!HW35="","",'Statement of Marks'!HW35)</f>
        <v>61.5</v>
      </c>
      <c r="K33" s="392" t="str">
        <f>'Statement of Marks'!GN35</f>
        <v>II</v>
      </c>
      <c r="L33" s="392" t="str">
        <f>'Statement of Marks'!GQ35</f>
        <v>D</v>
      </c>
      <c r="M33" s="181" t="str">
        <f>'Statement of Marks'!GU35</f>
        <v/>
      </c>
      <c r="N33" s="181" t="str">
        <f>'Statement of Marks'!GV35</f>
        <v>II</v>
      </c>
      <c r="O33" s="181" t="str">
        <f>'Statement of Marks'!GW35</f>
        <v/>
      </c>
      <c r="P33" s="181" t="str">
        <f>'Statement of Marks'!GX35</f>
        <v/>
      </c>
      <c r="Q33" s="181" t="str">
        <f>'Statement of Marks'!GY35</f>
        <v/>
      </c>
      <c r="R33" s="392" t="str">
        <f>'Statement of Marks'!HB35</f>
        <v>II</v>
      </c>
      <c r="S33" s="392" t="str">
        <f>'Statement of Marks'!HE35</f>
        <v>II</v>
      </c>
      <c r="T33" s="392" t="str">
        <f>'Statement of Marks'!HH35</f>
        <v>II</v>
      </c>
      <c r="U33" s="392" t="str">
        <f>'Statement of Marks'!HK35</f>
        <v/>
      </c>
      <c r="V33" s="318" t="str">
        <f>IF(COUNTIF(K33:U33,"F")&gt;0,"",CONCATENATE('Statement of Marks'!HO35,'Statement of Marks'!HP35,'Statement of Marks'!HQ35))</f>
        <v xml:space="preserve">                  </v>
      </c>
      <c r="BI33" s="6" t="str">
        <f>IFERROR(VLOOKUP(B33,'Statement of Marks'!$B$7:'Statement of Marks'!$IC$206,41,0),"")</f>
        <v/>
      </c>
      <c r="BJ33" s="6" t="str">
        <f>IFERROR(VLOOKUP(B33,'Statement of Marks'!$B$7:'Statement of Marks'!$IC$206,66,0),"")</f>
        <v>II</v>
      </c>
      <c r="BK33" s="6">
        <f>IFERROR(VLOOKUP(B33,'Statement of Marks'!$B$7:'Statement of Marks'!$IC$206,91,0),"")</f>
        <v>0</v>
      </c>
      <c r="BL33" s="6" t="str">
        <f>IFERROR(VLOOKUP(B33,'Statement of Marks'!$B$7:'Statement of Marks'!$IC$206,117,0),"")</f>
        <v>II</v>
      </c>
    </row>
    <row r="34" spans="1:64" ht="21" customHeight="1">
      <c r="A34" s="169">
        <f>IF('Statement of Marks'!A36="","",'Statement of Marks'!A36)</f>
        <v>30</v>
      </c>
      <c r="B34" s="169">
        <f>IF('Statement of Marks'!B36="","",'Statement of Marks'!B36)</f>
        <v>930</v>
      </c>
      <c r="C34" s="169" t="str">
        <f>IF('Statement of Marks'!D36="","",'Statement of Marks'!D36)</f>
        <v/>
      </c>
      <c r="D34" s="315" t="str">
        <f>IF('Statement of Marks'!E36="","",'Statement of Marks'!E36)</f>
        <v/>
      </c>
      <c r="E34" s="316" t="str">
        <f>IF('Statement of Marks'!F36="","",'Statement of Marks'!F36)</f>
        <v>DEVENDRA</v>
      </c>
      <c r="F34" s="316" t="str">
        <f>IF('Statement of Marks'!G36="","",'Statement of Marks'!G36)</f>
        <v/>
      </c>
      <c r="G34" s="316" t="str">
        <f>IF('Statement of Marks'!H36="","",'Statement of Marks'!H36)</f>
        <v/>
      </c>
      <c r="H34" s="830" t="str">
        <f>IF('Statement of Marks'!HS36="","",'Statement of Marks'!HS36)</f>
        <v>PASS</v>
      </c>
      <c r="I34" s="172" t="str">
        <f>IF('Statement of Marks'!HV36="","",'Statement of Marks'!HV36)</f>
        <v>1st</v>
      </c>
      <c r="J34" s="317">
        <f>IF('Statement of Marks'!HW36="","",'Statement of Marks'!HW36)</f>
        <v>61.5</v>
      </c>
      <c r="K34" s="392" t="str">
        <f>'Statement of Marks'!GN36</f>
        <v>II</v>
      </c>
      <c r="L34" s="392" t="str">
        <f>'Statement of Marks'!GQ36</f>
        <v>D</v>
      </c>
      <c r="M34" s="181" t="str">
        <f>'Statement of Marks'!GU36</f>
        <v>II</v>
      </c>
      <c r="N34" s="181" t="str">
        <f>'Statement of Marks'!GV36</f>
        <v/>
      </c>
      <c r="O34" s="181" t="str">
        <f>'Statement of Marks'!GW36</f>
        <v/>
      </c>
      <c r="P34" s="181" t="str">
        <f>'Statement of Marks'!GX36</f>
        <v/>
      </c>
      <c r="Q34" s="181" t="str">
        <f>'Statement of Marks'!GY36</f>
        <v/>
      </c>
      <c r="R34" s="392" t="str">
        <f>'Statement of Marks'!HB36</f>
        <v>II</v>
      </c>
      <c r="S34" s="392" t="str">
        <f>'Statement of Marks'!HE36</f>
        <v>II</v>
      </c>
      <c r="T34" s="392" t="str">
        <f>'Statement of Marks'!HH36</f>
        <v>II</v>
      </c>
      <c r="U34" s="392" t="str">
        <f>'Statement of Marks'!HK36</f>
        <v/>
      </c>
      <c r="V34" s="318" t="str">
        <f>IF(COUNTIF(K34:U34,"F")&gt;0,"",CONCATENATE('Statement of Marks'!HO36,'Statement of Marks'!HP36,'Statement of Marks'!HQ36))</f>
        <v xml:space="preserve">                  </v>
      </c>
      <c r="BI34" s="6" t="str">
        <f>IFERROR(VLOOKUP(B34,'Statement of Marks'!$B$7:'Statement of Marks'!$IC$206,41,0),"")</f>
        <v/>
      </c>
      <c r="BJ34" s="6" t="str">
        <f>IFERROR(VLOOKUP(B34,'Statement of Marks'!$B$7:'Statement of Marks'!$IC$206,66,0),"")</f>
        <v>II</v>
      </c>
      <c r="BK34" s="6">
        <f>IFERROR(VLOOKUP(B34,'Statement of Marks'!$B$7:'Statement of Marks'!$IC$206,91,0),"")</f>
        <v>0</v>
      </c>
      <c r="BL34" s="6" t="str">
        <f>IFERROR(VLOOKUP(B34,'Statement of Marks'!$B$7:'Statement of Marks'!$IC$206,117,0),"")</f>
        <v>II</v>
      </c>
    </row>
    <row r="35" spans="1:64" ht="21" customHeight="1">
      <c r="A35" s="169">
        <f>IF('Statement of Marks'!A37="","",'Statement of Marks'!A37)</f>
        <v>31</v>
      </c>
      <c r="B35" s="169">
        <f>IF('Statement of Marks'!B37="","",'Statement of Marks'!B37)</f>
        <v>931</v>
      </c>
      <c r="C35" s="169" t="str">
        <f>IF('Statement of Marks'!D37="","",'Statement of Marks'!D37)</f>
        <v/>
      </c>
      <c r="D35" s="315" t="str">
        <f>IF('Statement of Marks'!E37="","",'Statement of Marks'!E37)</f>
        <v/>
      </c>
      <c r="E35" s="316" t="str">
        <f>IF('Statement of Marks'!F37="","",'Statement of Marks'!F37)</f>
        <v>RAVINDRA</v>
      </c>
      <c r="F35" s="316" t="str">
        <f>IF('Statement of Marks'!G37="","",'Statement of Marks'!G37)</f>
        <v/>
      </c>
      <c r="G35" s="316" t="str">
        <f>IF('Statement of Marks'!H37="","",'Statement of Marks'!H37)</f>
        <v/>
      </c>
      <c r="H35" s="830" t="str">
        <f>IF('Statement of Marks'!HS37="","",'Statement of Marks'!HS37)</f>
        <v>PASS</v>
      </c>
      <c r="I35" s="172" t="str">
        <f>IF('Statement of Marks'!HV37="","",'Statement of Marks'!HV37)</f>
        <v>1st</v>
      </c>
      <c r="J35" s="317">
        <f>IF('Statement of Marks'!HW37="","",'Statement of Marks'!HW37)</f>
        <v>61.583333333333336</v>
      </c>
      <c r="K35" s="392" t="str">
        <f>'Statement of Marks'!GN37</f>
        <v>II</v>
      </c>
      <c r="L35" s="392" t="str">
        <f>'Statement of Marks'!GQ37</f>
        <v>D</v>
      </c>
      <c r="M35" s="181" t="str">
        <f>'Statement of Marks'!GU37</f>
        <v>II</v>
      </c>
      <c r="N35" s="181" t="str">
        <f>'Statement of Marks'!GV37</f>
        <v/>
      </c>
      <c r="O35" s="181" t="str">
        <f>'Statement of Marks'!GW37</f>
        <v/>
      </c>
      <c r="P35" s="181" t="str">
        <f>'Statement of Marks'!GX37</f>
        <v/>
      </c>
      <c r="Q35" s="181" t="str">
        <f>'Statement of Marks'!GY37</f>
        <v/>
      </c>
      <c r="R35" s="392" t="str">
        <f>'Statement of Marks'!HB37</f>
        <v>II</v>
      </c>
      <c r="S35" s="392" t="str">
        <f>'Statement of Marks'!HE37</f>
        <v>II</v>
      </c>
      <c r="T35" s="392" t="str">
        <f>'Statement of Marks'!HH37</f>
        <v>II</v>
      </c>
      <c r="U35" s="392" t="str">
        <f>'Statement of Marks'!HK37</f>
        <v/>
      </c>
      <c r="V35" s="318" t="str">
        <f>IF(COUNTIF(K35:U35,"F")&gt;0,"",CONCATENATE('Statement of Marks'!HO37,'Statement of Marks'!HP37,'Statement of Marks'!HQ37))</f>
        <v xml:space="preserve">                  </v>
      </c>
      <c r="BI35" s="6" t="str">
        <f>IFERROR(VLOOKUP(B35,'Statement of Marks'!$B$7:'Statement of Marks'!$IC$206,41,0),"")</f>
        <v/>
      </c>
      <c r="BJ35" s="6" t="str">
        <f>IFERROR(VLOOKUP(B35,'Statement of Marks'!$B$7:'Statement of Marks'!$IC$206,66,0),"")</f>
        <v>II</v>
      </c>
      <c r="BK35" s="6">
        <f>IFERROR(VLOOKUP(B35,'Statement of Marks'!$B$7:'Statement of Marks'!$IC$206,91,0),"")</f>
        <v>0</v>
      </c>
      <c r="BL35" s="6" t="str">
        <f>IFERROR(VLOOKUP(B35,'Statement of Marks'!$B$7:'Statement of Marks'!$IC$206,117,0),"")</f>
        <v>II</v>
      </c>
    </row>
    <row r="36" spans="1:64" ht="21" customHeight="1">
      <c r="A36" s="169">
        <f>IF('Statement of Marks'!A38="","",'Statement of Marks'!A38)</f>
        <v>32</v>
      </c>
      <c r="B36" s="169" t="str">
        <f>IF('Statement of Marks'!B38="","",'Statement of Marks'!B38)</f>
        <v/>
      </c>
      <c r="C36" s="169" t="str">
        <f>IF('Statement of Marks'!D38="","",'Statement of Marks'!D38)</f>
        <v/>
      </c>
      <c r="D36" s="315" t="str">
        <f>IF('Statement of Marks'!E38="","",'Statement of Marks'!E38)</f>
        <v/>
      </c>
      <c r="E36" s="316" t="str">
        <f>IF('Statement of Marks'!F38="","",'Statement of Marks'!F38)</f>
        <v/>
      </c>
      <c r="F36" s="316" t="str">
        <f>IF('Statement of Marks'!G38="","",'Statement of Marks'!G38)</f>
        <v/>
      </c>
      <c r="G36" s="316" t="str">
        <f>IF('Statement of Marks'!H38="","",'Statement of Marks'!H38)</f>
        <v/>
      </c>
      <c r="H36" s="830" t="str">
        <f>IF('Statement of Marks'!HS38="","",'Statement of Marks'!HS38)</f>
        <v/>
      </c>
      <c r="I36" s="172" t="str">
        <f>IF('Statement of Marks'!HV38="","",'Statement of Marks'!HV38)</f>
        <v/>
      </c>
      <c r="J36" s="317" t="str">
        <f>IF('Statement of Marks'!HW38="","",'Statement of Marks'!HW38)</f>
        <v/>
      </c>
      <c r="K36" s="392" t="str">
        <f>'Statement of Marks'!GN38</f>
        <v/>
      </c>
      <c r="L36" s="392" t="str">
        <f>'Statement of Marks'!GQ38</f>
        <v/>
      </c>
      <c r="M36" s="181" t="str">
        <f>'Statement of Marks'!GU38</f>
        <v/>
      </c>
      <c r="N36" s="181" t="str">
        <f>'Statement of Marks'!GV38</f>
        <v/>
      </c>
      <c r="O36" s="181" t="str">
        <f>'Statement of Marks'!GW38</f>
        <v/>
      </c>
      <c r="P36" s="181" t="str">
        <f>'Statement of Marks'!GX38</f>
        <v/>
      </c>
      <c r="Q36" s="181" t="str">
        <f>'Statement of Marks'!GY38</f>
        <v/>
      </c>
      <c r="R36" s="392" t="str">
        <f>'Statement of Marks'!HB38</f>
        <v/>
      </c>
      <c r="S36" s="392" t="str">
        <f>'Statement of Marks'!HE38</f>
        <v/>
      </c>
      <c r="T36" s="392" t="str">
        <f>'Statement of Marks'!HH38</f>
        <v/>
      </c>
      <c r="U36" s="392" t="str">
        <f>'Statement of Marks'!HK38</f>
        <v/>
      </c>
      <c r="V36" s="318" t="str">
        <f>IF(COUNTIF(K36:U36,"F")&gt;0,"",CONCATENATE('Statement of Marks'!HO38,'Statement of Marks'!HP38,'Statement of Marks'!HQ38))</f>
        <v xml:space="preserve">                  </v>
      </c>
      <c r="BI36" s="6" t="str">
        <f>IFERROR(VLOOKUP(B36,'Statement of Marks'!$B$7:'Statement of Marks'!$IC$206,41,0),"")</f>
        <v/>
      </c>
      <c r="BJ36" s="6" t="str">
        <f>IFERROR(VLOOKUP(B36,'Statement of Marks'!$B$7:'Statement of Marks'!$IC$206,66,0),"")</f>
        <v/>
      </c>
      <c r="BK36" s="6">
        <f>IFERROR(VLOOKUP(B36,'Statement of Marks'!$B$7:'Statement of Marks'!$IC$206,91,0),"")</f>
        <v>0</v>
      </c>
      <c r="BL36" s="6" t="str">
        <f>IFERROR(VLOOKUP(B36,'Statement of Marks'!$B$7:'Statement of Marks'!$IC$206,117,0),"")</f>
        <v/>
      </c>
    </row>
    <row r="37" spans="1:64" ht="21" customHeight="1">
      <c r="A37" s="169">
        <f>IF('Statement of Marks'!A39="","",'Statement of Marks'!A39)</f>
        <v>33</v>
      </c>
      <c r="B37" s="169" t="str">
        <f>IF('Statement of Marks'!B39="","",'Statement of Marks'!B39)</f>
        <v/>
      </c>
      <c r="C37" s="169" t="str">
        <f>IF('Statement of Marks'!D39="","",'Statement of Marks'!D39)</f>
        <v/>
      </c>
      <c r="D37" s="315" t="str">
        <f>IF('Statement of Marks'!E39="","",'Statement of Marks'!E39)</f>
        <v/>
      </c>
      <c r="E37" s="316" t="str">
        <f>IF('Statement of Marks'!F39="","",'Statement of Marks'!F39)</f>
        <v/>
      </c>
      <c r="F37" s="316" t="str">
        <f>IF('Statement of Marks'!G39="","",'Statement of Marks'!G39)</f>
        <v/>
      </c>
      <c r="G37" s="316" t="str">
        <f>IF('Statement of Marks'!H39="","",'Statement of Marks'!H39)</f>
        <v/>
      </c>
      <c r="H37" s="830" t="str">
        <f>IF('Statement of Marks'!HS39="","",'Statement of Marks'!HS39)</f>
        <v/>
      </c>
      <c r="I37" s="172" t="str">
        <f>IF('Statement of Marks'!HV39="","",'Statement of Marks'!HV39)</f>
        <v/>
      </c>
      <c r="J37" s="317" t="str">
        <f>IF('Statement of Marks'!HW39="","",'Statement of Marks'!HW39)</f>
        <v/>
      </c>
      <c r="K37" s="392" t="str">
        <f>'Statement of Marks'!GN39</f>
        <v/>
      </c>
      <c r="L37" s="392" t="str">
        <f>'Statement of Marks'!GQ39</f>
        <v/>
      </c>
      <c r="M37" s="181" t="str">
        <f>'Statement of Marks'!GU39</f>
        <v/>
      </c>
      <c r="N37" s="181" t="str">
        <f>'Statement of Marks'!GV39</f>
        <v/>
      </c>
      <c r="O37" s="181" t="str">
        <f>'Statement of Marks'!GW39</f>
        <v/>
      </c>
      <c r="P37" s="181" t="str">
        <f>'Statement of Marks'!GX39</f>
        <v/>
      </c>
      <c r="Q37" s="181" t="str">
        <f>'Statement of Marks'!GY39</f>
        <v/>
      </c>
      <c r="R37" s="392" t="str">
        <f>'Statement of Marks'!HB39</f>
        <v/>
      </c>
      <c r="S37" s="392" t="str">
        <f>'Statement of Marks'!HE39</f>
        <v/>
      </c>
      <c r="T37" s="392" t="str">
        <f>'Statement of Marks'!HH39</f>
        <v/>
      </c>
      <c r="U37" s="392" t="str">
        <f>'Statement of Marks'!HK39</f>
        <v/>
      </c>
      <c r="V37" s="318" t="str">
        <f>IF(COUNTIF(K37:U37,"F")&gt;0,"",CONCATENATE('Statement of Marks'!HO39,'Statement of Marks'!HP39,'Statement of Marks'!HQ39))</f>
        <v xml:space="preserve">                  </v>
      </c>
      <c r="BI37" s="6" t="str">
        <f>IFERROR(VLOOKUP(B37,'Statement of Marks'!$B$7:'Statement of Marks'!$IC$206,41,0),"")</f>
        <v/>
      </c>
      <c r="BJ37" s="6" t="str">
        <f>IFERROR(VLOOKUP(B37,'Statement of Marks'!$B$7:'Statement of Marks'!$IC$206,66,0),"")</f>
        <v/>
      </c>
      <c r="BK37" s="6">
        <f>IFERROR(VLOOKUP(B37,'Statement of Marks'!$B$7:'Statement of Marks'!$IC$206,91,0),"")</f>
        <v>0</v>
      </c>
      <c r="BL37" s="6" t="str">
        <f>IFERROR(VLOOKUP(B37,'Statement of Marks'!$B$7:'Statement of Marks'!$IC$206,117,0),"")</f>
        <v/>
      </c>
    </row>
    <row r="38" spans="1:64" ht="21" customHeight="1">
      <c r="A38" s="169">
        <f>IF('Statement of Marks'!A40="","",'Statement of Marks'!A40)</f>
        <v>34</v>
      </c>
      <c r="B38" s="169" t="str">
        <f>IF('Statement of Marks'!B40="","",'Statement of Marks'!B40)</f>
        <v/>
      </c>
      <c r="C38" s="169" t="str">
        <f>IF('Statement of Marks'!D40="","",'Statement of Marks'!D40)</f>
        <v/>
      </c>
      <c r="D38" s="315" t="str">
        <f>IF('Statement of Marks'!E40="","",'Statement of Marks'!E40)</f>
        <v/>
      </c>
      <c r="E38" s="316" t="str">
        <f>IF('Statement of Marks'!F40="","",'Statement of Marks'!F40)</f>
        <v/>
      </c>
      <c r="F38" s="316" t="str">
        <f>IF('Statement of Marks'!G40="","",'Statement of Marks'!G40)</f>
        <v/>
      </c>
      <c r="G38" s="316" t="str">
        <f>IF('Statement of Marks'!H40="","",'Statement of Marks'!H40)</f>
        <v/>
      </c>
      <c r="H38" s="830" t="str">
        <f>IF('Statement of Marks'!HS40="","",'Statement of Marks'!HS40)</f>
        <v/>
      </c>
      <c r="I38" s="172" t="str">
        <f>IF('Statement of Marks'!HV40="","",'Statement of Marks'!HV40)</f>
        <v/>
      </c>
      <c r="J38" s="317" t="str">
        <f>IF('Statement of Marks'!HW40="","",'Statement of Marks'!HW40)</f>
        <v/>
      </c>
      <c r="K38" s="392" t="str">
        <f>'Statement of Marks'!GN40</f>
        <v/>
      </c>
      <c r="L38" s="392" t="str">
        <f>'Statement of Marks'!GQ40</f>
        <v/>
      </c>
      <c r="M38" s="181" t="str">
        <f>'Statement of Marks'!GU40</f>
        <v/>
      </c>
      <c r="N38" s="181" t="str">
        <f>'Statement of Marks'!GV40</f>
        <v/>
      </c>
      <c r="O38" s="181" t="str">
        <f>'Statement of Marks'!GW40</f>
        <v/>
      </c>
      <c r="P38" s="181" t="str">
        <f>'Statement of Marks'!GX40</f>
        <v/>
      </c>
      <c r="Q38" s="181" t="str">
        <f>'Statement of Marks'!GY40</f>
        <v/>
      </c>
      <c r="R38" s="392" t="str">
        <f>'Statement of Marks'!HB40</f>
        <v/>
      </c>
      <c r="S38" s="392" t="str">
        <f>'Statement of Marks'!HE40</f>
        <v/>
      </c>
      <c r="T38" s="392" t="str">
        <f>'Statement of Marks'!HH40</f>
        <v/>
      </c>
      <c r="U38" s="392" t="str">
        <f>'Statement of Marks'!HK40</f>
        <v/>
      </c>
      <c r="V38" s="318" t="str">
        <f>IF(COUNTIF(K38:U38,"F")&gt;0,"",CONCATENATE('Statement of Marks'!HO40,'Statement of Marks'!HP40,'Statement of Marks'!HQ40))</f>
        <v xml:space="preserve">                  </v>
      </c>
      <c r="BI38" s="6" t="str">
        <f>IFERROR(VLOOKUP(B38,'Statement of Marks'!$B$7:'Statement of Marks'!$IC$206,41,0),"")</f>
        <v/>
      </c>
      <c r="BJ38" s="6" t="str">
        <f>IFERROR(VLOOKUP(B38,'Statement of Marks'!$B$7:'Statement of Marks'!$IC$206,66,0),"")</f>
        <v/>
      </c>
      <c r="BK38" s="6">
        <f>IFERROR(VLOOKUP(B38,'Statement of Marks'!$B$7:'Statement of Marks'!$IC$206,91,0),"")</f>
        <v>0</v>
      </c>
      <c r="BL38" s="6" t="str">
        <f>IFERROR(VLOOKUP(B38,'Statement of Marks'!$B$7:'Statement of Marks'!$IC$206,117,0),"")</f>
        <v/>
      </c>
    </row>
    <row r="39" spans="1:64" ht="21" customHeight="1">
      <c r="A39" s="169">
        <f>IF('Statement of Marks'!A41="","",'Statement of Marks'!A41)</f>
        <v>35</v>
      </c>
      <c r="B39" s="169" t="str">
        <f>IF('Statement of Marks'!B41="","",'Statement of Marks'!B41)</f>
        <v/>
      </c>
      <c r="C39" s="169" t="str">
        <f>IF('Statement of Marks'!D41="","",'Statement of Marks'!D41)</f>
        <v/>
      </c>
      <c r="D39" s="315" t="str">
        <f>IF('Statement of Marks'!E41="","",'Statement of Marks'!E41)</f>
        <v/>
      </c>
      <c r="E39" s="316" t="str">
        <f>IF('Statement of Marks'!F41="","",'Statement of Marks'!F41)</f>
        <v/>
      </c>
      <c r="F39" s="316" t="str">
        <f>IF('Statement of Marks'!G41="","",'Statement of Marks'!G41)</f>
        <v/>
      </c>
      <c r="G39" s="316" t="str">
        <f>IF('Statement of Marks'!H41="","",'Statement of Marks'!H41)</f>
        <v/>
      </c>
      <c r="H39" s="830" t="str">
        <f>IF('Statement of Marks'!HS41="","",'Statement of Marks'!HS41)</f>
        <v/>
      </c>
      <c r="I39" s="172" t="str">
        <f>IF('Statement of Marks'!HV41="","",'Statement of Marks'!HV41)</f>
        <v/>
      </c>
      <c r="J39" s="317" t="str">
        <f>IF('Statement of Marks'!HW41="","",'Statement of Marks'!HW41)</f>
        <v/>
      </c>
      <c r="K39" s="392" t="str">
        <f>'Statement of Marks'!GN41</f>
        <v/>
      </c>
      <c r="L39" s="392" t="str">
        <f>'Statement of Marks'!GQ41</f>
        <v/>
      </c>
      <c r="M39" s="181" t="str">
        <f>'Statement of Marks'!GU41</f>
        <v/>
      </c>
      <c r="N39" s="181" t="str">
        <f>'Statement of Marks'!GV41</f>
        <v/>
      </c>
      <c r="O39" s="181" t="str">
        <f>'Statement of Marks'!GW41</f>
        <v/>
      </c>
      <c r="P39" s="181" t="str">
        <f>'Statement of Marks'!GX41</f>
        <v/>
      </c>
      <c r="Q39" s="181" t="str">
        <f>'Statement of Marks'!GY41</f>
        <v/>
      </c>
      <c r="R39" s="392" t="str">
        <f>'Statement of Marks'!HB41</f>
        <v/>
      </c>
      <c r="S39" s="392" t="str">
        <f>'Statement of Marks'!HE41</f>
        <v/>
      </c>
      <c r="T39" s="392" t="str">
        <f>'Statement of Marks'!HH41</f>
        <v/>
      </c>
      <c r="U39" s="392" t="str">
        <f>'Statement of Marks'!HK41</f>
        <v/>
      </c>
      <c r="V39" s="318" t="str">
        <f>IF(COUNTIF(K39:U39,"F")&gt;0,"",CONCATENATE('Statement of Marks'!HO41,'Statement of Marks'!HP41,'Statement of Marks'!HQ41))</f>
        <v xml:space="preserve">                  </v>
      </c>
      <c r="BI39" s="6" t="str">
        <f>IFERROR(VLOOKUP(B39,'Statement of Marks'!$B$7:'Statement of Marks'!$IC$206,41,0),"")</f>
        <v/>
      </c>
      <c r="BJ39" s="6" t="str">
        <f>IFERROR(VLOOKUP(B39,'Statement of Marks'!$B$7:'Statement of Marks'!$IC$206,66,0),"")</f>
        <v/>
      </c>
      <c r="BK39" s="6">
        <f>IFERROR(VLOOKUP(B39,'Statement of Marks'!$B$7:'Statement of Marks'!$IC$206,91,0),"")</f>
        <v>0</v>
      </c>
      <c r="BL39" s="6" t="str">
        <f>IFERROR(VLOOKUP(B39,'Statement of Marks'!$B$7:'Statement of Marks'!$IC$206,117,0),"")</f>
        <v/>
      </c>
    </row>
    <row r="40" spans="1:64" ht="21" customHeight="1">
      <c r="A40" s="169">
        <f>IF('Statement of Marks'!A42="","",'Statement of Marks'!A42)</f>
        <v>36</v>
      </c>
      <c r="B40" s="169" t="str">
        <f>IF('Statement of Marks'!B42="","",'Statement of Marks'!B42)</f>
        <v/>
      </c>
      <c r="C40" s="169" t="str">
        <f>IF('Statement of Marks'!D42="","",'Statement of Marks'!D42)</f>
        <v/>
      </c>
      <c r="D40" s="315" t="str">
        <f>IF('Statement of Marks'!E42="","",'Statement of Marks'!E42)</f>
        <v/>
      </c>
      <c r="E40" s="316" t="str">
        <f>IF('Statement of Marks'!F42="","",'Statement of Marks'!F42)</f>
        <v/>
      </c>
      <c r="F40" s="316" t="str">
        <f>IF('Statement of Marks'!G42="","",'Statement of Marks'!G42)</f>
        <v/>
      </c>
      <c r="G40" s="316" t="str">
        <f>IF('Statement of Marks'!H42="","",'Statement of Marks'!H42)</f>
        <v/>
      </c>
      <c r="H40" s="830" t="str">
        <f>IF('Statement of Marks'!HS42="","",'Statement of Marks'!HS42)</f>
        <v/>
      </c>
      <c r="I40" s="172" t="str">
        <f>IF('Statement of Marks'!HV42="","",'Statement of Marks'!HV42)</f>
        <v/>
      </c>
      <c r="J40" s="317" t="str">
        <f>IF('Statement of Marks'!HW42="","",'Statement of Marks'!HW42)</f>
        <v/>
      </c>
      <c r="K40" s="392" t="str">
        <f>'Statement of Marks'!GN42</f>
        <v/>
      </c>
      <c r="L40" s="392" t="str">
        <f>'Statement of Marks'!GQ42</f>
        <v/>
      </c>
      <c r="M40" s="181" t="str">
        <f>'Statement of Marks'!GU42</f>
        <v/>
      </c>
      <c r="N40" s="181" t="str">
        <f>'Statement of Marks'!GV42</f>
        <v/>
      </c>
      <c r="O40" s="181" t="str">
        <f>'Statement of Marks'!GW42</f>
        <v/>
      </c>
      <c r="P40" s="181" t="str">
        <f>'Statement of Marks'!GX42</f>
        <v/>
      </c>
      <c r="Q40" s="181" t="str">
        <f>'Statement of Marks'!GY42</f>
        <v/>
      </c>
      <c r="R40" s="392" t="str">
        <f>'Statement of Marks'!HB42</f>
        <v/>
      </c>
      <c r="S40" s="392" t="str">
        <f>'Statement of Marks'!HE42</f>
        <v/>
      </c>
      <c r="T40" s="392" t="str">
        <f>'Statement of Marks'!HH42</f>
        <v/>
      </c>
      <c r="U40" s="392" t="str">
        <f>'Statement of Marks'!HK42</f>
        <v/>
      </c>
      <c r="V40" s="318" t="str">
        <f>IF(COUNTIF(K40:U40,"F")&gt;0,"",CONCATENATE('Statement of Marks'!HO42,'Statement of Marks'!HP42,'Statement of Marks'!HQ42))</f>
        <v xml:space="preserve">                  </v>
      </c>
      <c r="BI40" s="6" t="str">
        <f>IFERROR(VLOOKUP(B40,'Statement of Marks'!$B$7:'Statement of Marks'!$IC$206,41,0),"")</f>
        <v/>
      </c>
      <c r="BJ40" s="6" t="str">
        <f>IFERROR(VLOOKUP(B40,'Statement of Marks'!$B$7:'Statement of Marks'!$IC$206,66,0),"")</f>
        <v/>
      </c>
      <c r="BK40" s="6">
        <f>IFERROR(VLOOKUP(B40,'Statement of Marks'!$B$7:'Statement of Marks'!$IC$206,91,0),"")</f>
        <v>0</v>
      </c>
      <c r="BL40" s="6" t="str">
        <f>IFERROR(VLOOKUP(B40,'Statement of Marks'!$B$7:'Statement of Marks'!$IC$206,117,0),"")</f>
        <v/>
      </c>
    </row>
    <row r="41" spans="1:64" ht="21" customHeight="1">
      <c r="A41" s="169">
        <f>IF('Statement of Marks'!A43="","",'Statement of Marks'!A43)</f>
        <v>37</v>
      </c>
      <c r="B41" s="169" t="str">
        <f>IF('Statement of Marks'!B43="","",'Statement of Marks'!B43)</f>
        <v/>
      </c>
      <c r="C41" s="169" t="str">
        <f>IF('Statement of Marks'!D43="","",'Statement of Marks'!D43)</f>
        <v/>
      </c>
      <c r="D41" s="315" t="str">
        <f>IF('Statement of Marks'!E43="","",'Statement of Marks'!E43)</f>
        <v/>
      </c>
      <c r="E41" s="316" t="str">
        <f>IF('Statement of Marks'!F43="","",'Statement of Marks'!F43)</f>
        <v/>
      </c>
      <c r="F41" s="316" t="str">
        <f>IF('Statement of Marks'!G43="","",'Statement of Marks'!G43)</f>
        <v/>
      </c>
      <c r="G41" s="316" t="str">
        <f>IF('Statement of Marks'!H43="","",'Statement of Marks'!H43)</f>
        <v/>
      </c>
      <c r="H41" s="830" t="str">
        <f>IF('Statement of Marks'!HS43="","",'Statement of Marks'!HS43)</f>
        <v/>
      </c>
      <c r="I41" s="172" t="str">
        <f>IF('Statement of Marks'!HV43="","",'Statement of Marks'!HV43)</f>
        <v/>
      </c>
      <c r="J41" s="317" t="str">
        <f>IF('Statement of Marks'!HW43="","",'Statement of Marks'!HW43)</f>
        <v/>
      </c>
      <c r="K41" s="392" t="str">
        <f>'Statement of Marks'!GN43</f>
        <v/>
      </c>
      <c r="L41" s="392" t="str">
        <f>'Statement of Marks'!GQ43</f>
        <v/>
      </c>
      <c r="M41" s="181" t="str">
        <f>'Statement of Marks'!GU43</f>
        <v/>
      </c>
      <c r="N41" s="181" t="str">
        <f>'Statement of Marks'!GV43</f>
        <v/>
      </c>
      <c r="O41" s="181" t="str">
        <f>'Statement of Marks'!GW43</f>
        <v/>
      </c>
      <c r="P41" s="181" t="str">
        <f>'Statement of Marks'!GX43</f>
        <v/>
      </c>
      <c r="Q41" s="181" t="str">
        <f>'Statement of Marks'!GY43</f>
        <v/>
      </c>
      <c r="R41" s="392" t="str">
        <f>'Statement of Marks'!HB43</f>
        <v/>
      </c>
      <c r="S41" s="392" t="str">
        <f>'Statement of Marks'!HE43</f>
        <v/>
      </c>
      <c r="T41" s="392" t="str">
        <f>'Statement of Marks'!HH43</f>
        <v/>
      </c>
      <c r="U41" s="392" t="str">
        <f>'Statement of Marks'!HK43</f>
        <v/>
      </c>
      <c r="V41" s="318" t="str">
        <f>IF(COUNTIF(K41:U41,"F")&gt;0,"",CONCATENATE('Statement of Marks'!HO43,'Statement of Marks'!HP43,'Statement of Marks'!HQ43))</f>
        <v xml:space="preserve">                  </v>
      </c>
      <c r="BI41" s="6" t="str">
        <f>IFERROR(VLOOKUP(B41,'Statement of Marks'!$B$7:'Statement of Marks'!$IC$206,41,0),"")</f>
        <v/>
      </c>
      <c r="BJ41" s="6" t="str">
        <f>IFERROR(VLOOKUP(B41,'Statement of Marks'!$B$7:'Statement of Marks'!$IC$206,66,0),"")</f>
        <v/>
      </c>
      <c r="BK41" s="6">
        <f>IFERROR(VLOOKUP(B41,'Statement of Marks'!$B$7:'Statement of Marks'!$IC$206,91,0),"")</f>
        <v>0</v>
      </c>
      <c r="BL41" s="6" t="str">
        <f>IFERROR(VLOOKUP(B41,'Statement of Marks'!$B$7:'Statement of Marks'!$IC$206,117,0),"")</f>
        <v/>
      </c>
    </row>
    <row r="42" spans="1:64" ht="21" customHeight="1">
      <c r="A42" s="169">
        <f>IF('Statement of Marks'!A44="","",'Statement of Marks'!A44)</f>
        <v>38</v>
      </c>
      <c r="B42" s="169" t="str">
        <f>IF('Statement of Marks'!B44="","",'Statement of Marks'!B44)</f>
        <v/>
      </c>
      <c r="C42" s="169" t="str">
        <f>IF('Statement of Marks'!D44="","",'Statement of Marks'!D44)</f>
        <v/>
      </c>
      <c r="D42" s="315" t="str">
        <f>IF('Statement of Marks'!E44="","",'Statement of Marks'!E44)</f>
        <v/>
      </c>
      <c r="E42" s="316" t="str">
        <f>IF('Statement of Marks'!F44="","",'Statement of Marks'!F44)</f>
        <v/>
      </c>
      <c r="F42" s="316" t="str">
        <f>IF('Statement of Marks'!G44="","",'Statement of Marks'!G44)</f>
        <v/>
      </c>
      <c r="G42" s="316" t="str">
        <f>IF('Statement of Marks'!H44="","",'Statement of Marks'!H44)</f>
        <v/>
      </c>
      <c r="H42" s="830" t="str">
        <f>IF('Statement of Marks'!HS44="","",'Statement of Marks'!HS44)</f>
        <v/>
      </c>
      <c r="I42" s="172" t="str">
        <f>IF('Statement of Marks'!HV44="","",'Statement of Marks'!HV44)</f>
        <v/>
      </c>
      <c r="J42" s="317" t="str">
        <f>IF('Statement of Marks'!HW44="","",'Statement of Marks'!HW44)</f>
        <v/>
      </c>
      <c r="K42" s="392" t="str">
        <f>'Statement of Marks'!GN44</f>
        <v/>
      </c>
      <c r="L42" s="392" t="str">
        <f>'Statement of Marks'!GQ44</f>
        <v/>
      </c>
      <c r="M42" s="181" t="str">
        <f>'Statement of Marks'!GU44</f>
        <v/>
      </c>
      <c r="N42" s="181" t="str">
        <f>'Statement of Marks'!GV44</f>
        <v/>
      </c>
      <c r="O42" s="181" t="str">
        <f>'Statement of Marks'!GW44</f>
        <v/>
      </c>
      <c r="P42" s="181" t="str">
        <f>'Statement of Marks'!GX44</f>
        <v/>
      </c>
      <c r="Q42" s="181" t="str">
        <f>'Statement of Marks'!GY44</f>
        <v/>
      </c>
      <c r="R42" s="392" t="str">
        <f>'Statement of Marks'!HB44</f>
        <v/>
      </c>
      <c r="S42" s="392" t="str">
        <f>'Statement of Marks'!HE44</f>
        <v/>
      </c>
      <c r="T42" s="392" t="str">
        <f>'Statement of Marks'!HH44</f>
        <v/>
      </c>
      <c r="U42" s="392" t="str">
        <f>'Statement of Marks'!HK44</f>
        <v/>
      </c>
      <c r="V42" s="318" t="str">
        <f>IF(COUNTIF(K42:U42,"F")&gt;0,"",CONCATENATE('Statement of Marks'!HO44,'Statement of Marks'!HP44,'Statement of Marks'!HQ44))</f>
        <v xml:space="preserve">                  </v>
      </c>
      <c r="BI42" s="6" t="str">
        <f>IFERROR(VLOOKUP(B42,'Statement of Marks'!$B$7:'Statement of Marks'!$IC$206,41,0),"")</f>
        <v/>
      </c>
      <c r="BJ42" s="6" t="str">
        <f>IFERROR(VLOOKUP(B42,'Statement of Marks'!$B$7:'Statement of Marks'!$IC$206,66,0),"")</f>
        <v/>
      </c>
      <c r="BK42" s="6">
        <f>IFERROR(VLOOKUP(B42,'Statement of Marks'!$B$7:'Statement of Marks'!$IC$206,91,0),"")</f>
        <v>0</v>
      </c>
      <c r="BL42" s="6" t="str">
        <f>IFERROR(VLOOKUP(B42,'Statement of Marks'!$B$7:'Statement of Marks'!$IC$206,117,0),"")</f>
        <v/>
      </c>
    </row>
    <row r="43" spans="1:64" ht="21" customHeight="1">
      <c r="A43" s="169">
        <f>IF('Statement of Marks'!A45="","",'Statement of Marks'!A45)</f>
        <v>39</v>
      </c>
      <c r="B43" s="169" t="str">
        <f>IF('Statement of Marks'!B45="","",'Statement of Marks'!B45)</f>
        <v/>
      </c>
      <c r="C43" s="169" t="str">
        <f>IF('Statement of Marks'!D45="","",'Statement of Marks'!D45)</f>
        <v/>
      </c>
      <c r="D43" s="315" t="str">
        <f>IF('Statement of Marks'!E45="","",'Statement of Marks'!E45)</f>
        <v/>
      </c>
      <c r="E43" s="316" t="str">
        <f>IF('Statement of Marks'!F45="","",'Statement of Marks'!F45)</f>
        <v/>
      </c>
      <c r="F43" s="316" t="str">
        <f>IF('Statement of Marks'!G45="","",'Statement of Marks'!G45)</f>
        <v/>
      </c>
      <c r="G43" s="316" t="str">
        <f>IF('Statement of Marks'!H45="","",'Statement of Marks'!H45)</f>
        <v/>
      </c>
      <c r="H43" s="830" t="str">
        <f>IF('Statement of Marks'!HS45="","",'Statement of Marks'!HS45)</f>
        <v/>
      </c>
      <c r="I43" s="172" t="str">
        <f>IF('Statement of Marks'!HV45="","",'Statement of Marks'!HV45)</f>
        <v/>
      </c>
      <c r="J43" s="317" t="str">
        <f>IF('Statement of Marks'!HW45="","",'Statement of Marks'!HW45)</f>
        <v/>
      </c>
      <c r="K43" s="392" t="str">
        <f>'Statement of Marks'!GN45</f>
        <v/>
      </c>
      <c r="L43" s="392" t="str">
        <f>'Statement of Marks'!GQ45</f>
        <v/>
      </c>
      <c r="M43" s="181" t="str">
        <f>'Statement of Marks'!GU45</f>
        <v/>
      </c>
      <c r="N43" s="181" t="str">
        <f>'Statement of Marks'!GV45</f>
        <v/>
      </c>
      <c r="O43" s="181" t="str">
        <f>'Statement of Marks'!GW45</f>
        <v/>
      </c>
      <c r="P43" s="181" t="str">
        <f>'Statement of Marks'!GX45</f>
        <v/>
      </c>
      <c r="Q43" s="181" t="str">
        <f>'Statement of Marks'!GY45</f>
        <v/>
      </c>
      <c r="R43" s="392" t="str">
        <f>'Statement of Marks'!HB45</f>
        <v/>
      </c>
      <c r="S43" s="392" t="str">
        <f>'Statement of Marks'!HE45</f>
        <v/>
      </c>
      <c r="T43" s="392" t="str">
        <f>'Statement of Marks'!HH45</f>
        <v/>
      </c>
      <c r="U43" s="392" t="str">
        <f>'Statement of Marks'!HK45</f>
        <v/>
      </c>
      <c r="V43" s="318" t="str">
        <f>IF(COUNTIF(K43:U43,"F")&gt;0,"",CONCATENATE('Statement of Marks'!HO45,'Statement of Marks'!HP45,'Statement of Marks'!HQ45))</f>
        <v xml:space="preserve">                  </v>
      </c>
      <c r="BI43" s="6" t="str">
        <f>IFERROR(VLOOKUP(B43,'Statement of Marks'!$B$7:'Statement of Marks'!$IC$206,41,0),"")</f>
        <v/>
      </c>
      <c r="BJ43" s="6" t="str">
        <f>IFERROR(VLOOKUP(B43,'Statement of Marks'!$B$7:'Statement of Marks'!$IC$206,66,0),"")</f>
        <v/>
      </c>
      <c r="BK43" s="6">
        <f>IFERROR(VLOOKUP(B43,'Statement of Marks'!$B$7:'Statement of Marks'!$IC$206,91,0),"")</f>
        <v>0</v>
      </c>
      <c r="BL43" s="6" t="str">
        <f>IFERROR(VLOOKUP(B43,'Statement of Marks'!$B$7:'Statement of Marks'!$IC$206,117,0),"")</f>
        <v/>
      </c>
    </row>
    <row r="44" spans="1:64" ht="21" customHeight="1">
      <c r="A44" s="169">
        <f>IF('Statement of Marks'!A46="","",'Statement of Marks'!A46)</f>
        <v>40</v>
      </c>
      <c r="B44" s="169" t="str">
        <f>IF('Statement of Marks'!B46="","",'Statement of Marks'!B46)</f>
        <v/>
      </c>
      <c r="C44" s="169" t="str">
        <f>IF('Statement of Marks'!D46="","",'Statement of Marks'!D46)</f>
        <v/>
      </c>
      <c r="D44" s="315" t="str">
        <f>IF('Statement of Marks'!E46="","",'Statement of Marks'!E46)</f>
        <v/>
      </c>
      <c r="E44" s="316" t="str">
        <f>IF('Statement of Marks'!F46="","",'Statement of Marks'!F46)</f>
        <v/>
      </c>
      <c r="F44" s="316" t="str">
        <f>IF('Statement of Marks'!G46="","",'Statement of Marks'!G46)</f>
        <v/>
      </c>
      <c r="G44" s="316" t="str">
        <f>IF('Statement of Marks'!H46="","",'Statement of Marks'!H46)</f>
        <v/>
      </c>
      <c r="H44" s="830" t="str">
        <f>IF('Statement of Marks'!HS46="","",'Statement of Marks'!HS46)</f>
        <v/>
      </c>
      <c r="I44" s="172" t="str">
        <f>IF('Statement of Marks'!HV46="","",'Statement of Marks'!HV46)</f>
        <v/>
      </c>
      <c r="J44" s="317" t="str">
        <f>IF('Statement of Marks'!HW46="","",'Statement of Marks'!HW46)</f>
        <v/>
      </c>
      <c r="K44" s="392" t="str">
        <f>'Statement of Marks'!GN46</f>
        <v/>
      </c>
      <c r="L44" s="392" t="str">
        <f>'Statement of Marks'!GQ46</f>
        <v/>
      </c>
      <c r="M44" s="181" t="str">
        <f>'Statement of Marks'!GU46</f>
        <v/>
      </c>
      <c r="N44" s="181" t="str">
        <f>'Statement of Marks'!GV46</f>
        <v/>
      </c>
      <c r="O44" s="181" t="str">
        <f>'Statement of Marks'!GW46</f>
        <v/>
      </c>
      <c r="P44" s="181" t="str">
        <f>'Statement of Marks'!GX46</f>
        <v/>
      </c>
      <c r="Q44" s="181" t="str">
        <f>'Statement of Marks'!GY46</f>
        <v/>
      </c>
      <c r="R44" s="392" t="str">
        <f>'Statement of Marks'!HB46</f>
        <v/>
      </c>
      <c r="S44" s="392" t="str">
        <f>'Statement of Marks'!HE46</f>
        <v/>
      </c>
      <c r="T44" s="392" t="str">
        <f>'Statement of Marks'!HH46</f>
        <v/>
      </c>
      <c r="U44" s="392" t="str">
        <f>'Statement of Marks'!HK46</f>
        <v/>
      </c>
      <c r="V44" s="318" t="str">
        <f>IF(COUNTIF(K44:U44,"F")&gt;0,"",CONCATENATE('Statement of Marks'!HO46,'Statement of Marks'!HP46,'Statement of Marks'!HQ46))</f>
        <v xml:space="preserve">                  </v>
      </c>
      <c r="BI44" s="6" t="str">
        <f>IFERROR(VLOOKUP(B44,'Statement of Marks'!$B$7:'Statement of Marks'!$IC$206,41,0),"")</f>
        <v/>
      </c>
      <c r="BJ44" s="6" t="str">
        <f>IFERROR(VLOOKUP(B44,'Statement of Marks'!$B$7:'Statement of Marks'!$IC$206,66,0),"")</f>
        <v/>
      </c>
      <c r="BK44" s="6">
        <f>IFERROR(VLOOKUP(B44,'Statement of Marks'!$B$7:'Statement of Marks'!$IC$206,91,0),"")</f>
        <v>0</v>
      </c>
      <c r="BL44" s="6" t="str">
        <f>IFERROR(VLOOKUP(B44,'Statement of Marks'!$B$7:'Statement of Marks'!$IC$206,117,0),"")</f>
        <v/>
      </c>
    </row>
    <row r="45" spans="1:64" ht="21" customHeight="1">
      <c r="A45" s="169">
        <f>IF('Statement of Marks'!A47="","",'Statement of Marks'!A47)</f>
        <v>41</v>
      </c>
      <c r="B45" s="169" t="str">
        <f>IF('Statement of Marks'!B47="","",'Statement of Marks'!B47)</f>
        <v/>
      </c>
      <c r="C45" s="169" t="str">
        <f>IF('Statement of Marks'!D47="","",'Statement of Marks'!D47)</f>
        <v/>
      </c>
      <c r="D45" s="315" t="str">
        <f>IF('Statement of Marks'!E47="","",'Statement of Marks'!E47)</f>
        <v/>
      </c>
      <c r="E45" s="316" t="str">
        <f>IF('Statement of Marks'!F47="","",'Statement of Marks'!F47)</f>
        <v/>
      </c>
      <c r="F45" s="316" t="str">
        <f>IF('Statement of Marks'!G47="","",'Statement of Marks'!G47)</f>
        <v/>
      </c>
      <c r="G45" s="316" t="str">
        <f>IF('Statement of Marks'!H47="","",'Statement of Marks'!H47)</f>
        <v/>
      </c>
      <c r="H45" s="830" t="str">
        <f>IF('Statement of Marks'!HS47="","",'Statement of Marks'!HS47)</f>
        <v/>
      </c>
      <c r="I45" s="172" t="str">
        <f>IF('Statement of Marks'!HV47="","",'Statement of Marks'!HV47)</f>
        <v/>
      </c>
      <c r="J45" s="317" t="str">
        <f>IF('Statement of Marks'!HW47="","",'Statement of Marks'!HW47)</f>
        <v/>
      </c>
      <c r="K45" s="392" t="str">
        <f>'Statement of Marks'!GN47</f>
        <v/>
      </c>
      <c r="L45" s="392" t="str">
        <f>'Statement of Marks'!GQ47</f>
        <v/>
      </c>
      <c r="M45" s="181" t="str">
        <f>'Statement of Marks'!GU47</f>
        <v/>
      </c>
      <c r="N45" s="181" t="str">
        <f>'Statement of Marks'!GV47</f>
        <v/>
      </c>
      <c r="O45" s="181" t="str">
        <f>'Statement of Marks'!GW47</f>
        <v/>
      </c>
      <c r="P45" s="181" t="str">
        <f>'Statement of Marks'!GX47</f>
        <v/>
      </c>
      <c r="Q45" s="181" t="str">
        <f>'Statement of Marks'!GY47</f>
        <v/>
      </c>
      <c r="R45" s="392" t="str">
        <f>'Statement of Marks'!HB47</f>
        <v/>
      </c>
      <c r="S45" s="392" t="str">
        <f>'Statement of Marks'!HE47</f>
        <v/>
      </c>
      <c r="T45" s="392" t="str">
        <f>'Statement of Marks'!HH47</f>
        <v/>
      </c>
      <c r="U45" s="392" t="str">
        <f>'Statement of Marks'!HK47</f>
        <v/>
      </c>
      <c r="V45" s="318" t="str">
        <f>IF(COUNTIF(K45:U45,"F")&gt;0,"",CONCATENATE('Statement of Marks'!HO47,'Statement of Marks'!HP47,'Statement of Marks'!HQ47))</f>
        <v xml:space="preserve">                  </v>
      </c>
      <c r="BI45" s="6" t="str">
        <f>IFERROR(VLOOKUP(B45,'Statement of Marks'!$B$7:'Statement of Marks'!$IC$206,41,0),"")</f>
        <v/>
      </c>
      <c r="BJ45" s="6" t="str">
        <f>IFERROR(VLOOKUP(B45,'Statement of Marks'!$B$7:'Statement of Marks'!$IC$206,66,0),"")</f>
        <v/>
      </c>
      <c r="BK45" s="6">
        <f>IFERROR(VLOOKUP(B45,'Statement of Marks'!$B$7:'Statement of Marks'!$IC$206,91,0),"")</f>
        <v>0</v>
      </c>
      <c r="BL45" s="6" t="str">
        <f>IFERROR(VLOOKUP(B45,'Statement of Marks'!$B$7:'Statement of Marks'!$IC$206,117,0),"")</f>
        <v/>
      </c>
    </row>
    <row r="46" spans="1:64" ht="21" customHeight="1">
      <c r="A46" s="169">
        <f>IF('Statement of Marks'!A48="","",'Statement of Marks'!A48)</f>
        <v>42</v>
      </c>
      <c r="B46" s="169" t="str">
        <f>IF('Statement of Marks'!B48="","",'Statement of Marks'!B48)</f>
        <v/>
      </c>
      <c r="C46" s="169" t="str">
        <f>IF('Statement of Marks'!D48="","",'Statement of Marks'!D48)</f>
        <v/>
      </c>
      <c r="D46" s="315" t="str">
        <f>IF('Statement of Marks'!E48="","",'Statement of Marks'!E48)</f>
        <v/>
      </c>
      <c r="E46" s="316" t="str">
        <f>IF('Statement of Marks'!F48="","",'Statement of Marks'!F48)</f>
        <v/>
      </c>
      <c r="F46" s="316" t="str">
        <f>IF('Statement of Marks'!G48="","",'Statement of Marks'!G48)</f>
        <v/>
      </c>
      <c r="G46" s="316" t="str">
        <f>IF('Statement of Marks'!H48="","",'Statement of Marks'!H48)</f>
        <v/>
      </c>
      <c r="H46" s="830" t="str">
        <f>IF('Statement of Marks'!HS48="","",'Statement of Marks'!HS48)</f>
        <v/>
      </c>
      <c r="I46" s="172" t="str">
        <f>IF('Statement of Marks'!HV48="","",'Statement of Marks'!HV48)</f>
        <v/>
      </c>
      <c r="J46" s="317" t="str">
        <f>IF('Statement of Marks'!HW48="","",'Statement of Marks'!HW48)</f>
        <v/>
      </c>
      <c r="K46" s="392" t="str">
        <f>'Statement of Marks'!GN48</f>
        <v/>
      </c>
      <c r="L46" s="392" t="str">
        <f>'Statement of Marks'!GQ48</f>
        <v/>
      </c>
      <c r="M46" s="181" t="str">
        <f>'Statement of Marks'!GU48</f>
        <v/>
      </c>
      <c r="N46" s="181" t="str">
        <f>'Statement of Marks'!GV48</f>
        <v/>
      </c>
      <c r="O46" s="181" t="str">
        <f>'Statement of Marks'!GW48</f>
        <v/>
      </c>
      <c r="P46" s="181" t="str">
        <f>'Statement of Marks'!GX48</f>
        <v/>
      </c>
      <c r="Q46" s="181" t="str">
        <f>'Statement of Marks'!GY48</f>
        <v/>
      </c>
      <c r="R46" s="392" t="str">
        <f>'Statement of Marks'!HB48</f>
        <v/>
      </c>
      <c r="S46" s="392" t="str">
        <f>'Statement of Marks'!HE48</f>
        <v/>
      </c>
      <c r="T46" s="392" t="str">
        <f>'Statement of Marks'!HH48</f>
        <v/>
      </c>
      <c r="U46" s="392" t="str">
        <f>'Statement of Marks'!HK48</f>
        <v/>
      </c>
      <c r="V46" s="318" t="str">
        <f>IF(COUNTIF(K46:U46,"F")&gt;0,"",CONCATENATE('Statement of Marks'!HO48,'Statement of Marks'!HP48,'Statement of Marks'!HQ48))</f>
        <v xml:space="preserve">                  </v>
      </c>
      <c r="BI46" s="6" t="str">
        <f>IFERROR(VLOOKUP(B46,'Statement of Marks'!$B$7:'Statement of Marks'!$IC$206,41,0),"")</f>
        <v/>
      </c>
      <c r="BJ46" s="6" t="str">
        <f>IFERROR(VLOOKUP(B46,'Statement of Marks'!$B$7:'Statement of Marks'!$IC$206,66,0),"")</f>
        <v/>
      </c>
      <c r="BK46" s="6">
        <f>IFERROR(VLOOKUP(B46,'Statement of Marks'!$B$7:'Statement of Marks'!$IC$206,91,0),"")</f>
        <v>0</v>
      </c>
      <c r="BL46" s="6" t="str">
        <f>IFERROR(VLOOKUP(B46,'Statement of Marks'!$B$7:'Statement of Marks'!$IC$206,117,0),"")</f>
        <v/>
      </c>
    </row>
    <row r="47" spans="1:64" ht="21" customHeight="1">
      <c r="A47" s="169">
        <f>IF('Statement of Marks'!A49="","",'Statement of Marks'!A49)</f>
        <v>43</v>
      </c>
      <c r="B47" s="169" t="str">
        <f>IF('Statement of Marks'!B49="","",'Statement of Marks'!B49)</f>
        <v/>
      </c>
      <c r="C47" s="169" t="str">
        <f>IF('Statement of Marks'!D49="","",'Statement of Marks'!D49)</f>
        <v/>
      </c>
      <c r="D47" s="315" t="str">
        <f>IF('Statement of Marks'!E49="","",'Statement of Marks'!E49)</f>
        <v/>
      </c>
      <c r="E47" s="316" t="str">
        <f>IF('Statement of Marks'!F49="","",'Statement of Marks'!F49)</f>
        <v/>
      </c>
      <c r="F47" s="316" t="str">
        <f>IF('Statement of Marks'!G49="","",'Statement of Marks'!G49)</f>
        <v/>
      </c>
      <c r="G47" s="316" t="str">
        <f>IF('Statement of Marks'!H49="","",'Statement of Marks'!H49)</f>
        <v/>
      </c>
      <c r="H47" s="830" t="str">
        <f>IF('Statement of Marks'!HS49="","",'Statement of Marks'!HS49)</f>
        <v/>
      </c>
      <c r="I47" s="172" t="str">
        <f>IF('Statement of Marks'!HV49="","",'Statement of Marks'!HV49)</f>
        <v/>
      </c>
      <c r="J47" s="317" t="str">
        <f>IF('Statement of Marks'!HW49="","",'Statement of Marks'!HW49)</f>
        <v/>
      </c>
      <c r="K47" s="392" t="str">
        <f>'Statement of Marks'!GN49</f>
        <v/>
      </c>
      <c r="L47" s="392" t="str">
        <f>'Statement of Marks'!GQ49</f>
        <v/>
      </c>
      <c r="M47" s="181" t="str">
        <f>'Statement of Marks'!GU49</f>
        <v/>
      </c>
      <c r="N47" s="181" t="str">
        <f>'Statement of Marks'!GV49</f>
        <v/>
      </c>
      <c r="O47" s="181" t="str">
        <f>'Statement of Marks'!GW49</f>
        <v/>
      </c>
      <c r="P47" s="181" t="str">
        <f>'Statement of Marks'!GX49</f>
        <v/>
      </c>
      <c r="Q47" s="181" t="str">
        <f>'Statement of Marks'!GY49</f>
        <v/>
      </c>
      <c r="R47" s="392" t="str">
        <f>'Statement of Marks'!HB49</f>
        <v/>
      </c>
      <c r="S47" s="392" t="str">
        <f>'Statement of Marks'!HE49</f>
        <v/>
      </c>
      <c r="T47" s="392" t="str">
        <f>'Statement of Marks'!HH49</f>
        <v/>
      </c>
      <c r="U47" s="392" t="str">
        <f>'Statement of Marks'!HK49</f>
        <v/>
      </c>
      <c r="V47" s="318" t="str">
        <f>IF(COUNTIF(K47:U47,"F")&gt;0,"",CONCATENATE('Statement of Marks'!HO49,'Statement of Marks'!HP49,'Statement of Marks'!HQ49))</f>
        <v xml:space="preserve">                  </v>
      </c>
      <c r="BI47" s="6" t="str">
        <f>IFERROR(VLOOKUP(B47,'Statement of Marks'!$B$7:'Statement of Marks'!$IC$206,41,0),"")</f>
        <v/>
      </c>
      <c r="BJ47" s="6" t="str">
        <f>IFERROR(VLOOKUP(B47,'Statement of Marks'!$B$7:'Statement of Marks'!$IC$206,66,0),"")</f>
        <v/>
      </c>
      <c r="BK47" s="6">
        <f>IFERROR(VLOOKUP(B47,'Statement of Marks'!$B$7:'Statement of Marks'!$IC$206,91,0),"")</f>
        <v>0</v>
      </c>
      <c r="BL47" s="6" t="str">
        <f>IFERROR(VLOOKUP(B47,'Statement of Marks'!$B$7:'Statement of Marks'!$IC$206,117,0),"")</f>
        <v/>
      </c>
    </row>
    <row r="48" spans="1:64" ht="21" customHeight="1">
      <c r="A48" s="169">
        <f>IF('Statement of Marks'!A50="","",'Statement of Marks'!A50)</f>
        <v>44</v>
      </c>
      <c r="B48" s="169" t="str">
        <f>IF('Statement of Marks'!B50="","",'Statement of Marks'!B50)</f>
        <v/>
      </c>
      <c r="C48" s="169" t="str">
        <f>IF('Statement of Marks'!D50="","",'Statement of Marks'!D50)</f>
        <v/>
      </c>
      <c r="D48" s="315" t="str">
        <f>IF('Statement of Marks'!E50="","",'Statement of Marks'!E50)</f>
        <v/>
      </c>
      <c r="E48" s="316" t="str">
        <f>IF('Statement of Marks'!F50="","",'Statement of Marks'!F50)</f>
        <v/>
      </c>
      <c r="F48" s="316" t="str">
        <f>IF('Statement of Marks'!G50="","",'Statement of Marks'!G50)</f>
        <v/>
      </c>
      <c r="G48" s="316" t="str">
        <f>IF('Statement of Marks'!H50="","",'Statement of Marks'!H50)</f>
        <v/>
      </c>
      <c r="H48" s="830" t="str">
        <f>IF('Statement of Marks'!HS50="","",'Statement of Marks'!HS50)</f>
        <v/>
      </c>
      <c r="I48" s="172" t="str">
        <f>IF('Statement of Marks'!HV50="","",'Statement of Marks'!HV50)</f>
        <v/>
      </c>
      <c r="J48" s="317" t="str">
        <f>IF('Statement of Marks'!HW50="","",'Statement of Marks'!HW50)</f>
        <v/>
      </c>
      <c r="K48" s="392" t="str">
        <f>'Statement of Marks'!GN50</f>
        <v/>
      </c>
      <c r="L48" s="392" t="str">
        <f>'Statement of Marks'!GQ50</f>
        <v/>
      </c>
      <c r="M48" s="181" t="str">
        <f>'Statement of Marks'!GU50</f>
        <v/>
      </c>
      <c r="N48" s="181" t="str">
        <f>'Statement of Marks'!GV50</f>
        <v/>
      </c>
      <c r="O48" s="181" t="str">
        <f>'Statement of Marks'!GW50</f>
        <v/>
      </c>
      <c r="P48" s="181" t="str">
        <f>'Statement of Marks'!GX50</f>
        <v/>
      </c>
      <c r="Q48" s="181" t="str">
        <f>'Statement of Marks'!GY50</f>
        <v/>
      </c>
      <c r="R48" s="392" t="str">
        <f>'Statement of Marks'!HB50</f>
        <v/>
      </c>
      <c r="S48" s="392" t="str">
        <f>'Statement of Marks'!HE50</f>
        <v/>
      </c>
      <c r="T48" s="392" t="str">
        <f>'Statement of Marks'!HH50</f>
        <v/>
      </c>
      <c r="U48" s="392" t="str">
        <f>'Statement of Marks'!HK50</f>
        <v/>
      </c>
      <c r="V48" s="318" t="str">
        <f>IF(COUNTIF(K48:U48,"F")&gt;0,"",CONCATENATE('Statement of Marks'!HO50,'Statement of Marks'!HP50,'Statement of Marks'!HQ50))</f>
        <v xml:space="preserve">                  </v>
      </c>
      <c r="BI48" s="6" t="str">
        <f>IFERROR(VLOOKUP(B48,'Statement of Marks'!$B$7:'Statement of Marks'!$IC$206,41,0),"")</f>
        <v/>
      </c>
      <c r="BJ48" s="6" t="str">
        <f>IFERROR(VLOOKUP(B48,'Statement of Marks'!$B$7:'Statement of Marks'!$IC$206,66,0),"")</f>
        <v/>
      </c>
      <c r="BK48" s="6">
        <f>IFERROR(VLOOKUP(B48,'Statement of Marks'!$B$7:'Statement of Marks'!$IC$206,91,0),"")</f>
        <v>0</v>
      </c>
      <c r="BL48" s="6" t="str">
        <f>IFERROR(VLOOKUP(B48,'Statement of Marks'!$B$7:'Statement of Marks'!$IC$206,117,0),"")</f>
        <v/>
      </c>
    </row>
    <row r="49" spans="1:64" ht="21" customHeight="1">
      <c r="A49" s="169">
        <f>IF('Statement of Marks'!A51="","",'Statement of Marks'!A51)</f>
        <v>45</v>
      </c>
      <c r="B49" s="169" t="str">
        <f>IF('Statement of Marks'!B51="","",'Statement of Marks'!B51)</f>
        <v/>
      </c>
      <c r="C49" s="169" t="str">
        <f>IF('Statement of Marks'!D51="","",'Statement of Marks'!D51)</f>
        <v/>
      </c>
      <c r="D49" s="315" t="str">
        <f>IF('Statement of Marks'!E51="","",'Statement of Marks'!E51)</f>
        <v/>
      </c>
      <c r="E49" s="316" t="str">
        <f>IF('Statement of Marks'!F51="","",'Statement of Marks'!F51)</f>
        <v/>
      </c>
      <c r="F49" s="316" t="str">
        <f>IF('Statement of Marks'!G51="","",'Statement of Marks'!G51)</f>
        <v/>
      </c>
      <c r="G49" s="316" t="str">
        <f>IF('Statement of Marks'!H51="","",'Statement of Marks'!H51)</f>
        <v/>
      </c>
      <c r="H49" s="830" t="str">
        <f>IF('Statement of Marks'!HS51="","",'Statement of Marks'!HS51)</f>
        <v/>
      </c>
      <c r="I49" s="172" t="str">
        <f>IF('Statement of Marks'!HV51="","",'Statement of Marks'!HV51)</f>
        <v/>
      </c>
      <c r="J49" s="317" t="str">
        <f>IF('Statement of Marks'!HW51="","",'Statement of Marks'!HW51)</f>
        <v/>
      </c>
      <c r="K49" s="392" t="str">
        <f>'Statement of Marks'!GN51</f>
        <v/>
      </c>
      <c r="L49" s="392" t="str">
        <f>'Statement of Marks'!GQ51</f>
        <v/>
      </c>
      <c r="M49" s="181" t="str">
        <f>'Statement of Marks'!GU51</f>
        <v/>
      </c>
      <c r="N49" s="181" t="str">
        <f>'Statement of Marks'!GV51</f>
        <v/>
      </c>
      <c r="O49" s="181" t="str">
        <f>'Statement of Marks'!GW51</f>
        <v/>
      </c>
      <c r="P49" s="181" t="str">
        <f>'Statement of Marks'!GX51</f>
        <v/>
      </c>
      <c r="Q49" s="181" t="str">
        <f>'Statement of Marks'!GY51</f>
        <v/>
      </c>
      <c r="R49" s="392" t="str">
        <f>'Statement of Marks'!HB51</f>
        <v/>
      </c>
      <c r="S49" s="392" t="str">
        <f>'Statement of Marks'!HE51</f>
        <v/>
      </c>
      <c r="T49" s="392" t="str">
        <f>'Statement of Marks'!HH51</f>
        <v/>
      </c>
      <c r="U49" s="392" t="str">
        <f>'Statement of Marks'!HK51</f>
        <v/>
      </c>
      <c r="V49" s="318" t="str">
        <f>IF(COUNTIF(K49:U49,"F")&gt;0,"",CONCATENATE('Statement of Marks'!HO51,'Statement of Marks'!HP51,'Statement of Marks'!HQ51))</f>
        <v xml:space="preserve">                  </v>
      </c>
      <c r="BI49" s="6" t="str">
        <f>IFERROR(VLOOKUP(B49,'Statement of Marks'!$B$7:'Statement of Marks'!$IC$206,41,0),"")</f>
        <v/>
      </c>
      <c r="BJ49" s="6" t="str">
        <f>IFERROR(VLOOKUP(B49,'Statement of Marks'!$B$7:'Statement of Marks'!$IC$206,66,0),"")</f>
        <v/>
      </c>
      <c r="BK49" s="6">
        <f>IFERROR(VLOOKUP(B49,'Statement of Marks'!$B$7:'Statement of Marks'!$IC$206,91,0),"")</f>
        <v>0</v>
      </c>
      <c r="BL49" s="6" t="str">
        <f>IFERROR(VLOOKUP(B49,'Statement of Marks'!$B$7:'Statement of Marks'!$IC$206,117,0),"")</f>
        <v/>
      </c>
    </row>
    <row r="50" spans="1:64" ht="21" customHeight="1">
      <c r="A50" s="169">
        <f>IF('Statement of Marks'!A52="","",'Statement of Marks'!A52)</f>
        <v>46</v>
      </c>
      <c r="B50" s="169" t="str">
        <f>IF('Statement of Marks'!B52="","",'Statement of Marks'!B52)</f>
        <v/>
      </c>
      <c r="C50" s="169" t="str">
        <f>IF('Statement of Marks'!D52="","",'Statement of Marks'!D52)</f>
        <v/>
      </c>
      <c r="D50" s="315" t="str">
        <f>IF('Statement of Marks'!E52="","",'Statement of Marks'!E52)</f>
        <v/>
      </c>
      <c r="E50" s="316" t="str">
        <f>IF('Statement of Marks'!F52="","",'Statement of Marks'!F52)</f>
        <v/>
      </c>
      <c r="F50" s="316" t="str">
        <f>IF('Statement of Marks'!G52="","",'Statement of Marks'!G52)</f>
        <v/>
      </c>
      <c r="G50" s="316" t="str">
        <f>IF('Statement of Marks'!H52="","",'Statement of Marks'!H52)</f>
        <v/>
      </c>
      <c r="H50" s="830" t="str">
        <f>IF('Statement of Marks'!HS52="","",'Statement of Marks'!HS52)</f>
        <v/>
      </c>
      <c r="I50" s="172" t="str">
        <f>IF('Statement of Marks'!HV52="","",'Statement of Marks'!HV52)</f>
        <v/>
      </c>
      <c r="J50" s="317" t="str">
        <f>IF('Statement of Marks'!HW52="","",'Statement of Marks'!HW52)</f>
        <v/>
      </c>
      <c r="K50" s="392" t="str">
        <f>'Statement of Marks'!GN52</f>
        <v/>
      </c>
      <c r="L50" s="392" t="str">
        <f>'Statement of Marks'!GQ52</f>
        <v/>
      </c>
      <c r="M50" s="181" t="str">
        <f>'Statement of Marks'!GU52</f>
        <v/>
      </c>
      <c r="N50" s="181" t="str">
        <f>'Statement of Marks'!GV52</f>
        <v/>
      </c>
      <c r="O50" s="181" t="str">
        <f>'Statement of Marks'!GW52</f>
        <v/>
      </c>
      <c r="P50" s="181" t="str">
        <f>'Statement of Marks'!GX52</f>
        <v/>
      </c>
      <c r="Q50" s="181" t="str">
        <f>'Statement of Marks'!GY52</f>
        <v/>
      </c>
      <c r="R50" s="392" t="str">
        <f>'Statement of Marks'!HB52</f>
        <v/>
      </c>
      <c r="S50" s="392" t="str">
        <f>'Statement of Marks'!HE52</f>
        <v/>
      </c>
      <c r="T50" s="392" t="str">
        <f>'Statement of Marks'!HH52</f>
        <v/>
      </c>
      <c r="U50" s="392" t="str">
        <f>'Statement of Marks'!HK52</f>
        <v/>
      </c>
      <c r="V50" s="318" t="str">
        <f>IF(COUNTIF(K50:U50,"F")&gt;0,"",CONCATENATE('Statement of Marks'!HO52,'Statement of Marks'!HP52,'Statement of Marks'!HQ52))</f>
        <v xml:space="preserve">                  </v>
      </c>
      <c r="BI50" s="6" t="str">
        <f>IFERROR(VLOOKUP(B50,'Statement of Marks'!$B$7:'Statement of Marks'!$IC$206,41,0),"")</f>
        <v/>
      </c>
      <c r="BJ50" s="6" t="str">
        <f>IFERROR(VLOOKUP(B50,'Statement of Marks'!$B$7:'Statement of Marks'!$IC$206,66,0),"")</f>
        <v/>
      </c>
      <c r="BK50" s="6">
        <f>IFERROR(VLOOKUP(B50,'Statement of Marks'!$B$7:'Statement of Marks'!$IC$206,91,0),"")</f>
        <v>0</v>
      </c>
      <c r="BL50" s="6" t="str">
        <f>IFERROR(VLOOKUP(B50,'Statement of Marks'!$B$7:'Statement of Marks'!$IC$206,117,0),"")</f>
        <v/>
      </c>
    </row>
    <row r="51" spans="1:64" ht="21" customHeight="1">
      <c r="A51" s="169">
        <f>IF('Statement of Marks'!A53="","",'Statement of Marks'!A53)</f>
        <v>47</v>
      </c>
      <c r="B51" s="169" t="str">
        <f>IF('Statement of Marks'!B53="","",'Statement of Marks'!B53)</f>
        <v/>
      </c>
      <c r="C51" s="169" t="str">
        <f>IF('Statement of Marks'!D53="","",'Statement of Marks'!D53)</f>
        <v/>
      </c>
      <c r="D51" s="315" t="str">
        <f>IF('Statement of Marks'!E53="","",'Statement of Marks'!E53)</f>
        <v/>
      </c>
      <c r="E51" s="316" t="str">
        <f>IF('Statement of Marks'!F53="","",'Statement of Marks'!F53)</f>
        <v/>
      </c>
      <c r="F51" s="316" t="str">
        <f>IF('Statement of Marks'!G53="","",'Statement of Marks'!G53)</f>
        <v/>
      </c>
      <c r="G51" s="316" t="str">
        <f>IF('Statement of Marks'!H53="","",'Statement of Marks'!H53)</f>
        <v/>
      </c>
      <c r="H51" s="830" t="str">
        <f>IF('Statement of Marks'!HS53="","",'Statement of Marks'!HS53)</f>
        <v/>
      </c>
      <c r="I51" s="172" t="str">
        <f>IF('Statement of Marks'!HV53="","",'Statement of Marks'!HV53)</f>
        <v/>
      </c>
      <c r="J51" s="317" t="str">
        <f>IF('Statement of Marks'!HW53="","",'Statement of Marks'!HW53)</f>
        <v/>
      </c>
      <c r="K51" s="392" t="str">
        <f>'Statement of Marks'!GN53</f>
        <v/>
      </c>
      <c r="L51" s="392" t="str">
        <f>'Statement of Marks'!GQ53</f>
        <v/>
      </c>
      <c r="M51" s="181" t="str">
        <f>'Statement of Marks'!GU53</f>
        <v/>
      </c>
      <c r="N51" s="181" t="str">
        <f>'Statement of Marks'!GV53</f>
        <v/>
      </c>
      <c r="O51" s="181" t="str">
        <f>'Statement of Marks'!GW53</f>
        <v/>
      </c>
      <c r="P51" s="181" t="str">
        <f>'Statement of Marks'!GX53</f>
        <v/>
      </c>
      <c r="Q51" s="181" t="str">
        <f>'Statement of Marks'!GY53</f>
        <v/>
      </c>
      <c r="R51" s="392" t="str">
        <f>'Statement of Marks'!HB53</f>
        <v/>
      </c>
      <c r="S51" s="392" t="str">
        <f>'Statement of Marks'!HE53</f>
        <v/>
      </c>
      <c r="T51" s="392" t="str">
        <f>'Statement of Marks'!HH53</f>
        <v/>
      </c>
      <c r="U51" s="392" t="str">
        <f>'Statement of Marks'!HK53</f>
        <v/>
      </c>
      <c r="V51" s="318" t="str">
        <f>IF(COUNTIF(K51:U51,"F")&gt;0,"",CONCATENATE('Statement of Marks'!HO53,'Statement of Marks'!HP53,'Statement of Marks'!HQ53))</f>
        <v xml:space="preserve">                  </v>
      </c>
      <c r="BI51" s="6" t="str">
        <f>IFERROR(VLOOKUP(B51,'Statement of Marks'!$B$7:'Statement of Marks'!$IC$206,41,0),"")</f>
        <v/>
      </c>
      <c r="BJ51" s="6" t="str">
        <f>IFERROR(VLOOKUP(B51,'Statement of Marks'!$B$7:'Statement of Marks'!$IC$206,66,0),"")</f>
        <v/>
      </c>
      <c r="BK51" s="6">
        <f>IFERROR(VLOOKUP(B51,'Statement of Marks'!$B$7:'Statement of Marks'!$IC$206,91,0),"")</f>
        <v>0</v>
      </c>
      <c r="BL51" s="6" t="str">
        <f>IFERROR(VLOOKUP(B51,'Statement of Marks'!$B$7:'Statement of Marks'!$IC$206,117,0),"")</f>
        <v/>
      </c>
    </row>
    <row r="52" spans="1:64" ht="21" customHeight="1">
      <c r="A52" s="169">
        <f>IF('Statement of Marks'!A54="","",'Statement of Marks'!A54)</f>
        <v>48</v>
      </c>
      <c r="B52" s="169" t="str">
        <f>IF('Statement of Marks'!B54="","",'Statement of Marks'!B54)</f>
        <v/>
      </c>
      <c r="C52" s="169" t="str">
        <f>IF('Statement of Marks'!D54="","",'Statement of Marks'!D54)</f>
        <v/>
      </c>
      <c r="D52" s="315" t="str">
        <f>IF('Statement of Marks'!E54="","",'Statement of Marks'!E54)</f>
        <v/>
      </c>
      <c r="E52" s="316" t="str">
        <f>IF('Statement of Marks'!F54="","",'Statement of Marks'!F54)</f>
        <v/>
      </c>
      <c r="F52" s="316" t="str">
        <f>IF('Statement of Marks'!G54="","",'Statement of Marks'!G54)</f>
        <v/>
      </c>
      <c r="G52" s="316" t="str">
        <f>IF('Statement of Marks'!H54="","",'Statement of Marks'!H54)</f>
        <v/>
      </c>
      <c r="H52" s="830" t="str">
        <f>IF('Statement of Marks'!HS54="","",'Statement of Marks'!HS54)</f>
        <v/>
      </c>
      <c r="I52" s="172" t="str">
        <f>IF('Statement of Marks'!HV54="","",'Statement of Marks'!HV54)</f>
        <v/>
      </c>
      <c r="J52" s="317" t="str">
        <f>IF('Statement of Marks'!HW54="","",'Statement of Marks'!HW54)</f>
        <v/>
      </c>
      <c r="K52" s="392" t="str">
        <f>'Statement of Marks'!GN54</f>
        <v/>
      </c>
      <c r="L52" s="392" t="str">
        <f>'Statement of Marks'!GQ54</f>
        <v/>
      </c>
      <c r="M52" s="181" t="str">
        <f>'Statement of Marks'!GU54</f>
        <v/>
      </c>
      <c r="N52" s="181" t="str">
        <f>'Statement of Marks'!GV54</f>
        <v/>
      </c>
      <c r="O52" s="181" t="str">
        <f>'Statement of Marks'!GW54</f>
        <v/>
      </c>
      <c r="P52" s="181" t="str">
        <f>'Statement of Marks'!GX54</f>
        <v/>
      </c>
      <c r="Q52" s="181" t="str">
        <f>'Statement of Marks'!GY54</f>
        <v/>
      </c>
      <c r="R52" s="392" t="str">
        <f>'Statement of Marks'!HB54</f>
        <v/>
      </c>
      <c r="S52" s="392" t="str">
        <f>'Statement of Marks'!HE54</f>
        <v/>
      </c>
      <c r="T52" s="392" t="str">
        <f>'Statement of Marks'!HH54</f>
        <v/>
      </c>
      <c r="U52" s="392" t="str">
        <f>'Statement of Marks'!HK54</f>
        <v/>
      </c>
      <c r="V52" s="318" t="str">
        <f>IF(COUNTIF(K52:U52,"F")&gt;0,"",CONCATENATE('Statement of Marks'!HO54,'Statement of Marks'!HP54,'Statement of Marks'!HQ54))</f>
        <v xml:space="preserve">                  </v>
      </c>
      <c r="BI52" s="6" t="str">
        <f>IFERROR(VLOOKUP(B52,'Statement of Marks'!$B$7:'Statement of Marks'!$IC$206,41,0),"")</f>
        <v/>
      </c>
      <c r="BJ52" s="6" t="str">
        <f>IFERROR(VLOOKUP(B52,'Statement of Marks'!$B$7:'Statement of Marks'!$IC$206,66,0),"")</f>
        <v/>
      </c>
      <c r="BK52" s="6">
        <f>IFERROR(VLOOKUP(B52,'Statement of Marks'!$B$7:'Statement of Marks'!$IC$206,91,0),"")</f>
        <v>0</v>
      </c>
      <c r="BL52" s="6" t="str">
        <f>IFERROR(VLOOKUP(B52,'Statement of Marks'!$B$7:'Statement of Marks'!$IC$206,117,0),"")</f>
        <v/>
      </c>
    </row>
    <row r="53" spans="1:64" ht="21" customHeight="1">
      <c r="A53" s="169">
        <f>IF('Statement of Marks'!A55="","",'Statement of Marks'!A55)</f>
        <v>49</v>
      </c>
      <c r="B53" s="169" t="str">
        <f>IF('Statement of Marks'!B55="","",'Statement of Marks'!B55)</f>
        <v/>
      </c>
      <c r="C53" s="169" t="str">
        <f>IF('Statement of Marks'!D55="","",'Statement of Marks'!D55)</f>
        <v/>
      </c>
      <c r="D53" s="315" t="str">
        <f>IF('Statement of Marks'!E55="","",'Statement of Marks'!E55)</f>
        <v/>
      </c>
      <c r="E53" s="316" t="str">
        <f>IF('Statement of Marks'!F55="","",'Statement of Marks'!F55)</f>
        <v/>
      </c>
      <c r="F53" s="316" t="str">
        <f>IF('Statement of Marks'!G55="","",'Statement of Marks'!G55)</f>
        <v/>
      </c>
      <c r="G53" s="316" t="str">
        <f>IF('Statement of Marks'!H55="","",'Statement of Marks'!H55)</f>
        <v/>
      </c>
      <c r="H53" s="830" t="str">
        <f>IF('Statement of Marks'!HS55="","",'Statement of Marks'!HS55)</f>
        <v/>
      </c>
      <c r="I53" s="172" t="str">
        <f>IF('Statement of Marks'!HV55="","",'Statement of Marks'!HV55)</f>
        <v/>
      </c>
      <c r="J53" s="317" t="str">
        <f>IF('Statement of Marks'!HW55="","",'Statement of Marks'!HW55)</f>
        <v/>
      </c>
      <c r="K53" s="392" t="str">
        <f>'Statement of Marks'!GN55</f>
        <v/>
      </c>
      <c r="L53" s="392" t="str">
        <f>'Statement of Marks'!GQ55</f>
        <v/>
      </c>
      <c r="M53" s="181" t="str">
        <f>'Statement of Marks'!GU55</f>
        <v/>
      </c>
      <c r="N53" s="181" t="str">
        <f>'Statement of Marks'!GV55</f>
        <v/>
      </c>
      <c r="O53" s="181" t="str">
        <f>'Statement of Marks'!GW55</f>
        <v/>
      </c>
      <c r="P53" s="181" t="str">
        <f>'Statement of Marks'!GX55</f>
        <v/>
      </c>
      <c r="Q53" s="181" t="str">
        <f>'Statement of Marks'!GY55</f>
        <v/>
      </c>
      <c r="R53" s="392" t="str">
        <f>'Statement of Marks'!HB55</f>
        <v/>
      </c>
      <c r="S53" s="392" t="str">
        <f>'Statement of Marks'!HE55</f>
        <v/>
      </c>
      <c r="T53" s="392" t="str">
        <f>'Statement of Marks'!HH55</f>
        <v/>
      </c>
      <c r="U53" s="392" t="str">
        <f>'Statement of Marks'!HK55</f>
        <v/>
      </c>
      <c r="V53" s="318" t="str">
        <f>IF(COUNTIF(K53:U53,"F")&gt;0,"",CONCATENATE('Statement of Marks'!HO55,'Statement of Marks'!HP55,'Statement of Marks'!HQ55))</f>
        <v xml:space="preserve">                  </v>
      </c>
      <c r="BI53" s="6" t="str">
        <f>IFERROR(VLOOKUP(B53,'Statement of Marks'!$B$7:'Statement of Marks'!$IC$206,41,0),"")</f>
        <v/>
      </c>
      <c r="BJ53" s="6" t="str">
        <f>IFERROR(VLOOKUP(B53,'Statement of Marks'!$B$7:'Statement of Marks'!$IC$206,66,0),"")</f>
        <v/>
      </c>
      <c r="BK53" s="6">
        <f>IFERROR(VLOOKUP(B53,'Statement of Marks'!$B$7:'Statement of Marks'!$IC$206,91,0),"")</f>
        <v>0</v>
      </c>
      <c r="BL53" s="6" t="str">
        <f>IFERROR(VLOOKUP(B53,'Statement of Marks'!$B$7:'Statement of Marks'!$IC$206,117,0),"")</f>
        <v/>
      </c>
    </row>
    <row r="54" spans="1:64" ht="21" customHeight="1">
      <c r="A54" s="169">
        <f>IF('Statement of Marks'!A56="","",'Statement of Marks'!A56)</f>
        <v>50</v>
      </c>
      <c r="B54" s="169" t="str">
        <f>IF('Statement of Marks'!B56="","",'Statement of Marks'!B56)</f>
        <v/>
      </c>
      <c r="C54" s="169" t="str">
        <f>IF('Statement of Marks'!D56="","",'Statement of Marks'!D56)</f>
        <v/>
      </c>
      <c r="D54" s="315" t="str">
        <f>IF('Statement of Marks'!E56="","",'Statement of Marks'!E56)</f>
        <v/>
      </c>
      <c r="E54" s="316" t="str">
        <f>IF('Statement of Marks'!F56="","",'Statement of Marks'!F56)</f>
        <v/>
      </c>
      <c r="F54" s="316" t="str">
        <f>IF('Statement of Marks'!G56="","",'Statement of Marks'!G56)</f>
        <v/>
      </c>
      <c r="G54" s="316" t="str">
        <f>IF('Statement of Marks'!H56="","",'Statement of Marks'!H56)</f>
        <v/>
      </c>
      <c r="H54" s="830" t="str">
        <f>IF('Statement of Marks'!HS56="","",'Statement of Marks'!HS56)</f>
        <v/>
      </c>
      <c r="I54" s="172" t="str">
        <f>IF('Statement of Marks'!HV56="","",'Statement of Marks'!HV56)</f>
        <v/>
      </c>
      <c r="J54" s="317" t="str">
        <f>IF('Statement of Marks'!HW56="","",'Statement of Marks'!HW56)</f>
        <v/>
      </c>
      <c r="K54" s="392" t="str">
        <f>'Statement of Marks'!GN56</f>
        <v/>
      </c>
      <c r="L54" s="392" t="str">
        <f>'Statement of Marks'!GQ56</f>
        <v/>
      </c>
      <c r="M54" s="181" t="str">
        <f>'Statement of Marks'!GU56</f>
        <v/>
      </c>
      <c r="N54" s="181" t="str">
        <f>'Statement of Marks'!GV56</f>
        <v/>
      </c>
      <c r="O54" s="181" t="str">
        <f>'Statement of Marks'!GW56</f>
        <v/>
      </c>
      <c r="P54" s="181" t="str">
        <f>'Statement of Marks'!GX56</f>
        <v/>
      </c>
      <c r="Q54" s="181" t="str">
        <f>'Statement of Marks'!GY56</f>
        <v/>
      </c>
      <c r="R54" s="392" t="str">
        <f>'Statement of Marks'!HB56</f>
        <v/>
      </c>
      <c r="S54" s="392" t="str">
        <f>'Statement of Marks'!HE56</f>
        <v/>
      </c>
      <c r="T54" s="392" t="str">
        <f>'Statement of Marks'!HH56</f>
        <v/>
      </c>
      <c r="U54" s="392" t="str">
        <f>'Statement of Marks'!HK56</f>
        <v/>
      </c>
      <c r="V54" s="318" t="str">
        <f>IF(COUNTIF(K54:U54,"F")&gt;0,"",CONCATENATE('Statement of Marks'!HO56,'Statement of Marks'!HP56,'Statement of Marks'!HQ56))</f>
        <v xml:space="preserve">                  </v>
      </c>
      <c r="BI54" s="6" t="str">
        <f>IFERROR(VLOOKUP(B54,'Statement of Marks'!$B$7:'Statement of Marks'!$IC$206,41,0),"")</f>
        <v/>
      </c>
      <c r="BJ54" s="6" t="str">
        <f>IFERROR(VLOOKUP(B54,'Statement of Marks'!$B$7:'Statement of Marks'!$IC$206,66,0),"")</f>
        <v/>
      </c>
      <c r="BK54" s="6">
        <f>IFERROR(VLOOKUP(B54,'Statement of Marks'!$B$7:'Statement of Marks'!$IC$206,91,0),"")</f>
        <v>0</v>
      </c>
      <c r="BL54" s="6" t="str">
        <f>IFERROR(VLOOKUP(B54,'Statement of Marks'!$B$7:'Statement of Marks'!$IC$206,117,0),"")</f>
        <v/>
      </c>
    </row>
    <row r="55" spans="1:64" ht="21" customHeight="1">
      <c r="A55" s="169">
        <f>IF('Statement of Marks'!A57="","",'Statement of Marks'!A57)</f>
        <v>51</v>
      </c>
      <c r="B55" s="169" t="str">
        <f>IF('Statement of Marks'!B57="","",'Statement of Marks'!B57)</f>
        <v/>
      </c>
      <c r="C55" s="169" t="str">
        <f>IF('Statement of Marks'!D57="","",'Statement of Marks'!D57)</f>
        <v/>
      </c>
      <c r="D55" s="315" t="str">
        <f>IF('Statement of Marks'!E57="","",'Statement of Marks'!E57)</f>
        <v/>
      </c>
      <c r="E55" s="316" t="str">
        <f>IF('Statement of Marks'!F57="","",'Statement of Marks'!F57)</f>
        <v/>
      </c>
      <c r="F55" s="316" t="str">
        <f>IF('Statement of Marks'!G57="","",'Statement of Marks'!G57)</f>
        <v/>
      </c>
      <c r="G55" s="316" t="str">
        <f>IF('Statement of Marks'!H57="","",'Statement of Marks'!H57)</f>
        <v/>
      </c>
      <c r="H55" s="830" t="str">
        <f>IF('Statement of Marks'!HS57="","",'Statement of Marks'!HS57)</f>
        <v/>
      </c>
      <c r="I55" s="172" t="str">
        <f>IF('Statement of Marks'!HV57="","",'Statement of Marks'!HV57)</f>
        <v/>
      </c>
      <c r="J55" s="317" t="str">
        <f>IF('Statement of Marks'!HW57="","",'Statement of Marks'!HW57)</f>
        <v/>
      </c>
      <c r="K55" s="392" t="str">
        <f>'Statement of Marks'!GN57</f>
        <v/>
      </c>
      <c r="L55" s="392" t="str">
        <f>'Statement of Marks'!GQ57</f>
        <v/>
      </c>
      <c r="M55" s="181" t="str">
        <f>'Statement of Marks'!GU57</f>
        <v/>
      </c>
      <c r="N55" s="181" t="str">
        <f>'Statement of Marks'!GV57</f>
        <v/>
      </c>
      <c r="O55" s="181" t="str">
        <f>'Statement of Marks'!GW57</f>
        <v/>
      </c>
      <c r="P55" s="181" t="str">
        <f>'Statement of Marks'!GX57</f>
        <v/>
      </c>
      <c r="Q55" s="181" t="str">
        <f>'Statement of Marks'!GY57</f>
        <v/>
      </c>
      <c r="R55" s="392" t="str">
        <f>'Statement of Marks'!HB57</f>
        <v/>
      </c>
      <c r="S55" s="392" t="str">
        <f>'Statement of Marks'!HE57</f>
        <v/>
      </c>
      <c r="T55" s="392" t="str">
        <f>'Statement of Marks'!HH57</f>
        <v/>
      </c>
      <c r="U55" s="392" t="str">
        <f>'Statement of Marks'!HK57</f>
        <v/>
      </c>
      <c r="V55" s="318" t="str">
        <f>IF(COUNTIF(K55:U55,"F")&gt;0,"",CONCATENATE('Statement of Marks'!HO57,'Statement of Marks'!HP57,'Statement of Marks'!HQ57))</f>
        <v xml:space="preserve">                  </v>
      </c>
      <c r="BI55" s="6" t="str">
        <f>IFERROR(VLOOKUP(B55,'Statement of Marks'!$B$7:'Statement of Marks'!$IC$206,41,0),"")</f>
        <v/>
      </c>
      <c r="BJ55" s="6" t="str">
        <f>IFERROR(VLOOKUP(B55,'Statement of Marks'!$B$7:'Statement of Marks'!$IC$206,66,0),"")</f>
        <v/>
      </c>
      <c r="BK55" s="6">
        <f>IFERROR(VLOOKUP(B55,'Statement of Marks'!$B$7:'Statement of Marks'!$IC$206,91,0),"")</f>
        <v>0</v>
      </c>
      <c r="BL55" s="6" t="str">
        <f>IFERROR(VLOOKUP(B55,'Statement of Marks'!$B$7:'Statement of Marks'!$IC$206,117,0),"")</f>
        <v/>
      </c>
    </row>
    <row r="56" spans="1:64" ht="21" customHeight="1">
      <c r="A56" s="169">
        <f>IF('Statement of Marks'!A58="","",'Statement of Marks'!A58)</f>
        <v>52</v>
      </c>
      <c r="B56" s="169" t="str">
        <f>IF('Statement of Marks'!B58="","",'Statement of Marks'!B58)</f>
        <v/>
      </c>
      <c r="C56" s="169" t="str">
        <f>IF('Statement of Marks'!D58="","",'Statement of Marks'!D58)</f>
        <v/>
      </c>
      <c r="D56" s="315" t="str">
        <f>IF('Statement of Marks'!E58="","",'Statement of Marks'!E58)</f>
        <v/>
      </c>
      <c r="E56" s="316" t="str">
        <f>IF('Statement of Marks'!F58="","",'Statement of Marks'!F58)</f>
        <v/>
      </c>
      <c r="F56" s="316" t="str">
        <f>IF('Statement of Marks'!G58="","",'Statement of Marks'!G58)</f>
        <v/>
      </c>
      <c r="G56" s="316" t="str">
        <f>IF('Statement of Marks'!H58="","",'Statement of Marks'!H58)</f>
        <v/>
      </c>
      <c r="H56" s="830" t="str">
        <f>IF('Statement of Marks'!HS58="","",'Statement of Marks'!HS58)</f>
        <v/>
      </c>
      <c r="I56" s="172" t="str">
        <f>IF('Statement of Marks'!HV58="","",'Statement of Marks'!HV58)</f>
        <v/>
      </c>
      <c r="J56" s="317" t="str">
        <f>IF('Statement of Marks'!HW58="","",'Statement of Marks'!HW58)</f>
        <v/>
      </c>
      <c r="K56" s="392" t="str">
        <f>'Statement of Marks'!GN58</f>
        <v/>
      </c>
      <c r="L56" s="392" t="str">
        <f>'Statement of Marks'!GQ58</f>
        <v/>
      </c>
      <c r="M56" s="181" t="str">
        <f>'Statement of Marks'!GU58</f>
        <v/>
      </c>
      <c r="N56" s="181" t="str">
        <f>'Statement of Marks'!GV58</f>
        <v/>
      </c>
      <c r="O56" s="181" t="str">
        <f>'Statement of Marks'!GW58</f>
        <v/>
      </c>
      <c r="P56" s="181" t="str">
        <f>'Statement of Marks'!GX58</f>
        <v/>
      </c>
      <c r="Q56" s="181" t="str">
        <f>'Statement of Marks'!GY58</f>
        <v/>
      </c>
      <c r="R56" s="392" t="str">
        <f>'Statement of Marks'!HB58</f>
        <v/>
      </c>
      <c r="S56" s="392" t="str">
        <f>'Statement of Marks'!HE58</f>
        <v/>
      </c>
      <c r="T56" s="392" t="str">
        <f>'Statement of Marks'!HH58</f>
        <v/>
      </c>
      <c r="U56" s="392" t="str">
        <f>'Statement of Marks'!HK58</f>
        <v/>
      </c>
      <c r="V56" s="318" t="str">
        <f>IF(COUNTIF(K56:U56,"F")&gt;0,"",CONCATENATE('Statement of Marks'!HO58,'Statement of Marks'!HP58,'Statement of Marks'!HQ58))</f>
        <v xml:space="preserve">                  </v>
      </c>
      <c r="BI56" s="6" t="str">
        <f>IFERROR(VLOOKUP(B56,'Statement of Marks'!$B$7:'Statement of Marks'!$IC$206,41,0),"")</f>
        <v/>
      </c>
      <c r="BJ56" s="6" t="str">
        <f>IFERROR(VLOOKUP(B56,'Statement of Marks'!$B$7:'Statement of Marks'!$IC$206,66,0),"")</f>
        <v/>
      </c>
      <c r="BK56" s="6">
        <f>IFERROR(VLOOKUP(B56,'Statement of Marks'!$B$7:'Statement of Marks'!$IC$206,91,0),"")</f>
        <v>0</v>
      </c>
      <c r="BL56" s="6" t="str">
        <f>IFERROR(VLOOKUP(B56,'Statement of Marks'!$B$7:'Statement of Marks'!$IC$206,117,0),"")</f>
        <v/>
      </c>
    </row>
    <row r="57" spans="1:64" ht="21" customHeight="1">
      <c r="A57" s="169">
        <f>IF('Statement of Marks'!A59="","",'Statement of Marks'!A59)</f>
        <v>53</v>
      </c>
      <c r="B57" s="169" t="str">
        <f>IF('Statement of Marks'!B59="","",'Statement of Marks'!B59)</f>
        <v/>
      </c>
      <c r="C57" s="169" t="str">
        <f>IF('Statement of Marks'!D59="","",'Statement of Marks'!D59)</f>
        <v/>
      </c>
      <c r="D57" s="315" t="str">
        <f>IF('Statement of Marks'!E59="","",'Statement of Marks'!E59)</f>
        <v/>
      </c>
      <c r="E57" s="316" t="str">
        <f>IF('Statement of Marks'!F59="","",'Statement of Marks'!F59)</f>
        <v/>
      </c>
      <c r="F57" s="316" t="str">
        <f>IF('Statement of Marks'!G59="","",'Statement of Marks'!G59)</f>
        <v/>
      </c>
      <c r="G57" s="316" t="str">
        <f>IF('Statement of Marks'!H59="","",'Statement of Marks'!H59)</f>
        <v/>
      </c>
      <c r="H57" s="830" t="str">
        <f>IF('Statement of Marks'!HS59="","",'Statement of Marks'!HS59)</f>
        <v/>
      </c>
      <c r="I57" s="172" t="str">
        <f>IF('Statement of Marks'!HV59="","",'Statement of Marks'!HV59)</f>
        <v/>
      </c>
      <c r="J57" s="317" t="str">
        <f>IF('Statement of Marks'!HW59="","",'Statement of Marks'!HW59)</f>
        <v/>
      </c>
      <c r="K57" s="392" t="str">
        <f>'Statement of Marks'!GN59</f>
        <v/>
      </c>
      <c r="L57" s="392" t="str">
        <f>'Statement of Marks'!GQ59</f>
        <v/>
      </c>
      <c r="M57" s="181" t="str">
        <f>'Statement of Marks'!GU59</f>
        <v/>
      </c>
      <c r="N57" s="181" t="str">
        <f>'Statement of Marks'!GV59</f>
        <v/>
      </c>
      <c r="O57" s="181" t="str">
        <f>'Statement of Marks'!GW59</f>
        <v/>
      </c>
      <c r="P57" s="181" t="str">
        <f>'Statement of Marks'!GX59</f>
        <v/>
      </c>
      <c r="Q57" s="181" t="str">
        <f>'Statement of Marks'!GY59</f>
        <v/>
      </c>
      <c r="R57" s="392" t="str">
        <f>'Statement of Marks'!HB59</f>
        <v/>
      </c>
      <c r="S57" s="392" t="str">
        <f>'Statement of Marks'!HE59</f>
        <v/>
      </c>
      <c r="T57" s="392" t="str">
        <f>'Statement of Marks'!HH59</f>
        <v/>
      </c>
      <c r="U57" s="392" t="str">
        <f>'Statement of Marks'!HK59</f>
        <v/>
      </c>
      <c r="V57" s="318" t="str">
        <f>IF(COUNTIF(K57:U57,"F")&gt;0,"",CONCATENATE('Statement of Marks'!HO59,'Statement of Marks'!HP59,'Statement of Marks'!HQ59))</f>
        <v xml:space="preserve">                  </v>
      </c>
      <c r="BI57" s="6" t="str">
        <f>IFERROR(VLOOKUP(B57,'Statement of Marks'!$B$7:'Statement of Marks'!$IC$206,41,0),"")</f>
        <v/>
      </c>
      <c r="BJ57" s="6" t="str">
        <f>IFERROR(VLOOKUP(B57,'Statement of Marks'!$B$7:'Statement of Marks'!$IC$206,66,0),"")</f>
        <v/>
      </c>
      <c r="BK57" s="6">
        <f>IFERROR(VLOOKUP(B57,'Statement of Marks'!$B$7:'Statement of Marks'!$IC$206,91,0),"")</f>
        <v>0</v>
      </c>
      <c r="BL57" s="6" t="str">
        <f>IFERROR(VLOOKUP(B57,'Statement of Marks'!$B$7:'Statement of Marks'!$IC$206,117,0),"")</f>
        <v/>
      </c>
    </row>
    <row r="58" spans="1:64" ht="21" customHeight="1">
      <c r="A58" s="169">
        <f>IF('Statement of Marks'!A60="","",'Statement of Marks'!A60)</f>
        <v>54</v>
      </c>
      <c r="B58" s="169" t="str">
        <f>IF('Statement of Marks'!B60="","",'Statement of Marks'!B60)</f>
        <v/>
      </c>
      <c r="C58" s="169" t="str">
        <f>IF('Statement of Marks'!D60="","",'Statement of Marks'!D60)</f>
        <v/>
      </c>
      <c r="D58" s="315" t="str">
        <f>IF('Statement of Marks'!E60="","",'Statement of Marks'!E60)</f>
        <v/>
      </c>
      <c r="E58" s="316" t="str">
        <f>IF('Statement of Marks'!F60="","",'Statement of Marks'!F60)</f>
        <v/>
      </c>
      <c r="F58" s="316" t="str">
        <f>IF('Statement of Marks'!G60="","",'Statement of Marks'!G60)</f>
        <v/>
      </c>
      <c r="G58" s="316" t="str">
        <f>IF('Statement of Marks'!H60="","",'Statement of Marks'!H60)</f>
        <v/>
      </c>
      <c r="H58" s="830" t="str">
        <f>IF('Statement of Marks'!HS60="","",'Statement of Marks'!HS60)</f>
        <v/>
      </c>
      <c r="I58" s="172" t="str">
        <f>IF('Statement of Marks'!HV60="","",'Statement of Marks'!HV60)</f>
        <v/>
      </c>
      <c r="J58" s="317" t="str">
        <f>IF('Statement of Marks'!HW60="","",'Statement of Marks'!HW60)</f>
        <v/>
      </c>
      <c r="K58" s="392" t="str">
        <f>'Statement of Marks'!GN60</f>
        <v/>
      </c>
      <c r="L58" s="392" t="str">
        <f>'Statement of Marks'!GQ60</f>
        <v/>
      </c>
      <c r="M58" s="181" t="str">
        <f>'Statement of Marks'!GU60</f>
        <v/>
      </c>
      <c r="N58" s="181" t="str">
        <f>'Statement of Marks'!GV60</f>
        <v/>
      </c>
      <c r="O58" s="181" t="str">
        <f>'Statement of Marks'!GW60</f>
        <v/>
      </c>
      <c r="P58" s="181" t="str">
        <f>'Statement of Marks'!GX60</f>
        <v/>
      </c>
      <c r="Q58" s="181" t="str">
        <f>'Statement of Marks'!GY60</f>
        <v/>
      </c>
      <c r="R58" s="392" t="str">
        <f>'Statement of Marks'!HB60</f>
        <v/>
      </c>
      <c r="S58" s="392" t="str">
        <f>'Statement of Marks'!HE60</f>
        <v/>
      </c>
      <c r="T58" s="392" t="str">
        <f>'Statement of Marks'!HH60</f>
        <v/>
      </c>
      <c r="U58" s="392" t="str">
        <f>'Statement of Marks'!HK60</f>
        <v/>
      </c>
      <c r="V58" s="318" t="str">
        <f>IF(COUNTIF(K58:U58,"F")&gt;0,"",CONCATENATE('Statement of Marks'!HO60,'Statement of Marks'!HP60,'Statement of Marks'!HQ60))</f>
        <v xml:space="preserve">                  </v>
      </c>
      <c r="BI58" s="6" t="str">
        <f>IFERROR(VLOOKUP(B58,'Statement of Marks'!$B$7:'Statement of Marks'!$IC$206,41,0),"")</f>
        <v/>
      </c>
      <c r="BJ58" s="6" t="str">
        <f>IFERROR(VLOOKUP(B58,'Statement of Marks'!$B$7:'Statement of Marks'!$IC$206,66,0),"")</f>
        <v/>
      </c>
      <c r="BK58" s="6">
        <f>IFERROR(VLOOKUP(B58,'Statement of Marks'!$B$7:'Statement of Marks'!$IC$206,91,0),"")</f>
        <v>0</v>
      </c>
      <c r="BL58" s="6" t="str">
        <f>IFERROR(VLOOKUP(B58,'Statement of Marks'!$B$7:'Statement of Marks'!$IC$206,117,0),"")</f>
        <v/>
      </c>
    </row>
    <row r="59" spans="1:64" ht="21" customHeight="1">
      <c r="A59" s="169">
        <f>IF('Statement of Marks'!A61="","",'Statement of Marks'!A61)</f>
        <v>55</v>
      </c>
      <c r="B59" s="169" t="str">
        <f>IF('Statement of Marks'!B61="","",'Statement of Marks'!B61)</f>
        <v/>
      </c>
      <c r="C59" s="169" t="str">
        <f>IF('Statement of Marks'!D61="","",'Statement of Marks'!D61)</f>
        <v/>
      </c>
      <c r="D59" s="315" t="str">
        <f>IF('Statement of Marks'!E61="","",'Statement of Marks'!E61)</f>
        <v/>
      </c>
      <c r="E59" s="316" t="str">
        <f>IF('Statement of Marks'!F61="","",'Statement of Marks'!F61)</f>
        <v/>
      </c>
      <c r="F59" s="316" t="str">
        <f>IF('Statement of Marks'!G61="","",'Statement of Marks'!G61)</f>
        <v/>
      </c>
      <c r="G59" s="316" t="str">
        <f>IF('Statement of Marks'!H61="","",'Statement of Marks'!H61)</f>
        <v/>
      </c>
      <c r="H59" s="830" t="str">
        <f>IF('Statement of Marks'!HS61="","",'Statement of Marks'!HS61)</f>
        <v/>
      </c>
      <c r="I59" s="172" t="str">
        <f>IF('Statement of Marks'!HV61="","",'Statement of Marks'!HV61)</f>
        <v/>
      </c>
      <c r="J59" s="317" t="str">
        <f>IF('Statement of Marks'!HW61="","",'Statement of Marks'!HW61)</f>
        <v/>
      </c>
      <c r="K59" s="392" t="str">
        <f>'Statement of Marks'!GN61</f>
        <v/>
      </c>
      <c r="L59" s="392" t="str">
        <f>'Statement of Marks'!GQ61</f>
        <v/>
      </c>
      <c r="M59" s="181" t="str">
        <f>'Statement of Marks'!GU61</f>
        <v/>
      </c>
      <c r="N59" s="181" t="str">
        <f>'Statement of Marks'!GV61</f>
        <v/>
      </c>
      <c r="O59" s="181" t="str">
        <f>'Statement of Marks'!GW61</f>
        <v/>
      </c>
      <c r="P59" s="181" t="str">
        <f>'Statement of Marks'!GX61</f>
        <v/>
      </c>
      <c r="Q59" s="181" t="str">
        <f>'Statement of Marks'!GY61</f>
        <v/>
      </c>
      <c r="R59" s="392" t="str">
        <f>'Statement of Marks'!HB61</f>
        <v/>
      </c>
      <c r="S59" s="392" t="str">
        <f>'Statement of Marks'!HE61</f>
        <v/>
      </c>
      <c r="T59" s="392" t="str">
        <f>'Statement of Marks'!HH61</f>
        <v/>
      </c>
      <c r="U59" s="392" t="str">
        <f>'Statement of Marks'!HK61</f>
        <v/>
      </c>
      <c r="V59" s="318" t="str">
        <f>IF(COUNTIF(K59:U59,"F")&gt;0,"",CONCATENATE('Statement of Marks'!HO61,'Statement of Marks'!HP61,'Statement of Marks'!HQ61))</f>
        <v xml:space="preserve">                  </v>
      </c>
      <c r="BI59" s="6" t="str">
        <f>IFERROR(VLOOKUP(B59,'Statement of Marks'!$B$7:'Statement of Marks'!$IC$206,41,0),"")</f>
        <v/>
      </c>
      <c r="BJ59" s="6" t="str">
        <f>IFERROR(VLOOKUP(B59,'Statement of Marks'!$B$7:'Statement of Marks'!$IC$206,66,0),"")</f>
        <v/>
      </c>
      <c r="BK59" s="6">
        <f>IFERROR(VLOOKUP(B59,'Statement of Marks'!$B$7:'Statement of Marks'!$IC$206,91,0),"")</f>
        <v>0</v>
      </c>
      <c r="BL59" s="6" t="str">
        <f>IFERROR(VLOOKUP(B59,'Statement of Marks'!$B$7:'Statement of Marks'!$IC$206,117,0),"")</f>
        <v/>
      </c>
    </row>
    <row r="60" spans="1:64" ht="21" customHeight="1">
      <c r="A60" s="169">
        <f>IF('Statement of Marks'!A62="","",'Statement of Marks'!A62)</f>
        <v>56</v>
      </c>
      <c r="B60" s="169" t="str">
        <f>IF('Statement of Marks'!B62="","",'Statement of Marks'!B62)</f>
        <v/>
      </c>
      <c r="C60" s="169" t="str">
        <f>IF('Statement of Marks'!D62="","",'Statement of Marks'!D62)</f>
        <v/>
      </c>
      <c r="D60" s="315" t="str">
        <f>IF('Statement of Marks'!E62="","",'Statement of Marks'!E62)</f>
        <v/>
      </c>
      <c r="E60" s="316" t="str">
        <f>IF('Statement of Marks'!F62="","",'Statement of Marks'!F62)</f>
        <v/>
      </c>
      <c r="F60" s="316" t="str">
        <f>IF('Statement of Marks'!G62="","",'Statement of Marks'!G62)</f>
        <v/>
      </c>
      <c r="G60" s="316" t="str">
        <f>IF('Statement of Marks'!H62="","",'Statement of Marks'!H62)</f>
        <v/>
      </c>
      <c r="H60" s="830" t="str">
        <f>IF('Statement of Marks'!HS62="","",'Statement of Marks'!HS62)</f>
        <v/>
      </c>
      <c r="I60" s="172" t="str">
        <f>IF('Statement of Marks'!HV62="","",'Statement of Marks'!HV62)</f>
        <v/>
      </c>
      <c r="J60" s="317" t="str">
        <f>IF('Statement of Marks'!HW62="","",'Statement of Marks'!HW62)</f>
        <v/>
      </c>
      <c r="K60" s="392" t="str">
        <f>'Statement of Marks'!GN62</f>
        <v/>
      </c>
      <c r="L60" s="392" t="str">
        <f>'Statement of Marks'!GQ62</f>
        <v/>
      </c>
      <c r="M60" s="181" t="str">
        <f>'Statement of Marks'!GU62</f>
        <v/>
      </c>
      <c r="N60" s="181" t="str">
        <f>'Statement of Marks'!GV62</f>
        <v/>
      </c>
      <c r="O60" s="181" t="str">
        <f>'Statement of Marks'!GW62</f>
        <v/>
      </c>
      <c r="P60" s="181" t="str">
        <f>'Statement of Marks'!GX62</f>
        <v/>
      </c>
      <c r="Q60" s="181" t="str">
        <f>'Statement of Marks'!GY62</f>
        <v/>
      </c>
      <c r="R60" s="392" t="str">
        <f>'Statement of Marks'!HB62</f>
        <v/>
      </c>
      <c r="S60" s="392" t="str">
        <f>'Statement of Marks'!HE62</f>
        <v/>
      </c>
      <c r="T60" s="392" t="str">
        <f>'Statement of Marks'!HH62</f>
        <v/>
      </c>
      <c r="U60" s="392" t="str">
        <f>'Statement of Marks'!HK62</f>
        <v/>
      </c>
      <c r="V60" s="318" t="str">
        <f>IF(COUNTIF(K60:U60,"F")&gt;0,"",CONCATENATE('Statement of Marks'!HO62,'Statement of Marks'!HP62,'Statement of Marks'!HQ62))</f>
        <v xml:space="preserve">                  </v>
      </c>
      <c r="BI60" s="6" t="str">
        <f>IFERROR(VLOOKUP(B60,'Statement of Marks'!$B$7:'Statement of Marks'!$IC$206,41,0),"")</f>
        <v/>
      </c>
      <c r="BJ60" s="6" t="str">
        <f>IFERROR(VLOOKUP(B60,'Statement of Marks'!$B$7:'Statement of Marks'!$IC$206,66,0),"")</f>
        <v/>
      </c>
      <c r="BK60" s="6">
        <f>IFERROR(VLOOKUP(B60,'Statement of Marks'!$B$7:'Statement of Marks'!$IC$206,91,0),"")</f>
        <v>0</v>
      </c>
      <c r="BL60" s="6" t="str">
        <f>IFERROR(VLOOKUP(B60,'Statement of Marks'!$B$7:'Statement of Marks'!$IC$206,117,0),"")</f>
        <v/>
      </c>
    </row>
    <row r="61" spans="1:64" ht="21" customHeight="1">
      <c r="A61" s="169">
        <f>IF('Statement of Marks'!A63="","",'Statement of Marks'!A63)</f>
        <v>57</v>
      </c>
      <c r="B61" s="169" t="str">
        <f>IF('Statement of Marks'!B63="","",'Statement of Marks'!B63)</f>
        <v/>
      </c>
      <c r="C61" s="169" t="str">
        <f>IF('Statement of Marks'!D63="","",'Statement of Marks'!D63)</f>
        <v/>
      </c>
      <c r="D61" s="315" t="str">
        <f>IF('Statement of Marks'!E63="","",'Statement of Marks'!E63)</f>
        <v/>
      </c>
      <c r="E61" s="316" t="str">
        <f>IF('Statement of Marks'!F63="","",'Statement of Marks'!F63)</f>
        <v/>
      </c>
      <c r="F61" s="316" t="str">
        <f>IF('Statement of Marks'!G63="","",'Statement of Marks'!G63)</f>
        <v/>
      </c>
      <c r="G61" s="316" t="str">
        <f>IF('Statement of Marks'!H63="","",'Statement of Marks'!H63)</f>
        <v/>
      </c>
      <c r="H61" s="830" t="str">
        <f>IF('Statement of Marks'!HS63="","",'Statement of Marks'!HS63)</f>
        <v/>
      </c>
      <c r="I61" s="172" t="str">
        <f>IF('Statement of Marks'!HV63="","",'Statement of Marks'!HV63)</f>
        <v/>
      </c>
      <c r="J61" s="317" t="str">
        <f>IF('Statement of Marks'!HW63="","",'Statement of Marks'!HW63)</f>
        <v/>
      </c>
      <c r="K61" s="392" t="str">
        <f>'Statement of Marks'!GN63</f>
        <v/>
      </c>
      <c r="L61" s="392" t="str">
        <f>'Statement of Marks'!GQ63</f>
        <v/>
      </c>
      <c r="M61" s="181" t="str">
        <f>'Statement of Marks'!GU63</f>
        <v/>
      </c>
      <c r="N61" s="181" t="str">
        <f>'Statement of Marks'!GV63</f>
        <v/>
      </c>
      <c r="O61" s="181" t="str">
        <f>'Statement of Marks'!GW63</f>
        <v/>
      </c>
      <c r="P61" s="181" t="str">
        <f>'Statement of Marks'!GX63</f>
        <v/>
      </c>
      <c r="Q61" s="181" t="str">
        <f>'Statement of Marks'!GY63</f>
        <v/>
      </c>
      <c r="R61" s="392" t="str">
        <f>'Statement of Marks'!HB63</f>
        <v/>
      </c>
      <c r="S61" s="392" t="str">
        <f>'Statement of Marks'!HE63</f>
        <v/>
      </c>
      <c r="T61" s="392" t="str">
        <f>'Statement of Marks'!HH63</f>
        <v/>
      </c>
      <c r="U61" s="392" t="str">
        <f>'Statement of Marks'!HK63</f>
        <v/>
      </c>
      <c r="V61" s="318" t="str">
        <f>IF(COUNTIF(K61:U61,"F")&gt;0,"",CONCATENATE('Statement of Marks'!HO63,'Statement of Marks'!HP63,'Statement of Marks'!HQ63))</f>
        <v xml:space="preserve">                  </v>
      </c>
      <c r="BI61" s="6" t="str">
        <f>IFERROR(VLOOKUP(B61,'Statement of Marks'!$B$7:'Statement of Marks'!$IC$206,41,0),"")</f>
        <v/>
      </c>
      <c r="BJ61" s="6" t="str">
        <f>IFERROR(VLOOKUP(B61,'Statement of Marks'!$B$7:'Statement of Marks'!$IC$206,66,0),"")</f>
        <v/>
      </c>
      <c r="BK61" s="6">
        <f>IFERROR(VLOOKUP(B61,'Statement of Marks'!$B$7:'Statement of Marks'!$IC$206,91,0),"")</f>
        <v>0</v>
      </c>
      <c r="BL61" s="6" t="str">
        <f>IFERROR(VLOOKUP(B61,'Statement of Marks'!$B$7:'Statement of Marks'!$IC$206,117,0),"")</f>
        <v/>
      </c>
    </row>
    <row r="62" spans="1:64" ht="21" customHeight="1">
      <c r="A62" s="169">
        <f>IF('Statement of Marks'!A64="","",'Statement of Marks'!A64)</f>
        <v>58</v>
      </c>
      <c r="B62" s="169" t="str">
        <f>IF('Statement of Marks'!B64="","",'Statement of Marks'!B64)</f>
        <v/>
      </c>
      <c r="C62" s="169" t="str">
        <f>IF('Statement of Marks'!D64="","",'Statement of Marks'!D64)</f>
        <v/>
      </c>
      <c r="D62" s="315" t="str">
        <f>IF('Statement of Marks'!E64="","",'Statement of Marks'!E64)</f>
        <v/>
      </c>
      <c r="E62" s="316" t="str">
        <f>IF('Statement of Marks'!F64="","",'Statement of Marks'!F64)</f>
        <v/>
      </c>
      <c r="F62" s="316" t="str">
        <f>IF('Statement of Marks'!G64="","",'Statement of Marks'!G64)</f>
        <v/>
      </c>
      <c r="G62" s="316" t="str">
        <f>IF('Statement of Marks'!H64="","",'Statement of Marks'!H64)</f>
        <v/>
      </c>
      <c r="H62" s="830" t="str">
        <f>IF('Statement of Marks'!HS64="","",'Statement of Marks'!HS64)</f>
        <v/>
      </c>
      <c r="I62" s="172" t="str">
        <f>IF('Statement of Marks'!HV64="","",'Statement of Marks'!HV64)</f>
        <v/>
      </c>
      <c r="J62" s="317" t="str">
        <f>IF('Statement of Marks'!HW64="","",'Statement of Marks'!HW64)</f>
        <v/>
      </c>
      <c r="K62" s="392" t="str">
        <f>'Statement of Marks'!GN64</f>
        <v/>
      </c>
      <c r="L62" s="392" t="str">
        <f>'Statement of Marks'!GQ64</f>
        <v/>
      </c>
      <c r="M62" s="181" t="str">
        <f>'Statement of Marks'!GU64</f>
        <v/>
      </c>
      <c r="N62" s="181" t="str">
        <f>'Statement of Marks'!GV64</f>
        <v/>
      </c>
      <c r="O62" s="181" t="str">
        <f>'Statement of Marks'!GW64</f>
        <v/>
      </c>
      <c r="P62" s="181" t="str">
        <f>'Statement of Marks'!GX64</f>
        <v/>
      </c>
      <c r="Q62" s="181" t="str">
        <f>'Statement of Marks'!GY64</f>
        <v/>
      </c>
      <c r="R62" s="392" t="str">
        <f>'Statement of Marks'!HB64</f>
        <v/>
      </c>
      <c r="S62" s="392" t="str">
        <f>'Statement of Marks'!HE64</f>
        <v/>
      </c>
      <c r="T62" s="392" t="str">
        <f>'Statement of Marks'!HH64</f>
        <v/>
      </c>
      <c r="U62" s="392" t="str">
        <f>'Statement of Marks'!HK64</f>
        <v/>
      </c>
      <c r="V62" s="318" t="str">
        <f>IF(COUNTIF(K62:U62,"F")&gt;0,"",CONCATENATE('Statement of Marks'!HO64,'Statement of Marks'!HP64,'Statement of Marks'!HQ64))</f>
        <v xml:space="preserve">                  </v>
      </c>
      <c r="BI62" s="6" t="str">
        <f>IFERROR(VLOOKUP(B62,'Statement of Marks'!$B$7:'Statement of Marks'!$IC$206,41,0),"")</f>
        <v/>
      </c>
      <c r="BJ62" s="6" t="str">
        <f>IFERROR(VLOOKUP(B62,'Statement of Marks'!$B$7:'Statement of Marks'!$IC$206,66,0),"")</f>
        <v/>
      </c>
      <c r="BK62" s="6">
        <f>IFERROR(VLOOKUP(B62,'Statement of Marks'!$B$7:'Statement of Marks'!$IC$206,91,0),"")</f>
        <v>0</v>
      </c>
      <c r="BL62" s="6" t="str">
        <f>IFERROR(VLOOKUP(B62,'Statement of Marks'!$B$7:'Statement of Marks'!$IC$206,117,0),"")</f>
        <v/>
      </c>
    </row>
    <row r="63" spans="1:64" ht="21" customHeight="1">
      <c r="A63" s="169">
        <f>IF('Statement of Marks'!A65="","",'Statement of Marks'!A65)</f>
        <v>59</v>
      </c>
      <c r="B63" s="169" t="str">
        <f>IF('Statement of Marks'!B65="","",'Statement of Marks'!B65)</f>
        <v/>
      </c>
      <c r="C63" s="169" t="str">
        <f>IF('Statement of Marks'!D65="","",'Statement of Marks'!D65)</f>
        <v/>
      </c>
      <c r="D63" s="315" t="str">
        <f>IF('Statement of Marks'!E65="","",'Statement of Marks'!E65)</f>
        <v/>
      </c>
      <c r="E63" s="316" t="str">
        <f>IF('Statement of Marks'!F65="","",'Statement of Marks'!F65)</f>
        <v/>
      </c>
      <c r="F63" s="316" t="str">
        <f>IF('Statement of Marks'!G65="","",'Statement of Marks'!G65)</f>
        <v/>
      </c>
      <c r="G63" s="316" t="str">
        <f>IF('Statement of Marks'!H65="","",'Statement of Marks'!H65)</f>
        <v/>
      </c>
      <c r="H63" s="830" t="str">
        <f>IF('Statement of Marks'!HS65="","",'Statement of Marks'!HS65)</f>
        <v/>
      </c>
      <c r="I63" s="172" t="str">
        <f>IF('Statement of Marks'!HV65="","",'Statement of Marks'!HV65)</f>
        <v/>
      </c>
      <c r="J63" s="317" t="str">
        <f>IF('Statement of Marks'!HW65="","",'Statement of Marks'!HW65)</f>
        <v/>
      </c>
      <c r="K63" s="392" t="str">
        <f>'Statement of Marks'!GN65</f>
        <v/>
      </c>
      <c r="L63" s="392" t="str">
        <f>'Statement of Marks'!GQ65</f>
        <v/>
      </c>
      <c r="M63" s="181" t="str">
        <f>'Statement of Marks'!GU65</f>
        <v/>
      </c>
      <c r="N63" s="181" t="str">
        <f>'Statement of Marks'!GV65</f>
        <v/>
      </c>
      <c r="O63" s="181" t="str">
        <f>'Statement of Marks'!GW65</f>
        <v/>
      </c>
      <c r="P63" s="181" t="str">
        <f>'Statement of Marks'!GX65</f>
        <v/>
      </c>
      <c r="Q63" s="181" t="str">
        <f>'Statement of Marks'!GY65</f>
        <v/>
      </c>
      <c r="R63" s="392" t="str">
        <f>'Statement of Marks'!HB65</f>
        <v/>
      </c>
      <c r="S63" s="392" t="str">
        <f>'Statement of Marks'!HE65</f>
        <v/>
      </c>
      <c r="T63" s="392" t="str">
        <f>'Statement of Marks'!HH65</f>
        <v/>
      </c>
      <c r="U63" s="392" t="str">
        <f>'Statement of Marks'!HK65</f>
        <v/>
      </c>
      <c r="V63" s="318" t="str">
        <f>IF(COUNTIF(K63:U63,"F")&gt;0,"",CONCATENATE('Statement of Marks'!HO65,'Statement of Marks'!HP65,'Statement of Marks'!HQ65))</f>
        <v xml:space="preserve">                  </v>
      </c>
      <c r="BI63" s="6" t="str">
        <f>IFERROR(VLOOKUP(B63,'Statement of Marks'!$B$7:'Statement of Marks'!$IC$206,41,0),"")</f>
        <v/>
      </c>
      <c r="BJ63" s="6" t="str">
        <f>IFERROR(VLOOKUP(B63,'Statement of Marks'!$B$7:'Statement of Marks'!$IC$206,66,0),"")</f>
        <v/>
      </c>
      <c r="BK63" s="6">
        <f>IFERROR(VLOOKUP(B63,'Statement of Marks'!$B$7:'Statement of Marks'!$IC$206,91,0),"")</f>
        <v>0</v>
      </c>
      <c r="BL63" s="6" t="str">
        <f>IFERROR(VLOOKUP(B63,'Statement of Marks'!$B$7:'Statement of Marks'!$IC$206,117,0),"")</f>
        <v/>
      </c>
    </row>
    <row r="64" spans="1:64" ht="21" customHeight="1">
      <c r="A64" s="169">
        <f>IF('Statement of Marks'!A66="","",'Statement of Marks'!A66)</f>
        <v>60</v>
      </c>
      <c r="B64" s="169" t="str">
        <f>IF('Statement of Marks'!B66="","",'Statement of Marks'!B66)</f>
        <v/>
      </c>
      <c r="C64" s="169" t="str">
        <f>IF('Statement of Marks'!D66="","",'Statement of Marks'!D66)</f>
        <v/>
      </c>
      <c r="D64" s="315" t="str">
        <f>IF('Statement of Marks'!E66="","",'Statement of Marks'!E66)</f>
        <v/>
      </c>
      <c r="E64" s="316" t="str">
        <f>IF('Statement of Marks'!F66="","",'Statement of Marks'!F66)</f>
        <v/>
      </c>
      <c r="F64" s="316" t="str">
        <f>IF('Statement of Marks'!G66="","",'Statement of Marks'!G66)</f>
        <v/>
      </c>
      <c r="G64" s="316" t="str">
        <f>IF('Statement of Marks'!H66="","",'Statement of Marks'!H66)</f>
        <v/>
      </c>
      <c r="H64" s="830" t="str">
        <f>IF('Statement of Marks'!HS66="","",'Statement of Marks'!HS66)</f>
        <v/>
      </c>
      <c r="I64" s="172" t="str">
        <f>IF('Statement of Marks'!HV66="","",'Statement of Marks'!HV66)</f>
        <v/>
      </c>
      <c r="J64" s="317" t="str">
        <f>IF('Statement of Marks'!HW66="","",'Statement of Marks'!HW66)</f>
        <v/>
      </c>
      <c r="K64" s="392" t="str">
        <f>'Statement of Marks'!GN66</f>
        <v/>
      </c>
      <c r="L64" s="392" t="str">
        <f>'Statement of Marks'!GQ66</f>
        <v/>
      </c>
      <c r="M64" s="181" t="str">
        <f>'Statement of Marks'!GU66</f>
        <v/>
      </c>
      <c r="N64" s="181" t="str">
        <f>'Statement of Marks'!GV66</f>
        <v/>
      </c>
      <c r="O64" s="181" t="str">
        <f>'Statement of Marks'!GW66</f>
        <v/>
      </c>
      <c r="P64" s="181" t="str">
        <f>'Statement of Marks'!GX66</f>
        <v/>
      </c>
      <c r="Q64" s="181" t="str">
        <f>'Statement of Marks'!GY66</f>
        <v/>
      </c>
      <c r="R64" s="392" t="str">
        <f>'Statement of Marks'!HB66</f>
        <v/>
      </c>
      <c r="S64" s="392" t="str">
        <f>'Statement of Marks'!HE66</f>
        <v/>
      </c>
      <c r="T64" s="392" t="str">
        <f>'Statement of Marks'!HH66</f>
        <v/>
      </c>
      <c r="U64" s="392" t="str">
        <f>'Statement of Marks'!HK66</f>
        <v/>
      </c>
      <c r="V64" s="318" t="str">
        <f>IF(COUNTIF(K64:U64,"F")&gt;0,"",CONCATENATE('Statement of Marks'!HO66,'Statement of Marks'!HP66,'Statement of Marks'!HQ66))</f>
        <v xml:space="preserve">                  </v>
      </c>
      <c r="BI64" s="6" t="str">
        <f>IFERROR(VLOOKUP(B64,'Statement of Marks'!$B$7:'Statement of Marks'!$IC$206,41,0),"")</f>
        <v/>
      </c>
      <c r="BJ64" s="6" t="str">
        <f>IFERROR(VLOOKUP(B64,'Statement of Marks'!$B$7:'Statement of Marks'!$IC$206,66,0),"")</f>
        <v/>
      </c>
      <c r="BK64" s="6">
        <f>IFERROR(VLOOKUP(B64,'Statement of Marks'!$B$7:'Statement of Marks'!$IC$206,91,0),"")</f>
        <v>0</v>
      </c>
      <c r="BL64" s="6" t="str">
        <f>IFERROR(VLOOKUP(B64,'Statement of Marks'!$B$7:'Statement of Marks'!$IC$206,117,0),"")</f>
        <v/>
      </c>
    </row>
    <row r="65" spans="1:64" ht="21" customHeight="1">
      <c r="A65" s="169">
        <f>IF('Statement of Marks'!A67="","",'Statement of Marks'!A67)</f>
        <v>61</v>
      </c>
      <c r="B65" s="169" t="str">
        <f>IF('Statement of Marks'!B67="","",'Statement of Marks'!B67)</f>
        <v/>
      </c>
      <c r="C65" s="169" t="str">
        <f>IF('Statement of Marks'!D67="","",'Statement of Marks'!D67)</f>
        <v/>
      </c>
      <c r="D65" s="315" t="str">
        <f>IF('Statement of Marks'!E67="","",'Statement of Marks'!E67)</f>
        <v/>
      </c>
      <c r="E65" s="316" t="str">
        <f>IF('Statement of Marks'!F67="","",'Statement of Marks'!F67)</f>
        <v/>
      </c>
      <c r="F65" s="316" t="str">
        <f>IF('Statement of Marks'!G67="","",'Statement of Marks'!G67)</f>
        <v/>
      </c>
      <c r="G65" s="316" t="str">
        <f>IF('Statement of Marks'!H67="","",'Statement of Marks'!H67)</f>
        <v/>
      </c>
      <c r="H65" s="830" t="str">
        <f>IF('Statement of Marks'!HS67="","",'Statement of Marks'!HS67)</f>
        <v/>
      </c>
      <c r="I65" s="172" t="str">
        <f>IF('Statement of Marks'!HV67="","",'Statement of Marks'!HV67)</f>
        <v/>
      </c>
      <c r="J65" s="317" t="str">
        <f>IF('Statement of Marks'!HW67="","",'Statement of Marks'!HW67)</f>
        <v/>
      </c>
      <c r="K65" s="392" t="str">
        <f>'Statement of Marks'!GN67</f>
        <v/>
      </c>
      <c r="L65" s="392" t="str">
        <f>'Statement of Marks'!GQ67</f>
        <v/>
      </c>
      <c r="M65" s="181" t="str">
        <f>'Statement of Marks'!GU67</f>
        <v/>
      </c>
      <c r="N65" s="181" t="str">
        <f>'Statement of Marks'!GV67</f>
        <v/>
      </c>
      <c r="O65" s="181" t="str">
        <f>'Statement of Marks'!GW67</f>
        <v/>
      </c>
      <c r="P65" s="181" t="str">
        <f>'Statement of Marks'!GX67</f>
        <v/>
      </c>
      <c r="Q65" s="181" t="str">
        <f>'Statement of Marks'!GY67</f>
        <v/>
      </c>
      <c r="R65" s="392" t="str">
        <f>'Statement of Marks'!HB67</f>
        <v/>
      </c>
      <c r="S65" s="392" t="str">
        <f>'Statement of Marks'!HE67</f>
        <v/>
      </c>
      <c r="T65" s="392" t="str">
        <f>'Statement of Marks'!HH67</f>
        <v/>
      </c>
      <c r="U65" s="392" t="str">
        <f>'Statement of Marks'!HK67</f>
        <v/>
      </c>
      <c r="V65" s="318" t="str">
        <f>IF(COUNTIF(K65:U65,"F")&gt;0,"",CONCATENATE('Statement of Marks'!HO67,'Statement of Marks'!HP67,'Statement of Marks'!HQ67))</f>
        <v xml:space="preserve">                  </v>
      </c>
      <c r="BI65" s="6" t="str">
        <f>IFERROR(VLOOKUP(B65,'Statement of Marks'!$B$7:'Statement of Marks'!$IC$206,41,0),"")</f>
        <v/>
      </c>
      <c r="BJ65" s="6" t="str">
        <f>IFERROR(VLOOKUP(B65,'Statement of Marks'!$B$7:'Statement of Marks'!$IC$206,66,0),"")</f>
        <v/>
      </c>
      <c r="BK65" s="6">
        <f>IFERROR(VLOOKUP(B65,'Statement of Marks'!$B$7:'Statement of Marks'!$IC$206,91,0),"")</f>
        <v>0</v>
      </c>
      <c r="BL65" s="6" t="str">
        <f>IFERROR(VLOOKUP(B65,'Statement of Marks'!$B$7:'Statement of Marks'!$IC$206,117,0),"")</f>
        <v/>
      </c>
    </row>
    <row r="66" spans="1:64" ht="21" customHeight="1">
      <c r="A66" s="169">
        <f>IF('Statement of Marks'!A68="","",'Statement of Marks'!A68)</f>
        <v>62</v>
      </c>
      <c r="B66" s="169" t="str">
        <f>IF('Statement of Marks'!B68="","",'Statement of Marks'!B68)</f>
        <v/>
      </c>
      <c r="C66" s="169" t="str">
        <f>IF('Statement of Marks'!D68="","",'Statement of Marks'!D68)</f>
        <v/>
      </c>
      <c r="D66" s="315" t="str">
        <f>IF('Statement of Marks'!E68="","",'Statement of Marks'!E68)</f>
        <v/>
      </c>
      <c r="E66" s="316" t="str">
        <f>IF('Statement of Marks'!F68="","",'Statement of Marks'!F68)</f>
        <v/>
      </c>
      <c r="F66" s="316" t="str">
        <f>IF('Statement of Marks'!G68="","",'Statement of Marks'!G68)</f>
        <v/>
      </c>
      <c r="G66" s="316" t="str">
        <f>IF('Statement of Marks'!H68="","",'Statement of Marks'!H68)</f>
        <v/>
      </c>
      <c r="H66" s="830" t="str">
        <f>IF('Statement of Marks'!HS68="","",'Statement of Marks'!HS68)</f>
        <v/>
      </c>
      <c r="I66" s="172" t="str">
        <f>IF('Statement of Marks'!HV68="","",'Statement of Marks'!HV68)</f>
        <v/>
      </c>
      <c r="J66" s="317" t="str">
        <f>IF('Statement of Marks'!HW68="","",'Statement of Marks'!HW68)</f>
        <v/>
      </c>
      <c r="K66" s="392" t="str">
        <f>'Statement of Marks'!GN68</f>
        <v/>
      </c>
      <c r="L66" s="392" t="str">
        <f>'Statement of Marks'!GQ68</f>
        <v/>
      </c>
      <c r="M66" s="181" t="str">
        <f>'Statement of Marks'!GU68</f>
        <v/>
      </c>
      <c r="N66" s="181" t="str">
        <f>'Statement of Marks'!GV68</f>
        <v/>
      </c>
      <c r="O66" s="181" t="str">
        <f>'Statement of Marks'!GW68</f>
        <v/>
      </c>
      <c r="P66" s="181" t="str">
        <f>'Statement of Marks'!GX68</f>
        <v/>
      </c>
      <c r="Q66" s="181" t="str">
        <f>'Statement of Marks'!GY68</f>
        <v/>
      </c>
      <c r="R66" s="392" t="str">
        <f>'Statement of Marks'!HB68</f>
        <v/>
      </c>
      <c r="S66" s="392" t="str">
        <f>'Statement of Marks'!HE68</f>
        <v/>
      </c>
      <c r="T66" s="392" t="str">
        <f>'Statement of Marks'!HH68</f>
        <v/>
      </c>
      <c r="U66" s="392" t="str">
        <f>'Statement of Marks'!HK68</f>
        <v/>
      </c>
      <c r="V66" s="318" t="str">
        <f>IF(COUNTIF(K66:U66,"F")&gt;0,"",CONCATENATE('Statement of Marks'!HO68,'Statement of Marks'!HP68,'Statement of Marks'!HQ68))</f>
        <v xml:space="preserve">                  </v>
      </c>
      <c r="BI66" s="6" t="str">
        <f>IFERROR(VLOOKUP(B66,'Statement of Marks'!$B$7:'Statement of Marks'!$IC$206,41,0),"")</f>
        <v/>
      </c>
      <c r="BJ66" s="6" t="str">
        <f>IFERROR(VLOOKUP(B66,'Statement of Marks'!$B$7:'Statement of Marks'!$IC$206,66,0),"")</f>
        <v/>
      </c>
      <c r="BK66" s="6">
        <f>IFERROR(VLOOKUP(B66,'Statement of Marks'!$B$7:'Statement of Marks'!$IC$206,91,0),"")</f>
        <v>0</v>
      </c>
      <c r="BL66" s="6" t="str">
        <f>IFERROR(VLOOKUP(B66,'Statement of Marks'!$B$7:'Statement of Marks'!$IC$206,117,0),"")</f>
        <v/>
      </c>
    </row>
    <row r="67" spans="1:64" ht="21" customHeight="1">
      <c r="A67" s="169">
        <f>IF('Statement of Marks'!A69="","",'Statement of Marks'!A69)</f>
        <v>63</v>
      </c>
      <c r="B67" s="169" t="str">
        <f>IF('Statement of Marks'!B69="","",'Statement of Marks'!B69)</f>
        <v/>
      </c>
      <c r="C67" s="169" t="str">
        <f>IF('Statement of Marks'!D69="","",'Statement of Marks'!D69)</f>
        <v/>
      </c>
      <c r="D67" s="315" t="str">
        <f>IF('Statement of Marks'!E69="","",'Statement of Marks'!E69)</f>
        <v/>
      </c>
      <c r="E67" s="316" t="str">
        <f>IF('Statement of Marks'!F69="","",'Statement of Marks'!F69)</f>
        <v/>
      </c>
      <c r="F67" s="316" t="str">
        <f>IF('Statement of Marks'!G69="","",'Statement of Marks'!G69)</f>
        <v/>
      </c>
      <c r="G67" s="316" t="str">
        <f>IF('Statement of Marks'!H69="","",'Statement of Marks'!H69)</f>
        <v/>
      </c>
      <c r="H67" s="830" t="str">
        <f>IF('Statement of Marks'!HS69="","",'Statement of Marks'!HS69)</f>
        <v/>
      </c>
      <c r="I67" s="172" t="str">
        <f>IF('Statement of Marks'!HV69="","",'Statement of Marks'!HV69)</f>
        <v/>
      </c>
      <c r="J67" s="317" t="str">
        <f>IF('Statement of Marks'!HW69="","",'Statement of Marks'!HW69)</f>
        <v/>
      </c>
      <c r="K67" s="392" t="str">
        <f>'Statement of Marks'!GN69</f>
        <v/>
      </c>
      <c r="L67" s="392" t="str">
        <f>'Statement of Marks'!GQ69</f>
        <v/>
      </c>
      <c r="M67" s="181" t="str">
        <f>'Statement of Marks'!GU69</f>
        <v/>
      </c>
      <c r="N67" s="181" t="str">
        <f>'Statement of Marks'!GV69</f>
        <v/>
      </c>
      <c r="O67" s="181" t="str">
        <f>'Statement of Marks'!GW69</f>
        <v/>
      </c>
      <c r="P67" s="181" t="str">
        <f>'Statement of Marks'!GX69</f>
        <v/>
      </c>
      <c r="Q67" s="181" t="str">
        <f>'Statement of Marks'!GY69</f>
        <v/>
      </c>
      <c r="R67" s="392" t="str">
        <f>'Statement of Marks'!HB69</f>
        <v/>
      </c>
      <c r="S67" s="392" t="str">
        <f>'Statement of Marks'!HE69</f>
        <v/>
      </c>
      <c r="T67" s="392" t="str">
        <f>'Statement of Marks'!HH69</f>
        <v/>
      </c>
      <c r="U67" s="392" t="str">
        <f>'Statement of Marks'!HK69</f>
        <v/>
      </c>
      <c r="V67" s="318" t="str">
        <f>IF(COUNTIF(K67:U67,"F")&gt;0,"",CONCATENATE('Statement of Marks'!HO69,'Statement of Marks'!HP69,'Statement of Marks'!HQ69))</f>
        <v xml:space="preserve">                  </v>
      </c>
      <c r="BI67" s="6" t="str">
        <f>IFERROR(VLOOKUP(B67,'Statement of Marks'!$B$7:'Statement of Marks'!$IC$206,41,0),"")</f>
        <v/>
      </c>
      <c r="BJ67" s="6" t="str">
        <f>IFERROR(VLOOKUP(B67,'Statement of Marks'!$B$7:'Statement of Marks'!$IC$206,66,0),"")</f>
        <v/>
      </c>
      <c r="BK67" s="6">
        <f>IFERROR(VLOOKUP(B67,'Statement of Marks'!$B$7:'Statement of Marks'!$IC$206,91,0),"")</f>
        <v>0</v>
      </c>
      <c r="BL67" s="6" t="str">
        <f>IFERROR(VLOOKUP(B67,'Statement of Marks'!$B$7:'Statement of Marks'!$IC$206,117,0),"")</f>
        <v/>
      </c>
    </row>
    <row r="68" spans="1:64" ht="21" customHeight="1">
      <c r="A68" s="169">
        <f>IF('Statement of Marks'!A70="","",'Statement of Marks'!A70)</f>
        <v>64</v>
      </c>
      <c r="B68" s="169" t="str">
        <f>IF('Statement of Marks'!B70="","",'Statement of Marks'!B70)</f>
        <v/>
      </c>
      <c r="C68" s="169" t="str">
        <f>IF('Statement of Marks'!D70="","",'Statement of Marks'!D70)</f>
        <v/>
      </c>
      <c r="D68" s="315" t="str">
        <f>IF('Statement of Marks'!E70="","",'Statement of Marks'!E70)</f>
        <v/>
      </c>
      <c r="E68" s="316" t="str">
        <f>IF('Statement of Marks'!F70="","",'Statement of Marks'!F70)</f>
        <v/>
      </c>
      <c r="F68" s="316" t="str">
        <f>IF('Statement of Marks'!G70="","",'Statement of Marks'!G70)</f>
        <v/>
      </c>
      <c r="G68" s="316" t="str">
        <f>IF('Statement of Marks'!H70="","",'Statement of Marks'!H70)</f>
        <v/>
      </c>
      <c r="H68" s="830" t="str">
        <f>IF('Statement of Marks'!HS70="","",'Statement of Marks'!HS70)</f>
        <v/>
      </c>
      <c r="I68" s="172" t="str">
        <f>IF('Statement of Marks'!HV70="","",'Statement of Marks'!HV70)</f>
        <v/>
      </c>
      <c r="J68" s="317" t="str">
        <f>IF('Statement of Marks'!HW70="","",'Statement of Marks'!HW70)</f>
        <v/>
      </c>
      <c r="K68" s="392" t="str">
        <f>'Statement of Marks'!GN70</f>
        <v/>
      </c>
      <c r="L68" s="392" t="str">
        <f>'Statement of Marks'!GQ70</f>
        <v/>
      </c>
      <c r="M68" s="181" t="str">
        <f>'Statement of Marks'!GU70</f>
        <v/>
      </c>
      <c r="N68" s="181" t="str">
        <f>'Statement of Marks'!GV70</f>
        <v/>
      </c>
      <c r="O68" s="181" t="str">
        <f>'Statement of Marks'!GW70</f>
        <v/>
      </c>
      <c r="P68" s="181" t="str">
        <f>'Statement of Marks'!GX70</f>
        <v/>
      </c>
      <c r="Q68" s="181" t="str">
        <f>'Statement of Marks'!GY70</f>
        <v/>
      </c>
      <c r="R68" s="392" t="str">
        <f>'Statement of Marks'!HB70</f>
        <v/>
      </c>
      <c r="S68" s="392" t="str">
        <f>'Statement of Marks'!HE70</f>
        <v/>
      </c>
      <c r="T68" s="392" t="str">
        <f>'Statement of Marks'!HH70</f>
        <v/>
      </c>
      <c r="U68" s="392" t="str">
        <f>'Statement of Marks'!HK70</f>
        <v/>
      </c>
      <c r="V68" s="318" t="str">
        <f>IF(COUNTIF(K68:U68,"F")&gt;0,"",CONCATENATE('Statement of Marks'!HO70,'Statement of Marks'!HP70,'Statement of Marks'!HQ70))</f>
        <v xml:space="preserve">                  </v>
      </c>
      <c r="BI68" s="6" t="str">
        <f>IFERROR(VLOOKUP(B68,'Statement of Marks'!$B$7:'Statement of Marks'!$IC$206,41,0),"")</f>
        <v/>
      </c>
      <c r="BJ68" s="6" t="str">
        <f>IFERROR(VLOOKUP(B68,'Statement of Marks'!$B$7:'Statement of Marks'!$IC$206,66,0),"")</f>
        <v/>
      </c>
      <c r="BK68" s="6">
        <f>IFERROR(VLOOKUP(B68,'Statement of Marks'!$B$7:'Statement of Marks'!$IC$206,91,0),"")</f>
        <v>0</v>
      </c>
      <c r="BL68" s="6" t="str">
        <f>IFERROR(VLOOKUP(B68,'Statement of Marks'!$B$7:'Statement of Marks'!$IC$206,117,0),"")</f>
        <v/>
      </c>
    </row>
    <row r="69" spans="1:64" ht="21" customHeight="1">
      <c r="A69" s="169">
        <f>IF('Statement of Marks'!A71="","",'Statement of Marks'!A71)</f>
        <v>65</v>
      </c>
      <c r="B69" s="169" t="str">
        <f>IF('Statement of Marks'!B71="","",'Statement of Marks'!B71)</f>
        <v/>
      </c>
      <c r="C69" s="169" t="str">
        <f>IF('Statement of Marks'!D71="","",'Statement of Marks'!D71)</f>
        <v/>
      </c>
      <c r="D69" s="315" t="str">
        <f>IF('Statement of Marks'!E71="","",'Statement of Marks'!E71)</f>
        <v/>
      </c>
      <c r="E69" s="316" t="str">
        <f>IF('Statement of Marks'!F71="","",'Statement of Marks'!F71)</f>
        <v/>
      </c>
      <c r="F69" s="316" t="str">
        <f>IF('Statement of Marks'!G71="","",'Statement of Marks'!G71)</f>
        <v/>
      </c>
      <c r="G69" s="316" t="str">
        <f>IF('Statement of Marks'!H71="","",'Statement of Marks'!H71)</f>
        <v/>
      </c>
      <c r="H69" s="830" t="str">
        <f>IF('Statement of Marks'!HS71="","",'Statement of Marks'!HS71)</f>
        <v/>
      </c>
      <c r="I69" s="172" t="str">
        <f>IF('Statement of Marks'!HV71="","",'Statement of Marks'!HV71)</f>
        <v/>
      </c>
      <c r="J69" s="317" t="str">
        <f>IF('Statement of Marks'!HW71="","",'Statement of Marks'!HW71)</f>
        <v/>
      </c>
      <c r="K69" s="392" t="str">
        <f>'Statement of Marks'!GN71</f>
        <v/>
      </c>
      <c r="L69" s="392" t="str">
        <f>'Statement of Marks'!GQ71</f>
        <v/>
      </c>
      <c r="M69" s="181" t="str">
        <f>'Statement of Marks'!GU71</f>
        <v/>
      </c>
      <c r="N69" s="181" t="str">
        <f>'Statement of Marks'!GV71</f>
        <v/>
      </c>
      <c r="O69" s="181" t="str">
        <f>'Statement of Marks'!GW71</f>
        <v/>
      </c>
      <c r="P69" s="181" t="str">
        <f>'Statement of Marks'!GX71</f>
        <v/>
      </c>
      <c r="Q69" s="181" t="str">
        <f>'Statement of Marks'!GY71</f>
        <v/>
      </c>
      <c r="R69" s="392" t="str">
        <f>'Statement of Marks'!HB71</f>
        <v/>
      </c>
      <c r="S69" s="392" t="str">
        <f>'Statement of Marks'!HE71</f>
        <v/>
      </c>
      <c r="T69" s="392" t="str">
        <f>'Statement of Marks'!HH71</f>
        <v/>
      </c>
      <c r="U69" s="392" t="str">
        <f>'Statement of Marks'!HK71</f>
        <v/>
      </c>
      <c r="V69" s="318" t="str">
        <f>IF(COUNTIF(K69:U69,"F")&gt;0,"",CONCATENATE('Statement of Marks'!HO71,'Statement of Marks'!HP71,'Statement of Marks'!HQ71))</f>
        <v xml:space="preserve">                  </v>
      </c>
      <c r="BI69" s="6" t="str">
        <f>IFERROR(VLOOKUP(B69,'Statement of Marks'!$B$7:'Statement of Marks'!$IC$206,41,0),"")</f>
        <v/>
      </c>
      <c r="BJ69" s="6" t="str">
        <f>IFERROR(VLOOKUP(B69,'Statement of Marks'!$B$7:'Statement of Marks'!$IC$206,66,0),"")</f>
        <v/>
      </c>
      <c r="BK69" s="6">
        <f>IFERROR(VLOOKUP(B69,'Statement of Marks'!$B$7:'Statement of Marks'!$IC$206,91,0),"")</f>
        <v>0</v>
      </c>
      <c r="BL69" s="6" t="str">
        <f>IFERROR(VLOOKUP(B69,'Statement of Marks'!$B$7:'Statement of Marks'!$IC$206,117,0),"")</f>
        <v/>
      </c>
    </row>
    <row r="70" spans="1:64" ht="21" customHeight="1">
      <c r="A70" s="169">
        <f>IF('Statement of Marks'!A72="","",'Statement of Marks'!A72)</f>
        <v>66</v>
      </c>
      <c r="B70" s="169" t="str">
        <f>IF('Statement of Marks'!B72="","",'Statement of Marks'!B72)</f>
        <v/>
      </c>
      <c r="C70" s="169" t="str">
        <f>IF('Statement of Marks'!D72="","",'Statement of Marks'!D72)</f>
        <v/>
      </c>
      <c r="D70" s="315" t="str">
        <f>IF('Statement of Marks'!E72="","",'Statement of Marks'!E72)</f>
        <v/>
      </c>
      <c r="E70" s="316" t="str">
        <f>IF('Statement of Marks'!F72="","",'Statement of Marks'!F72)</f>
        <v/>
      </c>
      <c r="F70" s="316" t="str">
        <f>IF('Statement of Marks'!G72="","",'Statement of Marks'!G72)</f>
        <v/>
      </c>
      <c r="G70" s="316" t="str">
        <f>IF('Statement of Marks'!H72="","",'Statement of Marks'!H72)</f>
        <v/>
      </c>
      <c r="H70" s="830" t="str">
        <f>IF('Statement of Marks'!HS72="","",'Statement of Marks'!HS72)</f>
        <v/>
      </c>
      <c r="I70" s="172" t="str">
        <f>IF('Statement of Marks'!HV72="","",'Statement of Marks'!HV72)</f>
        <v/>
      </c>
      <c r="J70" s="317" t="str">
        <f>IF('Statement of Marks'!HW72="","",'Statement of Marks'!HW72)</f>
        <v/>
      </c>
      <c r="K70" s="392" t="str">
        <f>'Statement of Marks'!GN72</f>
        <v/>
      </c>
      <c r="L70" s="392" t="str">
        <f>'Statement of Marks'!GQ72</f>
        <v/>
      </c>
      <c r="M70" s="181" t="str">
        <f>'Statement of Marks'!GU72</f>
        <v/>
      </c>
      <c r="N70" s="181" t="str">
        <f>'Statement of Marks'!GV72</f>
        <v/>
      </c>
      <c r="O70" s="181" t="str">
        <f>'Statement of Marks'!GW72</f>
        <v/>
      </c>
      <c r="P70" s="181" t="str">
        <f>'Statement of Marks'!GX72</f>
        <v/>
      </c>
      <c r="Q70" s="181" t="str">
        <f>'Statement of Marks'!GY72</f>
        <v/>
      </c>
      <c r="R70" s="392" t="str">
        <f>'Statement of Marks'!HB72</f>
        <v/>
      </c>
      <c r="S70" s="392" t="str">
        <f>'Statement of Marks'!HE72</f>
        <v/>
      </c>
      <c r="T70" s="392" t="str">
        <f>'Statement of Marks'!HH72</f>
        <v/>
      </c>
      <c r="U70" s="392" t="str">
        <f>'Statement of Marks'!HK72</f>
        <v/>
      </c>
      <c r="V70" s="318" t="str">
        <f>IF(COUNTIF(K70:U70,"F")&gt;0,"",CONCATENATE('Statement of Marks'!HO72,'Statement of Marks'!HP72,'Statement of Marks'!HQ72))</f>
        <v xml:space="preserve">                  </v>
      </c>
      <c r="BI70" s="6" t="str">
        <f>IFERROR(VLOOKUP(B70,'Statement of Marks'!$B$7:'Statement of Marks'!$IC$206,41,0),"")</f>
        <v/>
      </c>
      <c r="BJ70" s="6" t="str">
        <f>IFERROR(VLOOKUP(B70,'Statement of Marks'!$B$7:'Statement of Marks'!$IC$206,66,0),"")</f>
        <v/>
      </c>
      <c r="BK70" s="6">
        <f>IFERROR(VLOOKUP(B70,'Statement of Marks'!$B$7:'Statement of Marks'!$IC$206,91,0),"")</f>
        <v>0</v>
      </c>
      <c r="BL70" s="6" t="str">
        <f>IFERROR(VLOOKUP(B70,'Statement of Marks'!$B$7:'Statement of Marks'!$IC$206,117,0),"")</f>
        <v/>
      </c>
    </row>
    <row r="71" spans="1:64" ht="21" customHeight="1">
      <c r="A71" s="169">
        <f>IF('Statement of Marks'!A73="","",'Statement of Marks'!A73)</f>
        <v>67</v>
      </c>
      <c r="B71" s="169" t="str">
        <f>IF('Statement of Marks'!B73="","",'Statement of Marks'!B73)</f>
        <v/>
      </c>
      <c r="C71" s="169" t="str">
        <f>IF('Statement of Marks'!D73="","",'Statement of Marks'!D73)</f>
        <v/>
      </c>
      <c r="D71" s="315" t="str">
        <f>IF('Statement of Marks'!E73="","",'Statement of Marks'!E73)</f>
        <v/>
      </c>
      <c r="E71" s="316" t="str">
        <f>IF('Statement of Marks'!F73="","",'Statement of Marks'!F73)</f>
        <v/>
      </c>
      <c r="F71" s="316" t="str">
        <f>IF('Statement of Marks'!G73="","",'Statement of Marks'!G73)</f>
        <v/>
      </c>
      <c r="G71" s="316" t="str">
        <f>IF('Statement of Marks'!H73="","",'Statement of Marks'!H73)</f>
        <v/>
      </c>
      <c r="H71" s="830" t="str">
        <f>IF('Statement of Marks'!HS73="","",'Statement of Marks'!HS73)</f>
        <v/>
      </c>
      <c r="I71" s="172" t="str">
        <f>IF('Statement of Marks'!HV73="","",'Statement of Marks'!HV73)</f>
        <v/>
      </c>
      <c r="J71" s="317" t="str">
        <f>IF('Statement of Marks'!HW73="","",'Statement of Marks'!HW73)</f>
        <v/>
      </c>
      <c r="K71" s="392" t="str">
        <f>'Statement of Marks'!GN73</f>
        <v/>
      </c>
      <c r="L71" s="392" t="str">
        <f>'Statement of Marks'!GQ73</f>
        <v/>
      </c>
      <c r="M71" s="181" t="str">
        <f>'Statement of Marks'!GU73</f>
        <v/>
      </c>
      <c r="N71" s="181" t="str">
        <f>'Statement of Marks'!GV73</f>
        <v/>
      </c>
      <c r="O71" s="181" t="str">
        <f>'Statement of Marks'!GW73</f>
        <v/>
      </c>
      <c r="P71" s="181" t="str">
        <f>'Statement of Marks'!GX73</f>
        <v/>
      </c>
      <c r="Q71" s="181" t="str">
        <f>'Statement of Marks'!GY73</f>
        <v/>
      </c>
      <c r="R71" s="392" t="str">
        <f>'Statement of Marks'!HB73</f>
        <v/>
      </c>
      <c r="S71" s="392" t="str">
        <f>'Statement of Marks'!HE73</f>
        <v/>
      </c>
      <c r="T71" s="392" t="str">
        <f>'Statement of Marks'!HH73</f>
        <v/>
      </c>
      <c r="U71" s="392" t="str">
        <f>'Statement of Marks'!HK73</f>
        <v/>
      </c>
      <c r="V71" s="318" t="str">
        <f>IF(COUNTIF(K71:U71,"F")&gt;0,"",CONCATENATE('Statement of Marks'!HO73,'Statement of Marks'!HP73,'Statement of Marks'!HQ73))</f>
        <v xml:space="preserve">                  </v>
      </c>
      <c r="BI71" s="6" t="str">
        <f>IFERROR(VLOOKUP(B71,'Statement of Marks'!$B$7:'Statement of Marks'!$IC$206,41,0),"")</f>
        <v/>
      </c>
      <c r="BJ71" s="6" t="str">
        <f>IFERROR(VLOOKUP(B71,'Statement of Marks'!$B$7:'Statement of Marks'!$IC$206,66,0),"")</f>
        <v/>
      </c>
      <c r="BK71" s="6">
        <f>IFERROR(VLOOKUP(B71,'Statement of Marks'!$B$7:'Statement of Marks'!$IC$206,91,0),"")</f>
        <v>0</v>
      </c>
      <c r="BL71" s="6" t="str">
        <f>IFERROR(VLOOKUP(B71,'Statement of Marks'!$B$7:'Statement of Marks'!$IC$206,117,0),"")</f>
        <v/>
      </c>
    </row>
    <row r="72" spans="1:64" ht="21" customHeight="1">
      <c r="A72" s="169">
        <f>IF('Statement of Marks'!A74="","",'Statement of Marks'!A74)</f>
        <v>68</v>
      </c>
      <c r="B72" s="169" t="str">
        <f>IF('Statement of Marks'!B74="","",'Statement of Marks'!B74)</f>
        <v/>
      </c>
      <c r="C72" s="169" t="str">
        <f>IF('Statement of Marks'!D74="","",'Statement of Marks'!D74)</f>
        <v/>
      </c>
      <c r="D72" s="315" t="str">
        <f>IF('Statement of Marks'!E74="","",'Statement of Marks'!E74)</f>
        <v/>
      </c>
      <c r="E72" s="316" t="str">
        <f>IF('Statement of Marks'!F74="","",'Statement of Marks'!F74)</f>
        <v/>
      </c>
      <c r="F72" s="316" t="str">
        <f>IF('Statement of Marks'!G74="","",'Statement of Marks'!G74)</f>
        <v/>
      </c>
      <c r="G72" s="316" t="str">
        <f>IF('Statement of Marks'!H74="","",'Statement of Marks'!H74)</f>
        <v/>
      </c>
      <c r="H72" s="830" t="str">
        <f>IF('Statement of Marks'!HS74="","",'Statement of Marks'!HS74)</f>
        <v/>
      </c>
      <c r="I72" s="172" t="str">
        <f>IF('Statement of Marks'!HV74="","",'Statement of Marks'!HV74)</f>
        <v/>
      </c>
      <c r="J72" s="317" t="str">
        <f>IF('Statement of Marks'!HW74="","",'Statement of Marks'!HW74)</f>
        <v/>
      </c>
      <c r="K72" s="392" t="str">
        <f>'Statement of Marks'!GN74</f>
        <v/>
      </c>
      <c r="L72" s="392" t="str">
        <f>'Statement of Marks'!GQ74</f>
        <v/>
      </c>
      <c r="M72" s="181" t="str">
        <f>'Statement of Marks'!GU74</f>
        <v/>
      </c>
      <c r="N72" s="181" t="str">
        <f>'Statement of Marks'!GV74</f>
        <v/>
      </c>
      <c r="O72" s="181" t="str">
        <f>'Statement of Marks'!GW74</f>
        <v/>
      </c>
      <c r="P72" s="181" t="str">
        <f>'Statement of Marks'!GX74</f>
        <v/>
      </c>
      <c r="Q72" s="181" t="str">
        <f>'Statement of Marks'!GY74</f>
        <v/>
      </c>
      <c r="R72" s="392" t="str">
        <f>'Statement of Marks'!HB74</f>
        <v/>
      </c>
      <c r="S72" s="392" t="str">
        <f>'Statement of Marks'!HE74</f>
        <v/>
      </c>
      <c r="T72" s="392" t="str">
        <f>'Statement of Marks'!HH74</f>
        <v/>
      </c>
      <c r="U72" s="392" t="str">
        <f>'Statement of Marks'!HK74</f>
        <v/>
      </c>
      <c r="V72" s="318" t="str">
        <f>IF(COUNTIF(K72:U72,"F")&gt;0,"",CONCATENATE('Statement of Marks'!HO74,'Statement of Marks'!HP74,'Statement of Marks'!HQ74))</f>
        <v xml:space="preserve">                  </v>
      </c>
      <c r="BI72" s="6" t="str">
        <f>IFERROR(VLOOKUP(B72,'Statement of Marks'!$B$7:'Statement of Marks'!$IC$206,41,0),"")</f>
        <v/>
      </c>
      <c r="BJ72" s="6" t="str">
        <f>IFERROR(VLOOKUP(B72,'Statement of Marks'!$B$7:'Statement of Marks'!$IC$206,66,0),"")</f>
        <v/>
      </c>
      <c r="BK72" s="6">
        <f>IFERROR(VLOOKUP(B72,'Statement of Marks'!$B$7:'Statement of Marks'!$IC$206,91,0),"")</f>
        <v>0</v>
      </c>
      <c r="BL72" s="6" t="str">
        <f>IFERROR(VLOOKUP(B72,'Statement of Marks'!$B$7:'Statement of Marks'!$IC$206,117,0),"")</f>
        <v/>
      </c>
    </row>
    <row r="73" spans="1:64" ht="21" customHeight="1">
      <c r="A73" s="169">
        <f>IF('Statement of Marks'!A75="","",'Statement of Marks'!A75)</f>
        <v>69</v>
      </c>
      <c r="B73" s="169" t="str">
        <f>IF('Statement of Marks'!B75="","",'Statement of Marks'!B75)</f>
        <v/>
      </c>
      <c r="C73" s="169" t="str">
        <f>IF('Statement of Marks'!D75="","",'Statement of Marks'!D75)</f>
        <v/>
      </c>
      <c r="D73" s="315" t="str">
        <f>IF('Statement of Marks'!E75="","",'Statement of Marks'!E75)</f>
        <v/>
      </c>
      <c r="E73" s="316" t="str">
        <f>IF('Statement of Marks'!F75="","",'Statement of Marks'!F75)</f>
        <v/>
      </c>
      <c r="F73" s="316" t="str">
        <f>IF('Statement of Marks'!G75="","",'Statement of Marks'!G75)</f>
        <v/>
      </c>
      <c r="G73" s="316" t="str">
        <f>IF('Statement of Marks'!H75="","",'Statement of Marks'!H75)</f>
        <v/>
      </c>
      <c r="H73" s="830" t="str">
        <f>IF('Statement of Marks'!HS75="","",'Statement of Marks'!HS75)</f>
        <v/>
      </c>
      <c r="I73" s="172" t="str">
        <f>IF('Statement of Marks'!HV75="","",'Statement of Marks'!HV75)</f>
        <v/>
      </c>
      <c r="J73" s="317" t="str">
        <f>IF('Statement of Marks'!HW75="","",'Statement of Marks'!HW75)</f>
        <v/>
      </c>
      <c r="K73" s="392" t="str">
        <f>'Statement of Marks'!GN75</f>
        <v/>
      </c>
      <c r="L73" s="392" t="str">
        <f>'Statement of Marks'!GQ75</f>
        <v/>
      </c>
      <c r="M73" s="181" t="str">
        <f>'Statement of Marks'!GU75</f>
        <v/>
      </c>
      <c r="N73" s="181" t="str">
        <f>'Statement of Marks'!GV75</f>
        <v/>
      </c>
      <c r="O73" s="181" t="str">
        <f>'Statement of Marks'!GW75</f>
        <v/>
      </c>
      <c r="P73" s="181" t="str">
        <f>'Statement of Marks'!GX75</f>
        <v/>
      </c>
      <c r="Q73" s="181" t="str">
        <f>'Statement of Marks'!GY75</f>
        <v/>
      </c>
      <c r="R73" s="392" t="str">
        <f>'Statement of Marks'!HB75</f>
        <v/>
      </c>
      <c r="S73" s="392" t="str">
        <f>'Statement of Marks'!HE75</f>
        <v/>
      </c>
      <c r="T73" s="392" t="str">
        <f>'Statement of Marks'!HH75</f>
        <v/>
      </c>
      <c r="U73" s="392" t="str">
        <f>'Statement of Marks'!HK75</f>
        <v/>
      </c>
      <c r="V73" s="318" t="str">
        <f>IF(COUNTIF(K73:U73,"F")&gt;0,"",CONCATENATE('Statement of Marks'!HO75,'Statement of Marks'!HP75,'Statement of Marks'!HQ75))</f>
        <v xml:space="preserve">                  </v>
      </c>
      <c r="BI73" s="6" t="str">
        <f>IFERROR(VLOOKUP(B73,'Statement of Marks'!$B$7:'Statement of Marks'!$IC$206,41,0),"")</f>
        <v/>
      </c>
      <c r="BJ73" s="6" t="str">
        <f>IFERROR(VLOOKUP(B73,'Statement of Marks'!$B$7:'Statement of Marks'!$IC$206,66,0),"")</f>
        <v/>
      </c>
      <c r="BK73" s="6">
        <f>IFERROR(VLOOKUP(B73,'Statement of Marks'!$B$7:'Statement of Marks'!$IC$206,91,0),"")</f>
        <v>0</v>
      </c>
      <c r="BL73" s="6" t="str">
        <f>IFERROR(VLOOKUP(B73,'Statement of Marks'!$B$7:'Statement of Marks'!$IC$206,117,0),"")</f>
        <v/>
      </c>
    </row>
    <row r="74" spans="1:64" ht="21" customHeight="1">
      <c r="A74" s="169">
        <f>IF('Statement of Marks'!A76="","",'Statement of Marks'!A76)</f>
        <v>70</v>
      </c>
      <c r="B74" s="169" t="str">
        <f>IF('Statement of Marks'!B76="","",'Statement of Marks'!B76)</f>
        <v/>
      </c>
      <c r="C74" s="169" t="str">
        <f>IF('Statement of Marks'!D76="","",'Statement of Marks'!D76)</f>
        <v/>
      </c>
      <c r="D74" s="315" t="str">
        <f>IF('Statement of Marks'!E76="","",'Statement of Marks'!E76)</f>
        <v/>
      </c>
      <c r="E74" s="316" t="str">
        <f>IF('Statement of Marks'!F76="","",'Statement of Marks'!F76)</f>
        <v/>
      </c>
      <c r="F74" s="316" t="str">
        <f>IF('Statement of Marks'!G76="","",'Statement of Marks'!G76)</f>
        <v/>
      </c>
      <c r="G74" s="316" t="str">
        <f>IF('Statement of Marks'!H76="","",'Statement of Marks'!H76)</f>
        <v/>
      </c>
      <c r="H74" s="830" t="str">
        <f>IF('Statement of Marks'!HS76="","",'Statement of Marks'!HS76)</f>
        <v/>
      </c>
      <c r="I74" s="172" t="str">
        <f>IF('Statement of Marks'!HV76="","",'Statement of Marks'!HV76)</f>
        <v/>
      </c>
      <c r="J74" s="317" t="str">
        <f>IF('Statement of Marks'!HW76="","",'Statement of Marks'!HW76)</f>
        <v/>
      </c>
      <c r="K74" s="392" t="str">
        <f>'Statement of Marks'!GN76</f>
        <v/>
      </c>
      <c r="L74" s="392" t="str">
        <f>'Statement of Marks'!GQ76</f>
        <v/>
      </c>
      <c r="M74" s="181" t="str">
        <f>'Statement of Marks'!GU76</f>
        <v/>
      </c>
      <c r="N74" s="181" t="str">
        <f>'Statement of Marks'!GV76</f>
        <v/>
      </c>
      <c r="O74" s="181" t="str">
        <f>'Statement of Marks'!GW76</f>
        <v/>
      </c>
      <c r="P74" s="181" t="str">
        <f>'Statement of Marks'!GX76</f>
        <v/>
      </c>
      <c r="Q74" s="181" t="str">
        <f>'Statement of Marks'!GY76</f>
        <v/>
      </c>
      <c r="R74" s="392" t="str">
        <f>'Statement of Marks'!HB76</f>
        <v/>
      </c>
      <c r="S74" s="392" t="str">
        <f>'Statement of Marks'!HE76</f>
        <v/>
      </c>
      <c r="T74" s="392" t="str">
        <f>'Statement of Marks'!HH76</f>
        <v/>
      </c>
      <c r="U74" s="392" t="str">
        <f>'Statement of Marks'!HK76</f>
        <v/>
      </c>
      <c r="V74" s="318" t="str">
        <f>IF(COUNTIF(K74:U74,"F")&gt;0,"",CONCATENATE('Statement of Marks'!HO76,'Statement of Marks'!HP76,'Statement of Marks'!HQ76))</f>
        <v xml:space="preserve">                  </v>
      </c>
      <c r="BI74" s="6" t="str">
        <f>IFERROR(VLOOKUP(B74,'Statement of Marks'!$B$7:'Statement of Marks'!$IC$206,41,0),"")</f>
        <v/>
      </c>
      <c r="BJ74" s="6" t="str">
        <f>IFERROR(VLOOKUP(B74,'Statement of Marks'!$B$7:'Statement of Marks'!$IC$206,66,0),"")</f>
        <v/>
      </c>
      <c r="BK74" s="6">
        <f>IFERROR(VLOOKUP(B74,'Statement of Marks'!$B$7:'Statement of Marks'!$IC$206,91,0),"")</f>
        <v>0</v>
      </c>
      <c r="BL74" s="6" t="str">
        <f>IFERROR(VLOOKUP(B74,'Statement of Marks'!$B$7:'Statement of Marks'!$IC$206,117,0),"")</f>
        <v/>
      </c>
    </row>
    <row r="75" spans="1:64" ht="21" customHeight="1">
      <c r="A75" s="169">
        <f>IF('Statement of Marks'!A77="","",'Statement of Marks'!A77)</f>
        <v>71</v>
      </c>
      <c r="B75" s="169" t="str">
        <f>IF('Statement of Marks'!B77="","",'Statement of Marks'!B77)</f>
        <v/>
      </c>
      <c r="C75" s="169" t="str">
        <f>IF('Statement of Marks'!D77="","",'Statement of Marks'!D77)</f>
        <v/>
      </c>
      <c r="D75" s="315" t="str">
        <f>IF('Statement of Marks'!E77="","",'Statement of Marks'!E77)</f>
        <v/>
      </c>
      <c r="E75" s="316" t="str">
        <f>IF('Statement of Marks'!F77="","",'Statement of Marks'!F77)</f>
        <v/>
      </c>
      <c r="F75" s="316" t="str">
        <f>IF('Statement of Marks'!G77="","",'Statement of Marks'!G77)</f>
        <v/>
      </c>
      <c r="G75" s="316" t="str">
        <f>IF('Statement of Marks'!H77="","",'Statement of Marks'!H77)</f>
        <v/>
      </c>
      <c r="H75" s="830" t="str">
        <f>IF('Statement of Marks'!HS77="","",'Statement of Marks'!HS77)</f>
        <v/>
      </c>
      <c r="I75" s="172" t="str">
        <f>IF('Statement of Marks'!HV77="","",'Statement of Marks'!HV77)</f>
        <v/>
      </c>
      <c r="J75" s="317" t="str">
        <f>IF('Statement of Marks'!HW77="","",'Statement of Marks'!HW77)</f>
        <v/>
      </c>
      <c r="K75" s="392" t="str">
        <f>'Statement of Marks'!GN77</f>
        <v/>
      </c>
      <c r="L75" s="392" t="str">
        <f>'Statement of Marks'!GQ77</f>
        <v/>
      </c>
      <c r="M75" s="181" t="str">
        <f>'Statement of Marks'!GU77</f>
        <v/>
      </c>
      <c r="N75" s="181" t="str">
        <f>'Statement of Marks'!GV77</f>
        <v/>
      </c>
      <c r="O75" s="181" t="str">
        <f>'Statement of Marks'!GW77</f>
        <v/>
      </c>
      <c r="P75" s="181" t="str">
        <f>'Statement of Marks'!GX77</f>
        <v/>
      </c>
      <c r="Q75" s="181" t="str">
        <f>'Statement of Marks'!GY77</f>
        <v/>
      </c>
      <c r="R75" s="392" t="str">
        <f>'Statement of Marks'!HB77</f>
        <v/>
      </c>
      <c r="S75" s="392" t="str">
        <f>'Statement of Marks'!HE77</f>
        <v/>
      </c>
      <c r="T75" s="392" t="str">
        <f>'Statement of Marks'!HH77</f>
        <v/>
      </c>
      <c r="U75" s="392" t="str">
        <f>'Statement of Marks'!HK77</f>
        <v/>
      </c>
      <c r="V75" s="318" t="str">
        <f>IF(COUNTIF(K75:U75,"F")&gt;0,"",CONCATENATE('Statement of Marks'!HO77,'Statement of Marks'!HP77,'Statement of Marks'!HQ77))</f>
        <v xml:space="preserve">                  </v>
      </c>
      <c r="BI75" s="6" t="str">
        <f>IFERROR(VLOOKUP(B75,'Statement of Marks'!$B$7:'Statement of Marks'!$IC$206,41,0),"")</f>
        <v/>
      </c>
      <c r="BJ75" s="6" t="str">
        <f>IFERROR(VLOOKUP(B75,'Statement of Marks'!$B$7:'Statement of Marks'!$IC$206,66,0),"")</f>
        <v/>
      </c>
      <c r="BK75" s="6">
        <f>IFERROR(VLOOKUP(B75,'Statement of Marks'!$B$7:'Statement of Marks'!$IC$206,91,0),"")</f>
        <v>0</v>
      </c>
      <c r="BL75" s="6" t="str">
        <f>IFERROR(VLOOKUP(B75,'Statement of Marks'!$B$7:'Statement of Marks'!$IC$206,117,0),"")</f>
        <v/>
      </c>
    </row>
    <row r="76" spans="1:64" ht="21" customHeight="1">
      <c r="A76" s="169">
        <f>IF('Statement of Marks'!A78="","",'Statement of Marks'!A78)</f>
        <v>72</v>
      </c>
      <c r="B76" s="169" t="str">
        <f>IF('Statement of Marks'!B78="","",'Statement of Marks'!B78)</f>
        <v/>
      </c>
      <c r="C76" s="169" t="str">
        <f>IF('Statement of Marks'!D78="","",'Statement of Marks'!D78)</f>
        <v/>
      </c>
      <c r="D76" s="315" t="str">
        <f>IF('Statement of Marks'!E78="","",'Statement of Marks'!E78)</f>
        <v/>
      </c>
      <c r="E76" s="316" t="str">
        <f>IF('Statement of Marks'!F78="","",'Statement of Marks'!F78)</f>
        <v/>
      </c>
      <c r="F76" s="316" t="str">
        <f>IF('Statement of Marks'!G78="","",'Statement of Marks'!G78)</f>
        <v/>
      </c>
      <c r="G76" s="316" t="str">
        <f>IF('Statement of Marks'!H78="","",'Statement of Marks'!H78)</f>
        <v/>
      </c>
      <c r="H76" s="830" t="str">
        <f>IF('Statement of Marks'!HS78="","",'Statement of Marks'!HS78)</f>
        <v/>
      </c>
      <c r="I76" s="172" t="str">
        <f>IF('Statement of Marks'!HV78="","",'Statement of Marks'!HV78)</f>
        <v/>
      </c>
      <c r="J76" s="317" t="str">
        <f>IF('Statement of Marks'!HW78="","",'Statement of Marks'!HW78)</f>
        <v/>
      </c>
      <c r="K76" s="392" t="str">
        <f>'Statement of Marks'!GN78</f>
        <v/>
      </c>
      <c r="L76" s="392" t="str">
        <f>'Statement of Marks'!GQ78</f>
        <v/>
      </c>
      <c r="M76" s="181" t="str">
        <f>'Statement of Marks'!GU78</f>
        <v/>
      </c>
      <c r="N76" s="181" t="str">
        <f>'Statement of Marks'!GV78</f>
        <v/>
      </c>
      <c r="O76" s="181" t="str">
        <f>'Statement of Marks'!GW78</f>
        <v/>
      </c>
      <c r="P76" s="181" t="str">
        <f>'Statement of Marks'!GX78</f>
        <v/>
      </c>
      <c r="Q76" s="181" t="str">
        <f>'Statement of Marks'!GY78</f>
        <v/>
      </c>
      <c r="R76" s="392" t="str">
        <f>'Statement of Marks'!HB78</f>
        <v/>
      </c>
      <c r="S76" s="392" t="str">
        <f>'Statement of Marks'!HE78</f>
        <v/>
      </c>
      <c r="T76" s="392" t="str">
        <f>'Statement of Marks'!HH78</f>
        <v/>
      </c>
      <c r="U76" s="392" t="str">
        <f>'Statement of Marks'!HK78</f>
        <v/>
      </c>
      <c r="V76" s="318" t="str">
        <f>IF(COUNTIF(K76:U76,"F")&gt;0,"",CONCATENATE('Statement of Marks'!HO78,'Statement of Marks'!HP78,'Statement of Marks'!HQ78))</f>
        <v xml:space="preserve">                  </v>
      </c>
      <c r="BI76" s="6" t="str">
        <f>IFERROR(VLOOKUP(B76,'Statement of Marks'!$B$7:'Statement of Marks'!$IC$206,41,0),"")</f>
        <v/>
      </c>
      <c r="BJ76" s="6" t="str">
        <f>IFERROR(VLOOKUP(B76,'Statement of Marks'!$B$7:'Statement of Marks'!$IC$206,66,0),"")</f>
        <v/>
      </c>
      <c r="BK76" s="6">
        <f>IFERROR(VLOOKUP(B76,'Statement of Marks'!$B$7:'Statement of Marks'!$IC$206,91,0),"")</f>
        <v>0</v>
      </c>
      <c r="BL76" s="6" t="str">
        <f>IFERROR(VLOOKUP(B76,'Statement of Marks'!$B$7:'Statement of Marks'!$IC$206,117,0),"")</f>
        <v/>
      </c>
    </row>
    <row r="77" spans="1:64" ht="21" customHeight="1">
      <c r="A77" s="169">
        <f>IF('Statement of Marks'!A79="","",'Statement of Marks'!A79)</f>
        <v>73</v>
      </c>
      <c r="B77" s="169" t="str">
        <f>IF('Statement of Marks'!B79="","",'Statement of Marks'!B79)</f>
        <v/>
      </c>
      <c r="C77" s="169" t="str">
        <f>IF('Statement of Marks'!D79="","",'Statement of Marks'!D79)</f>
        <v/>
      </c>
      <c r="D77" s="315" t="str">
        <f>IF('Statement of Marks'!E79="","",'Statement of Marks'!E79)</f>
        <v/>
      </c>
      <c r="E77" s="316" t="str">
        <f>IF('Statement of Marks'!F79="","",'Statement of Marks'!F79)</f>
        <v/>
      </c>
      <c r="F77" s="316" t="str">
        <f>IF('Statement of Marks'!G79="","",'Statement of Marks'!G79)</f>
        <v/>
      </c>
      <c r="G77" s="316" t="str">
        <f>IF('Statement of Marks'!H79="","",'Statement of Marks'!H79)</f>
        <v/>
      </c>
      <c r="H77" s="830" t="str">
        <f>IF('Statement of Marks'!HS79="","",'Statement of Marks'!HS79)</f>
        <v/>
      </c>
      <c r="I77" s="172" t="str">
        <f>IF('Statement of Marks'!HV79="","",'Statement of Marks'!HV79)</f>
        <v/>
      </c>
      <c r="J77" s="317" t="str">
        <f>IF('Statement of Marks'!HW79="","",'Statement of Marks'!HW79)</f>
        <v/>
      </c>
      <c r="K77" s="392" t="str">
        <f>'Statement of Marks'!GN79</f>
        <v/>
      </c>
      <c r="L77" s="392" t="str">
        <f>'Statement of Marks'!GQ79</f>
        <v/>
      </c>
      <c r="M77" s="181" t="str">
        <f>'Statement of Marks'!GU79</f>
        <v/>
      </c>
      <c r="N77" s="181" t="str">
        <f>'Statement of Marks'!GV79</f>
        <v/>
      </c>
      <c r="O77" s="181" t="str">
        <f>'Statement of Marks'!GW79</f>
        <v/>
      </c>
      <c r="P77" s="181" t="str">
        <f>'Statement of Marks'!GX79</f>
        <v/>
      </c>
      <c r="Q77" s="181" t="str">
        <f>'Statement of Marks'!GY79</f>
        <v/>
      </c>
      <c r="R77" s="392" t="str">
        <f>'Statement of Marks'!HB79</f>
        <v/>
      </c>
      <c r="S77" s="392" t="str">
        <f>'Statement of Marks'!HE79</f>
        <v/>
      </c>
      <c r="T77" s="392" t="str">
        <f>'Statement of Marks'!HH79</f>
        <v/>
      </c>
      <c r="U77" s="392" t="str">
        <f>'Statement of Marks'!HK79</f>
        <v/>
      </c>
      <c r="V77" s="318" t="str">
        <f>IF(COUNTIF(K77:U77,"F")&gt;0,"",CONCATENATE('Statement of Marks'!HO79,'Statement of Marks'!HP79,'Statement of Marks'!HQ79))</f>
        <v xml:space="preserve">                  </v>
      </c>
      <c r="BI77" s="6" t="str">
        <f>IFERROR(VLOOKUP(B77,'Statement of Marks'!$B$7:'Statement of Marks'!$IC$206,41,0),"")</f>
        <v/>
      </c>
      <c r="BJ77" s="6" t="str">
        <f>IFERROR(VLOOKUP(B77,'Statement of Marks'!$B$7:'Statement of Marks'!$IC$206,66,0),"")</f>
        <v/>
      </c>
      <c r="BK77" s="6">
        <f>IFERROR(VLOOKUP(B77,'Statement of Marks'!$B$7:'Statement of Marks'!$IC$206,91,0),"")</f>
        <v>0</v>
      </c>
      <c r="BL77" s="6" t="str">
        <f>IFERROR(VLOOKUP(B77,'Statement of Marks'!$B$7:'Statement of Marks'!$IC$206,117,0),"")</f>
        <v/>
      </c>
    </row>
    <row r="78" spans="1:64" ht="21" customHeight="1">
      <c r="A78" s="169">
        <f>IF('Statement of Marks'!A80="","",'Statement of Marks'!A80)</f>
        <v>74</v>
      </c>
      <c r="B78" s="169" t="str">
        <f>IF('Statement of Marks'!B80="","",'Statement of Marks'!B80)</f>
        <v/>
      </c>
      <c r="C78" s="169" t="str">
        <f>IF('Statement of Marks'!D80="","",'Statement of Marks'!D80)</f>
        <v/>
      </c>
      <c r="D78" s="315" t="str">
        <f>IF('Statement of Marks'!E80="","",'Statement of Marks'!E80)</f>
        <v/>
      </c>
      <c r="E78" s="316" t="str">
        <f>IF('Statement of Marks'!F80="","",'Statement of Marks'!F80)</f>
        <v/>
      </c>
      <c r="F78" s="316" t="str">
        <f>IF('Statement of Marks'!G80="","",'Statement of Marks'!G80)</f>
        <v/>
      </c>
      <c r="G78" s="316" t="str">
        <f>IF('Statement of Marks'!H80="","",'Statement of Marks'!H80)</f>
        <v/>
      </c>
      <c r="H78" s="830" t="str">
        <f>IF('Statement of Marks'!HS80="","",'Statement of Marks'!HS80)</f>
        <v/>
      </c>
      <c r="I78" s="172" t="str">
        <f>IF('Statement of Marks'!HV80="","",'Statement of Marks'!HV80)</f>
        <v/>
      </c>
      <c r="J78" s="317" t="str">
        <f>IF('Statement of Marks'!HW80="","",'Statement of Marks'!HW80)</f>
        <v/>
      </c>
      <c r="K78" s="392" t="str">
        <f>'Statement of Marks'!GN80</f>
        <v/>
      </c>
      <c r="L78" s="392" t="str">
        <f>'Statement of Marks'!GQ80</f>
        <v/>
      </c>
      <c r="M78" s="181" t="str">
        <f>'Statement of Marks'!GU80</f>
        <v/>
      </c>
      <c r="N78" s="181" t="str">
        <f>'Statement of Marks'!GV80</f>
        <v/>
      </c>
      <c r="O78" s="181" t="str">
        <f>'Statement of Marks'!GW80</f>
        <v/>
      </c>
      <c r="P78" s="181" t="str">
        <f>'Statement of Marks'!GX80</f>
        <v/>
      </c>
      <c r="Q78" s="181" t="str">
        <f>'Statement of Marks'!GY80</f>
        <v/>
      </c>
      <c r="R78" s="392" t="str">
        <f>'Statement of Marks'!HB80</f>
        <v/>
      </c>
      <c r="S78" s="392" t="str">
        <f>'Statement of Marks'!HE80</f>
        <v/>
      </c>
      <c r="T78" s="392" t="str">
        <f>'Statement of Marks'!HH80</f>
        <v/>
      </c>
      <c r="U78" s="392" t="str">
        <f>'Statement of Marks'!HK80</f>
        <v/>
      </c>
      <c r="V78" s="318" t="str">
        <f>IF(COUNTIF(K78:U78,"F")&gt;0,"",CONCATENATE('Statement of Marks'!HO80,'Statement of Marks'!HP80,'Statement of Marks'!HQ80))</f>
        <v xml:space="preserve">                  </v>
      </c>
      <c r="BI78" s="6" t="str">
        <f>IFERROR(VLOOKUP(B78,'Statement of Marks'!$B$7:'Statement of Marks'!$IC$206,41,0),"")</f>
        <v/>
      </c>
      <c r="BJ78" s="6" t="str">
        <f>IFERROR(VLOOKUP(B78,'Statement of Marks'!$B$7:'Statement of Marks'!$IC$206,66,0),"")</f>
        <v/>
      </c>
      <c r="BK78" s="6">
        <f>IFERROR(VLOOKUP(B78,'Statement of Marks'!$B$7:'Statement of Marks'!$IC$206,91,0),"")</f>
        <v>0</v>
      </c>
      <c r="BL78" s="6" t="str">
        <f>IFERROR(VLOOKUP(B78,'Statement of Marks'!$B$7:'Statement of Marks'!$IC$206,117,0),"")</f>
        <v/>
      </c>
    </row>
    <row r="79" spans="1:64" ht="21" customHeight="1">
      <c r="A79" s="169">
        <f>IF('Statement of Marks'!A81="","",'Statement of Marks'!A81)</f>
        <v>75</v>
      </c>
      <c r="B79" s="169" t="str">
        <f>IF('Statement of Marks'!B81="","",'Statement of Marks'!B81)</f>
        <v/>
      </c>
      <c r="C79" s="169" t="str">
        <f>IF('Statement of Marks'!D81="","",'Statement of Marks'!D81)</f>
        <v/>
      </c>
      <c r="D79" s="315" t="str">
        <f>IF('Statement of Marks'!E81="","",'Statement of Marks'!E81)</f>
        <v/>
      </c>
      <c r="E79" s="316" t="str">
        <f>IF('Statement of Marks'!F81="","",'Statement of Marks'!F81)</f>
        <v/>
      </c>
      <c r="F79" s="316" t="str">
        <f>IF('Statement of Marks'!G81="","",'Statement of Marks'!G81)</f>
        <v/>
      </c>
      <c r="G79" s="316" t="str">
        <f>IF('Statement of Marks'!H81="","",'Statement of Marks'!H81)</f>
        <v/>
      </c>
      <c r="H79" s="830" t="str">
        <f>IF('Statement of Marks'!HS81="","",'Statement of Marks'!HS81)</f>
        <v/>
      </c>
      <c r="I79" s="172" t="str">
        <f>IF('Statement of Marks'!HV81="","",'Statement of Marks'!HV81)</f>
        <v/>
      </c>
      <c r="J79" s="317" t="str">
        <f>IF('Statement of Marks'!HW81="","",'Statement of Marks'!HW81)</f>
        <v/>
      </c>
      <c r="K79" s="392" t="str">
        <f>'Statement of Marks'!GN81</f>
        <v/>
      </c>
      <c r="L79" s="392" t="str">
        <f>'Statement of Marks'!GQ81</f>
        <v/>
      </c>
      <c r="M79" s="181" t="str">
        <f>'Statement of Marks'!GU81</f>
        <v/>
      </c>
      <c r="N79" s="181" t="str">
        <f>'Statement of Marks'!GV81</f>
        <v/>
      </c>
      <c r="O79" s="181" t="str">
        <f>'Statement of Marks'!GW81</f>
        <v/>
      </c>
      <c r="P79" s="181" t="str">
        <f>'Statement of Marks'!GX81</f>
        <v/>
      </c>
      <c r="Q79" s="181" t="str">
        <f>'Statement of Marks'!GY81</f>
        <v/>
      </c>
      <c r="R79" s="392" t="str">
        <f>'Statement of Marks'!HB81</f>
        <v/>
      </c>
      <c r="S79" s="392" t="str">
        <f>'Statement of Marks'!HE81</f>
        <v/>
      </c>
      <c r="T79" s="392" t="str">
        <f>'Statement of Marks'!HH81</f>
        <v/>
      </c>
      <c r="U79" s="392" t="str">
        <f>'Statement of Marks'!HK81</f>
        <v/>
      </c>
      <c r="V79" s="318" t="str">
        <f>IF(COUNTIF(K79:U79,"F")&gt;0,"",CONCATENATE('Statement of Marks'!HO81,'Statement of Marks'!HP81,'Statement of Marks'!HQ81))</f>
        <v xml:space="preserve">                  </v>
      </c>
      <c r="BI79" s="6" t="str">
        <f>IFERROR(VLOOKUP(B79,'Statement of Marks'!$B$7:'Statement of Marks'!$IC$206,41,0),"")</f>
        <v/>
      </c>
      <c r="BJ79" s="6" t="str">
        <f>IFERROR(VLOOKUP(B79,'Statement of Marks'!$B$7:'Statement of Marks'!$IC$206,66,0),"")</f>
        <v/>
      </c>
      <c r="BK79" s="6">
        <f>IFERROR(VLOOKUP(B79,'Statement of Marks'!$B$7:'Statement of Marks'!$IC$206,91,0),"")</f>
        <v>0</v>
      </c>
      <c r="BL79" s="6" t="str">
        <f>IFERROR(VLOOKUP(B79,'Statement of Marks'!$B$7:'Statement of Marks'!$IC$206,117,0),"")</f>
        <v/>
      </c>
    </row>
    <row r="80" spans="1:64" ht="21" customHeight="1">
      <c r="A80" s="169">
        <f>IF('Statement of Marks'!A82="","",'Statement of Marks'!A82)</f>
        <v>76</v>
      </c>
      <c r="B80" s="169" t="str">
        <f>IF('Statement of Marks'!B82="","",'Statement of Marks'!B82)</f>
        <v/>
      </c>
      <c r="C80" s="169" t="str">
        <f>IF('Statement of Marks'!D82="","",'Statement of Marks'!D82)</f>
        <v/>
      </c>
      <c r="D80" s="315" t="str">
        <f>IF('Statement of Marks'!E82="","",'Statement of Marks'!E82)</f>
        <v/>
      </c>
      <c r="E80" s="316" t="str">
        <f>IF('Statement of Marks'!F82="","",'Statement of Marks'!F82)</f>
        <v/>
      </c>
      <c r="F80" s="316" t="str">
        <f>IF('Statement of Marks'!G82="","",'Statement of Marks'!G82)</f>
        <v/>
      </c>
      <c r="G80" s="316" t="str">
        <f>IF('Statement of Marks'!H82="","",'Statement of Marks'!H82)</f>
        <v/>
      </c>
      <c r="H80" s="830" t="str">
        <f>IF('Statement of Marks'!HS82="","",'Statement of Marks'!HS82)</f>
        <v/>
      </c>
      <c r="I80" s="172" t="str">
        <f>IF('Statement of Marks'!HV82="","",'Statement of Marks'!HV82)</f>
        <v/>
      </c>
      <c r="J80" s="317" t="str">
        <f>IF('Statement of Marks'!HW82="","",'Statement of Marks'!HW82)</f>
        <v/>
      </c>
      <c r="K80" s="392" t="str">
        <f>'Statement of Marks'!GN82</f>
        <v/>
      </c>
      <c r="L80" s="392" t="str">
        <f>'Statement of Marks'!GQ82</f>
        <v/>
      </c>
      <c r="M80" s="181" t="str">
        <f>'Statement of Marks'!GU82</f>
        <v/>
      </c>
      <c r="N80" s="181" t="str">
        <f>'Statement of Marks'!GV82</f>
        <v/>
      </c>
      <c r="O80" s="181" t="str">
        <f>'Statement of Marks'!GW82</f>
        <v/>
      </c>
      <c r="P80" s="181" t="str">
        <f>'Statement of Marks'!GX82</f>
        <v/>
      </c>
      <c r="Q80" s="181" t="str">
        <f>'Statement of Marks'!GY82</f>
        <v/>
      </c>
      <c r="R80" s="392" t="str">
        <f>'Statement of Marks'!HB82</f>
        <v/>
      </c>
      <c r="S80" s="392" t="str">
        <f>'Statement of Marks'!HE82</f>
        <v/>
      </c>
      <c r="T80" s="392" t="str">
        <f>'Statement of Marks'!HH82</f>
        <v/>
      </c>
      <c r="U80" s="392" t="str">
        <f>'Statement of Marks'!HK82</f>
        <v/>
      </c>
      <c r="V80" s="318" t="str">
        <f>IF(COUNTIF(K80:U80,"F")&gt;0,"",CONCATENATE('Statement of Marks'!HO82,'Statement of Marks'!HP82,'Statement of Marks'!HQ82))</f>
        <v xml:space="preserve">                  </v>
      </c>
      <c r="BI80" s="6" t="str">
        <f>IFERROR(VLOOKUP(B80,'Statement of Marks'!$B$7:'Statement of Marks'!$IC$206,41,0),"")</f>
        <v/>
      </c>
      <c r="BJ80" s="6" t="str">
        <f>IFERROR(VLOOKUP(B80,'Statement of Marks'!$B$7:'Statement of Marks'!$IC$206,66,0),"")</f>
        <v/>
      </c>
      <c r="BK80" s="6">
        <f>IFERROR(VLOOKUP(B80,'Statement of Marks'!$B$7:'Statement of Marks'!$IC$206,91,0),"")</f>
        <v>0</v>
      </c>
      <c r="BL80" s="6" t="str">
        <f>IFERROR(VLOOKUP(B80,'Statement of Marks'!$B$7:'Statement of Marks'!$IC$206,117,0),"")</f>
        <v/>
      </c>
    </row>
    <row r="81" spans="1:64" ht="21" customHeight="1">
      <c r="A81" s="169">
        <f>IF('Statement of Marks'!A83="","",'Statement of Marks'!A83)</f>
        <v>77</v>
      </c>
      <c r="B81" s="169" t="str">
        <f>IF('Statement of Marks'!B83="","",'Statement of Marks'!B83)</f>
        <v/>
      </c>
      <c r="C81" s="169" t="str">
        <f>IF('Statement of Marks'!D83="","",'Statement of Marks'!D83)</f>
        <v/>
      </c>
      <c r="D81" s="315" t="str">
        <f>IF('Statement of Marks'!E83="","",'Statement of Marks'!E83)</f>
        <v/>
      </c>
      <c r="E81" s="316" t="str">
        <f>IF('Statement of Marks'!F83="","",'Statement of Marks'!F83)</f>
        <v/>
      </c>
      <c r="F81" s="316" t="str">
        <f>IF('Statement of Marks'!G83="","",'Statement of Marks'!G83)</f>
        <v/>
      </c>
      <c r="G81" s="316" t="str">
        <f>IF('Statement of Marks'!H83="","",'Statement of Marks'!H83)</f>
        <v/>
      </c>
      <c r="H81" s="830" t="str">
        <f>IF('Statement of Marks'!HS83="","",'Statement of Marks'!HS83)</f>
        <v/>
      </c>
      <c r="I81" s="172" t="str">
        <f>IF('Statement of Marks'!HV83="","",'Statement of Marks'!HV83)</f>
        <v/>
      </c>
      <c r="J81" s="317" t="str">
        <f>IF('Statement of Marks'!HW83="","",'Statement of Marks'!HW83)</f>
        <v/>
      </c>
      <c r="K81" s="392" t="str">
        <f>'Statement of Marks'!GN83</f>
        <v/>
      </c>
      <c r="L81" s="392" t="str">
        <f>'Statement of Marks'!GQ83</f>
        <v/>
      </c>
      <c r="M81" s="181" t="str">
        <f>'Statement of Marks'!GU83</f>
        <v/>
      </c>
      <c r="N81" s="181" t="str">
        <f>'Statement of Marks'!GV83</f>
        <v/>
      </c>
      <c r="O81" s="181" t="str">
        <f>'Statement of Marks'!GW83</f>
        <v/>
      </c>
      <c r="P81" s="181" t="str">
        <f>'Statement of Marks'!GX83</f>
        <v/>
      </c>
      <c r="Q81" s="181" t="str">
        <f>'Statement of Marks'!GY83</f>
        <v/>
      </c>
      <c r="R81" s="392" t="str">
        <f>'Statement of Marks'!HB83</f>
        <v/>
      </c>
      <c r="S81" s="392" t="str">
        <f>'Statement of Marks'!HE83</f>
        <v/>
      </c>
      <c r="T81" s="392" t="str">
        <f>'Statement of Marks'!HH83</f>
        <v/>
      </c>
      <c r="U81" s="392" t="str">
        <f>'Statement of Marks'!HK83</f>
        <v/>
      </c>
      <c r="V81" s="318" t="str">
        <f>IF(COUNTIF(K81:U81,"F")&gt;0,"",CONCATENATE('Statement of Marks'!HO83,'Statement of Marks'!HP83,'Statement of Marks'!HQ83))</f>
        <v xml:space="preserve">                  </v>
      </c>
      <c r="BI81" s="6" t="str">
        <f>IFERROR(VLOOKUP(B81,'Statement of Marks'!$B$7:'Statement of Marks'!$IC$206,41,0),"")</f>
        <v/>
      </c>
      <c r="BJ81" s="6" t="str">
        <f>IFERROR(VLOOKUP(B81,'Statement of Marks'!$B$7:'Statement of Marks'!$IC$206,66,0),"")</f>
        <v/>
      </c>
      <c r="BK81" s="6">
        <f>IFERROR(VLOOKUP(B81,'Statement of Marks'!$B$7:'Statement of Marks'!$IC$206,91,0),"")</f>
        <v>0</v>
      </c>
      <c r="BL81" s="6" t="str">
        <f>IFERROR(VLOOKUP(B81,'Statement of Marks'!$B$7:'Statement of Marks'!$IC$206,117,0),"")</f>
        <v/>
      </c>
    </row>
    <row r="82" spans="1:64" ht="21" customHeight="1">
      <c r="A82" s="169">
        <f>IF('Statement of Marks'!A84="","",'Statement of Marks'!A84)</f>
        <v>78</v>
      </c>
      <c r="B82" s="169" t="str">
        <f>IF('Statement of Marks'!B84="","",'Statement of Marks'!B84)</f>
        <v/>
      </c>
      <c r="C82" s="169" t="str">
        <f>IF('Statement of Marks'!D84="","",'Statement of Marks'!D84)</f>
        <v/>
      </c>
      <c r="D82" s="315" t="str">
        <f>IF('Statement of Marks'!E84="","",'Statement of Marks'!E84)</f>
        <v/>
      </c>
      <c r="E82" s="316" t="str">
        <f>IF('Statement of Marks'!F84="","",'Statement of Marks'!F84)</f>
        <v/>
      </c>
      <c r="F82" s="316" t="str">
        <f>IF('Statement of Marks'!G84="","",'Statement of Marks'!G84)</f>
        <v/>
      </c>
      <c r="G82" s="316" t="str">
        <f>IF('Statement of Marks'!H84="","",'Statement of Marks'!H84)</f>
        <v/>
      </c>
      <c r="H82" s="830" t="str">
        <f>IF('Statement of Marks'!HS84="","",'Statement of Marks'!HS84)</f>
        <v/>
      </c>
      <c r="I82" s="172" t="str">
        <f>IF('Statement of Marks'!HV84="","",'Statement of Marks'!HV84)</f>
        <v/>
      </c>
      <c r="J82" s="317" t="str">
        <f>IF('Statement of Marks'!HW84="","",'Statement of Marks'!HW84)</f>
        <v/>
      </c>
      <c r="K82" s="392" t="str">
        <f>'Statement of Marks'!GN84</f>
        <v/>
      </c>
      <c r="L82" s="392" t="str">
        <f>'Statement of Marks'!GQ84</f>
        <v/>
      </c>
      <c r="M82" s="181" t="str">
        <f>'Statement of Marks'!GU84</f>
        <v/>
      </c>
      <c r="N82" s="181" t="str">
        <f>'Statement of Marks'!GV84</f>
        <v/>
      </c>
      <c r="O82" s="181" t="str">
        <f>'Statement of Marks'!GW84</f>
        <v/>
      </c>
      <c r="P82" s="181" t="str">
        <f>'Statement of Marks'!GX84</f>
        <v/>
      </c>
      <c r="Q82" s="181" t="str">
        <f>'Statement of Marks'!GY84</f>
        <v/>
      </c>
      <c r="R82" s="392" t="str">
        <f>'Statement of Marks'!HB84</f>
        <v/>
      </c>
      <c r="S82" s="392" t="str">
        <f>'Statement of Marks'!HE84</f>
        <v/>
      </c>
      <c r="T82" s="392" t="str">
        <f>'Statement of Marks'!HH84</f>
        <v/>
      </c>
      <c r="U82" s="392" t="str">
        <f>'Statement of Marks'!HK84</f>
        <v/>
      </c>
      <c r="V82" s="318" t="str">
        <f>IF(COUNTIF(K82:U82,"F")&gt;0,"",CONCATENATE('Statement of Marks'!HO84,'Statement of Marks'!HP84,'Statement of Marks'!HQ84))</f>
        <v xml:space="preserve">                  </v>
      </c>
      <c r="BI82" s="6" t="str">
        <f>IFERROR(VLOOKUP(B82,'Statement of Marks'!$B$7:'Statement of Marks'!$IC$206,41,0),"")</f>
        <v/>
      </c>
      <c r="BJ82" s="6" t="str">
        <f>IFERROR(VLOOKUP(B82,'Statement of Marks'!$B$7:'Statement of Marks'!$IC$206,66,0),"")</f>
        <v/>
      </c>
      <c r="BK82" s="6">
        <f>IFERROR(VLOOKUP(B82,'Statement of Marks'!$B$7:'Statement of Marks'!$IC$206,91,0),"")</f>
        <v>0</v>
      </c>
      <c r="BL82" s="6" t="str">
        <f>IFERROR(VLOOKUP(B82,'Statement of Marks'!$B$7:'Statement of Marks'!$IC$206,117,0),"")</f>
        <v/>
      </c>
    </row>
    <row r="83" spans="1:64" ht="21" customHeight="1">
      <c r="A83" s="169">
        <f>IF('Statement of Marks'!A85="","",'Statement of Marks'!A85)</f>
        <v>79</v>
      </c>
      <c r="B83" s="169" t="str">
        <f>IF('Statement of Marks'!B85="","",'Statement of Marks'!B85)</f>
        <v/>
      </c>
      <c r="C83" s="169" t="str">
        <f>IF('Statement of Marks'!D85="","",'Statement of Marks'!D85)</f>
        <v/>
      </c>
      <c r="D83" s="315" t="str">
        <f>IF('Statement of Marks'!E85="","",'Statement of Marks'!E85)</f>
        <v/>
      </c>
      <c r="E83" s="316" t="str">
        <f>IF('Statement of Marks'!F85="","",'Statement of Marks'!F85)</f>
        <v/>
      </c>
      <c r="F83" s="316" t="str">
        <f>IF('Statement of Marks'!G85="","",'Statement of Marks'!G85)</f>
        <v/>
      </c>
      <c r="G83" s="316" t="str">
        <f>IF('Statement of Marks'!H85="","",'Statement of Marks'!H85)</f>
        <v/>
      </c>
      <c r="H83" s="830" t="str">
        <f>IF('Statement of Marks'!HS85="","",'Statement of Marks'!HS85)</f>
        <v/>
      </c>
      <c r="I83" s="172" t="str">
        <f>IF('Statement of Marks'!HV85="","",'Statement of Marks'!HV85)</f>
        <v/>
      </c>
      <c r="J83" s="317" t="str">
        <f>IF('Statement of Marks'!HW85="","",'Statement of Marks'!HW85)</f>
        <v/>
      </c>
      <c r="K83" s="392" t="str">
        <f>'Statement of Marks'!GN85</f>
        <v/>
      </c>
      <c r="L83" s="392" t="str">
        <f>'Statement of Marks'!GQ85</f>
        <v/>
      </c>
      <c r="M83" s="181" t="str">
        <f>'Statement of Marks'!GU85</f>
        <v/>
      </c>
      <c r="N83" s="181" t="str">
        <f>'Statement of Marks'!GV85</f>
        <v/>
      </c>
      <c r="O83" s="181" t="str">
        <f>'Statement of Marks'!GW85</f>
        <v/>
      </c>
      <c r="P83" s="181" t="str">
        <f>'Statement of Marks'!GX85</f>
        <v/>
      </c>
      <c r="Q83" s="181" t="str">
        <f>'Statement of Marks'!GY85</f>
        <v/>
      </c>
      <c r="R83" s="392" t="str">
        <f>'Statement of Marks'!HB85</f>
        <v/>
      </c>
      <c r="S83" s="392" t="str">
        <f>'Statement of Marks'!HE85</f>
        <v/>
      </c>
      <c r="T83" s="392" t="str">
        <f>'Statement of Marks'!HH85</f>
        <v/>
      </c>
      <c r="U83" s="392" t="str">
        <f>'Statement of Marks'!HK85</f>
        <v/>
      </c>
      <c r="V83" s="318" t="str">
        <f>IF(COUNTIF(K83:U83,"F")&gt;0,"",CONCATENATE('Statement of Marks'!HO85,'Statement of Marks'!HP85,'Statement of Marks'!HQ85))</f>
        <v xml:space="preserve">                  </v>
      </c>
      <c r="BI83" s="6" t="str">
        <f>IFERROR(VLOOKUP(B83,'Statement of Marks'!$B$7:'Statement of Marks'!$IC$206,41,0),"")</f>
        <v/>
      </c>
      <c r="BJ83" s="6" t="str">
        <f>IFERROR(VLOOKUP(B83,'Statement of Marks'!$B$7:'Statement of Marks'!$IC$206,66,0),"")</f>
        <v/>
      </c>
      <c r="BK83" s="6">
        <f>IFERROR(VLOOKUP(B83,'Statement of Marks'!$B$7:'Statement of Marks'!$IC$206,91,0),"")</f>
        <v>0</v>
      </c>
      <c r="BL83" s="6" t="str">
        <f>IFERROR(VLOOKUP(B83,'Statement of Marks'!$B$7:'Statement of Marks'!$IC$206,117,0),"")</f>
        <v/>
      </c>
    </row>
    <row r="84" spans="1:64" ht="21" customHeight="1">
      <c r="A84" s="169">
        <f>IF('Statement of Marks'!A86="","",'Statement of Marks'!A86)</f>
        <v>80</v>
      </c>
      <c r="B84" s="169" t="str">
        <f>IF('Statement of Marks'!B86="","",'Statement of Marks'!B86)</f>
        <v/>
      </c>
      <c r="C84" s="169" t="str">
        <f>IF('Statement of Marks'!D86="","",'Statement of Marks'!D86)</f>
        <v/>
      </c>
      <c r="D84" s="315" t="str">
        <f>IF('Statement of Marks'!E86="","",'Statement of Marks'!E86)</f>
        <v/>
      </c>
      <c r="E84" s="316" t="str">
        <f>IF('Statement of Marks'!F86="","",'Statement of Marks'!F86)</f>
        <v/>
      </c>
      <c r="F84" s="316" t="str">
        <f>IF('Statement of Marks'!G86="","",'Statement of Marks'!G86)</f>
        <v/>
      </c>
      <c r="G84" s="316" t="str">
        <f>IF('Statement of Marks'!H86="","",'Statement of Marks'!H86)</f>
        <v/>
      </c>
      <c r="H84" s="830" t="str">
        <f>IF('Statement of Marks'!HS86="","",'Statement of Marks'!HS86)</f>
        <v/>
      </c>
      <c r="I84" s="172" t="str">
        <f>IF('Statement of Marks'!HV86="","",'Statement of Marks'!HV86)</f>
        <v/>
      </c>
      <c r="J84" s="317" t="str">
        <f>IF('Statement of Marks'!HW86="","",'Statement of Marks'!HW86)</f>
        <v/>
      </c>
      <c r="K84" s="392" t="str">
        <f>'Statement of Marks'!GN86</f>
        <v/>
      </c>
      <c r="L84" s="392" t="str">
        <f>'Statement of Marks'!GQ86</f>
        <v/>
      </c>
      <c r="M84" s="181" t="str">
        <f>'Statement of Marks'!GU86</f>
        <v/>
      </c>
      <c r="N84" s="181" t="str">
        <f>'Statement of Marks'!GV86</f>
        <v/>
      </c>
      <c r="O84" s="181" t="str">
        <f>'Statement of Marks'!GW86</f>
        <v/>
      </c>
      <c r="P84" s="181" t="str">
        <f>'Statement of Marks'!GX86</f>
        <v/>
      </c>
      <c r="Q84" s="181" t="str">
        <f>'Statement of Marks'!GY86</f>
        <v/>
      </c>
      <c r="R84" s="392" t="str">
        <f>'Statement of Marks'!HB86</f>
        <v/>
      </c>
      <c r="S84" s="392" t="str">
        <f>'Statement of Marks'!HE86</f>
        <v/>
      </c>
      <c r="T84" s="392" t="str">
        <f>'Statement of Marks'!HH86</f>
        <v/>
      </c>
      <c r="U84" s="392" t="str">
        <f>'Statement of Marks'!HK86</f>
        <v/>
      </c>
      <c r="V84" s="318" t="str">
        <f>IF(COUNTIF(K84:U84,"F")&gt;0,"",CONCATENATE('Statement of Marks'!HO86,'Statement of Marks'!HP86,'Statement of Marks'!HQ86))</f>
        <v xml:space="preserve">                  </v>
      </c>
      <c r="BI84" s="6" t="str">
        <f>IFERROR(VLOOKUP(B84,'Statement of Marks'!$B$7:'Statement of Marks'!$IC$206,41,0),"")</f>
        <v/>
      </c>
      <c r="BJ84" s="6" t="str">
        <f>IFERROR(VLOOKUP(B84,'Statement of Marks'!$B$7:'Statement of Marks'!$IC$206,66,0),"")</f>
        <v/>
      </c>
      <c r="BK84" s="6">
        <f>IFERROR(VLOOKUP(B84,'Statement of Marks'!$B$7:'Statement of Marks'!$IC$206,91,0),"")</f>
        <v>0</v>
      </c>
      <c r="BL84" s="6" t="str">
        <f>IFERROR(VLOOKUP(B84,'Statement of Marks'!$B$7:'Statement of Marks'!$IC$206,117,0),"")</f>
        <v/>
      </c>
    </row>
    <row r="85" spans="1:64" ht="21" customHeight="1">
      <c r="A85" s="169">
        <f>IF('Statement of Marks'!A87="","",'Statement of Marks'!A87)</f>
        <v>81</v>
      </c>
      <c r="B85" s="169" t="str">
        <f>IF('Statement of Marks'!B87="","",'Statement of Marks'!B87)</f>
        <v/>
      </c>
      <c r="C85" s="169" t="str">
        <f>IF('Statement of Marks'!D87="","",'Statement of Marks'!D87)</f>
        <v/>
      </c>
      <c r="D85" s="315" t="str">
        <f>IF('Statement of Marks'!E87="","",'Statement of Marks'!E87)</f>
        <v/>
      </c>
      <c r="E85" s="316" t="str">
        <f>IF('Statement of Marks'!F87="","",'Statement of Marks'!F87)</f>
        <v/>
      </c>
      <c r="F85" s="316" t="str">
        <f>IF('Statement of Marks'!G87="","",'Statement of Marks'!G87)</f>
        <v/>
      </c>
      <c r="G85" s="316" t="str">
        <f>IF('Statement of Marks'!H87="","",'Statement of Marks'!H87)</f>
        <v/>
      </c>
      <c r="H85" s="830" t="str">
        <f>IF('Statement of Marks'!HS87="","",'Statement of Marks'!HS87)</f>
        <v/>
      </c>
      <c r="I85" s="172" t="str">
        <f>IF('Statement of Marks'!HV87="","",'Statement of Marks'!HV87)</f>
        <v/>
      </c>
      <c r="J85" s="317" t="str">
        <f>IF('Statement of Marks'!HW87="","",'Statement of Marks'!HW87)</f>
        <v/>
      </c>
      <c r="K85" s="392" t="str">
        <f>'Statement of Marks'!GN87</f>
        <v/>
      </c>
      <c r="L85" s="392" t="str">
        <f>'Statement of Marks'!GQ87</f>
        <v/>
      </c>
      <c r="M85" s="181" t="str">
        <f>'Statement of Marks'!GU87</f>
        <v/>
      </c>
      <c r="N85" s="181" t="str">
        <f>'Statement of Marks'!GV87</f>
        <v/>
      </c>
      <c r="O85" s="181" t="str">
        <f>'Statement of Marks'!GW87</f>
        <v/>
      </c>
      <c r="P85" s="181" t="str">
        <f>'Statement of Marks'!GX87</f>
        <v/>
      </c>
      <c r="Q85" s="181" t="str">
        <f>'Statement of Marks'!GY87</f>
        <v/>
      </c>
      <c r="R85" s="392" t="str">
        <f>'Statement of Marks'!HB87</f>
        <v/>
      </c>
      <c r="S85" s="392" t="str">
        <f>'Statement of Marks'!HE87</f>
        <v/>
      </c>
      <c r="T85" s="392" t="str">
        <f>'Statement of Marks'!HH87</f>
        <v/>
      </c>
      <c r="U85" s="392" t="str">
        <f>'Statement of Marks'!HK87</f>
        <v/>
      </c>
      <c r="V85" s="318" t="str">
        <f>IF(COUNTIF(K85:U85,"F")&gt;0,"",CONCATENATE('Statement of Marks'!HO87,'Statement of Marks'!HP87,'Statement of Marks'!HQ87))</f>
        <v xml:space="preserve">                  </v>
      </c>
      <c r="BI85" s="6" t="str">
        <f>IFERROR(VLOOKUP(B85,'Statement of Marks'!$B$7:'Statement of Marks'!$IC$206,41,0),"")</f>
        <v/>
      </c>
      <c r="BJ85" s="6" t="str">
        <f>IFERROR(VLOOKUP(B85,'Statement of Marks'!$B$7:'Statement of Marks'!$IC$206,66,0),"")</f>
        <v/>
      </c>
      <c r="BK85" s="6">
        <f>IFERROR(VLOOKUP(B85,'Statement of Marks'!$B$7:'Statement of Marks'!$IC$206,91,0),"")</f>
        <v>0</v>
      </c>
      <c r="BL85" s="6" t="str">
        <f>IFERROR(VLOOKUP(B85,'Statement of Marks'!$B$7:'Statement of Marks'!$IC$206,117,0),"")</f>
        <v/>
      </c>
    </row>
    <row r="86" spans="1:64" ht="21" customHeight="1">
      <c r="A86" s="169">
        <f>IF('Statement of Marks'!A88="","",'Statement of Marks'!A88)</f>
        <v>82</v>
      </c>
      <c r="B86" s="169" t="str">
        <f>IF('Statement of Marks'!B88="","",'Statement of Marks'!B88)</f>
        <v/>
      </c>
      <c r="C86" s="169" t="str">
        <f>IF('Statement of Marks'!D88="","",'Statement of Marks'!D88)</f>
        <v/>
      </c>
      <c r="D86" s="315" t="str">
        <f>IF('Statement of Marks'!E88="","",'Statement of Marks'!E88)</f>
        <v/>
      </c>
      <c r="E86" s="316" t="str">
        <f>IF('Statement of Marks'!F88="","",'Statement of Marks'!F88)</f>
        <v/>
      </c>
      <c r="F86" s="316" t="str">
        <f>IF('Statement of Marks'!G88="","",'Statement of Marks'!G88)</f>
        <v/>
      </c>
      <c r="G86" s="316" t="str">
        <f>IF('Statement of Marks'!H88="","",'Statement of Marks'!H88)</f>
        <v/>
      </c>
      <c r="H86" s="830" t="str">
        <f>IF('Statement of Marks'!HS88="","",'Statement of Marks'!HS88)</f>
        <v/>
      </c>
      <c r="I86" s="172" t="str">
        <f>IF('Statement of Marks'!HV88="","",'Statement of Marks'!HV88)</f>
        <v/>
      </c>
      <c r="J86" s="317" t="str">
        <f>IF('Statement of Marks'!HW88="","",'Statement of Marks'!HW88)</f>
        <v/>
      </c>
      <c r="K86" s="392" t="str">
        <f>'Statement of Marks'!GN88</f>
        <v/>
      </c>
      <c r="L86" s="392" t="str">
        <f>'Statement of Marks'!GQ88</f>
        <v/>
      </c>
      <c r="M86" s="181" t="str">
        <f>'Statement of Marks'!GU88</f>
        <v/>
      </c>
      <c r="N86" s="181" t="str">
        <f>'Statement of Marks'!GV88</f>
        <v/>
      </c>
      <c r="O86" s="181" t="str">
        <f>'Statement of Marks'!GW88</f>
        <v/>
      </c>
      <c r="P86" s="181" t="str">
        <f>'Statement of Marks'!GX88</f>
        <v/>
      </c>
      <c r="Q86" s="181" t="str">
        <f>'Statement of Marks'!GY88</f>
        <v/>
      </c>
      <c r="R86" s="392" t="str">
        <f>'Statement of Marks'!HB88</f>
        <v/>
      </c>
      <c r="S86" s="392" t="str">
        <f>'Statement of Marks'!HE88</f>
        <v/>
      </c>
      <c r="T86" s="392" t="str">
        <f>'Statement of Marks'!HH88</f>
        <v/>
      </c>
      <c r="U86" s="392" t="str">
        <f>'Statement of Marks'!HK88</f>
        <v/>
      </c>
      <c r="V86" s="318" t="str">
        <f>IF(COUNTIF(K86:U86,"F")&gt;0,"",CONCATENATE('Statement of Marks'!HO88,'Statement of Marks'!HP88,'Statement of Marks'!HQ88))</f>
        <v xml:space="preserve">                  </v>
      </c>
      <c r="BI86" s="6" t="str">
        <f>IFERROR(VLOOKUP(B86,'Statement of Marks'!$B$7:'Statement of Marks'!$IC$206,41,0),"")</f>
        <v/>
      </c>
      <c r="BJ86" s="6" t="str">
        <f>IFERROR(VLOOKUP(B86,'Statement of Marks'!$B$7:'Statement of Marks'!$IC$206,66,0),"")</f>
        <v/>
      </c>
      <c r="BK86" s="6">
        <f>IFERROR(VLOOKUP(B86,'Statement of Marks'!$B$7:'Statement of Marks'!$IC$206,91,0),"")</f>
        <v>0</v>
      </c>
      <c r="BL86" s="6" t="str">
        <f>IFERROR(VLOOKUP(B86,'Statement of Marks'!$B$7:'Statement of Marks'!$IC$206,117,0),"")</f>
        <v/>
      </c>
    </row>
    <row r="87" spans="1:64" ht="21" customHeight="1">
      <c r="A87" s="169">
        <f>IF('Statement of Marks'!A89="","",'Statement of Marks'!A89)</f>
        <v>83</v>
      </c>
      <c r="B87" s="169" t="str">
        <f>IF('Statement of Marks'!B89="","",'Statement of Marks'!B89)</f>
        <v/>
      </c>
      <c r="C87" s="169" t="str">
        <f>IF('Statement of Marks'!D89="","",'Statement of Marks'!D89)</f>
        <v/>
      </c>
      <c r="D87" s="315" t="str">
        <f>IF('Statement of Marks'!E89="","",'Statement of Marks'!E89)</f>
        <v/>
      </c>
      <c r="E87" s="316" t="str">
        <f>IF('Statement of Marks'!F89="","",'Statement of Marks'!F89)</f>
        <v/>
      </c>
      <c r="F87" s="316" t="str">
        <f>IF('Statement of Marks'!G89="","",'Statement of Marks'!G89)</f>
        <v/>
      </c>
      <c r="G87" s="316" t="str">
        <f>IF('Statement of Marks'!H89="","",'Statement of Marks'!H89)</f>
        <v/>
      </c>
      <c r="H87" s="830" t="str">
        <f>IF('Statement of Marks'!HS89="","",'Statement of Marks'!HS89)</f>
        <v/>
      </c>
      <c r="I87" s="172" t="str">
        <f>IF('Statement of Marks'!HV89="","",'Statement of Marks'!HV89)</f>
        <v/>
      </c>
      <c r="J87" s="317" t="str">
        <f>IF('Statement of Marks'!HW89="","",'Statement of Marks'!HW89)</f>
        <v/>
      </c>
      <c r="K87" s="392" t="str">
        <f>'Statement of Marks'!GN89</f>
        <v/>
      </c>
      <c r="L87" s="392" t="str">
        <f>'Statement of Marks'!GQ89</f>
        <v/>
      </c>
      <c r="M87" s="181" t="str">
        <f>'Statement of Marks'!GU89</f>
        <v/>
      </c>
      <c r="N87" s="181" t="str">
        <f>'Statement of Marks'!GV89</f>
        <v/>
      </c>
      <c r="O87" s="181" t="str">
        <f>'Statement of Marks'!GW89</f>
        <v/>
      </c>
      <c r="P87" s="181" t="str">
        <f>'Statement of Marks'!GX89</f>
        <v/>
      </c>
      <c r="Q87" s="181" t="str">
        <f>'Statement of Marks'!GY89</f>
        <v/>
      </c>
      <c r="R87" s="392" t="str">
        <f>'Statement of Marks'!HB89</f>
        <v/>
      </c>
      <c r="S87" s="392" t="str">
        <f>'Statement of Marks'!HE89</f>
        <v/>
      </c>
      <c r="T87" s="392" t="str">
        <f>'Statement of Marks'!HH89</f>
        <v/>
      </c>
      <c r="U87" s="392" t="str">
        <f>'Statement of Marks'!HK89</f>
        <v/>
      </c>
      <c r="V87" s="318" t="str">
        <f>IF(COUNTIF(K87:U87,"F")&gt;0,"",CONCATENATE('Statement of Marks'!HO89,'Statement of Marks'!HP89,'Statement of Marks'!HQ89))</f>
        <v xml:space="preserve">                  </v>
      </c>
      <c r="BI87" s="6" t="str">
        <f>IFERROR(VLOOKUP(B87,'Statement of Marks'!$B$7:'Statement of Marks'!$IC$206,41,0),"")</f>
        <v/>
      </c>
      <c r="BJ87" s="6" t="str">
        <f>IFERROR(VLOOKUP(B87,'Statement of Marks'!$B$7:'Statement of Marks'!$IC$206,66,0),"")</f>
        <v/>
      </c>
      <c r="BK87" s="6">
        <f>IFERROR(VLOOKUP(B87,'Statement of Marks'!$B$7:'Statement of Marks'!$IC$206,91,0),"")</f>
        <v>0</v>
      </c>
      <c r="BL87" s="6" t="str">
        <f>IFERROR(VLOOKUP(B87,'Statement of Marks'!$B$7:'Statement of Marks'!$IC$206,117,0),"")</f>
        <v/>
      </c>
    </row>
    <row r="88" spans="1:64" ht="21" customHeight="1">
      <c r="A88" s="169">
        <f>IF('Statement of Marks'!A90="","",'Statement of Marks'!A90)</f>
        <v>84</v>
      </c>
      <c r="B88" s="169" t="str">
        <f>IF('Statement of Marks'!B90="","",'Statement of Marks'!B90)</f>
        <v/>
      </c>
      <c r="C88" s="169" t="str">
        <f>IF('Statement of Marks'!D90="","",'Statement of Marks'!D90)</f>
        <v/>
      </c>
      <c r="D88" s="315" t="str">
        <f>IF('Statement of Marks'!E90="","",'Statement of Marks'!E90)</f>
        <v/>
      </c>
      <c r="E88" s="316" t="str">
        <f>IF('Statement of Marks'!F90="","",'Statement of Marks'!F90)</f>
        <v/>
      </c>
      <c r="F88" s="316" t="str">
        <f>IF('Statement of Marks'!G90="","",'Statement of Marks'!G90)</f>
        <v/>
      </c>
      <c r="G88" s="316" t="str">
        <f>IF('Statement of Marks'!H90="","",'Statement of Marks'!H90)</f>
        <v/>
      </c>
      <c r="H88" s="830" t="str">
        <f>IF('Statement of Marks'!HS90="","",'Statement of Marks'!HS90)</f>
        <v/>
      </c>
      <c r="I88" s="172" t="str">
        <f>IF('Statement of Marks'!HV90="","",'Statement of Marks'!HV90)</f>
        <v/>
      </c>
      <c r="J88" s="317" t="str">
        <f>IF('Statement of Marks'!HW90="","",'Statement of Marks'!HW90)</f>
        <v/>
      </c>
      <c r="K88" s="392" t="str">
        <f>'Statement of Marks'!GN90</f>
        <v/>
      </c>
      <c r="L88" s="392" t="str">
        <f>'Statement of Marks'!GQ90</f>
        <v/>
      </c>
      <c r="M88" s="181" t="str">
        <f>'Statement of Marks'!GU90</f>
        <v/>
      </c>
      <c r="N88" s="181" t="str">
        <f>'Statement of Marks'!GV90</f>
        <v/>
      </c>
      <c r="O88" s="181" t="str">
        <f>'Statement of Marks'!GW90</f>
        <v/>
      </c>
      <c r="P88" s="181" t="str">
        <f>'Statement of Marks'!GX90</f>
        <v/>
      </c>
      <c r="Q88" s="181" t="str">
        <f>'Statement of Marks'!GY90</f>
        <v/>
      </c>
      <c r="R88" s="392" t="str">
        <f>'Statement of Marks'!HB90</f>
        <v/>
      </c>
      <c r="S88" s="392" t="str">
        <f>'Statement of Marks'!HE90</f>
        <v/>
      </c>
      <c r="T88" s="392" t="str">
        <f>'Statement of Marks'!HH90</f>
        <v/>
      </c>
      <c r="U88" s="392" t="str">
        <f>'Statement of Marks'!HK90</f>
        <v/>
      </c>
      <c r="V88" s="318" t="str">
        <f>IF(COUNTIF(K88:U88,"F")&gt;0,"",CONCATENATE('Statement of Marks'!HO90,'Statement of Marks'!HP90,'Statement of Marks'!HQ90))</f>
        <v xml:space="preserve">                  </v>
      </c>
      <c r="BI88" s="6" t="str">
        <f>IFERROR(VLOOKUP(B88,'Statement of Marks'!$B$7:'Statement of Marks'!$IC$206,41,0),"")</f>
        <v/>
      </c>
      <c r="BJ88" s="6" t="str">
        <f>IFERROR(VLOOKUP(B88,'Statement of Marks'!$B$7:'Statement of Marks'!$IC$206,66,0),"")</f>
        <v/>
      </c>
      <c r="BK88" s="6">
        <f>IFERROR(VLOOKUP(B88,'Statement of Marks'!$B$7:'Statement of Marks'!$IC$206,91,0),"")</f>
        <v>0</v>
      </c>
      <c r="BL88" s="6" t="str">
        <f>IFERROR(VLOOKUP(B88,'Statement of Marks'!$B$7:'Statement of Marks'!$IC$206,117,0),"")</f>
        <v/>
      </c>
    </row>
    <row r="89" spans="1:64" ht="21" customHeight="1">
      <c r="A89" s="169">
        <f>IF('Statement of Marks'!A91="","",'Statement of Marks'!A91)</f>
        <v>85</v>
      </c>
      <c r="B89" s="169" t="str">
        <f>IF('Statement of Marks'!B91="","",'Statement of Marks'!B91)</f>
        <v/>
      </c>
      <c r="C89" s="169" t="str">
        <f>IF('Statement of Marks'!D91="","",'Statement of Marks'!D91)</f>
        <v/>
      </c>
      <c r="D89" s="315" t="str">
        <f>IF('Statement of Marks'!E91="","",'Statement of Marks'!E91)</f>
        <v/>
      </c>
      <c r="E89" s="316" t="str">
        <f>IF('Statement of Marks'!F91="","",'Statement of Marks'!F91)</f>
        <v/>
      </c>
      <c r="F89" s="316" t="str">
        <f>IF('Statement of Marks'!G91="","",'Statement of Marks'!G91)</f>
        <v/>
      </c>
      <c r="G89" s="316" t="str">
        <f>IF('Statement of Marks'!H91="","",'Statement of Marks'!H91)</f>
        <v/>
      </c>
      <c r="H89" s="830" t="str">
        <f>IF('Statement of Marks'!HS91="","",'Statement of Marks'!HS91)</f>
        <v/>
      </c>
      <c r="I89" s="172" t="str">
        <f>IF('Statement of Marks'!HV91="","",'Statement of Marks'!HV91)</f>
        <v/>
      </c>
      <c r="J89" s="317" t="str">
        <f>IF('Statement of Marks'!HW91="","",'Statement of Marks'!HW91)</f>
        <v/>
      </c>
      <c r="K89" s="392" t="str">
        <f>'Statement of Marks'!GN91</f>
        <v/>
      </c>
      <c r="L89" s="392" t="str">
        <f>'Statement of Marks'!GQ91</f>
        <v/>
      </c>
      <c r="M89" s="181" t="str">
        <f>'Statement of Marks'!GU91</f>
        <v/>
      </c>
      <c r="N89" s="181" t="str">
        <f>'Statement of Marks'!GV91</f>
        <v/>
      </c>
      <c r="O89" s="181" t="str">
        <f>'Statement of Marks'!GW91</f>
        <v/>
      </c>
      <c r="P89" s="181" t="str">
        <f>'Statement of Marks'!GX91</f>
        <v/>
      </c>
      <c r="Q89" s="181" t="str">
        <f>'Statement of Marks'!GY91</f>
        <v/>
      </c>
      <c r="R89" s="392" t="str">
        <f>'Statement of Marks'!HB91</f>
        <v/>
      </c>
      <c r="S89" s="392" t="str">
        <f>'Statement of Marks'!HE91</f>
        <v/>
      </c>
      <c r="T89" s="392" t="str">
        <f>'Statement of Marks'!HH91</f>
        <v/>
      </c>
      <c r="U89" s="392" t="str">
        <f>'Statement of Marks'!HK91</f>
        <v/>
      </c>
      <c r="V89" s="318" t="str">
        <f>IF(COUNTIF(K89:U89,"F")&gt;0,"",CONCATENATE('Statement of Marks'!HO91,'Statement of Marks'!HP91,'Statement of Marks'!HQ91))</f>
        <v xml:space="preserve">                  </v>
      </c>
      <c r="BI89" s="6" t="str">
        <f>IFERROR(VLOOKUP(B89,'Statement of Marks'!$B$7:'Statement of Marks'!$IC$206,41,0),"")</f>
        <v/>
      </c>
      <c r="BJ89" s="6" t="str">
        <f>IFERROR(VLOOKUP(B89,'Statement of Marks'!$B$7:'Statement of Marks'!$IC$206,66,0),"")</f>
        <v/>
      </c>
      <c r="BK89" s="6">
        <f>IFERROR(VLOOKUP(B89,'Statement of Marks'!$B$7:'Statement of Marks'!$IC$206,91,0),"")</f>
        <v>0</v>
      </c>
      <c r="BL89" s="6" t="str">
        <f>IFERROR(VLOOKUP(B89,'Statement of Marks'!$B$7:'Statement of Marks'!$IC$206,117,0),"")</f>
        <v/>
      </c>
    </row>
    <row r="90" spans="1:64" ht="21" customHeight="1">
      <c r="A90" s="169">
        <f>IF('Statement of Marks'!A92="","",'Statement of Marks'!A92)</f>
        <v>86</v>
      </c>
      <c r="B90" s="169" t="str">
        <f>IF('Statement of Marks'!B92="","",'Statement of Marks'!B92)</f>
        <v/>
      </c>
      <c r="C90" s="169" t="str">
        <f>IF('Statement of Marks'!D92="","",'Statement of Marks'!D92)</f>
        <v/>
      </c>
      <c r="D90" s="315" t="str">
        <f>IF('Statement of Marks'!E92="","",'Statement of Marks'!E92)</f>
        <v/>
      </c>
      <c r="E90" s="316" t="str">
        <f>IF('Statement of Marks'!F92="","",'Statement of Marks'!F92)</f>
        <v/>
      </c>
      <c r="F90" s="316" t="str">
        <f>IF('Statement of Marks'!G92="","",'Statement of Marks'!G92)</f>
        <v/>
      </c>
      <c r="G90" s="316" t="str">
        <f>IF('Statement of Marks'!H92="","",'Statement of Marks'!H92)</f>
        <v/>
      </c>
      <c r="H90" s="830" t="str">
        <f>IF('Statement of Marks'!HS92="","",'Statement of Marks'!HS92)</f>
        <v/>
      </c>
      <c r="I90" s="172" t="str">
        <f>IF('Statement of Marks'!HV92="","",'Statement of Marks'!HV92)</f>
        <v/>
      </c>
      <c r="J90" s="317" t="str">
        <f>IF('Statement of Marks'!HW92="","",'Statement of Marks'!HW92)</f>
        <v/>
      </c>
      <c r="K90" s="392" t="str">
        <f>'Statement of Marks'!GN92</f>
        <v/>
      </c>
      <c r="L90" s="392" t="str">
        <f>'Statement of Marks'!GQ92</f>
        <v/>
      </c>
      <c r="M90" s="181" t="str">
        <f>'Statement of Marks'!GU92</f>
        <v/>
      </c>
      <c r="N90" s="181" t="str">
        <f>'Statement of Marks'!GV92</f>
        <v/>
      </c>
      <c r="O90" s="181" t="str">
        <f>'Statement of Marks'!GW92</f>
        <v/>
      </c>
      <c r="P90" s="181" t="str">
        <f>'Statement of Marks'!GX92</f>
        <v/>
      </c>
      <c r="Q90" s="181" t="str">
        <f>'Statement of Marks'!GY92</f>
        <v/>
      </c>
      <c r="R90" s="392" t="str">
        <f>'Statement of Marks'!HB92</f>
        <v/>
      </c>
      <c r="S90" s="392" t="str">
        <f>'Statement of Marks'!HE92</f>
        <v/>
      </c>
      <c r="T90" s="392" t="str">
        <f>'Statement of Marks'!HH92</f>
        <v/>
      </c>
      <c r="U90" s="392" t="str">
        <f>'Statement of Marks'!HK92</f>
        <v/>
      </c>
      <c r="V90" s="318" t="str">
        <f>IF(COUNTIF(K90:U90,"F")&gt;0,"",CONCATENATE('Statement of Marks'!HO92,'Statement of Marks'!HP92,'Statement of Marks'!HQ92))</f>
        <v xml:space="preserve">                  </v>
      </c>
      <c r="BI90" s="6" t="str">
        <f>IFERROR(VLOOKUP(B90,'Statement of Marks'!$B$7:'Statement of Marks'!$IC$206,41,0),"")</f>
        <v/>
      </c>
      <c r="BJ90" s="6" t="str">
        <f>IFERROR(VLOOKUP(B90,'Statement of Marks'!$B$7:'Statement of Marks'!$IC$206,66,0),"")</f>
        <v/>
      </c>
      <c r="BK90" s="6">
        <f>IFERROR(VLOOKUP(B90,'Statement of Marks'!$B$7:'Statement of Marks'!$IC$206,91,0),"")</f>
        <v>0</v>
      </c>
      <c r="BL90" s="6" t="str">
        <f>IFERROR(VLOOKUP(B90,'Statement of Marks'!$B$7:'Statement of Marks'!$IC$206,117,0),"")</f>
        <v/>
      </c>
    </row>
    <row r="91" spans="1:64" ht="21" customHeight="1">
      <c r="A91" s="169">
        <f>IF('Statement of Marks'!A93="","",'Statement of Marks'!A93)</f>
        <v>87</v>
      </c>
      <c r="B91" s="169" t="str">
        <f>IF('Statement of Marks'!B93="","",'Statement of Marks'!B93)</f>
        <v/>
      </c>
      <c r="C91" s="169" t="str">
        <f>IF('Statement of Marks'!D93="","",'Statement of Marks'!D93)</f>
        <v/>
      </c>
      <c r="D91" s="315" t="str">
        <f>IF('Statement of Marks'!E93="","",'Statement of Marks'!E93)</f>
        <v/>
      </c>
      <c r="E91" s="316" t="str">
        <f>IF('Statement of Marks'!F93="","",'Statement of Marks'!F93)</f>
        <v/>
      </c>
      <c r="F91" s="316" t="str">
        <f>IF('Statement of Marks'!G93="","",'Statement of Marks'!G93)</f>
        <v/>
      </c>
      <c r="G91" s="316" t="str">
        <f>IF('Statement of Marks'!H93="","",'Statement of Marks'!H93)</f>
        <v/>
      </c>
      <c r="H91" s="830" t="str">
        <f>IF('Statement of Marks'!HS93="","",'Statement of Marks'!HS93)</f>
        <v/>
      </c>
      <c r="I91" s="172" t="str">
        <f>IF('Statement of Marks'!HV93="","",'Statement of Marks'!HV93)</f>
        <v/>
      </c>
      <c r="J91" s="317" t="str">
        <f>IF('Statement of Marks'!HW93="","",'Statement of Marks'!HW93)</f>
        <v/>
      </c>
      <c r="K91" s="392" t="str">
        <f>'Statement of Marks'!GN93</f>
        <v/>
      </c>
      <c r="L91" s="392" t="str">
        <f>'Statement of Marks'!GQ93</f>
        <v/>
      </c>
      <c r="M91" s="181" t="str">
        <f>'Statement of Marks'!GU93</f>
        <v/>
      </c>
      <c r="N91" s="181" t="str">
        <f>'Statement of Marks'!GV93</f>
        <v/>
      </c>
      <c r="O91" s="181" t="str">
        <f>'Statement of Marks'!GW93</f>
        <v/>
      </c>
      <c r="P91" s="181" t="str">
        <f>'Statement of Marks'!GX93</f>
        <v/>
      </c>
      <c r="Q91" s="181" t="str">
        <f>'Statement of Marks'!GY93</f>
        <v/>
      </c>
      <c r="R91" s="392" t="str">
        <f>'Statement of Marks'!HB93</f>
        <v/>
      </c>
      <c r="S91" s="392" t="str">
        <f>'Statement of Marks'!HE93</f>
        <v/>
      </c>
      <c r="T91" s="392" t="str">
        <f>'Statement of Marks'!HH93</f>
        <v/>
      </c>
      <c r="U91" s="392" t="str">
        <f>'Statement of Marks'!HK93</f>
        <v/>
      </c>
      <c r="V91" s="318" t="str">
        <f>IF(COUNTIF(K91:U91,"F")&gt;0,"",CONCATENATE('Statement of Marks'!HO93,'Statement of Marks'!HP93,'Statement of Marks'!HQ93))</f>
        <v xml:space="preserve">                  </v>
      </c>
      <c r="BI91" s="6" t="str">
        <f>IFERROR(VLOOKUP(B91,'Statement of Marks'!$B$7:'Statement of Marks'!$IC$206,41,0),"")</f>
        <v/>
      </c>
      <c r="BJ91" s="6" t="str">
        <f>IFERROR(VLOOKUP(B91,'Statement of Marks'!$B$7:'Statement of Marks'!$IC$206,66,0),"")</f>
        <v/>
      </c>
      <c r="BK91" s="6">
        <f>IFERROR(VLOOKUP(B91,'Statement of Marks'!$B$7:'Statement of Marks'!$IC$206,91,0),"")</f>
        <v>0</v>
      </c>
      <c r="BL91" s="6" t="str">
        <f>IFERROR(VLOOKUP(B91,'Statement of Marks'!$B$7:'Statement of Marks'!$IC$206,117,0),"")</f>
        <v/>
      </c>
    </row>
    <row r="92" spans="1:64" ht="21" customHeight="1">
      <c r="A92" s="169">
        <f>IF('Statement of Marks'!A94="","",'Statement of Marks'!A94)</f>
        <v>88</v>
      </c>
      <c r="B92" s="169" t="str">
        <f>IF('Statement of Marks'!B94="","",'Statement of Marks'!B94)</f>
        <v/>
      </c>
      <c r="C92" s="169" t="str">
        <f>IF('Statement of Marks'!D94="","",'Statement of Marks'!D94)</f>
        <v/>
      </c>
      <c r="D92" s="315" t="str">
        <f>IF('Statement of Marks'!E94="","",'Statement of Marks'!E94)</f>
        <v/>
      </c>
      <c r="E92" s="316" t="str">
        <f>IF('Statement of Marks'!F94="","",'Statement of Marks'!F94)</f>
        <v/>
      </c>
      <c r="F92" s="316" t="str">
        <f>IF('Statement of Marks'!G94="","",'Statement of Marks'!G94)</f>
        <v/>
      </c>
      <c r="G92" s="316" t="str">
        <f>IF('Statement of Marks'!H94="","",'Statement of Marks'!H94)</f>
        <v/>
      </c>
      <c r="H92" s="830" t="str">
        <f>IF('Statement of Marks'!HS94="","",'Statement of Marks'!HS94)</f>
        <v/>
      </c>
      <c r="I92" s="172" t="str">
        <f>IF('Statement of Marks'!HV94="","",'Statement of Marks'!HV94)</f>
        <v/>
      </c>
      <c r="J92" s="317" t="str">
        <f>IF('Statement of Marks'!HW94="","",'Statement of Marks'!HW94)</f>
        <v/>
      </c>
      <c r="K92" s="392" t="str">
        <f>'Statement of Marks'!GN94</f>
        <v/>
      </c>
      <c r="L92" s="392" t="str">
        <f>'Statement of Marks'!GQ94</f>
        <v/>
      </c>
      <c r="M92" s="181" t="str">
        <f>'Statement of Marks'!GU94</f>
        <v/>
      </c>
      <c r="N92" s="181" t="str">
        <f>'Statement of Marks'!GV94</f>
        <v/>
      </c>
      <c r="O92" s="181" t="str">
        <f>'Statement of Marks'!GW94</f>
        <v/>
      </c>
      <c r="P92" s="181" t="str">
        <f>'Statement of Marks'!GX94</f>
        <v/>
      </c>
      <c r="Q92" s="181" t="str">
        <f>'Statement of Marks'!GY94</f>
        <v/>
      </c>
      <c r="R92" s="392" t="str">
        <f>'Statement of Marks'!HB94</f>
        <v/>
      </c>
      <c r="S92" s="392" t="str">
        <f>'Statement of Marks'!HE94</f>
        <v/>
      </c>
      <c r="T92" s="392" t="str">
        <f>'Statement of Marks'!HH94</f>
        <v/>
      </c>
      <c r="U92" s="392" t="str">
        <f>'Statement of Marks'!HK94</f>
        <v/>
      </c>
      <c r="V92" s="318" t="str">
        <f>IF(COUNTIF(K92:U92,"F")&gt;0,"",CONCATENATE('Statement of Marks'!HO94,'Statement of Marks'!HP94,'Statement of Marks'!HQ94))</f>
        <v xml:space="preserve">                  </v>
      </c>
      <c r="BI92" s="6" t="str">
        <f>IFERROR(VLOOKUP(B92,'Statement of Marks'!$B$7:'Statement of Marks'!$IC$206,41,0),"")</f>
        <v/>
      </c>
      <c r="BJ92" s="6" t="str">
        <f>IFERROR(VLOOKUP(B92,'Statement of Marks'!$B$7:'Statement of Marks'!$IC$206,66,0),"")</f>
        <v/>
      </c>
      <c r="BK92" s="6">
        <f>IFERROR(VLOOKUP(B92,'Statement of Marks'!$B$7:'Statement of Marks'!$IC$206,91,0),"")</f>
        <v>0</v>
      </c>
      <c r="BL92" s="6" t="str">
        <f>IFERROR(VLOOKUP(B92,'Statement of Marks'!$B$7:'Statement of Marks'!$IC$206,117,0),"")</f>
        <v/>
      </c>
    </row>
    <row r="93" spans="1:64" ht="21" customHeight="1">
      <c r="A93" s="169">
        <f>IF('Statement of Marks'!A95="","",'Statement of Marks'!A95)</f>
        <v>89</v>
      </c>
      <c r="B93" s="169" t="str">
        <f>IF('Statement of Marks'!B95="","",'Statement of Marks'!B95)</f>
        <v/>
      </c>
      <c r="C93" s="169" t="str">
        <f>IF('Statement of Marks'!D95="","",'Statement of Marks'!D95)</f>
        <v/>
      </c>
      <c r="D93" s="315" t="str">
        <f>IF('Statement of Marks'!E95="","",'Statement of Marks'!E95)</f>
        <v/>
      </c>
      <c r="E93" s="316" t="str">
        <f>IF('Statement of Marks'!F95="","",'Statement of Marks'!F95)</f>
        <v/>
      </c>
      <c r="F93" s="316" t="str">
        <f>IF('Statement of Marks'!G95="","",'Statement of Marks'!G95)</f>
        <v/>
      </c>
      <c r="G93" s="316" t="str">
        <f>IF('Statement of Marks'!H95="","",'Statement of Marks'!H95)</f>
        <v/>
      </c>
      <c r="H93" s="830" t="str">
        <f>IF('Statement of Marks'!HS95="","",'Statement of Marks'!HS95)</f>
        <v/>
      </c>
      <c r="I93" s="172" t="str">
        <f>IF('Statement of Marks'!HV95="","",'Statement of Marks'!HV95)</f>
        <v/>
      </c>
      <c r="J93" s="317" t="str">
        <f>IF('Statement of Marks'!HW95="","",'Statement of Marks'!HW95)</f>
        <v/>
      </c>
      <c r="K93" s="392" t="str">
        <f>'Statement of Marks'!GN95</f>
        <v/>
      </c>
      <c r="L93" s="392" t="str">
        <f>'Statement of Marks'!GQ95</f>
        <v/>
      </c>
      <c r="M93" s="181" t="str">
        <f>'Statement of Marks'!GU95</f>
        <v/>
      </c>
      <c r="N93" s="181" t="str">
        <f>'Statement of Marks'!GV95</f>
        <v/>
      </c>
      <c r="O93" s="181" t="str">
        <f>'Statement of Marks'!GW95</f>
        <v/>
      </c>
      <c r="P93" s="181" t="str">
        <f>'Statement of Marks'!GX95</f>
        <v/>
      </c>
      <c r="Q93" s="181" t="str">
        <f>'Statement of Marks'!GY95</f>
        <v/>
      </c>
      <c r="R93" s="392" t="str">
        <f>'Statement of Marks'!HB95</f>
        <v/>
      </c>
      <c r="S93" s="392" t="str">
        <f>'Statement of Marks'!HE95</f>
        <v/>
      </c>
      <c r="T93" s="392" t="str">
        <f>'Statement of Marks'!HH95</f>
        <v/>
      </c>
      <c r="U93" s="392" t="str">
        <f>'Statement of Marks'!HK95</f>
        <v/>
      </c>
      <c r="V93" s="318" t="str">
        <f>IF(COUNTIF(K93:U93,"F")&gt;0,"",CONCATENATE('Statement of Marks'!HO95,'Statement of Marks'!HP95,'Statement of Marks'!HQ95))</f>
        <v xml:space="preserve">                  </v>
      </c>
      <c r="BI93" s="6" t="str">
        <f>IFERROR(VLOOKUP(B93,'Statement of Marks'!$B$7:'Statement of Marks'!$IC$206,41,0),"")</f>
        <v/>
      </c>
      <c r="BJ93" s="6" t="str">
        <f>IFERROR(VLOOKUP(B93,'Statement of Marks'!$B$7:'Statement of Marks'!$IC$206,66,0),"")</f>
        <v/>
      </c>
      <c r="BK93" s="6">
        <f>IFERROR(VLOOKUP(B93,'Statement of Marks'!$B$7:'Statement of Marks'!$IC$206,91,0),"")</f>
        <v>0</v>
      </c>
      <c r="BL93" s="6" t="str">
        <f>IFERROR(VLOOKUP(B93,'Statement of Marks'!$B$7:'Statement of Marks'!$IC$206,117,0),"")</f>
        <v/>
      </c>
    </row>
    <row r="94" spans="1:64" ht="21" customHeight="1">
      <c r="A94" s="169">
        <f>IF('Statement of Marks'!A96="","",'Statement of Marks'!A96)</f>
        <v>90</v>
      </c>
      <c r="B94" s="169" t="str">
        <f>IF('Statement of Marks'!B96="","",'Statement of Marks'!B96)</f>
        <v/>
      </c>
      <c r="C94" s="169" t="str">
        <f>IF('Statement of Marks'!D96="","",'Statement of Marks'!D96)</f>
        <v/>
      </c>
      <c r="D94" s="315" t="str">
        <f>IF('Statement of Marks'!E96="","",'Statement of Marks'!E96)</f>
        <v/>
      </c>
      <c r="E94" s="316" t="str">
        <f>IF('Statement of Marks'!F96="","",'Statement of Marks'!F96)</f>
        <v/>
      </c>
      <c r="F94" s="316" t="str">
        <f>IF('Statement of Marks'!G96="","",'Statement of Marks'!G96)</f>
        <v/>
      </c>
      <c r="G94" s="316" t="str">
        <f>IF('Statement of Marks'!H96="","",'Statement of Marks'!H96)</f>
        <v/>
      </c>
      <c r="H94" s="830" t="str">
        <f>IF('Statement of Marks'!HS96="","",'Statement of Marks'!HS96)</f>
        <v/>
      </c>
      <c r="I94" s="172" t="str">
        <f>IF('Statement of Marks'!HV96="","",'Statement of Marks'!HV96)</f>
        <v/>
      </c>
      <c r="J94" s="317" t="str">
        <f>IF('Statement of Marks'!HW96="","",'Statement of Marks'!HW96)</f>
        <v/>
      </c>
      <c r="K94" s="392" t="str">
        <f>'Statement of Marks'!GN96</f>
        <v/>
      </c>
      <c r="L94" s="392" t="str">
        <f>'Statement of Marks'!GQ96</f>
        <v/>
      </c>
      <c r="M94" s="181" t="str">
        <f>'Statement of Marks'!GU96</f>
        <v/>
      </c>
      <c r="N94" s="181" t="str">
        <f>'Statement of Marks'!GV96</f>
        <v/>
      </c>
      <c r="O94" s="181" t="str">
        <f>'Statement of Marks'!GW96</f>
        <v/>
      </c>
      <c r="P94" s="181" t="str">
        <f>'Statement of Marks'!GX96</f>
        <v/>
      </c>
      <c r="Q94" s="181" t="str">
        <f>'Statement of Marks'!GY96</f>
        <v/>
      </c>
      <c r="R94" s="392" t="str">
        <f>'Statement of Marks'!HB96</f>
        <v/>
      </c>
      <c r="S94" s="392" t="str">
        <f>'Statement of Marks'!HE96</f>
        <v/>
      </c>
      <c r="T94" s="392" t="str">
        <f>'Statement of Marks'!HH96</f>
        <v/>
      </c>
      <c r="U94" s="392" t="str">
        <f>'Statement of Marks'!HK96</f>
        <v/>
      </c>
      <c r="V94" s="318" t="str">
        <f>IF(COUNTIF(K94:U94,"F")&gt;0,"",CONCATENATE('Statement of Marks'!HO96,'Statement of Marks'!HP96,'Statement of Marks'!HQ96))</f>
        <v xml:space="preserve">                  </v>
      </c>
      <c r="BI94" s="6" t="str">
        <f>IFERROR(VLOOKUP(B94,'Statement of Marks'!$B$7:'Statement of Marks'!$IC$206,41,0),"")</f>
        <v/>
      </c>
      <c r="BJ94" s="6" t="str">
        <f>IFERROR(VLOOKUP(B94,'Statement of Marks'!$B$7:'Statement of Marks'!$IC$206,66,0),"")</f>
        <v/>
      </c>
      <c r="BK94" s="6">
        <f>IFERROR(VLOOKUP(B94,'Statement of Marks'!$B$7:'Statement of Marks'!$IC$206,91,0),"")</f>
        <v>0</v>
      </c>
      <c r="BL94" s="6" t="str">
        <f>IFERROR(VLOOKUP(B94,'Statement of Marks'!$B$7:'Statement of Marks'!$IC$206,117,0),"")</f>
        <v/>
      </c>
    </row>
    <row r="95" spans="1:64" ht="21" customHeight="1">
      <c r="A95" s="169">
        <f>IF('Statement of Marks'!A97="","",'Statement of Marks'!A97)</f>
        <v>91</v>
      </c>
      <c r="B95" s="169" t="str">
        <f>IF('Statement of Marks'!B97="","",'Statement of Marks'!B97)</f>
        <v/>
      </c>
      <c r="C95" s="169" t="str">
        <f>IF('Statement of Marks'!D97="","",'Statement of Marks'!D97)</f>
        <v/>
      </c>
      <c r="D95" s="315" t="str">
        <f>IF('Statement of Marks'!E97="","",'Statement of Marks'!E97)</f>
        <v/>
      </c>
      <c r="E95" s="316" t="str">
        <f>IF('Statement of Marks'!F97="","",'Statement of Marks'!F97)</f>
        <v/>
      </c>
      <c r="F95" s="316" t="str">
        <f>IF('Statement of Marks'!G97="","",'Statement of Marks'!G97)</f>
        <v/>
      </c>
      <c r="G95" s="316" t="str">
        <f>IF('Statement of Marks'!H97="","",'Statement of Marks'!H97)</f>
        <v/>
      </c>
      <c r="H95" s="830" t="str">
        <f>IF('Statement of Marks'!HS97="","",'Statement of Marks'!HS97)</f>
        <v/>
      </c>
      <c r="I95" s="172" t="str">
        <f>IF('Statement of Marks'!HV97="","",'Statement of Marks'!HV97)</f>
        <v/>
      </c>
      <c r="J95" s="317" t="str">
        <f>IF('Statement of Marks'!HW97="","",'Statement of Marks'!HW97)</f>
        <v/>
      </c>
      <c r="K95" s="392" t="str">
        <f>'Statement of Marks'!GN97</f>
        <v/>
      </c>
      <c r="L95" s="392" t="str">
        <f>'Statement of Marks'!GQ97</f>
        <v/>
      </c>
      <c r="M95" s="181" t="str">
        <f>'Statement of Marks'!GU97</f>
        <v/>
      </c>
      <c r="N95" s="181" t="str">
        <f>'Statement of Marks'!GV97</f>
        <v/>
      </c>
      <c r="O95" s="181" t="str">
        <f>'Statement of Marks'!GW97</f>
        <v/>
      </c>
      <c r="P95" s="181" t="str">
        <f>'Statement of Marks'!GX97</f>
        <v/>
      </c>
      <c r="Q95" s="181" t="str">
        <f>'Statement of Marks'!GY97</f>
        <v/>
      </c>
      <c r="R95" s="392" t="str">
        <f>'Statement of Marks'!HB97</f>
        <v/>
      </c>
      <c r="S95" s="392" t="str">
        <f>'Statement of Marks'!HE97</f>
        <v/>
      </c>
      <c r="T95" s="392" t="str">
        <f>'Statement of Marks'!HH97</f>
        <v/>
      </c>
      <c r="U95" s="392" t="str">
        <f>'Statement of Marks'!HK97</f>
        <v/>
      </c>
      <c r="V95" s="318" t="str">
        <f>IF(COUNTIF(K95:U95,"F")&gt;0,"",CONCATENATE('Statement of Marks'!HO97,'Statement of Marks'!HP97,'Statement of Marks'!HQ97))</f>
        <v xml:space="preserve">                  </v>
      </c>
      <c r="BI95" s="6" t="str">
        <f>IFERROR(VLOOKUP(B95,'Statement of Marks'!$B$7:'Statement of Marks'!$IC$206,41,0),"")</f>
        <v/>
      </c>
      <c r="BJ95" s="6" t="str">
        <f>IFERROR(VLOOKUP(B95,'Statement of Marks'!$B$7:'Statement of Marks'!$IC$206,66,0),"")</f>
        <v/>
      </c>
      <c r="BK95" s="6">
        <f>IFERROR(VLOOKUP(B95,'Statement of Marks'!$B$7:'Statement of Marks'!$IC$206,91,0),"")</f>
        <v>0</v>
      </c>
      <c r="BL95" s="6" t="str">
        <f>IFERROR(VLOOKUP(B95,'Statement of Marks'!$B$7:'Statement of Marks'!$IC$206,117,0),"")</f>
        <v/>
      </c>
    </row>
    <row r="96" spans="1:64" ht="21" customHeight="1">
      <c r="A96" s="169">
        <f>IF('Statement of Marks'!A98="","",'Statement of Marks'!A98)</f>
        <v>92</v>
      </c>
      <c r="B96" s="169" t="str">
        <f>IF('Statement of Marks'!B98="","",'Statement of Marks'!B98)</f>
        <v/>
      </c>
      <c r="C96" s="169" t="str">
        <f>IF('Statement of Marks'!D98="","",'Statement of Marks'!D98)</f>
        <v/>
      </c>
      <c r="D96" s="315" t="str">
        <f>IF('Statement of Marks'!E98="","",'Statement of Marks'!E98)</f>
        <v/>
      </c>
      <c r="E96" s="316" t="str">
        <f>IF('Statement of Marks'!F98="","",'Statement of Marks'!F98)</f>
        <v/>
      </c>
      <c r="F96" s="316" t="str">
        <f>IF('Statement of Marks'!G98="","",'Statement of Marks'!G98)</f>
        <v/>
      </c>
      <c r="G96" s="316" t="str">
        <f>IF('Statement of Marks'!H98="","",'Statement of Marks'!H98)</f>
        <v/>
      </c>
      <c r="H96" s="830" t="str">
        <f>IF('Statement of Marks'!HS98="","",'Statement of Marks'!HS98)</f>
        <v/>
      </c>
      <c r="I96" s="172" t="str">
        <f>IF('Statement of Marks'!HV98="","",'Statement of Marks'!HV98)</f>
        <v/>
      </c>
      <c r="J96" s="317" t="str">
        <f>IF('Statement of Marks'!HW98="","",'Statement of Marks'!HW98)</f>
        <v/>
      </c>
      <c r="K96" s="392" t="str">
        <f>'Statement of Marks'!GN98</f>
        <v/>
      </c>
      <c r="L96" s="392" t="str">
        <f>'Statement of Marks'!GQ98</f>
        <v/>
      </c>
      <c r="M96" s="181" t="str">
        <f>'Statement of Marks'!GU98</f>
        <v/>
      </c>
      <c r="N96" s="181" t="str">
        <f>'Statement of Marks'!GV98</f>
        <v/>
      </c>
      <c r="O96" s="181" t="str">
        <f>'Statement of Marks'!GW98</f>
        <v/>
      </c>
      <c r="P96" s="181" t="str">
        <f>'Statement of Marks'!GX98</f>
        <v/>
      </c>
      <c r="Q96" s="181" t="str">
        <f>'Statement of Marks'!GY98</f>
        <v/>
      </c>
      <c r="R96" s="392" t="str">
        <f>'Statement of Marks'!HB98</f>
        <v/>
      </c>
      <c r="S96" s="392" t="str">
        <f>'Statement of Marks'!HE98</f>
        <v/>
      </c>
      <c r="T96" s="392" t="str">
        <f>'Statement of Marks'!HH98</f>
        <v/>
      </c>
      <c r="U96" s="392" t="str">
        <f>'Statement of Marks'!HK98</f>
        <v/>
      </c>
      <c r="V96" s="318" t="str">
        <f>IF(COUNTIF(K96:U96,"F")&gt;0,"",CONCATENATE('Statement of Marks'!HO98,'Statement of Marks'!HP98,'Statement of Marks'!HQ98))</f>
        <v xml:space="preserve">                  </v>
      </c>
      <c r="BI96" s="6" t="str">
        <f>IFERROR(VLOOKUP(B96,'Statement of Marks'!$B$7:'Statement of Marks'!$IC$206,41,0),"")</f>
        <v/>
      </c>
      <c r="BJ96" s="6" t="str">
        <f>IFERROR(VLOOKUP(B96,'Statement of Marks'!$B$7:'Statement of Marks'!$IC$206,66,0),"")</f>
        <v/>
      </c>
      <c r="BK96" s="6">
        <f>IFERROR(VLOOKUP(B96,'Statement of Marks'!$B$7:'Statement of Marks'!$IC$206,91,0),"")</f>
        <v>0</v>
      </c>
      <c r="BL96" s="6" t="str">
        <f>IFERROR(VLOOKUP(B96,'Statement of Marks'!$B$7:'Statement of Marks'!$IC$206,117,0),"")</f>
        <v/>
      </c>
    </row>
    <row r="97" spans="1:64" ht="21" customHeight="1">
      <c r="A97" s="169">
        <f>IF('Statement of Marks'!A99="","",'Statement of Marks'!A99)</f>
        <v>93</v>
      </c>
      <c r="B97" s="169" t="str">
        <f>IF('Statement of Marks'!B99="","",'Statement of Marks'!B99)</f>
        <v/>
      </c>
      <c r="C97" s="169" t="str">
        <f>IF('Statement of Marks'!D99="","",'Statement of Marks'!D99)</f>
        <v/>
      </c>
      <c r="D97" s="315" t="str">
        <f>IF('Statement of Marks'!E99="","",'Statement of Marks'!E99)</f>
        <v/>
      </c>
      <c r="E97" s="316" t="str">
        <f>IF('Statement of Marks'!F99="","",'Statement of Marks'!F99)</f>
        <v/>
      </c>
      <c r="F97" s="316" t="str">
        <f>IF('Statement of Marks'!G99="","",'Statement of Marks'!G99)</f>
        <v/>
      </c>
      <c r="G97" s="316" t="str">
        <f>IF('Statement of Marks'!H99="","",'Statement of Marks'!H99)</f>
        <v/>
      </c>
      <c r="H97" s="830" t="str">
        <f>IF('Statement of Marks'!HS99="","",'Statement of Marks'!HS99)</f>
        <v/>
      </c>
      <c r="I97" s="172" t="str">
        <f>IF('Statement of Marks'!HV99="","",'Statement of Marks'!HV99)</f>
        <v/>
      </c>
      <c r="J97" s="317" t="str">
        <f>IF('Statement of Marks'!HW99="","",'Statement of Marks'!HW99)</f>
        <v/>
      </c>
      <c r="K97" s="392" t="str">
        <f>'Statement of Marks'!GN99</f>
        <v/>
      </c>
      <c r="L97" s="392" t="str">
        <f>'Statement of Marks'!GQ99</f>
        <v/>
      </c>
      <c r="M97" s="181" t="str">
        <f>'Statement of Marks'!GU99</f>
        <v/>
      </c>
      <c r="N97" s="181" t="str">
        <f>'Statement of Marks'!GV99</f>
        <v/>
      </c>
      <c r="O97" s="181" t="str">
        <f>'Statement of Marks'!GW99</f>
        <v/>
      </c>
      <c r="P97" s="181" t="str">
        <f>'Statement of Marks'!GX99</f>
        <v/>
      </c>
      <c r="Q97" s="181" t="str">
        <f>'Statement of Marks'!GY99</f>
        <v/>
      </c>
      <c r="R97" s="392" t="str">
        <f>'Statement of Marks'!HB99</f>
        <v/>
      </c>
      <c r="S97" s="392" t="str">
        <f>'Statement of Marks'!HE99</f>
        <v/>
      </c>
      <c r="T97" s="392" t="str">
        <f>'Statement of Marks'!HH99</f>
        <v/>
      </c>
      <c r="U97" s="392" t="str">
        <f>'Statement of Marks'!HK99</f>
        <v/>
      </c>
      <c r="V97" s="318" t="str">
        <f>IF(COUNTIF(K97:U97,"F")&gt;0,"",CONCATENATE('Statement of Marks'!HO99,'Statement of Marks'!HP99,'Statement of Marks'!HQ99))</f>
        <v xml:space="preserve">                  </v>
      </c>
      <c r="BI97" s="6" t="str">
        <f>IFERROR(VLOOKUP(B97,'Statement of Marks'!$B$7:'Statement of Marks'!$IC$206,41,0),"")</f>
        <v/>
      </c>
      <c r="BJ97" s="6" t="str">
        <f>IFERROR(VLOOKUP(B97,'Statement of Marks'!$B$7:'Statement of Marks'!$IC$206,66,0),"")</f>
        <v/>
      </c>
      <c r="BK97" s="6">
        <f>IFERROR(VLOOKUP(B97,'Statement of Marks'!$B$7:'Statement of Marks'!$IC$206,91,0),"")</f>
        <v>0</v>
      </c>
      <c r="BL97" s="6" t="str">
        <f>IFERROR(VLOOKUP(B97,'Statement of Marks'!$B$7:'Statement of Marks'!$IC$206,117,0),"")</f>
        <v/>
      </c>
    </row>
    <row r="98" spans="1:64" ht="21" customHeight="1">
      <c r="A98" s="169">
        <f>IF('Statement of Marks'!A100="","",'Statement of Marks'!A100)</f>
        <v>94</v>
      </c>
      <c r="B98" s="169" t="str">
        <f>IF('Statement of Marks'!B100="","",'Statement of Marks'!B100)</f>
        <v/>
      </c>
      <c r="C98" s="169" t="str">
        <f>IF('Statement of Marks'!D100="","",'Statement of Marks'!D100)</f>
        <v/>
      </c>
      <c r="D98" s="315" t="str">
        <f>IF('Statement of Marks'!E100="","",'Statement of Marks'!E100)</f>
        <v/>
      </c>
      <c r="E98" s="316" t="str">
        <f>IF('Statement of Marks'!F100="","",'Statement of Marks'!F100)</f>
        <v/>
      </c>
      <c r="F98" s="316" t="str">
        <f>IF('Statement of Marks'!G100="","",'Statement of Marks'!G100)</f>
        <v/>
      </c>
      <c r="G98" s="316" t="str">
        <f>IF('Statement of Marks'!H100="","",'Statement of Marks'!H100)</f>
        <v/>
      </c>
      <c r="H98" s="830" t="str">
        <f>IF('Statement of Marks'!HS100="","",'Statement of Marks'!HS100)</f>
        <v/>
      </c>
      <c r="I98" s="172" t="str">
        <f>IF('Statement of Marks'!HV100="","",'Statement of Marks'!HV100)</f>
        <v/>
      </c>
      <c r="J98" s="317" t="str">
        <f>IF('Statement of Marks'!HW100="","",'Statement of Marks'!HW100)</f>
        <v/>
      </c>
      <c r="K98" s="392" t="str">
        <f>'Statement of Marks'!GN100</f>
        <v/>
      </c>
      <c r="L98" s="392" t="str">
        <f>'Statement of Marks'!GQ100</f>
        <v/>
      </c>
      <c r="M98" s="181" t="str">
        <f>'Statement of Marks'!GU100</f>
        <v/>
      </c>
      <c r="N98" s="181" t="str">
        <f>'Statement of Marks'!GV100</f>
        <v/>
      </c>
      <c r="O98" s="181" t="str">
        <f>'Statement of Marks'!GW100</f>
        <v/>
      </c>
      <c r="P98" s="181" t="str">
        <f>'Statement of Marks'!GX100</f>
        <v/>
      </c>
      <c r="Q98" s="181" t="str">
        <f>'Statement of Marks'!GY100</f>
        <v/>
      </c>
      <c r="R98" s="392" t="str">
        <f>'Statement of Marks'!HB100</f>
        <v/>
      </c>
      <c r="S98" s="392" t="str">
        <f>'Statement of Marks'!HE100</f>
        <v/>
      </c>
      <c r="T98" s="392" t="str">
        <f>'Statement of Marks'!HH100</f>
        <v/>
      </c>
      <c r="U98" s="392" t="str">
        <f>'Statement of Marks'!HK100</f>
        <v/>
      </c>
      <c r="V98" s="318" t="str">
        <f>IF(COUNTIF(K98:U98,"F")&gt;0,"",CONCATENATE('Statement of Marks'!HO100,'Statement of Marks'!HP100,'Statement of Marks'!HQ100))</f>
        <v xml:space="preserve">                  </v>
      </c>
      <c r="BI98" s="6" t="str">
        <f>IFERROR(VLOOKUP(B98,'Statement of Marks'!$B$7:'Statement of Marks'!$IC$206,41,0),"")</f>
        <v/>
      </c>
      <c r="BJ98" s="6" t="str">
        <f>IFERROR(VLOOKUP(B98,'Statement of Marks'!$B$7:'Statement of Marks'!$IC$206,66,0),"")</f>
        <v/>
      </c>
      <c r="BK98" s="6">
        <f>IFERROR(VLOOKUP(B98,'Statement of Marks'!$B$7:'Statement of Marks'!$IC$206,91,0),"")</f>
        <v>0</v>
      </c>
      <c r="BL98" s="6" t="str">
        <f>IFERROR(VLOOKUP(B98,'Statement of Marks'!$B$7:'Statement of Marks'!$IC$206,117,0),"")</f>
        <v/>
      </c>
    </row>
    <row r="99" spans="1:64" ht="21" customHeight="1">
      <c r="A99" s="169">
        <f>IF('Statement of Marks'!A101="","",'Statement of Marks'!A101)</f>
        <v>95</v>
      </c>
      <c r="B99" s="169" t="str">
        <f>IF('Statement of Marks'!B101="","",'Statement of Marks'!B101)</f>
        <v/>
      </c>
      <c r="C99" s="169" t="str">
        <f>IF('Statement of Marks'!D101="","",'Statement of Marks'!D101)</f>
        <v/>
      </c>
      <c r="D99" s="315" t="str">
        <f>IF('Statement of Marks'!E101="","",'Statement of Marks'!E101)</f>
        <v/>
      </c>
      <c r="E99" s="316" t="str">
        <f>IF('Statement of Marks'!F101="","",'Statement of Marks'!F101)</f>
        <v/>
      </c>
      <c r="F99" s="316" t="str">
        <f>IF('Statement of Marks'!G101="","",'Statement of Marks'!G101)</f>
        <v/>
      </c>
      <c r="G99" s="316" t="str">
        <f>IF('Statement of Marks'!H101="","",'Statement of Marks'!H101)</f>
        <v/>
      </c>
      <c r="H99" s="830" t="str">
        <f>IF('Statement of Marks'!HS101="","",'Statement of Marks'!HS101)</f>
        <v/>
      </c>
      <c r="I99" s="172" t="str">
        <f>IF('Statement of Marks'!HV101="","",'Statement of Marks'!HV101)</f>
        <v/>
      </c>
      <c r="J99" s="317" t="str">
        <f>IF('Statement of Marks'!HW101="","",'Statement of Marks'!HW101)</f>
        <v/>
      </c>
      <c r="K99" s="392" t="str">
        <f>'Statement of Marks'!GN101</f>
        <v/>
      </c>
      <c r="L99" s="392" t="str">
        <f>'Statement of Marks'!GQ101</f>
        <v/>
      </c>
      <c r="M99" s="181" t="str">
        <f>'Statement of Marks'!GU101</f>
        <v/>
      </c>
      <c r="N99" s="181" t="str">
        <f>'Statement of Marks'!GV101</f>
        <v/>
      </c>
      <c r="O99" s="181" t="str">
        <f>'Statement of Marks'!GW101</f>
        <v/>
      </c>
      <c r="P99" s="181" t="str">
        <f>'Statement of Marks'!GX101</f>
        <v/>
      </c>
      <c r="Q99" s="181" t="str">
        <f>'Statement of Marks'!GY101</f>
        <v/>
      </c>
      <c r="R99" s="392" t="str">
        <f>'Statement of Marks'!HB101</f>
        <v/>
      </c>
      <c r="S99" s="392" t="str">
        <f>'Statement of Marks'!HE101</f>
        <v/>
      </c>
      <c r="T99" s="392" t="str">
        <f>'Statement of Marks'!HH101</f>
        <v/>
      </c>
      <c r="U99" s="392" t="str">
        <f>'Statement of Marks'!HK101</f>
        <v/>
      </c>
      <c r="V99" s="318" t="str">
        <f>IF(COUNTIF(K99:U99,"F")&gt;0,"",CONCATENATE('Statement of Marks'!HO101,'Statement of Marks'!HP101,'Statement of Marks'!HQ101))</f>
        <v xml:space="preserve">                  </v>
      </c>
      <c r="BI99" s="6" t="str">
        <f>IFERROR(VLOOKUP(B99,'Statement of Marks'!$B$7:'Statement of Marks'!$IC$206,41,0),"")</f>
        <v/>
      </c>
      <c r="BJ99" s="6" t="str">
        <f>IFERROR(VLOOKUP(B99,'Statement of Marks'!$B$7:'Statement of Marks'!$IC$206,66,0),"")</f>
        <v/>
      </c>
      <c r="BK99" s="6">
        <f>IFERROR(VLOOKUP(B99,'Statement of Marks'!$B$7:'Statement of Marks'!$IC$206,91,0),"")</f>
        <v>0</v>
      </c>
      <c r="BL99" s="6" t="str">
        <f>IFERROR(VLOOKUP(B99,'Statement of Marks'!$B$7:'Statement of Marks'!$IC$206,117,0),"")</f>
        <v/>
      </c>
    </row>
    <row r="100" spans="1:64" ht="21" customHeight="1">
      <c r="A100" s="169">
        <f>IF('Statement of Marks'!A102="","",'Statement of Marks'!A102)</f>
        <v>96</v>
      </c>
      <c r="B100" s="169" t="str">
        <f>IF('Statement of Marks'!B102="","",'Statement of Marks'!B102)</f>
        <v/>
      </c>
      <c r="C100" s="169" t="str">
        <f>IF('Statement of Marks'!D102="","",'Statement of Marks'!D102)</f>
        <v/>
      </c>
      <c r="D100" s="315" t="str">
        <f>IF('Statement of Marks'!E102="","",'Statement of Marks'!E102)</f>
        <v/>
      </c>
      <c r="E100" s="316" t="str">
        <f>IF('Statement of Marks'!F102="","",'Statement of Marks'!F102)</f>
        <v/>
      </c>
      <c r="F100" s="316" t="str">
        <f>IF('Statement of Marks'!G102="","",'Statement of Marks'!G102)</f>
        <v/>
      </c>
      <c r="G100" s="316" t="str">
        <f>IF('Statement of Marks'!H102="","",'Statement of Marks'!H102)</f>
        <v/>
      </c>
      <c r="H100" s="830" t="str">
        <f>IF('Statement of Marks'!HS102="","",'Statement of Marks'!HS102)</f>
        <v/>
      </c>
      <c r="I100" s="172" t="str">
        <f>IF('Statement of Marks'!HV102="","",'Statement of Marks'!HV102)</f>
        <v/>
      </c>
      <c r="J100" s="317" t="str">
        <f>IF('Statement of Marks'!HW102="","",'Statement of Marks'!HW102)</f>
        <v/>
      </c>
      <c r="K100" s="392" t="str">
        <f>'Statement of Marks'!GN102</f>
        <v/>
      </c>
      <c r="L100" s="392" t="str">
        <f>'Statement of Marks'!GQ102</f>
        <v/>
      </c>
      <c r="M100" s="181" t="str">
        <f>'Statement of Marks'!GU102</f>
        <v/>
      </c>
      <c r="N100" s="181" t="str">
        <f>'Statement of Marks'!GV102</f>
        <v/>
      </c>
      <c r="O100" s="181" t="str">
        <f>'Statement of Marks'!GW102</f>
        <v/>
      </c>
      <c r="P100" s="181" t="str">
        <f>'Statement of Marks'!GX102</f>
        <v/>
      </c>
      <c r="Q100" s="181" t="str">
        <f>'Statement of Marks'!GY102</f>
        <v/>
      </c>
      <c r="R100" s="392" t="str">
        <f>'Statement of Marks'!HB102</f>
        <v/>
      </c>
      <c r="S100" s="392" t="str">
        <f>'Statement of Marks'!HE102</f>
        <v/>
      </c>
      <c r="T100" s="392" t="str">
        <f>'Statement of Marks'!HH102</f>
        <v/>
      </c>
      <c r="U100" s="392" t="str">
        <f>'Statement of Marks'!HK102</f>
        <v/>
      </c>
      <c r="V100" s="318" t="str">
        <f>IF(COUNTIF(K100:U100,"F")&gt;0,"",CONCATENATE('Statement of Marks'!HO102,'Statement of Marks'!HP102,'Statement of Marks'!HQ102))</f>
        <v xml:space="preserve">                  </v>
      </c>
      <c r="BI100" s="6" t="str">
        <f>IFERROR(VLOOKUP(B100,'Statement of Marks'!$B$7:'Statement of Marks'!$IC$206,41,0),"")</f>
        <v/>
      </c>
      <c r="BJ100" s="6" t="str">
        <f>IFERROR(VLOOKUP(B100,'Statement of Marks'!$B$7:'Statement of Marks'!$IC$206,66,0),"")</f>
        <v/>
      </c>
      <c r="BK100" s="6">
        <f>IFERROR(VLOOKUP(B100,'Statement of Marks'!$B$7:'Statement of Marks'!$IC$206,91,0),"")</f>
        <v>0</v>
      </c>
      <c r="BL100" s="6" t="str">
        <f>IFERROR(VLOOKUP(B100,'Statement of Marks'!$B$7:'Statement of Marks'!$IC$206,117,0),"")</f>
        <v/>
      </c>
    </row>
    <row r="101" spans="1:64" ht="21" customHeight="1">
      <c r="A101" s="169">
        <f>IF('Statement of Marks'!A103="","",'Statement of Marks'!A103)</f>
        <v>97</v>
      </c>
      <c r="B101" s="169" t="str">
        <f>IF('Statement of Marks'!B103="","",'Statement of Marks'!B103)</f>
        <v/>
      </c>
      <c r="C101" s="169" t="str">
        <f>IF('Statement of Marks'!D103="","",'Statement of Marks'!D103)</f>
        <v/>
      </c>
      <c r="D101" s="315" t="str">
        <f>IF('Statement of Marks'!E103="","",'Statement of Marks'!E103)</f>
        <v/>
      </c>
      <c r="E101" s="316" t="str">
        <f>IF('Statement of Marks'!F103="","",'Statement of Marks'!F103)</f>
        <v/>
      </c>
      <c r="F101" s="316" t="str">
        <f>IF('Statement of Marks'!G103="","",'Statement of Marks'!G103)</f>
        <v/>
      </c>
      <c r="G101" s="316" t="str">
        <f>IF('Statement of Marks'!H103="","",'Statement of Marks'!H103)</f>
        <v/>
      </c>
      <c r="H101" s="830" t="str">
        <f>IF('Statement of Marks'!HS103="","",'Statement of Marks'!HS103)</f>
        <v/>
      </c>
      <c r="I101" s="172" t="str">
        <f>IF('Statement of Marks'!HV103="","",'Statement of Marks'!HV103)</f>
        <v/>
      </c>
      <c r="J101" s="317" t="str">
        <f>IF('Statement of Marks'!HW103="","",'Statement of Marks'!HW103)</f>
        <v/>
      </c>
      <c r="K101" s="392" t="str">
        <f>'Statement of Marks'!GN103</f>
        <v/>
      </c>
      <c r="L101" s="392" t="str">
        <f>'Statement of Marks'!GQ103</f>
        <v/>
      </c>
      <c r="M101" s="181" t="str">
        <f>'Statement of Marks'!GU103</f>
        <v/>
      </c>
      <c r="N101" s="181" t="str">
        <f>'Statement of Marks'!GV103</f>
        <v/>
      </c>
      <c r="O101" s="181" t="str">
        <f>'Statement of Marks'!GW103</f>
        <v/>
      </c>
      <c r="P101" s="181" t="str">
        <f>'Statement of Marks'!GX103</f>
        <v/>
      </c>
      <c r="Q101" s="181" t="str">
        <f>'Statement of Marks'!GY103</f>
        <v/>
      </c>
      <c r="R101" s="392" t="str">
        <f>'Statement of Marks'!HB103</f>
        <v/>
      </c>
      <c r="S101" s="392" t="str">
        <f>'Statement of Marks'!HE103</f>
        <v/>
      </c>
      <c r="T101" s="392" t="str">
        <f>'Statement of Marks'!HH103</f>
        <v/>
      </c>
      <c r="U101" s="392" t="str">
        <f>'Statement of Marks'!HK103</f>
        <v/>
      </c>
      <c r="V101" s="318" t="str">
        <f>IF(COUNTIF(K101:U101,"F")&gt;0,"",CONCATENATE('Statement of Marks'!HO103,'Statement of Marks'!HP103,'Statement of Marks'!HQ103))</f>
        <v xml:space="preserve">                  </v>
      </c>
      <c r="BI101" s="6" t="str">
        <f>IFERROR(VLOOKUP(B101,'Statement of Marks'!$B$7:'Statement of Marks'!$IC$206,41,0),"")</f>
        <v/>
      </c>
      <c r="BJ101" s="6" t="str">
        <f>IFERROR(VLOOKUP(B101,'Statement of Marks'!$B$7:'Statement of Marks'!$IC$206,66,0),"")</f>
        <v/>
      </c>
      <c r="BK101" s="6">
        <f>IFERROR(VLOOKUP(B101,'Statement of Marks'!$B$7:'Statement of Marks'!$IC$206,91,0),"")</f>
        <v>0</v>
      </c>
      <c r="BL101" s="6" t="str">
        <f>IFERROR(VLOOKUP(B101,'Statement of Marks'!$B$7:'Statement of Marks'!$IC$206,117,0),"")</f>
        <v/>
      </c>
    </row>
    <row r="102" spans="1:64" ht="21" customHeight="1">
      <c r="A102" s="169">
        <f>IF('Statement of Marks'!A104="","",'Statement of Marks'!A104)</f>
        <v>98</v>
      </c>
      <c r="B102" s="169" t="str">
        <f>IF('Statement of Marks'!B104="","",'Statement of Marks'!B104)</f>
        <v/>
      </c>
      <c r="C102" s="169" t="str">
        <f>IF('Statement of Marks'!D104="","",'Statement of Marks'!D104)</f>
        <v/>
      </c>
      <c r="D102" s="315" t="str">
        <f>IF('Statement of Marks'!E104="","",'Statement of Marks'!E104)</f>
        <v/>
      </c>
      <c r="E102" s="316" t="str">
        <f>IF('Statement of Marks'!F104="","",'Statement of Marks'!F104)</f>
        <v/>
      </c>
      <c r="F102" s="316" t="str">
        <f>IF('Statement of Marks'!G104="","",'Statement of Marks'!G104)</f>
        <v/>
      </c>
      <c r="G102" s="316" t="str">
        <f>IF('Statement of Marks'!H104="","",'Statement of Marks'!H104)</f>
        <v/>
      </c>
      <c r="H102" s="830" t="str">
        <f>IF('Statement of Marks'!HS104="","",'Statement of Marks'!HS104)</f>
        <v/>
      </c>
      <c r="I102" s="172" t="str">
        <f>IF('Statement of Marks'!HV104="","",'Statement of Marks'!HV104)</f>
        <v/>
      </c>
      <c r="J102" s="317" t="str">
        <f>IF('Statement of Marks'!HW104="","",'Statement of Marks'!HW104)</f>
        <v/>
      </c>
      <c r="K102" s="392" t="str">
        <f>'Statement of Marks'!GN104</f>
        <v/>
      </c>
      <c r="L102" s="392" t="str">
        <f>'Statement of Marks'!GQ104</f>
        <v/>
      </c>
      <c r="M102" s="181" t="str">
        <f>'Statement of Marks'!GU104</f>
        <v/>
      </c>
      <c r="N102" s="181" t="str">
        <f>'Statement of Marks'!GV104</f>
        <v/>
      </c>
      <c r="O102" s="181" t="str">
        <f>'Statement of Marks'!GW104</f>
        <v/>
      </c>
      <c r="P102" s="181" t="str">
        <f>'Statement of Marks'!GX104</f>
        <v/>
      </c>
      <c r="Q102" s="181" t="str">
        <f>'Statement of Marks'!GY104</f>
        <v/>
      </c>
      <c r="R102" s="392" t="str">
        <f>'Statement of Marks'!HB104</f>
        <v/>
      </c>
      <c r="S102" s="392" t="str">
        <f>'Statement of Marks'!HE104</f>
        <v/>
      </c>
      <c r="T102" s="392" t="str">
        <f>'Statement of Marks'!HH104</f>
        <v/>
      </c>
      <c r="U102" s="392" t="str">
        <f>'Statement of Marks'!HK104</f>
        <v/>
      </c>
      <c r="V102" s="318" t="str">
        <f>IF(COUNTIF(K102:U102,"F")&gt;0,"",CONCATENATE('Statement of Marks'!HO104,'Statement of Marks'!HP104,'Statement of Marks'!HQ104))</f>
        <v xml:space="preserve">                  </v>
      </c>
      <c r="BI102" s="6" t="str">
        <f>IFERROR(VLOOKUP(B102,'Statement of Marks'!$B$7:'Statement of Marks'!$IC$206,41,0),"")</f>
        <v/>
      </c>
      <c r="BJ102" s="6" t="str">
        <f>IFERROR(VLOOKUP(B102,'Statement of Marks'!$B$7:'Statement of Marks'!$IC$206,66,0),"")</f>
        <v/>
      </c>
      <c r="BK102" s="6">
        <f>IFERROR(VLOOKUP(B102,'Statement of Marks'!$B$7:'Statement of Marks'!$IC$206,91,0),"")</f>
        <v>0</v>
      </c>
      <c r="BL102" s="6" t="str">
        <f>IFERROR(VLOOKUP(B102,'Statement of Marks'!$B$7:'Statement of Marks'!$IC$206,117,0),"")</f>
        <v/>
      </c>
    </row>
    <row r="103" spans="1:64" ht="21" customHeight="1">
      <c r="A103" s="169">
        <f>IF('Statement of Marks'!A105="","",'Statement of Marks'!A105)</f>
        <v>99</v>
      </c>
      <c r="B103" s="169" t="str">
        <f>IF('Statement of Marks'!B105="","",'Statement of Marks'!B105)</f>
        <v/>
      </c>
      <c r="C103" s="169" t="str">
        <f>IF('Statement of Marks'!D105="","",'Statement of Marks'!D105)</f>
        <v/>
      </c>
      <c r="D103" s="315" t="str">
        <f>IF('Statement of Marks'!E105="","",'Statement of Marks'!E105)</f>
        <v/>
      </c>
      <c r="E103" s="316" t="str">
        <f>IF('Statement of Marks'!F105="","",'Statement of Marks'!F105)</f>
        <v/>
      </c>
      <c r="F103" s="316" t="str">
        <f>IF('Statement of Marks'!G105="","",'Statement of Marks'!G105)</f>
        <v/>
      </c>
      <c r="G103" s="316" t="str">
        <f>IF('Statement of Marks'!H105="","",'Statement of Marks'!H105)</f>
        <v/>
      </c>
      <c r="H103" s="830" t="str">
        <f>IF('Statement of Marks'!HS105="","",'Statement of Marks'!HS105)</f>
        <v/>
      </c>
      <c r="I103" s="172" t="str">
        <f>IF('Statement of Marks'!HV105="","",'Statement of Marks'!HV105)</f>
        <v/>
      </c>
      <c r="J103" s="317" t="str">
        <f>IF('Statement of Marks'!HW105="","",'Statement of Marks'!HW105)</f>
        <v/>
      </c>
      <c r="K103" s="392" t="str">
        <f>'Statement of Marks'!GN105</f>
        <v/>
      </c>
      <c r="L103" s="392" t="str">
        <f>'Statement of Marks'!GQ105</f>
        <v/>
      </c>
      <c r="M103" s="181" t="str">
        <f>'Statement of Marks'!GU105</f>
        <v/>
      </c>
      <c r="N103" s="181" t="str">
        <f>'Statement of Marks'!GV105</f>
        <v/>
      </c>
      <c r="O103" s="181" t="str">
        <f>'Statement of Marks'!GW105</f>
        <v/>
      </c>
      <c r="P103" s="181" t="str">
        <f>'Statement of Marks'!GX105</f>
        <v/>
      </c>
      <c r="Q103" s="181" t="str">
        <f>'Statement of Marks'!GY105</f>
        <v/>
      </c>
      <c r="R103" s="392" t="str">
        <f>'Statement of Marks'!HB105</f>
        <v/>
      </c>
      <c r="S103" s="392" t="str">
        <f>'Statement of Marks'!HE105</f>
        <v/>
      </c>
      <c r="T103" s="392" t="str">
        <f>'Statement of Marks'!HH105</f>
        <v/>
      </c>
      <c r="U103" s="392" t="str">
        <f>'Statement of Marks'!HK105</f>
        <v/>
      </c>
      <c r="V103" s="318" t="str">
        <f>IF(COUNTIF(K103:U103,"F")&gt;0,"",CONCATENATE('Statement of Marks'!HO105,'Statement of Marks'!HP105,'Statement of Marks'!HQ105))</f>
        <v xml:space="preserve">                  </v>
      </c>
      <c r="BI103" s="6" t="str">
        <f>IFERROR(VLOOKUP(B103,'Statement of Marks'!$B$7:'Statement of Marks'!$IC$206,41,0),"")</f>
        <v/>
      </c>
      <c r="BJ103" s="6" t="str">
        <f>IFERROR(VLOOKUP(B103,'Statement of Marks'!$B$7:'Statement of Marks'!$IC$206,66,0),"")</f>
        <v/>
      </c>
      <c r="BK103" s="6">
        <f>IFERROR(VLOOKUP(B103,'Statement of Marks'!$B$7:'Statement of Marks'!$IC$206,91,0),"")</f>
        <v>0</v>
      </c>
      <c r="BL103" s="6" t="str">
        <f>IFERROR(VLOOKUP(B103,'Statement of Marks'!$B$7:'Statement of Marks'!$IC$206,117,0),"")</f>
        <v/>
      </c>
    </row>
    <row r="104" spans="1:64" ht="21" customHeight="1">
      <c r="A104" s="169">
        <f>IF('Statement of Marks'!A106="","",'Statement of Marks'!A106)</f>
        <v>100</v>
      </c>
      <c r="B104" s="169" t="str">
        <f>IF('Statement of Marks'!B106="","",'Statement of Marks'!B106)</f>
        <v/>
      </c>
      <c r="C104" s="169" t="str">
        <f>IF('Statement of Marks'!D106="","",'Statement of Marks'!D106)</f>
        <v/>
      </c>
      <c r="D104" s="315" t="str">
        <f>IF('Statement of Marks'!E106="","",'Statement of Marks'!E106)</f>
        <v/>
      </c>
      <c r="E104" s="316" t="str">
        <f>IF('Statement of Marks'!F106="","",'Statement of Marks'!F106)</f>
        <v/>
      </c>
      <c r="F104" s="316" t="str">
        <f>IF('Statement of Marks'!G106="","",'Statement of Marks'!G106)</f>
        <v/>
      </c>
      <c r="G104" s="316" t="str">
        <f>IF('Statement of Marks'!H106="","",'Statement of Marks'!H106)</f>
        <v/>
      </c>
      <c r="H104" s="830" t="str">
        <f>IF('Statement of Marks'!HS106="","",'Statement of Marks'!HS106)</f>
        <v/>
      </c>
      <c r="I104" s="172" t="str">
        <f>IF('Statement of Marks'!HV106="","",'Statement of Marks'!HV106)</f>
        <v/>
      </c>
      <c r="J104" s="317" t="str">
        <f>IF('Statement of Marks'!HW106="","",'Statement of Marks'!HW106)</f>
        <v/>
      </c>
      <c r="K104" s="392" t="str">
        <f>'Statement of Marks'!GN106</f>
        <v/>
      </c>
      <c r="L104" s="392" t="str">
        <f>'Statement of Marks'!GQ106</f>
        <v/>
      </c>
      <c r="M104" s="181" t="str">
        <f>'Statement of Marks'!GU106</f>
        <v/>
      </c>
      <c r="N104" s="181" t="str">
        <f>'Statement of Marks'!GV106</f>
        <v/>
      </c>
      <c r="O104" s="181" t="str">
        <f>'Statement of Marks'!GW106</f>
        <v/>
      </c>
      <c r="P104" s="181" t="str">
        <f>'Statement of Marks'!GX106</f>
        <v/>
      </c>
      <c r="Q104" s="181" t="str">
        <f>'Statement of Marks'!GY106</f>
        <v/>
      </c>
      <c r="R104" s="392" t="str">
        <f>'Statement of Marks'!HB106</f>
        <v/>
      </c>
      <c r="S104" s="392" t="str">
        <f>'Statement of Marks'!HE106</f>
        <v/>
      </c>
      <c r="T104" s="392" t="str">
        <f>'Statement of Marks'!HH106</f>
        <v/>
      </c>
      <c r="U104" s="392" t="str">
        <f>'Statement of Marks'!HK106</f>
        <v/>
      </c>
      <c r="V104" s="318" t="str">
        <f>IF(COUNTIF(K104:U104,"F")&gt;0,"",CONCATENATE('Statement of Marks'!HO106,'Statement of Marks'!HP106,'Statement of Marks'!HQ106))</f>
        <v xml:space="preserve">                  </v>
      </c>
      <c r="BI104" s="6" t="str">
        <f>IFERROR(VLOOKUP(B104,'Statement of Marks'!$B$7:'Statement of Marks'!$IC$206,41,0),"")</f>
        <v/>
      </c>
      <c r="BJ104" s="6" t="str">
        <f>IFERROR(VLOOKUP(B104,'Statement of Marks'!$B$7:'Statement of Marks'!$IC$206,66,0),"")</f>
        <v/>
      </c>
      <c r="BK104" s="6">
        <f>IFERROR(VLOOKUP(B104,'Statement of Marks'!$B$7:'Statement of Marks'!$IC$206,91,0),"")</f>
        <v>0</v>
      </c>
      <c r="BL104" s="6" t="str">
        <f>IFERROR(VLOOKUP(B104,'Statement of Marks'!$B$7:'Statement of Marks'!$IC$206,117,0),"")</f>
        <v/>
      </c>
    </row>
    <row r="105" spans="1:64" ht="21" customHeight="1">
      <c r="A105" s="169">
        <f>IF('Statement of Marks'!A107="","",'Statement of Marks'!A107)</f>
        <v>101</v>
      </c>
      <c r="B105" s="169" t="str">
        <f>IF('Statement of Marks'!B107="","",'Statement of Marks'!B107)</f>
        <v/>
      </c>
      <c r="C105" s="169" t="str">
        <f>IF('Statement of Marks'!D107="","",'Statement of Marks'!D107)</f>
        <v/>
      </c>
      <c r="D105" s="315" t="str">
        <f>IF('Statement of Marks'!E107="","",'Statement of Marks'!E107)</f>
        <v/>
      </c>
      <c r="E105" s="316" t="str">
        <f>IF('Statement of Marks'!F107="","",'Statement of Marks'!F107)</f>
        <v/>
      </c>
      <c r="F105" s="316" t="str">
        <f>IF('Statement of Marks'!G107="","",'Statement of Marks'!G107)</f>
        <v/>
      </c>
      <c r="G105" s="316" t="str">
        <f>IF('Statement of Marks'!H107="","",'Statement of Marks'!H107)</f>
        <v/>
      </c>
      <c r="H105" s="830" t="str">
        <f>IF('Statement of Marks'!HS107="","",'Statement of Marks'!HS107)</f>
        <v/>
      </c>
      <c r="I105" s="172" t="str">
        <f>IF('Statement of Marks'!HV107="","",'Statement of Marks'!HV107)</f>
        <v/>
      </c>
      <c r="J105" s="317" t="str">
        <f>IF('Statement of Marks'!HW107="","",'Statement of Marks'!HW107)</f>
        <v/>
      </c>
      <c r="K105" s="392" t="str">
        <f>'Statement of Marks'!GN107</f>
        <v/>
      </c>
      <c r="L105" s="392" t="str">
        <f>'Statement of Marks'!GQ107</f>
        <v/>
      </c>
      <c r="M105" s="181" t="str">
        <f>'Statement of Marks'!GU107</f>
        <v/>
      </c>
      <c r="N105" s="181" t="str">
        <f>'Statement of Marks'!GV107</f>
        <v/>
      </c>
      <c r="O105" s="181" t="str">
        <f>'Statement of Marks'!GW107</f>
        <v/>
      </c>
      <c r="P105" s="181" t="str">
        <f>'Statement of Marks'!GX107</f>
        <v/>
      </c>
      <c r="Q105" s="181" t="str">
        <f>'Statement of Marks'!GY107</f>
        <v/>
      </c>
      <c r="R105" s="392" t="str">
        <f>'Statement of Marks'!HB107</f>
        <v/>
      </c>
      <c r="S105" s="392" t="str">
        <f>'Statement of Marks'!HE107</f>
        <v/>
      </c>
      <c r="T105" s="392" t="str">
        <f>'Statement of Marks'!HH107</f>
        <v/>
      </c>
      <c r="U105" s="392" t="str">
        <f>'Statement of Marks'!HK107</f>
        <v/>
      </c>
      <c r="V105" s="318" t="str">
        <f>IF(COUNTIF(K105:U105,"F")&gt;0,"",CONCATENATE('Statement of Marks'!HO107,'Statement of Marks'!HP107,'Statement of Marks'!HQ107))</f>
        <v xml:space="preserve">                  </v>
      </c>
      <c r="BI105" s="6" t="str">
        <f>IFERROR(VLOOKUP(B105,'Statement of Marks'!$B$7:'Statement of Marks'!$IC$206,41,0),"")</f>
        <v/>
      </c>
      <c r="BJ105" s="6" t="str">
        <f>IFERROR(VLOOKUP(B105,'Statement of Marks'!$B$7:'Statement of Marks'!$IC$206,66,0),"")</f>
        <v/>
      </c>
      <c r="BK105" s="6">
        <f>IFERROR(VLOOKUP(B105,'Statement of Marks'!$B$7:'Statement of Marks'!$IC$206,91,0),"")</f>
        <v>0</v>
      </c>
      <c r="BL105" s="6" t="str">
        <f>IFERROR(VLOOKUP(B105,'Statement of Marks'!$B$7:'Statement of Marks'!$IC$206,117,0),"")</f>
        <v/>
      </c>
    </row>
    <row r="106" spans="1:64" ht="21" customHeight="1">
      <c r="A106" s="169">
        <f>IF('Statement of Marks'!A108="","",'Statement of Marks'!A108)</f>
        <v>102</v>
      </c>
      <c r="B106" s="169" t="str">
        <f>IF('Statement of Marks'!B108="","",'Statement of Marks'!B108)</f>
        <v/>
      </c>
      <c r="C106" s="169" t="str">
        <f>IF('Statement of Marks'!D108="","",'Statement of Marks'!D108)</f>
        <v/>
      </c>
      <c r="D106" s="315" t="str">
        <f>IF('Statement of Marks'!E108="","",'Statement of Marks'!E108)</f>
        <v/>
      </c>
      <c r="E106" s="316" t="str">
        <f>IF('Statement of Marks'!F108="","",'Statement of Marks'!F108)</f>
        <v/>
      </c>
      <c r="F106" s="316" t="str">
        <f>IF('Statement of Marks'!G108="","",'Statement of Marks'!G108)</f>
        <v/>
      </c>
      <c r="G106" s="316" t="str">
        <f>IF('Statement of Marks'!H108="","",'Statement of Marks'!H108)</f>
        <v/>
      </c>
      <c r="H106" s="830" t="str">
        <f>IF('Statement of Marks'!HS108="","",'Statement of Marks'!HS108)</f>
        <v/>
      </c>
      <c r="I106" s="172" t="str">
        <f>IF('Statement of Marks'!HV108="","",'Statement of Marks'!HV108)</f>
        <v/>
      </c>
      <c r="J106" s="317" t="str">
        <f>IF('Statement of Marks'!HW108="","",'Statement of Marks'!HW108)</f>
        <v/>
      </c>
      <c r="K106" s="392" t="str">
        <f>'Statement of Marks'!GN108</f>
        <v/>
      </c>
      <c r="L106" s="392" t="str">
        <f>'Statement of Marks'!GQ108</f>
        <v/>
      </c>
      <c r="M106" s="181" t="str">
        <f>'Statement of Marks'!GU108</f>
        <v/>
      </c>
      <c r="N106" s="181" t="str">
        <f>'Statement of Marks'!GV108</f>
        <v/>
      </c>
      <c r="O106" s="181" t="str">
        <f>'Statement of Marks'!GW108</f>
        <v/>
      </c>
      <c r="P106" s="181" t="str">
        <f>'Statement of Marks'!GX108</f>
        <v/>
      </c>
      <c r="Q106" s="181" t="str">
        <f>'Statement of Marks'!GY108</f>
        <v/>
      </c>
      <c r="R106" s="392" t="str">
        <f>'Statement of Marks'!HB108</f>
        <v/>
      </c>
      <c r="S106" s="392" t="str">
        <f>'Statement of Marks'!HE108</f>
        <v/>
      </c>
      <c r="T106" s="392" t="str">
        <f>'Statement of Marks'!HH108</f>
        <v/>
      </c>
      <c r="U106" s="392" t="str">
        <f>'Statement of Marks'!HK108</f>
        <v/>
      </c>
      <c r="V106" s="318" t="str">
        <f>IF(COUNTIF(K106:U106,"F")&gt;0,"",CONCATENATE('Statement of Marks'!HO108,'Statement of Marks'!HP108,'Statement of Marks'!HQ108))</f>
        <v xml:space="preserve">                  </v>
      </c>
      <c r="BI106" s="6" t="str">
        <f>IFERROR(VLOOKUP(B106,'Statement of Marks'!$B$7:'Statement of Marks'!$IC$206,41,0),"")</f>
        <v/>
      </c>
      <c r="BJ106" s="6" t="str">
        <f>IFERROR(VLOOKUP(B106,'Statement of Marks'!$B$7:'Statement of Marks'!$IC$206,66,0),"")</f>
        <v/>
      </c>
      <c r="BK106" s="6">
        <f>IFERROR(VLOOKUP(B106,'Statement of Marks'!$B$7:'Statement of Marks'!$IC$206,91,0),"")</f>
        <v>0</v>
      </c>
      <c r="BL106" s="6" t="str">
        <f>IFERROR(VLOOKUP(B106,'Statement of Marks'!$B$7:'Statement of Marks'!$IC$206,117,0),"")</f>
        <v/>
      </c>
    </row>
    <row r="107" spans="1:64" ht="21" customHeight="1">
      <c r="A107" s="169">
        <f>IF('Statement of Marks'!A109="","",'Statement of Marks'!A109)</f>
        <v>103</v>
      </c>
      <c r="B107" s="169" t="str">
        <f>IF('Statement of Marks'!B109="","",'Statement of Marks'!B109)</f>
        <v/>
      </c>
      <c r="C107" s="169" t="str">
        <f>IF('Statement of Marks'!D109="","",'Statement of Marks'!D109)</f>
        <v/>
      </c>
      <c r="D107" s="315" t="str">
        <f>IF('Statement of Marks'!E109="","",'Statement of Marks'!E109)</f>
        <v/>
      </c>
      <c r="E107" s="316" t="str">
        <f>IF('Statement of Marks'!F109="","",'Statement of Marks'!F109)</f>
        <v/>
      </c>
      <c r="F107" s="316" t="str">
        <f>IF('Statement of Marks'!G109="","",'Statement of Marks'!G109)</f>
        <v/>
      </c>
      <c r="G107" s="316" t="str">
        <f>IF('Statement of Marks'!H109="","",'Statement of Marks'!H109)</f>
        <v/>
      </c>
      <c r="H107" s="830" t="str">
        <f>IF('Statement of Marks'!HS109="","",'Statement of Marks'!HS109)</f>
        <v/>
      </c>
      <c r="I107" s="172" t="str">
        <f>IF('Statement of Marks'!HV109="","",'Statement of Marks'!HV109)</f>
        <v/>
      </c>
      <c r="J107" s="317" t="str">
        <f>IF('Statement of Marks'!HW109="","",'Statement of Marks'!HW109)</f>
        <v/>
      </c>
      <c r="K107" s="392" t="str">
        <f>'Statement of Marks'!GN109</f>
        <v/>
      </c>
      <c r="L107" s="392" t="str">
        <f>'Statement of Marks'!GQ109</f>
        <v/>
      </c>
      <c r="M107" s="181" t="str">
        <f>'Statement of Marks'!GU109</f>
        <v/>
      </c>
      <c r="N107" s="181" t="str">
        <f>'Statement of Marks'!GV109</f>
        <v/>
      </c>
      <c r="O107" s="181" t="str">
        <f>'Statement of Marks'!GW109</f>
        <v/>
      </c>
      <c r="P107" s="181" t="str">
        <f>'Statement of Marks'!GX109</f>
        <v/>
      </c>
      <c r="Q107" s="181" t="str">
        <f>'Statement of Marks'!GY109</f>
        <v/>
      </c>
      <c r="R107" s="392" t="str">
        <f>'Statement of Marks'!HB109</f>
        <v/>
      </c>
      <c r="S107" s="392" t="str">
        <f>'Statement of Marks'!HE109</f>
        <v/>
      </c>
      <c r="T107" s="392" t="str">
        <f>'Statement of Marks'!HH109</f>
        <v/>
      </c>
      <c r="U107" s="392" t="str">
        <f>'Statement of Marks'!HK109</f>
        <v/>
      </c>
      <c r="V107" s="318" t="str">
        <f>IF(COUNTIF(K107:U107,"F")&gt;0,"",CONCATENATE('Statement of Marks'!HO109,'Statement of Marks'!HP109,'Statement of Marks'!HQ109))</f>
        <v xml:space="preserve">                  </v>
      </c>
      <c r="BI107" s="6" t="str">
        <f>IFERROR(VLOOKUP(B107,'Statement of Marks'!$B$7:'Statement of Marks'!$IC$206,41,0),"")</f>
        <v/>
      </c>
      <c r="BJ107" s="6" t="str">
        <f>IFERROR(VLOOKUP(B107,'Statement of Marks'!$B$7:'Statement of Marks'!$IC$206,66,0),"")</f>
        <v/>
      </c>
      <c r="BK107" s="6">
        <f>IFERROR(VLOOKUP(B107,'Statement of Marks'!$B$7:'Statement of Marks'!$IC$206,91,0),"")</f>
        <v>0</v>
      </c>
      <c r="BL107" s="6" t="str">
        <f>IFERROR(VLOOKUP(B107,'Statement of Marks'!$B$7:'Statement of Marks'!$IC$206,117,0),"")</f>
        <v/>
      </c>
    </row>
    <row r="108" spans="1:64" ht="21" customHeight="1">
      <c r="A108" s="169">
        <f>IF('Statement of Marks'!A110="","",'Statement of Marks'!A110)</f>
        <v>104</v>
      </c>
      <c r="B108" s="169" t="str">
        <f>IF('Statement of Marks'!B110="","",'Statement of Marks'!B110)</f>
        <v/>
      </c>
      <c r="C108" s="169" t="str">
        <f>IF('Statement of Marks'!D110="","",'Statement of Marks'!D110)</f>
        <v/>
      </c>
      <c r="D108" s="315" t="str">
        <f>IF('Statement of Marks'!E110="","",'Statement of Marks'!E110)</f>
        <v/>
      </c>
      <c r="E108" s="316" t="str">
        <f>IF('Statement of Marks'!F110="","",'Statement of Marks'!F110)</f>
        <v/>
      </c>
      <c r="F108" s="316" t="str">
        <f>IF('Statement of Marks'!G110="","",'Statement of Marks'!G110)</f>
        <v/>
      </c>
      <c r="G108" s="316" t="str">
        <f>IF('Statement of Marks'!H110="","",'Statement of Marks'!H110)</f>
        <v/>
      </c>
      <c r="H108" s="830" t="str">
        <f>IF('Statement of Marks'!HS110="","",'Statement of Marks'!HS110)</f>
        <v/>
      </c>
      <c r="I108" s="172" t="str">
        <f>IF('Statement of Marks'!HV110="","",'Statement of Marks'!HV110)</f>
        <v/>
      </c>
      <c r="J108" s="317" t="str">
        <f>IF('Statement of Marks'!HW110="","",'Statement of Marks'!HW110)</f>
        <v/>
      </c>
      <c r="K108" s="392" t="str">
        <f>'Statement of Marks'!GN110</f>
        <v/>
      </c>
      <c r="L108" s="392" t="str">
        <f>'Statement of Marks'!GQ110</f>
        <v/>
      </c>
      <c r="M108" s="181" t="str">
        <f>'Statement of Marks'!GU110</f>
        <v/>
      </c>
      <c r="N108" s="181" t="str">
        <f>'Statement of Marks'!GV110</f>
        <v/>
      </c>
      <c r="O108" s="181" t="str">
        <f>'Statement of Marks'!GW110</f>
        <v/>
      </c>
      <c r="P108" s="181" t="str">
        <f>'Statement of Marks'!GX110</f>
        <v/>
      </c>
      <c r="Q108" s="181" t="str">
        <f>'Statement of Marks'!GY110</f>
        <v/>
      </c>
      <c r="R108" s="392" t="str">
        <f>'Statement of Marks'!HB110</f>
        <v/>
      </c>
      <c r="S108" s="392" t="str">
        <f>'Statement of Marks'!HE110</f>
        <v/>
      </c>
      <c r="T108" s="392" t="str">
        <f>'Statement of Marks'!HH110</f>
        <v/>
      </c>
      <c r="U108" s="392" t="str">
        <f>'Statement of Marks'!HK110</f>
        <v/>
      </c>
      <c r="V108" s="318" t="str">
        <f>IF(COUNTIF(K108:U108,"F")&gt;0,"",CONCATENATE('Statement of Marks'!HO110,'Statement of Marks'!HP110,'Statement of Marks'!HQ110))</f>
        <v xml:space="preserve">                  </v>
      </c>
      <c r="BI108" s="6" t="str">
        <f>IFERROR(VLOOKUP(B108,'Statement of Marks'!$B$7:'Statement of Marks'!$IC$206,41,0),"")</f>
        <v/>
      </c>
      <c r="BJ108" s="6" t="str">
        <f>IFERROR(VLOOKUP(B108,'Statement of Marks'!$B$7:'Statement of Marks'!$IC$206,66,0),"")</f>
        <v/>
      </c>
      <c r="BK108" s="6">
        <f>IFERROR(VLOOKUP(B108,'Statement of Marks'!$B$7:'Statement of Marks'!$IC$206,91,0),"")</f>
        <v>0</v>
      </c>
      <c r="BL108" s="6" t="str">
        <f>IFERROR(VLOOKUP(B108,'Statement of Marks'!$B$7:'Statement of Marks'!$IC$206,117,0),"")</f>
        <v/>
      </c>
    </row>
    <row r="109" spans="1:64" ht="21" customHeight="1">
      <c r="A109" s="169">
        <f>IF('Statement of Marks'!A111="","",'Statement of Marks'!A111)</f>
        <v>105</v>
      </c>
      <c r="B109" s="169" t="str">
        <f>IF('Statement of Marks'!B111="","",'Statement of Marks'!B111)</f>
        <v/>
      </c>
      <c r="C109" s="169" t="str">
        <f>IF('Statement of Marks'!D111="","",'Statement of Marks'!D111)</f>
        <v/>
      </c>
      <c r="D109" s="315" t="str">
        <f>IF('Statement of Marks'!E111="","",'Statement of Marks'!E111)</f>
        <v/>
      </c>
      <c r="E109" s="316" t="str">
        <f>IF('Statement of Marks'!F111="","",'Statement of Marks'!F111)</f>
        <v/>
      </c>
      <c r="F109" s="316" t="str">
        <f>IF('Statement of Marks'!G111="","",'Statement of Marks'!G111)</f>
        <v/>
      </c>
      <c r="G109" s="316" t="str">
        <f>IF('Statement of Marks'!H111="","",'Statement of Marks'!H111)</f>
        <v/>
      </c>
      <c r="H109" s="830" t="str">
        <f>IF('Statement of Marks'!HS111="","",'Statement of Marks'!HS111)</f>
        <v/>
      </c>
      <c r="I109" s="172" t="str">
        <f>IF('Statement of Marks'!HV111="","",'Statement of Marks'!HV111)</f>
        <v/>
      </c>
      <c r="J109" s="317" t="str">
        <f>IF('Statement of Marks'!HW111="","",'Statement of Marks'!HW111)</f>
        <v/>
      </c>
      <c r="K109" s="392" t="str">
        <f>'Statement of Marks'!GN111</f>
        <v/>
      </c>
      <c r="L109" s="392" t="str">
        <f>'Statement of Marks'!GQ111</f>
        <v/>
      </c>
      <c r="M109" s="181" t="str">
        <f>'Statement of Marks'!GU111</f>
        <v/>
      </c>
      <c r="N109" s="181" t="str">
        <f>'Statement of Marks'!GV111</f>
        <v/>
      </c>
      <c r="O109" s="181" t="str">
        <f>'Statement of Marks'!GW111</f>
        <v/>
      </c>
      <c r="P109" s="181" t="str">
        <f>'Statement of Marks'!GX111</f>
        <v/>
      </c>
      <c r="Q109" s="181" t="str">
        <f>'Statement of Marks'!GY111</f>
        <v/>
      </c>
      <c r="R109" s="392" t="str">
        <f>'Statement of Marks'!HB111</f>
        <v/>
      </c>
      <c r="S109" s="392" t="str">
        <f>'Statement of Marks'!HE111</f>
        <v/>
      </c>
      <c r="T109" s="392" t="str">
        <f>'Statement of Marks'!HH111</f>
        <v/>
      </c>
      <c r="U109" s="392" t="str">
        <f>'Statement of Marks'!HK111</f>
        <v/>
      </c>
      <c r="V109" s="318" t="str">
        <f>IF(COUNTIF(K109:U109,"F")&gt;0,"",CONCATENATE('Statement of Marks'!HO111,'Statement of Marks'!HP111,'Statement of Marks'!HQ111))</f>
        <v xml:space="preserve">                  </v>
      </c>
      <c r="BI109" s="6" t="str">
        <f>IFERROR(VLOOKUP(B109,'Statement of Marks'!$B$7:'Statement of Marks'!$IC$206,41,0),"")</f>
        <v/>
      </c>
      <c r="BJ109" s="6" t="str">
        <f>IFERROR(VLOOKUP(B109,'Statement of Marks'!$B$7:'Statement of Marks'!$IC$206,66,0),"")</f>
        <v/>
      </c>
      <c r="BK109" s="6">
        <f>IFERROR(VLOOKUP(B109,'Statement of Marks'!$B$7:'Statement of Marks'!$IC$206,91,0),"")</f>
        <v>0</v>
      </c>
      <c r="BL109" s="6" t="str">
        <f>IFERROR(VLOOKUP(B109,'Statement of Marks'!$B$7:'Statement of Marks'!$IC$206,117,0),"")</f>
        <v/>
      </c>
    </row>
    <row r="110" spans="1:64" ht="21" customHeight="1">
      <c r="A110" s="169">
        <f>IF('Statement of Marks'!A112="","",'Statement of Marks'!A112)</f>
        <v>106</v>
      </c>
      <c r="B110" s="169" t="str">
        <f>IF('Statement of Marks'!B112="","",'Statement of Marks'!B112)</f>
        <v/>
      </c>
      <c r="C110" s="169" t="str">
        <f>IF('Statement of Marks'!D112="","",'Statement of Marks'!D112)</f>
        <v/>
      </c>
      <c r="D110" s="315" t="str">
        <f>IF('Statement of Marks'!E112="","",'Statement of Marks'!E112)</f>
        <v/>
      </c>
      <c r="E110" s="316" t="str">
        <f>IF('Statement of Marks'!F112="","",'Statement of Marks'!F112)</f>
        <v/>
      </c>
      <c r="F110" s="316" t="str">
        <f>IF('Statement of Marks'!G112="","",'Statement of Marks'!G112)</f>
        <v/>
      </c>
      <c r="G110" s="316" t="str">
        <f>IF('Statement of Marks'!H112="","",'Statement of Marks'!H112)</f>
        <v/>
      </c>
      <c r="H110" s="830" t="str">
        <f>IF('Statement of Marks'!HS112="","",'Statement of Marks'!HS112)</f>
        <v/>
      </c>
      <c r="I110" s="172" t="str">
        <f>IF('Statement of Marks'!HV112="","",'Statement of Marks'!HV112)</f>
        <v/>
      </c>
      <c r="J110" s="317" t="str">
        <f>IF('Statement of Marks'!HW112="","",'Statement of Marks'!HW112)</f>
        <v/>
      </c>
      <c r="K110" s="392" t="str">
        <f>'Statement of Marks'!GN112</f>
        <v/>
      </c>
      <c r="L110" s="392" t="str">
        <f>'Statement of Marks'!GQ112</f>
        <v/>
      </c>
      <c r="M110" s="181" t="str">
        <f>'Statement of Marks'!GU112</f>
        <v/>
      </c>
      <c r="N110" s="181" t="str">
        <f>'Statement of Marks'!GV112</f>
        <v/>
      </c>
      <c r="O110" s="181" t="str">
        <f>'Statement of Marks'!GW112</f>
        <v/>
      </c>
      <c r="P110" s="181" t="str">
        <f>'Statement of Marks'!GX112</f>
        <v/>
      </c>
      <c r="Q110" s="181" t="str">
        <f>'Statement of Marks'!GY112</f>
        <v/>
      </c>
      <c r="R110" s="392" t="str">
        <f>'Statement of Marks'!HB112</f>
        <v/>
      </c>
      <c r="S110" s="392" t="str">
        <f>'Statement of Marks'!HE112</f>
        <v/>
      </c>
      <c r="T110" s="392" t="str">
        <f>'Statement of Marks'!HH112</f>
        <v/>
      </c>
      <c r="U110" s="392" t="str">
        <f>'Statement of Marks'!HK112</f>
        <v/>
      </c>
      <c r="V110" s="318" t="str">
        <f>IF(COUNTIF(K110:U110,"F")&gt;0,"",CONCATENATE('Statement of Marks'!HO112,'Statement of Marks'!HP112,'Statement of Marks'!HQ112))</f>
        <v xml:space="preserve">                  </v>
      </c>
      <c r="BI110" s="6" t="str">
        <f>IFERROR(VLOOKUP(B110,'Statement of Marks'!$B$7:'Statement of Marks'!$IC$206,41,0),"")</f>
        <v/>
      </c>
      <c r="BJ110" s="6" t="str">
        <f>IFERROR(VLOOKUP(B110,'Statement of Marks'!$B$7:'Statement of Marks'!$IC$206,66,0),"")</f>
        <v/>
      </c>
      <c r="BK110" s="6">
        <f>IFERROR(VLOOKUP(B110,'Statement of Marks'!$B$7:'Statement of Marks'!$IC$206,91,0),"")</f>
        <v>0</v>
      </c>
      <c r="BL110" s="6" t="str">
        <f>IFERROR(VLOOKUP(B110,'Statement of Marks'!$B$7:'Statement of Marks'!$IC$206,117,0),"")</f>
        <v/>
      </c>
    </row>
    <row r="111" spans="1:64" ht="21" customHeight="1">
      <c r="A111" s="169">
        <f>IF('Statement of Marks'!A113="","",'Statement of Marks'!A113)</f>
        <v>107</v>
      </c>
      <c r="B111" s="169" t="str">
        <f>IF('Statement of Marks'!B113="","",'Statement of Marks'!B113)</f>
        <v/>
      </c>
      <c r="C111" s="169" t="str">
        <f>IF('Statement of Marks'!D113="","",'Statement of Marks'!D113)</f>
        <v/>
      </c>
      <c r="D111" s="315" t="str">
        <f>IF('Statement of Marks'!E113="","",'Statement of Marks'!E113)</f>
        <v/>
      </c>
      <c r="E111" s="316" t="str">
        <f>IF('Statement of Marks'!F113="","",'Statement of Marks'!F113)</f>
        <v/>
      </c>
      <c r="F111" s="316" t="str">
        <f>IF('Statement of Marks'!G113="","",'Statement of Marks'!G113)</f>
        <v/>
      </c>
      <c r="G111" s="316" t="str">
        <f>IF('Statement of Marks'!H113="","",'Statement of Marks'!H113)</f>
        <v/>
      </c>
      <c r="H111" s="830" t="str">
        <f>IF('Statement of Marks'!HS113="","",'Statement of Marks'!HS113)</f>
        <v/>
      </c>
      <c r="I111" s="172" t="str">
        <f>IF('Statement of Marks'!HV113="","",'Statement of Marks'!HV113)</f>
        <v/>
      </c>
      <c r="J111" s="317" t="str">
        <f>IF('Statement of Marks'!HW113="","",'Statement of Marks'!HW113)</f>
        <v/>
      </c>
      <c r="K111" s="392" t="str">
        <f>'Statement of Marks'!GN113</f>
        <v/>
      </c>
      <c r="L111" s="392" t="str">
        <f>'Statement of Marks'!GQ113</f>
        <v/>
      </c>
      <c r="M111" s="181" t="str">
        <f>'Statement of Marks'!GU113</f>
        <v/>
      </c>
      <c r="N111" s="181" t="str">
        <f>'Statement of Marks'!GV113</f>
        <v/>
      </c>
      <c r="O111" s="181" t="str">
        <f>'Statement of Marks'!GW113</f>
        <v/>
      </c>
      <c r="P111" s="181" t="str">
        <f>'Statement of Marks'!GX113</f>
        <v/>
      </c>
      <c r="Q111" s="181" t="str">
        <f>'Statement of Marks'!GY113</f>
        <v/>
      </c>
      <c r="R111" s="392" t="str">
        <f>'Statement of Marks'!HB113</f>
        <v/>
      </c>
      <c r="S111" s="392" t="str">
        <f>'Statement of Marks'!HE113</f>
        <v/>
      </c>
      <c r="T111" s="392" t="str">
        <f>'Statement of Marks'!HH113</f>
        <v/>
      </c>
      <c r="U111" s="392" t="str">
        <f>'Statement of Marks'!HK113</f>
        <v/>
      </c>
      <c r="V111" s="318" t="str">
        <f>IF(COUNTIF(K111:U111,"F")&gt;0,"",CONCATENATE('Statement of Marks'!HO113,'Statement of Marks'!HP113,'Statement of Marks'!HQ113))</f>
        <v xml:space="preserve">                  </v>
      </c>
      <c r="BI111" s="6" t="str">
        <f>IFERROR(VLOOKUP(B111,'Statement of Marks'!$B$7:'Statement of Marks'!$IC$206,41,0),"")</f>
        <v/>
      </c>
      <c r="BJ111" s="6" t="str">
        <f>IFERROR(VLOOKUP(B111,'Statement of Marks'!$B$7:'Statement of Marks'!$IC$206,66,0),"")</f>
        <v/>
      </c>
      <c r="BK111" s="6">
        <f>IFERROR(VLOOKUP(B111,'Statement of Marks'!$B$7:'Statement of Marks'!$IC$206,91,0),"")</f>
        <v>0</v>
      </c>
      <c r="BL111" s="6" t="str">
        <f>IFERROR(VLOOKUP(B111,'Statement of Marks'!$B$7:'Statement of Marks'!$IC$206,117,0),"")</f>
        <v/>
      </c>
    </row>
    <row r="112" spans="1:64" ht="21" customHeight="1">
      <c r="A112" s="169">
        <f>IF('Statement of Marks'!A114="","",'Statement of Marks'!A114)</f>
        <v>108</v>
      </c>
      <c r="B112" s="169" t="str">
        <f>IF('Statement of Marks'!B114="","",'Statement of Marks'!B114)</f>
        <v/>
      </c>
      <c r="C112" s="169" t="str">
        <f>IF('Statement of Marks'!D114="","",'Statement of Marks'!D114)</f>
        <v/>
      </c>
      <c r="D112" s="315" t="str">
        <f>IF('Statement of Marks'!E114="","",'Statement of Marks'!E114)</f>
        <v/>
      </c>
      <c r="E112" s="316" t="str">
        <f>IF('Statement of Marks'!F114="","",'Statement of Marks'!F114)</f>
        <v/>
      </c>
      <c r="F112" s="316" t="str">
        <f>IF('Statement of Marks'!G114="","",'Statement of Marks'!G114)</f>
        <v/>
      </c>
      <c r="G112" s="316" t="str">
        <f>IF('Statement of Marks'!H114="","",'Statement of Marks'!H114)</f>
        <v/>
      </c>
      <c r="H112" s="830" t="str">
        <f>IF('Statement of Marks'!HS114="","",'Statement of Marks'!HS114)</f>
        <v/>
      </c>
      <c r="I112" s="172" t="str">
        <f>IF('Statement of Marks'!HV114="","",'Statement of Marks'!HV114)</f>
        <v/>
      </c>
      <c r="J112" s="317" t="str">
        <f>IF('Statement of Marks'!HW114="","",'Statement of Marks'!HW114)</f>
        <v/>
      </c>
      <c r="K112" s="392" t="str">
        <f>'Statement of Marks'!GN114</f>
        <v/>
      </c>
      <c r="L112" s="392" t="str">
        <f>'Statement of Marks'!GQ114</f>
        <v/>
      </c>
      <c r="M112" s="181" t="str">
        <f>'Statement of Marks'!GU114</f>
        <v/>
      </c>
      <c r="N112" s="181" t="str">
        <f>'Statement of Marks'!GV114</f>
        <v/>
      </c>
      <c r="O112" s="181" t="str">
        <f>'Statement of Marks'!GW114</f>
        <v/>
      </c>
      <c r="P112" s="181" t="str">
        <f>'Statement of Marks'!GX114</f>
        <v/>
      </c>
      <c r="Q112" s="181" t="str">
        <f>'Statement of Marks'!GY114</f>
        <v/>
      </c>
      <c r="R112" s="392" t="str">
        <f>'Statement of Marks'!HB114</f>
        <v/>
      </c>
      <c r="S112" s="392" t="str">
        <f>'Statement of Marks'!HE114</f>
        <v/>
      </c>
      <c r="T112" s="392" t="str">
        <f>'Statement of Marks'!HH114</f>
        <v/>
      </c>
      <c r="U112" s="392" t="str">
        <f>'Statement of Marks'!HK114</f>
        <v/>
      </c>
      <c r="V112" s="318" t="str">
        <f>IF(COUNTIF(K112:U112,"F")&gt;0,"",CONCATENATE('Statement of Marks'!HO114,'Statement of Marks'!HP114,'Statement of Marks'!HQ114))</f>
        <v xml:space="preserve">                  </v>
      </c>
      <c r="BI112" s="6" t="str">
        <f>IFERROR(VLOOKUP(B112,'Statement of Marks'!$B$7:'Statement of Marks'!$IC$206,41,0),"")</f>
        <v/>
      </c>
      <c r="BJ112" s="6" t="str">
        <f>IFERROR(VLOOKUP(B112,'Statement of Marks'!$B$7:'Statement of Marks'!$IC$206,66,0),"")</f>
        <v/>
      </c>
      <c r="BK112" s="6">
        <f>IFERROR(VLOOKUP(B112,'Statement of Marks'!$B$7:'Statement of Marks'!$IC$206,91,0),"")</f>
        <v>0</v>
      </c>
      <c r="BL112" s="6" t="str">
        <f>IFERROR(VLOOKUP(B112,'Statement of Marks'!$B$7:'Statement of Marks'!$IC$206,117,0),"")</f>
        <v/>
      </c>
    </row>
    <row r="113" spans="1:64" ht="21" customHeight="1">
      <c r="A113" s="169">
        <f>IF('Statement of Marks'!A115="","",'Statement of Marks'!A115)</f>
        <v>109</v>
      </c>
      <c r="B113" s="169" t="str">
        <f>IF('Statement of Marks'!B115="","",'Statement of Marks'!B115)</f>
        <v/>
      </c>
      <c r="C113" s="169" t="str">
        <f>IF('Statement of Marks'!D115="","",'Statement of Marks'!D115)</f>
        <v/>
      </c>
      <c r="D113" s="315" t="str">
        <f>IF('Statement of Marks'!E115="","",'Statement of Marks'!E115)</f>
        <v/>
      </c>
      <c r="E113" s="316" t="str">
        <f>IF('Statement of Marks'!F115="","",'Statement of Marks'!F115)</f>
        <v/>
      </c>
      <c r="F113" s="316" t="str">
        <f>IF('Statement of Marks'!G115="","",'Statement of Marks'!G115)</f>
        <v/>
      </c>
      <c r="G113" s="316" t="str">
        <f>IF('Statement of Marks'!H115="","",'Statement of Marks'!H115)</f>
        <v/>
      </c>
      <c r="H113" s="830" t="str">
        <f>IF('Statement of Marks'!HS115="","",'Statement of Marks'!HS115)</f>
        <v/>
      </c>
      <c r="I113" s="172" t="str">
        <f>IF('Statement of Marks'!HV115="","",'Statement of Marks'!HV115)</f>
        <v/>
      </c>
      <c r="J113" s="317" t="str">
        <f>IF('Statement of Marks'!HW115="","",'Statement of Marks'!HW115)</f>
        <v/>
      </c>
      <c r="K113" s="392" t="str">
        <f>'Statement of Marks'!GN115</f>
        <v/>
      </c>
      <c r="L113" s="392" t="str">
        <f>'Statement of Marks'!GQ115</f>
        <v/>
      </c>
      <c r="M113" s="181" t="str">
        <f>'Statement of Marks'!GU115</f>
        <v/>
      </c>
      <c r="N113" s="181" t="str">
        <f>'Statement of Marks'!GV115</f>
        <v/>
      </c>
      <c r="O113" s="181" t="str">
        <f>'Statement of Marks'!GW115</f>
        <v/>
      </c>
      <c r="P113" s="181" t="str">
        <f>'Statement of Marks'!GX115</f>
        <v/>
      </c>
      <c r="Q113" s="181" t="str">
        <f>'Statement of Marks'!GY115</f>
        <v/>
      </c>
      <c r="R113" s="392" t="str">
        <f>'Statement of Marks'!HB115</f>
        <v/>
      </c>
      <c r="S113" s="392" t="str">
        <f>'Statement of Marks'!HE115</f>
        <v/>
      </c>
      <c r="T113" s="392" t="str">
        <f>'Statement of Marks'!HH115</f>
        <v/>
      </c>
      <c r="U113" s="392" t="str">
        <f>'Statement of Marks'!HK115</f>
        <v/>
      </c>
      <c r="V113" s="318" t="str">
        <f>IF(COUNTIF(K113:U113,"F")&gt;0,"",CONCATENATE('Statement of Marks'!HO115,'Statement of Marks'!HP115,'Statement of Marks'!HQ115))</f>
        <v xml:space="preserve">                  </v>
      </c>
      <c r="BI113" s="6" t="str">
        <f>IFERROR(VLOOKUP(B113,'Statement of Marks'!$B$7:'Statement of Marks'!$IC$206,41,0),"")</f>
        <v/>
      </c>
      <c r="BJ113" s="6" t="str">
        <f>IFERROR(VLOOKUP(B113,'Statement of Marks'!$B$7:'Statement of Marks'!$IC$206,66,0),"")</f>
        <v/>
      </c>
      <c r="BK113" s="6">
        <f>IFERROR(VLOOKUP(B113,'Statement of Marks'!$B$7:'Statement of Marks'!$IC$206,91,0),"")</f>
        <v>0</v>
      </c>
      <c r="BL113" s="6" t="str">
        <f>IFERROR(VLOOKUP(B113,'Statement of Marks'!$B$7:'Statement of Marks'!$IC$206,117,0),"")</f>
        <v/>
      </c>
    </row>
    <row r="114" spans="1:64" ht="21" customHeight="1">
      <c r="A114" s="169">
        <f>IF('Statement of Marks'!A116="","",'Statement of Marks'!A116)</f>
        <v>110</v>
      </c>
      <c r="B114" s="169" t="str">
        <f>IF('Statement of Marks'!B116="","",'Statement of Marks'!B116)</f>
        <v/>
      </c>
      <c r="C114" s="169" t="str">
        <f>IF('Statement of Marks'!D116="","",'Statement of Marks'!D116)</f>
        <v/>
      </c>
      <c r="D114" s="315" t="str">
        <f>IF('Statement of Marks'!E116="","",'Statement of Marks'!E116)</f>
        <v/>
      </c>
      <c r="E114" s="316" t="str">
        <f>IF('Statement of Marks'!F116="","",'Statement of Marks'!F116)</f>
        <v/>
      </c>
      <c r="F114" s="316" t="str">
        <f>IF('Statement of Marks'!G116="","",'Statement of Marks'!G116)</f>
        <v/>
      </c>
      <c r="G114" s="316" t="str">
        <f>IF('Statement of Marks'!H116="","",'Statement of Marks'!H116)</f>
        <v/>
      </c>
      <c r="H114" s="830" t="str">
        <f>IF('Statement of Marks'!HS116="","",'Statement of Marks'!HS116)</f>
        <v/>
      </c>
      <c r="I114" s="172" t="str">
        <f>IF('Statement of Marks'!HV116="","",'Statement of Marks'!HV116)</f>
        <v/>
      </c>
      <c r="J114" s="317" t="str">
        <f>IF('Statement of Marks'!HW116="","",'Statement of Marks'!HW116)</f>
        <v/>
      </c>
      <c r="K114" s="392" t="str">
        <f>'Statement of Marks'!GN116</f>
        <v/>
      </c>
      <c r="L114" s="392" t="str">
        <f>'Statement of Marks'!GQ116</f>
        <v/>
      </c>
      <c r="M114" s="181" t="str">
        <f>'Statement of Marks'!GU116</f>
        <v/>
      </c>
      <c r="N114" s="181" t="str">
        <f>'Statement of Marks'!GV116</f>
        <v/>
      </c>
      <c r="O114" s="181" t="str">
        <f>'Statement of Marks'!GW116</f>
        <v/>
      </c>
      <c r="P114" s="181" t="str">
        <f>'Statement of Marks'!GX116</f>
        <v/>
      </c>
      <c r="Q114" s="181" t="str">
        <f>'Statement of Marks'!GY116</f>
        <v/>
      </c>
      <c r="R114" s="392" t="str">
        <f>'Statement of Marks'!HB116</f>
        <v/>
      </c>
      <c r="S114" s="392" t="str">
        <f>'Statement of Marks'!HE116</f>
        <v/>
      </c>
      <c r="T114" s="392" t="str">
        <f>'Statement of Marks'!HH116</f>
        <v/>
      </c>
      <c r="U114" s="392" t="str">
        <f>'Statement of Marks'!HK116</f>
        <v/>
      </c>
      <c r="V114" s="318" t="str">
        <f>IF(COUNTIF(K114:U114,"F")&gt;0,"",CONCATENATE('Statement of Marks'!HO116,'Statement of Marks'!HP116,'Statement of Marks'!HQ116))</f>
        <v xml:space="preserve">                  </v>
      </c>
      <c r="BI114" s="6" t="str">
        <f>IFERROR(VLOOKUP(B114,'Statement of Marks'!$B$7:'Statement of Marks'!$IC$206,41,0),"")</f>
        <v/>
      </c>
      <c r="BJ114" s="6" t="str">
        <f>IFERROR(VLOOKUP(B114,'Statement of Marks'!$B$7:'Statement of Marks'!$IC$206,66,0),"")</f>
        <v/>
      </c>
      <c r="BK114" s="6">
        <f>IFERROR(VLOOKUP(B114,'Statement of Marks'!$B$7:'Statement of Marks'!$IC$206,91,0),"")</f>
        <v>0</v>
      </c>
      <c r="BL114" s="6" t="str">
        <f>IFERROR(VLOOKUP(B114,'Statement of Marks'!$B$7:'Statement of Marks'!$IC$206,117,0),"")</f>
        <v/>
      </c>
    </row>
    <row r="115" spans="1:64" ht="21" customHeight="1">
      <c r="A115" s="169">
        <f>IF('Statement of Marks'!A117="","",'Statement of Marks'!A117)</f>
        <v>111</v>
      </c>
      <c r="B115" s="169" t="str">
        <f>IF('Statement of Marks'!B117="","",'Statement of Marks'!B117)</f>
        <v/>
      </c>
      <c r="C115" s="169" t="str">
        <f>IF('Statement of Marks'!D117="","",'Statement of Marks'!D117)</f>
        <v/>
      </c>
      <c r="D115" s="315" t="str">
        <f>IF('Statement of Marks'!E117="","",'Statement of Marks'!E117)</f>
        <v/>
      </c>
      <c r="E115" s="316" t="str">
        <f>IF('Statement of Marks'!F117="","",'Statement of Marks'!F117)</f>
        <v/>
      </c>
      <c r="F115" s="316" t="str">
        <f>IF('Statement of Marks'!G117="","",'Statement of Marks'!G117)</f>
        <v/>
      </c>
      <c r="G115" s="316" t="str">
        <f>IF('Statement of Marks'!H117="","",'Statement of Marks'!H117)</f>
        <v/>
      </c>
      <c r="H115" s="830" t="str">
        <f>IF('Statement of Marks'!HS117="","",'Statement of Marks'!HS117)</f>
        <v/>
      </c>
      <c r="I115" s="172" t="str">
        <f>IF('Statement of Marks'!HV117="","",'Statement of Marks'!HV117)</f>
        <v/>
      </c>
      <c r="J115" s="317" t="str">
        <f>IF('Statement of Marks'!HW117="","",'Statement of Marks'!HW117)</f>
        <v/>
      </c>
      <c r="K115" s="392" t="str">
        <f>'Statement of Marks'!GN117</f>
        <v/>
      </c>
      <c r="L115" s="392" t="str">
        <f>'Statement of Marks'!GQ117</f>
        <v/>
      </c>
      <c r="M115" s="181" t="str">
        <f>'Statement of Marks'!GU117</f>
        <v/>
      </c>
      <c r="N115" s="181" t="str">
        <f>'Statement of Marks'!GV117</f>
        <v/>
      </c>
      <c r="O115" s="181" t="str">
        <f>'Statement of Marks'!GW117</f>
        <v/>
      </c>
      <c r="P115" s="181" t="str">
        <f>'Statement of Marks'!GX117</f>
        <v/>
      </c>
      <c r="Q115" s="181" t="str">
        <f>'Statement of Marks'!GY117</f>
        <v/>
      </c>
      <c r="R115" s="392" t="str">
        <f>'Statement of Marks'!HB117</f>
        <v/>
      </c>
      <c r="S115" s="392" t="str">
        <f>'Statement of Marks'!HE117</f>
        <v/>
      </c>
      <c r="T115" s="392" t="str">
        <f>'Statement of Marks'!HH117</f>
        <v/>
      </c>
      <c r="U115" s="392" t="str">
        <f>'Statement of Marks'!HK117</f>
        <v/>
      </c>
      <c r="V115" s="318" t="str">
        <f>IF(COUNTIF(K115:U115,"F")&gt;0,"",CONCATENATE('Statement of Marks'!HO117,'Statement of Marks'!HP117,'Statement of Marks'!HQ117))</f>
        <v xml:space="preserve">                  </v>
      </c>
      <c r="BI115" s="6" t="str">
        <f>IFERROR(VLOOKUP(B115,'Statement of Marks'!$B$7:'Statement of Marks'!$IC$206,41,0),"")</f>
        <v/>
      </c>
      <c r="BJ115" s="6" t="str">
        <f>IFERROR(VLOOKUP(B115,'Statement of Marks'!$B$7:'Statement of Marks'!$IC$206,66,0),"")</f>
        <v/>
      </c>
      <c r="BK115" s="6">
        <f>IFERROR(VLOOKUP(B115,'Statement of Marks'!$B$7:'Statement of Marks'!$IC$206,91,0),"")</f>
        <v>0</v>
      </c>
      <c r="BL115" s="6" t="str">
        <f>IFERROR(VLOOKUP(B115,'Statement of Marks'!$B$7:'Statement of Marks'!$IC$206,117,0),"")</f>
        <v/>
      </c>
    </row>
    <row r="116" spans="1:64" ht="21" customHeight="1">
      <c r="A116" s="169">
        <f>IF('Statement of Marks'!A118="","",'Statement of Marks'!A118)</f>
        <v>112</v>
      </c>
      <c r="B116" s="169" t="str">
        <f>IF('Statement of Marks'!B118="","",'Statement of Marks'!B118)</f>
        <v/>
      </c>
      <c r="C116" s="169" t="str">
        <f>IF('Statement of Marks'!D118="","",'Statement of Marks'!D118)</f>
        <v/>
      </c>
      <c r="D116" s="315" t="str">
        <f>IF('Statement of Marks'!E118="","",'Statement of Marks'!E118)</f>
        <v/>
      </c>
      <c r="E116" s="316" t="str">
        <f>IF('Statement of Marks'!F118="","",'Statement of Marks'!F118)</f>
        <v/>
      </c>
      <c r="F116" s="316" t="str">
        <f>IF('Statement of Marks'!G118="","",'Statement of Marks'!G118)</f>
        <v/>
      </c>
      <c r="G116" s="316" t="str">
        <f>IF('Statement of Marks'!H118="","",'Statement of Marks'!H118)</f>
        <v/>
      </c>
      <c r="H116" s="830" t="str">
        <f>IF('Statement of Marks'!HS118="","",'Statement of Marks'!HS118)</f>
        <v/>
      </c>
      <c r="I116" s="172" t="str">
        <f>IF('Statement of Marks'!HV118="","",'Statement of Marks'!HV118)</f>
        <v/>
      </c>
      <c r="J116" s="317" t="str">
        <f>IF('Statement of Marks'!HW118="","",'Statement of Marks'!HW118)</f>
        <v/>
      </c>
      <c r="K116" s="392" t="str">
        <f>'Statement of Marks'!GN118</f>
        <v/>
      </c>
      <c r="L116" s="392" t="str">
        <f>'Statement of Marks'!GQ118</f>
        <v/>
      </c>
      <c r="M116" s="181" t="str">
        <f>'Statement of Marks'!GU118</f>
        <v/>
      </c>
      <c r="N116" s="181" t="str">
        <f>'Statement of Marks'!GV118</f>
        <v/>
      </c>
      <c r="O116" s="181" t="str">
        <f>'Statement of Marks'!GW118</f>
        <v/>
      </c>
      <c r="P116" s="181" t="str">
        <f>'Statement of Marks'!GX118</f>
        <v/>
      </c>
      <c r="Q116" s="181" t="str">
        <f>'Statement of Marks'!GY118</f>
        <v/>
      </c>
      <c r="R116" s="392" t="str">
        <f>'Statement of Marks'!HB118</f>
        <v/>
      </c>
      <c r="S116" s="392" t="str">
        <f>'Statement of Marks'!HE118</f>
        <v/>
      </c>
      <c r="T116" s="392" t="str">
        <f>'Statement of Marks'!HH118</f>
        <v/>
      </c>
      <c r="U116" s="392" t="str">
        <f>'Statement of Marks'!HK118</f>
        <v/>
      </c>
      <c r="V116" s="318" t="str">
        <f>IF(COUNTIF(K116:U116,"F")&gt;0,"",CONCATENATE('Statement of Marks'!HO118,'Statement of Marks'!HP118,'Statement of Marks'!HQ118))</f>
        <v xml:space="preserve">                  </v>
      </c>
      <c r="BI116" s="6" t="str">
        <f>IFERROR(VLOOKUP(B116,'Statement of Marks'!$B$7:'Statement of Marks'!$IC$206,41,0),"")</f>
        <v/>
      </c>
      <c r="BJ116" s="6" t="str">
        <f>IFERROR(VLOOKUP(B116,'Statement of Marks'!$B$7:'Statement of Marks'!$IC$206,66,0),"")</f>
        <v/>
      </c>
      <c r="BK116" s="6">
        <f>IFERROR(VLOOKUP(B116,'Statement of Marks'!$B$7:'Statement of Marks'!$IC$206,91,0),"")</f>
        <v>0</v>
      </c>
      <c r="BL116" s="6" t="str">
        <f>IFERROR(VLOOKUP(B116,'Statement of Marks'!$B$7:'Statement of Marks'!$IC$206,117,0),"")</f>
        <v/>
      </c>
    </row>
    <row r="117" spans="1:64" ht="21" customHeight="1">
      <c r="A117" s="169">
        <f>IF('Statement of Marks'!A119="","",'Statement of Marks'!A119)</f>
        <v>113</v>
      </c>
      <c r="B117" s="169" t="str">
        <f>IF('Statement of Marks'!B119="","",'Statement of Marks'!B119)</f>
        <v/>
      </c>
      <c r="C117" s="169" t="str">
        <f>IF('Statement of Marks'!D119="","",'Statement of Marks'!D119)</f>
        <v/>
      </c>
      <c r="D117" s="315" t="str">
        <f>IF('Statement of Marks'!E119="","",'Statement of Marks'!E119)</f>
        <v/>
      </c>
      <c r="E117" s="316" t="str">
        <f>IF('Statement of Marks'!F119="","",'Statement of Marks'!F119)</f>
        <v/>
      </c>
      <c r="F117" s="316" t="str">
        <f>IF('Statement of Marks'!G119="","",'Statement of Marks'!G119)</f>
        <v/>
      </c>
      <c r="G117" s="316" t="str">
        <f>IF('Statement of Marks'!H119="","",'Statement of Marks'!H119)</f>
        <v/>
      </c>
      <c r="H117" s="830" t="str">
        <f>IF('Statement of Marks'!HS119="","",'Statement of Marks'!HS119)</f>
        <v/>
      </c>
      <c r="I117" s="172" t="str">
        <f>IF('Statement of Marks'!HV119="","",'Statement of Marks'!HV119)</f>
        <v/>
      </c>
      <c r="J117" s="317" t="str">
        <f>IF('Statement of Marks'!HW119="","",'Statement of Marks'!HW119)</f>
        <v/>
      </c>
      <c r="K117" s="392" t="str">
        <f>'Statement of Marks'!GN119</f>
        <v/>
      </c>
      <c r="L117" s="392" t="str">
        <f>'Statement of Marks'!GQ119</f>
        <v/>
      </c>
      <c r="M117" s="181" t="str">
        <f>'Statement of Marks'!GU119</f>
        <v/>
      </c>
      <c r="N117" s="181" t="str">
        <f>'Statement of Marks'!GV119</f>
        <v/>
      </c>
      <c r="O117" s="181" t="str">
        <f>'Statement of Marks'!GW119</f>
        <v/>
      </c>
      <c r="P117" s="181" t="str">
        <f>'Statement of Marks'!GX119</f>
        <v/>
      </c>
      <c r="Q117" s="181" t="str">
        <f>'Statement of Marks'!GY119</f>
        <v/>
      </c>
      <c r="R117" s="392" t="str">
        <f>'Statement of Marks'!HB119</f>
        <v/>
      </c>
      <c r="S117" s="392" t="str">
        <f>'Statement of Marks'!HE119</f>
        <v/>
      </c>
      <c r="T117" s="392" t="str">
        <f>'Statement of Marks'!HH119</f>
        <v/>
      </c>
      <c r="U117" s="392" t="str">
        <f>'Statement of Marks'!HK119</f>
        <v/>
      </c>
      <c r="V117" s="318" t="str">
        <f>IF(COUNTIF(K117:U117,"F")&gt;0,"",CONCATENATE('Statement of Marks'!HO119,'Statement of Marks'!HP119,'Statement of Marks'!HQ119))</f>
        <v xml:space="preserve">                  </v>
      </c>
      <c r="BI117" s="6" t="str">
        <f>IFERROR(VLOOKUP(B117,'Statement of Marks'!$B$7:'Statement of Marks'!$IC$206,41,0),"")</f>
        <v/>
      </c>
      <c r="BJ117" s="6" t="str">
        <f>IFERROR(VLOOKUP(B117,'Statement of Marks'!$B$7:'Statement of Marks'!$IC$206,66,0),"")</f>
        <v/>
      </c>
      <c r="BK117" s="6">
        <f>IFERROR(VLOOKUP(B117,'Statement of Marks'!$B$7:'Statement of Marks'!$IC$206,91,0),"")</f>
        <v>0</v>
      </c>
      <c r="BL117" s="6" t="str">
        <f>IFERROR(VLOOKUP(B117,'Statement of Marks'!$B$7:'Statement of Marks'!$IC$206,117,0),"")</f>
        <v/>
      </c>
    </row>
    <row r="118" spans="1:64" ht="21" customHeight="1">
      <c r="A118" s="169">
        <f>IF('Statement of Marks'!A120="","",'Statement of Marks'!A120)</f>
        <v>114</v>
      </c>
      <c r="B118" s="169" t="str">
        <f>IF('Statement of Marks'!B120="","",'Statement of Marks'!B120)</f>
        <v/>
      </c>
      <c r="C118" s="169" t="str">
        <f>IF('Statement of Marks'!D120="","",'Statement of Marks'!D120)</f>
        <v/>
      </c>
      <c r="D118" s="315" t="str">
        <f>IF('Statement of Marks'!E120="","",'Statement of Marks'!E120)</f>
        <v/>
      </c>
      <c r="E118" s="316" t="str">
        <f>IF('Statement of Marks'!F120="","",'Statement of Marks'!F120)</f>
        <v/>
      </c>
      <c r="F118" s="316" t="str">
        <f>IF('Statement of Marks'!G120="","",'Statement of Marks'!G120)</f>
        <v/>
      </c>
      <c r="G118" s="316" t="str">
        <f>IF('Statement of Marks'!H120="","",'Statement of Marks'!H120)</f>
        <v/>
      </c>
      <c r="H118" s="830" t="str">
        <f>IF('Statement of Marks'!HS120="","",'Statement of Marks'!HS120)</f>
        <v/>
      </c>
      <c r="I118" s="172" t="str">
        <f>IF('Statement of Marks'!HV120="","",'Statement of Marks'!HV120)</f>
        <v/>
      </c>
      <c r="J118" s="317" t="str">
        <f>IF('Statement of Marks'!HW120="","",'Statement of Marks'!HW120)</f>
        <v/>
      </c>
      <c r="K118" s="392" t="str">
        <f>'Statement of Marks'!GN120</f>
        <v/>
      </c>
      <c r="L118" s="392" t="str">
        <f>'Statement of Marks'!GQ120</f>
        <v/>
      </c>
      <c r="M118" s="181" t="str">
        <f>'Statement of Marks'!GU120</f>
        <v/>
      </c>
      <c r="N118" s="181" t="str">
        <f>'Statement of Marks'!GV120</f>
        <v/>
      </c>
      <c r="O118" s="181" t="str">
        <f>'Statement of Marks'!GW120</f>
        <v/>
      </c>
      <c r="P118" s="181" t="str">
        <f>'Statement of Marks'!GX120</f>
        <v/>
      </c>
      <c r="Q118" s="181" t="str">
        <f>'Statement of Marks'!GY120</f>
        <v/>
      </c>
      <c r="R118" s="392" t="str">
        <f>'Statement of Marks'!HB120</f>
        <v/>
      </c>
      <c r="S118" s="392" t="str">
        <f>'Statement of Marks'!HE120</f>
        <v/>
      </c>
      <c r="T118" s="392" t="str">
        <f>'Statement of Marks'!HH120</f>
        <v/>
      </c>
      <c r="U118" s="392" t="str">
        <f>'Statement of Marks'!HK120</f>
        <v/>
      </c>
      <c r="V118" s="318" t="str">
        <f>IF(COUNTIF(K118:U118,"F")&gt;0,"",CONCATENATE('Statement of Marks'!HO120,'Statement of Marks'!HP120,'Statement of Marks'!HQ120))</f>
        <v xml:space="preserve">                  </v>
      </c>
      <c r="BI118" s="6" t="str">
        <f>IFERROR(VLOOKUP(B118,'Statement of Marks'!$B$7:'Statement of Marks'!$IC$206,41,0),"")</f>
        <v/>
      </c>
      <c r="BJ118" s="6" t="str">
        <f>IFERROR(VLOOKUP(B118,'Statement of Marks'!$B$7:'Statement of Marks'!$IC$206,66,0),"")</f>
        <v/>
      </c>
      <c r="BK118" s="6">
        <f>IFERROR(VLOOKUP(B118,'Statement of Marks'!$B$7:'Statement of Marks'!$IC$206,91,0),"")</f>
        <v>0</v>
      </c>
      <c r="BL118" s="6" t="str">
        <f>IFERROR(VLOOKUP(B118,'Statement of Marks'!$B$7:'Statement of Marks'!$IC$206,117,0),"")</f>
        <v/>
      </c>
    </row>
    <row r="119" spans="1:64" ht="21" customHeight="1">
      <c r="A119" s="169">
        <f>IF('Statement of Marks'!A121="","",'Statement of Marks'!A121)</f>
        <v>115</v>
      </c>
      <c r="B119" s="169" t="str">
        <f>IF('Statement of Marks'!B121="","",'Statement of Marks'!B121)</f>
        <v/>
      </c>
      <c r="C119" s="169" t="str">
        <f>IF('Statement of Marks'!D121="","",'Statement of Marks'!D121)</f>
        <v/>
      </c>
      <c r="D119" s="315" t="str">
        <f>IF('Statement of Marks'!E121="","",'Statement of Marks'!E121)</f>
        <v/>
      </c>
      <c r="E119" s="316" t="str">
        <f>IF('Statement of Marks'!F121="","",'Statement of Marks'!F121)</f>
        <v/>
      </c>
      <c r="F119" s="316" t="str">
        <f>IF('Statement of Marks'!G121="","",'Statement of Marks'!G121)</f>
        <v/>
      </c>
      <c r="G119" s="316" t="str">
        <f>IF('Statement of Marks'!H121="","",'Statement of Marks'!H121)</f>
        <v/>
      </c>
      <c r="H119" s="830" t="str">
        <f>IF('Statement of Marks'!HS121="","",'Statement of Marks'!HS121)</f>
        <v/>
      </c>
      <c r="I119" s="172" t="str">
        <f>IF('Statement of Marks'!HV121="","",'Statement of Marks'!HV121)</f>
        <v/>
      </c>
      <c r="J119" s="317" t="str">
        <f>IF('Statement of Marks'!HW121="","",'Statement of Marks'!HW121)</f>
        <v/>
      </c>
      <c r="K119" s="392" t="str">
        <f>'Statement of Marks'!GN121</f>
        <v/>
      </c>
      <c r="L119" s="392" t="str">
        <f>'Statement of Marks'!GQ121</f>
        <v/>
      </c>
      <c r="M119" s="181" t="str">
        <f>'Statement of Marks'!GU121</f>
        <v/>
      </c>
      <c r="N119" s="181" t="str">
        <f>'Statement of Marks'!GV121</f>
        <v/>
      </c>
      <c r="O119" s="181" t="str">
        <f>'Statement of Marks'!GW121</f>
        <v/>
      </c>
      <c r="P119" s="181" t="str">
        <f>'Statement of Marks'!GX121</f>
        <v/>
      </c>
      <c r="Q119" s="181" t="str">
        <f>'Statement of Marks'!GY121</f>
        <v/>
      </c>
      <c r="R119" s="392" t="str">
        <f>'Statement of Marks'!HB121</f>
        <v/>
      </c>
      <c r="S119" s="392" t="str">
        <f>'Statement of Marks'!HE121</f>
        <v/>
      </c>
      <c r="T119" s="392" t="str">
        <f>'Statement of Marks'!HH121</f>
        <v/>
      </c>
      <c r="U119" s="392" t="str">
        <f>'Statement of Marks'!HK121</f>
        <v/>
      </c>
      <c r="V119" s="318" t="str">
        <f>IF(COUNTIF(K119:U119,"F")&gt;0,"",CONCATENATE('Statement of Marks'!HO121,'Statement of Marks'!HP121,'Statement of Marks'!HQ121))</f>
        <v xml:space="preserve">                  </v>
      </c>
      <c r="BI119" s="6" t="str">
        <f>IFERROR(VLOOKUP(B119,'Statement of Marks'!$B$7:'Statement of Marks'!$IC$206,41,0),"")</f>
        <v/>
      </c>
      <c r="BJ119" s="6" t="str">
        <f>IFERROR(VLOOKUP(B119,'Statement of Marks'!$B$7:'Statement of Marks'!$IC$206,66,0),"")</f>
        <v/>
      </c>
      <c r="BK119" s="6">
        <f>IFERROR(VLOOKUP(B119,'Statement of Marks'!$B$7:'Statement of Marks'!$IC$206,91,0),"")</f>
        <v>0</v>
      </c>
      <c r="BL119" s="6" t="str">
        <f>IFERROR(VLOOKUP(B119,'Statement of Marks'!$B$7:'Statement of Marks'!$IC$206,117,0),"")</f>
        <v/>
      </c>
    </row>
    <row r="120" spans="1:64" ht="21" customHeight="1">
      <c r="A120" s="169">
        <f>IF('Statement of Marks'!A122="","",'Statement of Marks'!A122)</f>
        <v>116</v>
      </c>
      <c r="B120" s="169" t="str">
        <f>IF('Statement of Marks'!B122="","",'Statement of Marks'!B122)</f>
        <v/>
      </c>
      <c r="C120" s="169" t="str">
        <f>IF('Statement of Marks'!D122="","",'Statement of Marks'!D122)</f>
        <v/>
      </c>
      <c r="D120" s="315" t="str">
        <f>IF('Statement of Marks'!E122="","",'Statement of Marks'!E122)</f>
        <v/>
      </c>
      <c r="E120" s="316" t="str">
        <f>IF('Statement of Marks'!F122="","",'Statement of Marks'!F122)</f>
        <v/>
      </c>
      <c r="F120" s="316" t="str">
        <f>IF('Statement of Marks'!G122="","",'Statement of Marks'!G122)</f>
        <v/>
      </c>
      <c r="G120" s="316" t="str">
        <f>IF('Statement of Marks'!H122="","",'Statement of Marks'!H122)</f>
        <v/>
      </c>
      <c r="H120" s="830" t="str">
        <f>IF('Statement of Marks'!HS122="","",'Statement of Marks'!HS122)</f>
        <v/>
      </c>
      <c r="I120" s="172" t="str">
        <f>IF('Statement of Marks'!HV122="","",'Statement of Marks'!HV122)</f>
        <v/>
      </c>
      <c r="J120" s="317" t="str">
        <f>IF('Statement of Marks'!HW122="","",'Statement of Marks'!HW122)</f>
        <v/>
      </c>
      <c r="K120" s="392" t="str">
        <f>'Statement of Marks'!GN122</f>
        <v/>
      </c>
      <c r="L120" s="392" t="str">
        <f>'Statement of Marks'!GQ122</f>
        <v/>
      </c>
      <c r="M120" s="181" t="str">
        <f>'Statement of Marks'!GU122</f>
        <v/>
      </c>
      <c r="N120" s="181" t="str">
        <f>'Statement of Marks'!GV122</f>
        <v/>
      </c>
      <c r="O120" s="181" t="str">
        <f>'Statement of Marks'!GW122</f>
        <v/>
      </c>
      <c r="P120" s="181" t="str">
        <f>'Statement of Marks'!GX122</f>
        <v/>
      </c>
      <c r="Q120" s="181" t="str">
        <f>'Statement of Marks'!GY122</f>
        <v/>
      </c>
      <c r="R120" s="392" t="str">
        <f>'Statement of Marks'!HB122</f>
        <v/>
      </c>
      <c r="S120" s="392" t="str">
        <f>'Statement of Marks'!HE122</f>
        <v/>
      </c>
      <c r="T120" s="392" t="str">
        <f>'Statement of Marks'!HH122</f>
        <v/>
      </c>
      <c r="U120" s="392" t="str">
        <f>'Statement of Marks'!HK122</f>
        <v/>
      </c>
      <c r="V120" s="318" t="str">
        <f>IF(COUNTIF(K120:U120,"F")&gt;0,"",CONCATENATE('Statement of Marks'!HO122,'Statement of Marks'!HP122,'Statement of Marks'!HQ122))</f>
        <v xml:space="preserve">                  </v>
      </c>
      <c r="BI120" s="6" t="str">
        <f>IFERROR(VLOOKUP(B120,'Statement of Marks'!$B$7:'Statement of Marks'!$IC$206,41,0),"")</f>
        <v/>
      </c>
      <c r="BJ120" s="6" t="str">
        <f>IFERROR(VLOOKUP(B120,'Statement of Marks'!$B$7:'Statement of Marks'!$IC$206,66,0),"")</f>
        <v/>
      </c>
      <c r="BK120" s="6">
        <f>IFERROR(VLOOKUP(B120,'Statement of Marks'!$B$7:'Statement of Marks'!$IC$206,91,0),"")</f>
        <v>0</v>
      </c>
      <c r="BL120" s="6" t="str">
        <f>IFERROR(VLOOKUP(B120,'Statement of Marks'!$B$7:'Statement of Marks'!$IC$206,117,0),"")</f>
        <v/>
      </c>
    </row>
    <row r="121" spans="1:64" ht="21" customHeight="1">
      <c r="A121" s="169">
        <f>IF('Statement of Marks'!A123="","",'Statement of Marks'!A123)</f>
        <v>117</v>
      </c>
      <c r="B121" s="169" t="str">
        <f>IF('Statement of Marks'!B123="","",'Statement of Marks'!B123)</f>
        <v/>
      </c>
      <c r="C121" s="169" t="str">
        <f>IF('Statement of Marks'!D123="","",'Statement of Marks'!D123)</f>
        <v/>
      </c>
      <c r="D121" s="315" t="str">
        <f>IF('Statement of Marks'!E123="","",'Statement of Marks'!E123)</f>
        <v/>
      </c>
      <c r="E121" s="316" t="str">
        <f>IF('Statement of Marks'!F123="","",'Statement of Marks'!F123)</f>
        <v/>
      </c>
      <c r="F121" s="316" t="str">
        <f>IF('Statement of Marks'!G123="","",'Statement of Marks'!G123)</f>
        <v/>
      </c>
      <c r="G121" s="316" t="str">
        <f>IF('Statement of Marks'!H123="","",'Statement of Marks'!H123)</f>
        <v/>
      </c>
      <c r="H121" s="830" t="str">
        <f>IF('Statement of Marks'!HS123="","",'Statement of Marks'!HS123)</f>
        <v/>
      </c>
      <c r="I121" s="172" t="str">
        <f>IF('Statement of Marks'!HV123="","",'Statement of Marks'!HV123)</f>
        <v/>
      </c>
      <c r="J121" s="317" t="str">
        <f>IF('Statement of Marks'!HW123="","",'Statement of Marks'!HW123)</f>
        <v/>
      </c>
      <c r="K121" s="392" t="str">
        <f>'Statement of Marks'!GN123</f>
        <v/>
      </c>
      <c r="L121" s="392" t="str">
        <f>'Statement of Marks'!GQ123</f>
        <v/>
      </c>
      <c r="M121" s="181" t="str">
        <f>'Statement of Marks'!GU123</f>
        <v/>
      </c>
      <c r="N121" s="181" t="str">
        <f>'Statement of Marks'!GV123</f>
        <v/>
      </c>
      <c r="O121" s="181" t="str">
        <f>'Statement of Marks'!GW123</f>
        <v/>
      </c>
      <c r="P121" s="181" t="str">
        <f>'Statement of Marks'!GX123</f>
        <v/>
      </c>
      <c r="Q121" s="181" t="str">
        <f>'Statement of Marks'!GY123</f>
        <v/>
      </c>
      <c r="R121" s="392" t="str">
        <f>'Statement of Marks'!HB123</f>
        <v/>
      </c>
      <c r="S121" s="392" t="str">
        <f>'Statement of Marks'!HE123</f>
        <v/>
      </c>
      <c r="T121" s="392" t="str">
        <f>'Statement of Marks'!HH123</f>
        <v/>
      </c>
      <c r="U121" s="392" t="str">
        <f>'Statement of Marks'!HK123</f>
        <v/>
      </c>
      <c r="V121" s="318" t="str">
        <f>IF(COUNTIF(K121:U121,"F")&gt;0,"",CONCATENATE('Statement of Marks'!HO123,'Statement of Marks'!HP123,'Statement of Marks'!HQ123))</f>
        <v xml:space="preserve">                  </v>
      </c>
      <c r="BI121" s="6" t="str">
        <f>IFERROR(VLOOKUP(B121,'Statement of Marks'!$B$7:'Statement of Marks'!$IC$206,41,0),"")</f>
        <v/>
      </c>
      <c r="BJ121" s="6" t="str">
        <f>IFERROR(VLOOKUP(B121,'Statement of Marks'!$B$7:'Statement of Marks'!$IC$206,66,0),"")</f>
        <v/>
      </c>
      <c r="BK121" s="6">
        <f>IFERROR(VLOOKUP(B121,'Statement of Marks'!$B$7:'Statement of Marks'!$IC$206,91,0),"")</f>
        <v>0</v>
      </c>
      <c r="BL121" s="6" t="str">
        <f>IFERROR(VLOOKUP(B121,'Statement of Marks'!$B$7:'Statement of Marks'!$IC$206,117,0),"")</f>
        <v/>
      </c>
    </row>
    <row r="122" spans="1:64" ht="21" customHeight="1">
      <c r="A122" s="169">
        <f>IF('Statement of Marks'!A124="","",'Statement of Marks'!A124)</f>
        <v>118</v>
      </c>
      <c r="B122" s="169" t="str">
        <f>IF('Statement of Marks'!B124="","",'Statement of Marks'!B124)</f>
        <v/>
      </c>
      <c r="C122" s="169" t="str">
        <f>IF('Statement of Marks'!D124="","",'Statement of Marks'!D124)</f>
        <v/>
      </c>
      <c r="D122" s="315" t="str">
        <f>IF('Statement of Marks'!E124="","",'Statement of Marks'!E124)</f>
        <v/>
      </c>
      <c r="E122" s="316" t="str">
        <f>IF('Statement of Marks'!F124="","",'Statement of Marks'!F124)</f>
        <v/>
      </c>
      <c r="F122" s="316" t="str">
        <f>IF('Statement of Marks'!G124="","",'Statement of Marks'!G124)</f>
        <v/>
      </c>
      <c r="G122" s="316" t="str">
        <f>IF('Statement of Marks'!H124="","",'Statement of Marks'!H124)</f>
        <v/>
      </c>
      <c r="H122" s="830" t="str">
        <f>IF('Statement of Marks'!HS124="","",'Statement of Marks'!HS124)</f>
        <v/>
      </c>
      <c r="I122" s="172" t="str">
        <f>IF('Statement of Marks'!HV124="","",'Statement of Marks'!HV124)</f>
        <v/>
      </c>
      <c r="J122" s="317" t="str">
        <f>IF('Statement of Marks'!HW124="","",'Statement of Marks'!HW124)</f>
        <v/>
      </c>
      <c r="K122" s="392" t="str">
        <f>'Statement of Marks'!GN124</f>
        <v/>
      </c>
      <c r="L122" s="392" t="str">
        <f>'Statement of Marks'!GQ124</f>
        <v/>
      </c>
      <c r="M122" s="181" t="str">
        <f>'Statement of Marks'!GU124</f>
        <v/>
      </c>
      <c r="N122" s="181" t="str">
        <f>'Statement of Marks'!GV124</f>
        <v/>
      </c>
      <c r="O122" s="181" t="str">
        <f>'Statement of Marks'!GW124</f>
        <v/>
      </c>
      <c r="P122" s="181" t="str">
        <f>'Statement of Marks'!GX124</f>
        <v/>
      </c>
      <c r="Q122" s="181" t="str">
        <f>'Statement of Marks'!GY124</f>
        <v/>
      </c>
      <c r="R122" s="392" t="str">
        <f>'Statement of Marks'!HB124</f>
        <v/>
      </c>
      <c r="S122" s="392" t="str">
        <f>'Statement of Marks'!HE124</f>
        <v/>
      </c>
      <c r="T122" s="392" t="str">
        <f>'Statement of Marks'!HH124</f>
        <v/>
      </c>
      <c r="U122" s="392" t="str">
        <f>'Statement of Marks'!HK124</f>
        <v/>
      </c>
      <c r="V122" s="318" t="str">
        <f>IF(COUNTIF(K122:U122,"F")&gt;0,"",CONCATENATE('Statement of Marks'!HO124,'Statement of Marks'!HP124,'Statement of Marks'!HQ124))</f>
        <v xml:space="preserve">                  </v>
      </c>
      <c r="BI122" s="6" t="str">
        <f>IFERROR(VLOOKUP(B122,'Statement of Marks'!$B$7:'Statement of Marks'!$IC$206,41,0),"")</f>
        <v/>
      </c>
      <c r="BJ122" s="6" t="str">
        <f>IFERROR(VLOOKUP(B122,'Statement of Marks'!$B$7:'Statement of Marks'!$IC$206,66,0),"")</f>
        <v/>
      </c>
      <c r="BK122" s="6">
        <f>IFERROR(VLOOKUP(B122,'Statement of Marks'!$B$7:'Statement of Marks'!$IC$206,91,0),"")</f>
        <v>0</v>
      </c>
      <c r="BL122" s="6" t="str">
        <f>IFERROR(VLOOKUP(B122,'Statement of Marks'!$B$7:'Statement of Marks'!$IC$206,117,0),"")</f>
        <v/>
      </c>
    </row>
    <row r="123" spans="1:64" ht="21" customHeight="1">
      <c r="A123" s="169">
        <f>IF('Statement of Marks'!A125="","",'Statement of Marks'!A125)</f>
        <v>119</v>
      </c>
      <c r="B123" s="169" t="str">
        <f>IF('Statement of Marks'!B125="","",'Statement of Marks'!B125)</f>
        <v/>
      </c>
      <c r="C123" s="169" t="str">
        <f>IF('Statement of Marks'!D125="","",'Statement of Marks'!D125)</f>
        <v/>
      </c>
      <c r="D123" s="315" t="str">
        <f>IF('Statement of Marks'!E125="","",'Statement of Marks'!E125)</f>
        <v/>
      </c>
      <c r="E123" s="316" t="str">
        <f>IF('Statement of Marks'!F125="","",'Statement of Marks'!F125)</f>
        <v/>
      </c>
      <c r="F123" s="316" t="str">
        <f>IF('Statement of Marks'!G125="","",'Statement of Marks'!G125)</f>
        <v/>
      </c>
      <c r="G123" s="316" t="str">
        <f>IF('Statement of Marks'!H125="","",'Statement of Marks'!H125)</f>
        <v/>
      </c>
      <c r="H123" s="830" t="str">
        <f>IF('Statement of Marks'!HS125="","",'Statement of Marks'!HS125)</f>
        <v/>
      </c>
      <c r="I123" s="172" t="str">
        <f>IF('Statement of Marks'!HV125="","",'Statement of Marks'!HV125)</f>
        <v/>
      </c>
      <c r="J123" s="317" t="str">
        <f>IF('Statement of Marks'!HW125="","",'Statement of Marks'!HW125)</f>
        <v/>
      </c>
      <c r="K123" s="392" t="str">
        <f>'Statement of Marks'!GN125</f>
        <v/>
      </c>
      <c r="L123" s="392" t="str">
        <f>'Statement of Marks'!GQ125</f>
        <v/>
      </c>
      <c r="M123" s="181" t="str">
        <f>'Statement of Marks'!GU125</f>
        <v/>
      </c>
      <c r="N123" s="181" t="str">
        <f>'Statement of Marks'!GV125</f>
        <v/>
      </c>
      <c r="O123" s="181" t="str">
        <f>'Statement of Marks'!GW125</f>
        <v/>
      </c>
      <c r="P123" s="181" t="str">
        <f>'Statement of Marks'!GX125</f>
        <v/>
      </c>
      <c r="Q123" s="181" t="str">
        <f>'Statement of Marks'!GY125</f>
        <v/>
      </c>
      <c r="R123" s="392" t="str">
        <f>'Statement of Marks'!HB125</f>
        <v/>
      </c>
      <c r="S123" s="392" t="str">
        <f>'Statement of Marks'!HE125</f>
        <v/>
      </c>
      <c r="T123" s="392" t="str">
        <f>'Statement of Marks'!HH125</f>
        <v/>
      </c>
      <c r="U123" s="392" t="str">
        <f>'Statement of Marks'!HK125</f>
        <v/>
      </c>
      <c r="V123" s="318" t="str">
        <f>IF(COUNTIF(K123:U123,"F")&gt;0,"",CONCATENATE('Statement of Marks'!HO125,'Statement of Marks'!HP125,'Statement of Marks'!HQ125))</f>
        <v xml:space="preserve">                  </v>
      </c>
      <c r="BI123" s="6" t="str">
        <f>IFERROR(VLOOKUP(B123,'Statement of Marks'!$B$7:'Statement of Marks'!$IC$206,41,0),"")</f>
        <v/>
      </c>
      <c r="BJ123" s="6" t="str">
        <f>IFERROR(VLOOKUP(B123,'Statement of Marks'!$B$7:'Statement of Marks'!$IC$206,66,0),"")</f>
        <v/>
      </c>
      <c r="BK123" s="6">
        <f>IFERROR(VLOOKUP(B123,'Statement of Marks'!$B$7:'Statement of Marks'!$IC$206,91,0),"")</f>
        <v>0</v>
      </c>
      <c r="BL123" s="6" t="str">
        <f>IFERROR(VLOOKUP(B123,'Statement of Marks'!$B$7:'Statement of Marks'!$IC$206,117,0),"")</f>
        <v/>
      </c>
    </row>
    <row r="124" spans="1:64" ht="21" customHeight="1">
      <c r="A124" s="169">
        <f>IF('Statement of Marks'!A126="","",'Statement of Marks'!A126)</f>
        <v>120</v>
      </c>
      <c r="B124" s="169" t="str">
        <f>IF('Statement of Marks'!B126="","",'Statement of Marks'!B126)</f>
        <v/>
      </c>
      <c r="C124" s="169" t="str">
        <f>IF('Statement of Marks'!D126="","",'Statement of Marks'!D126)</f>
        <v/>
      </c>
      <c r="D124" s="315" t="str">
        <f>IF('Statement of Marks'!E126="","",'Statement of Marks'!E126)</f>
        <v/>
      </c>
      <c r="E124" s="316" t="str">
        <f>IF('Statement of Marks'!F126="","",'Statement of Marks'!F126)</f>
        <v/>
      </c>
      <c r="F124" s="316" t="str">
        <f>IF('Statement of Marks'!G126="","",'Statement of Marks'!G126)</f>
        <v/>
      </c>
      <c r="G124" s="316" t="str">
        <f>IF('Statement of Marks'!H126="","",'Statement of Marks'!H126)</f>
        <v/>
      </c>
      <c r="H124" s="830" t="str">
        <f>IF('Statement of Marks'!HS126="","",'Statement of Marks'!HS126)</f>
        <v/>
      </c>
      <c r="I124" s="172" t="str">
        <f>IF('Statement of Marks'!HV126="","",'Statement of Marks'!HV126)</f>
        <v/>
      </c>
      <c r="J124" s="317" t="str">
        <f>IF('Statement of Marks'!HW126="","",'Statement of Marks'!HW126)</f>
        <v/>
      </c>
      <c r="K124" s="392" t="str">
        <f>'Statement of Marks'!GN126</f>
        <v/>
      </c>
      <c r="L124" s="392" t="str">
        <f>'Statement of Marks'!GQ126</f>
        <v/>
      </c>
      <c r="M124" s="181" t="str">
        <f>'Statement of Marks'!GU126</f>
        <v/>
      </c>
      <c r="N124" s="181" t="str">
        <f>'Statement of Marks'!GV126</f>
        <v/>
      </c>
      <c r="O124" s="181" t="str">
        <f>'Statement of Marks'!GW126</f>
        <v/>
      </c>
      <c r="P124" s="181" t="str">
        <f>'Statement of Marks'!GX126</f>
        <v/>
      </c>
      <c r="Q124" s="181" t="str">
        <f>'Statement of Marks'!GY126</f>
        <v/>
      </c>
      <c r="R124" s="392" t="str">
        <f>'Statement of Marks'!HB126</f>
        <v/>
      </c>
      <c r="S124" s="392" t="str">
        <f>'Statement of Marks'!HE126</f>
        <v/>
      </c>
      <c r="T124" s="392" t="str">
        <f>'Statement of Marks'!HH126</f>
        <v/>
      </c>
      <c r="U124" s="392" t="str">
        <f>'Statement of Marks'!HK126</f>
        <v/>
      </c>
      <c r="V124" s="318" t="str">
        <f>IF(COUNTIF(K124:U124,"F")&gt;0,"",CONCATENATE('Statement of Marks'!HO126,'Statement of Marks'!HP126,'Statement of Marks'!HQ126))</f>
        <v xml:space="preserve">                  </v>
      </c>
      <c r="BI124" s="6" t="str">
        <f>IFERROR(VLOOKUP(B124,'Statement of Marks'!$B$7:'Statement of Marks'!$IC$206,41,0),"")</f>
        <v/>
      </c>
      <c r="BJ124" s="6" t="str">
        <f>IFERROR(VLOOKUP(B124,'Statement of Marks'!$B$7:'Statement of Marks'!$IC$206,66,0),"")</f>
        <v/>
      </c>
      <c r="BK124" s="6">
        <f>IFERROR(VLOOKUP(B124,'Statement of Marks'!$B$7:'Statement of Marks'!$IC$206,91,0),"")</f>
        <v>0</v>
      </c>
      <c r="BL124" s="6" t="str">
        <f>IFERROR(VLOOKUP(B124,'Statement of Marks'!$B$7:'Statement of Marks'!$IC$206,117,0),"")</f>
        <v/>
      </c>
    </row>
    <row r="125" spans="1:64" ht="21" customHeight="1">
      <c r="A125" s="169">
        <f>IF('Statement of Marks'!A127="","",'Statement of Marks'!A127)</f>
        <v>121</v>
      </c>
      <c r="B125" s="169" t="str">
        <f>IF('Statement of Marks'!B127="","",'Statement of Marks'!B127)</f>
        <v/>
      </c>
      <c r="C125" s="169" t="str">
        <f>IF('Statement of Marks'!D127="","",'Statement of Marks'!D127)</f>
        <v/>
      </c>
      <c r="D125" s="315" t="str">
        <f>IF('Statement of Marks'!E127="","",'Statement of Marks'!E127)</f>
        <v/>
      </c>
      <c r="E125" s="316" t="str">
        <f>IF('Statement of Marks'!F127="","",'Statement of Marks'!F127)</f>
        <v/>
      </c>
      <c r="F125" s="316" t="str">
        <f>IF('Statement of Marks'!G127="","",'Statement of Marks'!G127)</f>
        <v/>
      </c>
      <c r="G125" s="316" t="str">
        <f>IF('Statement of Marks'!H127="","",'Statement of Marks'!H127)</f>
        <v/>
      </c>
      <c r="H125" s="830" t="str">
        <f>IF('Statement of Marks'!HS127="","",'Statement of Marks'!HS127)</f>
        <v/>
      </c>
      <c r="I125" s="172" t="str">
        <f>IF('Statement of Marks'!HV127="","",'Statement of Marks'!HV127)</f>
        <v/>
      </c>
      <c r="J125" s="317" t="str">
        <f>IF('Statement of Marks'!HW127="","",'Statement of Marks'!HW127)</f>
        <v/>
      </c>
      <c r="K125" s="392" t="str">
        <f>'Statement of Marks'!GN127</f>
        <v/>
      </c>
      <c r="L125" s="392" t="str">
        <f>'Statement of Marks'!GQ127</f>
        <v/>
      </c>
      <c r="M125" s="181" t="str">
        <f>'Statement of Marks'!GU127</f>
        <v/>
      </c>
      <c r="N125" s="181" t="str">
        <f>'Statement of Marks'!GV127</f>
        <v/>
      </c>
      <c r="O125" s="181" t="str">
        <f>'Statement of Marks'!GW127</f>
        <v/>
      </c>
      <c r="P125" s="181" t="str">
        <f>'Statement of Marks'!GX127</f>
        <v/>
      </c>
      <c r="Q125" s="181" t="str">
        <f>'Statement of Marks'!GY127</f>
        <v/>
      </c>
      <c r="R125" s="392" t="str">
        <f>'Statement of Marks'!HB127</f>
        <v/>
      </c>
      <c r="S125" s="392" t="str">
        <f>'Statement of Marks'!HE127</f>
        <v/>
      </c>
      <c r="T125" s="392" t="str">
        <f>'Statement of Marks'!HH127</f>
        <v/>
      </c>
      <c r="U125" s="392" t="str">
        <f>'Statement of Marks'!HK127</f>
        <v/>
      </c>
      <c r="V125" s="318" t="str">
        <f>IF(COUNTIF(K125:U125,"F")&gt;0,"",CONCATENATE('Statement of Marks'!HO127,'Statement of Marks'!HP127,'Statement of Marks'!HQ127))</f>
        <v xml:space="preserve">                  </v>
      </c>
      <c r="BI125" s="6" t="str">
        <f>IFERROR(VLOOKUP(B125,'Statement of Marks'!$B$7:'Statement of Marks'!$IC$206,41,0),"")</f>
        <v/>
      </c>
      <c r="BJ125" s="6" t="str">
        <f>IFERROR(VLOOKUP(B125,'Statement of Marks'!$B$7:'Statement of Marks'!$IC$206,66,0),"")</f>
        <v/>
      </c>
      <c r="BK125" s="6">
        <f>IFERROR(VLOOKUP(B125,'Statement of Marks'!$B$7:'Statement of Marks'!$IC$206,91,0),"")</f>
        <v>0</v>
      </c>
      <c r="BL125" s="6" t="str">
        <f>IFERROR(VLOOKUP(B125,'Statement of Marks'!$B$7:'Statement of Marks'!$IC$206,117,0),"")</f>
        <v/>
      </c>
    </row>
    <row r="126" spans="1:64" ht="21" customHeight="1">
      <c r="A126" s="169">
        <f>IF('Statement of Marks'!A128="","",'Statement of Marks'!A128)</f>
        <v>122</v>
      </c>
      <c r="B126" s="169" t="str">
        <f>IF('Statement of Marks'!B128="","",'Statement of Marks'!B128)</f>
        <v/>
      </c>
      <c r="C126" s="169" t="str">
        <f>IF('Statement of Marks'!D128="","",'Statement of Marks'!D128)</f>
        <v/>
      </c>
      <c r="D126" s="315" t="str">
        <f>IF('Statement of Marks'!E128="","",'Statement of Marks'!E128)</f>
        <v/>
      </c>
      <c r="E126" s="316" t="str">
        <f>IF('Statement of Marks'!F128="","",'Statement of Marks'!F128)</f>
        <v/>
      </c>
      <c r="F126" s="316" t="str">
        <f>IF('Statement of Marks'!G128="","",'Statement of Marks'!G128)</f>
        <v/>
      </c>
      <c r="G126" s="316" t="str">
        <f>IF('Statement of Marks'!H128="","",'Statement of Marks'!H128)</f>
        <v/>
      </c>
      <c r="H126" s="830" t="str">
        <f>IF('Statement of Marks'!HS128="","",'Statement of Marks'!HS128)</f>
        <v/>
      </c>
      <c r="I126" s="172" t="str">
        <f>IF('Statement of Marks'!HV128="","",'Statement of Marks'!HV128)</f>
        <v/>
      </c>
      <c r="J126" s="317" t="str">
        <f>IF('Statement of Marks'!HW128="","",'Statement of Marks'!HW128)</f>
        <v/>
      </c>
      <c r="K126" s="392" t="str">
        <f>'Statement of Marks'!GN128</f>
        <v/>
      </c>
      <c r="L126" s="392" t="str">
        <f>'Statement of Marks'!GQ128</f>
        <v/>
      </c>
      <c r="M126" s="181" t="str">
        <f>'Statement of Marks'!GU128</f>
        <v/>
      </c>
      <c r="N126" s="181" t="str">
        <f>'Statement of Marks'!GV128</f>
        <v/>
      </c>
      <c r="O126" s="181" t="str">
        <f>'Statement of Marks'!GW128</f>
        <v/>
      </c>
      <c r="P126" s="181" t="str">
        <f>'Statement of Marks'!GX128</f>
        <v/>
      </c>
      <c r="Q126" s="181" t="str">
        <f>'Statement of Marks'!GY128</f>
        <v/>
      </c>
      <c r="R126" s="392" t="str">
        <f>'Statement of Marks'!HB128</f>
        <v/>
      </c>
      <c r="S126" s="392" t="str">
        <f>'Statement of Marks'!HE128</f>
        <v/>
      </c>
      <c r="T126" s="392" t="str">
        <f>'Statement of Marks'!HH128</f>
        <v/>
      </c>
      <c r="U126" s="392" t="str">
        <f>'Statement of Marks'!HK128</f>
        <v/>
      </c>
      <c r="V126" s="318" t="str">
        <f>IF(COUNTIF(K126:U126,"F")&gt;0,"",CONCATENATE('Statement of Marks'!HO128,'Statement of Marks'!HP128,'Statement of Marks'!HQ128))</f>
        <v xml:space="preserve">                  </v>
      </c>
      <c r="BI126" s="6" t="str">
        <f>IFERROR(VLOOKUP(B126,'Statement of Marks'!$B$7:'Statement of Marks'!$IC$206,41,0),"")</f>
        <v/>
      </c>
      <c r="BJ126" s="6" t="str">
        <f>IFERROR(VLOOKUP(B126,'Statement of Marks'!$B$7:'Statement of Marks'!$IC$206,66,0),"")</f>
        <v/>
      </c>
      <c r="BK126" s="6">
        <f>IFERROR(VLOOKUP(B126,'Statement of Marks'!$B$7:'Statement of Marks'!$IC$206,91,0),"")</f>
        <v>0</v>
      </c>
      <c r="BL126" s="6" t="str">
        <f>IFERROR(VLOOKUP(B126,'Statement of Marks'!$B$7:'Statement of Marks'!$IC$206,117,0),"")</f>
        <v/>
      </c>
    </row>
    <row r="127" spans="1:64" ht="21" customHeight="1">
      <c r="A127" s="169">
        <f>IF('Statement of Marks'!A129="","",'Statement of Marks'!A129)</f>
        <v>123</v>
      </c>
      <c r="B127" s="169" t="str">
        <f>IF('Statement of Marks'!B129="","",'Statement of Marks'!B129)</f>
        <v/>
      </c>
      <c r="C127" s="169" t="str">
        <f>IF('Statement of Marks'!D129="","",'Statement of Marks'!D129)</f>
        <v/>
      </c>
      <c r="D127" s="315" t="str">
        <f>IF('Statement of Marks'!E129="","",'Statement of Marks'!E129)</f>
        <v/>
      </c>
      <c r="E127" s="316" t="str">
        <f>IF('Statement of Marks'!F129="","",'Statement of Marks'!F129)</f>
        <v/>
      </c>
      <c r="F127" s="316" t="str">
        <f>IF('Statement of Marks'!G129="","",'Statement of Marks'!G129)</f>
        <v/>
      </c>
      <c r="G127" s="316" t="str">
        <f>IF('Statement of Marks'!H129="","",'Statement of Marks'!H129)</f>
        <v/>
      </c>
      <c r="H127" s="830" t="str">
        <f>IF('Statement of Marks'!HS129="","",'Statement of Marks'!HS129)</f>
        <v/>
      </c>
      <c r="I127" s="172" t="str">
        <f>IF('Statement of Marks'!HV129="","",'Statement of Marks'!HV129)</f>
        <v/>
      </c>
      <c r="J127" s="317" t="str">
        <f>IF('Statement of Marks'!HW129="","",'Statement of Marks'!HW129)</f>
        <v/>
      </c>
      <c r="K127" s="392" t="str">
        <f>'Statement of Marks'!GN129</f>
        <v/>
      </c>
      <c r="L127" s="392" t="str">
        <f>'Statement of Marks'!GQ129</f>
        <v/>
      </c>
      <c r="M127" s="181" t="str">
        <f>'Statement of Marks'!GU129</f>
        <v/>
      </c>
      <c r="N127" s="181" t="str">
        <f>'Statement of Marks'!GV129</f>
        <v/>
      </c>
      <c r="O127" s="181" t="str">
        <f>'Statement of Marks'!GW129</f>
        <v/>
      </c>
      <c r="P127" s="181" t="str">
        <f>'Statement of Marks'!GX129</f>
        <v/>
      </c>
      <c r="Q127" s="181" t="str">
        <f>'Statement of Marks'!GY129</f>
        <v/>
      </c>
      <c r="R127" s="392" t="str">
        <f>'Statement of Marks'!HB129</f>
        <v/>
      </c>
      <c r="S127" s="392" t="str">
        <f>'Statement of Marks'!HE129</f>
        <v/>
      </c>
      <c r="T127" s="392" t="str">
        <f>'Statement of Marks'!HH129</f>
        <v/>
      </c>
      <c r="U127" s="392" t="str">
        <f>'Statement of Marks'!HK129</f>
        <v/>
      </c>
      <c r="V127" s="318" t="str">
        <f>IF(COUNTIF(K127:U127,"F")&gt;0,"",CONCATENATE('Statement of Marks'!HO129,'Statement of Marks'!HP129,'Statement of Marks'!HQ129))</f>
        <v xml:space="preserve">                  </v>
      </c>
      <c r="BI127" s="6" t="str">
        <f>IFERROR(VLOOKUP(B127,'Statement of Marks'!$B$7:'Statement of Marks'!$IC$206,41,0),"")</f>
        <v/>
      </c>
      <c r="BJ127" s="6" t="str">
        <f>IFERROR(VLOOKUP(B127,'Statement of Marks'!$B$7:'Statement of Marks'!$IC$206,66,0),"")</f>
        <v/>
      </c>
      <c r="BK127" s="6">
        <f>IFERROR(VLOOKUP(B127,'Statement of Marks'!$B$7:'Statement of Marks'!$IC$206,91,0),"")</f>
        <v>0</v>
      </c>
      <c r="BL127" s="6" t="str">
        <f>IFERROR(VLOOKUP(B127,'Statement of Marks'!$B$7:'Statement of Marks'!$IC$206,117,0),"")</f>
        <v/>
      </c>
    </row>
    <row r="128" spans="1:64" ht="21" customHeight="1">
      <c r="A128" s="169">
        <f>IF('Statement of Marks'!A130="","",'Statement of Marks'!A130)</f>
        <v>124</v>
      </c>
      <c r="B128" s="169" t="str">
        <f>IF('Statement of Marks'!B130="","",'Statement of Marks'!B130)</f>
        <v/>
      </c>
      <c r="C128" s="169" t="str">
        <f>IF('Statement of Marks'!D130="","",'Statement of Marks'!D130)</f>
        <v/>
      </c>
      <c r="D128" s="315" t="str">
        <f>IF('Statement of Marks'!E130="","",'Statement of Marks'!E130)</f>
        <v/>
      </c>
      <c r="E128" s="316" t="str">
        <f>IF('Statement of Marks'!F130="","",'Statement of Marks'!F130)</f>
        <v/>
      </c>
      <c r="F128" s="316" t="str">
        <f>IF('Statement of Marks'!G130="","",'Statement of Marks'!G130)</f>
        <v/>
      </c>
      <c r="G128" s="316" t="str">
        <f>IF('Statement of Marks'!H130="","",'Statement of Marks'!H130)</f>
        <v/>
      </c>
      <c r="H128" s="830" t="str">
        <f>IF('Statement of Marks'!HS130="","",'Statement of Marks'!HS130)</f>
        <v/>
      </c>
      <c r="I128" s="172" t="str">
        <f>IF('Statement of Marks'!HV130="","",'Statement of Marks'!HV130)</f>
        <v/>
      </c>
      <c r="J128" s="317" t="str">
        <f>IF('Statement of Marks'!HW130="","",'Statement of Marks'!HW130)</f>
        <v/>
      </c>
      <c r="K128" s="392" t="str">
        <f>'Statement of Marks'!GN130</f>
        <v/>
      </c>
      <c r="L128" s="392" t="str">
        <f>'Statement of Marks'!GQ130</f>
        <v/>
      </c>
      <c r="M128" s="181" t="str">
        <f>'Statement of Marks'!GU130</f>
        <v/>
      </c>
      <c r="N128" s="181" t="str">
        <f>'Statement of Marks'!GV130</f>
        <v/>
      </c>
      <c r="O128" s="181" t="str">
        <f>'Statement of Marks'!GW130</f>
        <v/>
      </c>
      <c r="P128" s="181" t="str">
        <f>'Statement of Marks'!GX130</f>
        <v/>
      </c>
      <c r="Q128" s="181" t="str">
        <f>'Statement of Marks'!GY130</f>
        <v/>
      </c>
      <c r="R128" s="392" t="str">
        <f>'Statement of Marks'!HB130</f>
        <v/>
      </c>
      <c r="S128" s="392" t="str">
        <f>'Statement of Marks'!HE130</f>
        <v/>
      </c>
      <c r="T128" s="392" t="str">
        <f>'Statement of Marks'!HH130</f>
        <v/>
      </c>
      <c r="U128" s="392" t="str">
        <f>'Statement of Marks'!HK130</f>
        <v/>
      </c>
      <c r="V128" s="318" t="str">
        <f>IF(COUNTIF(K128:U128,"F")&gt;0,"",CONCATENATE('Statement of Marks'!HO130,'Statement of Marks'!HP130,'Statement of Marks'!HQ130))</f>
        <v xml:space="preserve">                  </v>
      </c>
      <c r="BI128" s="6" t="str">
        <f>IFERROR(VLOOKUP(B128,'Statement of Marks'!$B$7:'Statement of Marks'!$IC$206,41,0),"")</f>
        <v/>
      </c>
      <c r="BJ128" s="6" t="str">
        <f>IFERROR(VLOOKUP(B128,'Statement of Marks'!$B$7:'Statement of Marks'!$IC$206,66,0),"")</f>
        <v/>
      </c>
      <c r="BK128" s="6">
        <f>IFERROR(VLOOKUP(B128,'Statement of Marks'!$B$7:'Statement of Marks'!$IC$206,91,0),"")</f>
        <v>0</v>
      </c>
      <c r="BL128" s="6" t="str">
        <f>IFERROR(VLOOKUP(B128,'Statement of Marks'!$B$7:'Statement of Marks'!$IC$206,117,0),"")</f>
        <v/>
      </c>
    </row>
    <row r="129" spans="1:64" ht="21" customHeight="1">
      <c r="A129" s="169">
        <f>IF('Statement of Marks'!A131="","",'Statement of Marks'!A131)</f>
        <v>125</v>
      </c>
      <c r="B129" s="169" t="str">
        <f>IF('Statement of Marks'!B131="","",'Statement of Marks'!B131)</f>
        <v/>
      </c>
      <c r="C129" s="169" t="str">
        <f>IF('Statement of Marks'!D131="","",'Statement of Marks'!D131)</f>
        <v/>
      </c>
      <c r="D129" s="315" t="str">
        <f>IF('Statement of Marks'!E131="","",'Statement of Marks'!E131)</f>
        <v/>
      </c>
      <c r="E129" s="316" t="str">
        <f>IF('Statement of Marks'!F131="","",'Statement of Marks'!F131)</f>
        <v/>
      </c>
      <c r="F129" s="316" t="str">
        <f>IF('Statement of Marks'!G131="","",'Statement of Marks'!G131)</f>
        <v/>
      </c>
      <c r="G129" s="316" t="str">
        <f>IF('Statement of Marks'!H131="","",'Statement of Marks'!H131)</f>
        <v/>
      </c>
      <c r="H129" s="830" t="str">
        <f>IF('Statement of Marks'!HS131="","",'Statement of Marks'!HS131)</f>
        <v/>
      </c>
      <c r="I129" s="172" t="str">
        <f>IF('Statement of Marks'!HV131="","",'Statement of Marks'!HV131)</f>
        <v/>
      </c>
      <c r="J129" s="317" t="str">
        <f>IF('Statement of Marks'!HW131="","",'Statement of Marks'!HW131)</f>
        <v/>
      </c>
      <c r="K129" s="392" t="str">
        <f>'Statement of Marks'!GN131</f>
        <v/>
      </c>
      <c r="L129" s="392" t="str">
        <f>'Statement of Marks'!GQ131</f>
        <v/>
      </c>
      <c r="M129" s="181" t="str">
        <f>'Statement of Marks'!GU131</f>
        <v/>
      </c>
      <c r="N129" s="181" t="str">
        <f>'Statement of Marks'!GV131</f>
        <v/>
      </c>
      <c r="O129" s="181" t="str">
        <f>'Statement of Marks'!GW131</f>
        <v/>
      </c>
      <c r="P129" s="181" t="str">
        <f>'Statement of Marks'!GX131</f>
        <v/>
      </c>
      <c r="Q129" s="181" t="str">
        <f>'Statement of Marks'!GY131</f>
        <v/>
      </c>
      <c r="R129" s="392" t="str">
        <f>'Statement of Marks'!HB131</f>
        <v/>
      </c>
      <c r="S129" s="392" t="str">
        <f>'Statement of Marks'!HE131</f>
        <v/>
      </c>
      <c r="T129" s="392" t="str">
        <f>'Statement of Marks'!HH131</f>
        <v/>
      </c>
      <c r="U129" s="392" t="str">
        <f>'Statement of Marks'!HK131</f>
        <v/>
      </c>
      <c r="V129" s="318" t="str">
        <f>IF(COUNTIF(K129:U129,"F")&gt;0,"",CONCATENATE('Statement of Marks'!HO131,'Statement of Marks'!HP131,'Statement of Marks'!HQ131))</f>
        <v xml:space="preserve">                  </v>
      </c>
      <c r="BI129" s="6" t="str">
        <f>IFERROR(VLOOKUP(B129,'Statement of Marks'!$B$7:'Statement of Marks'!$IC$206,41,0),"")</f>
        <v/>
      </c>
      <c r="BJ129" s="6" t="str">
        <f>IFERROR(VLOOKUP(B129,'Statement of Marks'!$B$7:'Statement of Marks'!$IC$206,66,0),"")</f>
        <v/>
      </c>
      <c r="BK129" s="6">
        <f>IFERROR(VLOOKUP(B129,'Statement of Marks'!$B$7:'Statement of Marks'!$IC$206,91,0),"")</f>
        <v>0</v>
      </c>
      <c r="BL129" s="6" t="str">
        <f>IFERROR(VLOOKUP(B129,'Statement of Marks'!$B$7:'Statement of Marks'!$IC$206,117,0),"")</f>
        <v/>
      </c>
    </row>
    <row r="130" spans="1:64" ht="21" customHeight="1">
      <c r="A130" s="169">
        <f>IF('Statement of Marks'!A132="","",'Statement of Marks'!A132)</f>
        <v>126</v>
      </c>
      <c r="B130" s="169" t="str">
        <f>IF('Statement of Marks'!B132="","",'Statement of Marks'!B132)</f>
        <v/>
      </c>
      <c r="C130" s="169" t="str">
        <f>IF('Statement of Marks'!D132="","",'Statement of Marks'!D132)</f>
        <v/>
      </c>
      <c r="D130" s="315" t="str">
        <f>IF('Statement of Marks'!E132="","",'Statement of Marks'!E132)</f>
        <v/>
      </c>
      <c r="E130" s="316" t="str">
        <f>IF('Statement of Marks'!F132="","",'Statement of Marks'!F132)</f>
        <v/>
      </c>
      <c r="F130" s="316" t="str">
        <f>IF('Statement of Marks'!G132="","",'Statement of Marks'!G132)</f>
        <v/>
      </c>
      <c r="G130" s="316" t="str">
        <f>IF('Statement of Marks'!H132="","",'Statement of Marks'!H132)</f>
        <v/>
      </c>
      <c r="H130" s="830" t="str">
        <f>IF('Statement of Marks'!HS132="","",'Statement of Marks'!HS132)</f>
        <v/>
      </c>
      <c r="I130" s="172" t="str">
        <f>IF('Statement of Marks'!HV132="","",'Statement of Marks'!HV132)</f>
        <v/>
      </c>
      <c r="J130" s="317" t="str">
        <f>IF('Statement of Marks'!HW132="","",'Statement of Marks'!HW132)</f>
        <v/>
      </c>
      <c r="K130" s="392" t="str">
        <f>'Statement of Marks'!GN132</f>
        <v/>
      </c>
      <c r="L130" s="392" t="str">
        <f>'Statement of Marks'!GQ132</f>
        <v/>
      </c>
      <c r="M130" s="181" t="str">
        <f>'Statement of Marks'!GU132</f>
        <v/>
      </c>
      <c r="N130" s="181" t="str">
        <f>'Statement of Marks'!GV132</f>
        <v/>
      </c>
      <c r="O130" s="181" t="str">
        <f>'Statement of Marks'!GW132</f>
        <v/>
      </c>
      <c r="P130" s="181" t="str">
        <f>'Statement of Marks'!GX132</f>
        <v/>
      </c>
      <c r="Q130" s="181" t="str">
        <f>'Statement of Marks'!GY132</f>
        <v/>
      </c>
      <c r="R130" s="392" t="str">
        <f>'Statement of Marks'!HB132</f>
        <v/>
      </c>
      <c r="S130" s="392" t="str">
        <f>'Statement of Marks'!HE132</f>
        <v/>
      </c>
      <c r="T130" s="392" t="str">
        <f>'Statement of Marks'!HH132</f>
        <v/>
      </c>
      <c r="U130" s="392" t="str">
        <f>'Statement of Marks'!HK132</f>
        <v/>
      </c>
      <c r="V130" s="318" t="str">
        <f>IF(COUNTIF(K130:U130,"F")&gt;0,"",CONCATENATE('Statement of Marks'!HO132,'Statement of Marks'!HP132,'Statement of Marks'!HQ132))</f>
        <v xml:space="preserve">                  </v>
      </c>
      <c r="BI130" s="6" t="str">
        <f>IFERROR(VLOOKUP(B130,'Statement of Marks'!$B$7:'Statement of Marks'!$IC$206,41,0),"")</f>
        <v/>
      </c>
      <c r="BJ130" s="6" t="str">
        <f>IFERROR(VLOOKUP(B130,'Statement of Marks'!$B$7:'Statement of Marks'!$IC$206,66,0),"")</f>
        <v/>
      </c>
      <c r="BK130" s="6">
        <f>IFERROR(VLOOKUP(B130,'Statement of Marks'!$B$7:'Statement of Marks'!$IC$206,91,0),"")</f>
        <v>0</v>
      </c>
      <c r="BL130" s="6" t="str">
        <f>IFERROR(VLOOKUP(B130,'Statement of Marks'!$B$7:'Statement of Marks'!$IC$206,117,0),"")</f>
        <v/>
      </c>
    </row>
    <row r="131" spans="1:64" ht="21" customHeight="1">
      <c r="A131" s="169">
        <f>IF('Statement of Marks'!A133="","",'Statement of Marks'!A133)</f>
        <v>127</v>
      </c>
      <c r="B131" s="169" t="str">
        <f>IF('Statement of Marks'!B133="","",'Statement of Marks'!B133)</f>
        <v/>
      </c>
      <c r="C131" s="169" t="str">
        <f>IF('Statement of Marks'!D133="","",'Statement of Marks'!D133)</f>
        <v/>
      </c>
      <c r="D131" s="315" t="str">
        <f>IF('Statement of Marks'!E133="","",'Statement of Marks'!E133)</f>
        <v/>
      </c>
      <c r="E131" s="316" t="str">
        <f>IF('Statement of Marks'!F133="","",'Statement of Marks'!F133)</f>
        <v/>
      </c>
      <c r="F131" s="316" t="str">
        <f>IF('Statement of Marks'!G133="","",'Statement of Marks'!G133)</f>
        <v/>
      </c>
      <c r="G131" s="316" t="str">
        <f>IF('Statement of Marks'!H133="","",'Statement of Marks'!H133)</f>
        <v/>
      </c>
      <c r="H131" s="830" t="str">
        <f>IF('Statement of Marks'!HS133="","",'Statement of Marks'!HS133)</f>
        <v/>
      </c>
      <c r="I131" s="172" t="str">
        <f>IF('Statement of Marks'!HV133="","",'Statement of Marks'!HV133)</f>
        <v/>
      </c>
      <c r="J131" s="317" t="str">
        <f>IF('Statement of Marks'!HW133="","",'Statement of Marks'!HW133)</f>
        <v/>
      </c>
      <c r="K131" s="392" t="str">
        <f>'Statement of Marks'!GN133</f>
        <v/>
      </c>
      <c r="L131" s="392" t="str">
        <f>'Statement of Marks'!GQ133</f>
        <v/>
      </c>
      <c r="M131" s="181" t="str">
        <f>'Statement of Marks'!GU133</f>
        <v/>
      </c>
      <c r="N131" s="181" t="str">
        <f>'Statement of Marks'!GV133</f>
        <v/>
      </c>
      <c r="O131" s="181" t="str">
        <f>'Statement of Marks'!GW133</f>
        <v/>
      </c>
      <c r="P131" s="181" t="str">
        <f>'Statement of Marks'!GX133</f>
        <v/>
      </c>
      <c r="Q131" s="181" t="str">
        <f>'Statement of Marks'!GY133</f>
        <v/>
      </c>
      <c r="R131" s="392" t="str">
        <f>'Statement of Marks'!HB133</f>
        <v/>
      </c>
      <c r="S131" s="392" t="str">
        <f>'Statement of Marks'!HE133</f>
        <v/>
      </c>
      <c r="T131" s="392" t="str">
        <f>'Statement of Marks'!HH133</f>
        <v/>
      </c>
      <c r="U131" s="392" t="str">
        <f>'Statement of Marks'!HK133</f>
        <v/>
      </c>
      <c r="V131" s="318" t="str">
        <f>IF(COUNTIF(K131:U131,"F")&gt;0,"",CONCATENATE('Statement of Marks'!HO133,'Statement of Marks'!HP133,'Statement of Marks'!HQ133))</f>
        <v xml:space="preserve">                  </v>
      </c>
      <c r="BI131" s="6" t="str">
        <f>IFERROR(VLOOKUP(B131,'Statement of Marks'!$B$7:'Statement of Marks'!$IC$206,41,0),"")</f>
        <v/>
      </c>
      <c r="BJ131" s="6" t="str">
        <f>IFERROR(VLOOKUP(B131,'Statement of Marks'!$B$7:'Statement of Marks'!$IC$206,66,0),"")</f>
        <v/>
      </c>
      <c r="BK131" s="6">
        <f>IFERROR(VLOOKUP(B131,'Statement of Marks'!$B$7:'Statement of Marks'!$IC$206,91,0),"")</f>
        <v>0</v>
      </c>
      <c r="BL131" s="6" t="str">
        <f>IFERROR(VLOOKUP(B131,'Statement of Marks'!$B$7:'Statement of Marks'!$IC$206,117,0),"")</f>
        <v/>
      </c>
    </row>
    <row r="132" spans="1:64" ht="21" customHeight="1">
      <c r="A132" s="169">
        <f>IF('Statement of Marks'!A134="","",'Statement of Marks'!A134)</f>
        <v>128</v>
      </c>
      <c r="B132" s="169" t="str">
        <f>IF('Statement of Marks'!B134="","",'Statement of Marks'!B134)</f>
        <v/>
      </c>
      <c r="C132" s="169" t="str">
        <f>IF('Statement of Marks'!D134="","",'Statement of Marks'!D134)</f>
        <v/>
      </c>
      <c r="D132" s="315" t="str">
        <f>IF('Statement of Marks'!E134="","",'Statement of Marks'!E134)</f>
        <v/>
      </c>
      <c r="E132" s="316" t="str">
        <f>IF('Statement of Marks'!F134="","",'Statement of Marks'!F134)</f>
        <v/>
      </c>
      <c r="F132" s="316" t="str">
        <f>IF('Statement of Marks'!G134="","",'Statement of Marks'!G134)</f>
        <v/>
      </c>
      <c r="G132" s="316" t="str">
        <f>IF('Statement of Marks'!H134="","",'Statement of Marks'!H134)</f>
        <v/>
      </c>
      <c r="H132" s="830" t="str">
        <f>IF('Statement of Marks'!HS134="","",'Statement of Marks'!HS134)</f>
        <v/>
      </c>
      <c r="I132" s="172" t="str">
        <f>IF('Statement of Marks'!HV134="","",'Statement of Marks'!HV134)</f>
        <v/>
      </c>
      <c r="J132" s="317" t="str">
        <f>IF('Statement of Marks'!HW134="","",'Statement of Marks'!HW134)</f>
        <v/>
      </c>
      <c r="K132" s="392" t="str">
        <f>'Statement of Marks'!GN134</f>
        <v/>
      </c>
      <c r="L132" s="392" t="str">
        <f>'Statement of Marks'!GQ134</f>
        <v/>
      </c>
      <c r="M132" s="181" t="str">
        <f>'Statement of Marks'!GU134</f>
        <v/>
      </c>
      <c r="N132" s="181" t="str">
        <f>'Statement of Marks'!GV134</f>
        <v/>
      </c>
      <c r="O132" s="181" t="str">
        <f>'Statement of Marks'!GW134</f>
        <v/>
      </c>
      <c r="P132" s="181" t="str">
        <f>'Statement of Marks'!GX134</f>
        <v/>
      </c>
      <c r="Q132" s="181" t="str">
        <f>'Statement of Marks'!GY134</f>
        <v/>
      </c>
      <c r="R132" s="392" t="str">
        <f>'Statement of Marks'!HB134</f>
        <v/>
      </c>
      <c r="S132" s="392" t="str">
        <f>'Statement of Marks'!HE134</f>
        <v/>
      </c>
      <c r="T132" s="392" t="str">
        <f>'Statement of Marks'!HH134</f>
        <v/>
      </c>
      <c r="U132" s="392" t="str">
        <f>'Statement of Marks'!HK134</f>
        <v/>
      </c>
      <c r="V132" s="318" t="str">
        <f>IF(COUNTIF(K132:U132,"F")&gt;0,"",CONCATENATE('Statement of Marks'!HO134,'Statement of Marks'!HP134,'Statement of Marks'!HQ134))</f>
        <v xml:space="preserve">                  </v>
      </c>
      <c r="BI132" s="6" t="str">
        <f>IFERROR(VLOOKUP(B132,'Statement of Marks'!$B$7:'Statement of Marks'!$IC$206,41,0),"")</f>
        <v/>
      </c>
      <c r="BJ132" s="6" t="str">
        <f>IFERROR(VLOOKUP(B132,'Statement of Marks'!$B$7:'Statement of Marks'!$IC$206,66,0),"")</f>
        <v/>
      </c>
      <c r="BK132" s="6">
        <f>IFERROR(VLOOKUP(B132,'Statement of Marks'!$B$7:'Statement of Marks'!$IC$206,91,0),"")</f>
        <v>0</v>
      </c>
      <c r="BL132" s="6" t="str">
        <f>IFERROR(VLOOKUP(B132,'Statement of Marks'!$B$7:'Statement of Marks'!$IC$206,117,0),"")</f>
        <v/>
      </c>
    </row>
    <row r="133" spans="1:64" ht="21" customHeight="1">
      <c r="A133" s="169">
        <f>IF('Statement of Marks'!A135="","",'Statement of Marks'!A135)</f>
        <v>129</v>
      </c>
      <c r="B133" s="169" t="str">
        <f>IF('Statement of Marks'!B135="","",'Statement of Marks'!B135)</f>
        <v/>
      </c>
      <c r="C133" s="169" t="str">
        <f>IF('Statement of Marks'!D135="","",'Statement of Marks'!D135)</f>
        <v/>
      </c>
      <c r="D133" s="315" t="str">
        <f>IF('Statement of Marks'!E135="","",'Statement of Marks'!E135)</f>
        <v/>
      </c>
      <c r="E133" s="316" t="str">
        <f>IF('Statement of Marks'!F135="","",'Statement of Marks'!F135)</f>
        <v/>
      </c>
      <c r="F133" s="316" t="str">
        <f>IF('Statement of Marks'!G135="","",'Statement of Marks'!G135)</f>
        <v/>
      </c>
      <c r="G133" s="316" t="str">
        <f>IF('Statement of Marks'!H135="","",'Statement of Marks'!H135)</f>
        <v/>
      </c>
      <c r="H133" s="830" t="str">
        <f>IF('Statement of Marks'!HS135="","",'Statement of Marks'!HS135)</f>
        <v/>
      </c>
      <c r="I133" s="172" t="str">
        <f>IF('Statement of Marks'!HV135="","",'Statement of Marks'!HV135)</f>
        <v/>
      </c>
      <c r="J133" s="317" t="str">
        <f>IF('Statement of Marks'!HW135="","",'Statement of Marks'!HW135)</f>
        <v/>
      </c>
      <c r="K133" s="392" t="str">
        <f>'Statement of Marks'!GN135</f>
        <v/>
      </c>
      <c r="L133" s="392" t="str">
        <f>'Statement of Marks'!GQ135</f>
        <v/>
      </c>
      <c r="M133" s="181" t="str">
        <f>'Statement of Marks'!GU135</f>
        <v/>
      </c>
      <c r="N133" s="181" t="str">
        <f>'Statement of Marks'!GV135</f>
        <v/>
      </c>
      <c r="O133" s="181" t="str">
        <f>'Statement of Marks'!GW135</f>
        <v/>
      </c>
      <c r="P133" s="181" t="str">
        <f>'Statement of Marks'!GX135</f>
        <v/>
      </c>
      <c r="Q133" s="181" t="str">
        <f>'Statement of Marks'!GY135</f>
        <v/>
      </c>
      <c r="R133" s="392" t="str">
        <f>'Statement of Marks'!HB135</f>
        <v/>
      </c>
      <c r="S133" s="392" t="str">
        <f>'Statement of Marks'!HE135</f>
        <v/>
      </c>
      <c r="T133" s="392" t="str">
        <f>'Statement of Marks'!HH135</f>
        <v/>
      </c>
      <c r="U133" s="392" t="str">
        <f>'Statement of Marks'!HK135</f>
        <v/>
      </c>
      <c r="V133" s="318" t="str">
        <f>IF(COUNTIF(K133:U133,"F")&gt;0,"",CONCATENATE('Statement of Marks'!HO135,'Statement of Marks'!HP135,'Statement of Marks'!HQ135))</f>
        <v xml:space="preserve">                  </v>
      </c>
      <c r="BI133" s="6" t="str">
        <f>IFERROR(VLOOKUP(B133,'Statement of Marks'!$B$7:'Statement of Marks'!$IC$206,41,0),"")</f>
        <v/>
      </c>
      <c r="BJ133" s="6" t="str">
        <f>IFERROR(VLOOKUP(B133,'Statement of Marks'!$B$7:'Statement of Marks'!$IC$206,66,0),"")</f>
        <v/>
      </c>
      <c r="BK133" s="6">
        <f>IFERROR(VLOOKUP(B133,'Statement of Marks'!$B$7:'Statement of Marks'!$IC$206,91,0),"")</f>
        <v>0</v>
      </c>
      <c r="BL133" s="6" t="str">
        <f>IFERROR(VLOOKUP(B133,'Statement of Marks'!$B$7:'Statement of Marks'!$IC$206,117,0),"")</f>
        <v/>
      </c>
    </row>
    <row r="134" spans="1:64" ht="21" customHeight="1">
      <c r="A134" s="169">
        <f>IF('Statement of Marks'!A136="","",'Statement of Marks'!A136)</f>
        <v>130</v>
      </c>
      <c r="B134" s="169" t="str">
        <f>IF('Statement of Marks'!B136="","",'Statement of Marks'!B136)</f>
        <v/>
      </c>
      <c r="C134" s="169" t="str">
        <f>IF('Statement of Marks'!D136="","",'Statement of Marks'!D136)</f>
        <v/>
      </c>
      <c r="D134" s="315" t="str">
        <f>IF('Statement of Marks'!E136="","",'Statement of Marks'!E136)</f>
        <v/>
      </c>
      <c r="E134" s="316" t="str">
        <f>IF('Statement of Marks'!F136="","",'Statement of Marks'!F136)</f>
        <v/>
      </c>
      <c r="F134" s="316" t="str">
        <f>IF('Statement of Marks'!G136="","",'Statement of Marks'!G136)</f>
        <v/>
      </c>
      <c r="G134" s="316" t="str">
        <f>IF('Statement of Marks'!H136="","",'Statement of Marks'!H136)</f>
        <v/>
      </c>
      <c r="H134" s="830" t="str">
        <f>IF('Statement of Marks'!HS136="","",'Statement of Marks'!HS136)</f>
        <v/>
      </c>
      <c r="I134" s="172" t="str">
        <f>IF('Statement of Marks'!HV136="","",'Statement of Marks'!HV136)</f>
        <v/>
      </c>
      <c r="J134" s="317" t="str">
        <f>IF('Statement of Marks'!HW136="","",'Statement of Marks'!HW136)</f>
        <v/>
      </c>
      <c r="K134" s="392" t="str">
        <f>'Statement of Marks'!GN136</f>
        <v/>
      </c>
      <c r="L134" s="392" t="str">
        <f>'Statement of Marks'!GQ136</f>
        <v/>
      </c>
      <c r="M134" s="181" t="str">
        <f>'Statement of Marks'!GU136</f>
        <v/>
      </c>
      <c r="N134" s="181" t="str">
        <f>'Statement of Marks'!GV136</f>
        <v/>
      </c>
      <c r="O134" s="181" t="str">
        <f>'Statement of Marks'!GW136</f>
        <v/>
      </c>
      <c r="P134" s="181" t="str">
        <f>'Statement of Marks'!GX136</f>
        <v/>
      </c>
      <c r="Q134" s="181" t="str">
        <f>'Statement of Marks'!GY136</f>
        <v/>
      </c>
      <c r="R134" s="392" t="str">
        <f>'Statement of Marks'!HB136</f>
        <v/>
      </c>
      <c r="S134" s="392" t="str">
        <f>'Statement of Marks'!HE136</f>
        <v/>
      </c>
      <c r="T134" s="392" t="str">
        <f>'Statement of Marks'!HH136</f>
        <v/>
      </c>
      <c r="U134" s="392" t="str">
        <f>'Statement of Marks'!HK136</f>
        <v/>
      </c>
      <c r="V134" s="318" t="str">
        <f>IF(COUNTIF(K134:U134,"F")&gt;0,"",CONCATENATE('Statement of Marks'!HO136,'Statement of Marks'!HP136,'Statement of Marks'!HQ136))</f>
        <v xml:space="preserve">                  </v>
      </c>
      <c r="BI134" s="6" t="str">
        <f>IFERROR(VLOOKUP(B134,'Statement of Marks'!$B$7:'Statement of Marks'!$IC$206,41,0),"")</f>
        <v/>
      </c>
      <c r="BJ134" s="6" t="str">
        <f>IFERROR(VLOOKUP(B134,'Statement of Marks'!$B$7:'Statement of Marks'!$IC$206,66,0),"")</f>
        <v/>
      </c>
      <c r="BK134" s="6">
        <f>IFERROR(VLOOKUP(B134,'Statement of Marks'!$B$7:'Statement of Marks'!$IC$206,91,0),"")</f>
        <v>0</v>
      </c>
      <c r="BL134" s="6" t="str">
        <f>IFERROR(VLOOKUP(B134,'Statement of Marks'!$B$7:'Statement of Marks'!$IC$206,117,0),"")</f>
        <v/>
      </c>
    </row>
    <row r="135" spans="1:64" ht="21" customHeight="1">
      <c r="A135" s="169">
        <f>IF('Statement of Marks'!A137="","",'Statement of Marks'!A137)</f>
        <v>131</v>
      </c>
      <c r="B135" s="169" t="str">
        <f>IF('Statement of Marks'!B137="","",'Statement of Marks'!B137)</f>
        <v/>
      </c>
      <c r="C135" s="169" t="str">
        <f>IF('Statement of Marks'!D137="","",'Statement of Marks'!D137)</f>
        <v/>
      </c>
      <c r="D135" s="315" t="str">
        <f>IF('Statement of Marks'!E137="","",'Statement of Marks'!E137)</f>
        <v/>
      </c>
      <c r="E135" s="316" t="str">
        <f>IF('Statement of Marks'!F137="","",'Statement of Marks'!F137)</f>
        <v/>
      </c>
      <c r="F135" s="316" t="str">
        <f>IF('Statement of Marks'!G137="","",'Statement of Marks'!G137)</f>
        <v/>
      </c>
      <c r="G135" s="316" t="str">
        <f>IF('Statement of Marks'!H137="","",'Statement of Marks'!H137)</f>
        <v/>
      </c>
      <c r="H135" s="830" t="str">
        <f>IF('Statement of Marks'!HS137="","",'Statement of Marks'!HS137)</f>
        <v/>
      </c>
      <c r="I135" s="172" t="str">
        <f>IF('Statement of Marks'!HV137="","",'Statement of Marks'!HV137)</f>
        <v/>
      </c>
      <c r="J135" s="317" t="str">
        <f>IF('Statement of Marks'!HW137="","",'Statement of Marks'!HW137)</f>
        <v/>
      </c>
      <c r="K135" s="392" t="str">
        <f>'Statement of Marks'!GN137</f>
        <v/>
      </c>
      <c r="L135" s="392" t="str">
        <f>'Statement of Marks'!GQ137</f>
        <v/>
      </c>
      <c r="M135" s="181" t="str">
        <f>'Statement of Marks'!GU137</f>
        <v/>
      </c>
      <c r="N135" s="181" t="str">
        <f>'Statement of Marks'!GV137</f>
        <v/>
      </c>
      <c r="O135" s="181" t="str">
        <f>'Statement of Marks'!GW137</f>
        <v/>
      </c>
      <c r="P135" s="181" t="str">
        <f>'Statement of Marks'!GX137</f>
        <v/>
      </c>
      <c r="Q135" s="181" t="str">
        <f>'Statement of Marks'!GY137</f>
        <v/>
      </c>
      <c r="R135" s="392" t="str">
        <f>'Statement of Marks'!HB137</f>
        <v/>
      </c>
      <c r="S135" s="392" t="str">
        <f>'Statement of Marks'!HE137</f>
        <v/>
      </c>
      <c r="T135" s="392" t="str">
        <f>'Statement of Marks'!HH137</f>
        <v/>
      </c>
      <c r="U135" s="392" t="str">
        <f>'Statement of Marks'!HK137</f>
        <v/>
      </c>
      <c r="V135" s="318" t="str">
        <f>IF(COUNTIF(K135:U135,"F")&gt;0,"",CONCATENATE('Statement of Marks'!HO137,'Statement of Marks'!HP137,'Statement of Marks'!HQ137))</f>
        <v xml:space="preserve">                  </v>
      </c>
      <c r="BI135" s="6" t="str">
        <f>IFERROR(VLOOKUP(B135,'Statement of Marks'!$B$7:'Statement of Marks'!$IC$206,41,0),"")</f>
        <v/>
      </c>
      <c r="BJ135" s="6" t="str">
        <f>IFERROR(VLOOKUP(B135,'Statement of Marks'!$B$7:'Statement of Marks'!$IC$206,66,0),"")</f>
        <v/>
      </c>
      <c r="BK135" s="6">
        <f>IFERROR(VLOOKUP(B135,'Statement of Marks'!$B$7:'Statement of Marks'!$IC$206,91,0),"")</f>
        <v>0</v>
      </c>
      <c r="BL135" s="6" t="str">
        <f>IFERROR(VLOOKUP(B135,'Statement of Marks'!$B$7:'Statement of Marks'!$IC$206,117,0),"")</f>
        <v/>
      </c>
    </row>
    <row r="136" spans="1:64" ht="21" customHeight="1">
      <c r="A136" s="169">
        <f>IF('Statement of Marks'!A138="","",'Statement of Marks'!A138)</f>
        <v>132</v>
      </c>
      <c r="B136" s="169" t="str">
        <f>IF('Statement of Marks'!B138="","",'Statement of Marks'!B138)</f>
        <v/>
      </c>
      <c r="C136" s="169" t="str">
        <f>IF('Statement of Marks'!D138="","",'Statement of Marks'!D138)</f>
        <v/>
      </c>
      <c r="D136" s="315" t="str">
        <f>IF('Statement of Marks'!E138="","",'Statement of Marks'!E138)</f>
        <v/>
      </c>
      <c r="E136" s="316" t="str">
        <f>IF('Statement of Marks'!F138="","",'Statement of Marks'!F138)</f>
        <v/>
      </c>
      <c r="F136" s="316" t="str">
        <f>IF('Statement of Marks'!G138="","",'Statement of Marks'!G138)</f>
        <v/>
      </c>
      <c r="G136" s="316" t="str">
        <f>IF('Statement of Marks'!H138="","",'Statement of Marks'!H138)</f>
        <v/>
      </c>
      <c r="H136" s="830" t="str">
        <f>IF('Statement of Marks'!HS138="","",'Statement of Marks'!HS138)</f>
        <v/>
      </c>
      <c r="I136" s="172" t="str">
        <f>IF('Statement of Marks'!HV138="","",'Statement of Marks'!HV138)</f>
        <v/>
      </c>
      <c r="J136" s="317" t="str">
        <f>IF('Statement of Marks'!HW138="","",'Statement of Marks'!HW138)</f>
        <v/>
      </c>
      <c r="K136" s="392" t="str">
        <f>'Statement of Marks'!GN138</f>
        <v/>
      </c>
      <c r="L136" s="392" t="str">
        <f>'Statement of Marks'!GQ138</f>
        <v/>
      </c>
      <c r="M136" s="181" t="str">
        <f>'Statement of Marks'!GU138</f>
        <v/>
      </c>
      <c r="N136" s="181" t="str">
        <f>'Statement of Marks'!GV138</f>
        <v/>
      </c>
      <c r="O136" s="181" t="str">
        <f>'Statement of Marks'!GW138</f>
        <v/>
      </c>
      <c r="P136" s="181" t="str">
        <f>'Statement of Marks'!GX138</f>
        <v/>
      </c>
      <c r="Q136" s="181" t="str">
        <f>'Statement of Marks'!GY138</f>
        <v/>
      </c>
      <c r="R136" s="392" t="str">
        <f>'Statement of Marks'!HB138</f>
        <v/>
      </c>
      <c r="S136" s="392" t="str">
        <f>'Statement of Marks'!HE138</f>
        <v/>
      </c>
      <c r="T136" s="392" t="str">
        <f>'Statement of Marks'!HH138</f>
        <v/>
      </c>
      <c r="U136" s="392" t="str">
        <f>'Statement of Marks'!HK138</f>
        <v/>
      </c>
      <c r="V136" s="318" t="str">
        <f>IF(COUNTIF(K136:U136,"F")&gt;0,"",CONCATENATE('Statement of Marks'!HO138,'Statement of Marks'!HP138,'Statement of Marks'!HQ138))</f>
        <v xml:space="preserve">                  </v>
      </c>
      <c r="BI136" s="6" t="str">
        <f>IFERROR(VLOOKUP(B136,'Statement of Marks'!$B$7:'Statement of Marks'!$IC$206,41,0),"")</f>
        <v/>
      </c>
      <c r="BJ136" s="6" t="str">
        <f>IFERROR(VLOOKUP(B136,'Statement of Marks'!$B$7:'Statement of Marks'!$IC$206,66,0),"")</f>
        <v/>
      </c>
      <c r="BK136" s="6">
        <f>IFERROR(VLOOKUP(B136,'Statement of Marks'!$B$7:'Statement of Marks'!$IC$206,91,0),"")</f>
        <v>0</v>
      </c>
      <c r="BL136" s="6" t="str">
        <f>IFERROR(VLOOKUP(B136,'Statement of Marks'!$B$7:'Statement of Marks'!$IC$206,117,0),"")</f>
        <v/>
      </c>
    </row>
    <row r="137" spans="1:64" ht="21" customHeight="1">
      <c r="A137" s="169">
        <f>IF('Statement of Marks'!A139="","",'Statement of Marks'!A139)</f>
        <v>133</v>
      </c>
      <c r="B137" s="169" t="str">
        <f>IF('Statement of Marks'!B139="","",'Statement of Marks'!B139)</f>
        <v/>
      </c>
      <c r="C137" s="169" t="str">
        <f>IF('Statement of Marks'!D139="","",'Statement of Marks'!D139)</f>
        <v/>
      </c>
      <c r="D137" s="315" t="str">
        <f>IF('Statement of Marks'!E139="","",'Statement of Marks'!E139)</f>
        <v/>
      </c>
      <c r="E137" s="316" t="str">
        <f>IF('Statement of Marks'!F139="","",'Statement of Marks'!F139)</f>
        <v/>
      </c>
      <c r="F137" s="316" t="str">
        <f>IF('Statement of Marks'!G139="","",'Statement of Marks'!G139)</f>
        <v/>
      </c>
      <c r="G137" s="316" t="str">
        <f>IF('Statement of Marks'!H139="","",'Statement of Marks'!H139)</f>
        <v/>
      </c>
      <c r="H137" s="830" t="str">
        <f>IF('Statement of Marks'!HS139="","",'Statement of Marks'!HS139)</f>
        <v/>
      </c>
      <c r="I137" s="172" t="str">
        <f>IF('Statement of Marks'!HV139="","",'Statement of Marks'!HV139)</f>
        <v/>
      </c>
      <c r="J137" s="317" t="str">
        <f>IF('Statement of Marks'!HW139="","",'Statement of Marks'!HW139)</f>
        <v/>
      </c>
      <c r="K137" s="392" t="str">
        <f>'Statement of Marks'!GN139</f>
        <v/>
      </c>
      <c r="L137" s="392" t="str">
        <f>'Statement of Marks'!GQ139</f>
        <v/>
      </c>
      <c r="M137" s="181" t="str">
        <f>'Statement of Marks'!GU139</f>
        <v/>
      </c>
      <c r="N137" s="181" t="str">
        <f>'Statement of Marks'!GV139</f>
        <v/>
      </c>
      <c r="O137" s="181" t="str">
        <f>'Statement of Marks'!GW139</f>
        <v/>
      </c>
      <c r="P137" s="181" t="str">
        <f>'Statement of Marks'!GX139</f>
        <v/>
      </c>
      <c r="Q137" s="181" t="str">
        <f>'Statement of Marks'!GY139</f>
        <v/>
      </c>
      <c r="R137" s="392" t="str">
        <f>'Statement of Marks'!HB139</f>
        <v/>
      </c>
      <c r="S137" s="392" t="str">
        <f>'Statement of Marks'!HE139</f>
        <v/>
      </c>
      <c r="T137" s="392" t="str">
        <f>'Statement of Marks'!HH139</f>
        <v/>
      </c>
      <c r="U137" s="392" t="str">
        <f>'Statement of Marks'!HK139</f>
        <v/>
      </c>
      <c r="V137" s="318" t="str">
        <f>IF(COUNTIF(K137:U137,"F")&gt;0,"",CONCATENATE('Statement of Marks'!HO139,'Statement of Marks'!HP139,'Statement of Marks'!HQ139))</f>
        <v xml:space="preserve">                  </v>
      </c>
      <c r="BI137" s="6" t="str">
        <f>IFERROR(VLOOKUP(B137,'Statement of Marks'!$B$7:'Statement of Marks'!$IC$206,41,0),"")</f>
        <v/>
      </c>
      <c r="BJ137" s="6" t="str">
        <f>IFERROR(VLOOKUP(B137,'Statement of Marks'!$B$7:'Statement of Marks'!$IC$206,66,0),"")</f>
        <v/>
      </c>
      <c r="BK137" s="6">
        <f>IFERROR(VLOOKUP(B137,'Statement of Marks'!$B$7:'Statement of Marks'!$IC$206,91,0),"")</f>
        <v>0</v>
      </c>
      <c r="BL137" s="6" t="str">
        <f>IFERROR(VLOOKUP(B137,'Statement of Marks'!$B$7:'Statement of Marks'!$IC$206,117,0),"")</f>
        <v/>
      </c>
    </row>
    <row r="138" spans="1:64" ht="21" customHeight="1">
      <c r="A138" s="169">
        <f>IF('Statement of Marks'!A140="","",'Statement of Marks'!A140)</f>
        <v>134</v>
      </c>
      <c r="B138" s="169" t="str">
        <f>IF('Statement of Marks'!B140="","",'Statement of Marks'!B140)</f>
        <v/>
      </c>
      <c r="C138" s="169" t="str">
        <f>IF('Statement of Marks'!D140="","",'Statement of Marks'!D140)</f>
        <v/>
      </c>
      <c r="D138" s="315" t="str">
        <f>IF('Statement of Marks'!E140="","",'Statement of Marks'!E140)</f>
        <v/>
      </c>
      <c r="E138" s="316" t="str">
        <f>IF('Statement of Marks'!F140="","",'Statement of Marks'!F140)</f>
        <v/>
      </c>
      <c r="F138" s="316" t="str">
        <f>IF('Statement of Marks'!G140="","",'Statement of Marks'!G140)</f>
        <v/>
      </c>
      <c r="G138" s="316" t="str">
        <f>IF('Statement of Marks'!H140="","",'Statement of Marks'!H140)</f>
        <v/>
      </c>
      <c r="H138" s="830" t="str">
        <f>IF('Statement of Marks'!HS140="","",'Statement of Marks'!HS140)</f>
        <v/>
      </c>
      <c r="I138" s="172" t="str">
        <f>IF('Statement of Marks'!HV140="","",'Statement of Marks'!HV140)</f>
        <v/>
      </c>
      <c r="J138" s="317" t="str">
        <f>IF('Statement of Marks'!HW140="","",'Statement of Marks'!HW140)</f>
        <v/>
      </c>
      <c r="K138" s="392" t="str">
        <f>'Statement of Marks'!GN140</f>
        <v/>
      </c>
      <c r="L138" s="392" t="str">
        <f>'Statement of Marks'!GQ140</f>
        <v/>
      </c>
      <c r="M138" s="181" t="str">
        <f>'Statement of Marks'!GU140</f>
        <v/>
      </c>
      <c r="N138" s="181" t="str">
        <f>'Statement of Marks'!GV140</f>
        <v/>
      </c>
      <c r="O138" s="181" t="str">
        <f>'Statement of Marks'!GW140</f>
        <v/>
      </c>
      <c r="P138" s="181" t="str">
        <f>'Statement of Marks'!GX140</f>
        <v/>
      </c>
      <c r="Q138" s="181" t="str">
        <f>'Statement of Marks'!GY140</f>
        <v/>
      </c>
      <c r="R138" s="392" t="str">
        <f>'Statement of Marks'!HB140</f>
        <v/>
      </c>
      <c r="S138" s="392" t="str">
        <f>'Statement of Marks'!HE140</f>
        <v/>
      </c>
      <c r="T138" s="392" t="str">
        <f>'Statement of Marks'!HH140</f>
        <v/>
      </c>
      <c r="U138" s="392" t="str">
        <f>'Statement of Marks'!HK140</f>
        <v/>
      </c>
      <c r="V138" s="318" t="str">
        <f>IF(COUNTIF(K138:U138,"F")&gt;0,"",CONCATENATE('Statement of Marks'!HO140,'Statement of Marks'!HP140,'Statement of Marks'!HQ140))</f>
        <v xml:space="preserve">                  </v>
      </c>
      <c r="BI138" s="6" t="str">
        <f>IFERROR(VLOOKUP(B138,'Statement of Marks'!$B$7:'Statement of Marks'!$IC$206,41,0),"")</f>
        <v/>
      </c>
      <c r="BJ138" s="6" t="str">
        <f>IFERROR(VLOOKUP(B138,'Statement of Marks'!$B$7:'Statement of Marks'!$IC$206,66,0),"")</f>
        <v/>
      </c>
      <c r="BK138" s="6">
        <f>IFERROR(VLOOKUP(B138,'Statement of Marks'!$B$7:'Statement of Marks'!$IC$206,91,0),"")</f>
        <v>0</v>
      </c>
      <c r="BL138" s="6" t="str">
        <f>IFERROR(VLOOKUP(B138,'Statement of Marks'!$B$7:'Statement of Marks'!$IC$206,117,0),"")</f>
        <v/>
      </c>
    </row>
    <row r="139" spans="1:64" ht="21" customHeight="1">
      <c r="A139" s="169">
        <f>IF('Statement of Marks'!A141="","",'Statement of Marks'!A141)</f>
        <v>135</v>
      </c>
      <c r="B139" s="169" t="str">
        <f>IF('Statement of Marks'!B141="","",'Statement of Marks'!B141)</f>
        <v/>
      </c>
      <c r="C139" s="169" t="str">
        <f>IF('Statement of Marks'!D141="","",'Statement of Marks'!D141)</f>
        <v/>
      </c>
      <c r="D139" s="315" t="str">
        <f>IF('Statement of Marks'!E141="","",'Statement of Marks'!E141)</f>
        <v/>
      </c>
      <c r="E139" s="316" t="str">
        <f>IF('Statement of Marks'!F141="","",'Statement of Marks'!F141)</f>
        <v/>
      </c>
      <c r="F139" s="316" t="str">
        <f>IF('Statement of Marks'!G141="","",'Statement of Marks'!G141)</f>
        <v/>
      </c>
      <c r="G139" s="316" t="str">
        <f>IF('Statement of Marks'!H141="","",'Statement of Marks'!H141)</f>
        <v/>
      </c>
      <c r="H139" s="830" t="str">
        <f>IF('Statement of Marks'!HS141="","",'Statement of Marks'!HS141)</f>
        <v/>
      </c>
      <c r="I139" s="172" t="str">
        <f>IF('Statement of Marks'!HV141="","",'Statement of Marks'!HV141)</f>
        <v/>
      </c>
      <c r="J139" s="317" t="str">
        <f>IF('Statement of Marks'!HW141="","",'Statement of Marks'!HW141)</f>
        <v/>
      </c>
      <c r="K139" s="392" t="str">
        <f>'Statement of Marks'!GN141</f>
        <v/>
      </c>
      <c r="L139" s="392" t="str">
        <f>'Statement of Marks'!GQ141</f>
        <v/>
      </c>
      <c r="M139" s="181" t="str">
        <f>'Statement of Marks'!GU141</f>
        <v/>
      </c>
      <c r="N139" s="181" t="str">
        <f>'Statement of Marks'!GV141</f>
        <v/>
      </c>
      <c r="O139" s="181" t="str">
        <f>'Statement of Marks'!GW141</f>
        <v/>
      </c>
      <c r="P139" s="181" t="str">
        <f>'Statement of Marks'!GX141</f>
        <v/>
      </c>
      <c r="Q139" s="181" t="str">
        <f>'Statement of Marks'!GY141</f>
        <v/>
      </c>
      <c r="R139" s="392" t="str">
        <f>'Statement of Marks'!HB141</f>
        <v/>
      </c>
      <c r="S139" s="392" t="str">
        <f>'Statement of Marks'!HE141</f>
        <v/>
      </c>
      <c r="T139" s="392" t="str">
        <f>'Statement of Marks'!HH141</f>
        <v/>
      </c>
      <c r="U139" s="392" t="str">
        <f>'Statement of Marks'!HK141</f>
        <v/>
      </c>
      <c r="V139" s="318" t="str">
        <f>IF(COUNTIF(K139:U139,"F")&gt;0,"",CONCATENATE('Statement of Marks'!HO141,'Statement of Marks'!HP141,'Statement of Marks'!HQ141))</f>
        <v xml:space="preserve">                  </v>
      </c>
      <c r="BI139" s="6" t="str">
        <f>IFERROR(VLOOKUP(B139,'Statement of Marks'!$B$7:'Statement of Marks'!$IC$206,41,0),"")</f>
        <v/>
      </c>
      <c r="BJ139" s="6" t="str">
        <f>IFERROR(VLOOKUP(B139,'Statement of Marks'!$B$7:'Statement of Marks'!$IC$206,66,0),"")</f>
        <v/>
      </c>
      <c r="BK139" s="6">
        <f>IFERROR(VLOOKUP(B139,'Statement of Marks'!$B$7:'Statement of Marks'!$IC$206,91,0),"")</f>
        <v>0</v>
      </c>
      <c r="BL139" s="6" t="str">
        <f>IFERROR(VLOOKUP(B139,'Statement of Marks'!$B$7:'Statement of Marks'!$IC$206,117,0),"")</f>
        <v/>
      </c>
    </row>
    <row r="140" spans="1:64" ht="21" customHeight="1">
      <c r="A140" s="169">
        <f>IF('Statement of Marks'!A142="","",'Statement of Marks'!A142)</f>
        <v>136</v>
      </c>
      <c r="B140" s="169" t="str">
        <f>IF('Statement of Marks'!B142="","",'Statement of Marks'!B142)</f>
        <v/>
      </c>
      <c r="C140" s="169" t="str">
        <f>IF('Statement of Marks'!D142="","",'Statement of Marks'!D142)</f>
        <v/>
      </c>
      <c r="D140" s="315" t="str">
        <f>IF('Statement of Marks'!E142="","",'Statement of Marks'!E142)</f>
        <v/>
      </c>
      <c r="E140" s="316" t="str">
        <f>IF('Statement of Marks'!F142="","",'Statement of Marks'!F142)</f>
        <v/>
      </c>
      <c r="F140" s="316" t="str">
        <f>IF('Statement of Marks'!G142="","",'Statement of Marks'!G142)</f>
        <v/>
      </c>
      <c r="G140" s="316" t="str">
        <f>IF('Statement of Marks'!H142="","",'Statement of Marks'!H142)</f>
        <v/>
      </c>
      <c r="H140" s="830" t="str">
        <f>IF('Statement of Marks'!HS142="","",'Statement of Marks'!HS142)</f>
        <v/>
      </c>
      <c r="I140" s="172" t="str">
        <f>IF('Statement of Marks'!HV142="","",'Statement of Marks'!HV142)</f>
        <v/>
      </c>
      <c r="J140" s="317" t="str">
        <f>IF('Statement of Marks'!HW142="","",'Statement of Marks'!HW142)</f>
        <v/>
      </c>
      <c r="K140" s="392" t="str">
        <f>'Statement of Marks'!GN142</f>
        <v/>
      </c>
      <c r="L140" s="392" t="str">
        <f>'Statement of Marks'!GQ142</f>
        <v/>
      </c>
      <c r="M140" s="181" t="str">
        <f>'Statement of Marks'!GU142</f>
        <v/>
      </c>
      <c r="N140" s="181" t="str">
        <f>'Statement of Marks'!GV142</f>
        <v/>
      </c>
      <c r="O140" s="181" t="str">
        <f>'Statement of Marks'!GW142</f>
        <v/>
      </c>
      <c r="P140" s="181" t="str">
        <f>'Statement of Marks'!GX142</f>
        <v/>
      </c>
      <c r="Q140" s="181" t="str">
        <f>'Statement of Marks'!GY142</f>
        <v/>
      </c>
      <c r="R140" s="392" t="str">
        <f>'Statement of Marks'!HB142</f>
        <v/>
      </c>
      <c r="S140" s="392" t="str">
        <f>'Statement of Marks'!HE142</f>
        <v/>
      </c>
      <c r="T140" s="392" t="str">
        <f>'Statement of Marks'!HH142</f>
        <v/>
      </c>
      <c r="U140" s="392" t="str">
        <f>'Statement of Marks'!HK142</f>
        <v/>
      </c>
      <c r="V140" s="318" t="str">
        <f>IF(COUNTIF(K140:U140,"F")&gt;0,"",CONCATENATE('Statement of Marks'!HO142,'Statement of Marks'!HP142,'Statement of Marks'!HQ142))</f>
        <v xml:space="preserve">                  </v>
      </c>
      <c r="BI140" s="6" t="str">
        <f>IFERROR(VLOOKUP(B140,'Statement of Marks'!$B$7:'Statement of Marks'!$IC$206,41,0),"")</f>
        <v/>
      </c>
      <c r="BJ140" s="6" t="str">
        <f>IFERROR(VLOOKUP(B140,'Statement of Marks'!$B$7:'Statement of Marks'!$IC$206,66,0),"")</f>
        <v/>
      </c>
      <c r="BK140" s="6">
        <f>IFERROR(VLOOKUP(B140,'Statement of Marks'!$B$7:'Statement of Marks'!$IC$206,91,0),"")</f>
        <v>0</v>
      </c>
      <c r="BL140" s="6" t="str">
        <f>IFERROR(VLOOKUP(B140,'Statement of Marks'!$B$7:'Statement of Marks'!$IC$206,117,0),"")</f>
        <v/>
      </c>
    </row>
    <row r="141" spans="1:64" ht="21" customHeight="1">
      <c r="A141" s="169">
        <f>IF('Statement of Marks'!A143="","",'Statement of Marks'!A143)</f>
        <v>137</v>
      </c>
      <c r="B141" s="169" t="str">
        <f>IF('Statement of Marks'!B143="","",'Statement of Marks'!B143)</f>
        <v/>
      </c>
      <c r="C141" s="169" t="str">
        <f>IF('Statement of Marks'!D143="","",'Statement of Marks'!D143)</f>
        <v/>
      </c>
      <c r="D141" s="315" t="str">
        <f>IF('Statement of Marks'!E143="","",'Statement of Marks'!E143)</f>
        <v/>
      </c>
      <c r="E141" s="316" t="str">
        <f>IF('Statement of Marks'!F143="","",'Statement of Marks'!F143)</f>
        <v/>
      </c>
      <c r="F141" s="316" t="str">
        <f>IF('Statement of Marks'!G143="","",'Statement of Marks'!G143)</f>
        <v/>
      </c>
      <c r="G141" s="316" t="str">
        <f>IF('Statement of Marks'!H143="","",'Statement of Marks'!H143)</f>
        <v/>
      </c>
      <c r="H141" s="830" t="str">
        <f>IF('Statement of Marks'!HS143="","",'Statement of Marks'!HS143)</f>
        <v/>
      </c>
      <c r="I141" s="172" t="str">
        <f>IF('Statement of Marks'!HV143="","",'Statement of Marks'!HV143)</f>
        <v/>
      </c>
      <c r="J141" s="317" t="str">
        <f>IF('Statement of Marks'!HW143="","",'Statement of Marks'!HW143)</f>
        <v/>
      </c>
      <c r="K141" s="392" t="str">
        <f>'Statement of Marks'!GN143</f>
        <v/>
      </c>
      <c r="L141" s="392" t="str">
        <f>'Statement of Marks'!GQ143</f>
        <v/>
      </c>
      <c r="M141" s="181" t="str">
        <f>'Statement of Marks'!GU143</f>
        <v/>
      </c>
      <c r="N141" s="181" t="str">
        <f>'Statement of Marks'!GV143</f>
        <v/>
      </c>
      <c r="O141" s="181" t="str">
        <f>'Statement of Marks'!GW143</f>
        <v/>
      </c>
      <c r="P141" s="181" t="str">
        <f>'Statement of Marks'!GX143</f>
        <v/>
      </c>
      <c r="Q141" s="181" t="str">
        <f>'Statement of Marks'!GY143</f>
        <v/>
      </c>
      <c r="R141" s="392" t="str">
        <f>'Statement of Marks'!HB143</f>
        <v/>
      </c>
      <c r="S141" s="392" t="str">
        <f>'Statement of Marks'!HE143</f>
        <v/>
      </c>
      <c r="T141" s="392" t="str">
        <f>'Statement of Marks'!HH143</f>
        <v/>
      </c>
      <c r="U141" s="392" t="str">
        <f>'Statement of Marks'!HK143</f>
        <v/>
      </c>
      <c r="V141" s="318" t="str">
        <f>IF(COUNTIF(K141:U141,"F")&gt;0,"",CONCATENATE('Statement of Marks'!HO143,'Statement of Marks'!HP143,'Statement of Marks'!HQ143))</f>
        <v xml:space="preserve">                  </v>
      </c>
      <c r="BI141" s="6" t="str">
        <f>IFERROR(VLOOKUP(B141,'Statement of Marks'!$B$7:'Statement of Marks'!$IC$206,41,0),"")</f>
        <v/>
      </c>
      <c r="BJ141" s="6" t="str">
        <f>IFERROR(VLOOKUP(B141,'Statement of Marks'!$B$7:'Statement of Marks'!$IC$206,66,0),"")</f>
        <v/>
      </c>
      <c r="BK141" s="6">
        <f>IFERROR(VLOOKUP(B141,'Statement of Marks'!$B$7:'Statement of Marks'!$IC$206,91,0),"")</f>
        <v>0</v>
      </c>
      <c r="BL141" s="6" t="str">
        <f>IFERROR(VLOOKUP(B141,'Statement of Marks'!$B$7:'Statement of Marks'!$IC$206,117,0),"")</f>
        <v/>
      </c>
    </row>
    <row r="142" spans="1:64" ht="21" customHeight="1">
      <c r="A142" s="169">
        <f>IF('Statement of Marks'!A144="","",'Statement of Marks'!A144)</f>
        <v>138</v>
      </c>
      <c r="B142" s="169" t="str">
        <f>IF('Statement of Marks'!B144="","",'Statement of Marks'!B144)</f>
        <v/>
      </c>
      <c r="C142" s="169" t="str">
        <f>IF('Statement of Marks'!D144="","",'Statement of Marks'!D144)</f>
        <v/>
      </c>
      <c r="D142" s="315" t="str">
        <f>IF('Statement of Marks'!E144="","",'Statement of Marks'!E144)</f>
        <v/>
      </c>
      <c r="E142" s="316" t="str">
        <f>IF('Statement of Marks'!F144="","",'Statement of Marks'!F144)</f>
        <v/>
      </c>
      <c r="F142" s="316" t="str">
        <f>IF('Statement of Marks'!G144="","",'Statement of Marks'!G144)</f>
        <v/>
      </c>
      <c r="G142" s="316" t="str">
        <f>IF('Statement of Marks'!H144="","",'Statement of Marks'!H144)</f>
        <v/>
      </c>
      <c r="H142" s="830" t="str">
        <f>IF('Statement of Marks'!HS144="","",'Statement of Marks'!HS144)</f>
        <v/>
      </c>
      <c r="I142" s="172" t="str">
        <f>IF('Statement of Marks'!HV144="","",'Statement of Marks'!HV144)</f>
        <v/>
      </c>
      <c r="J142" s="317" t="str">
        <f>IF('Statement of Marks'!HW144="","",'Statement of Marks'!HW144)</f>
        <v/>
      </c>
      <c r="K142" s="392" t="str">
        <f>'Statement of Marks'!GN144</f>
        <v/>
      </c>
      <c r="L142" s="392" t="str">
        <f>'Statement of Marks'!GQ144</f>
        <v/>
      </c>
      <c r="M142" s="181" t="str">
        <f>'Statement of Marks'!GU144</f>
        <v/>
      </c>
      <c r="N142" s="181" t="str">
        <f>'Statement of Marks'!GV144</f>
        <v/>
      </c>
      <c r="O142" s="181" t="str">
        <f>'Statement of Marks'!GW144</f>
        <v/>
      </c>
      <c r="P142" s="181" t="str">
        <f>'Statement of Marks'!GX144</f>
        <v/>
      </c>
      <c r="Q142" s="181" t="str">
        <f>'Statement of Marks'!GY144</f>
        <v/>
      </c>
      <c r="R142" s="392" t="str">
        <f>'Statement of Marks'!HB144</f>
        <v/>
      </c>
      <c r="S142" s="392" t="str">
        <f>'Statement of Marks'!HE144</f>
        <v/>
      </c>
      <c r="T142" s="392" t="str">
        <f>'Statement of Marks'!HH144</f>
        <v/>
      </c>
      <c r="U142" s="392" t="str">
        <f>'Statement of Marks'!HK144</f>
        <v/>
      </c>
      <c r="V142" s="318" t="str">
        <f>IF(COUNTIF(K142:U142,"F")&gt;0,"",CONCATENATE('Statement of Marks'!HO144,'Statement of Marks'!HP144,'Statement of Marks'!HQ144))</f>
        <v xml:space="preserve">                  </v>
      </c>
      <c r="BI142" s="6" t="str">
        <f>IFERROR(VLOOKUP(B142,'Statement of Marks'!$B$7:'Statement of Marks'!$IC$206,41,0),"")</f>
        <v/>
      </c>
      <c r="BJ142" s="6" t="str">
        <f>IFERROR(VLOOKUP(B142,'Statement of Marks'!$B$7:'Statement of Marks'!$IC$206,66,0),"")</f>
        <v/>
      </c>
      <c r="BK142" s="6">
        <f>IFERROR(VLOOKUP(B142,'Statement of Marks'!$B$7:'Statement of Marks'!$IC$206,91,0),"")</f>
        <v>0</v>
      </c>
      <c r="BL142" s="6" t="str">
        <f>IFERROR(VLOOKUP(B142,'Statement of Marks'!$B$7:'Statement of Marks'!$IC$206,117,0),"")</f>
        <v/>
      </c>
    </row>
    <row r="143" spans="1:64" ht="21" customHeight="1">
      <c r="A143" s="169">
        <f>IF('Statement of Marks'!A145="","",'Statement of Marks'!A145)</f>
        <v>139</v>
      </c>
      <c r="B143" s="169" t="str">
        <f>IF('Statement of Marks'!B145="","",'Statement of Marks'!B145)</f>
        <v/>
      </c>
      <c r="C143" s="169" t="str">
        <f>IF('Statement of Marks'!D145="","",'Statement of Marks'!D145)</f>
        <v/>
      </c>
      <c r="D143" s="315" t="str">
        <f>IF('Statement of Marks'!E145="","",'Statement of Marks'!E145)</f>
        <v/>
      </c>
      <c r="E143" s="316" t="str">
        <f>IF('Statement of Marks'!F145="","",'Statement of Marks'!F145)</f>
        <v/>
      </c>
      <c r="F143" s="316" t="str">
        <f>IF('Statement of Marks'!G145="","",'Statement of Marks'!G145)</f>
        <v/>
      </c>
      <c r="G143" s="316" t="str">
        <f>IF('Statement of Marks'!H145="","",'Statement of Marks'!H145)</f>
        <v/>
      </c>
      <c r="H143" s="830" t="str">
        <f>IF('Statement of Marks'!HS145="","",'Statement of Marks'!HS145)</f>
        <v/>
      </c>
      <c r="I143" s="172" t="str">
        <f>IF('Statement of Marks'!HV145="","",'Statement of Marks'!HV145)</f>
        <v/>
      </c>
      <c r="J143" s="317" t="str">
        <f>IF('Statement of Marks'!HW145="","",'Statement of Marks'!HW145)</f>
        <v/>
      </c>
      <c r="K143" s="392" t="str">
        <f>'Statement of Marks'!GN145</f>
        <v/>
      </c>
      <c r="L143" s="392" t="str">
        <f>'Statement of Marks'!GQ145</f>
        <v/>
      </c>
      <c r="M143" s="181" t="str">
        <f>'Statement of Marks'!GU145</f>
        <v/>
      </c>
      <c r="N143" s="181" t="str">
        <f>'Statement of Marks'!GV145</f>
        <v/>
      </c>
      <c r="O143" s="181" t="str">
        <f>'Statement of Marks'!GW145</f>
        <v/>
      </c>
      <c r="P143" s="181" t="str">
        <f>'Statement of Marks'!GX145</f>
        <v/>
      </c>
      <c r="Q143" s="181" t="str">
        <f>'Statement of Marks'!GY145</f>
        <v/>
      </c>
      <c r="R143" s="392" t="str">
        <f>'Statement of Marks'!HB145</f>
        <v/>
      </c>
      <c r="S143" s="392" t="str">
        <f>'Statement of Marks'!HE145</f>
        <v/>
      </c>
      <c r="T143" s="392" t="str">
        <f>'Statement of Marks'!HH145</f>
        <v/>
      </c>
      <c r="U143" s="392" t="str">
        <f>'Statement of Marks'!HK145</f>
        <v/>
      </c>
      <c r="V143" s="318" t="str">
        <f>IF(COUNTIF(K143:U143,"F")&gt;0,"",CONCATENATE('Statement of Marks'!HO145,'Statement of Marks'!HP145,'Statement of Marks'!HQ145))</f>
        <v xml:space="preserve">                  </v>
      </c>
      <c r="BI143" s="6" t="str">
        <f>IFERROR(VLOOKUP(B143,'Statement of Marks'!$B$7:'Statement of Marks'!$IC$206,41,0),"")</f>
        <v/>
      </c>
      <c r="BJ143" s="6" t="str">
        <f>IFERROR(VLOOKUP(B143,'Statement of Marks'!$B$7:'Statement of Marks'!$IC$206,66,0),"")</f>
        <v/>
      </c>
      <c r="BK143" s="6">
        <f>IFERROR(VLOOKUP(B143,'Statement of Marks'!$B$7:'Statement of Marks'!$IC$206,91,0),"")</f>
        <v>0</v>
      </c>
      <c r="BL143" s="6" t="str">
        <f>IFERROR(VLOOKUP(B143,'Statement of Marks'!$B$7:'Statement of Marks'!$IC$206,117,0),"")</f>
        <v/>
      </c>
    </row>
    <row r="144" spans="1:64" ht="21" customHeight="1">
      <c r="A144" s="169">
        <f>IF('Statement of Marks'!A146="","",'Statement of Marks'!A146)</f>
        <v>140</v>
      </c>
      <c r="B144" s="169" t="str">
        <f>IF('Statement of Marks'!B146="","",'Statement of Marks'!B146)</f>
        <v/>
      </c>
      <c r="C144" s="169" t="str">
        <f>IF('Statement of Marks'!D146="","",'Statement of Marks'!D146)</f>
        <v/>
      </c>
      <c r="D144" s="315" t="str">
        <f>IF('Statement of Marks'!E146="","",'Statement of Marks'!E146)</f>
        <v/>
      </c>
      <c r="E144" s="316" t="str">
        <f>IF('Statement of Marks'!F146="","",'Statement of Marks'!F146)</f>
        <v/>
      </c>
      <c r="F144" s="316" t="str">
        <f>IF('Statement of Marks'!G146="","",'Statement of Marks'!G146)</f>
        <v/>
      </c>
      <c r="G144" s="316" t="str">
        <f>IF('Statement of Marks'!H146="","",'Statement of Marks'!H146)</f>
        <v/>
      </c>
      <c r="H144" s="830" t="str">
        <f>IF('Statement of Marks'!HS146="","",'Statement of Marks'!HS146)</f>
        <v/>
      </c>
      <c r="I144" s="172" t="str">
        <f>IF('Statement of Marks'!HV146="","",'Statement of Marks'!HV146)</f>
        <v/>
      </c>
      <c r="J144" s="317" t="str">
        <f>IF('Statement of Marks'!HW146="","",'Statement of Marks'!HW146)</f>
        <v/>
      </c>
      <c r="K144" s="392" t="str">
        <f>'Statement of Marks'!GN146</f>
        <v/>
      </c>
      <c r="L144" s="392" t="str">
        <f>'Statement of Marks'!GQ146</f>
        <v/>
      </c>
      <c r="M144" s="181" t="str">
        <f>'Statement of Marks'!GU146</f>
        <v/>
      </c>
      <c r="N144" s="181" t="str">
        <f>'Statement of Marks'!GV146</f>
        <v/>
      </c>
      <c r="O144" s="181" t="str">
        <f>'Statement of Marks'!GW146</f>
        <v/>
      </c>
      <c r="P144" s="181" t="str">
        <f>'Statement of Marks'!GX146</f>
        <v/>
      </c>
      <c r="Q144" s="181" t="str">
        <f>'Statement of Marks'!GY146</f>
        <v/>
      </c>
      <c r="R144" s="392" t="str">
        <f>'Statement of Marks'!HB146</f>
        <v/>
      </c>
      <c r="S144" s="392" t="str">
        <f>'Statement of Marks'!HE146</f>
        <v/>
      </c>
      <c r="T144" s="392" t="str">
        <f>'Statement of Marks'!HH146</f>
        <v/>
      </c>
      <c r="U144" s="392" t="str">
        <f>'Statement of Marks'!HK146</f>
        <v/>
      </c>
      <c r="V144" s="318" t="str">
        <f>IF(COUNTIF(K144:U144,"F")&gt;0,"",CONCATENATE('Statement of Marks'!HO146,'Statement of Marks'!HP146,'Statement of Marks'!HQ146))</f>
        <v xml:space="preserve">                  </v>
      </c>
      <c r="BI144" s="6" t="str">
        <f>IFERROR(VLOOKUP(B144,'Statement of Marks'!$B$7:'Statement of Marks'!$IC$206,41,0),"")</f>
        <v/>
      </c>
      <c r="BJ144" s="6" t="str">
        <f>IFERROR(VLOOKUP(B144,'Statement of Marks'!$B$7:'Statement of Marks'!$IC$206,66,0),"")</f>
        <v/>
      </c>
      <c r="BK144" s="6">
        <f>IFERROR(VLOOKUP(B144,'Statement of Marks'!$B$7:'Statement of Marks'!$IC$206,91,0),"")</f>
        <v>0</v>
      </c>
      <c r="BL144" s="6" t="str">
        <f>IFERROR(VLOOKUP(B144,'Statement of Marks'!$B$7:'Statement of Marks'!$IC$206,117,0),"")</f>
        <v/>
      </c>
    </row>
    <row r="145" spans="1:64" ht="21" customHeight="1">
      <c r="A145" s="169">
        <f>IF('Statement of Marks'!A147="","",'Statement of Marks'!A147)</f>
        <v>141</v>
      </c>
      <c r="B145" s="169" t="str">
        <f>IF('Statement of Marks'!B147="","",'Statement of Marks'!B147)</f>
        <v/>
      </c>
      <c r="C145" s="169" t="str">
        <f>IF('Statement of Marks'!D147="","",'Statement of Marks'!D147)</f>
        <v/>
      </c>
      <c r="D145" s="315" t="str">
        <f>IF('Statement of Marks'!E147="","",'Statement of Marks'!E147)</f>
        <v/>
      </c>
      <c r="E145" s="316" t="str">
        <f>IF('Statement of Marks'!F147="","",'Statement of Marks'!F147)</f>
        <v/>
      </c>
      <c r="F145" s="316" t="str">
        <f>IF('Statement of Marks'!G147="","",'Statement of Marks'!G147)</f>
        <v/>
      </c>
      <c r="G145" s="316" t="str">
        <f>IF('Statement of Marks'!H147="","",'Statement of Marks'!H147)</f>
        <v/>
      </c>
      <c r="H145" s="830" t="str">
        <f>IF('Statement of Marks'!HS147="","",'Statement of Marks'!HS147)</f>
        <v/>
      </c>
      <c r="I145" s="172" t="str">
        <f>IF('Statement of Marks'!HV147="","",'Statement of Marks'!HV147)</f>
        <v/>
      </c>
      <c r="J145" s="317" t="str">
        <f>IF('Statement of Marks'!HW147="","",'Statement of Marks'!HW147)</f>
        <v/>
      </c>
      <c r="K145" s="392" t="str">
        <f>'Statement of Marks'!GN147</f>
        <v/>
      </c>
      <c r="L145" s="392" t="str">
        <f>'Statement of Marks'!GQ147</f>
        <v/>
      </c>
      <c r="M145" s="181" t="str">
        <f>'Statement of Marks'!GU147</f>
        <v/>
      </c>
      <c r="N145" s="181" t="str">
        <f>'Statement of Marks'!GV147</f>
        <v/>
      </c>
      <c r="O145" s="181" t="str">
        <f>'Statement of Marks'!GW147</f>
        <v/>
      </c>
      <c r="P145" s="181" t="str">
        <f>'Statement of Marks'!GX147</f>
        <v/>
      </c>
      <c r="Q145" s="181" t="str">
        <f>'Statement of Marks'!GY147</f>
        <v/>
      </c>
      <c r="R145" s="392" t="str">
        <f>'Statement of Marks'!HB147</f>
        <v/>
      </c>
      <c r="S145" s="392" t="str">
        <f>'Statement of Marks'!HE147</f>
        <v/>
      </c>
      <c r="T145" s="392" t="str">
        <f>'Statement of Marks'!HH147</f>
        <v/>
      </c>
      <c r="U145" s="392" t="str">
        <f>'Statement of Marks'!HK147</f>
        <v/>
      </c>
      <c r="V145" s="318" t="str">
        <f>IF(COUNTIF(K145:U145,"F")&gt;0,"",CONCATENATE('Statement of Marks'!HO147,'Statement of Marks'!HP147,'Statement of Marks'!HQ147))</f>
        <v xml:space="preserve">                  </v>
      </c>
      <c r="BI145" s="6" t="str">
        <f>IFERROR(VLOOKUP(B145,'Statement of Marks'!$B$7:'Statement of Marks'!$IC$206,41,0),"")</f>
        <v/>
      </c>
      <c r="BJ145" s="6" t="str">
        <f>IFERROR(VLOOKUP(B145,'Statement of Marks'!$B$7:'Statement of Marks'!$IC$206,66,0),"")</f>
        <v/>
      </c>
      <c r="BK145" s="6">
        <f>IFERROR(VLOOKUP(B145,'Statement of Marks'!$B$7:'Statement of Marks'!$IC$206,91,0),"")</f>
        <v>0</v>
      </c>
      <c r="BL145" s="6" t="str">
        <f>IFERROR(VLOOKUP(B145,'Statement of Marks'!$B$7:'Statement of Marks'!$IC$206,117,0),"")</f>
        <v/>
      </c>
    </row>
    <row r="146" spans="1:64" ht="21" customHeight="1">
      <c r="A146" s="169">
        <f>IF('Statement of Marks'!A148="","",'Statement of Marks'!A148)</f>
        <v>142</v>
      </c>
      <c r="B146" s="169" t="str">
        <f>IF('Statement of Marks'!B148="","",'Statement of Marks'!B148)</f>
        <v/>
      </c>
      <c r="C146" s="169" t="str">
        <f>IF('Statement of Marks'!D148="","",'Statement of Marks'!D148)</f>
        <v/>
      </c>
      <c r="D146" s="315" t="str">
        <f>IF('Statement of Marks'!E148="","",'Statement of Marks'!E148)</f>
        <v/>
      </c>
      <c r="E146" s="316" t="str">
        <f>IF('Statement of Marks'!F148="","",'Statement of Marks'!F148)</f>
        <v/>
      </c>
      <c r="F146" s="316" t="str">
        <f>IF('Statement of Marks'!G148="","",'Statement of Marks'!G148)</f>
        <v/>
      </c>
      <c r="G146" s="316" t="str">
        <f>IF('Statement of Marks'!H148="","",'Statement of Marks'!H148)</f>
        <v/>
      </c>
      <c r="H146" s="830" t="str">
        <f>IF('Statement of Marks'!HS148="","",'Statement of Marks'!HS148)</f>
        <v/>
      </c>
      <c r="I146" s="172" t="str">
        <f>IF('Statement of Marks'!HV148="","",'Statement of Marks'!HV148)</f>
        <v/>
      </c>
      <c r="J146" s="317" t="str">
        <f>IF('Statement of Marks'!HW148="","",'Statement of Marks'!HW148)</f>
        <v/>
      </c>
      <c r="K146" s="392" t="str">
        <f>'Statement of Marks'!GN148</f>
        <v/>
      </c>
      <c r="L146" s="392" t="str">
        <f>'Statement of Marks'!GQ148</f>
        <v/>
      </c>
      <c r="M146" s="181" t="str">
        <f>'Statement of Marks'!GU148</f>
        <v/>
      </c>
      <c r="N146" s="181" t="str">
        <f>'Statement of Marks'!GV148</f>
        <v/>
      </c>
      <c r="O146" s="181" t="str">
        <f>'Statement of Marks'!GW148</f>
        <v/>
      </c>
      <c r="P146" s="181" t="str">
        <f>'Statement of Marks'!GX148</f>
        <v/>
      </c>
      <c r="Q146" s="181" t="str">
        <f>'Statement of Marks'!GY148</f>
        <v/>
      </c>
      <c r="R146" s="392" t="str">
        <f>'Statement of Marks'!HB148</f>
        <v/>
      </c>
      <c r="S146" s="392" t="str">
        <f>'Statement of Marks'!HE148</f>
        <v/>
      </c>
      <c r="T146" s="392" t="str">
        <f>'Statement of Marks'!HH148</f>
        <v/>
      </c>
      <c r="U146" s="392" t="str">
        <f>'Statement of Marks'!HK148</f>
        <v/>
      </c>
      <c r="V146" s="318" t="str">
        <f>IF(COUNTIF(K146:U146,"F")&gt;0,"",CONCATENATE('Statement of Marks'!HO148,'Statement of Marks'!HP148,'Statement of Marks'!HQ148))</f>
        <v xml:space="preserve">                  </v>
      </c>
      <c r="BI146" s="6" t="str">
        <f>IFERROR(VLOOKUP(B146,'Statement of Marks'!$B$7:'Statement of Marks'!$IC$206,41,0),"")</f>
        <v/>
      </c>
      <c r="BJ146" s="6" t="str">
        <f>IFERROR(VLOOKUP(B146,'Statement of Marks'!$B$7:'Statement of Marks'!$IC$206,66,0),"")</f>
        <v/>
      </c>
      <c r="BK146" s="6">
        <f>IFERROR(VLOOKUP(B146,'Statement of Marks'!$B$7:'Statement of Marks'!$IC$206,91,0),"")</f>
        <v>0</v>
      </c>
      <c r="BL146" s="6" t="str">
        <f>IFERROR(VLOOKUP(B146,'Statement of Marks'!$B$7:'Statement of Marks'!$IC$206,117,0),"")</f>
        <v/>
      </c>
    </row>
    <row r="147" spans="1:64" ht="21" customHeight="1">
      <c r="A147" s="169">
        <f>IF('Statement of Marks'!A149="","",'Statement of Marks'!A149)</f>
        <v>143</v>
      </c>
      <c r="B147" s="169" t="str">
        <f>IF('Statement of Marks'!B149="","",'Statement of Marks'!B149)</f>
        <v/>
      </c>
      <c r="C147" s="169" t="str">
        <f>IF('Statement of Marks'!D149="","",'Statement of Marks'!D149)</f>
        <v/>
      </c>
      <c r="D147" s="315" t="str">
        <f>IF('Statement of Marks'!E149="","",'Statement of Marks'!E149)</f>
        <v/>
      </c>
      <c r="E147" s="316" t="str">
        <f>IF('Statement of Marks'!F149="","",'Statement of Marks'!F149)</f>
        <v/>
      </c>
      <c r="F147" s="316" t="str">
        <f>IF('Statement of Marks'!G149="","",'Statement of Marks'!G149)</f>
        <v/>
      </c>
      <c r="G147" s="316" t="str">
        <f>IF('Statement of Marks'!H149="","",'Statement of Marks'!H149)</f>
        <v/>
      </c>
      <c r="H147" s="830" t="str">
        <f>IF('Statement of Marks'!HS149="","",'Statement of Marks'!HS149)</f>
        <v/>
      </c>
      <c r="I147" s="172" t="str">
        <f>IF('Statement of Marks'!HV149="","",'Statement of Marks'!HV149)</f>
        <v/>
      </c>
      <c r="J147" s="317" t="str">
        <f>IF('Statement of Marks'!HW149="","",'Statement of Marks'!HW149)</f>
        <v/>
      </c>
      <c r="K147" s="392" t="str">
        <f>'Statement of Marks'!GN149</f>
        <v/>
      </c>
      <c r="L147" s="392" t="str">
        <f>'Statement of Marks'!GQ149</f>
        <v/>
      </c>
      <c r="M147" s="181" t="str">
        <f>'Statement of Marks'!GU149</f>
        <v/>
      </c>
      <c r="N147" s="181" t="str">
        <f>'Statement of Marks'!GV149</f>
        <v/>
      </c>
      <c r="O147" s="181" t="str">
        <f>'Statement of Marks'!GW149</f>
        <v/>
      </c>
      <c r="P147" s="181" t="str">
        <f>'Statement of Marks'!GX149</f>
        <v/>
      </c>
      <c r="Q147" s="181" t="str">
        <f>'Statement of Marks'!GY149</f>
        <v/>
      </c>
      <c r="R147" s="392" t="str">
        <f>'Statement of Marks'!HB149</f>
        <v/>
      </c>
      <c r="S147" s="392" t="str">
        <f>'Statement of Marks'!HE149</f>
        <v/>
      </c>
      <c r="T147" s="392" t="str">
        <f>'Statement of Marks'!HH149</f>
        <v/>
      </c>
      <c r="U147" s="392" t="str">
        <f>'Statement of Marks'!HK149</f>
        <v/>
      </c>
      <c r="V147" s="318" t="str">
        <f>IF(COUNTIF(K147:U147,"F")&gt;0,"",CONCATENATE('Statement of Marks'!HO149,'Statement of Marks'!HP149,'Statement of Marks'!HQ149))</f>
        <v xml:space="preserve">                  </v>
      </c>
      <c r="BI147" s="6" t="str">
        <f>IFERROR(VLOOKUP(B147,'Statement of Marks'!$B$7:'Statement of Marks'!$IC$206,41,0),"")</f>
        <v/>
      </c>
      <c r="BJ147" s="6" t="str">
        <f>IFERROR(VLOOKUP(B147,'Statement of Marks'!$B$7:'Statement of Marks'!$IC$206,66,0),"")</f>
        <v/>
      </c>
      <c r="BK147" s="6">
        <f>IFERROR(VLOOKUP(B147,'Statement of Marks'!$B$7:'Statement of Marks'!$IC$206,91,0),"")</f>
        <v>0</v>
      </c>
      <c r="BL147" s="6" t="str">
        <f>IFERROR(VLOOKUP(B147,'Statement of Marks'!$B$7:'Statement of Marks'!$IC$206,117,0),"")</f>
        <v/>
      </c>
    </row>
    <row r="148" spans="1:64" ht="21" customHeight="1">
      <c r="A148" s="169">
        <f>IF('Statement of Marks'!A150="","",'Statement of Marks'!A150)</f>
        <v>144</v>
      </c>
      <c r="B148" s="169" t="str">
        <f>IF('Statement of Marks'!B150="","",'Statement of Marks'!B150)</f>
        <v/>
      </c>
      <c r="C148" s="169" t="str">
        <f>IF('Statement of Marks'!D150="","",'Statement of Marks'!D150)</f>
        <v/>
      </c>
      <c r="D148" s="315" t="str">
        <f>IF('Statement of Marks'!E150="","",'Statement of Marks'!E150)</f>
        <v/>
      </c>
      <c r="E148" s="316" t="str">
        <f>IF('Statement of Marks'!F150="","",'Statement of Marks'!F150)</f>
        <v/>
      </c>
      <c r="F148" s="316" t="str">
        <f>IF('Statement of Marks'!G150="","",'Statement of Marks'!G150)</f>
        <v/>
      </c>
      <c r="G148" s="316" t="str">
        <f>IF('Statement of Marks'!H150="","",'Statement of Marks'!H150)</f>
        <v/>
      </c>
      <c r="H148" s="830" t="str">
        <f>IF('Statement of Marks'!HS150="","",'Statement of Marks'!HS150)</f>
        <v/>
      </c>
      <c r="I148" s="172" t="str">
        <f>IF('Statement of Marks'!HV150="","",'Statement of Marks'!HV150)</f>
        <v/>
      </c>
      <c r="J148" s="317" t="str">
        <f>IF('Statement of Marks'!HW150="","",'Statement of Marks'!HW150)</f>
        <v/>
      </c>
      <c r="K148" s="392" t="str">
        <f>'Statement of Marks'!GN150</f>
        <v/>
      </c>
      <c r="L148" s="392" t="str">
        <f>'Statement of Marks'!GQ150</f>
        <v/>
      </c>
      <c r="M148" s="181" t="str">
        <f>'Statement of Marks'!GU150</f>
        <v/>
      </c>
      <c r="N148" s="181" t="str">
        <f>'Statement of Marks'!GV150</f>
        <v/>
      </c>
      <c r="O148" s="181" t="str">
        <f>'Statement of Marks'!GW150</f>
        <v/>
      </c>
      <c r="P148" s="181" t="str">
        <f>'Statement of Marks'!GX150</f>
        <v/>
      </c>
      <c r="Q148" s="181" t="str">
        <f>'Statement of Marks'!GY150</f>
        <v/>
      </c>
      <c r="R148" s="392" t="str">
        <f>'Statement of Marks'!HB150</f>
        <v/>
      </c>
      <c r="S148" s="392" t="str">
        <f>'Statement of Marks'!HE150</f>
        <v/>
      </c>
      <c r="T148" s="392" t="str">
        <f>'Statement of Marks'!HH150</f>
        <v/>
      </c>
      <c r="U148" s="392" t="str">
        <f>'Statement of Marks'!HK150</f>
        <v/>
      </c>
      <c r="V148" s="318" t="str">
        <f>IF(COUNTIF(K148:U148,"F")&gt;0,"",CONCATENATE('Statement of Marks'!HO150,'Statement of Marks'!HP150,'Statement of Marks'!HQ150))</f>
        <v xml:space="preserve">                  </v>
      </c>
      <c r="BI148" s="6" t="str">
        <f>IFERROR(VLOOKUP(B148,'Statement of Marks'!$B$7:'Statement of Marks'!$IC$206,41,0),"")</f>
        <v/>
      </c>
      <c r="BJ148" s="6" t="str">
        <f>IFERROR(VLOOKUP(B148,'Statement of Marks'!$B$7:'Statement of Marks'!$IC$206,66,0),"")</f>
        <v/>
      </c>
      <c r="BK148" s="6">
        <f>IFERROR(VLOOKUP(B148,'Statement of Marks'!$B$7:'Statement of Marks'!$IC$206,91,0),"")</f>
        <v>0</v>
      </c>
      <c r="BL148" s="6" t="str">
        <f>IFERROR(VLOOKUP(B148,'Statement of Marks'!$B$7:'Statement of Marks'!$IC$206,117,0),"")</f>
        <v/>
      </c>
    </row>
    <row r="149" spans="1:64" ht="21" customHeight="1">
      <c r="A149" s="169">
        <f>IF('Statement of Marks'!A151="","",'Statement of Marks'!A151)</f>
        <v>145</v>
      </c>
      <c r="B149" s="169" t="str">
        <f>IF('Statement of Marks'!B151="","",'Statement of Marks'!B151)</f>
        <v/>
      </c>
      <c r="C149" s="169" t="str">
        <f>IF('Statement of Marks'!D151="","",'Statement of Marks'!D151)</f>
        <v/>
      </c>
      <c r="D149" s="315" t="str">
        <f>IF('Statement of Marks'!E151="","",'Statement of Marks'!E151)</f>
        <v/>
      </c>
      <c r="E149" s="316" t="str">
        <f>IF('Statement of Marks'!F151="","",'Statement of Marks'!F151)</f>
        <v/>
      </c>
      <c r="F149" s="316" t="str">
        <f>IF('Statement of Marks'!G151="","",'Statement of Marks'!G151)</f>
        <v/>
      </c>
      <c r="G149" s="316" t="str">
        <f>IF('Statement of Marks'!H151="","",'Statement of Marks'!H151)</f>
        <v/>
      </c>
      <c r="H149" s="830" t="str">
        <f>IF('Statement of Marks'!HS151="","",'Statement of Marks'!HS151)</f>
        <v/>
      </c>
      <c r="I149" s="172" t="str">
        <f>IF('Statement of Marks'!HV151="","",'Statement of Marks'!HV151)</f>
        <v/>
      </c>
      <c r="J149" s="317" t="str">
        <f>IF('Statement of Marks'!HW151="","",'Statement of Marks'!HW151)</f>
        <v/>
      </c>
      <c r="K149" s="392" t="str">
        <f>'Statement of Marks'!GN151</f>
        <v/>
      </c>
      <c r="L149" s="392" t="str">
        <f>'Statement of Marks'!GQ151</f>
        <v/>
      </c>
      <c r="M149" s="181" t="str">
        <f>'Statement of Marks'!GU151</f>
        <v/>
      </c>
      <c r="N149" s="181" t="str">
        <f>'Statement of Marks'!GV151</f>
        <v/>
      </c>
      <c r="O149" s="181" t="str">
        <f>'Statement of Marks'!GW151</f>
        <v/>
      </c>
      <c r="P149" s="181" t="str">
        <f>'Statement of Marks'!GX151</f>
        <v/>
      </c>
      <c r="Q149" s="181" t="str">
        <f>'Statement of Marks'!GY151</f>
        <v/>
      </c>
      <c r="R149" s="392" t="str">
        <f>'Statement of Marks'!HB151</f>
        <v/>
      </c>
      <c r="S149" s="392" t="str">
        <f>'Statement of Marks'!HE151</f>
        <v/>
      </c>
      <c r="T149" s="392" t="str">
        <f>'Statement of Marks'!HH151</f>
        <v/>
      </c>
      <c r="U149" s="392" t="str">
        <f>'Statement of Marks'!HK151</f>
        <v/>
      </c>
      <c r="V149" s="318" t="str">
        <f>IF(COUNTIF(K149:U149,"F")&gt;0,"",CONCATENATE('Statement of Marks'!HO151,'Statement of Marks'!HP151,'Statement of Marks'!HQ151))</f>
        <v xml:space="preserve">                  </v>
      </c>
      <c r="BI149" s="6" t="str">
        <f>IFERROR(VLOOKUP(B149,'Statement of Marks'!$B$7:'Statement of Marks'!$IC$206,41,0),"")</f>
        <v/>
      </c>
      <c r="BJ149" s="6" t="str">
        <f>IFERROR(VLOOKUP(B149,'Statement of Marks'!$B$7:'Statement of Marks'!$IC$206,66,0),"")</f>
        <v/>
      </c>
      <c r="BK149" s="6">
        <f>IFERROR(VLOOKUP(B149,'Statement of Marks'!$B$7:'Statement of Marks'!$IC$206,91,0),"")</f>
        <v>0</v>
      </c>
      <c r="BL149" s="6" t="str">
        <f>IFERROR(VLOOKUP(B149,'Statement of Marks'!$B$7:'Statement of Marks'!$IC$206,117,0),"")</f>
        <v/>
      </c>
    </row>
    <row r="150" spans="1:64" ht="21" customHeight="1">
      <c r="A150" s="169">
        <f>IF('Statement of Marks'!A152="","",'Statement of Marks'!A152)</f>
        <v>146</v>
      </c>
      <c r="B150" s="169" t="str">
        <f>IF('Statement of Marks'!B152="","",'Statement of Marks'!B152)</f>
        <v/>
      </c>
      <c r="C150" s="169" t="str">
        <f>IF('Statement of Marks'!D152="","",'Statement of Marks'!D152)</f>
        <v/>
      </c>
      <c r="D150" s="315" t="str">
        <f>IF('Statement of Marks'!E152="","",'Statement of Marks'!E152)</f>
        <v/>
      </c>
      <c r="E150" s="316" t="str">
        <f>IF('Statement of Marks'!F152="","",'Statement of Marks'!F152)</f>
        <v/>
      </c>
      <c r="F150" s="316" t="str">
        <f>IF('Statement of Marks'!G152="","",'Statement of Marks'!G152)</f>
        <v/>
      </c>
      <c r="G150" s="316" t="str">
        <f>IF('Statement of Marks'!H152="","",'Statement of Marks'!H152)</f>
        <v/>
      </c>
      <c r="H150" s="830" t="str">
        <f>IF('Statement of Marks'!HS152="","",'Statement of Marks'!HS152)</f>
        <v/>
      </c>
      <c r="I150" s="172" t="str">
        <f>IF('Statement of Marks'!HV152="","",'Statement of Marks'!HV152)</f>
        <v/>
      </c>
      <c r="J150" s="317" t="str">
        <f>IF('Statement of Marks'!HW152="","",'Statement of Marks'!HW152)</f>
        <v/>
      </c>
      <c r="K150" s="392" t="str">
        <f>'Statement of Marks'!GN152</f>
        <v/>
      </c>
      <c r="L150" s="392" t="str">
        <f>'Statement of Marks'!GQ152</f>
        <v/>
      </c>
      <c r="M150" s="181" t="str">
        <f>'Statement of Marks'!GU152</f>
        <v/>
      </c>
      <c r="N150" s="181" t="str">
        <f>'Statement of Marks'!GV152</f>
        <v/>
      </c>
      <c r="O150" s="181" t="str">
        <f>'Statement of Marks'!GW152</f>
        <v/>
      </c>
      <c r="P150" s="181" t="str">
        <f>'Statement of Marks'!GX152</f>
        <v/>
      </c>
      <c r="Q150" s="181" t="str">
        <f>'Statement of Marks'!GY152</f>
        <v/>
      </c>
      <c r="R150" s="392" t="str">
        <f>'Statement of Marks'!HB152</f>
        <v/>
      </c>
      <c r="S150" s="392" t="str">
        <f>'Statement of Marks'!HE152</f>
        <v/>
      </c>
      <c r="T150" s="392" t="str">
        <f>'Statement of Marks'!HH152</f>
        <v/>
      </c>
      <c r="U150" s="392" t="str">
        <f>'Statement of Marks'!HK152</f>
        <v/>
      </c>
      <c r="V150" s="318" t="str">
        <f>IF(COUNTIF(K150:U150,"F")&gt;0,"",CONCATENATE('Statement of Marks'!HO152,'Statement of Marks'!HP152,'Statement of Marks'!HQ152))</f>
        <v xml:space="preserve">                  </v>
      </c>
      <c r="BI150" s="6" t="str">
        <f>IFERROR(VLOOKUP(B150,'Statement of Marks'!$B$7:'Statement of Marks'!$IC$206,41,0),"")</f>
        <v/>
      </c>
      <c r="BJ150" s="6" t="str">
        <f>IFERROR(VLOOKUP(B150,'Statement of Marks'!$B$7:'Statement of Marks'!$IC$206,66,0),"")</f>
        <v/>
      </c>
      <c r="BK150" s="6">
        <f>IFERROR(VLOOKUP(B150,'Statement of Marks'!$B$7:'Statement of Marks'!$IC$206,91,0),"")</f>
        <v>0</v>
      </c>
      <c r="BL150" s="6" t="str">
        <f>IFERROR(VLOOKUP(B150,'Statement of Marks'!$B$7:'Statement of Marks'!$IC$206,117,0),"")</f>
        <v/>
      </c>
    </row>
    <row r="151" spans="1:64" ht="21" customHeight="1">
      <c r="A151" s="169">
        <f>IF('Statement of Marks'!A153="","",'Statement of Marks'!A153)</f>
        <v>147</v>
      </c>
      <c r="B151" s="169" t="str">
        <f>IF('Statement of Marks'!B153="","",'Statement of Marks'!B153)</f>
        <v/>
      </c>
      <c r="C151" s="169" t="str">
        <f>IF('Statement of Marks'!D153="","",'Statement of Marks'!D153)</f>
        <v/>
      </c>
      <c r="D151" s="315" t="str">
        <f>IF('Statement of Marks'!E153="","",'Statement of Marks'!E153)</f>
        <v/>
      </c>
      <c r="E151" s="316" t="str">
        <f>IF('Statement of Marks'!F153="","",'Statement of Marks'!F153)</f>
        <v/>
      </c>
      <c r="F151" s="316" t="str">
        <f>IF('Statement of Marks'!G153="","",'Statement of Marks'!G153)</f>
        <v/>
      </c>
      <c r="G151" s="316" t="str">
        <f>IF('Statement of Marks'!H153="","",'Statement of Marks'!H153)</f>
        <v/>
      </c>
      <c r="H151" s="830" t="str">
        <f>IF('Statement of Marks'!HS153="","",'Statement of Marks'!HS153)</f>
        <v/>
      </c>
      <c r="I151" s="172" t="str">
        <f>IF('Statement of Marks'!HV153="","",'Statement of Marks'!HV153)</f>
        <v/>
      </c>
      <c r="J151" s="317" t="str">
        <f>IF('Statement of Marks'!HW153="","",'Statement of Marks'!HW153)</f>
        <v/>
      </c>
      <c r="K151" s="392" t="str">
        <f>'Statement of Marks'!GN153</f>
        <v/>
      </c>
      <c r="L151" s="392" t="str">
        <f>'Statement of Marks'!GQ153</f>
        <v/>
      </c>
      <c r="M151" s="181" t="str">
        <f>'Statement of Marks'!GU153</f>
        <v/>
      </c>
      <c r="N151" s="181" t="str">
        <f>'Statement of Marks'!GV153</f>
        <v/>
      </c>
      <c r="O151" s="181" t="str">
        <f>'Statement of Marks'!GW153</f>
        <v/>
      </c>
      <c r="P151" s="181" t="str">
        <f>'Statement of Marks'!GX153</f>
        <v/>
      </c>
      <c r="Q151" s="181" t="str">
        <f>'Statement of Marks'!GY153</f>
        <v/>
      </c>
      <c r="R151" s="392" t="str">
        <f>'Statement of Marks'!HB153</f>
        <v/>
      </c>
      <c r="S151" s="392" t="str">
        <f>'Statement of Marks'!HE153</f>
        <v/>
      </c>
      <c r="T151" s="392" t="str">
        <f>'Statement of Marks'!HH153</f>
        <v/>
      </c>
      <c r="U151" s="392" t="str">
        <f>'Statement of Marks'!HK153</f>
        <v/>
      </c>
      <c r="V151" s="318" t="str">
        <f>IF(COUNTIF(K151:U151,"F")&gt;0,"",CONCATENATE('Statement of Marks'!HO153,'Statement of Marks'!HP153,'Statement of Marks'!HQ153))</f>
        <v xml:space="preserve">                  </v>
      </c>
      <c r="BI151" s="6" t="str">
        <f>IFERROR(VLOOKUP(B151,'Statement of Marks'!$B$7:'Statement of Marks'!$IC$206,41,0),"")</f>
        <v/>
      </c>
      <c r="BJ151" s="6" t="str">
        <f>IFERROR(VLOOKUP(B151,'Statement of Marks'!$B$7:'Statement of Marks'!$IC$206,66,0),"")</f>
        <v/>
      </c>
      <c r="BK151" s="6">
        <f>IFERROR(VLOOKUP(B151,'Statement of Marks'!$B$7:'Statement of Marks'!$IC$206,91,0),"")</f>
        <v>0</v>
      </c>
      <c r="BL151" s="6" t="str">
        <f>IFERROR(VLOOKUP(B151,'Statement of Marks'!$B$7:'Statement of Marks'!$IC$206,117,0),"")</f>
        <v/>
      </c>
    </row>
    <row r="152" spans="1:64" ht="21" customHeight="1">
      <c r="A152" s="169">
        <f>IF('Statement of Marks'!A154="","",'Statement of Marks'!A154)</f>
        <v>148</v>
      </c>
      <c r="B152" s="169" t="str">
        <f>IF('Statement of Marks'!B154="","",'Statement of Marks'!B154)</f>
        <v/>
      </c>
      <c r="C152" s="169" t="str">
        <f>IF('Statement of Marks'!D154="","",'Statement of Marks'!D154)</f>
        <v/>
      </c>
      <c r="D152" s="315" t="str">
        <f>IF('Statement of Marks'!E154="","",'Statement of Marks'!E154)</f>
        <v/>
      </c>
      <c r="E152" s="316" t="str">
        <f>IF('Statement of Marks'!F154="","",'Statement of Marks'!F154)</f>
        <v/>
      </c>
      <c r="F152" s="316" t="str">
        <f>IF('Statement of Marks'!G154="","",'Statement of Marks'!G154)</f>
        <v/>
      </c>
      <c r="G152" s="316" t="str">
        <f>IF('Statement of Marks'!H154="","",'Statement of Marks'!H154)</f>
        <v/>
      </c>
      <c r="H152" s="830" t="str">
        <f>IF('Statement of Marks'!HS154="","",'Statement of Marks'!HS154)</f>
        <v/>
      </c>
      <c r="I152" s="172" t="str">
        <f>IF('Statement of Marks'!HV154="","",'Statement of Marks'!HV154)</f>
        <v/>
      </c>
      <c r="J152" s="317" t="str">
        <f>IF('Statement of Marks'!HW154="","",'Statement of Marks'!HW154)</f>
        <v/>
      </c>
      <c r="K152" s="392" t="str">
        <f>'Statement of Marks'!GN154</f>
        <v/>
      </c>
      <c r="L152" s="392" t="str">
        <f>'Statement of Marks'!GQ154</f>
        <v/>
      </c>
      <c r="M152" s="181" t="str">
        <f>'Statement of Marks'!GU154</f>
        <v/>
      </c>
      <c r="N152" s="181" t="str">
        <f>'Statement of Marks'!GV154</f>
        <v/>
      </c>
      <c r="O152" s="181" t="str">
        <f>'Statement of Marks'!GW154</f>
        <v/>
      </c>
      <c r="P152" s="181" t="str">
        <f>'Statement of Marks'!GX154</f>
        <v/>
      </c>
      <c r="Q152" s="181" t="str">
        <f>'Statement of Marks'!GY154</f>
        <v/>
      </c>
      <c r="R152" s="392" t="str">
        <f>'Statement of Marks'!HB154</f>
        <v/>
      </c>
      <c r="S152" s="392" t="str">
        <f>'Statement of Marks'!HE154</f>
        <v/>
      </c>
      <c r="T152" s="392" t="str">
        <f>'Statement of Marks'!HH154</f>
        <v/>
      </c>
      <c r="U152" s="392" t="str">
        <f>'Statement of Marks'!HK154</f>
        <v/>
      </c>
      <c r="V152" s="318" t="str">
        <f>IF(COUNTIF(K152:U152,"F")&gt;0,"",CONCATENATE('Statement of Marks'!HO154,'Statement of Marks'!HP154,'Statement of Marks'!HQ154))</f>
        <v xml:space="preserve">                  </v>
      </c>
      <c r="BI152" s="6" t="str">
        <f>IFERROR(VLOOKUP(B152,'Statement of Marks'!$B$7:'Statement of Marks'!$IC$206,41,0),"")</f>
        <v/>
      </c>
      <c r="BJ152" s="6" t="str">
        <f>IFERROR(VLOOKUP(B152,'Statement of Marks'!$B$7:'Statement of Marks'!$IC$206,66,0),"")</f>
        <v/>
      </c>
      <c r="BK152" s="6">
        <f>IFERROR(VLOOKUP(B152,'Statement of Marks'!$B$7:'Statement of Marks'!$IC$206,91,0),"")</f>
        <v>0</v>
      </c>
      <c r="BL152" s="6" t="str">
        <f>IFERROR(VLOOKUP(B152,'Statement of Marks'!$B$7:'Statement of Marks'!$IC$206,117,0),"")</f>
        <v/>
      </c>
    </row>
    <row r="153" spans="1:64" ht="21" customHeight="1">
      <c r="A153" s="169">
        <f>IF('Statement of Marks'!A155="","",'Statement of Marks'!A155)</f>
        <v>149</v>
      </c>
      <c r="B153" s="169" t="str">
        <f>IF('Statement of Marks'!B155="","",'Statement of Marks'!B155)</f>
        <v/>
      </c>
      <c r="C153" s="169" t="str">
        <f>IF('Statement of Marks'!D155="","",'Statement of Marks'!D155)</f>
        <v/>
      </c>
      <c r="D153" s="315" t="str">
        <f>IF('Statement of Marks'!E155="","",'Statement of Marks'!E155)</f>
        <v/>
      </c>
      <c r="E153" s="316" t="str">
        <f>IF('Statement of Marks'!F155="","",'Statement of Marks'!F155)</f>
        <v/>
      </c>
      <c r="F153" s="316" t="str">
        <f>IF('Statement of Marks'!G155="","",'Statement of Marks'!G155)</f>
        <v/>
      </c>
      <c r="G153" s="316" t="str">
        <f>IF('Statement of Marks'!H155="","",'Statement of Marks'!H155)</f>
        <v/>
      </c>
      <c r="H153" s="830" t="str">
        <f>IF('Statement of Marks'!HS155="","",'Statement of Marks'!HS155)</f>
        <v/>
      </c>
      <c r="I153" s="172" t="str">
        <f>IF('Statement of Marks'!HV155="","",'Statement of Marks'!HV155)</f>
        <v/>
      </c>
      <c r="J153" s="317" t="str">
        <f>IF('Statement of Marks'!HW155="","",'Statement of Marks'!HW155)</f>
        <v/>
      </c>
      <c r="K153" s="392" t="str">
        <f>'Statement of Marks'!GN155</f>
        <v/>
      </c>
      <c r="L153" s="392" t="str">
        <f>'Statement of Marks'!GQ155</f>
        <v/>
      </c>
      <c r="M153" s="181" t="str">
        <f>'Statement of Marks'!GU155</f>
        <v/>
      </c>
      <c r="N153" s="181" t="str">
        <f>'Statement of Marks'!GV155</f>
        <v/>
      </c>
      <c r="O153" s="181" t="str">
        <f>'Statement of Marks'!GW155</f>
        <v/>
      </c>
      <c r="P153" s="181" t="str">
        <f>'Statement of Marks'!GX155</f>
        <v/>
      </c>
      <c r="Q153" s="181" t="str">
        <f>'Statement of Marks'!GY155</f>
        <v/>
      </c>
      <c r="R153" s="392" t="str">
        <f>'Statement of Marks'!HB155</f>
        <v/>
      </c>
      <c r="S153" s="392" t="str">
        <f>'Statement of Marks'!HE155</f>
        <v/>
      </c>
      <c r="T153" s="392" t="str">
        <f>'Statement of Marks'!HH155</f>
        <v/>
      </c>
      <c r="U153" s="392" t="str">
        <f>'Statement of Marks'!HK155</f>
        <v/>
      </c>
      <c r="V153" s="318" t="str">
        <f>IF(COUNTIF(K153:U153,"F")&gt;0,"",CONCATENATE('Statement of Marks'!HO155,'Statement of Marks'!HP155,'Statement of Marks'!HQ155))</f>
        <v xml:space="preserve">                  </v>
      </c>
      <c r="BI153" s="6" t="str">
        <f>IFERROR(VLOOKUP(B153,'Statement of Marks'!$B$7:'Statement of Marks'!$IC$206,41,0),"")</f>
        <v/>
      </c>
      <c r="BJ153" s="6" t="str">
        <f>IFERROR(VLOOKUP(B153,'Statement of Marks'!$B$7:'Statement of Marks'!$IC$206,66,0),"")</f>
        <v/>
      </c>
      <c r="BK153" s="6">
        <f>IFERROR(VLOOKUP(B153,'Statement of Marks'!$B$7:'Statement of Marks'!$IC$206,91,0),"")</f>
        <v>0</v>
      </c>
      <c r="BL153" s="6" t="str">
        <f>IFERROR(VLOOKUP(B153,'Statement of Marks'!$B$7:'Statement of Marks'!$IC$206,117,0),"")</f>
        <v/>
      </c>
    </row>
    <row r="154" spans="1:64" ht="21" customHeight="1">
      <c r="A154" s="169">
        <f>IF('Statement of Marks'!A156="","",'Statement of Marks'!A156)</f>
        <v>150</v>
      </c>
      <c r="B154" s="169" t="str">
        <f>IF('Statement of Marks'!B156="","",'Statement of Marks'!B156)</f>
        <v/>
      </c>
      <c r="C154" s="169" t="str">
        <f>IF('Statement of Marks'!D156="","",'Statement of Marks'!D156)</f>
        <v/>
      </c>
      <c r="D154" s="315" t="str">
        <f>IF('Statement of Marks'!E156="","",'Statement of Marks'!E156)</f>
        <v/>
      </c>
      <c r="E154" s="316" t="str">
        <f>IF('Statement of Marks'!F156="","",'Statement of Marks'!F156)</f>
        <v/>
      </c>
      <c r="F154" s="316" t="str">
        <f>IF('Statement of Marks'!G156="","",'Statement of Marks'!G156)</f>
        <v/>
      </c>
      <c r="G154" s="316" t="str">
        <f>IF('Statement of Marks'!H156="","",'Statement of Marks'!H156)</f>
        <v/>
      </c>
      <c r="H154" s="830" t="str">
        <f>IF('Statement of Marks'!HS156="","",'Statement of Marks'!HS156)</f>
        <v/>
      </c>
      <c r="I154" s="172" t="str">
        <f>IF('Statement of Marks'!HV156="","",'Statement of Marks'!HV156)</f>
        <v/>
      </c>
      <c r="J154" s="317" t="str">
        <f>IF('Statement of Marks'!HW156="","",'Statement of Marks'!HW156)</f>
        <v/>
      </c>
      <c r="K154" s="392" t="str">
        <f>'Statement of Marks'!GN156</f>
        <v/>
      </c>
      <c r="L154" s="392" t="str">
        <f>'Statement of Marks'!GQ156</f>
        <v/>
      </c>
      <c r="M154" s="181" t="str">
        <f>'Statement of Marks'!GU156</f>
        <v/>
      </c>
      <c r="N154" s="181" t="str">
        <f>'Statement of Marks'!GV156</f>
        <v/>
      </c>
      <c r="O154" s="181" t="str">
        <f>'Statement of Marks'!GW156</f>
        <v/>
      </c>
      <c r="P154" s="181" t="str">
        <f>'Statement of Marks'!GX156</f>
        <v/>
      </c>
      <c r="Q154" s="181" t="str">
        <f>'Statement of Marks'!GY156</f>
        <v/>
      </c>
      <c r="R154" s="392" t="str">
        <f>'Statement of Marks'!HB156</f>
        <v/>
      </c>
      <c r="S154" s="392" t="str">
        <f>'Statement of Marks'!HE156</f>
        <v/>
      </c>
      <c r="T154" s="392" t="str">
        <f>'Statement of Marks'!HH156</f>
        <v/>
      </c>
      <c r="U154" s="392" t="str">
        <f>'Statement of Marks'!HK156</f>
        <v/>
      </c>
      <c r="V154" s="318" t="str">
        <f>IF(COUNTIF(K154:U154,"F")&gt;0,"",CONCATENATE('Statement of Marks'!HO156,'Statement of Marks'!HP156,'Statement of Marks'!HQ156))</f>
        <v xml:space="preserve">                  </v>
      </c>
      <c r="BI154" s="6" t="str">
        <f>IFERROR(VLOOKUP(B154,'Statement of Marks'!$B$7:'Statement of Marks'!$IC$206,41,0),"")</f>
        <v/>
      </c>
      <c r="BJ154" s="6" t="str">
        <f>IFERROR(VLOOKUP(B154,'Statement of Marks'!$B$7:'Statement of Marks'!$IC$206,66,0),"")</f>
        <v/>
      </c>
      <c r="BK154" s="6">
        <f>IFERROR(VLOOKUP(B154,'Statement of Marks'!$B$7:'Statement of Marks'!$IC$206,91,0),"")</f>
        <v>0</v>
      </c>
      <c r="BL154" s="6" t="str">
        <f>IFERROR(VLOOKUP(B154,'Statement of Marks'!$B$7:'Statement of Marks'!$IC$206,117,0),"")</f>
        <v/>
      </c>
    </row>
    <row r="155" spans="1:64" ht="21" customHeight="1">
      <c r="A155" s="169">
        <f>IF('Statement of Marks'!A157="","",'Statement of Marks'!A157)</f>
        <v>151</v>
      </c>
      <c r="B155" s="169" t="str">
        <f>IF('Statement of Marks'!B157="","",'Statement of Marks'!B157)</f>
        <v/>
      </c>
      <c r="C155" s="169" t="str">
        <f>IF('Statement of Marks'!D157="","",'Statement of Marks'!D157)</f>
        <v/>
      </c>
      <c r="D155" s="315" t="str">
        <f>IF('Statement of Marks'!E157="","",'Statement of Marks'!E157)</f>
        <v/>
      </c>
      <c r="E155" s="316" t="str">
        <f>IF('Statement of Marks'!F157="","",'Statement of Marks'!F157)</f>
        <v/>
      </c>
      <c r="F155" s="316" t="str">
        <f>IF('Statement of Marks'!G157="","",'Statement of Marks'!G157)</f>
        <v/>
      </c>
      <c r="G155" s="316" t="str">
        <f>IF('Statement of Marks'!H157="","",'Statement of Marks'!H157)</f>
        <v/>
      </c>
      <c r="H155" s="830" t="str">
        <f>IF('Statement of Marks'!HS157="","",'Statement of Marks'!HS157)</f>
        <v/>
      </c>
      <c r="I155" s="172" t="str">
        <f>IF('Statement of Marks'!HV157="","",'Statement of Marks'!HV157)</f>
        <v/>
      </c>
      <c r="J155" s="317" t="str">
        <f>IF('Statement of Marks'!HW157="","",'Statement of Marks'!HW157)</f>
        <v/>
      </c>
      <c r="K155" s="392" t="str">
        <f>'Statement of Marks'!GN157</f>
        <v/>
      </c>
      <c r="L155" s="392" t="str">
        <f>'Statement of Marks'!GQ157</f>
        <v/>
      </c>
      <c r="M155" s="181" t="str">
        <f>'Statement of Marks'!GU157</f>
        <v/>
      </c>
      <c r="N155" s="181" t="str">
        <f>'Statement of Marks'!GV157</f>
        <v/>
      </c>
      <c r="O155" s="181" t="str">
        <f>'Statement of Marks'!GW157</f>
        <v/>
      </c>
      <c r="P155" s="181" t="str">
        <f>'Statement of Marks'!GX157</f>
        <v/>
      </c>
      <c r="Q155" s="181" t="str">
        <f>'Statement of Marks'!GY157</f>
        <v/>
      </c>
      <c r="R155" s="392" t="str">
        <f>'Statement of Marks'!HB157</f>
        <v/>
      </c>
      <c r="S155" s="392" t="str">
        <f>'Statement of Marks'!HE157</f>
        <v/>
      </c>
      <c r="T155" s="392" t="str">
        <f>'Statement of Marks'!HH157</f>
        <v/>
      </c>
      <c r="U155" s="392" t="str">
        <f>'Statement of Marks'!HK157</f>
        <v/>
      </c>
      <c r="V155" s="318" t="str">
        <f>IF(COUNTIF(K155:U155,"F")&gt;0,"",CONCATENATE('Statement of Marks'!HO157,'Statement of Marks'!HP157,'Statement of Marks'!HQ157))</f>
        <v xml:space="preserve">                  </v>
      </c>
      <c r="BI155" s="6" t="str">
        <f>IFERROR(VLOOKUP(B155,'Statement of Marks'!$B$7:'Statement of Marks'!$IC$206,41,0),"")</f>
        <v/>
      </c>
      <c r="BJ155" s="6" t="str">
        <f>IFERROR(VLOOKUP(B155,'Statement of Marks'!$B$7:'Statement of Marks'!$IC$206,66,0),"")</f>
        <v/>
      </c>
      <c r="BK155" s="6">
        <f>IFERROR(VLOOKUP(B155,'Statement of Marks'!$B$7:'Statement of Marks'!$IC$206,91,0),"")</f>
        <v>0</v>
      </c>
      <c r="BL155" s="6" t="str">
        <f>IFERROR(VLOOKUP(B155,'Statement of Marks'!$B$7:'Statement of Marks'!$IC$206,117,0),"")</f>
        <v/>
      </c>
    </row>
    <row r="156" spans="1:64" ht="21" customHeight="1">
      <c r="A156" s="169">
        <f>IF('Statement of Marks'!A158="","",'Statement of Marks'!A158)</f>
        <v>152</v>
      </c>
      <c r="B156" s="169" t="str">
        <f>IF('Statement of Marks'!B158="","",'Statement of Marks'!B158)</f>
        <v/>
      </c>
      <c r="C156" s="169" t="str">
        <f>IF('Statement of Marks'!D158="","",'Statement of Marks'!D158)</f>
        <v/>
      </c>
      <c r="D156" s="315" t="str">
        <f>IF('Statement of Marks'!E158="","",'Statement of Marks'!E158)</f>
        <v/>
      </c>
      <c r="E156" s="316" t="str">
        <f>IF('Statement of Marks'!F158="","",'Statement of Marks'!F158)</f>
        <v/>
      </c>
      <c r="F156" s="316" t="str">
        <f>IF('Statement of Marks'!G158="","",'Statement of Marks'!G158)</f>
        <v/>
      </c>
      <c r="G156" s="316" t="str">
        <f>IF('Statement of Marks'!H158="","",'Statement of Marks'!H158)</f>
        <v/>
      </c>
      <c r="H156" s="830" t="str">
        <f>IF('Statement of Marks'!HS158="","",'Statement of Marks'!HS158)</f>
        <v/>
      </c>
      <c r="I156" s="172" t="str">
        <f>IF('Statement of Marks'!HV158="","",'Statement of Marks'!HV158)</f>
        <v/>
      </c>
      <c r="J156" s="317" t="str">
        <f>IF('Statement of Marks'!HW158="","",'Statement of Marks'!HW158)</f>
        <v/>
      </c>
      <c r="K156" s="392" t="str">
        <f>'Statement of Marks'!GN158</f>
        <v/>
      </c>
      <c r="L156" s="392" t="str">
        <f>'Statement of Marks'!GQ158</f>
        <v/>
      </c>
      <c r="M156" s="181" t="str">
        <f>'Statement of Marks'!GU158</f>
        <v/>
      </c>
      <c r="N156" s="181" t="str">
        <f>'Statement of Marks'!GV158</f>
        <v/>
      </c>
      <c r="O156" s="181" t="str">
        <f>'Statement of Marks'!GW158</f>
        <v/>
      </c>
      <c r="P156" s="181" t="str">
        <f>'Statement of Marks'!GX158</f>
        <v/>
      </c>
      <c r="Q156" s="181" t="str">
        <f>'Statement of Marks'!GY158</f>
        <v/>
      </c>
      <c r="R156" s="392" t="str">
        <f>'Statement of Marks'!HB158</f>
        <v/>
      </c>
      <c r="S156" s="392" t="str">
        <f>'Statement of Marks'!HE158</f>
        <v/>
      </c>
      <c r="T156" s="392" t="str">
        <f>'Statement of Marks'!HH158</f>
        <v/>
      </c>
      <c r="U156" s="392" t="str">
        <f>'Statement of Marks'!HK158</f>
        <v/>
      </c>
      <c r="V156" s="318" t="str">
        <f>IF(COUNTIF(K156:U156,"F")&gt;0,"",CONCATENATE('Statement of Marks'!HO158,'Statement of Marks'!HP158,'Statement of Marks'!HQ158))</f>
        <v xml:space="preserve">                  </v>
      </c>
      <c r="BI156" s="6" t="str">
        <f>IFERROR(VLOOKUP(B156,'Statement of Marks'!$B$7:'Statement of Marks'!$IC$206,41,0),"")</f>
        <v/>
      </c>
      <c r="BJ156" s="6" t="str">
        <f>IFERROR(VLOOKUP(B156,'Statement of Marks'!$B$7:'Statement of Marks'!$IC$206,66,0),"")</f>
        <v/>
      </c>
      <c r="BK156" s="6">
        <f>IFERROR(VLOOKUP(B156,'Statement of Marks'!$B$7:'Statement of Marks'!$IC$206,91,0),"")</f>
        <v>0</v>
      </c>
      <c r="BL156" s="6" t="str">
        <f>IFERROR(VLOOKUP(B156,'Statement of Marks'!$B$7:'Statement of Marks'!$IC$206,117,0),"")</f>
        <v/>
      </c>
    </row>
    <row r="157" spans="1:64" ht="21" customHeight="1">
      <c r="A157" s="169">
        <f>IF('Statement of Marks'!A159="","",'Statement of Marks'!A159)</f>
        <v>153</v>
      </c>
      <c r="B157" s="169" t="str">
        <f>IF('Statement of Marks'!B159="","",'Statement of Marks'!B159)</f>
        <v/>
      </c>
      <c r="C157" s="169" t="str">
        <f>IF('Statement of Marks'!D159="","",'Statement of Marks'!D159)</f>
        <v/>
      </c>
      <c r="D157" s="315" t="str">
        <f>IF('Statement of Marks'!E159="","",'Statement of Marks'!E159)</f>
        <v/>
      </c>
      <c r="E157" s="316" t="str">
        <f>IF('Statement of Marks'!F159="","",'Statement of Marks'!F159)</f>
        <v/>
      </c>
      <c r="F157" s="316" t="str">
        <f>IF('Statement of Marks'!G159="","",'Statement of Marks'!G159)</f>
        <v/>
      </c>
      <c r="G157" s="316" t="str">
        <f>IF('Statement of Marks'!H159="","",'Statement of Marks'!H159)</f>
        <v/>
      </c>
      <c r="H157" s="830" t="str">
        <f>IF('Statement of Marks'!HS159="","",'Statement of Marks'!HS159)</f>
        <v/>
      </c>
      <c r="I157" s="172" t="str">
        <f>IF('Statement of Marks'!HV159="","",'Statement of Marks'!HV159)</f>
        <v/>
      </c>
      <c r="J157" s="317" t="str">
        <f>IF('Statement of Marks'!HW159="","",'Statement of Marks'!HW159)</f>
        <v/>
      </c>
      <c r="K157" s="392" t="str">
        <f>'Statement of Marks'!GN159</f>
        <v/>
      </c>
      <c r="L157" s="392" t="str">
        <f>'Statement of Marks'!GQ159</f>
        <v/>
      </c>
      <c r="M157" s="181" t="str">
        <f>'Statement of Marks'!GU159</f>
        <v/>
      </c>
      <c r="N157" s="181" t="str">
        <f>'Statement of Marks'!GV159</f>
        <v/>
      </c>
      <c r="O157" s="181" t="str">
        <f>'Statement of Marks'!GW159</f>
        <v/>
      </c>
      <c r="P157" s="181" t="str">
        <f>'Statement of Marks'!GX159</f>
        <v/>
      </c>
      <c r="Q157" s="181" t="str">
        <f>'Statement of Marks'!GY159</f>
        <v/>
      </c>
      <c r="R157" s="392" t="str">
        <f>'Statement of Marks'!HB159</f>
        <v/>
      </c>
      <c r="S157" s="392" t="str">
        <f>'Statement of Marks'!HE159</f>
        <v/>
      </c>
      <c r="T157" s="392" t="str">
        <f>'Statement of Marks'!HH159</f>
        <v/>
      </c>
      <c r="U157" s="392" t="str">
        <f>'Statement of Marks'!HK159</f>
        <v/>
      </c>
      <c r="V157" s="318" t="str">
        <f>IF(COUNTIF(K157:U157,"F")&gt;0,"",CONCATENATE('Statement of Marks'!HO159,'Statement of Marks'!HP159,'Statement of Marks'!HQ159))</f>
        <v xml:space="preserve">                  </v>
      </c>
      <c r="BI157" s="6" t="str">
        <f>IFERROR(VLOOKUP(B157,'Statement of Marks'!$B$7:'Statement of Marks'!$IC$206,41,0),"")</f>
        <v/>
      </c>
      <c r="BJ157" s="6" t="str">
        <f>IFERROR(VLOOKUP(B157,'Statement of Marks'!$B$7:'Statement of Marks'!$IC$206,66,0),"")</f>
        <v/>
      </c>
      <c r="BK157" s="6">
        <f>IFERROR(VLOOKUP(B157,'Statement of Marks'!$B$7:'Statement of Marks'!$IC$206,91,0),"")</f>
        <v>0</v>
      </c>
      <c r="BL157" s="6" t="str">
        <f>IFERROR(VLOOKUP(B157,'Statement of Marks'!$B$7:'Statement of Marks'!$IC$206,117,0),"")</f>
        <v/>
      </c>
    </row>
    <row r="158" spans="1:64" ht="21" customHeight="1">
      <c r="A158" s="169">
        <f>IF('Statement of Marks'!A160="","",'Statement of Marks'!A160)</f>
        <v>154</v>
      </c>
      <c r="B158" s="169" t="str">
        <f>IF('Statement of Marks'!B160="","",'Statement of Marks'!B160)</f>
        <v/>
      </c>
      <c r="C158" s="169" t="str">
        <f>IF('Statement of Marks'!D160="","",'Statement of Marks'!D160)</f>
        <v/>
      </c>
      <c r="D158" s="315" t="str">
        <f>IF('Statement of Marks'!E160="","",'Statement of Marks'!E160)</f>
        <v/>
      </c>
      <c r="E158" s="316" t="str">
        <f>IF('Statement of Marks'!F160="","",'Statement of Marks'!F160)</f>
        <v/>
      </c>
      <c r="F158" s="316" t="str">
        <f>IF('Statement of Marks'!G160="","",'Statement of Marks'!G160)</f>
        <v/>
      </c>
      <c r="G158" s="316" t="str">
        <f>IF('Statement of Marks'!H160="","",'Statement of Marks'!H160)</f>
        <v/>
      </c>
      <c r="H158" s="830" t="str">
        <f>IF('Statement of Marks'!HS160="","",'Statement of Marks'!HS160)</f>
        <v/>
      </c>
      <c r="I158" s="172" t="str">
        <f>IF('Statement of Marks'!HV160="","",'Statement of Marks'!HV160)</f>
        <v/>
      </c>
      <c r="J158" s="317" t="str">
        <f>IF('Statement of Marks'!HW160="","",'Statement of Marks'!HW160)</f>
        <v/>
      </c>
      <c r="K158" s="392" t="str">
        <f>'Statement of Marks'!GN160</f>
        <v/>
      </c>
      <c r="L158" s="392" t="str">
        <f>'Statement of Marks'!GQ160</f>
        <v/>
      </c>
      <c r="M158" s="181" t="str">
        <f>'Statement of Marks'!GU160</f>
        <v/>
      </c>
      <c r="N158" s="181" t="str">
        <f>'Statement of Marks'!GV160</f>
        <v/>
      </c>
      <c r="O158" s="181" t="str">
        <f>'Statement of Marks'!GW160</f>
        <v/>
      </c>
      <c r="P158" s="181" t="str">
        <f>'Statement of Marks'!GX160</f>
        <v/>
      </c>
      <c r="Q158" s="181" t="str">
        <f>'Statement of Marks'!GY160</f>
        <v/>
      </c>
      <c r="R158" s="392" t="str">
        <f>'Statement of Marks'!HB160</f>
        <v/>
      </c>
      <c r="S158" s="392" t="str">
        <f>'Statement of Marks'!HE160</f>
        <v/>
      </c>
      <c r="T158" s="392" t="str">
        <f>'Statement of Marks'!HH160</f>
        <v/>
      </c>
      <c r="U158" s="392" t="str">
        <f>'Statement of Marks'!HK160</f>
        <v/>
      </c>
      <c r="V158" s="318" t="str">
        <f>IF(COUNTIF(K158:U158,"F")&gt;0,"",CONCATENATE('Statement of Marks'!HO160,'Statement of Marks'!HP160,'Statement of Marks'!HQ160))</f>
        <v xml:space="preserve">                  </v>
      </c>
      <c r="BI158" s="6" t="str">
        <f>IFERROR(VLOOKUP(B158,'Statement of Marks'!$B$7:'Statement of Marks'!$IC$206,41,0),"")</f>
        <v/>
      </c>
      <c r="BJ158" s="6" t="str">
        <f>IFERROR(VLOOKUP(B158,'Statement of Marks'!$B$7:'Statement of Marks'!$IC$206,66,0),"")</f>
        <v/>
      </c>
      <c r="BK158" s="6">
        <f>IFERROR(VLOOKUP(B158,'Statement of Marks'!$B$7:'Statement of Marks'!$IC$206,91,0),"")</f>
        <v>0</v>
      </c>
      <c r="BL158" s="6" t="str">
        <f>IFERROR(VLOOKUP(B158,'Statement of Marks'!$B$7:'Statement of Marks'!$IC$206,117,0),"")</f>
        <v/>
      </c>
    </row>
    <row r="159" spans="1:64" ht="21" customHeight="1">
      <c r="A159" s="169">
        <f>IF('Statement of Marks'!A161="","",'Statement of Marks'!A161)</f>
        <v>155</v>
      </c>
      <c r="B159" s="169" t="str">
        <f>IF('Statement of Marks'!B161="","",'Statement of Marks'!B161)</f>
        <v/>
      </c>
      <c r="C159" s="169" t="str">
        <f>IF('Statement of Marks'!D161="","",'Statement of Marks'!D161)</f>
        <v/>
      </c>
      <c r="D159" s="315" t="str">
        <f>IF('Statement of Marks'!E161="","",'Statement of Marks'!E161)</f>
        <v/>
      </c>
      <c r="E159" s="316" t="str">
        <f>IF('Statement of Marks'!F161="","",'Statement of Marks'!F161)</f>
        <v/>
      </c>
      <c r="F159" s="316" t="str">
        <f>IF('Statement of Marks'!G161="","",'Statement of Marks'!G161)</f>
        <v/>
      </c>
      <c r="G159" s="316" t="str">
        <f>IF('Statement of Marks'!H161="","",'Statement of Marks'!H161)</f>
        <v/>
      </c>
      <c r="H159" s="830" t="str">
        <f>IF('Statement of Marks'!HS161="","",'Statement of Marks'!HS161)</f>
        <v/>
      </c>
      <c r="I159" s="172" t="str">
        <f>IF('Statement of Marks'!HV161="","",'Statement of Marks'!HV161)</f>
        <v/>
      </c>
      <c r="J159" s="317" t="str">
        <f>IF('Statement of Marks'!HW161="","",'Statement of Marks'!HW161)</f>
        <v/>
      </c>
      <c r="K159" s="392" t="str">
        <f>'Statement of Marks'!GN161</f>
        <v/>
      </c>
      <c r="L159" s="392" t="str">
        <f>'Statement of Marks'!GQ161</f>
        <v/>
      </c>
      <c r="M159" s="181" t="str">
        <f>'Statement of Marks'!GU161</f>
        <v/>
      </c>
      <c r="N159" s="181" t="str">
        <f>'Statement of Marks'!GV161</f>
        <v/>
      </c>
      <c r="O159" s="181" t="str">
        <f>'Statement of Marks'!GW161</f>
        <v/>
      </c>
      <c r="P159" s="181" t="str">
        <f>'Statement of Marks'!GX161</f>
        <v/>
      </c>
      <c r="Q159" s="181" t="str">
        <f>'Statement of Marks'!GY161</f>
        <v/>
      </c>
      <c r="R159" s="392" t="str">
        <f>'Statement of Marks'!HB161</f>
        <v/>
      </c>
      <c r="S159" s="392" t="str">
        <f>'Statement of Marks'!HE161</f>
        <v/>
      </c>
      <c r="T159" s="392" t="str">
        <f>'Statement of Marks'!HH161</f>
        <v/>
      </c>
      <c r="U159" s="392" t="str">
        <f>'Statement of Marks'!HK161</f>
        <v/>
      </c>
      <c r="V159" s="318" t="str">
        <f>IF(COUNTIF(K159:U159,"F")&gt;0,"",CONCATENATE('Statement of Marks'!HO161,'Statement of Marks'!HP161,'Statement of Marks'!HQ161))</f>
        <v xml:space="preserve">                  </v>
      </c>
      <c r="BI159" s="6" t="str">
        <f>IFERROR(VLOOKUP(B159,'Statement of Marks'!$B$7:'Statement of Marks'!$IC$206,41,0),"")</f>
        <v/>
      </c>
      <c r="BJ159" s="6" t="str">
        <f>IFERROR(VLOOKUP(B159,'Statement of Marks'!$B$7:'Statement of Marks'!$IC$206,66,0),"")</f>
        <v/>
      </c>
      <c r="BK159" s="6">
        <f>IFERROR(VLOOKUP(B159,'Statement of Marks'!$B$7:'Statement of Marks'!$IC$206,91,0),"")</f>
        <v>0</v>
      </c>
      <c r="BL159" s="6" t="str">
        <f>IFERROR(VLOOKUP(B159,'Statement of Marks'!$B$7:'Statement of Marks'!$IC$206,117,0),"")</f>
        <v/>
      </c>
    </row>
    <row r="160" spans="1:64" ht="21" customHeight="1">
      <c r="A160" s="169">
        <f>IF('Statement of Marks'!A162="","",'Statement of Marks'!A162)</f>
        <v>156</v>
      </c>
      <c r="B160" s="169" t="str">
        <f>IF('Statement of Marks'!B162="","",'Statement of Marks'!B162)</f>
        <v/>
      </c>
      <c r="C160" s="169" t="str">
        <f>IF('Statement of Marks'!D162="","",'Statement of Marks'!D162)</f>
        <v/>
      </c>
      <c r="D160" s="315" t="str">
        <f>IF('Statement of Marks'!E162="","",'Statement of Marks'!E162)</f>
        <v/>
      </c>
      <c r="E160" s="316" t="str">
        <f>IF('Statement of Marks'!F162="","",'Statement of Marks'!F162)</f>
        <v/>
      </c>
      <c r="F160" s="316" t="str">
        <f>IF('Statement of Marks'!G162="","",'Statement of Marks'!G162)</f>
        <v/>
      </c>
      <c r="G160" s="316" t="str">
        <f>IF('Statement of Marks'!H162="","",'Statement of Marks'!H162)</f>
        <v/>
      </c>
      <c r="H160" s="830" t="str">
        <f>IF('Statement of Marks'!HS162="","",'Statement of Marks'!HS162)</f>
        <v/>
      </c>
      <c r="I160" s="172" t="str">
        <f>IF('Statement of Marks'!HV162="","",'Statement of Marks'!HV162)</f>
        <v/>
      </c>
      <c r="J160" s="317" t="str">
        <f>IF('Statement of Marks'!HW162="","",'Statement of Marks'!HW162)</f>
        <v/>
      </c>
      <c r="K160" s="392" t="str">
        <f>'Statement of Marks'!GN162</f>
        <v/>
      </c>
      <c r="L160" s="392" t="str">
        <f>'Statement of Marks'!GQ162</f>
        <v/>
      </c>
      <c r="M160" s="181" t="str">
        <f>'Statement of Marks'!GU162</f>
        <v/>
      </c>
      <c r="N160" s="181" t="str">
        <f>'Statement of Marks'!GV162</f>
        <v/>
      </c>
      <c r="O160" s="181" t="str">
        <f>'Statement of Marks'!GW162</f>
        <v/>
      </c>
      <c r="P160" s="181" t="str">
        <f>'Statement of Marks'!GX162</f>
        <v/>
      </c>
      <c r="Q160" s="181" t="str">
        <f>'Statement of Marks'!GY162</f>
        <v/>
      </c>
      <c r="R160" s="392" t="str">
        <f>'Statement of Marks'!HB162</f>
        <v/>
      </c>
      <c r="S160" s="392" t="str">
        <f>'Statement of Marks'!HE162</f>
        <v/>
      </c>
      <c r="T160" s="392" t="str">
        <f>'Statement of Marks'!HH162</f>
        <v/>
      </c>
      <c r="U160" s="392" t="str">
        <f>'Statement of Marks'!HK162</f>
        <v/>
      </c>
      <c r="V160" s="318" t="str">
        <f>IF(COUNTIF(K160:U160,"F")&gt;0,"",CONCATENATE('Statement of Marks'!HO162,'Statement of Marks'!HP162,'Statement of Marks'!HQ162))</f>
        <v xml:space="preserve">                  </v>
      </c>
      <c r="BI160" s="6" t="str">
        <f>IFERROR(VLOOKUP(B160,'Statement of Marks'!$B$7:'Statement of Marks'!$IC$206,41,0),"")</f>
        <v/>
      </c>
      <c r="BJ160" s="6" t="str">
        <f>IFERROR(VLOOKUP(B160,'Statement of Marks'!$B$7:'Statement of Marks'!$IC$206,66,0),"")</f>
        <v/>
      </c>
      <c r="BK160" s="6">
        <f>IFERROR(VLOOKUP(B160,'Statement of Marks'!$B$7:'Statement of Marks'!$IC$206,91,0),"")</f>
        <v>0</v>
      </c>
      <c r="BL160" s="6" t="str">
        <f>IFERROR(VLOOKUP(B160,'Statement of Marks'!$B$7:'Statement of Marks'!$IC$206,117,0),"")</f>
        <v/>
      </c>
    </row>
    <row r="161" spans="1:64" ht="21" customHeight="1">
      <c r="A161" s="169">
        <f>IF('Statement of Marks'!A163="","",'Statement of Marks'!A163)</f>
        <v>157</v>
      </c>
      <c r="B161" s="169" t="str">
        <f>IF('Statement of Marks'!B163="","",'Statement of Marks'!B163)</f>
        <v/>
      </c>
      <c r="C161" s="169" t="str">
        <f>IF('Statement of Marks'!D163="","",'Statement of Marks'!D163)</f>
        <v/>
      </c>
      <c r="D161" s="315" t="str">
        <f>IF('Statement of Marks'!E163="","",'Statement of Marks'!E163)</f>
        <v/>
      </c>
      <c r="E161" s="316" t="str">
        <f>IF('Statement of Marks'!F163="","",'Statement of Marks'!F163)</f>
        <v/>
      </c>
      <c r="F161" s="316" t="str">
        <f>IF('Statement of Marks'!G163="","",'Statement of Marks'!G163)</f>
        <v/>
      </c>
      <c r="G161" s="316" t="str">
        <f>IF('Statement of Marks'!H163="","",'Statement of Marks'!H163)</f>
        <v/>
      </c>
      <c r="H161" s="830" t="str">
        <f>IF('Statement of Marks'!HS163="","",'Statement of Marks'!HS163)</f>
        <v/>
      </c>
      <c r="I161" s="172" t="str">
        <f>IF('Statement of Marks'!HV163="","",'Statement of Marks'!HV163)</f>
        <v/>
      </c>
      <c r="J161" s="317" t="str">
        <f>IF('Statement of Marks'!HW163="","",'Statement of Marks'!HW163)</f>
        <v/>
      </c>
      <c r="K161" s="392" t="str">
        <f>'Statement of Marks'!GN163</f>
        <v/>
      </c>
      <c r="L161" s="392" t="str">
        <f>'Statement of Marks'!GQ163</f>
        <v/>
      </c>
      <c r="M161" s="181" t="str">
        <f>'Statement of Marks'!GU163</f>
        <v/>
      </c>
      <c r="N161" s="181" t="str">
        <f>'Statement of Marks'!GV163</f>
        <v/>
      </c>
      <c r="O161" s="181" t="str">
        <f>'Statement of Marks'!GW163</f>
        <v/>
      </c>
      <c r="P161" s="181" t="str">
        <f>'Statement of Marks'!GX163</f>
        <v/>
      </c>
      <c r="Q161" s="181" t="str">
        <f>'Statement of Marks'!GY163</f>
        <v/>
      </c>
      <c r="R161" s="392" t="str">
        <f>'Statement of Marks'!HB163</f>
        <v/>
      </c>
      <c r="S161" s="392" t="str">
        <f>'Statement of Marks'!HE163</f>
        <v/>
      </c>
      <c r="T161" s="392" t="str">
        <f>'Statement of Marks'!HH163</f>
        <v/>
      </c>
      <c r="U161" s="392" t="str">
        <f>'Statement of Marks'!HK163</f>
        <v/>
      </c>
      <c r="V161" s="318" t="str">
        <f>IF(COUNTIF(K161:U161,"F")&gt;0,"",CONCATENATE('Statement of Marks'!HO163,'Statement of Marks'!HP163,'Statement of Marks'!HQ163))</f>
        <v xml:space="preserve">                  </v>
      </c>
      <c r="BI161" s="6" t="str">
        <f>IFERROR(VLOOKUP(B161,'Statement of Marks'!$B$7:'Statement of Marks'!$IC$206,41,0),"")</f>
        <v/>
      </c>
      <c r="BJ161" s="6" t="str">
        <f>IFERROR(VLOOKUP(B161,'Statement of Marks'!$B$7:'Statement of Marks'!$IC$206,66,0),"")</f>
        <v/>
      </c>
      <c r="BK161" s="6">
        <f>IFERROR(VLOOKUP(B161,'Statement of Marks'!$B$7:'Statement of Marks'!$IC$206,91,0),"")</f>
        <v>0</v>
      </c>
      <c r="BL161" s="6" t="str">
        <f>IFERROR(VLOOKUP(B161,'Statement of Marks'!$B$7:'Statement of Marks'!$IC$206,117,0),"")</f>
        <v/>
      </c>
    </row>
    <row r="162" spans="1:64" ht="21" customHeight="1">
      <c r="A162" s="169">
        <f>IF('Statement of Marks'!A164="","",'Statement of Marks'!A164)</f>
        <v>158</v>
      </c>
      <c r="B162" s="169" t="str">
        <f>IF('Statement of Marks'!B164="","",'Statement of Marks'!B164)</f>
        <v/>
      </c>
      <c r="C162" s="169" t="str">
        <f>IF('Statement of Marks'!D164="","",'Statement of Marks'!D164)</f>
        <v/>
      </c>
      <c r="D162" s="315" t="str">
        <f>IF('Statement of Marks'!E164="","",'Statement of Marks'!E164)</f>
        <v/>
      </c>
      <c r="E162" s="316" t="str">
        <f>IF('Statement of Marks'!F164="","",'Statement of Marks'!F164)</f>
        <v/>
      </c>
      <c r="F162" s="316" t="str">
        <f>IF('Statement of Marks'!G164="","",'Statement of Marks'!G164)</f>
        <v/>
      </c>
      <c r="G162" s="316" t="str">
        <f>IF('Statement of Marks'!H164="","",'Statement of Marks'!H164)</f>
        <v/>
      </c>
      <c r="H162" s="830" t="str">
        <f>IF('Statement of Marks'!HS164="","",'Statement of Marks'!HS164)</f>
        <v/>
      </c>
      <c r="I162" s="172" t="str">
        <f>IF('Statement of Marks'!HV164="","",'Statement of Marks'!HV164)</f>
        <v/>
      </c>
      <c r="J162" s="317" t="str">
        <f>IF('Statement of Marks'!HW164="","",'Statement of Marks'!HW164)</f>
        <v/>
      </c>
      <c r="K162" s="392" t="str">
        <f>'Statement of Marks'!GN164</f>
        <v/>
      </c>
      <c r="L162" s="392" t="str">
        <f>'Statement of Marks'!GQ164</f>
        <v/>
      </c>
      <c r="M162" s="181" t="str">
        <f>'Statement of Marks'!GU164</f>
        <v/>
      </c>
      <c r="N162" s="181" t="str">
        <f>'Statement of Marks'!GV164</f>
        <v/>
      </c>
      <c r="O162" s="181" t="str">
        <f>'Statement of Marks'!GW164</f>
        <v/>
      </c>
      <c r="P162" s="181" t="str">
        <f>'Statement of Marks'!GX164</f>
        <v/>
      </c>
      <c r="Q162" s="181" t="str">
        <f>'Statement of Marks'!GY164</f>
        <v/>
      </c>
      <c r="R162" s="392" t="str">
        <f>'Statement of Marks'!HB164</f>
        <v/>
      </c>
      <c r="S162" s="392" t="str">
        <f>'Statement of Marks'!HE164</f>
        <v/>
      </c>
      <c r="T162" s="392" t="str">
        <f>'Statement of Marks'!HH164</f>
        <v/>
      </c>
      <c r="U162" s="392" t="str">
        <f>'Statement of Marks'!HK164</f>
        <v/>
      </c>
      <c r="V162" s="318" t="str">
        <f>IF(COUNTIF(K162:U162,"F")&gt;0,"",CONCATENATE('Statement of Marks'!HO164,'Statement of Marks'!HP164,'Statement of Marks'!HQ164))</f>
        <v xml:space="preserve">                  </v>
      </c>
      <c r="BI162" s="6" t="str">
        <f>IFERROR(VLOOKUP(B162,'Statement of Marks'!$B$7:'Statement of Marks'!$IC$206,41,0),"")</f>
        <v/>
      </c>
      <c r="BJ162" s="6" t="str">
        <f>IFERROR(VLOOKUP(B162,'Statement of Marks'!$B$7:'Statement of Marks'!$IC$206,66,0),"")</f>
        <v/>
      </c>
      <c r="BK162" s="6">
        <f>IFERROR(VLOOKUP(B162,'Statement of Marks'!$B$7:'Statement of Marks'!$IC$206,91,0),"")</f>
        <v>0</v>
      </c>
      <c r="BL162" s="6" t="str">
        <f>IFERROR(VLOOKUP(B162,'Statement of Marks'!$B$7:'Statement of Marks'!$IC$206,117,0),"")</f>
        <v/>
      </c>
    </row>
    <row r="163" spans="1:64" ht="21" customHeight="1">
      <c r="A163" s="169">
        <f>IF('Statement of Marks'!A165="","",'Statement of Marks'!A165)</f>
        <v>159</v>
      </c>
      <c r="B163" s="169" t="str">
        <f>IF('Statement of Marks'!B165="","",'Statement of Marks'!B165)</f>
        <v/>
      </c>
      <c r="C163" s="169" t="str">
        <f>IF('Statement of Marks'!D165="","",'Statement of Marks'!D165)</f>
        <v/>
      </c>
      <c r="D163" s="315" t="str">
        <f>IF('Statement of Marks'!E165="","",'Statement of Marks'!E165)</f>
        <v/>
      </c>
      <c r="E163" s="316" t="str">
        <f>IF('Statement of Marks'!F165="","",'Statement of Marks'!F165)</f>
        <v/>
      </c>
      <c r="F163" s="316" t="str">
        <f>IF('Statement of Marks'!G165="","",'Statement of Marks'!G165)</f>
        <v/>
      </c>
      <c r="G163" s="316" t="str">
        <f>IF('Statement of Marks'!H165="","",'Statement of Marks'!H165)</f>
        <v/>
      </c>
      <c r="H163" s="830" t="str">
        <f>IF('Statement of Marks'!HS165="","",'Statement of Marks'!HS165)</f>
        <v/>
      </c>
      <c r="I163" s="172" t="str">
        <f>IF('Statement of Marks'!HV165="","",'Statement of Marks'!HV165)</f>
        <v/>
      </c>
      <c r="J163" s="317" t="str">
        <f>IF('Statement of Marks'!HW165="","",'Statement of Marks'!HW165)</f>
        <v/>
      </c>
      <c r="K163" s="392" t="str">
        <f>'Statement of Marks'!GN165</f>
        <v/>
      </c>
      <c r="L163" s="392" t="str">
        <f>'Statement of Marks'!GQ165</f>
        <v/>
      </c>
      <c r="M163" s="181" t="str">
        <f>'Statement of Marks'!GU165</f>
        <v/>
      </c>
      <c r="N163" s="181" t="str">
        <f>'Statement of Marks'!GV165</f>
        <v/>
      </c>
      <c r="O163" s="181" t="str">
        <f>'Statement of Marks'!GW165</f>
        <v/>
      </c>
      <c r="P163" s="181" t="str">
        <f>'Statement of Marks'!GX165</f>
        <v/>
      </c>
      <c r="Q163" s="181" t="str">
        <f>'Statement of Marks'!GY165</f>
        <v/>
      </c>
      <c r="R163" s="392" t="str">
        <f>'Statement of Marks'!HB165</f>
        <v/>
      </c>
      <c r="S163" s="392" t="str">
        <f>'Statement of Marks'!HE165</f>
        <v/>
      </c>
      <c r="T163" s="392" t="str">
        <f>'Statement of Marks'!HH165</f>
        <v/>
      </c>
      <c r="U163" s="392" t="str">
        <f>'Statement of Marks'!HK165</f>
        <v/>
      </c>
      <c r="V163" s="318" t="str">
        <f>IF(COUNTIF(K163:U163,"F")&gt;0,"",CONCATENATE('Statement of Marks'!HO165,'Statement of Marks'!HP165,'Statement of Marks'!HQ165))</f>
        <v xml:space="preserve">                  </v>
      </c>
      <c r="BI163" s="6" t="str">
        <f>IFERROR(VLOOKUP(B163,'Statement of Marks'!$B$7:'Statement of Marks'!$IC$206,41,0),"")</f>
        <v/>
      </c>
      <c r="BJ163" s="6" t="str">
        <f>IFERROR(VLOOKUP(B163,'Statement of Marks'!$B$7:'Statement of Marks'!$IC$206,66,0),"")</f>
        <v/>
      </c>
      <c r="BK163" s="6">
        <f>IFERROR(VLOOKUP(B163,'Statement of Marks'!$B$7:'Statement of Marks'!$IC$206,91,0),"")</f>
        <v>0</v>
      </c>
      <c r="BL163" s="6" t="str">
        <f>IFERROR(VLOOKUP(B163,'Statement of Marks'!$B$7:'Statement of Marks'!$IC$206,117,0),"")</f>
        <v/>
      </c>
    </row>
    <row r="164" spans="1:64" ht="21" customHeight="1">
      <c r="A164" s="169">
        <f>IF('Statement of Marks'!A166="","",'Statement of Marks'!A166)</f>
        <v>160</v>
      </c>
      <c r="B164" s="169" t="str">
        <f>IF('Statement of Marks'!B166="","",'Statement of Marks'!B166)</f>
        <v/>
      </c>
      <c r="C164" s="169" t="str">
        <f>IF('Statement of Marks'!D166="","",'Statement of Marks'!D166)</f>
        <v/>
      </c>
      <c r="D164" s="315" t="str">
        <f>IF('Statement of Marks'!E166="","",'Statement of Marks'!E166)</f>
        <v/>
      </c>
      <c r="E164" s="316" t="str">
        <f>IF('Statement of Marks'!F166="","",'Statement of Marks'!F166)</f>
        <v/>
      </c>
      <c r="F164" s="316" t="str">
        <f>IF('Statement of Marks'!G166="","",'Statement of Marks'!G166)</f>
        <v/>
      </c>
      <c r="G164" s="316" t="str">
        <f>IF('Statement of Marks'!H166="","",'Statement of Marks'!H166)</f>
        <v/>
      </c>
      <c r="H164" s="830" t="str">
        <f>IF('Statement of Marks'!HS166="","",'Statement of Marks'!HS166)</f>
        <v/>
      </c>
      <c r="I164" s="172" t="str">
        <f>IF('Statement of Marks'!HV166="","",'Statement of Marks'!HV166)</f>
        <v/>
      </c>
      <c r="J164" s="317" t="str">
        <f>IF('Statement of Marks'!HW166="","",'Statement of Marks'!HW166)</f>
        <v/>
      </c>
      <c r="K164" s="392" t="str">
        <f>'Statement of Marks'!GN166</f>
        <v/>
      </c>
      <c r="L164" s="392" t="str">
        <f>'Statement of Marks'!GQ166</f>
        <v/>
      </c>
      <c r="M164" s="181" t="str">
        <f>'Statement of Marks'!GU166</f>
        <v/>
      </c>
      <c r="N164" s="181" t="str">
        <f>'Statement of Marks'!GV166</f>
        <v/>
      </c>
      <c r="O164" s="181" t="str">
        <f>'Statement of Marks'!GW166</f>
        <v/>
      </c>
      <c r="P164" s="181" t="str">
        <f>'Statement of Marks'!GX166</f>
        <v/>
      </c>
      <c r="Q164" s="181" t="str">
        <f>'Statement of Marks'!GY166</f>
        <v/>
      </c>
      <c r="R164" s="392" t="str">
        <f>'Statement of Marks'!HB166</f>
        <v/>
      </c>
      <c r="S164" s="392" t="str">
        <f>'Statement of Marks'!HE166</f>
        <v/>
      </c>
      <c r="T164" s="392" t="str">
        <f>'Statement of Marks'!HH166</f>
        <v/>
      </c>
      <c r="U164" s="392" t="str">
        <f>'Statement of Marks'!HK166</f>
        <v/>
      </c>
      <c r="V164" s="318" t="str">
        <f>IF(COUNTIF(K164:U164,"F")&gt;0,"",CONCATENATE('Statement of Marks'!HO166,'Statement of Marks'!HP166,'Statement of Marks'!HQ166))</f>
        <v xml:space="preserve">                  </v>
      </c>
      <c r="BI164" s="6" t="str">
        <f>IFERROR(VLOOKUP(B164,'Statement of Marks'!$B$7:'Statement of Marks'!$IC$206,41,0),"")</f>
        <v/>
      </c>
      <c r="BJ164" s="6" t="str">
        <f>IFERROR(VLOOKUP(B164,'Statement of Marks'!$B$7:'Statement of Marks'!$IC$206,66,0),"")</f>
        <v/>
      </c>
      <c r="BK164" s="6">
        <f>IFERROR(VLOOKUP(B164,'Statement of Marks'!$B$7:'Statement of Marks'!$IC$206,91,0),"")</f>
        <v>0</v>
      </c>
      <c r="BL164" s="6" t="str">
        <f>IFERROR(VLOOKUP(B164,'Statement of Marks'!$B$7:'Statement of Marks'!$IC$206,117,0),"")</f>
        <v/>
      </c>
    </row>
    <row r="165" spans="1:64" ht="21" customHeight="1">
      <c r="A165" s="169">
        <f>IF('Statement of Marks'!A167="","",'Statement of Marks'!A167)</f>
        <v>161</v>
      </c>
      <c r="B165" s="169" t="str">
        <f>IF('Statement of Marks'!B167="","",'Statement of Marks'!B167)</f>
        <v/>
      </c>
      <c r="C165" s="169" t="str">
        <f>IF('Statement of Marks'!D167="","",'Statement of Marks'!D167)</f>
        <v/>
      </c>
      <c r="D165" s="315" t="str">
        <f>IF('Statement of Marks'!E167="","",'Statement of Marks'!E167)</f>
        <v/>
      </c>
      <c r="E165" s="316" t="str">
        <f>IF('Statement of Marks'!F167="","",'Statement of Marks'!F167)</f>
        <v/>
      </c>
      <c r="F165" s="316" t="str">
        <f>IF('Statement of Marks'!G167="","",'Statement of Marks'!G167)</f>
        <v/>
      </c>
      <c r="G165" s="316" t="str">
        <f>IF('Statement of Marks'!H167="","",'Statement of Marks'!H167)</f>
        <v/>
      </c>
      <c r="H165" s="830" t="str">
        <f>IF('Statement of Marks'!HS167="","",'Statement of Marks'!HS167)</f>
        <v/>
      </c>
      <c r="I165" s="172" t="str">
        <f>IF('Statement of Marks'!HV167="","",'Statement of Marks'!HV167)</f>
        <v/>
      </c>
      <c r="J165" s="317" t="str">
        <f>IF('Statement of Marks'!HW167="","",'Statement of Marks'!HW167)</f>
        <v/>
      </c>
      <c r="K165" s="392" t="str">
        <f>'Statement of Marks'!GN167</f>
        <v/>
      </c>
      <c r="L165" s="392" t="str">
        <f>'Statement of Marks'!GQ167</f>
        <v/>
      </c>
      <c r="M165" s="181" t="str">
        <f>'Statement of Marks'!GU167</f>
        <v/>
      </c>
      <c r="N165" s="181" t="str">
        <f>'Statement of Marks'!GV167</f>
        <v/>
      </c>
      <c r="O165" s="181" t="str">
        <f>'Statement of Marks'!GW167</f>
        <v/>
      </c>
      <c r="P165" s="181" t="str">
        <f>'Statement of Marks'!GX167</f>
        <v/>
      </c>
      <c r="Q165" s="181" t="str">
        <f>'Statement of Marks'!GY167</f>
        <v/>
      </c>
      <c r="R165" s="392" t="str">
        <f>'Statement of Marks'!HB167</f>
        <v/>
      </c>
      <c r="S165" s="392" t="str">
        <f>'Statement of Marks'!HE167</f>
        <v/>
      </c>
      <c r="T165" s="392" t="str">
        <f>'Statement of Marks'!HH167</f>
        <v/>
      </c>
      <c r="U165" s="392" t="str">
        <f>'Statement of Marks'!HK167</f>
        <v/>
      </c>
      <c r="V165" s="318" t="str">
        <f>IF(COUNTIF(K165:U165,"F")&gt;0,"",CONCATENATE('Statement of Marks'!HO167,'Statement of Marks'!HP167,'Statement of Marks'!HQ167))</f>
        <v xml:space="preserve">                  </v>
      </c>
      <c r="BI165" s="6" t="str">
        <f>IFERROR(VLOOKUP(B165,'Statement of Marks'!$B$7:'Statement of Marks'!$IC$206,41,0),"")</f>
        <v/>
      </c>
      <c r="BJ165" s="6" t="str">
        <f>IFERROR(VLOOKUP(B165,'Statement of Marks'!$B$7:'Statement of Marks'!$IC$206,66,0),"")</f>
        <v/>
      </c>
      <c r="BK165" s="6">
        <f>IFERROR(VLOOKUP(B165,'Statement of Marks'!$B$7:'Statement of Marks'!$IC$206,91,0),"")</f>
        <v>0</v>
      </c>
      <c r="BL165" s="6" t="str">
        <f>IFERROR(VLOOKUP(B165,'Statement of Marks'!$B$7:'Statement of Marks'!$IC$206,117,0),"")</f>
        <v/>
      </c>
    </row>
    <row r="166" spans="1:64" ht="21" customHeight="1">
      <c r="A166" s="169">
        <f>IF('Statement of Marks'!A168="","",'Statement of Marks'!A168)</f>
        <v>162</v>
      </c>
      <c r="B166" s="169" t="str">
        <f>IF('Statement of Marks'!B168="","",'Statement of Marks'!B168)</f>
        <v/>
      </c>
      <c r="C166" s="169" t="str">
        <f>IF('Statement of Marks'!D168="","",'Statement of Marks'!D168)</f>
        <v/>
      </c>
      <c r="D166" s="315" t="str">
        <f>IF('Statement of Marks'!E168="","",'Statement of Marks'!E168)</f>
        <v/>
      </c>
      <c r="E166" s="316" t="str">
        <f>IF('Statement of Marks'!F168="","",'Statement of Marks'!F168)</f>
        <v/>
      </c>
      <c r="F166" s="316" t="str">
        <f>IF('Statement of Marks'!G168="","",'Statement of Marks'!G168)</f>
        <v/>
      </c>
      <c r="G166" s="316" t="str">
        <f>IF('Statement of Marks'!H168="","",'Statement of Marks'!H168)</f>
        <v/>
      </c>
      <c r="H166" s="830" t="str">
        <f>IF('Statement of Marks'!HS168="","",'Statement of Marks'!HS168)</f>
        <v/>
      </c>
      <c r="I166" s="172" t="str">
        <f>IF('Statement of Marks'!HV168="","",'Statement of Marks'!HV168)</f>
        <v/>
      </c>
      <c r="J166" s="317" t="str">
        <f>IF('Statement of Marks'!HW168="","",'Statement of Marks'!HW168)</f>
        <v/>
      </c>
      <c r="K166" s="392" t="str">
        <f>'Statement of Marks'!GN168</f>
        <v/>
      </c>
      <c r="L166" s="392" t="str">
        <f>'Statement of Marks'!GQ168</f>
        <v/>
      </c>
      <c r="M166" s="181" t="str">
        <f>'Statement of Marks'!GU168</f>
        <v/>
      </c>
      <c r="N166" s="181" t="str">
        <f>'Statement of Marks'!GV168</f>
        <v/>
      </c>
      <c r="O166" s="181" t="str">
        <f>'Statement of Marks'!GW168</f>
        <v/>
      </c>
      <c r="P166" s="181" t="str">
        <f>'Statement of Marks'!GX168</f>
        <v/>
      </c>
      <c r="Q166" s="181" t="str">
        <f>'Statement of Marks'!GY168</f>
        <v/>
      </c>
      <c r="R166" s="392" t="str">
        <f>'Statement of Marks'!HB168</f>
        <v/>
      </c>
      <c r="S166" s="392" t="str">
        <f>'Statement of Marks'!HE168</f>
        <v/>
      </c>
      <c r="T166" s="392" t="str">
        <f>'Statement of Marks'!HH168</f>
        <v/>
      </c>
      <c r="U166" s="392" t="str">
        <f>'Statement of Marks'!HK168</f>
        <v/>
      </c>
      <c r="V166" s="318" t="str">
        <f>IF(COUNTIF(K166:U166,"F")&gt;0,"",CONCATENATE('Statement of Marks'!HO168,'Statement of Marks'!HP168,'Statement of Marks'!HQ168))</f>
        <v xml:space="preserve">                  </v>
      </c>
      <c r="BI166" s="6" t="str">
        <f>IFERROR(VLOOKUP(B166,'Statement of Marks'!$B$7:'Statement of Marks'!$IC$206,41,0),"")</f>
        <v/>
      </c>
      <c r="BJ166" s="6" t="str">
        <f>IFERROR(VLOOKUP(B166,'Statement of Marks'!$B$7:'Statement of Marks'!$IC$206,66,0),"")</f>
        <v/>
      </c>
      <c r="BK166" s="6">
        <f>IFERROR(VLOOKUP(B166,'Statement of Marks'!$B$7:'Statement of Marks'!$IC$206,91,0),"")</f>
        <v>0</v>
      </c>
      <c r="BL166" s="6" t="str">
        <f>IFERROR(VLOOKUP(B166,'Statement of Marks'!$B$7:'Statement of Marks'!$IC$206,117,0),"")</f>
        <v/>
      </c>
    </row>
    <row r="167" spans="1:64" ht="21" customHeight="1">
      <c r="A167" s="169">
        <f>IF('Statement of Marks'!A169="","",'Statement of Marks'!A169)</f>
        <v>163</v>
      </c>
      <c r="B167" s="169" t="str">
        <f>IF('Statement of Marks'!B169="","",'Statement of Marks'!B169)</f>
        <v/>
      </c>
      <c r="C167" s="169" t="str">
        <f>IF('Statement of Marks'!D169="","",'Statement of Marks'!D169)</f>
        <v/>
      </c>
      <c r="D167" s="315" t="str">
        <f>IF('Statement of Marks'!E169="","",'Statement of Marks'!E169)</f>
        <v/>
      </c>
      <c r="E167" s="316" t="str">
        <f>IF('Statement of Marks'!F169="","",'Statement of Marks'!F169)</f>
        <v/>
      </c>
      <c r="F167" s="316" t="str">
        <f>IF('Statement of Marks'!G169="","",'Statement of Marks'!G169)</f>
        <v/>
      </c>
      <c r="G167" s="316" t="str">
        <f>IF('Statement of Marks'!H169="","",'Statement of Marks'!H169)</f>
        <v/>
      </c>
      <c r="H167" s="830" t="str">
        <f>IF('Statement of Marks'!HS169="","",'Statement of Marks'!HS169)</f>
        <v/>
      </c>
      <c r="I167" s="172" t="str">
        <f>IF('Statement of Marks'!HV169="","",'Statement of Marks'!HV169)</f>
        <v/>
      </c>
      <c r="J167" s="317" t="str">
        <f>IF('Statement of Marks'!HW169="","",'Statement of Marks'!HW169)</f>
        <v/>
      </c>
      <c r="K167" s="392" t="str">
        <f>'Statement of Marks'!GN169</f>
        <v/>
      </c>
      <c r="L167" s="392" t="str">
        <f>'Statement of Marks'!GQ169</f>
        <v/>
      </c>
      <c r="M167" s="181" t="str">
        <f>'Statement of Marks'!GU169</f>
        <v/>
      </c>
      <c r="N167" s="181" t="str">
        <f>'Statement of Marks'!GV169</f>
        <v/>
      </c>
      <c r="O167" s="181" t="str">
        <f>'Statement of Marks'!GW169</f>
        <v/>
      </c>
      <c r="P167" s="181" t="str">
        <f>'Statement of Marks'!GX169</f>
        <v/>
      </c>
      <c r="Q167" s="181" t="str">
        <f>'Statement of Marks'!GY169</f>
        <v/>
      </c>
      <c r="R167" s="392" t="str">
        <f>'Statement of Marks'!HB169</f>
        <v/>
      </c>
      <c r="S167" s="392" t="str">
        <f>'Statement of Marks'!HE169</f>
        <v/>
      </c>
      <c r="T167" s="392" t="str">
        <f>'Statement of Marks'!HH169</f>
        <v/>
      </c>
      <c r="U167" s="392" t="str">
        <f>'Statement of Marks'!HK169</f>
        <v/>
      </c>
      <c r="V167" s="318" t="str">
        <f>IF(COUNTIF(K167:U167,"F")&gt;0,"",CONCATENATE('Statement of Marks'!HO169,'Statement of Marks'!HP169,'Statement of Marks'!HQ169))</f>
        <v xml:space="preserve">                  </v>
      </c>
      <c r="BI167" s="6" t="str">
        <f>IFERROR(VLOOKUP(B167,'Statement of Marks'!$B$7:'Statement of Marks'!$IC$206,41,0),"")</f>
        <v/>
      </c>
      <c r="BJ167" s="6" t="str">
        <f>IFERROR(VLOOKUP(B167,'Statement of Marks'!$B$7:'Statement of Marks'!$IC$206,66,0),"")</f>
        <v/>
      </c>
      <c r="BK167" s="6">
        <f>IFERROR(VLOOKUP(B167,'Statement of Marks'!$B$7:'Statement of Marks'!$IC$206,91,0),"")</f>
        <v>0</v>
      </c>
      <c r="BL167" s="6" t="str">
        <f>IFERROR(VLOOKUP(B167,'Statement of Marks'!$B$7:'Statement of Marks'!$IC$206,117,0),"")</f>
        <v/>
      </c>
    </row>
    <row r="168" spans="1:64" ht="21" customHeight="1">
      <c r="A168" s="169">
        <f>IF('Statement of Marks'!A170="","",'Statement of Marks'!A170)</f>
        <v>164</v>
      </c>
      <c r="B168" s="169" t="str">
        <f>IF('Statement of Marks'!B170="","",'Statement of Marks'!B170)</f>
        <v/>
      </c>
      <c r="C168" s="169" t="str">
        <f>IF('Statement of Marks'!D170="","",'Statement of Marks'!D170)</f>
        <v/>
      </c>
      <c r="D168" s="315" t="str">
        <f>IF('Statement of Marks'!E170="","",'Statement of Marks'!E170)</f>
        <v/>
      </c>
      <c r="E168" s="316" t="str">
        <f>IF('Statement of Marks'!F170="","",'Statement of Marks'!F170)</f>
        <v/>
      </c>
      <c r="F168" s="316" t="str">
        <f>IF('Statement of Marks'!G170="","",'Statement of Marks'!G170)</f>
        <v/>
      </c>
      <c r="G168" s="316" t="str">
        <f>IF('Statement of Marks'!H170="","",'Statement of Marks'!H170)</f>
        <v/>
      </c>
      <c r="H168" s="830" t="str">
        <f>IF('Statement of Marks'!HS170="","",'Statement of Marks'!HS170)</f>
        <v/>
      </c>
      <c r="I168" s="172" t="str">
        <f>IF('Statement of Marks'!HV170="","",'Statement of Marks'!HV170)</f>
        <v/>
      </c>
      <c r="J168" s="317" t="str">
        <f>IF('Statement of Marks'!HW170="","",'Statement of Marks'!HW170)</f>
        <v/>
      </c>
      <c r="K168" s="392" t="str">
        <f>'Statement of Marks'!GN170</f>
        <v/>
      </c>
      <c r="L168" s="392" t="str">
        <f>'Statement of Marks'!GQ170</f>
        <v/>
      </c>
      <c r="M168" s="181" t="str">
        <f>'Statement of Marks'!GU170</f>
        <v/>
      </c>
      <c r="N168" s="181" t="str">
        <f>'Statement of Marks'!GV170</f>
        <v/>
      </c>
      <c r="O168" s="181" t="str">
        <f>'Statement of Marks'!GW170</f>
        <v/>
      </c>
      <c r="P168" s="181" t="str">
        <f>'Statement of Marks'!GX170</f>
        <v/>
      </c>
      <c r="Q168" s="181" t="str">
        <f>'Statement of Marks'!GY170</f>
        <v/>
      </c>
      <c r="R168" s="392" t="str">
        <f>'Statement of Marks'!HB170</f>
        <v/>
      </c>
      <c r="S168" s="392" t="str">
        <f>'Statement of Marks'!HE170</f>
        <v/>
      </c>
      <c r="T168" s="392" t="str">
        <f>'Statement of Marks'!HH170</f>
        <v/>
      </c>
      <c r="U168" s="392" t="str">
        <f>'Statement of Marks'!HK170</f>
        <v/>
      </c>
      <c r="V168" s="318" t="str">
        <f>IF(COUNTIF(K168:U168,"F")&gt;0,"",CONCATENATE('Statement of Marks'!HO170,'Statement of Marks'!HP170,'Statement of Marks'!HQ170))</f>
        <v xml:space="preserve">                  </v>
      </c>
      <c r="BI168" s="6" t="str">
        <f>IFERROR(VLOOKUP(B168,'Statement of Marks'!$B$7:'Statement of Marks'!$IC$206,41,0),"")</f>
        <v/>
      </c>
      <c r="BJ168" s="6" t="str">
        <f>IFERROR(VLOOKUP(B168,'Statement of Marks'!$B$7:'Statement of Marks'!$IC$206,66,0),"")</f>
        <v/>
      </c>
      <c r="BK168" s="6">
        <f>IFERROR(VLOOKUP(B168,'Statement of Marks'!$B$7:'Statement of Marks'!$IC$206,91,0),"")</f>
        <v>0</v>
      </c>
      <c r="BL168" s="6" t="str">
        <f>IFERROR(VLOOKUP(B168,'Statement of Marks'!$B$7:'Statement of Marks'!$IC$206,117,0),"")</f>
        <v/>
      </c>
    </row>
    <row r="169" spans="1:64" ht="21" customHeight="1">
      <c r="A169" s="169">
        <f>IF('Statement of Marks'!A171="","",'Statement of Marks'!A171)</f>
        <v>165</v>
      </c>
      <c r="B169" s="169" t="str">
        <f>IF('Statement of Marks'!B171="","",'Statement of Marks'!B171)</f>
        <v/>
      </c>
      <c r="C169" s="169" t="str">
        <f>IF('Statement of Marks'!D171="","",'Statement of Marks'!D171)</f>
        <v/>
      </c>
      <c r="D169" s="315" t="str">
        <f>IF('Statement of Marks'!E171="","",'Statement of Marks'!E171)</f>
        <v/>
      </c>
      <c r="E169" s="316" t="str">
        <f>IF('Statement of Marks'!F171="","",'Statement of Marks'!F171)</f>
        <v/>
      </c>
      <c r="F169" s="316" t="str">
        <f>IF('Statement of Marks'!G171="","",'Statement of Marks'!G171)</f>
        <v/>
      </c>
      <c r="G169" s="316" t="str">
        <f>IF('Statement of Marks'!H171="","",'Statement of Marks'!H171)</f>
        <v/>
      </c>
      <c r="H169" s="830" t="str">
        <f>IF('Statement of Marks'!HS171="","",'Statement of Marks'!HS171)</f>
        <v/>
      </c>
      <c r="I169" s="172" t="str">
        <f>IF('Statement of Marks'!HV171="","",'Statement of Marks'!HV171)</f>
        <v/>
      </c>
      <c r="J169" s="317" t="str">
        <f>IF('Statement of Marks'!HW171="","",'Statement of Marks'!HW171)</f>
        <v/>
      </c>
      <c r="K169" s="392" t="str">
        <f>'Statement of Marks'!GN171</f>
        <v/>
      </c>
      <c r="L169" s="392" t="str">
        <f>'Statement of Marks'!GQ171</f>
        <v/>
      </c>
      <c r="M169" s="181" t="str">
        <f>'Statement of Marks'!GU171</f>
        <v/>
      </c>
      <c r="N169" s="181" t="str">
        <f>'Statement of Marks'!GV171</f>
        <v/>
      </c>
      <c r="O169" s="181" t="str">
        <f>'Statement of Marks'!GW171</f>
        <v/>
      </c>
      <c r="P169" s="181" t="str">
        <f>'Statement of Marks'!GX171</f>
        <v/>
      </c>
      <c r="Q169" s="181" t="str">
        <f>'Statement of Marks'!GY171</f>
        <v/>
      </c>
      <c r="R169" s="392" t="str">
        <f>'Statement of Marks'!HB171</f>
        <v/>
      </c>
      <c r="S169" s="392" t="str">
        <f>'Statement of Marks'!HE171</f>
        <v/>
      </c>
      <c r="T169" s="392" t="str">
        <f>'Statement of Marks'!HH171</f>
        <v/>
      </c>
      <c r="U169" s="392" t="str">
        <f>'Statement of Marks'!HK171</f>
        <v/>
      </c>
      <c r="V169" s="318" t="str">
        <f>IF(COUNTIF(K169:U169,"F")&gt;0,"",CONCATENATE('Statement of Marks'!HO171,'Statement of Marks'!HP171,'Statement of Marks'!HQ171))</f>
        <v xml:space="preserve">                  </v>
      </c>
      <c r="BI169" s="6" t="str">
        <f>IFERROR(VLOOKUP(B169,'Statement of Marks'!$B$7:'Statement of Marks'!$IC$206,41,0),"")</f>
        <v/>
      </c>
      <c r="BJ169" s="6" t="str">
        <f>IFERROR(VLOOKUP(B169,'Statement of Marks'!$B$7:'Statement of Marks'!$IC$206,66,0),"")</f>
        <v/>
      </c>
      <c r="BK169" s="6">
        <f>IFERROR(VLOOKUP(B169,'Statement of Marks'!$B$7:'Statement of Marks'!$IC$206,91,0),"")</f>
        <v>0</v>
      </c>
      <c r="BL169" s="6" t="str">
        <f>IFERROR(VLOOKUP(B169,'Statement of Marks'!$B$7:'Statement of Marks'!$IC$206,117,0),"")</f>
        <v/>
      </c>
    </row>
    <row r="170" spans="1:64" ht="21" customHeight="1">
      <c r="A170" s="169">
        <f>IF('Statement of Marks'!A172="","",'Statement of Marks'!A172)</f>
        <v>166</v>
      </c>
      <c r="B170" s="169" t="str">
        <f>IF('Statement of Marks'!B172="","",'Statement of Marks'!B172)</f>
        <v/>
      </c>
      <c r="C170" s="169" t="str">
        <f>IF('Statement of Marks'!D172="","",'Statement of Marks'!D172)</f>
        <v/>
      </c>
      <c r="D170" s="315" t="str">
        <f>IF('Statement of Marks'!E172="","",'Statement of Marks'!E172)</f>
        <v/>
      </c>
      <c r="E170" s="316" t="str">
        <f>IF('Statement of Marks'!F172="","",'Statement of Marks'!F172)</f>
        <v/>
      </c>
      <c r="F170" s="316" t="str">
        <f>IF('Statement of Marks'!G172="","",'Statement of Marks'!G172)</f>
        <v/>
      </c>
      <c r="G170" s="316" t="str">
        <f>IF('Statement of Marks'!H172="","",'Statement of Marks'!H172)</f>
        <v/>
      </c>
      <c r="H170" s="830" t="str">
        <f>IF('Statement of Marks'!HS172="","",'Statement of Marks'!HS172)</f>
        <v/>
      </c>
      <c r="I170" s="172" t="str">
        <f>IF('Statement of Marks'!HV172="","",'Statement of Marks'!HV172)</f>
        <v/>
      </c>
      <c r="J170" s="317" t="str">
        <f>IF('Statement of Marks'!HW172="","",'Statement of Marks'!HW172)</f>
        <v/>
      </c>
      <c r="K170" s="392" t="str">
        <f>'Statement of Marks'!GN172</f>
        <v/>
      </c>
      <c r="L170" s="392" t="str">
        <f>'Statement of Marks'!GQ172</f>
        <v/>
      </c>
      <c r="M170" s="181" t="str">
        <f>'Statement of Marks'!GU172</f>
        <v/>
      </c>
      <c r="N170" s="181" t="str">
        <f>'Statement of Marks'!GV172</f>
        <v/>
      </c>
      <c r="O170" s="181" t="str">
        <f>'Statement of Marks'!GW172</f>
        <v/>
      </c>
      <c r="P170" s="181" t="str">
        <f>'Statement of Marks'!GX172</f>
        <v/>
      </c>
      <c r="Q170" s="181" t="str">
        <f>'Statement of Marks'!GY172</f>
        <v/>
      </c>
      <c r="R170" s="392" t="str">
        <f>'Statement of Marks'!HB172</f>
        <v/>
      </c>
      <c r="S170" s="392" t="str">
        <f>'Statement of Marks'!HE172</f>
        <v/>
      </c>
      <c r="T170" s="392" t="str">
        <f>'Statement of Marks'!HH172</f>
        <v/>
      </c>
      <c r="U170" s="392" t="str">
        <f>'Statement of Marks'!HK172</f>
        <v/>
      </c>
      <c r="V170" s="318" t="str">
        <f>IF(COUNTIF(K170:U170,"F")&gt;0,"",CONCATENATE('Statement of Marks'!HO172,'Statement of Marks'!HP172,'Statement of Marks'!HQ172))</f>
        <v xml:space="preserve">                  </v>
      </c>
      <c r="BI170" s="6" t="str">
        <f>IFERROR(VLOOKUP(B170,'Statement of Marks'!$B$7:'Statement of Marks'!$IC$206,41,0),"")</f>
        <v/>
      </c>
      <c r="BJ170" s="6" t="str">
        <f>IFERROR(VLOOKUP(B170,'Statement of Marks'!$B$7:'Statement of Marks'!$IC$206,66,0),"")</f>
        <v/>
      </c>
      <c r="BK170" s="6">
        <f>IFERROR(VLOOKUP(B170,'Statement of Marks'!$B$7:'Statement of Marks'!$IC$206,91,0),"")</f>
        <v>0</v>
      </c>
      <c r="BL170" s="6" t="str">
        <f>IFERROR(VLOOKUP(B170,'Statement of Marks'!$B$7:'Statement of Marks'!$IC$206,117,0),"")</f>
        <v/>
      </c>
    </row>
    <row r="171" spans="1:64" ht="21" customHeight="1">
      <c r="A171" s="169">
        <f>IF('Statement of Marks'!A173="","",'Statement of Marks'!A173)</f>
        <v>167</v>
      </c>
      <c r="B171" s="169" t="str">
        <f>IF('Statement of Marks'!B173="","",'Statement of Marks'!B173)</f>
        <v/>
      </c>
      <c r="C171" s="169" t="str">
        <f>IF('Statement of Marks'!D173="","",'Statement of Marks'!D173)</f>
        <v/>
      </c>
      <c r="D171" s="315" t="str">
        <f>IF('Statement of Marks'!E173="","",'Statement of Marks'!E173)</f>
        <v/>
      </c>
      <c r="E171" s="316" t="str">
        <f>IF('Statement of Marks'!F173="","",'Statement of Marks'!F173)</f>
        <v/>
      </c>
      <c r="F171" s="316" t="str">
        <f>IF('Statement of Marks'!G173="","",'Statement of Marks'!G173)</f>
        <v/>
      </c>
      <c r="G171" s="316" t="str">
        <f>IF('Statement of Marks'!H173="","",'Statement of Marks'!H173)</f>
        <v/>
      </c>
      <c r="H171" s="830" t="str">
        <f>IF('Statement of Marks'!HS173="","",'Statement of Marks'!HS173)</f>
        <v/>
      </c>
      <c r="I171" s="172" t="str">
        <f>IF('Statement of Marks'!HV173="","",'Statement of Marks'!HV173)</f>
        <v/>
      </c>
      <c r="J171" s="317" t="str">
        <f>IF('Statement of Marks'!HW173="","",'Statement of Marks'!HW173)</f>
        <v/>
      </c>
      <c r="K171" s="392" t="str">
        <f>'Statement of Marks'!GN173</f>
        <v/>
      </c>
      <c r="L171" s="392" t="str">
        <f>'Statement of Marks'!GQ173</f>
        <v/>
      </c>
      <c r="M171" s="181" t="str">
        <f>'Statement of Marks'!GU173</f>
        <v/>
      </c>
      <c r="N171" s="181" t="str">
        <f>'Statement of Marks'!GV173</f>
        <v/>
      </c>
      <c r="O171" s="181" t="str">
        <f>'Statement of Marks'!GW173</f>
        <v/>
      </c>
      <c r="P171" s="181" t="str">
        <f>'Statement of Marks'!GX173</f>
        <v/>
      </c>
      <c r="Q171" s="181" t="str">
        <f>'Statement of Marks'!GY173</f>
        <v/>
      </c>
      <c r="R171" s="392" t="str">
        <f>'Statement of Marks'!HB173</f>
        <v/>
      </c>
      <c r="S171" s="392" t="str">
        <f>'Statement of Marks'!HE173</f>
        <v/>
      </c>
      <c r="T171" s="392" t="str">
        <f>'Statement of Marks'!HH173</f>
        <v/>
      </c>
      <c r="U171" s="392" t="str">
        <f>'Statement of Marks'!HK173</f>
        <v/>
      </c>
      <c r="V171" s="318" t="str">
        <f>IF(COUNTIF(K171:U171,"F")&gt;0,"",CONCATENATE('Statement of Marks'!HO173,'Statement of Marks'!HP173,'Statement of Marks'!HQ173))</f>
        <v xml:space="preserve">                  </v>
      </c>
      <c r="BI171" s="6" t="str">
        <f>IFERROR(VLOOKUP(B171,'Statement of Marks'!$B$7:'Statement of Marks'!$IC$206,41,0),"")</f>
        <v/>
      </c>
      <c r="BJ171" s="6" t="str">
        <f>IFERROR(VLOOKUP(B171,'Statement of Marks'!$B$7:'Statement of Marks'!$IC$206,66,0),"")</f>
        <v/>
      </c>
      <c r="BK171" s="6">
        <f>IFERROR(VLOOKUP(B171,'Statement of Marks'!$B$7:'Statement of Marks'!$IC$206,91,0),"")</f>
        <v>0</v>
      </c>
      <c r="BL171" s="6" t="str">
        <f>IFERROR(VLOOKUP(B171,'Statement of Marks'!$B$7:'Statement of Marks'!$IC$206,117,0),"")</f>
        <v/>
      </c>
    </row>
    <row r="172" spans="1:64" ht="21" customHeight="1">
      <c r="A172" s="169">
        <f>IF('Statement of Marks'!A174="","",'Statement of Marks'!A174)</f>
        <v>168</v>
      </c>
      <c r="B172" s="169" t="str">
        <f>IF('Statement of Marks'!B174="","",'Statement of Marks'!B174)</f>
        <v/>
      </c>
      <c r="C172" s="169" t="str">
        <f>IF('Statement of Marks'!D174="","",'Statement of Marks'!D174)</f>
        <v/>
      </c>
      <c r="D172" s="315" t="str">
        <f>IF('Statement of Marks'!E174="","",'Statement of Marks'!E174)</f>
        <v/>
      </c>
      <c r="E172" s="316" t="str">
        <f>IF('Statement of Marks'!F174="","",'Statement of Marks'!F174)</f>
        <v/>
      </c>
      <c r="F172" s="316" t="str">
        <f>IF('Statement of Marks'!G174="","",'Statement of Marks'!G174)</f>
        <v/>
      </c>
      <c r="G172" s="316" t="str">
        <f>IF('Statement of Marks'!H174="","",'Statement of Marks'!H174)</f>
        <v/>
      </c>
      <c r="H172" s="830" t="str">
        <f>IF('Statement of Marks'!HS174="","",'Statement of Marks'!HS174)</f>
        <v/>
      </c>
      <c r="I172" s="172" t="str">
        <f>IF('Statement of Marks'!HV174="","",'Statement of Marks'!HV174)</f>
        <v/>
      </c>
      <c r="J172" s="317" t="str">
        <f>IF('Statement of Marks'!HW174="","",'Statement of Marks'!HW174)</f>
        <v/>
      </c>
      <c r="K172" s="392" t="str">
        <f>'Statement of Marks'!GN174</f>
        <v/>
      </c>
      <c r="L172" s="392" t="str">
        <f>'Statement of Marks'!GQ174</f>
        <v/>
      </c>
      <c r="M172" s="181" t="str">
        <f>'Statement of Marks'!GU174</f>
        <v/>
      </c>
      <c r="N172" s="181" t="str">
        <f>'Statement of Marks'!GV174</f>
        <v/>
      </c>
      <c r="O172" s="181" t="str">
        <f>'Statement of Marks'!GW174</f>
        <v/>
      </c>
      <c r="P172" s="181" t="str">
        <f>'Statement of Marks'!GX174</f>
        <v/>
      </c>
      <c r="Q172" s="181" t="str">
        <f>'Statement of Marks'!GY174</f>
        <v/>
      </c>
      <c r="R172" s="392" t="str">
        <f>'Statement of Marks'!HB174</f>
        <v/>
      </c>
      <c r="S172" s="392" t="str">
        <f>'Statement of Marks'!HE174</f>
        <v/>
      </c>
      <c r="T172" s="392" t="str">
        <f>'Statement of Marks'!HH174</f>
        <v/>
      </c>
      <c r="U172" s="392" t="str">
        <f>'Statement of Marks'!HK174</f>
        <v/>
      </c>
      <c r="V172" s="318" t="str">
        <f>IF(COUNTIF(K172:U172,"F")&gt;0,"",CONCATENATE('Statement of Marks'!HO174,'Statement of Marks'!HP174,'Statement of Marks'!HQ174))</f>
        <v xml:space="preserve">                  </v>
      </c>
      <c r="BI172" s="6" t="str">
        <f>IFERROR(VLOOKUP(B172,'Statement of Marks'!$B$7:'Statement of Marks'!$IC$206,41,0),"")</f>
        <v/>
      </c>
      <c r="BJ172" s="6" t="str">
        <f>IFERROR(VLOOKUP(B172,'Statement of Marks'!$B$7:'Statement of Marks'!$IC$206,66,0),"")</f>
        <v/>
      </c>
      <c r="BK172" s="6">
        <f>IFERROR(VLOOKUP(B172,'Statement of Marks'!$B$7:'Statement of Marks'!$IC$206,91,0),"")</f>
        <v>0</v>
      </c>
      <c r="BL172" s="6" t="str">
        <f>IFERROR(VLOOKUP(B172,'Statement of Marks'!$B$7:'Statement of Marks'!$IC$206,117,0),"")</f>
        <v/>
      </c>
    </row>
    <row r="173" spans="1:64" ht="21" customHeight="1">
      <c r="A173" s="169">
        <f>IF('Statement of Marks'!A175="","",'Statement of Marks'!A175)</f>
        <v>169</v>
      </c>
      <c r="B173" s="169" t="str">
        <f>IF('Statement of Marks'!B175="","",'Statement of Marks'!B175)</f>
        <v/>
      </c>
      <c r="C173" s="169" t="str">
        <f>IF('Statement of Marks'!D175="","",'Statement of Marks'!D175)</f>
        <v/>
      </c>
      <c r="D173" s="315" t="str">
        <f>IF('Statement of Marks'!E175="","",'Statement of Marks'!E175)</f>
        <v/>
      </c>
      <c r="E173" s="316" t="str">
        <f>IF('Statement of Marks'!F175="","",'Statement of Marks'!F175)</f>
        <v/>
      </c>
      <c r="F173" s="316" t="str">
        <f>IF('Statement of Marks'!G175="","",'Statement of Marks'!G175)</f>
        <v/>
      </c>
      <c r="G173" s="316" t="str">
        <f>IF('Statement of Marks'!H175="","",'Statement of Marks'!H175)</f>
        <v/>
      </c>
      <c r="H173" s="830" t="str">
        <f>IF('Statement of Marks'!HS175="","",'Statement of Marks'!HS175)</f>
        <v/>
      </c>
      <c r="I173" s="172" t="str">
        <f>IF('Statement of Marks'!HV175="","",'Statement of Marks'!HV175)</f>
        <v/>
      </c>
      <c r="J173" s="317" t="str">
        <f>IF('Statement of Marks'!HW175="","",'Statement of Marks'!HW175)</f>
        <v/>
      </c>
      <c r="K173" s="392" t="str">
        <f>'Statement of Marks'!GN175</f>
        <v/>
      </c>
      <c r="L173" s="392" t="str">
        <f>'Statement of Marks'!GQ175</f>
        <v/>
      </c>
      <c r="M173" s="181" t="str">
        <f>'Statement of Marks'!GU175</f>
        <v/>
      </c>
      <c r="N173" s="181" t="str">
        <f>'Statement of Marks'!GV175</f>
        <v/>
      </c>
      <c r="O173" s="181" t="str">
        <f>'Statement of Marks'!GW175</f>
        <v/>
      </c>
      <c r="P173" s="181" t="str">
        <f>'Statement of Marks'!GX175</f>
        <v/>
      </c>
      <c r="Q173" s="181" t="str">
        <f>'Statement of Marks'!GY175</f>
        <v/>
      </c>
      <c r="R173" s="392" t="str">
        <f>'Statement of Marks'!HB175</f>
        <v/>
      </c>
      <c r="S173" s="392" t="str">
        <f>'Statement of Marks'!HE175</f>
        <v/>
      </c>
      <c r="T173" s="392" t="str">
        <f>'Statement of Marks'!HH175</f>
        <v/>
      </c>
      <c r="U173" s="392" t="str">
        <f>'Statement of Marks'!HK175</f>
        <v/>
      </c>
      <c r="V173" s="318" t="str">
        <f>IF(COUNTIF(K173:U173,"F")&gt;0,"",CONCATENATE('Statement of Marks'!HO175,'Statement of Marks'!HP175,'Statement of Marks'!HQ175))</f>
        <v xml:space="preserve">                  </v>
      </c>
      <c r="BI173" s="6" t="str">
        <f>IFERROR(VLOOKUP(B173,'Statement of Marks'!$B$7:'Statement of Marks'!$IC$206,41,0),"")</f>
        <v/>
      </c>
      <c r="BJ173" s="6" t="str">
        <f>IFERROR(VLOOKUP(B173,'Statement of Marks'!$B$7:'Statement of Marks'!$IC$206,66,0),"")</f>
        <v/>
      </c>
      <c r="BK173" s="6">
        <f>IFERROR(VLOOKUP(B173,'Statement of Marks'!$B$7:'Statement of Marks'!$IC$206,91,0),"")</f>
        <v>0</v>
      </c>
      <c r="BL173" s="6" t="str">
        <f>IFERROR(VLOOKUP(B173,'Statement of Marks'!$B$7:'Statement of Marks'!$IC$206,117,0),"")</f>
        <v/>
      </c>
    </row>
    <row r="174" spans="1:64" ht="21" customHeight="1">
      <c r="A174" s="169">
        <f>IF('Statement of Marks'!A176="","",'Statement of Marks'!A176)</f>
        <v>170</v>
      </c>
      <c r="B174" s="169" t="str">
        <f>IF('Statement of Marks'!B176="","",'Statement of Marks'!B176)</f>
        <v/>
      </c>
      <c r="C174" s="169" t="str">
        <f>IF('Statement of Marks'!D176="","",'Statement of Marks'!D176)</f>
        <v/>
      </c>
      <c r="D174" s="315" t="str">
        <f>IF('Statement of Marks'!E176="","",'Statement of Marks'!E176)</f>
        <v/>
      </c>
      <c r="E174" s="316" t="str">
        <f>IF('Statement of Marks'!F176="","",'Statement of Marks'!F176)</f>
        <v/>
      </c>
      <c r="F174" s="316" t="str">
        <f>IF('Statement of Marks'!G176="","",'Statement of Marks'!G176)</f>
        <v/>
      </c>
      <c r="G174" s="316" t="str">
        <f>IF('Statement of Marks'!H176="","",'Statement of Marks'!H176)</f>
        <v/>
      </c>
      <c r="H174" s="830" t="str">
        <f>IF('Statement of Marks'!HS176="","",'Statement of Marks'!HS176)</f>
        <v/>
      </c>
      <c r="I174" s="172" t="str">
        <f>IF('Statement of Marks'!HV176="","",'Statement of Marks'!HV176)</f>
        <v/>
      </c>
      <c r="J174" s="317" t="str">
        <f>IF('Statement of Marks'!HW176="","",'Statement of Marks'!HW176)</f>
        <v/>
      </c>
      <c r="K174" s="392" t="str">
        <f>'Statement of Marks'!GN176</f>
        <v/>
      </c>
      <c r="L174" s="392" t="str">
        <f>'Statement of Marks'!GQ176</f>
        <v/>
      </c>
      <c r="M174" s="181" t="str">
        <f>'Statement of Marks'!GU176</f>
        <v/>
      </c>
      <c r="N174" s="181" t="str">
        <f>'Statement of Marks'!GV176</f>
        <v/>
      </c>
      <c r="O174" s="181" t="str">
        <f>'Statement of Marks'!GW176</f>
        <v/>
      </c>
      <c r="P174" s="181" t="str">
        <f>'Statement of Marks'!GX176</f>
        <v/>
      </c>
      <c r="Q174" s="181" t="str">
        <f>'Statement of Marks'!GY176</f>
        <v/>
      </c>
      <c r="R174" s="392" t="str">
        <f>'Statement of Marks'!HB176</f>
        <v/>
      </c>
      <c r="S174" s="392" t="str">
        <f>'Statement of Marks'!HE176</f>
        <v/>
      </c>
      <c r="T174" s="392" t="str">
        <f>'Statement of Marks'!HH176</f>
        <v/>
      </c>
      <c r="U174" s="392" t="str">
        <f>'Statement of Marks'!HK176</f>
        <v/>
      </c>
      <c r="V174" s="318" t="str">
        <f>IF(COUNTIF(K174:U174,"F")&gt;0,"",CONCATENATE('Statement of Marks'!HO176,'Statement of Marks'!HP176,'Statement of Marks'!HQ176))</f>
        <v xml:space="preserve">                  </v>
      </c>
      <c r="BI174" s="6" t="str">
        <f>IFERROR(VLOOKUP(B174,'Statement of Marks'!$B$7:'Statement of Marks'!$IC$206,41,0),"")</f>
        <v/>
      </c>
      <c r="BJ174" s="6" t="str">
        <f>IFERROR(VLOOKUP(B174,'Statement of Marks'!$B$7:'Statement of Marks'!$IC$206,66,0),"")</f>
        <v/>
      </c>
      <c r="BK174" s="6">
        <f>IFERROR(VLOOKUP(B174,'Statement of Marks'!$B$7:'Statement of Marks'!$IC$206,91,0),"")</f>
        <v>0</v>
      </c>
      <c r="BL174" s="6" t="str">
        <f>IFERROR(VLOOKUP(B174,'Statement of Marks'!$B$7:'Statement of Marks'!$IC$206,117,0),"")</f>
        <v/>
      </c>
    </row>
    <row r="175" spans="1:64" ht="21" customHeight="1">
      <c r="A175" s="169">
        <f>IF('Statement of Marks'!A177="","",'Statement of Marks'!A177)</f>
        <v>171</v>
      </c>
      <c r="B175" s="169" t="str">
        <f>IF('Statement of Marks'!B177="","",'Statement of Marks'!B177)</f>
        <v/>
      </c>
      <c r="C175" s="169" t="str">
        <f>IF('Statement of Marks'!D177="","",'Statement of Marks'!D177)</f>
        <v/>
      </c>
      <c r="D175" s="315" t="str">
        <f>IF('Statement of Marks'!E177="","",'Statement of Marks'!E177)</f>
        <v/>
      </c>
      <c r="E175" s="316" t="str">
        <f>IF('Statement of Marks'!F177="","",'Statement of Marks'!F177)</f>
        <v/>
      </c>
      <c r="F175" s="316" t="str">
        <f>IF('Statement of Marks'!G177="","",'Statement of Marks'!G177)</f>
        <v/>
      </c>
      <c r="G175" s="316" t="str">
        <f>IF('Statement of Marks'!H177="","",'Statement of Marks'!H177)</f>
        <v/>
      </c>
      <c r="H175" s="830" t="str">
        <f>IF('Statement of Marks'!HS177="","",'Statement of Marks'!HS177)</f>
        <v/>
      </c>
      <c r="I175" s="172" t="str">
        <f>IF('Statement of Marks'!HV177="","",'Statement of Marks'!HV177)</f>
        <v/>
      </c>
      <c r="J175" s="317" t="str">
        <f>IF('Statement of Marks'!HW177="","",'Statement of Marks'!HW177)</f>
        <v/>
      </c>
      <c r="K175" s="392" t="str">
        <f>'Statement of Marks'!GN177</f>
        <v/>
      </c>
      <c r="L175" s="392" t="str">
        <f>'Statement of Marks'!GQ177</f>
        <v/>
      </c>
      <c r="M175" s="181" t="str">
        <f>'Statement of Marks'!GU177</f>
        <v/>
      </c>
      <c r="N175" s="181" t="str">
        <f>'Statement of Marks'!GV177</f>
        <v/>
      </c>
      <c r="O175" s="181" t="str">
        <f>'Statement of Marks'!GW177</f>
        <v/>
      </c>
      <c r="P175" s="181" t="str">
        <f>'Statement of Marks'!GX177</f>
        <v/>
      </c>
      <c r="Q175" s="181" t="str">
        <f>'Statement of Marks'!GY177</f>
        <v/>
      </c>
      <c r="R175" s="392" t="str">
        <f>'Statement of Marks'!HB177</f>
        <v/>
      </c>
      <c r="S175" s="392" t="str">
        <f>'Statement of Marks'!HE177</f>
        <v/>
      </c>
      <c r="T175" s="392" t="str">
        <f>'Statement of Marks'!HH177</f>
        <v/>
      </c>
      <c r="U175" s="392" t="str">
        <f>'Statement of Marks'!HK177</f>
        <v/>
      </c>
      <c r="V175" s="318" t="str">
        <f>IF(COUNTIF(K175:U175,"F")&gt;0,"",CONCATENATE('Statement of Marks'!HO177,'Statement of Marks'!HP177,'Statement of Marks'!HQ177))</f>
        <v xml:space="preserve">                  </v>
      </c>
      <c r="BI175" s="6" t="str">
        <f>IFERROR(VLOOKUP(B175,'Statement of Marks'!$B$7:'Statement of Marks'!$IC$206,41,0),"")</f>
        <v/>
      </c>
      <c r="BJ175" s="6" t="str">
        <f>IFERROR(VLOOKUP(B175,'Statement of Marks'!$B$7:'Statement of Marks'!$IC$206,66,0),"")</f>
        <v/>
      </c>
      <c r="BK175" s="6">
        <f>IFERROR(VLOOKUP(B175,'Statement of Marks'!$B$7:'Statement of Marks'!$IC$206,91,0),"")</f>
        <v>0</v>
      </c>
      <c r="BL175" s="6" t="str">
        <f>IFERROR(VLOOKUP(B175,'Statement of Marks'!$B$7:'Statement of Marks'!$IC$206,117,0),"")</f>
        <v/>
      </c>
    </row>
    <row r="176" spans="1:64" ht="21" customHeight="1">
      <c r="A176" s="169">
        <f>IF('Statement of Marks'!A178="","",'Statement of Marks'!A178)</f>
        <v>172</v>
      </c>
      <c r="B176" s="169" t="str">
        <f>IF('Statement of Marks'!B178="","",'Statement of Marks'!B178)</f>
        <v/>
      </c>
      <c r="C176" s="169" t="str">
        <f>IF('Statement of Marks'!D178="","",'Statement of Marks'!D178)</f>
        <v/>
      </c>
      <c r="D176" s="315" t="str">
        <f>IF('Statement of Marks'!E178="","",'Statement of Marks'!E178)</f>
        <v/>
      </c>
      <c r="E176" s="316" t="str">
        <f>IF('Statement of Marks'!F178="","",'Statement of Marks'!F178)</f>
        <v/>
      </c>
      <c r="F176" s="316" t="str">
        <f>IF('Statement of Marks'!G178="","",'Statement of Marks'!G178)</f>
        <v/>
      </c>
      <c r="G176" s="316" t="str">
        <f>IF('Statement of Marks'!H178="","",'Statement of Marks'!H178)</f>
        <v/>
      </c>
      <c r="H176" s="830" t="str">
        <f>IF('Statement of Marks'!HS178="","",'Statement of Marks'!HS178)</f>
        <v/>
      </c>
      <c r="I176" s="172" t="str">
        <f>IF('Statement of Marks'!HV178="","",'Statement of Marks'!HV178)</f>
        <v/>
      </c>
      <c r="J176" s="317" t="str">
        <f>IF('Statement of Marks'!HW178="","",'Statement of Marks'!HW178)</f>
        <v/>
      </c>
      <c r="K176" s="392" t="str">
        <f>'Statement of Marks'!GN178</f>
        <v/>
      </c>
      <c r="L176" s="392" t="str">
        <f>'Statement of Marks'!GQ178</f>
        <v/>
      </c>
      <c r="M176" s="181" t="str">
        <f>'Statement of Marks'!GU178</f>
        <v/>
      </c>
      <c r="N176" s="181" t="str">
        <f>'Statement of Marks'!GV178</f>
        <v/>
      </c>
      <c r="O176" s="181" t="str">
        <f>'Statement of Marks'!GW178</f>
        <v/>
      </c>
      <c r="P176" s="181" t="str">
        <f>'Statement of Marks'!GX178</f>
        <v/>
      </c>
      <c r="Q176" s="181" t="str">
        <f>'Statement of Marks'!GY178</f>
        <v/>
      </c>
      <c r="R176" s="392" t="str">
        <f>'Statement of Marks'!HB178</f>
        <v/>
      </c>
      <c r="S176" s="392" t="str">
        <f>'Statement of Marks'!HE178</f>
        <v/>
      </c>
      <c r="T176" s="392" t="str">
        <f>'Statement of Marks'!HH178</f>
        <v/>
      </c>
      <c r="U176" s="392" t="str">
        <f>'Statement of Marks'!HK178</f>
        <v/>
      </c>
      <c r="V176" s="318" t="str">
        <f>IF(COUNTIF(K176:U176,"F")&gt;0,"",CONCATENATE('Statement of Marks'!HO178,'Statement of Marks'!HP178,'Statement of Marks'!HQ178))</f>
        <v xml:space="preserve">                  </v>
      </c>
      <c r="BI176" s="6" t="str">
        <f>IFERROR(VLOOKUP(B176,'Statement of Marks'!$B$7:'Statement of Marks'!$IC$206,41,0),"")</f>
        <v/>
      </c>
      <c r="BJ176" s="6" t="str">
        <f>IFERROR(VLOOKUP(B176,'Statement of Marks'!$B$7:'Statement of Marks'!$IC$206,66,0),"")</f>
        <v/>
      </c>
      <c r="BK176" s="6">
        <f>IFERROR(VLOOKUP(B176,'Statement of Marks'!$B$7:'Statement of Marks'!$IC$206,91,0),"")</f>
        <v>0</v>
      </c>
      <c r="BL176" s="6" t="str">
        <f>IFERROR(VLOOKUP(B176,'Statement of Marks'!$B$7:'Statement of Marks'!$IC$206,117,0),"")</f>
        <v/>
      </c>
    </row>
    <row r="177" spans="1:64" ht="21" customHeight="1">
      <c r="A177" s="169">
        <f>IF('Statement of Marks'!A179="","",'Statement of Marks'!A179)</f>
        <v>173</v>
      </c>
      <c r="B177" s="169" t="str">
        <f>IF('Statement of Marks'!B179="","",'Statement of Marks'!B179)</f>
        <v/>
      </c>
      <c r="C177" s="169" t="str">
        <f>IF('Statement of Marks'!D179="","",'Statement of Marks'!D179)</f>
        <v/>
      </c>
      <c r="D177" s="315" t="str">
        <f>IF('Statement of Marks'!E179="","",'Statement of Marks'!E179)</f>
        <v/>
      </c>
      <c r="E177" s="316" t="str">
        <f>IF('Statement of Marks'!F179="","",'Statement of Marks'!F179)</f>
        <v/>
      </c>
      <c r="F177" s="316" t="str">
        <f>IF('Statement of Marks'!G179="","",'Statement of Marks'!G179)</f>
        <v/>
      </c>
      <c r="G177" s="316" t="str">
        <f>IF('Statement of Marks'!H179="","",'Statement of Marks'!H179)</f>
        <v/>
      </c>
      <c r="H177" s="830" t="str">
        <f>IF('Statement of Marks'!HS179="","",'Statement of Marks'!HS179)</f>
        <v/>
      </c>
      <c r="I177" s="172" t="str">
        <f>IF('Statement of Marks'!HV179="","",'Statement of Marks'!HV179)</f>
        <v/>
      </c>
      <c r="J177" s="317" t="str">
        <f>IF('Statement of Marks'!HW179="","",'Statement of Marks'!HW179)</f>
        <v/>
      </c>
      <c r="K177" s="392" t="str">
        <f>'Statement of Marks'!GN179</f>
        <v/>
      </c>
      <c r="L177" s="392" t="str">
        <f>'Statement of Marks'!GQ179</f>
        <v/>
      </c>
      <c r="M177" s="181" t="str">
        <f>'Statement of Marks'!GU179</f>
        <v/>
      </c>
      <c r="N177" s="181" t="str">
        <f>'Statement of Marks'!GV179</f>
        <v/>
      </c>
      <c r="O177" s="181" t="str">
        <f>'Statement of Marks'!GW179</f>
        <v/>
      </c>
      <c r="P177" s="181" t="str">
        <f>'Statement of Marks'!GX179</f>
        <v/>
      </c>
      <c r="Q177" s="181" t="str">
        <f>'Statement of Marks'!GY179</f>
        <v/>
      </c>
      <c r="R177" s="392" t="str">
        <f>'Statement of Marks'!HB179</f>
        <v/>
      </c>
      <c r="S177" s="392" t="str">
        <f>'Statement of Marks'!HE179</f>
        <v/>
      </c>
      <c r="T177" s="392" t="str">
        <f>'Statement of Marks'!HH179</f>
        <v/>
      </c>
      <c r="U177" s="392" t="str">
        <f>'Statement of Marks'!HK179</f>
        <v/>
      </c>
      <c r="V177" s="318" t="str">
        <f>IF(COUNTIF(K177:U177,"F")&gt;0,"",CONCATENATE('Statement of Marks'!HO179,'Statement of Marks'!HP179,'Statement of Marks'!HQ179))</f>
        <v xml:space="preserve">                  </v>
      </c>
      <c r="BI177" s="6" t="str">
        <f>IFERROR(VLOOKUP(B177,'Statement of Marks'!$B$7:'Statement of Marks'!$IC$206,41,0),"")</f>
        <v/>
      </c>
      <c r="BJ177" s="6" t="str">
        <f>IFERROR(VLOOKUP(B177,'Statement of Marks'!$B$7:'Statement of Marks'!$IC$206,66,0),"")</f>
        <v/>
      </c>
      <c r="BK177" s="6">
        <f>IFERROR(VLOOKUP(B177,'Statement of Marks'!$B$7:'Statement of Marks'!$IC$206,91,0),"")</f>
        <v>0</v>
      </c>
      <c r="BL177" s="6" t="str">
        <f>IFERROR(VLOOKUP(B177,'Statement of Marks'!$B$7:'Statement of Marks'!$IC$206,117,0),"")</f>
        <v/>
      </c>
    </row>
    <row r="178" spans="1:64" ht="21" customHeight="1">
      <c r="A178" s="169">
        <f>IF('Statement of Marks'!A180="","",'Statement of Marks'!A180)</f>
        <v>174</v>
      </c>
      <c r="B178" s="169" t="str">
        <f>IF('Statement of Marks'!B180="","",'Statement of Marks'!B180)</f>
        <v/>
      </c>
      <c r="C178" s="169" t="str">
        <f>IF('Statement of Marks'!D180="","",'Statement of Marks'!D180)</f>
        <v/>
      </c>
      <c r="D178" s="315" t="str">
        <f>IF('Statement of Marks'!E180="","",'Statement of Marks'!E180)</f>
        <v/>
      </c>
      <c r="E178" s="316" t="str">
        <f>IF('Statement of Marks'!F180="","",'Statement of Marks'!F180)</f>
        <v/>
      </c>
      <c r="F178" s="316" t="str">
        <f>IF('Statement of Marks'!G180="","",'Statement of Marks'!G180)</f>
        <v/>
      </c>
      <c r="G178" s="316" t="str">
        <f>IF('Statement of Marks'!H180="","",'Statement of Marks'!H180)</f>
        <v/>
      </c>
      <c r="H178" s="830" t="str">
        <f>IF('Statement of Marks'!HS180="","",'Statement of Marks'!HS180)</f>
        <v/>
      </c>
      <c r="I178" s="172" t="str">
        <f>IF('Statement of Marks'!HV180="","",'Statement of Marks'!HV180)</f>
        <v/>
      </c>
      <c r="J178" s="317" t="str">
        <f>IF('Statement of Marks'!HW180="","",'Statement of Marks'!HW180)</f>
        <v/>
      </c>
      <c r="K178" s="392" t="str">
        <f>'Statement of Marks'!GN180</f>
        <v/>
      </c>
      <c r="L178" s="392" t="str">
        <f>'Statement of Marks'!GQ180</f>
        <v/>
      </c>
      <c r="M178" s="181" t="str">
        <f>'Statement of Marks'!GU180</f>
        <v/>
      </c>
      <c r="N178" s="181" t="str">
        <f>'Statement of Marks'!GV180</f>
        <v/>
      </c>
      <c r="O178" s="181" t="str">
        <f>'Statement of Marks'!GW180</f>
        <v/>
      </c>
      <c r="P178" s="181" t="str">
        <f>'Statement of Marks'!GX180</f>
        <v/>
      </c>
      <c r="Q178" s="181" t="str">
        <f>'Statement of Marks'!GY180</f>
        <v/>
      </c>
      <c r="R178" s="392" t="str">
        <f>'Statement of Marks'!HB180</f>
        <v/>
      </c>
      <c r="S178" s="392" t="str">
        <f>'Statement of Marks'!HE180</f>
        <v/>
      </c>
      <c r="T178" s="392" t="str">
        <f>'Statement of Marks'!HH180</f>
        <v/>
      </c>
      <c r="U178" s="392" t="str">
        <f>'Statement of Marks'!HK180</f>
        <v/>
      </c>
      <c r="V178" s="318" t="str">
        <f>IF(COUNTIF(K178:U178,"F")&gt;0,"",CONCATENATE('Statement of Marks'!HO180,'Statement of Marks'!HP180,'Statement of Marks'!HQ180))</f>
        <v xml:space="preserve">                  </v>
      </c>
      <c r="BI178" s="6" t="str">
        <f>IFERROR(VLOOKUP(B178,'Statement of Marks'!$B$7:'Statement of Marks'!$IC$206,41,0),"")</f>
        <v/>
      </c>
      <c r="BJ178" s="6" t="str">
        <f>IFERROR(VLOOKUP(B178,'Statement of Marks'!$B$7:'Statement of Marks'!$IC$206,66,0),"")</f>
        <v/>
      </c>
      <c r="BK178" s="6">
        <f>IFERROR(VLOOKUP(B178,'Statement of Marks'!$B$7:'Statement of Marks'!$IC$206,91,0),"")</f>
        <v>0</v>
      </c>
      <c r="BL178" s="6" t="str">
        <f>IFERROR(VLOOKUP(B178,'Statement of Marks'!$B$7:'Statement of Marks'!$IC$206,117,0),"")</f>
        <v/>
      </c>
    </row>
    <row r="179" spans="1:64" ht="21" customHeight="1">
      <c r="A179" s="169">
        <f>IF('Statement of Marks'!A181="","",'Statement of Marks'!A181)</f>
        <v>175</v>
      </c>
      <c r="B179" s="169" t="str">
        <f>IF('Statement of Marks'!B181="","",'Statement of Marks'!B181)</f>
        <v/>
      </c>
      <c r="C179" s="169" t="str">
        <f>IF('Statement of Marks'!D181="","",'Statement of Marks'!D181)</f>
        <v/>
      </c>
      <c r="D179" s="315" t="str">
        <f>IF('Statement of Marks'!E181="","",'Statement of Marks'!E181)</f>
        <v/>
      </c>
      <c r="E179" s="316" t="str">
        <f>IF('Statement of Marks'!F181="","",'Statement of Marks'!F181)</f>
        <v/>
      </c>
      <c r="F179" s="316" t="str">
        <f>IF('Statement of Marks'!G181="","",'Statement of Marks'!G181)</f>
        <v/>
      </c>
      <c r="G179" s="316" t="str">
        <f>IF('Statement of Marks'!H181="","",'Statement of Marks'!H181)</f>
        <v/>
      </c>
      <c r="H179" s="830" t="str">
        <f>IF('Statement of Marks'!HS181="","",'Statement of Marks'!HS181)</f>
        <v/>
      </c>
      <c r="I179" s="172" t="str">
        <f>IF('Statement of Marks'!HV181="","",'Statement of Marks'!HV181)</f>
        <v/>
      </c>
      <c r="J179" s="317" t="str">
        <f>IF('Statement of Marks'!HW181="","",'Statement of Marks'!HW181)</f>
        <v/>
      </c>
      <c r="K179" s="392" t="str">
        <f>'Statement of Marks'!GN181</f>
        <v/>
      </c>
      <c r="L179" s="392" t="str">
        <f>'Statement of Marks'!GQ181</f>
        <v/>
      </c>
      <c r="M179" s="181" t="str">
        <f>'Statement of Marks'!GU181</f>
        <v/>
      </c>
      <c r="N179" s="181" t="str">
        <f>'Statement of Marks'!GV181</f>
        <v/>
      </c>
      <c r="O179" s="181" t="str">
        <f>'Statement of Marks'!GW181</f>
        <v/>
      </c>
      <c r="P179" s="181" t="str">
        <f>'Statement of Marks'!GX181</f>
        <v/>
      </c>
      <c r="Q179" s="181" t="str">
        <f>'Statement of Marks'!GY181</f>
        <v/>
      </c>
      <c r="R179" s="392" t="str">
        <f>'Statement of Marks'!HB181</f>
        <v/>
      </c>
      <c r="S179" s="392" t="str">
        <f>'Statement of Marks'!HE181</f>
        <v/>
      </c>
      <c r="T179" s="392" t="str">
        <f>'Statement of Marks'!HH181</f>
        <v/>
      </c>
      <c r="U179" s="392" t="str">
        <f>'Statement of Marks'!HK181</f>
        <v/>
      </c>
      <c r="V179" s="318" t="str">
        <f>IF(COUNTIF(K179:U179,"F")&gt;0,"",CONCATENATE('Statement of Marks'!HO181,'Statement of Marks'!HP181,'Statement of Marks'!HQ181))</f>
        <v xml:space="preserve">                  </v>
      </c>
      <c r="BI179" s="6" t="str">
        <f>IFERROR(VLOOKUP(B179,'Statement of Marks'!$B$7:'Statement of Marks'!$IC$206,41,0),"")</f>
        <v/>
      </c>
      <c r="BJ179" s="6" t="str">
        <f>IFERROR(VLOOKUP(B179,'Statement of Marks'!$B$7:'Statement of Marks'!$IC$206,66,0),"")</f>
        <v/>
      </c>
      <c r="BK179" s="6">
        <f>IFERROR(VLOOKUP(B179,'Statement of Marks'!$B$7:'Statement of Marks'!$IC$206,91,0),"")</f>
        <v>0</v>
      </c>
      <c r="BL179" s="6" t="str">
        <f>IFERROR(VLOOKUP(B179,'Statement of Marks'!$B$7:'Statement of Marks'!$IC$206,117,0),"")</f>
        <v/>
      </c>
    </row>
    <row r="180" spans="1:64" ht="21" customHeight="1">
      <c r="A180" s="169">
        <f>IF('Statement of Marks'!A182="","",'Statement of Marks'!A182)</f>
        <v>176</v>
      </c>
      <c r="B180" s="169" t="str">
        <f>IF('Statement of Marks'!B182="","",'Statement of Marks'!B182)</f>
        <v/>
      </c>
      <c r="C180" s="169" t="str">
        <f>IF('Statement of Marks'!D182="","",'Statement of Marks'!D182)</f>
        <v/>
      </c>
      <c r="D180" s="315" t="str">
        <f>IF('Statement of Marks'!E182="","",'Statement of Marks'!E182)</f>
        <v/>
      </c>
      <c r="E180" s="316" t="str">
        <f>IF('Statement of Marks'!F182="","",'Statement of Marks'!F182)</f>
        <v/>
      </c>
      <c r="F180" s="316" t="str">
        <f>IF('Statement of Marks'!G182="","",'Statement of Marks'!G182)</f>
        <v/>
      </c>
      <c r="G180" s="316" t="str">
        <f>IF('Statement of Marks'!H182="","",'Statement of Marks'!H182)</f>
        <v/>
      </c>
      <c r="H180" s="830" t="str">
        <f>IF('Statement of Marks'!HS182="","",'Statement of Marks'!HS182)</f>
        <v/>
      </c>
      <c r="I180" s="172" t="str">
        <f>IF('Statement of Marks'!HV182="","",'Statement of Marks'!HV182)</f>
        <v/>
      </c>
      <c r="J180" s="317" t="str">
        <f>IF('Statement of Marks'!HW182="","",'Statement of Marks'!HW182)</f>
        <v/>
      </c>
      <c r="K180" s="392" t="str">
        <f>'Statement of Marks'!GN182</f>
        <v/>
      </c>
      <c r="L180" s="392" t="str">
        <f>'Statement of Marks'!GQ182</f>
        <v/>
      </c>
      <c r="M180" s="181" t="str">
        <f>'Statement of Marks'!GU182</f>
        <v/>
      </c>
      <c r="N180" s="181" t="str">
        <f>'Statement of Marks'!GV182</f>
        <v/>
      </c>
      <c r="O180" s="181" t="str">
        <f>'Statement of Marks'!GW182</f>
        <v/>
      </c>
      <c r="P180" s="181" t="str">
        <f>'Statement of Marks'!GX182</f>
        <v/>
      </c>
      <c r="Q180" s="181" t="str">
        <f>'Statement of Marks'!GY182</f>
        <v/>
      </c>
      <c r="R180" s="392" t="str">
        <f>'Statement of Marks'!HB182</f>
        <v/>
      </c>
      <c r="S180" s="392" t="str">
        <f>'Statement of Marks'!HE182</f>
        <v/>
      </c>
      <c r="T180" s="392" t="str">
        <f>'Statement of Marks'!HH182</f>
        <v/>
      </c>
      <c r="U180" s="392" t="str">
        <f>'Statement of Marks'!HK182</f>
        <v/>
      </c>
      <c r="V180" s="318" t="str">
        <f>IF(COUNTIF(K180:U180,"F")&gt;0,"",CONCATENATE('Statement of Marks'!HO182,'Statement of Marks'!HP182,'Statement of Marks'!HQ182))</f>
        <v xml:space="preserve">                  </v>
      </c>
      <c r="BI180" s="6" t="str">
        <f>IFERROR(VLOOKUP(B180,'Statement of Marks'!$B$7:'Statement of Marks'!$IC$206,41,0),"")</f>
        <v/>
      </c>
      <c r="BJ180" s="6" t="str">
        <f>IFERROR(VLOOKUP(B180,'Statement of Marks'!$B$7:'Statement of Marks'!$IC$206,66,0),"")</f>
        <v/>
      </c>
      <c r="BK180" s="6">
        <f>IFERROR(VLOOKUP(B180,'Statement of Marks'!$B$7:'Statement of Marks'!$IC$206,91,0),"")</f>
        <v>0</v>
      </c>
      <c r="BL180" s="6" t="str">
        <f>IFERROR(VLOOKUP(B180,'Statement of Marks'!$B$7:'Statement of Marks'!$IC$206,117,0),"")</f>
        <v/>
      </c>
    </row>
    <row r="181" spans="1:64" ht="21" customHeight="1">
      <c r="A181" s="169">
        <f>IF('Statement of Marks'!A183="","",'Statement of Marks'!A183)</f>
        <v>177</v>
      </c>
      <c r="B181" s="169" t="str">
        <f>IF('Statement of Marks'!B183="","",'Statement of Marks'!B183)</f>
        <v/>
      </c>
      <c r="C181" s="169" t="str">
        <f>IF('Statement of Marks'!D183="","",'Statement of Marks'!D183)</f>
        <v/>
      </c>
      <c r="D181" s="315" t="str">
        <f>IF('Statement of Marks'!E183="","",'Statement of Marks'!E183)</f>
        <v/>
      </c>
      <c r="E181" s="316" t="str">
        <f>IF('Statement of Marks'!F183="","",'Statement of Marks'!F183)</f>
        <v/>
      </c>
      <c r="F181" s="316" t="str">
        <f>IF('Statement of Marks'!G183="","",'Statement of Marks'!G183)</f>
        <v/>
      </c>
      <c r="G181" s="316" t="str">
        <f>IF('Statement of Marks'!H183="","",'Statement of Marks'!H183)</f>
        <v/>
      </c>
      <c r="H181" s="830" t="str">
        <f>IF('Statement of Marks'!HS183="","",'Statement of Marks'!HS183)</f>
        <v/>
      </c>
      <c r="I181" s="172" t="str">
        <f>IF('Statement of Marks'!HV183="","",'Statement of Marks'!HV183)</f>
        <v/>
      </c>
      <c r="J181" s="317" t="str">
        <f>IF('Statement of Marks'!HW183="","",'Statement of Marks'!HW183)</f>
        <v/>
      </c>
      <c r="K181" s="392" t="str">
        <f>'Statement of Marks'!GN183</f>
        <v/>
      </c>
      <c r="L181" s="392" t="str">
        <f>'Statement of Marks'!GQ183</f>
        <v/>
      </c>
      <c r="M181" s="181" t="str">
        <f>'Statement of Marks'!GU183</f>
        <v/>
      </c>
      <c r="N181" s="181" t="str">
        <f>'Statement of Marks'!GV183</f>
        <v/>
      </c>
      <c r="O181" s="181" t="str">
        <f>'Statement of Marks'!GW183</f>
        <v/>
      </c>
      <c r="P181" s="181" t="str">
        <f>'Statement of Marks'!GX183</f>
        <v/>
      </c>
      <c r="Q181" s="181" t="str">
        <f>'Statement of Marks'!GY183</f>
        <v/>
      </c>
      <c r="R181" s="392" t="str">
        <f>'Statement of Marks'!HB183</f>
        <v/>
      </c>
      <c r="S181" s="392" t="str">
        <f>'Statement of Marks'!HE183</f>
        <v/>
      </c>
      <c r="T181" s="392" t="str">
        <f>'Statement of Marks'!HH183</f>
        <v/>
      </c>
      <c r="U181" s="392" t="str">
        <f>'Statement of Marks'!HK183</f>
        <v/>
      </c>
      <c r="V181" s="318" t="str">
        <f>IF(COUNTIF(K181:U181,"F")&gt;0,"",CONCATENATE('Statement of Marks'!HO183,'Statement of Marks'!HP183,'Statement of Marks'!HQ183))</f>
        <v xml:space="preserve">                  </v>
      </c>
      <c r="BI181" s="6" t="str">
        <f>IFERROR(VLOOKUP(B181,'Statement of Marks'!$B$7:'Statement of Marks'!$IC$206,41,0),"")</f>
        <v/>
      </c>
      <c r="BJ181" s="6" t="str">
        <f>IFERROR(VLOOKUP(B181,'Statement of Marks'!$B$7:'Statement of Marks'!$IC$206,66,0),"")</f>
        <v/>
      </c>
      <c r="BK181" s="6">
        <f>IFERROR(VLOOKUP(B181,'Statement of Marks'!$B$7:'Statement of Marks'!$IC$206,91,0),"")</f>
        <v>0</v>
      </c>
      <c r="BL181" s="6" t="str">
        <f>IFERROR(VLOOKUP(B181,'Statement of Marks'!$B$7:'Statement of Marks'!$IC$206,117,0),"")</f>
        <v/>
      </c>
    </row>
    <row r="182" spans="1:64" ht="21" customHeight="1">
      <c r="A182" s="169">
        <f>IF('Statement of Marks'!A184="","",'Statement of Marks'!A184)</f>
        <v>178</v>
      </c>
      <c r="B182" s="169" t="str">
        <f>IF('Statement of Marks'!B184="","",'Statement of Marks'!B184)</f>
        <v/>
      </c>
      <c r="C182" s="169" t="str">
        <f>IF('Statement of Marks'!D184="","",'Statement of Marks'!D184)</f>
        <v/>
      </c>
      <c r="D182" s="315" t="str">
        <f>IF('Statement of Marks'!E184="","",'Statement of Marks'!E184)</f>
        <v/>
      </c>
      <c r="E182" s="316" t="str">
        <f>IF('Statement of Marks'!F184="","",'Statement of Marks'!F184)</f>
        <v/>
      </c>
      <c r="F182" s="316" t="str">
        <f>IF('Statement of Marks'!G184="","",'Statement of Marks'!G184)</f>
        <v/>
      </c>
      <c r="G182" s="316" t="str">
        <f>IF('Statement of Marks'!H184="","",'Statement of Marks'!H184)</f>
        <v/>
      </c>
      <c r="H182" s="830" t="str">
        <f>IF('Statement of Marks'!HS184="","",'Statement of Marks'!HS184)</f>
        <v/>
      </c>
      <c r="I182" s="172" t="str">
        <f>IF('Statement of Marks'!HV184="","",'Statement of Marks'!HV184)</f>
        <v/>
      </c>
      <c r="J182" s="317" t="str">
        <f>IF('Statement of Marks'!HW184="","",'Statement of Marks'!HW184)</f>
        <v/>
      </c>
      <c r="K182" s="392" t="str">
        <f>'Statement of Marks'!GN184</f>
        <v/>
      </c>
      <c r="L182" s="392" t="str">
        <f>'Statement of Marks'!GQ184</f>
        <v/>
      </c>
      <c r="M182" s="181" t="str">
        <f>'Statement of Marks'!GU184</f>
        <v/>
      </c>
      <c r="N182" s="181" t="str">
        <f>'Statement of Marks'!GV184</f>
        <v/>
      </c>
      <c r="O182" s="181" t="str">
        <f>'Statement of Marks'!GW184</f>
        <v/>
      </c>
      <c r="P182" s="181" t="str">
        <f>'Statement of Marks'!GX184</f>
        <v/>
      </c>
      <c r="Q182" s="181" t="str">
        <f>'Statement of Marks'!GY184</f>
        <v/>
      </c>
      <c r="R182" s="392" t="str">
        <f>'Statement of Marks'!HB184</f>
        <v/>
      </c>
      <c r="S182" s="392" t="str">
        <f>'Statement of Marks'!HE184</f>
        <v/>
      </c>
      <c r="T182" s="392" t="str">
        <f>'Statement of Marks'!HH184</f>
        <v/>
      </c>
      <c r="U182" s="392" t="str">
        <f>'Statement of Marks'!HK184</f>
        <v/>
      </c>
      <c r="V182" s="318" t="str">
        <f>IF(COUNTIF(K182:U182,"F")&gt;0,"",CONCATENATE('Statement of Marks'!HO184,'Statement of Marks'!HP184,'Statement of Marks'!HQ184))</f>
        <v xml:space="preserve">                  </v>
      </c>
      <c r="BI182" s="6" t="str">
        <f>IFERROR(VLOOKUP(B182,'Statement of Marks'!$B$7:'Statement of Marks'!$IC$206,41,0),"")</f>
        <v/>
      </c>
      <c r="BJ182" s="6" t="str">
        <f>IFERROR(VLOOKUP(B182,'Statement of Marks'!$B$7:'Statement of Marks'!$IC$206,66,0),"")</f>
        <v/>
      </c>
      <c r="BK182" s="6">
        <f>IFERROR(VLOOKUP(B182,'Statement of Marks'!$B$7:'Statement of Marks'!$IC$206,91,0),"")</f>
        <v>0</v>
      </c>
      <c r="BL182" s="6" t="str">
        <f>IFERROR(VLOOKUP(B182,'Statement of Marks'!$B$7:'Statement of Marks'!$IC$206,117,0),"")</f>
        <v/>
      </c>
    </row>
    <row r="183" spans="1:64" ht="21" customHeight="1">
      <c r="A183" s="169">
        <f>IF('Statement of Marks'!A185="","",'Statement of Marks'!A185)</f>
        <v>179</v>
      </c>
      <c r="B183" s="169" t="str">
        <f>IF('Statement of Marks'!B185="","",'Statement of Marks'!B185)</f>
        <v/>
      </c>
      <c r="C183" s="169" t="str">
        <f>IF('Statement of Marks'!D185="","",'Statement of Marks'!D185)</f>
        <v/>
      </c>
      <c r="D183" s="315" t="str">
        <f>IF('Statement of Marks'!E185="","",'Statement of Marks'!E185)</f>
        <v/>
      </c>
      <c r="E183" s="316" t="str">
        <f>IF('Statement of Marks'!F185="","",'Statement of Marks'!F185)</f>
        <v/>
      </c>
      <c r="F183" s="316" t="str">
        <f>IF('Statement of Marks'!G185="","",'Statement of Marks'!G185)</f>
        <v/>
      </c>
      <c r="G183" s="316" t="str">
        <f>IF('Statement of Marks'!H185="","",'Statement of Marks'!H185)</f>
        <v/>
      </c>
      <c r="H183" s="830" t="str">
        <f>IF('Statement of Marks'!HS185="","",'Statement of Marks'!HS185)</f>
        <v/>
      </c>
      <c r="I183" s="172" t="str">
        <f>IF('Statement of Marks'!HV185="","",'Statement of Marks'!HV185)</f>
        <v/>
      </c>
      <c r="J183" s="317" t="str">
        <f>IF('Statement of Marks'!HW185="","",'Statement of Marks'!HW185)</f>
        <v/>
      </c>
      <c r="K183" s="392" t="str">
        <f>'Statement of Marks'!GN185</f>
        <v/>
      </c>
      <c r="L183" s="392" t="str">
        <f>'Statement of Marks'!GQ185</f>
        <v/>
      </c>
      <c r="M183" s="181" t="str">
        <f>'Statement of Marks'!GU185</f>
        <v/>
      </c>
      <c r="N183" s="181" t="str">
        <f>'Statement of Marks'!GV185</f>
        <v/>
      </c>
      <c r="O183" s="181" t="str">
        <f>'Statement of Marks'!GW185</f>
        <v/>
      </c>
      <c r="P183" s="181" t="str">
        <f>'Statement of Marks'!GX185</f>
        <v/>
      </c>
      <c r="Q183" s="181" t="str">
        <f>'Statement of Marks'!GY185</f>
        <v/>
      </c>
      <c r="R183" s="392" t="str">
        <f>'Statement of Marks'!HB185</f>
        <v/>
      </c>
      <c r="S183" s="392" t="str">
        <f>'Statement of Marks'!HE185</f>
        <v/>
      </c>
      <c r="T183" s="392" t="str">
        <f>'Statement of Marks'!HH185</f>
        <v/>
      </c>
      <c r="U183" s="392" t="str">
        <f>'Statement of Marks'!HK185</f>
        <v/>
      </c>
      <c r="V183" s="318" t="str">
        <f>IF(COUNTIF(K183:U183,"F")&gt;0,"",CONCATENATE('Statement of Marks'!HO185,'Statement of Marks'!HP185,'Statement of Marks'!HQ185))</f>
        <v xml:space="preserve">                  </v>
      </c>
      <c r="BI183" s="6" t="str">
        <f>IFERROR(VLOOKUP(B183,'Statement of Marks'!$B$7:'Statement of Marks'!$IC$206,41,0),"")</f>
        <v/>
      </c>
      <c r="BJ183" s="6" t="str">
        <f>IFERROR(VLOOKUP(B183,'Statement of Marks'!$B$7:'Statement of Marks'!$IC$206,66,0),"")</f>
        <v/>
      </c>
      <c r="BK183" s="6">
        <f>IFERROR(VLOOKUP(B183,'Statement of Marks'!$B$7:'Statement of Marks'!$IC$206,91,0),"")</f>
        <v>0</v>
      </c>
      <c r="BL183" s="6" t="str">
        <f>IFERROR(VLOOKUP(B183,'Statement of Marks'!$B$7:'Statement of Marks'!$IC$206,117,0),"")</f>
        <v/>
      </c>
    </row>
    <row r="184" spans="1:64" ht="21" customHeight="1">
      <c r="A184" s="169">
        <f>IF('Statement of Marks'!A186="","",'Statement of Marks'!A186)</f>
        <v>180</v>
      </c>
      <c r="B184" s="169" t="str">
        <f>IF('Statement of Marks'!B186="","",'Statement of Marks'!B186)</f>
        <v/>
      </c>
      <c r="C184" s="169" t="str">
        <f>IF('Statement of Marks'!D186="","",'Statement of Marks'!D186)</f>
        <v/>
      </c>
      <c r="D184" s="315" t="str">
        <f>IF('Statement of Marks'!E186="","",'Statement of Marks'!E186)</f>
        <v/>
      </c>
      <c r="E184" s="316" t="str">
        <f>IF('Statement of Marks'!F186="","",'Statement of Marks'!F186)</f>
        <v/>
      </c>
      <c r="F184" s="316" t="str">
        <f>IF('Statement of Marks'!G186="","",'Statement of Marks'!G186)</f>
        <v/>
      </c>
      <c r="G184" s="316" t="str">
        <f>IF('Statement of Marks'!H186="","",'Statement of Marks'!H186)</f>
        <v/>
      </c>
      <c r="H184" s="830" t="str">
        <f>IF('Statement of Marks'!HS186="","",'Statement of Marks'!HS186)</f>
        <v/>
      </c>
      <c r="I184" s="172" t="str">
        <f>IF('Statement of Marks'!HV186="","",'Statement of Marks'!HV186)</f>
        <v/>
      </c>
      <c r="J184" s="317" t="str">
        <f>IF('Statement of Marks'!HW186="","",'Statement of Marks'!HW186)</f>
        <v/>
      </c>
      <c r="K184" s="392" t="str">
        <f>'Statement of Marks'!GN186</f>
        <v/>
      </c>
      <c r="L184" s="392" t="str">
        <f>'Statement of Marks'!GQ186</f>
        <v/>
      </c>
      <c r="M184" s="181" t="str">
        <f>'Statement of Marks'!GU186</f>
        <v/>
      </c>
      <c r="N184" s="181" t="str">
        <f>'Statement of Marks'!GV186</f>
        <v/>
      </c>
      <c r="O184" s="181" t="str">
        <f>'Statement of Marks'!GW186</f>
        <v/>
      </c>
      <c r="P184" s="181" t="str">
        <f>'Statement of Marks'!GX186</f>
        <v/>
      </c>
      <c r="Q184" s="181" t="str">
        <f>'Statement of Marks'!GY186</f>
        <v/>
      </c>
      <c r="R184" s="392" t="str">
        <f>'Statement of Marks'!HB186</f>
        <v/>
      </c>
      <c r="S184" s="392" t="str">
        <f>'Statement of Marks'!HE186</f>
        <v/>
      </c>
      <c r="T184" s="392" t="str">
        <f>'Statement of Marks'!HH186</f>
        <v/>
      </c>
      <c r="U184" s="392" t="str">
        <f>'Statement of Marks'!HK186</f>
        <v/>
      </c>
      <c r="V184" s="318" t="str">
        <f>IF(COUNTIF(K184:U184,"F")&gt;0,"",CONCATENATE('Statement of Marks'!HO186,'Statement of Marks'!HP186,'Statement of Marks'!HQ186))</f>
        <v xml:space="preserve">                  </v>
      </c>
      <c r="BI184" s="6" t="str">
        <f>IFERROR(VLOOKUP(B184,'Statement of Marks'!$B$7:'Statement of Marks'!$IC$206,41,0),"")</f>
        <v/>
      </c>
      <c r="BJ184" s="6" t="str">
        <f>IFERROR(VLOOKUP(B184,'Statement of Marks'!$B$7:'Statement of Marks'!$IC$206,66,0),"")</f>
        <v/>
      </c>
      <c r="BK184" s="6">
        <f>IFERROR(VLOOKUP(B184,'Statement of Marks'!$B$7:'Statement of Marks'!$IC$206,91,0),"")</f>
        <v>0</v>
      </c>
      <c r="BL184" s="6" t="str">
        <f>IFERROR(VLOOKUP(B184,'Statement of Marks'!$B$7:'Statement of Marks'!$IC$206,117,0),"")</f>
        <v/>
      </c>
    </row>
    <row r="185" spans="1:64" ht="21" customHeight="1">
      <c r="A185" s="169">
        <f>IF('Statement of Marks'!A187="","",'Statement of Marks'!A187)</f>
        <v>181</v>
      </c>
      <c r="B185" s="169" t="str">
        <f>IF('Statement of Marks'!B187="","",'Statement of Marks'!B187)</f>
        <v/>
      </c>
      <c r="C185" s="169" t="str">
        <f>IF('Statement of Marks'!D187="","",'Statement of Marks'!D187)</f>
        <v/>
      </c>
      <c r="D185" s="315" t="str">
        <f>IF('Statement of Marks'!E187="","",'Statement of Marks'!E187)</f>
        <v/>
      </c>
      <c r="E185" s="316" t="str">
        <f>IF('Statement of Marks'!F187="","",'Statement of Marks'!F187)</f>
        <v/>
      </c>
      <c r="F185" s="316" t="str">
        <f>IF('Statement of Marks'!G187="","",'Statement of Marks'!G187)</f>
        <v/>
      </c>
      <c r="G185" s="316" t="str">
        <f>IF('Statement of Marks'!H187="","",'Statement of Marks'!H187)</f>
        <v/>
      </c>
      <c r="H185" s="830" t="str">
        <f>IF('Statement of Marks'!HS187="","",'Statement of Marks'!HS187)</f>
        <v/>
      </c>
      <c r="I185" s="172" t="str">
        <f>IF('Statement of Marks'!HV187="","",'Statement of Marks'!HV187)</f>
        <v/>
      </c>
      <c r="J185" s="317" t="str">
        <f>IF('Statement of Marks'!HW187="","",'Statement of Marks'!HW187)</f>
        <v/>
      </c>
      <c r="K185" s="392" t="str">
        <f>'Statement of Marks'!GN187</f>
        <v/>
      </c>
      <c r="L185" s="392" t="str">
        <f>'Statement of Marks'!GQ187</f>
        <v/>
      </c>
      <c r="M185" s="181" t="str">
        <f>'Statement of Marks'!GU187</f>
        <v/>
      </c>
      <c r="N185" s="181" t="str">
        <f>'Statement of Marks'!GV187</f>
        <v/>
      </c>
      <c r="O185" s="181" t="str">
        <f>'Statement of Marks'!GW187</f>
        <v/>
      </c>
      <c r="P185" s="181" t="str">
        <f>'Statement of Marks'!GX187</f>
        <v/>
      </c>
      <c r="Q185" s="181" t="str">
        <f>'Statement of Marks'!GY187</f>
        <v/>
      </c>
      <c r="R185" s="392" t="str">
        <f>'Statement of Marks'!HB187</f>
        <v/>
      </c>
      <c r="S185" s="392" t="str">
        <f>'Statement of Marks'!HE187</f>
        <v/>
      </c>
      <c r="T185" s="392" t="str">
        <f>'Statement of Marks'!HH187</f>
        <v/>
      </c>
      <c r="U185" s="392" t="str">
        <f>'Statement of Marks'!HK187</f>
        <v/>
      </c>
      <c r="V185" s="318" t="str">
        <f>IF(COUNTIF(K185:U185,"F")&gt;0,"",CONCATENATE('Statement of Marks'!HO187,'Statement of Marks'!HP187,'Statement of Marks'!HQ187))</f>
        <v xml:space="preserve">                  </v>
      </c>
      <c r="BI185" s="6" t="str">
        <f>IFERROR(VLOOKUP(B185,'Statement of Marks'!$B$7:'Statement of Marks'!$IC$206,41,0),"")</f>
        <v/>
      </c>
      <c r="BJ185" s="6" t="str">
        <f>IFERROR(VLOOKUP(B185,'Statement of Marks'!$B$7:'Statement of Marks'!$IC$206,66,0),"")</f>
        <v/>
      </c>
      <c r="BK185" s="6">
        <f>IFERROR(VLOOKUP(B185,'Statement of Marks'!$B$7:'Statement of Marks'!$IC$206,91,0),"")</f>
        <v>0</v>
      </c>
      <c r="BL185" s="6" t="str">
        <f>IFERROR(VLOOKUP(B185,'Statement of Marks'!$B$7:'Statement of Marks'!$IC$206,117,0),"")</f>
        <v/>
      </c>
    </row>
    <row r="186" spans="1:64" ht="21" customHeight="1">
      <c r="A186" s="169">
        <f>IF('Statement of Marks'!A188="","",'Statement of Marks'!A188)</f>
        <v>182</v>
      </c>
      <c r="B186" s="169" t="str">
        <f>IF('Statement of Marks'!B188="","",'Statement of Marks'!B188)</f>
        <v/>
      </c>
      <c r="C186" s="169" t="str">
        <f>IF('Statement of Marks'!D188="","",'Statement of Marks'!D188)</f>
        <v/>
      </c>
      <c r="D186" s="315" t="str">
        <f>IF('Statement of Marks'!E188="","",'Statement of Marks'!E188)</f>
        <v/>
      </c>
      <c r="E186" s="316" t="str">
        <f>IF('Statement of Marks'!F188="","",'Statement of Marks'!F188)</f>
        <v/>
      </c>
      <c r="F186" s="316" t="str">
        <f>IF('Statement of Marks'!G188="","",'Statement of Marks'!G188)</f>
        <v/>
      </c>
      <c r="G186" s="316" t="str">
        <f>IF('Statement of Marks'!H188="","",'Statement of Marks'!H188)</f>
        <v/>
      </c>
      <c r="H186" s="830" t="str">
        <f>IF('Statement of Marks'!HS188="","",'Statement of Marks'!HS188)</f>
        <v/>
      </c>
      <c r="I186" s="172" t="str">
        <f>IF('Statement of Marks'!HV188="","",'Statement of Marks'!HV188)</f>
        <v/>
      </c>
      <c r="J186" s="317" t="str">
        <f>IF('Statement of Marks'!HW188="","",'Statement of Marks'!HW188)</f>
        <v/>
      </c>
      <c r="K186" s="392" t="str">
        <f>'Statement of Marks'!GN188</f>
        <v/>
      </c>
      <c r="L186" s="392" t="str">
        <f>'Statement of Marks'!GQ188</f>
        <v/>
      </c>
      <c r="M186" s="181" t="str">
        <f>'Statement of Marks'!GU188</f>
        <v/>
      </c>
      <c r="N186" s="181" t="str">
        <f>'Statement of Marks'!GV188</f>
        <v/>
      </c>
      <c r="O186" s="181" t="str">
        <f>'Statement of Marks'!GW188</f>
        <v/>
      </c>
      <c r="P186" s="181" t="str">
        <f>'Statement of Marks'!GX188</f>
        <v/>
      </c>
      <c r="Q186" s="181" t="str">
        <f>'Statement of Marks'!GY188</f>
        <v/>
      </c>
      <c r="R186" s="392" t="str">
        <f>'Statement of Marks'!HB188</f>
        <v/>
      </c>
      <c r="S186" s="392" t="str">
        <f>'Statement of Marks'!HE188</f>
        <v/>
      </c>
      <c r="T186" s="392" t="str">
        <f>'Statement of Marks'!HH188</f>
        <v/>
      </c>
      <c r="U186" s="392" t="str">
        <f>'Statement of Marks'!HK188</f>
        <v/>
      </c>
      <c r="V186" s="318" t="str">
        <f>IF(COUNTIF(K186:U186,"F")&gt;0,"",CONCATENATE('Statement of Marks'!HO188,'Statement of Marks'!HP188,'Statement of Marks'!HQ188))</f>
        <v xml:space="preserve">                  </v>
      </c>
      <c r="BI186" s="6" t="str">
        <f>IFERROR(VLOOKUP(B186,'Statement of Marks'!$B$7:'Statement of Marks'!$IC$206,41,0),"")</f>
        <v/>
      </c>
      <c r="BJ186" s="6" t="str">
        <f>IFERROR(VLOOKUP(B186,'Statement of Marks'!$B$7:'Statement of Marks'!$IC$206,66,0),"")</f>
        <v/>
      </c>
      <c r="BK186" s="6">
        <f>IFERROR(VLOOKUP(B186,'Statement of Marks'!$B$7:'Statement of Marks'!$IC$206,91,0),"")</f>
        <v>0</v>
      </c>
      <c r="BL186" s="6" t="str">
        <f>IFERROR(VLOOKUP(B186,'Statement of Marks'!$B$7:'Statement of Marks'!$IC$206,117,0),"")</f>
        <v/>
      </c>
    </row>
    <row r="187" spans="1:64" ht="21" customHeight="1">
      <c r="A187" s="169">
        <f>IF('Statement of Marks'!A189="","",'Statement of Marks'!A189)</f>
        <v>183</v>
      </c>
      <c r="B187" s="169" t="str">
        <f>IF('Statement of Marks'!B189="","",'Statement of Marks'!B189)</f>
        <v/>
      </c>
      <c r="C187" s="169" t="str">
        <f>IF('Statement of Marks'!D189="","",'Statement of Marks'!D189)</f>
        <v/>
      </c>
      <c r="D187" s="315" t="str">
        <f>IF('Statement of Marks'!E189="","",'Statement of Marks'!E189)</f>
        <v/>
      </c>
      <c r="E187" s="316" t="str">
        <f>IF('Statement of Marks'!F189="","",'Statement of Marks'!F189)</f>
        <v/>
      </c>
      <c r="F187" s="316" t="str">
        <f>IF('Statement of Marks'!G189="","",'Statement of Marks'!G189)</f>
        <v/>
      </c>
      <c r="G187" s="316" t="str">
        <f>IF('Statement of Marks'!H189="","",'Statement of Marks'!H189)</f>
        <v/>
      </c>
      <c r="H187" s="830" t="str">
        <f>IF('Statement of Marks'!HS189="","",'Statement of Marks'!HS189)</f>
        <v/>
      </c>
      <c r="I187" s="172" t="str">
        <f>IF('Statement of Marks'!HV189="","",'Statement of Marks'!HV189)</f>
        <v/>
      </c>
      <c r="J187" s="317" t="str">
        <f>IF('Statement of Marks'!HW189="","",'Statement of Marks'!HW189)</f>
        <v/>
      </c>
      <c r="K187" s="392" t="str">
        <f>'Statement of Marks'!GN189</f>
        <v/>
      </c>
      <c r="L187" s="392" t="str">
        <f>'Statement of Marks'!GQ189</f>
        <v/>
      </c>
      <c r="M187" s="181" t="str">
        <f>'Statement of Marks'!GU189</f>
        <v/>
      </c>
      <c r="N187" s="181" t="str">
        <f>'Statement of Marks'!GV189</f>
        <v/>
      </c>
      <c r="O187" s="181" t="str">
        <f>'Statement of Marks'!GW189</f>
        <v/>
      </c>
      <c r="P187" s="181" t="str">
        <f>'Statement of Marks'!GX189</f>
        <v/>
      </c>
      <c r="Q187" s="181" t="str">
        <f>'Statement of Marks'!GY189</f>
        <v/>
      </c>
      <c r="R187" s="392" t="str">
        <f>'Statement of Marks'!HB189</f>
        <v/>
      </c>
      <c r="S187" s="392" t="str">
        <f>'Statement of Marks'!HE189</f>
        <v/>
      </c>
      <c r="T187" s="392" t="str">
        <f>'Statement of Marks'!HH189</f>
        <v/>
      </c>
      <c r="U187" s="392" t="str">
        <f>'Statement of Marks'!HK189</f>
        <v/>
      </c>
      <c r="V187" s="318" t="str">
        <f>IF(COUNTIF(K187:U187,"F")&gt;0,"",CONCATENATE('Statement of Marks'!HO189,'Statement of Marks'!HP189,'Statement of Marks'!HQ189))</f>
        <v xml:space="preserve">                  </v>
      </c>
      <c r="BI187" s="6" t="str">
        <f>IFERROR(VLOOKUP(B187,'Statement of Marks'!$B$7:'Statement of Marks'!$IC$206,41,0),"")</f>
        <v/>
      </c>
      <c r="BJ187" s="6" t="str">
        <f>IFERROR(VLOOKUP(B187,'Statement of Marks'!$B$7:'Statement of Marks'!$IC$206,66,0),"")</f>
        <v/>
      </c>
      <c r="BK187" s="6">
        <f>IFERROR(VLOOKUP(B187,'Statement of Marks'!$B$7:'Statement of Marks'!$IC$206,91,0),"")</f>
        <v>0</v>
      </c>
      <c r="BL187" s="6" t="str">
        <f>IFERROR(VLOOKUP(B187,'Statement of Marks'!$B$7:'Statement of Marks'!$IC$206,117,0),"")</f>
        <v/>
      </c>
    </row>
    <row r="188" spans="1:64" ht="21" customHeight="1">
      <c r="A188" s="169">
        <f>IF('Statement of Marks'!A190="","",'Statement of Marks'!A190)</f>
        <v>184</v>
      </c>
      <c r="B188" s="169" t="str">
        <f>IF('Statement of Marks'!B190="","",'Statement of Marks'!B190)</f>
        <v/>
      </c>
      <c r="C188" s="169" t="str">
        <f>IF('Statement of Marks'!D190="","",'Statement of Marks'!D190)</f>
        <v/>
      </c>
      <c r="D188" s="315" t="str">
        <f>IF('Statement of Marks'!E190="","",'Statement of Marks'!E190)</f>
        <v/>
      </c>
      <c r="E188" s="316" t="str">
        <f>IF('Statement of Marks'!F190="","",'Statement of Marks'!F190)</f>
        <v/>
      </c>
      <c r="F188" s="316" t="str">
        <f>IF('Statement of Marks'!G190="","",'Statement of Marks'!G190)</f>
        <v/>
      </c>
      <c r="G188" s="316" t="str">
        <f>IF('Statement of Marks'!H190="","",'Statement of Marks'!H190)</f>
        <v/>
      </c>
      <c r="H188" s="830" t="str">
        <f>IF('Statement of Marks'!HS190="","",'Statement of Marks'!HS190)</f>
        <v/>
      </c>
      <c r="I188" s="172" t="str">
        <f>IF('Statement of Marks'!HV190="","",'Statement of Marks'!HV190)</f>
        <v/>
      </c>
      <c r="J188" s="317" t="str">
        <f>IF('Statement of Marks'!HW190="","",'Statement of Marks'!HW190)</f>
        <v/>
      </c>
      <c r="K188" s="392" t="str">
        <f>'Statement of Marks'!GN190</f>
        <v/>
      </c>
      <c r="L188" s="392" t="str">
        <f>'Statement of Marks'!GQ190</f>
        <v/>
      </c>
      <c r="M188" s="181" t="str">
        <f>'Statement of Marks'!GU190</f>
        <v/>
      </c>
      <c r="N188" s="181" t="str">
        <f>'Statement of Marks'!GV190</f>
        <v/>
      </c>
      <c r="O188" s="181" t="str">
        <f>'Statement of Marks'!GW190</f>
        <v/>
      </c>
      <c r="P188" s="181" t="str">
        <f>'Statement of Marks'!GX190</f>
        <v/>
      </c>
      <c r="Q188" s="181" t="str">
        <f>'Statement of Marks'!GY190</f>
        <v/>
      </c>
      <c r="R188" s="392" t="str">
        <f>'Statement of Marks'!HB190</f>
        <v/>
      </c>
      <c r="S188" s="392" t="str">
        <f>'Statement of Marks'!HE190</f>
        <v/>
      </c>
      <c r="T188" s="392" t="str">
        <f>'Statement of Marks'!HH190</f>
        <v/>
      </c>
      <c r="U188" s="392" t="str">
        <f>'Statement of Marks'!HK190</f>
        <v/>
      </c>
      <c r="V188" s="318" t="str">
        <f>IF(COUNTIF(K188:U188,"F")&gt;0,"",CONCATENATE('Statement of Marks'!HO190,'Statement of Marks'!HP190,'Statement of Marks'!HQ190))</f>
        <v xml:space="preserve">                  </v>
      </c>
      <c r="BI188" s="6" t="str">
        <f>IFERROR(VLOOKUP(B188,'Statement of Marks'!$B$7:'Statement of Marks'!$IC$206,41,0),"")</f>
        <v/>
      </c>
      <c r="BJ188" s="6" t="str">
        <f>IFERROR(VLOOKUP(B188,'Statement of Marks'!$B$7:'Statement of Marks'!$IC$206,66,0),"")</f>
        <v/>
      </c>
      <c r="BK188" s="6">
        <f>IFERROR(VLOOKUP(B188,'Statement of Marks'!$B$7:'Statement of Marks'!$IC$206,91,0),"")</f>
        <v>0</v>
      </c>
      <c r="BL188" s="6" t="str">
        <f>IFERROR(VLOOKUP(B188,'Statement of Marks'!$B$7:'Statement of Marks'!$IC$206,117,0),"")</f>
        <v/>
      </c>
    </row>
    <row r="189" spans="1:64" ht="21" customHeight="1">
      <c r="A189" s="169">
        <f>IF('Statement of Marks'!A191="","",'Statement of Marks'!A191)</f>
        <v>185</v>
      </c>
      <c r="B189" s="169" t="str">
        <f>IF('Statement of Marks'!B191="","",'Statement of Marks'!B191)</f>
        <v/>
      </c>
      <c r="C189" s="169" t="str">
        <f>IF('Statement of Marks'!D191="","",'Statement of Marks'!D191)</f>
        <v/>
      </c>
      <c r="D189" s="315" t="str">
        <f>IF('Statement of Marks'!E191="","",'Statement of Marks'!E191)</f>
        <v/>
      </c>
      <c r="E189" s="316" t="str">
        <f>IF('Statement of Marks'!F191="","",'Statement of Marks'!F191)</f>
        <v/>
      </c>
      <c r="F189" s="316" t="str">
        <f>IF('Statement of Marks'!G191="","",'Statement of Marks'!G191)</f>
        <v/>
      </c>
      <c r="G189" s="316" t="str">
        <f>IF('Statement of Marks'!H191="","",'Statement of Marks'!H191)</f>
        <v/>
      </c>
      <c r="H189" s="830" t="str">
        <f>IF('Statement of Marks'!HS191="","",'Statement of Marks'!HS191)</f>
        <v/>
      </c>
      <c r="I189" s="172" t="str">
        <f>IF('Statement of Marks'!HV191="","",'Statement of Marks'!HV191)</f>
        <v/>
      </c>
      <c r="J189" s="317" t="str">
        <f>IF('Statement of Marks'!HW191="","",'Statement of Marks'!HW191)</f>
        <v/>
      </c>
      <c r="K189" s="392" t="str">
        <f>'Statement of Marks'!GN191</f>
        <v/>
      </c>
      <c r="L189" s="392" t="str">
        <f>'Statement of Marks'!GQ191</f>
        <v/>
      </c>
      <c r="M189" s="181" t="str">
        <f>'Statement of Marks'!GU191</f>
        <v/>
      </c>
      <c r="N189" s="181" t="str">
        <f>'Statement of Marks'!GV191</f>
        <v/>
      </c>
      <c r="O189" s="181" t="str">
        <f>'Statement of Marks'!GW191</f>
        <v/>
      </c>
      <c r="P189" s="181" t="str">
        <f>'Statement of Marks'!GX191</f>
        <v/>
      </c>
      <c r="Q189" s="181" t="str">
        <f>'Statement of Marks'!GY191</f>
        <v/>
      </c>
      <c r="R189" s="392" t="str">
        <f>'Statement of Marks'!HB191</f>
        <v/>
      </c>
      <c r="S189" s="392" t="str">
        <f>'Statement of Marks'!HE191</f>
        <v/>
      </c>
      <c r="T189" s="392" t="str">
        <f>'Statement of Marks'!HH191</f>
        <v/>
      </c>
      <c r="U189" s="392" t="str">
        <f>'Statement of Marks'!HK191</f>
        <v/>
      </c>
      <c r="V189" s="318" t="str">
        <f>IF(COUNTIF(K189:U189,"F")&gt;0,"",CONCATENATE('Statement of Marks'!HO191,'Statement of Marks'!HP191,'Statement of Marks'!HQ191))</f>
        <v xml:space="preserve">                  </v>
      </c>
      <c r="BI189" s="6" t="str">
        <f>IFERROR(VLOOKUP(B189,'Statement of Marks'!$B$7:'Statement of Marks'!$IC$206,41,0),"")</f>
        <v/>
      </c>
      <c r="BJ189" s="6" t="str">
        <f>IFERROR(VLOOKUP(B189,'Statement of Marks'!$B$7:'Statement of Marks'!$IC$206,66,0),"")</f>
        <v/>
      </c>
      <c r="BK189" s="6">
        <f>IFERROR(VLOOKUP(B189,'Statement of Marks'!$B$7:'Statement of Marks'!$IC$206,91,0),"")</f>
        <v>0</v>
      </c>
      <c r="BL189" s="6" t="str">
        <f>IFERROR(VLOOKUP(B189,'Statement of Marks'!$B$7:'Statement of Marks'!$IC$206,117,0),"")</f>
        <v/>
      </c>
    </row>
    <row r="190" spans="1:64" ht="21" customHeight="1">
      <c r="A190" s="169">
        <f>IF('Statement of Marks'!A192="","",'Statement of Marks'!A192)</f>
        <v>186</v>
      </c>
      <c r="B190" s="169" t="str">
        <f>IF('Statement of Marks'!B192="","",'Statement of Marks'!B192)</f>
        <v/>
      </c>
      <c r="C190" s="169" t="str">
        <f>IF('Statement of Marks'!D192="","",'Statement of Marks'!D192)</f>
        <v/>
      </c>
      <c r="D190" s="315" t="str">
        <f>IF('Statement of Marks'!E192="","",'Statement of Marks'!E192)</f>
        <v/>
      </c>
      <c r="E190" s="316" t="str">
        <f>IF('Statement of Marks'!F192="","",'Statement of Marks'!F192)</f>
        <v/>
      </c>
      <c r="F190" s="316" t="str">
        <f>IF('Statement of Marks'!G192="","",'Statement of Marks'!G192)</f>
        <v/>
      </c>
      <c r="G190" s="316" t="str">
        <f>IF('Statement of Marks'!H192="","",'Statement of Marks'!H192)</f>
        <v/>
      </c>
      <c r="H190" s="830" t="str">
        <f>IF('Statement of Marks'!HS192="","",'Statement of Marks'!HS192)</f>
        <v/>
      </c>
      <c r="I190" s="172" t="str">
        <f>IF('Statement of Marks'!HV192="","",'Statement of Marks'!HV192)</f>
        <v/>
      </c>
      <c r="J190" s="317" t="str">
        <f>IF('Statement of Marks'!HW192="","",'Statement of Marks'!HW192)</f>
        <v/>
      </c>
      <c r="K190" s="392" t="str">
        <f>'Statement of Marks'!GN192</f>
        <v/>
      </c>
      <c r="L190" s="392" t="str">
        <f>'Statement of Marks'!GQ192</f>
        <v/>
      </c>
      <c r="M190" s="181" t="str">
        <f>'Statement of Marks'!GU192</f>
        <v/>
      </c>
      <c r="N190" s="181" t="str">
        <f>'Statement of Marks'!GV192</f>
        <v/>
      </c>
      <c r="O190" s="181" t="str">
        <f>'Statement of Marks'!GW192</f>
        <v/>
      </c>
      <c r="P190" s="181" t="str">
        <f>'Statement of Marks'!GX192</f>
        <v/>
      </c>
      <c r="Q190" s="181" t="str">
        <f>'Statement of Marks'!GY192</f>
        <v/>
      </c>
      <c r="R190" s="392" t="str">
        <f>'Statement of Marks'!HB192</f>
        <v/>
      </c>
      <c r="S190" s="392" t="str">
        <f>'Statement of Marks'!HE192</f>
        <v/>
      </c>
      <c r="T190" s="392" t="str">
        <f>'Statement of Marks'!HH192</f>
        <v/>
      </c>
      <c r="U190" s="392" t="str">
        <f>'Statement of Marks'!HK192</f>
        <v/>
      </c>
      <c r="V190" s="318" t="str">
        <f>IF(COUNTIF(K190:U190,"F")&gt;0,"",CONCATENATE('Statement of Marks'!HO192,'Statement of Marks'!HP192,'Statement of Marks'!HQ192))</f>
        <v xml:space="preserve">                  </v>
      </c>
      <c r="BI190" s="6" t="str">
        <f>IFERROR(VLOOKUP(B190,'Statement of Marks'!$B$7:'Statement of Marks'!$IC$206,41,0),"")</f>
        <v/>
      </c>
      <c r="BJ190" s="6" t="str">
        <f>IFERROR(VLOOKUP(B190,'Statement of Marks'!$B$7:'Statement of Marks'!$IC$206,66,0),"")</f>
        <v/>
      </c>
      <c r="BK190" s="6">
        <f>IFERROR(VLOOKUP(B190,'Statement of Marks'!$B$7:'Statement of Marks'!$IC$206,91,0),"")</f>
        <v>0</v>
      </c>
      <c r="BL190" s="6" t="str">
        <f>IFERROR(VLOOKUP(B190,'Statement of Marks'!$B$7:'Statement of Marks'!$IC$206,117,0),"")</f>
        <v/>
      </c>
    </row>
    <row r="191" spans="1:64" ht="21" customHeight="1">
      <c r="A191" s="169">
        <f>IF('Statement of Marks'!A193="","",'Statement of Marks'!A193)</f>
        <v>187</v>
      </c>
      <c r="B191" s="169" t="str">
        <f>IF('Statement of Marks'!B193="","",'Statement of Marks'!B193)</f>
        <v/>
      </c>
      <c r="C191" s="169" t="str">
        <f>IF('Statement of Marks'!D193="","",'Statement of Marks'!D193)</f>
        <v/>
      </c>
      <c r="D191" s="315" t="str">
        <f>IF('Statement of Marks'!E193="","",'Statement of Marks'!E193)</f>
        <v/>
      </c>
      <c r="E191" s="316" t="str">
        <f>IF('Statement of Marks'!F193="","",'Statement of Marks'!F193)</f>
        <v/>
      </c>
      <c r="F191" s="316" t="str">
        <f>IF('Statement of Marks'!G193="","",'Statement of Marks'!G193)</f>
        <v/>
      </c>
      <c r="G191" s="316" t="str">
        <f>IF('Statement of Marks'!H193="","",'Statement of Marks'!H193)</f>
        <v/>
      </c>
      <c r="H191" s="830" t="str">
        <f>IF('Statement of Marks'!HS193="","",'Statement of Marks'!HS193)</f>
        <v/>
      </c>
      <c r="I191" s="172" t="str">
        <f>IF('Statement of Marks'!HV193="","",'Statement of Marks'!HV193)</f>
        <v/>
      </c>
      <c r="J191" s="317" t="str">
        <f>IF('Statement of Marks'!HW193="","",'Statement of Marks'!HW193)</f>
        <v/>
      </c>
      <c r="K191" s="392" t="str">
        <f>'Statement of Marks'!GN193</f>
        <v/>
      </c>
      <c r="L191" s="392" t="str">
        <f>'Statement of Marks'!GQ193</f>
        <v/>
      </c>
      <c r="M191" s="181" t="str">
        <f>'Statement of Marks'!GU193</f>
        <v/>
      </c>
      <c r="N191" s="181" t="str">
        <f>'Statement of Marks'!GV193</f>
        <v/>
      </c>
      <c r="O191" s="181" t="str">
        <f>'Statement of Marks'!GW193</f>
        <v/>
      </c>
      <c r="P191" s="181" t="str">
        <f>'Statement of Marks'!GX193</f>
        <v/>
      </c>
      <c r="Q191" s="181" t="str">
        <f>'Statement of Marks'!GY193</f>
        <v/>
      </c>
      <c r="R191" s="392" t="str">
        <f>'Statement of Marks'!HB193</f>
        <v/>
      </c>
      <c r="S191" s="392" t="str">
        <f>'Statement of Marks'!HE193</f>
        <v/>
      </c>
      <c r="T191" s="392" t="str">
        <f>'Statement of Marks'!HH193</f>
        <v/>
      </c>
      <c r="U191" s="392" t="str">
        <f>'Statement of Marks'!HK193</f>
        <v/>
      </c>
      <c r="V191" s="318" t="str">
        <f>IF(COUNTIF(K191:U191,"F")&gt;0,"",CONCATENATE('Statement of Marks'!HO193,'Statement of Marks'!HP193,'Statement of Marks'!HQ193))</f>
        <v xml:space="preserve">                  </v>
      </c>
      <c r="BI191" s="6" t="str">
        <f>IFERROR(VLOOKUP(B191,'Statement of Marks'!$B$7:'Statement of Marks'!$IC$206,41,0),"")</f>
        <v/>
      </c>
      <c r="BJ191" s="6" t="str">
        <f>IFERROR(VLOOKUP(B191,'Statement of Marks'!$B$7:'Statement of Marks'!$IC$206,66,0),"")</f>
        <v/>
      </c>
      <c r="BK191" s="6">
        <f>IFERROR(VLOOKUP(B191,'Statement of Marks'!$B$7:'Statement of Marks'!$IC$206,91,0),"")</f>
        <v>0</v>
      </c>
      <c r="BL191" s="6" t="str">
        <f>IFERROR(VLOOKUP(B191,'Statement of Marks'!$B$7:'Statement of Marks'!$IC$206,117,0),"")</f>
        <v/>
      </c>
    </row>
    <row r="192" spans="1:64" ht="21" customHeight="1">
      <c r="A192" s="169">
        <f>IF('Statement of Marks'!A194="","",'Statement of Marks'!A194)</f>
        <v>188</v>
      </c>
      <c r="B192" s="169" t="str">
        <f>IF('Statement of Marks'!B194="","",'Statement of Marks'!B194)</f>
        <v/>
      </c>
      <c r="C192" s="169" t="str">
        <f>IF('Statement of Marks'!D194="","",'Statement of Marks'!D194)</f>
        <v/>
      </c>
      <c r="D192" s="315" t="str">
        <f>IF('Statement of Marks'!E194="","",'Statement of Marks'!E194)</f>
        <v/>
      </c>
      <c r="E192" s="316" t="str">
        <f>IF('Statement of Marks'!F194="","",'Statement of Marks'!F194)</f>
        <v/>
      </c>
      <c r="F192" s="316" t="str">
        <f>IF('Statement of Marks'!G194="","",'Statement of Marks'!G194)</f>
        <v/>
      </c>
      <c r="G192" s="316" t="str">
        <f>IF('Statement of Marks'!H194="","",'Statement of Marks'!H194)</f>
        <v/>
      </c>
      <c r="H192" s="830" t="str">
        <f>IF('Statement of Marks'!HS194="","",'Statement of Marks'!HS194)</f>
        <v/>
      </c>
      <c r="I192" s="172" t="str">
        <f>IF('Statement of Marks'!HV194="","",'Statement of Marks'!HV194)</f>
        <v/>
      </c>
      <c r="J192" s="317" t="str">
        <f>IF('Statement of Marks'!HW194="","",'Statement of Marks'!HW194)</f>
        <v/>
      </c>
      <c r="K192" s="392" t="str">
        <f>'Statement of Marks'!GN194</f>
        <v/>
      </c>
      <c r="L192" s="392" t="str">
        <f>'Statement of Marks'!GQ194</f>
        <v/>
      </c>
      <c r="M192" s="181" t="str">
        <f>'Statement of Marks'!GU194</f>
        <v/>
      </c>
      <c r="N192" s="181" t="str">
        <f>'Statement of Marks'!GV194</f>
        <v/>
      </c>
      <c r="O192" s="181" t="str">
        <f>'Statement of Marks'!GW194</f>
        <v/>
      </c>
      <c r="P192" s="181" t="str">
        <f>'Statement of Marks'!GX194</f>
        <v/>
      </c>
      <c r="Q192" s="181" t="str">
        <f>'Statement of Marks'!GY194</f>
        <v/>
      </c>
      <c r="R192" s="392" t="str">
        <f>'Statement of Marks'!HB194</f>
        <v/>
      </c>
      <c r="S192" s="392" t="str">
        <f>'Statement of Marks'!HE194</f>
        <v/>
      </c>
      <c r="T192" s="392" t="str">
        <f>'Statement of Marks'!HH194</f>
        <v/>
      </c>
      <c r="U192" s="392" t="str">
        <f>'Statement of Marks'!HK194</f>
        <v/>
      </c>
      <c r="V192" s="318" t="str">
        <f>IF(COUNTIF(K192:U192,"F")&gt;0,"",CONCATENATE('Statement of Marks'!HO194,'Statement of Marks'!HP194,'Statement of Marks'!HQ194))</f>
        <v xml:space="preserve">                  </v>
      </c>
      <c r="BI192" s="6" t="str">
        <f>IFERROR(VLOOKUP(B192,'Statement of Marks'!$B$7:'Statement of Marks'!$IC$206,41,0),"")</f>
        <v/>
      </c>
      <c r="BJ192" s="6" t="str">
        <f>IFERROR(VLOOKUP(B192,'Statement of Marks'!$B$7:'Statement of Marks'!$IC$206,66,0),"")</f>
        <v/>
      </c>
      <c r="BK192" s="6">
        <f>IFERROR(VLOOKUP(B192,'Statement of Marks'!$B$7:'Statement of Marks'!$IC$206,91,0),"")</f>
        <v>0</v>
      </c>
      <c r="BL192" s="6" t="str">
        <f>IFERROR(VLOOKUP(B192,'Statement of Marks'!$B$7:'Statement of Marks'!$IC$206,117,0),"")</f>
        <v/>
      </c>
    </row>
    <row r="193" spans="1:64" ht="21" customHeight="1">
      <c r="A193" s="169">
        <f>IF('Statement of Marks'!A195="","",'Statement of Marks'!A195)</f>
        <v>189</v>
      </c>
      <c r="B193" s="169" t="str">
        <f>IF('Statement of Marks'!B195="","",'Statement of Marks'!B195)</f>
        <v/>
      </c>
      <c r="C193" s="169" t="str">
        <f>IF('Statement of Marks'!D195="","",'Statement of Marks'!D195)</f>
        <v/>
      </c>
      <c r="D193" s="315" t="str">
        <f>IF('Statement of Marks'!E195="","",'Statement of Marks'!E195)</f>
        <v/>
      </c>
      <c r="E193" s="316" t="str">
        <f>IF('Statement of Marks'!F195="","",'Statement of Marks'!F195)</f>
        <v/>
      </c>
      <c r="F193" s="316" t="str">
        <f>IF('Statement of Marks'!G195="","",'Statement of Marks'!G195)</f>
        <v/>
      </c>
      <c r="G193" s="316" t="str">
        <f>IF('Statement of Marks'!H195="","",'Statement of Marks'!H195)</f>
        <v/>
      </c>
      <c r="H193" s="830" t="str">
        <f>IF('Statement of Marks'!HS195="","",'Statement of Marks'!HS195)</f>
        <v/>
      </c>
      <c r="I193" s="172" t="str">
        <f>IF('Statement of Marks'!HV195="","",'Statement of Marks'!HV195)</f>
        <v/>
      </c>
      <c r="J193" s="317" t="str">
        <f>IF('Statement of Marks'!HW195="","",'Statement of Marks'!HW195)</f>
        <v/>
      </c>
      <c r="K193" s="392" t="str">
        <f>'Statement of Marks'!GN195</f>
        <v/>
      </c>
      <c r="L193" s="392" t="str">
        <f>'Statement of Marks'!GQ195</f>
        <v/>
      </c>
      <c r="M193" s="181" t="str">
        <f>'Statement of Marks'!GU195</f>
        <v/>
      </c>
      <c r="N193" s="181" t="str">
        <f>'Statement of Marks'!GV195</f>
        <v/>
      </c>
      <c r="O193" s="181" t="str">
        <f>'Statement of Marks'!GW195</f>
        <v/>
      </c>
      <c r="P193" s="181" t="str">
        <f>'Statement of Marks'!GX195</f>
        <v/>
      </c>
      <c r="Q193" s="181" t="str">
        <f>'Statement of Marks'!GY195</f>
        <v/>
      </c>
      <c r="R193" s="392" t="str">
        <f>'Statement of Marks'!HB195</f>
        <v/>
      </c>
      <c r="S193" s="392" t="str">
        <f>'Statement of Marks'!HE195</f>
        <v/>
      </c>
      <c r="T193" s="392" t="str">
        <f>'Statement of Marks'!HH195</f>
        <v/>
      </c>
      <c r="U193" s="392" t="str">
        <f>'Statement of Marks'!HK195</f>
        <v/>
      </c>
      <c r="V193" s="318" t="str">
        <f>IF(COUNTIF(K193:U193,"F")&gt;0,"",CONCATENATE('Statement of Marks'!HO195,'Statement of Marks'!HP195,'Statement of Marks'!HQ195))</f>
        <v xml:space="preserve">                  </v>
      </c>
      <c r="BI193" s="6" t="str">
        <f>IFERROR(VLOOKUP(B193,'Statement of Marks'!$B$7:'Statement of Marks'!$IC$206,41,0),"")</f>
        <v/>
      </c>
      <c r="BJ193" s="6" t="str">
        <f>IFERROR(VLOOKUP(B193,'Statement of Marks'!$B$7:'Statement of Marks'!$IC$206,66,0),"")</f>
        <v/>
      </c>
      <c r="BK193" s="6">
        <f>IFERROR(VLOOKUP(B193,'Statement of Marks'!$B$7:'Statement of Marks'!$IC$206,91,0),"")</f>
        <v>0</v>
      </c>
      <c r="BL193" s="6" t="str">
        <f>IFERROR(VLOOKUP(B193,'Statement of Marks'!$B$7:'Statement of Marks'!$IC$206,117,0),"")</f>
        <v/>
      </c>
    </row>
    <row r="194" spans="1:64" ht="21" customHeight="1">
      <c r="A194" s="169">
        <f>IF('Statement of Marks'!A196="","",'Statement of Marks'!A196)</f>
        <v>190</v>
      </c>
      <c r="B194" s="169" t="str">
        <f>IF('Statement of Marks'!B196="","",'Statement of Marks'!B196)</f>
        <v/>
      </c>
      <c r="C194" s="169" t="str">
        <f>IF('Statement of Marks'!D196="","",'Statement of Marks'!D196)</f>
        <v/>
      </c>
      <c r="D194" s="315" t="str">
        <f>IF('Statement of Marks'!E196="","",'Statement of Marks'!E196)</f>
        <v/>
      </c>
      <c r="E194" s="316" t="str">
        <f>IF('Statement of Marks'!F196="","",'Statement of Marks'!F196)</f>
        <v/>
      </c>
      <c r="F194" s="316" t="str">
        <f>IF('Statement of Marks'!G196="","",'Statement of Marks'!G196)</f>
        <v/>
      </c>
      <c r="G194" s="316" t="str">
        <f>IF('Statement of Marks'!H196="","",'Statement of Marks'!H196)</f>
        <v/>
      </c>
      <c r="H194" s="830" t="str">
        <f>IF('Statement of Marks'!HS196="","",'Statement of Marks'!HS196)</f>
        <v/>
      </c>
      <c r="I194" s="172" t="str">
        <f>IF('Statement of Marks'!HV196="","",'Statement of Marks'!HV196)</f>
        <v/>
      </c>
      <c r="J194" s="317" t="str">
        <f>IF('Statement of Marks'!HW196="","",'Statement of Marks'!HW196)</f>
        <v/>
      </c>
      <c r="K194" s="392" t="str">
        <f>'Statement of Marks'!GN196</f>
        <v/>
      </c>
      <c r="L194" s="392" t="str">
        <f>'Statement of Marks'!GQ196</f>
        <v/>
      </c>
      <c r="M194" s="181" t="str">
        <f>'Statement of Marks'!GU196</f>
        <v/>
      </c>
      <c r="N194" s="181" t="str">
        <f>'Statement of Marks'!GV196</f>
        <v/>
      </c>
      <c r="O194" s="181" t="str">
        <f>'Statement of Marks'!GW196</f>
        <v/>
      </c>
      <c r="P194" s="181" t="str">
        <f>'Statement of Marks'!GX196</f>
        <v/>
      </c>
      <c r="Q194" s="181" t="str">
        <f>'Statement of Marks'!GY196</f>
        <v/>
      </c>
      <c r="R194" s="392" t="str">
        <f>'Statement of Marks'!HB196</f>
        <v/>
      </c>
      <c r="S194" s="392" t="str">
        <f>'Statement of Marks'!HE196</f>
        <v/>
      </c>
      <c r="T194" s="392" t="str">
        <f>'Statement of Marks'!HH196</f>
        <v/>
      </c>
      <c r="U194" s="392" t="str">
        <f>'Statement of Marks'!HK196</f>
        <v/>
      </c>
      <c r="V194" s="318" t="str">
        <f>IF(COUNTIF(K194:U194,"F")&gt;0,"",CONCATENATE('Statement of Marks'!HO196,'Statement of Marks'!HP196,'Statement of Marks'!HQ196))</f>
        <v xml:space="preserve">                  </v>
      </c>
      <c r="BI194" s="6" t="str">
        <f>IFERROR(VLOOKUP(B194,'Statement of Marks'!$B$7:'Statement of Marks'!$IC$206,41,0),"")</f>
        <v/>
      </c>
      <c r="BJ194" s="6" t="str">
        <f>IFERROR(VLOOKUP(B194,'Statement of Marks'!$B$7:'Statement of Marks'!$IC$206,66,0),"")</f>
        <v/>
      </c>
      <c r="BK194" s="6">
        <f>IFERROR(VLOOKUP(B194,'Statement of Marks'!$B$7:'Statement of Marks'!$IC$206,91,0),"")</f>
        <v>0</v>
      </c>
      <c r="BL194" s="6" t="str">
        <f>IFERROR(VLOOKUP(B194,'Statement of Marks'!$B$7:'Statement of Marks'!$IC$206,117,0),"")</f>
        <v/>
      </c>
    </row>
    <row r="195" spans="1:64" ht="21" customHeight="1">
      <c r="A195" s="169">
        <f>IF('Statement of Marks'!A197="","",'Statement of Marks'!A197)</f>
        <v>191</v>
      </c>
      <c r="B195" s="169" t="str">
        <f>IF('Statement of Marks'!B197="","",'Statement of Marks'!B197)</f>
        <v/>
      </c>
      <c r="C195" s="169" t="str">
        <f>IF('Statement of Marks'!D197="","",'Statement of Marks'!D197)</f>
        <v/>
      </c>
      <c r="D195" s="315" t="str">
        <f>IF('Statement of Marks'!E197="","",'Statement of Marks'!E197)</f>
        <v/>
      </c>
      <c r="E195" s="316" t="str">
        <f>IF('Statement of Marks'!F197="","",'Statement of Marks'!F197)</f>
        <v/>
      </c>
      <c r="F195" s="316" t="str">
        <f>IF('Statement of Marks'!G197="","",'Statement of Marks'!G197)</f>
        <v/>
      </c>
      <c r="G195" s="316" t="str">
        <f>IF('Statement of Marks'!H197="","",'Statement of Marks'!H197)</f>
        <v/>
      </c>
      <c r="H195" s="830" t="str">
        <f>IF('Statement of Marks'!HS197="","",'Statement of Marks'!HS197)</f>
        <v/>
      </c>
      <c r="I195" s="172" t="str">
        <f>IF('Statement of Marks'!HV197="","",'Statement of Marks'!HV197)</f>
        <v/>
      </c>
      <c r="J195" s="317" t="str">
        <f>IF('Statement of Marks'!HW197="","",'Statement of Marks'!HW197)</f>
        <v/>
      </c>
      <c r="K195" s="392" t="str">
        <f>'Statement of Marks'!GN197</f>
        <v/>
      </c>
      <c r="L195" s="392" t="str">
        <f>'Statement of Marks'!GQ197</f>
        <v/>
      </c>
      <c r="M195" s="181" t="str">
        <f>'Statement of Marks'!GU197</f>
        <v/>
      </c>
      <c r="N195" s="181" t="str">
        <f>'Statement of Marks'!GV197</f>
        <v/>
      </c>
      <c r="O195" s="181" t="str">
        <f>'Statement of Marks'!GW197</f>
        <v/>
      </c>
      <c r="P195" s="181" t="str">
        <f>'Statement of Marks'!GX197</f>
        <v/>
      </c>
      <c r="Q195" s="181" t="str">
        <f>'Statement of Marks'!GY197</f>
        <v/>
      </c>
      <c r="R195" s="392" t="str">
        <f>'Statement of Marks'!HB197</f>
        <v/>
      </c>
      <c r="S195" s="392" t="str">
        <f>'Statement of Marks'!HE197</f>
        <v/>
      </c>
      <c r="T195" s="392" t="str">
        <f>'Statement of Marks'!HH197</f>
        <v/>
      </c>
      <c r="U195" s="392" t="str">
        <f>'Statement of Marks'!HK197</f>
        <v/>
      </c>
      <c r="V195" s="318" t="str">
        <f>IF(COUNTIF(K195:U195,"F")&gt;0,"",CONCATENATE('Statement of Marks'!HO197,'Statement of Marks'!HP197,'Statement of Marks'!HQ197))</f>
        <v xml:space="preserve">                  </v>
      </c>
      <c r="BI195" s="6" t="str">
        <f>IFERROR(VLOOKUP(B195,'Statement of Marks'!$B$7:'Statement of Marks'!$IC$206,41,0),"")</f>
        <v/>
      </c>
      <c r="BJ195" s="6" t="str">
        <f>IFERROR(VLOOKUP(B195,'Statement of Marks'!$B$7:'Statement of Marks'!$IC$206,66,0),"")</f>
        <v/>
      </c>
      <c r="BK195" s="6">
        <f>IFERROR(VLOOKUP(B195,'Statement of Marks'!$B$7:'Statement of Marks'!$IC$206,91,0),"")</f>
        <v>0</v>
      </c>
      <c r="BL195" s="6" t="str">
        <f>IFERROR(VLOOKUP(B195,'Statement of Marks'!$B$7:'Statement of Marks'!$IC$206,117,0),"")</f>
        <v/>
      </c>
    </row>
    <row r="196" spans="1:64" ht="21" customHeight="1">
      <c r="A196" s="169">
        <f>IF('Statement of Marks'!A198="","",'Statement of Marks'!A198)</f>
        <v>192</v>
      </c>
      <c r="B196" s="169" t="str">
        <f>IF('Statement of Marks'!B198="","",'Statement of Marks'!B198)</f>
        <v/>
      </c>
      <c r="C196" s="169" t="str">
        <f>IF('Statement of Marks'!D198="","",'Statement of Marks'!D198)</f>
        <v/>
      </c>
      <c r="D196" s="315" t="str">
        <f>IF('Statement of Marks'!E198="","",'Statement of Marks'!E198)</f>
        <v/>
      </c>
      <c r="E196" s="316" t="str">
        <f>IF('Statement of Marks'!F198="","",'Statement of Marks'!F198)</f>
        <v/>
      </c>
      <c r="F196" s="316" t="str">
        <f>IF('Statement of Marks'!G198="","",'Statement of Marks'!G198)</f>
        <v/>
      </c>
      <c r="G196" s="316" t="str">
        <f>IF('Statement of Marks'!H198="","",'Statement of Marks'!H198)</f>
        <v/>
      </c>
      <c r="H196" s="830" t="str">
        <f>IF('Statement of Marks'!HS198="","",'Statement of Marks'!HS198)</f>
        <v/>
      </c>
      <c r="I196" s="172" t="str">
        <f>IF('Statement of Marks'!HV198="","",'Statement of Marks'!HV198)</f>
        <v/>
      </c>
      <c r="J196" s="317" t="str">
        <f>IF('Statement of Marks'!HW198="","",'Statement of Marks'!HW198)</f>
        <v/>
      </c>
      <c r="K196" s="392" t="str">
        <f>'Statement of Marks'!GN198</f>
        <v/>
      </c>
      <c r="L196" s="392" t="str">
        <f>'Statement of Marks'!GQ198</f>
        <v/>
      </c>
      <c r="M196" s="181" t="str">
        <f>'Statement of Marks'!GU198</f>
        <v/>
      </c>
      <c r="N196" s="181" t="str">
        <f>'Statement of Marks'!GV198</f>
        <v/>
      </c>
      <c r="O196" s="181" t="str">
        <f>'Statement of Marks'!GW198</f>
        <v/>
      </c>
      <c r="P196" s="181" t="str">
        <f>'Statement of Marks'!GX198</f>
        <v/>
      </c>
      <c r="Q196" s="181" t="str">
        <f>'Statement of Marks'!GY198</f>
        <v/>
      </c>
      <c r="R196" s="392" t="str">
        <f>'Statement of Marks'!HB198</f>
        <v/>
      </c>
      <c r="S196" s="392" t="str">
        <f>'Statement of Marks'!HE198</f>
        <v/>
      </c>
      <c r="T196" s="392" t="str">
        <f>'Statement of Marks'!HH198</f>
        <v/>
      </c>
      <c r="U196" s="392" t="str">
        <f>'Statement of Marks'!HK198</f>
        <v/>
      </c>
      <c r="V196" s="318" t="str">
        <f>IF(COUNTIF(K196:U196,"F")&gt;0,"",CONCATENATE('Statement of Marks'!HO198,'Statement of Marks'!HP198,'Statement of Marks'!HQ198))</f>
        <v xml:space="preserve">                  </v>
      </c>
      <c r="BI196" s="6" t="str">
        <f>IFERROR(VLOOKUP(B196,'Statement of Marks'!$B$7:'Statement of Marks'!$IC$206,41,0),"")</f>
        <v/>
      </c>
      <c r="BJ196" s="6" t="str">
        <f>IFERROR(VLOOKUP(B196,'Statement of Marks'!$B$7:'Statement of Marks'!$IC$206,66,0),"")</f>
        <v/>
      </c>
      <c r="BK196" s="6">
        <f>IFERROR(VLOOKUP(B196,'Statement of Marks'!$B$7:'Statement of Marks'!$IC$206,91,0),"")</f>
        <v>0</v>
      </c>
      <c r="BL196" s="6" t="str">
        <f>IFERROR(VLOOKUP(B196,'Statement of Marks'!$B$7:'Statement of Marks'!$IC$206,117,0),"")</f>
        <v/>
      </c>
    </row>
    <row r="197" spans="1:64" ht="21" customHeight="1">
      <c r="A197" s="169">
        <f>IF('Statement of Marks'!A199="","",'Statement of Marks'!A199)</f>
        <v>193</v>
      </c>
      <c r="B197" s="169" t="str">
        <f>IF('Statement of Marks'!B199="","",'Statement of Marks'!B199)</f>
        <v/>
      </c>
      <c r="C197" s="169" t="str">
        <f>IF('Statement of Marks'!D199="","",'Statement of Marks'!D199)</f>
        <v/>
      </c>
      <c r="D197" s="315" t="str">
        <f>IF('Statement of Marks'!E199="","",'Statement of Marks'!E199)</f>
        <v/>
      </c>
      <c r="E197" s="316" t="str">
        <f>IF('Statement of Marks'!F199="","",'Statement of Marks'!F199)</f>
        <v/>
      </c>
      <c r="F197" s="316" t="str">
        <f>IF('Statement of Marks'!G199="","",'Statement of Marks'!G199)</f>
        <v/>
      </c>
      <c r="G197" s="316" t="str">
        <f>IF('Statement of Marks'!H199="","",'Statement of Marks'!H199)</f>
        <v/>
      </c>
      <c r="H197" s="830" t="str">
        <f>IF('Statement of Marks'!HS199="","",'Statement of Marks'!HS199)</f>
        <v/>
      </c>
      <c r="I197" s="172" t="str">
        <f>IF('Statement of Marks'!HV199="","",'Statement of Marks'!HV199)</f>
        <v/>
      </c>
      <c r="J197" s="317" t="str">
        <f>IF('Statement of Marks'!HW199="","",'Statement of Marks'!HW199)</f>
        <v/>
      </c>
      <c r="K197" s="392" t="str">
        <f>'Statement of Marks'!GN199</f>
        <v/>
      </c>
      <c r="L197" s="392" t="str">
        <f>'Statement of Marks'!GQ199</f>
        <v/>
      </c>
      <c r="M197" s="181" t="str">
        <f>'Statement of Marks'!GU199</f>
        <v/>
      </c>
      <c r="N197" s="181" t="str">
        <f>'Statement of Marks'!GV199</f>
        <v/>
      </c>
      <c r="O197" s="181" t="str">
        <f>'Statement of Marks'!GW199</f>
        <v/>
      </c>
      <c r="P197" s="181" t="str">
        <f>'Statement of Marks'!GX199</f>
        <v/>
      </c>
      <c r="Q197" s="181" t="str">
        <f>'Statement of Marks'!GY199</f>
        <v/>
      </c>
      <c r="R197" s="392" t="str">
        <f>'Statement of Marks'!HB199</f>
        <v/>
      </c>
      <c r="S197" s="392" t="str">
        <f>'Statement of Marks'!HE199</f>
        <v/>
      </c>
      <c r="T197" s="392" t="str">
        <f>'Statement of Marks'!HH199</f>
        <v/>
      </c>
      <c r="U197" s="392" t="str">
        <f>'Statement of Marks'!HK199</f>
        <v/>
      </c>
      <c r="V197" s="318" t="str">
        <f>IF(COUNTIF(K197:U197,"F")&gt;0,"",CONCATENATE('Statement of Marks'!HO199,'Statement of Marks'!HP199,'Statement of Marks'!HQ199))</f>
        <v xml:space="preserve">                  </v>
      </c>
      <c r="BI197" s="6" t="str">
        <f>IFERROR(VLOOKUP(B197,'Statement of Marks'!$B$7:'Statement of Marks'!$IC$206,41,0),"")</f>
        <v/>
      </c>
      <c r="BJ197" s="6" t="str">
        <f>IFERROR(VLOOKUP(B197,'Statement of Marks'!$B$7:'Statement of Marks'!$IC$206,66,0),"")</f>
        <v/>
      </c>
      <c r="BK197" s="6">
        <f>IFERROR(VLOOKUP(B197,'Statement of Marks'!$B$7:'Statement of Marks'!$IC$206,91,0),"")</f>
        <v>0</v>
      </c>
      <c r="BL197" s="6" t="str">
        <f>IFERROR(VLOOKUP(B197,'Statement of Marks'!$B$7:'Statement of Marks'!$IC$206,117,0),"")</f>
        <v/>
      </c>
    </row>
    <row r="198" spans="1:64" ht="21" customHeight="1">
      <c r="A198" s="169">
        <f>IF('Statement of Marks'!A200="","",'Statement of Marks'!A200)</f>
        <v>194</v>
      </c>
      <c r="B198" s="169" t="str">
        <f>IF('Statement of Marks'!B200="","",'Statement of Marks'!B200)</f>
        <v/>
      </c>
      <c r="C198" s="169" t="str">
        <f>IF('Statement of Marks'!D200="","",'Statement of Marks'!D200)</f>
        <v/>
      </c>
      <c r="D198" s="315" t="str">
        <f>IF('Statement of Marks'!E200="","",'Statement of Marks'!E200)</f>
        <v/>
      </c>
      <c r="E198" s="316" t="str">
        <f>IF('Statement of Marks'!F200="","",'Statement of Marks'!F200)</f>
        <v/>
      </c>
      <c r="F198" s="316" t="str">
        <f>IF('Statement of Marks'!G200="","",'Statement of Marks'!G200)</f>
        <v/>
      </c>
      <c r="G198" s="316" t="str">
        <f>IF('Statement of Marks'!H200="","",'Statement of Marks'!H200)</f>
        <v/>
      </c>
      <c r="H198" s="830" t="str">
        <f>IF('Statement of Marks'!HS200="","",'Statement of Marks'!HS200)</f>
        <v/>
      </c>
      <c r="I198" s="172" t="str">
        <f>IF('Statement of Marks'!HV200="","",'Statement of Marks'!HV200)</f>
        <v/>
      </c>
      <c r="J198" s="317" t="str">
        <f>IF('Statement of Marks'!HW200="","",'Statement of Marks'!HW200)</f>
        <v/>
      </c>
      <c r="K198" s="392" t="str">
        <f>'Statement of Marks'!GN200</f>
        <v/>
      </c>
      <c r="L198" s="392" t="str">
        <f>'Statement of Marks'!GQ200</f>
        <v/>
      </c>
      <c r="M198" s="181" t="str">
        <f>'Statement of Marks'!GU200</f>
        <v/>
      </c>
      <c r="N198" s="181" t="str">
        <f>'Statement of Marks'!GV200</f>
        <v/>
      </c>
      <c r="O198" s="181" t="str">
        <f>'Statement of Marks'!GW200</f>
        <v/>
      </c>
      <c r="P198" s="181" t="str">
        <f>'Statement of Marks'!GX200</f>
        <v/>
      </c>
      <c r="Q198" s="181" t="str">
        <f>'Statement of Marks'!GY200</f>
        <v/>
      </c>
      <c r="R198" s="392" t="str">
        <f>'Statement of Marks'!HB200</f>
        <v/>
      </c>
      <c r="S198" s="392" t="str">
        <f>'Statement of Marks'!HE200</f>
        <v/>
      </c>
      <c r="T198" s="392" t="str">
        <f>'Statement of Marks'!HH200</f>
        <v/>
      </c>
      <c r="U198" s="392" t="str">
        <f>'Statement of Marks'!HK200</f>
        <v/>
      </c>
      <c r="V198" s="318" t="str">
        <f>IF(COUNTIF(K198:U198,"F")&gt;0,"",CONCATENATE('Statement of Marks'!HO200,'Statement of Marks'!HP200,'Statement of Marks'!HQ200))</f>
        <v xml:space="preserve">                  </v>
      </c>
      <c r="BI198" s="6" t="str">
        <f>IFERROR(VLOOKUP(B198,'Statement of Marks'!$B$7:'Statement of Marks'!$IC$206,41,0),"")</f>
        <v/>
      </c>
      <c r="BJ198" s="6" t="str">
        <f>IFERROR(VLOOKUP(B198,'Statement of Marks'!$B$7:'Statement of Marks'!$IC$206,66,0),"")</f>
        <v/>
      </c>
      <c r="BK198" s="6">
        <f>IFERROR(VLOOKUP(B198,'Statement of Marks'!$B$7:'Statement of Marks'!$IC$206,91,0),"")</f>
        <v>0</v>
      </c>
      <c r="BL198" s="6" t="str">
        <f>IFERROR(VLOOKUP(B198,'Statement of Marks'!$B$7:'Statement of Marks'!$IC$206,117,0),"")</f>
        <v/>
      </c>
    </row>
    <row r="199" spans="1:64" ht="21" customHeight="1">
      <c r="A199" s="169">
        <f>IF('Statement of Marks'!A201="","",'Statement of Marks'!A201)</f>
        <v>195</v>
      </c>
      <c r="B199" s="169" t="str">
        <f>IF('Statement of Marks'!B201="","",'Statement of Marks'!B201)</f>
        <v/>
      </c>
      <c r="C199" s="169" t="str">
        <f>IF('Statement of Marks'!D201="","",'Statement of Marks'!D201)</f>
        <v/>
      </c>
      <c r="D199" s="315" t="str">
        <f>IF('Statement of Marks'!E201="","",'Statement of Marks'!E201)</f>
        <v/>
      </c>
      <c r="E199" s="316" t="str">
        <f>IF('Statement of Marks'!F201="","",'Statement of Marks'!F201)</f>
        <v/>
      </c>
      <c r="F199" s="316" t="str">
        <f>IF('Statement of Marks'!G201="","",'Statement of Marks'!G201)</f>
        <v/>
      </c>
      <c r="G199" s="316" t="str">
        <f>IF('Statement of Marks'!H201="","",'Statement of Marks'!H201)</f>
        <v/>
      </c>
      <c r="H199" s="830" t="str">
        <f>IF('Statement of Marks'!HS201="","",'Statement of Marks'!HS201)</f>
        <v/>
      </c>
      <c r="I199" s="172" t="str">
        <f>IF('Statement of Marks'!HV201="","",'Statement of Marks'!HV201)</f>
        <v/>
      </c>
      <c r="J199" s="317" t="str">
        <f>IF('Statement of Marks'!HW201="","",'Statement of Marks'!HW201)</f>
        <v/>
      </c>
      <c r="K199" s="392" t="str">
        <f>'Statement of Marks'!GN201</f>
        <v/>
      </c>
      <c r="L199" s="392" t="str">
        <f>'Statement of Marks'!GQ201</f>
        <v/>
      </c>
      <c r="M199" s="181" t="str">
        <f>'Statement of Marks'!GU201</f>
        <v/>
      </c>
      <c r="N199" s="181" t="str">
        <f>'Statement of Marks'!GV201</f>
        <v/>
      </c>
      <c r="O199" s="181" t="str">
        <f>'Statement of Marks'!GW201</f>
        <v/>
      </c>
      <c r="P199" s="181" t="str">
        <f>'Statement of Marks'!GX201</f>
        <v/>
      </c>
      <c r="Q199" s="181" t="str">
        <f>'Statement of Marks'!GY201</f>
        <v/>
      </c>
      <c r="R199" s="392" t="str">
        <f>'Statement of Marks'!HB201</f>
        <v/>
      </c>
      <c r="S199" s="392" t="str">
        <f>'Statement of Marks'!HE201</f>
        <v/>
      </c>
      <c r="T199" s="392" t="str">
        <f>'Statement of Marks'!HH201</f>
        <v/>
      </c>
      <c r="U199" s="392" t="str">
        <f>'Statement of Marks'!HK201</f>
        <v/>
      </c>
      <c r="V199" s="318" t="str">
        <f>IF(COUNTIF(K199:U199,"F")&gt;0,"",CONCATENATE('Statement of Marks'!HO201,'Statement of Marks'!HP201,'Statement of Marks'!HQ201))</f>
        <v xml:space="preserve">                  </v>
      </c>
      <c r="BI199" s="6" t="str">
        <f>IFERROR(VLOOKUP(B199,'Statement of Marks'!$B$7:'Statement of Marks'!$IC$206,41,0),"")</f>
        <v/>
      </c>
      <c r="BJ199" s="6" t="str">
        <f>IFERROR(VLOOKUP(B199,'Statement of Marks'!$B$7:'Statement of Marks'!$IC$206,66,0),"")</f>
        <v/>
      </c>
      <c r="BK199" s="6">
        <f>IFERROR(VLOOKUP(B199,'Statement of Marks'!$B$7:'Statement of Marks'!$IC$206,91,0),"")</f>
        <v>0</v>
      </c>
      <c r="BL199" s="6" t="str">
        <f>IFERROR(VLOOKUP(B199,'Statement of Marks'!$B$7:'Statement of Marks'!$IC$206,117,0),"")</f>
        <v/>
      </c>
    </row>
    <row r="200" spans="1:64" ht="21" customHeight="1">
      <c r="A200" s="169">
        <f>IF('Statement of Marks'!A202="","",'Statement of Marks'!A202)</f>
        <v>196</v>
      </c>
      <c r="B200" s="169" t="str">
        <f>IF('Statement of Marks'!B202="","",'Statement of Marks'!B202)</f>
        <v/>
      </c>
      <c r="C200" s="169" t="str">
        <f>IF('Statement of Marks'!D202="","",'Statement of Marks'!D202)</f>
        <v/>
      </c>
      <c r="D200" s="315" t="str">
        <f>IF('Statement of Marks'!E202="","",'Statement of Marks'!E202)</f>
        <v/>
      </c>
      <c r="E200" s="316" t="str">
        <f>IF('Statement of Marks'!F202="","",'Statement of Marks'!F202)</f>
        <v/>
      </c>
      <c r="F200" s="316" t="str">
        <f>IF('Statement of Marks'!G202="","",'Statement of Marks'!G202)</f>
        <v/>
      </c>
      <c r="G200" s="316" t="str">
        <f>IF('Statement of Marks'!H202="","",'Statement of Marks'!H202)</f>
        <v/>
      </c>
      <c r="H200" s="830" t="str">
        <f>IF('Statement of Marks'!HS202="","",'Statement of Marks'!HS202)</f>
        <v/>
      </c>
      <c r="I200" s="172" t="str">
        <f>IF('Statement of Marks'!HV202="","",'Statement of Marks'!HV202)</f>
        <v/>
      </c>
      <c r="J200" s="317" t="str">
        <f>IF('Statement of Marks'!HW202="","",'Statement of Marks'!HW202)</f>
        <v/>
      </c>
      <c r="K200" s="392" t="str">
        <f>'Statement of Marks'!GN202</f>
        <v/>
      </c>
      <c r="L200" s="392" t="str">
        <f>'Statement of Marks'!GQ202</f>
        <v/>
      </c>
      <c r="M200" s="181" t="str">
        <f>'Statement of Marks'!GU202</f>
        <v/>
      </c>
      <c r="N200" s="181" t="str">
        <f>'Statement of Marks'!GV202</f>
        <v/>
      </c>
      <c r="O200" s="181" t="str">
        <f>'Statement of Marks'!GW202</f>
        <v/>
      </c>
      <c r="P200" s="181" t="str">
        <f>'Statement of Marks'!GX202</f>
        <v/>
      </c>
      <c r="Q200" s="181" t="str">
        <f>'Statement of Marks'!GY202</f>
        <v/>
      </c>
      <c r="R200" s="392" t="str">
        <f>'Statement of Marks'!HB202</f>
        <v/>
      </c>
      <c r="S200" s="392" t="str">
        <f>'Statement of Marks'!HE202</f>
        <v/>
      </c>
      <c r="T200" s="392" t="str">
        <f>'Statement of Marks'!HH202</f>
        <v/>
      </c>
      <c r="U200" s="392" t="str">
        <f>'Statement of Marks'!HK202</f>
        <v/>
      </c>
      <c r="V200" s="318" t="str">
        <f>IF(COUNTIF(K200:U200,"F")&gt;0,"",CONCATENATE('Statement of Marks'!HO202,'Statement of Marks'!HP202,'Statement of Marks'!HQ202))</f>
        <v xml:space="preserve">                  </v>
      </c>
      <c r="BI200" s="6" t="str">
        <f>IFERROR(VLOOKUP(B200,'Statement of Marks'!$B$7:'Statement of Marks'!$IC$206,41,0),"")</f>
        <v/>
      </c>
      <c r="BJ200" s="6" t="str">
        <f>IFERROR(VLOOKUP(B200,'Statement of Marks'!$B$7:'Statement of Marks'!$IC$206,66,0),"")</f>
        <v/>
      </c>
      <c r="BK200" s="6">
        <f>IFERROR(VLOOKUP(B200,'Statement of Marks'!$B$7:'Statement of Marks'!$IC$206,91,0),"")</f>
        <v>0</v>
      </c>
      <c r="BL200" s="6" t="str">
        <f>IFERROR(VLOOKUP(B200,'Statement of Marks'!$B$7:'Statement of Marks'!$IC$206,117,0),"")</f>
        <v/>
      </c>
    </row>
    <row r="201" spans="1:64" ht="21" customHeight="1">
      <c r="A201" s="169">
        <f>IF('Statement of Marks'!A203="","",'Statement of Marks'!A203)</f>
        <v>197</v>
      </c>
      <c r="B201" s="169" t="str">
        <f>IF('Statement of Marks'!B203="","",'Statement of Marks'!B203)</f>
        <v/>
      </c>
      <c r="C201" s="169" t="str">
        <f>IF('Statement of Marks'!D203="","",'Statement of Marks'!D203)</f>
        <v/>
      </c>
      <c r="D201" s="315" t="str">
        <f>IF('Statement of Marks'!E203="","",'Statement of Marks'!E203)</f>
        <v/>
      </c>
      <c r="E201" s="316" t="str">
        <f>IF('Statement of Marks'!F203="","",'Statement of Marks'!F203)</f>
        <v/>
      </c>
      <c r="F201" s="316" t="str">
        <f>IF('Statement of Marks'!G203="","",'Statement of Marks'!G203)</f>
        <v/>
      </c>
      <c r="G201" s="316" t="str">
        <f>IF('Statement of Marks'!H203="","",'Statement of Marks'!H203)</f>
        <v/>
      </c>
      <c r="H201" s="830" t="str">
        <f>IF('Statement of Marks'!HS203="","",'Statement of Marks'!HS203)</f>
        <v/>
      </c>
      <c r="I201" s="172" t="str">
        <f>IF('Statement of Marks'!HV203="","",'Statement of Marks'!HV203)</f>
        <v/>
      </c>
      <c r="J201" s="317" t="str">
        <f>IF('Statement of Marks'!HW203="","",'Statement of Marks'!HW203)</f>
        <v/>
      </c>
      <c r="K201" s="392" t="str">
        <f>'Statement of Marks'!GN203</f>
        <v/>
      </c>
      <c r="L201" s="392" t="str">
        <f>'Statement of Marks'!GQ203</f>
        <v/>
      </c>
      <c r="M201" s="181" t="str">
        <f>'Statement of Marks'!GU203</f>
        <v/>
      </c>
      <c r="N201" s="181" t="str">
        <f>'Statement of Marks'!GV203</f>
        <v/>
      </c>
      <c r="O201" s="181" t="str">
        <f>'Statement of Marks'!GW203</f>
        <v/>
      </c>
      <c r="P201" s="181" t="str">
        <f>'Statement of Marks'!GX203</f>
        <v/>
      </c>
      <c r="Q201" s="181" t="str">
        <f>'Statement of Marks'!GY203</f>
        <v/>
      </c>
      <c r="R201" s="392" t="str">
        <f>'Statement of Marks'!HB203</f>
        <v/>
      </c>
      <c r="S201" s="392" t="str">
        <f>'Statement of Marks'!HE203</f>
        <v/>
      </c>
      <c r="T201" s="392" t="str">
        <f>'Statement of Marks'!HH203</f>
        <v/>
      </c>
      <c r="U201" s="392" t="str">
        <f>'Statement of Marks'!HK203</f>
        <v/>
      </c>
      <c r="V201" s="318" t="str">
        <f>IF(COUNTIF(K201:U201,"F")&gt;0,"",CONCATENATE('Statement of Marks'!HO203,'Statement of Marks'!HP203,'Statement of Marks'!HQ203))</f>
        <v xml:space="preserve">                  </v>
      </c>
      <c r="BI201" s="6" t="str">
        <f>IFERROR(VLOOKUP(B201,'Statement of Marks'!$B$7:'Statement of Marks'!$IC$206,41,0),"")</f>
        <v/>
      </c>
      <c r="BJ201" s="6" t="str">
        <f>IFERROR(VLOOKUP(B201,'Statement of Marks'!$B$7:'Statement of Marks'!$IC$206,66,0),"")</f>
        <v/>
      </c>
      <c r="BK201" s="6">
        <f>IFERROR(VLOOKUP(B201,'Statement of Marks'!$B$7:'Statement of Marks'!$IC$206,91,0),"")</f>
        <v>0</v>
      </c>
      <c r="BL201" s="6" t="str">
        <f>IFERROR(VLOOKUP(B201,'Statement of Marks'!$B$7:'Statement of Marks'!$IC$206,117,0),"")</f>
        <v/>
      </c>
    </row>
    <row r="202" spans="1:64" ht="21" customHeight="1">
      <c r="A202" s="169">
        <f>IF('Statement of Marks'!A204="","",'Statement of Marks'!A204)</f>
        <v>198</v>
      </c>
      <c r="B202" s="169" t="str">
        <f>IF('Statement of Marks'!B204="","",'Statement of Marks'!B204)</f>
        <v/>
      </c>
      <c r="C202" s="169" t="str">
        <f>IF('Statement of Marks'!D204="","",'Statement of Marks'!D204)</f>
        <v/>
      </c>
      <c r="D202" s="315" t="str">
        <f>IF('Statement of Marks'!E204="","",'Statement of Marks'!E204)</f>
        <v/>
      </c>
      <c r="E202" s="316" t="str">
        <f>IF('Statement of Marks'!F204="","",'Statement of Marks'!F204)</f>
        <v/>
      </c>
      <c r="F202" s="316" t="str">
        <f>IF('Statement of Marks'!G204="","",'Statement of Marks'!G204)</f>
        <v/>
      </c>
      <c r="G202" s="316" t="str">
        <f>IF('Statement of Marks'!H204="","",'Statement of Marks'!H204)</f>
        <v/>
      </c>
      <c r="H202" s="830" t="str">
        <f>IF('Statement of Marks'!HS204="","",'Statement of Marks'!HS204)</f>
        <v/>
      </c>
      <c r="I202" s="172" t="str">
        <f>IF('Statement of Marks'!HV204="","",'Statement of Marks'!HV204)</f>
        <v/>
      </c>
      <c r="J202" s="317" t="str">
        <f>IF('Statement of Marks'!HW204="","",'Statement of Marks'!HW204)</f>
        <v/>
      </c>
      <c r="K202" s="392" t="str">
        <f>'Statement of Marks'!GN204</f>
        <v/>
      </c>
      <c r="L202" s="392" t="str">
        <f>'Statement of Marks'!GQ204</f>
        <v/>
      </c>
      <c r="M202" s="181" t="str">
        <f>'Statement of Marks'!GU204</f>
        <v/>
      </c>
      <c r="N202" s="181" t="str">
        <f>'Statement of Marks'!GV204</f>
        <v/>
      </c>
      <c r="O202" s="181" t="str">
        <f>'Statement of Marks'!GW204</f>
        <v/>
      </c>
      <c r="P202" s="181" t="str">
        <f>'Statement of Marks'!GX204</f>
        <v/>
      </c>
      <c r="Q202" s="181" t="str">
        <f>'Statement of Marks'!GY204</f>
        <v/>
      </c>
      <c r="R202" s="392" t="str">
        <f>'Statement of Marks'!HB204</f>
        <v/>
      </c>
      <c r="S202" s="392" t="str">
        <f>'Statement of Marks'!HE204</f>
        <v/>
      </c>
      <c r="T202" s="392" t="str">
        <f>'Statement of Marks'!HH204</f>
        <v/>
      </c>
      <c r="U202" s="392" t="str">
        <f>'Statement of Marks'!HK204</f>
        <v/>
      </c>
      <c r="V202" s="318" t="str">
        <f>IF(COUNTIF(K202:U202,"F")&gt;0,"",CONCATENATE('Statement of Marks'!HO204,'Statement of Marks'!HP204,'Statement of Marks'!HQ204))</f>
        <v xml:space="preserve">                  </v>
      </c>
      <c r="BI202" s="6" t="str">
        <f>IFERROR(VLOOKUP(B202,'Statement of Marks'!$B$7:'Statement of Marks'!$IC$206,41,0),"")</f>
        <v/>
      </c>
      <c r="BJ202" s="6" t="str">
        <f>IFERROR(VLOOKUP(B202,'Statement of Marks'!$B$7:'Statement of Marks'!$IC$206,66,0),"")</f>
        <v/>
      </c>
      <c r="BK202" s="6">
        <f>IFERROR(VLOOKUP(B202,'Statement of Marks'!$B$7:'Statement of Marks'!$IC$206,91,0),"")</f>
        <v>0</v>
      </c>
      <c r="BL202" s="6" t="str">
        <f>IFERROR(VLOOKUP(B202,'Statement of Marks'!$B$7:'Statement of Marks'!$IC$206,117,0),"")</f>
        <v/>
      </c>
    </row>
    <row r="203" spans="1:64" ht="21" customHeight="1">
      <c r="A203" s="169">
        <f>IF('Statement of Marks'!A205="","",'Statement of Marks'!A205)</f>
        <v>199</v>
      </c>
      <c r="B203" s="169" t="str">
        <f>IF('Statement of Marks'!B205="","",'Statement of Marks'!B205)</f>
        <v/>
      </c>
      <c r="C203" s="169" t="str">
        <f>IF('Statement of Marks'!D205="","",'Statement of Marks'!D205)</f>
        <v/>
      </c>
      <c r="D203" s="315" t="str">
        <f>IF('Statement of Marks'!E205="","",'Statement of Marks'!E205)</f>
        <v/>
      </c>
      <c r="E203" s="316" t="str">
        <f>IF('Statement of Marks'!F205="","",'Statement of Marks'!F205)</f>
        <v/>
      </c>
      <c r="F203" s="316" t="str">
        <f>IF('Statement of Marks'!G205="","",'Statement of Marks'!G205)</f>
        <v/>
      </c>
      <c r="G203" s="316" t="str">
        <f>IF('Statement of Marks'!H205="","",'Statement of Marks'!H205)</f>
        <v/>
      </c>
      <c r="H203" s="830" t="str">
        <f>IF('Statement of Marks'!HS205="","",'Statement of Marks'!HS205)</f>
        <v/>
      </c>
      <c r="I203" s="172" t="str">
        <f>IF('Statement of Marks'!HV205="","",'Statement of Marks'!HV205)</f>
        <v/>
      </c>
      <c r="J203" s="317" t="str">
        <f>IF('Statement of Marks'!HW205="","",'Statement of Marks'!HW205)</f>
        <v/>
      </c>
      <c r="K203" s="392" t="str">
        <f>'Statement of Marks'!GN205</f>
        <v/>
      </c>
      <c r="L203" s="392" t="str">
        <f>'Statement of Marks'!GQ205</f>
        <v/>
      </c>
      <c r="M203" s="181" t="str">
        <f>'Statement of Marks'!GU205</f>
        <v/>
      </c>
      <c r="N203" s="181" t="str">
        <f>'Statement of Marks'!GV205</f>
        <v/>
      </c>
      <c r="O203" s="181" t="str">
        <f>'Statement of Marks'!GW205</f>
        <v/>
      </c>
      <c r="P203" s="181" t="str">
        <f>'Statement of Marks'!GX205</f>
        <v/>
      </c>
      <c r="Q203" s="181" t="str">
        <f>'Statement of Marks'!GY205</f>
        <v/>
      </c>
      <c r="R203" s="392" t="str">
        <f>'Statement of Marks'!HB205</f>
        <v/>
      </c>
      <c r="S203" s="392" t="str">
        <f>'Statement of Marks'!HE205</f>
        <v/>
      </c>
      <c r="T203" s="392" t="str">
        <f>'Statement of Marks'!HH205</f>
        <v/>
      </c>
      <c r="U203" s="392" t="str">
        <f>'Statement of Marks'!HK205</f>
        <v/>
      </c>
      <c r="V203" s="318" t="str">
        <f>IF(COUNTIF(K203:U203,"F")&gt;0,"",CONCATENATE('Statement of Marks'!HO205,'Statement of Marks'!HP205,'Statement of Marks'!HQ205))</f>
        <v xml:space="preserve">                  </v>
      </c>
      <c r="BI203" s="6" t="str">
        <f>IFERROR(VLOOKUP(B203,'Statement of Marks'!$B$7:'Statement of Marks'!$IC$206,41,0),"")</f>
        <v/>
      </c>
      <c r="BJ203" s="6" t="str">
        <f>IFERROR(VLOOKUP(B203,'Statement of Marks'!$B$7:'Statement of Marks'!$IC$206,66,0),"")</f>
        <v/>
      </c>
      <c r="BK203" s="6">
        <f>IFERROR(VLOOKUP(B203,'Statement of Marks'!$B$7:'Statement of Marks'!$IC$206,91,0),"")</f>
        <v>0</v>
      </c>
      <c r="BL203" s="6" t="str">
        <f>IFERROR(VLOOKUP(B203,'Statement of Marks'!$B$7:'Statement of Marks'!$IC$206,117,0),"")</f>
        <v/>
      </c>
    </row>
    <row r="204" spans="1:64" ht="21" customHeight="1" thickBot="1">
      <c r="A204" s="169">
        <f>IF('Statement of Marks'!A206="","",'Statement of Marks'!A206)</f>
        <v>200</v>
      </c>
      <c r="B204" s="640" t="str">
        <f>IF('Statement of Marks'!B206="","",'Statement of Marks'!B206)</f>
        <v/>
      </c>
      <c r="C204" s="640" t="str">
        <f>IF('Statement of Marks'!D206="","",'Statement of Marks'!D206)</f>
        <v/>
      </c>
      <c r="D204" s="641" t="str">
        <f>IF('Statement of Marks'!E206="","",'Statement of Marks'!E206)</f>
        <v/>
      </c>
      <c r="E204" s="642" t="str">
        <f>IF('Statement of Marks'!F206="","",'Statement of Marks'!F206)</f>
        <v/>
      </c>
      <c r="F204" s="642" t="str">
        <f>IF('Statement of Marks'!G206="","",'Statement of Marks'!G206)</f>
        <v/>
      </c>
      <c r="G204" s="316" t="str">
        <f>IF('Statement of Marks'!H206="","",'Statement of Marks'!H206)</f>
        <v/>
      </c>
      <c r="H204" s="830" t="str">
        <f>IF('Statement of Marks'!HS206="","",'Statement of Marks'!HS206)</f>
        <v/>
      </c>
      <c r="I204" s="636" t="str">
        <f>IF('Statement of Marks'!HV206="","",'Statement of Marks'!HV206)</f>
        <v/>
      </c>
      <c r="J204" s="637" t="str">
        <f>IF('Statement of Marks'!HW206="","",'Statement of Marks'!HW206)</f>
        <v/>
      </c>
      <c r="K204" s="638" t="str">
        <f>'Statement of Marks'!GN206</f>
        <v/>
      </c>
      <c r="L204" s="638" t="str">
        <f>'Statement of Marks'!GQ206</f>
        <v/>
      </c>
      <c r="M204" s="639" t="str">
        <f>'Statement of Marks'!GU206</f>
        <v/>
      </c>
      <c r="N204" s="639" t="str">
        <f>'Statement of Marks'!GV206</f>
        <v/>
      </c>
      <c r="O204" s="639" t="str">
        <f>'Statement of Marks'!GW206</f>
        <v/>
      </c>
      <c r="P204" s="639" t="str">
        <f>'Statement of Marks'!GX206</f>
        <v/>
      </c>
      <c r="Q204" s="639" t="str">
        <f>'Statement of Marks'!GY206</f>
        <v/>
      </c>
      <c r="R204" s="638" t="str">
        <f>'Statement of Marks'!HB206</f>
        <v/>
      </c>
      <c r="S204" s="638" t="str">
        <f>'Statement of Marks'!HE206</f>
        <v/>
      </c>
      <c r="T204" s="638" t="str">
        <f>'Statement of Marks'!HH206</f>
        <v/>
      </c>
      <c r="U204" s="638" t="str">
        <f>'Statement of Marks'!HK206</f>
        <v/>
      </c>
      <c r="V204" s="318" t="str">
        <f>IF(COUNTIF(K204:U204,"F")&gt;0,"",CONCATENATE('Statement of Marks'!HO206,'Statement of Marks'!HP206,'Statement of Marks'!HQ206))</f>
        <v xml:space="preserve">                  </v>
      </c>
      <c r="BI204" s="6" t="str">
        <f>IFERROR(VLOOKUP(B204,'Statement of Marks'!$B$7:'Statement of Marks'!$IC$206,41,0),"")</f>
        <v/>
      </c>
      <c r="BJ204" s="6" t="str">
        <f>IFERROR(VLOOKUP(B204,'Statement of Marks'!$B$7:'Statement of Marks'!$IC$206,66,0),"")</f>
        <v/>
      </c>
      <c r="BK204" s="6">
        <f>IFERROR(VLOOKUP(B204,'Statement of Marks'!$B$7:'Statement of Marks'!$IC$206,91,0),"")</f>
        <v>0</v>
      </c>
      <c r="BL204" s="6" t="str">
        <f>IFERROR(VLOOKUP(B204,'Statement of Marks'!$B$7:'Statement of Marks'!$IC$206,117,0),"")</f>
        <v/>
      </c>
    </row>
    <row r="205" spans="1:64" ht="24.75" customHeight="1" thickBot="1">
      <c r="A205" s="634"/>
      <c r="B205" s="1494" t="str">
        <f>IF('School Profile'!$D$12="Hindi","समग्र परिणाम","All Results")</f>
        <v>समग्र परिणाम</v>
      </c>
      <c r="C205" s="1495"/>
      <c r="D205" s="1495"/>
      <c r="E205" s="1495"/>
      <c r="F205" s="1496"/>
      <c r="G205" s="635"/>
      <c r="H205" s="1494" t="str">
        <f>IF('School Profile'!D12="Hindi","विषयवार परीक्षा परिणाम कक्षा -9","Subject-wise Result Class 9th")</f>
        <v>विषयवार परीक्षा परिणाम कक्षा -9</v>
      </c>
      <c r="I205" s="1495"/>
      <c r="J205" s="1495"/>
      <c r="K205" s="1495"/>
      <c r="L205" s="1495"/>
      <c r="M205" s="1495"/>
      <c r="N205" s="1495"/>
      <c r="O205" s="1495"/>
      <c r="P205" s="1495"/>
      <c r="Q205" s="1495"/>
      <c r="R205" s="1495"/>
      <c r="S205" s="1495"/>
      <c r="T205" s="1495"/>
      <c r="U205" s="1495"/>
      <c r="V205" s="1496"/>
      <c r="BI205" s="6" t="str">
        <f>IFERROR(VLOOKUP(B205,'Statement of Marks'!$B$7:'Statement of Marks'!$IC$206,41,0),"")</f>
        <v/>
      </c>
      <c r="BJ205" s="6" t="str">
        <f>IFERROR(VLOOKUP(B205,'Statement of Marks'!$B$7:'Statement of Marks'!$IC$206,66,0),"")</f>
        <v/>
      </c>
      <c r="BK205" s="6" t="str">
        <f>IFERROR(VLOOKUP(B205,'Statement of Marks'!$B$7:'Statement of Marks'!$IC$206,91,0),"")</f>
        <v/>
      </c>
      <c r="BL205" s="6" t="str">
        <f>IFERROR(VLOOKUP(B205,'Statement of Marks'!$B$7:'Statement of Marks'!$IC$206,117,0),"")</f>
        <v/>
      </c>
    </row>
    <row r="206" spans="1:64" ht="21" customHeight="1" thickTop="1">
      <c r="A206" s="319"/>
      <c r="B206" s="1498" t="str">
        <f>IF('School Profile'!$D$12="Hindi","विवरण","Details")</f>
        <v>विवरण</v>
      </c>
      <c r="C206" s="1499"/>
      <c r="D206" s="1499"/>
      <c r="E206" s="1500" t="str">
        <f>IF('School Profile'!$D$12="Hindi","मुख्य परीक्षा","Main Exam")</f>
        <v>मुख्य परीक्षा</v>
      </c>
      <c r="F206" s="1501"/>
      <c r="G206" s="320"/>
      <c r="H206" s="1497" t="str">
        <f>IF('School Profile'!$D$12="Hindi","कुल प्रविष्ट","Total appeared")</f>
        <v>कुल प्रविष्ट</v>
      </c>
      <c r="I206" s="1497"/>
      <c r="J206" s="1497"/>
      <c r="K206" s="643">
        <f>SUM(K211,K213,K214,K215)</f>
        <v>30</v>
      </c>
      <c r="L206" s="643">
        <f t="shared" ref="L206:U206" si="0">SUM(L211,L213,L214,L215)</f>
        <v>31</v>
      </c>
      <c r="M206" s="643">
        <f t="shared" si="0"/>
        <v>11</v>
      </c>
      <c r="N206" s="643">
        <f t="shared" si="0"/>
        <v>9</v>
      </c>
      <c r="O206" s="643">
        <f t="shared" si="0"/>
        <v>4</v>
      </c>
      <c r="P206" s="643">
        <f t="shared" si="0"/>
        <v>4</v>
      </c>
      <c r="Q206" s="643">
        <f t="shared" si="0"/>
        <v>3</v>
      </c>
      <c r="R206" s="643">
        <f t="shared" si="0"/>
        <v>31</v>
      </c>
      <c r="S206" s="643">
        <f t="shared" si="0"/>
        <v>31</v>
      </c>
      <c r="T206" s="643">
        <f t="shared" si="0"/>
        <v>31</v>
      </c>
      <c r="U206" s="643">
        <f t="shared" si="0"/>
        <v>3</v>
      </c>
      <c r="V206" s="1469" t="str">
        <f>CONCATENATE("( ",UPPER('School Profile'!D18)," )")</f>
        <v>( YOGESH )</v>
      </c>
    </row>
    <row r="207" spans="1:64" ht="21" customHeight="1">
      <c r="A207" s="321"/>
      <c r="B207" s="1491" t="str">
        <f>IF('School Profile'!$D$12="Hindi","कुल प्रविष्ट","Total appeared")</f>
        <v>कुल प्रविष्ट</v>
      </c>
      <c r="C207" s="1492"/>
      <c r="D207" s="1492"/>
      <c r="E207" s="1493"/>
      <c r="F207" s="644">
        <f>COUNTA(B5:B204)-COUNTIF(B5:B204,"nso")-COUNTBLANK(B5:B204)</f>
        <v>31</v>
      </c>
      <c r="G207" s="323"/>
      <c r="H207" s="1359" t="str">
        <f>IF('School Profile'!$D$12="Hindi","विशेष योग्यता","Distinction Marks")</f>
        <v>विशेष योग्यता</v>
      </c>
      <c r="I207" s="1359"/>
      <c r="J207" s="1359"/>
      <c r="K207" s="193">
        <f>COUNTIF(K5:K204,"D")</f>
        <v>0</v>
      </c>
      <c r="L207" s="193">
        <f t="shared" ref="L207:U207" si="1">COUNTIF(L5:L204,"D")</f>
        <v>27</v>
      </c>
      <c r="M207" s="193">
        <f t="shared" si="1"/>
        <v>1</v>
      </c>
      <c r="N207" s="193">
        <f>COUNTIF(N5:N204,"D")</f>
        <v>0</v>
      </c>
      <c r="O207" s="193">
        <f t="shared" si="1"/>
        <v>1</v>
      </c>
      <c r="P207" s="193">
        <f t="shared" si="1"/>
        <v>0</v>
      </c>
      <c r="Q207" s="193">
        <f t="shared" si="1"/>
        <v>0</v>
      </c>
      <c r="R207" s="193">
        <f t="shared" si="1"/>
        <v>1</v>
      </c>
      <c r="S207" s="193">
        <f t="shared" si="1"/>
        <v>0</v>
      </c>
      <c r="T207" s="193">
        <f t="shared" si="1"/>
        <v>0</v>
      </c>
      <c r="U207" s="193">
        <f t="shared" si="1"/>
        <v>2</v>
      </c>
      <c r="V207" s="1469"/>
    </row>
    <row r="208" spans="1:64" ht="21" customHeight="1">
      <c r="A208" s="321"/>
      <c r="B208" s="1379" t="str">
        <f>IF('School Profile'!$D$12="Hindi","प्रथम श्रेणी","1st Div.")</f>
        <v>प्रथम श्रेणी</v>
      </c>
      <c r="C208" s="1380"/>
      <c r="D208" s="1380"/>
      <c r="E208" s="1467"/>
      <c r="F208" s="322">
        <f>COUNTIF(I5:I204,"I")+COUNTIF(I5:I204,"1st")</f>
        <v>23</v>
      </c>
      <c r="G208" s="324"/>
      <c r="H208" s="1359" t="str">
        <f>IF('School Profile'!$D$12="Hindi","प्रथम श्रेणी","1st Div.")</f>
        <v>प्रथम श्रेणी</v>
      </c>
      <c r="I208" s="1359"/>
      <c r="J208" s="1359"/>
      <c r="K208" s="198">
        <f>COUNTIF(K5:K204,"I")</f>
        <v>22</v>
      </c>
      <c r="L208" s="198">
        <f t="shared" ref="L208:U208" si="2">COUNTIF(L5:L204,"I")</f>
        <v>3</v>
      </c>
      <c r="M208" s="198">
        <f t="shared" si="2"/>
        <v>1</v>
      </c>
      <c r="N208" s="198">
        <f t="shared" si="2"/>
        <v>0</v>
      </c>
      <c r="O208" s="198">
        <f t="shared" si="2"/>
        <v>0</v>
      </c>
      <c r="P208" s="198">
        <f t="shared" si="2"/>
        <v>0</v>
      </c>
      <c r="Q208" s="198">
        <f t="shared" si="2"/>
        <v>0</v>
      </c>
      <c r="R208" s="198">
        <f t="shared" si="2"/>
        <v>1</v>
      </c>
      <c r="S208" s="198">
        <f t="shared" si="2"/>
        <v>1</v>
      </c>
      <c r="T208" s="198">
        <f t="shared" si="2"/>
        <v>3</v>
      </c>
      <c r="U208" s="198">
        <f t="shared" si="2"/>
        <v>0</v>
      </c>
      <c r="V208" s="394" t="str">
        <f>IF('School Profile'!D12="Hindi","हस्ताक्षर कक्षाध्यापक","Signature of the class teacher")</f>
        <v>हस्ताक्षर कक्षाध्यापक</v>
      </c>
    </row>
    <row r="209" spans="1:22" ht="21" customHeight="1">
      <c r="A209" s="325"/>
      <c r="B209" s="1379" t="str">
        <f>IF('School Profile'!$D$12="Hindi","द्वितीय श्रेणी","2nd Div.")</f>
        <v>द्वितीय श्रेणी</v>
      </c>
      <c r="C209" s="1380"/>
      <c r="D209" s="1380"/>
      <c r="E209" s="1467"/>
      <c r="F209" s="322">
        <f>COUNTIF(I5:I204,"II")+COUNTIF(I5:I204,"2nd")</f>
        <v>5</v>
      </c>
      <c r="G209" s="324"/>
      <c r="H209" s="1359" t="str">
        <f>IF('School Profile'!$D$12="Hindi","द्वितीय श्रेणी","2nd Div.")</f>
        <v>द्वितीय श्रेणी</v>
      </c>
      <c r="I209" s="1359"/>
      <c r="J209" s="1359"/>
      <c r="K209" s="198">
        <f t="shared" ref="K209" si="3">COUNTIF(K5:K204,"II")</f>
        <v>7</v>
      </c>
      <c r="L209" s="198">
        <f t="shared" ref="L209:U209" si="4">COUNTIF(L5:L204,"II")</f>
        <v>0</v>
      </c>
      <c r="M209" s="198">
        <f t="shared" si="4"/>
        <v>9</v>
      </c>
      <c r="N209" s="198">
        <f t="shared" si="4"/>
        <v>9</v>
      </c>
      <c r="O209" s="198">
        <f t="shared" si="4"/>
        <v>3</v>
      </c>
      <c r="P209" s="198">
        <f t="shared" si="4"/>
        <v>4</v>
      </c>
      <c r="Q209" s="198">
        <f t="shared" si="4"/>
        <v>3</v>
      </c>
      <c r="R209" s="198">
        <f t="shared" si="4"/>
        <v>22</v>
      </c>
      <c r="S209" s="198">
        <f t="shared" si="4"/>
        <v>29</v>
      </c>
      <c r="T209" s="198">
        <f t="shared" si="4"/>
        <v>28</v>
      </c>
      <c r="U209" s="198">
        <f t="shared" si="4"/>
        <v>1</v>
      </c>
      <c r="V209" s="1470" t="str">
        <f>CONCATENATE("( ",UPPER('School Profile'!D16)," )")</f>
        <v>( RAKESH KUMAR )</v>
      </c>
    </row>
    <row r="210" spans="1:22" ht="21" customHeight="1">
      <c r="A210" s="326"/>
      <c r="B210" s="1379" t="str">
        <f>IF('School Profile'!$D$12="Hindi","तृतीय श्रेणी","3rd Div.")</f>
        <v>तृतीय श्रेणी</v>
      </c>
      <c r="C210" s="1380"/>
      <c r="D210" s="1380"/>
      <c r="E210" s="1467"/>
      <c r="F210" s="322">
        <f>COUNTIF(I5:I204,"III")+COUNTIF(I5:I204,"3rd")</f>
        <v>0</v>
      </c>
      <c r="G210" s="324"/>
      <c r="H210" s="1359" t="str">
        <f>IF('School Profile'!$D$12="Hindi","तृतीय श्रेणी","3rd Div.")</f>
        <v>तृतीय श्रेणी</v>
      </c>
      <c r="I210" s="1359"/>
      <c r="J210" s="1359"/>
      <c r="K210" s="201">
        <f t="shared" ref="K210" si="5">COUNTIF(K5:K204,"III")+COUNTIF(K5:K204,"G")</f>
        <v>0</v>
      </c>
      <c r="L210" s="201">
        <f t="shared" ref="L210:U210" si="6">COUNTIF(L5:L204,"III")+COUNTIF(L5:L204,"G")</f>
        <v>1</v>
      </c>
      <c r="M210" s="201">
        <f t="shared" si="6"/>
        <v>0</v>
      </c>
      <c r="N210" s="201">
        <f t="shared" si="6"/>
        <v>0</v>
      </c>
      <c r="O210" s="201">
        <f t="shared" si="6"/>
        <v>0</v>
      </c>
      <c r="P210" s="201">
        <f t="shared" si="6"/>
        <v>0</v>
      </c>
      <c r="Q210" s="201">
        <f t="shared" si="6"/>
        <v>0</v>
      </c>
      <c r="R210" s="201">
        <f t="shared" si="6"/>
        <v>6</v>
      </c>
      <c r="S210" s="201">
        <f t="shared" si="6"/>
        <v>1</v>
      </c>
      <c r="T210" s="201">
        <f t="shared" si="6"/>
        <v>0</v>
      </c>
      <c r="U210" s="201">
        <f t="shared" si="6"/>
        <v>0</v>
      </c>
      <c r="V210" s="1471"/>
    </row>
    <row r="211" spans="1:22" ht="21" customHeight="1">
      <c r="A211" s="327"/>
      <c r="B211" s="1379" t="str">
        <f>IF('School Profile'!$D$12="Hindi","उतीर्ण","Pass")</f>
        <v>उतीर्ण</v>
      </c>
      <c r="C211" s="1380"/>
      <c r="D211" s="1380"/>
      <c r="E211" s="1467"/>
      <c r="F211" s="322">
        <f>COUNTIF(H5:H204,"PASS")+COUNTIF(H5:H204,"BY GRACE PASS")</f>
        <v>28</v>
      </c>
      <c r="G211" s="324"/>
      <c r="H211" s="1359" t="str">
        <f>IF('School Profile'!$D$12="Hindi","उतीर्ण","Pass")</f>
        <v>उतीर्ण</v>
      </c>
      <c r="I211" s="1359"/>
      <c r="J211" s="1359"/>
      <c r="K211" s="201">
        <f>SUM(K207,K208,K209,K210)</f>
        <v>29</v>
      </c>
      <c r="L211" s="201">
        <f t="shared" ref="L211:U211" si="7">SUM(L207,L208,L209,L210)</f>
        <v>31</v>
      </c>
      <c r="M211" s="201">
        <f t="shared" si="7"/>
        <v>11</v>
      </c>
      <c r="N211" s="201">
        <f t="shared" si="7"/>
        <v>9</v>
      </c>
      <c r="O211" s="201">
        <f t="shared" si="7"/>
        <v>4</v>
      </c>
      <c r="P211" s="201">
        <f t="shared" si="7"/>
        <v>4</v>
      </c>
      <c r="Q211" s="201">
        <f t="shared" si="7"/>
        <v>3</v>
      </c>
      <c r="R211" s="201">
        <f t="shared" si="7"/>
        <v>30</v>
      </c>
      <c r="S211" s="201">
        <f t="shared" si="7"/>
        <v>31</v>
      </c>
      <c r="T211" s="201">
        <f t="shared" si="7"/>
        <v>31</v>
      </c>
      <c r="U211" s="201">
        <f t="shared" si="7"/>
        <v>3</v>
      </c>
      <c r="V211" s="393" t="str">
        <f>IF('School Profile'!D12="Hindi","हस्ताक्षर जांचकर्ता","Signature of the checker")</f>
        <v>हस्ताक्षर जांचकर्ता</v>
      </c>
    </row>
    <row r="212" spans="1:22" ht="36" customHeight="1">
      <c r="A212" s="327"/>
      <c r="B212" s="1379" t="str">
        <f>IF('School Profile'!$D$12="Hindi","उतीर्ण प्रतिशत","Pass %")</f>
        <v>उतीर्ण प्रतिशत</v>
      </c>
      <c r="C212" s="1380"/>
      <c r="D212" s="1380"/>
      <c r="E212" s="1467"/>
      <c r="F212" s="204">
        <f>IF(F207=0,"",F211/F207*100)</f>
        <v>90.322580645161281</v>
      </c>
      <c r="G212" s="328"/>
      <c r="H212" s="1359" t="str">
        <f>IF('School Profile'!$D$12="Hindi","उतीर्ण प्रतिशत","Pass %")</f>
        <v>उतीर्ण प्रतिशत</v>
      </c>
      <c r="I212" s="1359"/>
      <c r="J212" s="1359"/>
      <c r="K212" s="329">
        <f>IF(K206=0,"",K211/K206*100)</f>
        <v>96.666666666666671</v>
      </c>
      <c r="L212" s="329">
        <f t="shared" ref="L212:U212" si="8">IF(L206=0,"",L211/L206*100)</f>
        <v>100</v>
      </c>
      <c r="M212" s="329">
        <f t="shared" si="8"/>
        <v>100</v>
      </c>
      <c r="N212" s="329">
        <f t="shared" si="8"/>
        <v>100</v>
      </c>
      <c r="O212" s="329">
        <f t="shared" si="8"/>
        <v>100</v>
      </c>
      <c r="P212" s="329">
        <f t="shared" si="8"/>
        <v>100</v>
      </c>
      <c r="Q212" s="329">
        <f t="shared" si="8"/>
        <v>100</v>
      </c>
      <c r="R212" s="329">
        <f t="shared" si="8"/>
        <v>96.774193548387103</v>
      </c>
      <c r="S212" s="329">
        <f t="shared" si="8"/>
        <v>100</v>
      </c>
      <c r="T212" s="329">
        <f t="shared" si="8"/>
        <v>100</v>
      </c>
      <c r="U212" s="329">
        <f t="shared" si="8"/>
        <v>100</v>
      </c>
      <c r="V212" s="727" t="str">
        <f>CONCATENATE("( ",UPPER('School Profile'!D15)," )")</f>
        <v>( HEERALAL JAT )</v>
      </c>
    </row>
    <row r="213" spans="1:22" ht="21" customHeight="1">
      <c r="A213" s="327"/>
      <c r="B213" s="1379" t="str">
        <f>IF('School Profile'!$D$12="Hindi","अनुतीर्ण","Failed")</f>
        <v>अनुतीर्ण</v>
      </c>
      <c r="C213" s="1380"/>
      <c r="D213" s="1380"/>
      <c r="E213" s="1467"/>
      <c r="F213" s="322">
        <f>COUNTIF(H5:H204,"FAIL")</f>
        <v>2</v>
      </c>
      <c r="G213" s="330"/>
      <c r="H213" s="1473" t="str">
        <f>IF('School Profile'!$D$12="Hindi","पूरक","Supp.")</f>
        <v>पूरक</v>
      </c>
      <c r="I213" s="1473"/>
      <c r="J213" s="1473"/>
      <c r="K213" s="209">
        <f>COUNTIF(K5:K204,"S")</f>
        <v>0</v>
      </c>
      <c r="L213" s="209">
        <f t="shared" ref="L213:U213" si="9">COUNTIF(L5:L204,"S")</f>
        <v>0</v>
      </c>
      <c r="M213" s="209">
        <f t="shared" si="9"/>
        <v>0</v>
      </c>
      <c r="N213" s="209">
        <f t="shared" si="9"/>
        <v>0</v>
      </c>
      <c r="O213" s="209">
        <f t="shared" si="9"/>
        <v>0</v>
      </c>
      <c r="P213" s="209">
        <f t="shared" si="9"/>
        <v>0</v>
      </c>
      <c r="Q213" s="209">
        <f t="shared" si="9"/>
        <v>0</v>
      </c>
      <c r="R213" s="209">
        <f t="shared" si="9"/>
        <v>1</v>
      </c>
      <c r="S213" s="209">
        <f t="shared" si="9"/>
        <v>0</v>
      </c>
      <c r="T213" s="209">
        <f t="shared" si="9"/>
        <v>0</v>
      </c>
      <c r="U213" s="209">
        <f t="shared" si="9"/>
        <v>0</v>
      </c>
      <c r="V213" s="393" t="str">
        <f>IF('School Profile'!D12="Hindi","हस्ताक्षर परीक्षा प्रभारी","Signature of the exam. Incharge")</f>
        <v>हस्ताक्षर परीक्षा प्रभारी</v>
      </c>
    </row>
    <row r="214" spans="1:22" ht="21" customHeight="1">
      <c r="A214" s="327"/>
      <c r="B214" s="1379" t="str">
        <f>IF('School Profile'!$D$12="Hindi","पूरक","Supp.")</f>
        <v>पूरक</v>
      </c>
      <c r="C214" s="1380"/>
      <c r="D214" s="1380"/>
      <c r="E214" s="1467"/>
      <c r="F214" s="322">
        <f>COUNTIF(H5:H204,"SUPPLEMENTARY")</f>
        <v>1</v>
      </c>
      <c r="G214" s="331"/>
      <c r="H214" s="1473" t="str">
        <f>IF('School Profile'!$D$12="Hindi","अनुतीर्ण","Failed")</f>
        <v>अनुतीर्ण</v>
      </c>
      <c r="I214" s="1473"/>
      <c r="J214" s="1473"/>
      <c r="K214" s="332">
        <f>COUNTIF(K5:K204,"F")+COUNTIF(K5:K204,"FP")</f>
        <v>1</v>
      </c>
      <c r="L214" s="332">
        <f t="shared" ref="L214:U214" si="10">COUNTIF(L5:L204,"F")+COUNTIF(L5:L204,"FP")</f>
        <v>0</v>
      </c>
      <c r="M214" s="332">
        <f t="shared" si="10"/>
        <v>0</v>
      </c>
      <c r="N214" s="332">
        <f t="shared" si="10"/>
        <v>0</v>
      </c>
      <c r="O214" s="332">
        <f t="shared" si="10"/>
        <v>0</v>
      </c>
      <c r="P214" s="332">
        <f t="shared" si="10"/>
        <v>0</v>
      </c>
      <c r="Q214" s="332">
        <f t="shared" si="10"/>
        <v>0</v>
      </c>
      <c r="R214" s="332">
        <f t="shared" si="10"/>
        <v>0</v>
      </c>
      <c r="S214" s="332">
        <f t="shared" si="10"/>
        <v>0</v>
      </c>
      <c r="T214" s="332">
        <f t="shared" si="10"/>
        <v>0</v>
      </c>
      <c r="U214" s="332">
        <f t="shared" si="10"/>
        <v>0</v>
      </c>
      <c r="V214" s="1468" t="str">
        <f>CONCATENATE("( ",UPPER('School Profile'!D14)," )")</f>
        <v>( DEWANAND )</v>
      </c>
    </row>
    <row r="215" spans="1:22" ht="21" customHeight="1">
      <c r="A215" s="321"/>
      <c r="B215" s="1491" t="str">
        <f>IF('School Profile'!$D$12="Hindi","परीक्षा परिणाम घोषित दिनांक :-","Date of Result declaration :-")</f>
        <v>परीक्षा परिणाम घोषित दिनांक :-</v>
      </c>
      <c r="C215" s="1492"/>
      <c r="D215" s="1492"/>
      <c r="E215" s="1493"/>
      <c r="F215" s="633">
        <f>'School Profile'!D11</f>
        <v>46106</v>
      </c>
      <c r="G215" s="333"/>
      <c r="H215" s="1473" t="str">
        <f>IF('School Profile'!$D$12="Hindi","पुनः परीक्षा","Re-Exam")</f>
        <v>पुनः परीक्षा</v>
      </c>
      <c r="I215" s="1473"/>
      <c r="J215" s="1473"/>
      <c r="K215" s="209">
        <f>COUNTIF(K5:K204,"RE")</f>
        <v>0</v>
      </c>
      <c r="L215" s="209">
        <f t="shared" ref="L215:U215" si="11">COUNTIF(L5:L204,"RE")</f>
        <v>0</v>
      </c>
      <c r="M215" s="209">
        <f t="shared" si="11"/>
        <v>0</v>
      </c>
      <c r="N215" s="209">
        <f t="shared" si="11"/>
        <v>0</v>
      </c>
      <c r="O215" s="209">
        <f t="shared" si="11"/>
        <v>0</v>
      </c>
      <c r="P215" s="209">
        <f t="shared" si="11"/>
        <v>0</v>
      </c>
      <c r="Q215" s="209">
        <f t="shared" si="11"/>
        <v>0</v>
      </c>
      <c r="R215" s="209">
        <f t="shared" si="11"/>
        <v>0</v>
      </c>
      <c r="S215" s="209">
        <f t="shared" si="11"/>
        <v>0</v>
      </c>
      <c r="T215" s="209">
        <f t="shared" si="11"/>
        <v>0</v>
      </c>
      <c r="U215" s="209">
        <f t="shared" si="11"/>
        <v>0</v>
      </c>
      <c r="V215" s="1469"/>
    </row>
    <row r="216" spans="1:22" ht="24.75" customHeight="1">
      <c r="A216" s="321"/>
      <c r="B216" s="333"/>
      <c r="C216" s="333"/>
      <c r="D216" s="333"/>
      <c r="E216" s="333"/>
      <c r="F216" s="333"/>
      <c r="G216" s="333"/>
      <c r="H216" s="1473" t="str">
        <f>IF('School Profile'!$D$12="Hindi","अनुपस्थित","Absent")</f>
        <v>अनुपस्थित</v>
      </c>
      <c r="I216" s="1473"/>
      <c r="J216" s="1473"/>
      <c r="K216" s="209">
        <f>COUNTIF(K5:K204,"AB")</f>
        <v>1</v>
      </c>
      <c r="L216" s="209">
        <f t="shared" ref="L216:U216" si="12">COUNTIF(L5:L204,"AB")</f>
        <v>0</v>
      </c>
      <c r="M216" s="209">
        <f t="shared" si="12"/>
        <v>0</v>
      </c>
      <c r="N216" s="209">
        <f t="shared" si="12"/>
        <v>0</v>
      </c>
      <c r="O216" s="209">
        <f t="shared" si="12"/>
        <v>0</v>
      </c>
      <c r="P216" s="209">
        <f t="shared" si="12"/>
        <v>0</v>
      </c>
      <c r="Q216" s="209">
        <f t="shared" si="12"/>
        <v>0</v>
      </c>
      <c r="R216" s="209">
        <f t="shared" si="12"/>
        <v>0</v>
      </c>
      <c r="S216" s="209">
        <f t="shared" si="12"/>
        <v>0</v>
      </c>
      <c r="T216" s="209">
        <f t="shared" si="12"/>
        <v>0</v>
      </c>
      <c r="U216" s="209">
        <f t="shared" si="12"/>
        <v>0</v>
      </c>
      <c r="V216" s="393" t="str">
        <f>IF('School Profile'!D12="Hindi","हस्ताक्षर मय सील मोहर संस्था प्रधान","Signature &amp; Seal of the Head of the Institution")</f>
        <v>हस्ताक्षर मय सील मोहर संस्था प्रधान</v>
      </c>
    </row>
    <row r="217" spans="1:22" ht="15" customHeight="1" thickBot="1">
      <c r="A217" s="334"/>
      <c r="B217" s="335"/>
      <c r="C217" s="335"/>
      <c r="D217" s="335"/>
      <c r="E217" s="335"/>
      <c r="F217" s="335"/>
      <c r="G217" s="335"/>
      <c r="H217" s="335"/>
      <c r="I217" s="335"/>
      <c r="J217" s="335"/>
      <c r="K217" s="335"/>
      <c r="L217" s="335"/>
      <c r="M217" s="335"/>
      <c r="N217" s="335"/>
      <c r="O217" s="335"/>
      <c r="P217" s="335"/>
      <c r="Q217" s="335"/>
      <c r="R217" s="335"/>
      <c r="S217" s="335"/>
      <c r="T217" s="335"/>
      <c r="U217" s="335"/>
      <c r="V217" s="336"/>
    </row>
    <row r="218" spans="1:22" ht="19.5" thickTop="1">
      <c r="D218" s="216"/>
      <c r="E218" s="217"/>
    </row>
  </sheetData>
  <sheetProtection password="D5A2" sheet="1" objects="1" scenarios="1" formatColumns="0" formatRows="0"/>
  <mergeCells count="42">
    <mergeCell ref="B205:F205"/>
    <mergeCell ref="H205:V205"/>
    <mergeCell ref="H212:J212"/>
    <mergeCell ref="H213:J213"/>
    <mergeCell ref="B212:E212"/>
    <mergeCell ref="B213:E213"/>
    <mergeCell ref="H206:J206"/>
    <mergeCell ref="H207:J207"/>
    <mergeCell ref="H208:J208"/>
    <mergeCell ref="H209:J209"/>
    <mergeCell ref="H210:J210"/>
    <mergeCell ref="B206:D206"/>
    <mergeCell ref="E206:F206"/>
    <mergeCell ref="B207:E207"/>
    <mergeCell ref="B208:E208"/>
    <mergeCell ref="V206:V207"/>
    <mergeCell ref="H216:J216"/>
    <mergeCell ref="B211:E211"/>
    <mergeCell ref="K1:V1"/>
    <mergeCell ref="A1:J1"/>
    <mergeCell ref="A2:B3"/>
    <mergeCell ref="G2:G3"/>
    <mergeCell ref="C2:F3"/>
    <mergeCell ref="H2:J3"/>
    <mergeCell ref="M3:Q3"/>
    <mergeCell ref="K2:U2"/>
    <mergeCell ref="V2:V4"/>
    <mergeCell ref="K3:K4"/>
    <mergeCell ref="L3:L4"/>
    <mergeCell ref="B214:E214"/>
    <mergeCell ref="B215:E215"/>
    <mergeCell ref="H214:J214"/>
    <mergeCell ref="R3:R4"/>
    <mergeCell ref="S3:S4"/>
    <mergeCell ref="T3:T4"/>
    <mergeCell ref="U3:U4"/>
    <mergeCell ref="H215:J215"/>
    <mergeCell ref="B209:E209"/>
    <mergeCell ref="B210:E210"/>
    <mergeCell ref="H211:J211"/>
    <mergeCell ref="V214:V215"/>
    <mergeCell ref="V209:V210"/>
  </mergeCells>
  <conditionalFormatting sqref="Q208:R209 E206 G206:G213 V206 A4:D4 H2 M3:M4 A1:A2 C2 K2 V214 V212 K206:U207 N4:Q4 A5:A205 B5:V204">
    <cfRule type="cellIs" dxfId="70" priority="68" stopIfTrue="1" operator="equal">
      <formula>0</formula>
    </cfRule>
  </conditionalFormatting>
  <conditionalFormatting sqref="G206 E206 Q208:R208 H217:H65569 H2 K206:U206">
    <cfRule type="containsText" dxfId="69" priority="67" stopIfTrue="1" operator="containsText" text="iwjd">
      <formula>NOT(ISERROR(SEARCH("iwjd",E2)))</formula>
    </cfRule>
  </conditionalFormatting>
  <conditionalFormatting sqref="H5:H204">
    <cfRule type="containsText" dxfId="68" priority="66" stopIfTrue="1" operator="containsText" text="iwjd">
      <formula>NOT(ISERROR(SEARCH("iwjd",H5)))</formula>
    </cfRule>
  </conditionalFormatting>
  <conditionalFormatting sqref="K206:U216">
    <cfRule type="cellIs" dxfId="67" priority="61" stopIfTrue="1" operator="equal">
      <formula>0</formula>
    </cfRule>
  </conditionalFormatting>
  <conditionalFormatting sqref="H5:H204">
    <cfRule type="containsText" dxfId="66" priority="55" operator="containsText" text="iqu% ijh{kk">
      <formula>NOT(ISERROR(SEARCH("iqu% ijh{kk",H5)))</formula>
    </cfRule>
  </conditionalFormatting>
  <conditionalFormatting sqref="J5:J204">
    <cfRule type="expression" dxfId="65" priority="44">
      <formula>J5=""</formula>
    </cfRule>
    <cfRule type="top10" dxfId="64" priority="97" stopIfTrue="1" rank="3"/>
    <cfRule type="top10" dxfId="63" priority="98" stopIfTrue="1" percent="1" rank="3"/>
  </conditionalFormatting>
  <conditionalFormatting sqref="H5:H204">
    <cfRule type="cellIs" dxfId="62" priority="38" stopIfTrue="1" operator="equal">
      <formula>0</formula>
    </cfRule>
  </conditionalFormatting>
  <conditionalFormatting sqref="H5:H204">
    <cfRule type="containsText" dxfId="61" priority="37" stopIfTrue="1" operator="containsText" text="iwjd">
      <formula>NOT(ISERROR(SEARCH("iwjd",H5)))</formula>
    </cfRule>
  </conditionalFormatting>
  <conditionalFormatting sqref="H5:H204">
    <cfRule type="containsText" dxfId="60" priority="36" operator="containsText" text="iqu% ijh{kk">
      <formula>NOT(ISERROR(SEARCH("iqu% ijh{kk",H5)))</formula>
    </cfRule>
  </conditionalFormatting>
  <conditionalFormatting sqref="H5:H204">
    <cfRule type="containsText" dxfId="59" priority="35" stopIfTrue="1" operator="containsText" text="iwjd">
      <formula>NOT(ISERROR(SEARCH("iwjd",H5)))</formula>
    </cfRule>
  </conditionalFormatting>
  <conditionalFormatting sqref="H5:H204">
    <cfRule type="containsText" dxfId="58" priority="30" stopIfTrue="1" operator="containsText" text="G1">
      <formula>NOT(ISERROR(SEARCH("G1",H5)))</formula>
    </cfRule>
    <cfRule type="containsText" dxfId="57" priority="31" stopIfTrue="1" operator="containsText" text="G2">
      <formula>NOT(ISERROR(SEARCH("G2",H5)))</formula>
    </cfRule>
    <cfRule type="containsText" dxfId="56" priority="32" stopIfTrue="1" operator="containsText" text="G1">
      <formula>NOT(ISERROR(SEARCH("G1",H5)))</formula>
    </cfRule>
    <cfRule type="containsText" dxfId="55" priority="33" stopIfTrue="1" operator="containsText" text="S">
      <formula>NOT(ISERROR(SEARCH("S",H5)))</formula>
    </cfRule>
    <cfRule type="containsText" dxfId="54" priority="34" stopIfTrue="1" operator="containsText" text="F">
      <formula>NOT(ISERROR(SEARCH("F",H5)))</formula>
    </cfRule>
  </conditionalFormatting>
  <conditionalFormatting sqref="H5:H204">
    <cfRule type="containsText" dxfId="53" priority="27" stopIfTrue="1" operator="containsText" text="RA">
      <formula>NOT(ISERROR(SEARCH("RA",H5)))</formula>
    </cfRule>
    <cfRule type="containsText" dxfId="52" priority="28" stopIfTrue="1" operator="containsText" text="ML">
      <formula>NOT(ISERROR(SEARCH("ML",H5)))</formula>
    </cfRule>
    <cfRule type="containsText" dxfId="51" priority="29" stopIfTrue="1" operator="containsText" text="ML">
      <formula>NOT(ISERROR(SEARCH("ML",H5)))</formula>
    </cfRule>
  </conditionalFormatting>
  <conditionalFormatting sqref="H5:H204">
    <cfRule type="containsText" dxfId="50" priority="26" stopIfTrue="1" operator="containsText" text="S">
      <formula>NOT(ISERROR(SEARCH("S",H5)))</formula>
    </cfRule>
  </conditionalFormatting>
  <conditionalFormatting sqref="H5:H204">
    <cfRule type="containsText" dxfId="49" priority="25" stopIfTrue="1" operator="containsText" text="G1">
      <formula>NOT(ISERROR(SEARCH("G1",H5)))</formula>
    </cfRule>
  </conditionalFormatting>
  <conditionalFormatting sqref="H5:H204">
    <cfRule type="containsText" dxfId="48" priority="24" stopIfTrue="1" operator="containsText" text="NA">
      <formula>NOT(ISERROR(SEARCH("NA",H5)))</formula>
    </cfRule>
  </conditionalFormatting>
  <conditionalFormatting sqref="H5:H204">
    <cfRule type="containsText" dxfId="47" priority="23" operator="containsText" text="D">
      <formula>NOT(ISERROR(SEARCH("D",H5)))</formula>
    </cfRule>
  </conditionalFormatting>
  <conditionalFormatting sqref="H5:H204">
    <cfRule type="cellIs" dxfId="46" priority="21" stopIfTrue="1" operator="equal">
      <formula>0</formula>
    </cfRule>
    <cfRule type="cellIs" dxfId="45" priority="22" stopIfTrue="1" operator="equal">
      <formula>0</formula>
    </cfRule>
  </conditionalFormatting>
  <conditionalFormatting sqref="H5:H204">
    <cfRule type="containsText" dxfId="44" priority="17" stopIfTrue="1" operator="containsText" text="G2">
      <formula>NOT(ISERROR(SEARCH("G2",H5)))</formula>
    </cfRule>
    <cfRule type="containsText" dxfId="43" priority="18" stopIfTrue="1" operator="containsText" text="G1">
      <formula>NOT(ISERROR(SEARCH("G1",H5)))</formula>
    </cfRule>
    <cfRule type="containsText" dxfId="42" priority="19" stopIfTrue="1" operator="containsText" text="S">
      <formula>NOT(ISERROR(SEARCH("S",H5)))</formula>
    </cfRule>
    <cfRule type="containsText" dxfId="41" priority="20" stopIfTrue="1" operator="containsText" text="F">
      <formula>NOT(ISERROR(SEARCH("F",H5)))</formula>
    </cfRule>
  </conditionalFormatting>
  <conditionalFormatting sqref="H5:H204">
    <cfRule type="containsText" dxfId="40" priority="16" stopIfTrue="1" operator="containsText" text="NA">
      <formula>NOT(ISERROR(SEARCH("NA",H5)))</formula>
    </cfRule>
  </conditionalFormatting>
  <conditionalFormatting sqref="H5:H204">
    <cfRule type="containsText" dxfId="39" priority="14" stopIfTrue="1" operator="containsText" text="NA">
      <formula>NOT(ISERROR(SEARCH("NA",H5)))</formula>
    </cfRule>
    <cfRule type="containsText" dxfId="38" priority="15" stopIfTrue="1" operator="containsText" text="ML">
      <formula>NOT(ISERROR(SEARCH("ML",H5)))</formula>
    </cfRule>
  </conditionalFormatting>
  <conditionalFormatting sqref="H5:H204">
    <cfRule type="containsText" dxfId="37" priority="12" stopIfTrue="1" operator="containsText" text="vuqRrh.kZ">
      <formula>NOT(ISERROR(SEARCH("vuqRrh.kZ",H5)))</formula>
    </cfRule>
    <cfRule type="containsText" dxfId="36" priority="13" stopIfTrue="1" operator="containsText" text="lk- mRrh.kZ">
      <formula>NOT(ISERROR(SEARCH("lk- mRrh.kZ",H5)))</formula>
    </cfRule>
  </conditionalFormatting>
  <conditionalFormatting sqref="H5:H204">
    <cfRule type="containsText" dxfId="35" priority="11" stopIfTrue="1" operator="containsText" text="iwjd">
      <formula>NOT(ISERROR(SEARCH("iwjd",H5)))</formula>
    </cfRule>
  </conditionalFormatting>
  <conditionalFormatting sqref="H5:H204">
    <cfRule type="expression" dxfId="34" priority="6" stopIfTrue="1">
      <formula>$H5="SUPPLEMENTARY"</formula>
    </cfRule>
    <cfRule type="expression" dxfId="33" priority="7" stopIfTrue="1">
      <formula>H5="NSO"</formula>
    </cfRule>
    <cfRule type="containsText" dxfId="32" priority="8" stopIfTrue="1" operator="containsText" text="iwjd">
      <formula>NOT(ISERROR(SEARCH("iwjd",H5)))</formula>
    </cfRule>
    <cfRule type="containsText" dxfId="31" priority="9" stopIfTrue="1" operator="containsText" text="vuRrh.kZ">
      <formula>NOT(ISERROR(SEARCH("vuRrh.kZ",H5)))</formula>
    </cfRule>
    <cfRule type="containsText" dxfId="30" priority="10" stopIfTrue="1" operator="containsText" text="mRrh.kZ">
      <formula>NOT(ISERROR(SEARCH("mRrh.kZ",H5)))</formula>
    </cfRule>
  </conditionalFormatting>
  <conditionalFormatting sqref="H5:H204">
    <cfRule type="containsText" dxfId="29" priority="5" stopIfTrue="1" operator="containsText" text="iu% ijh{kk">
      <formula>NOT(ISERROR(SEARCH("iu% ijh{kk",H5)))</formula>
    </cfRule>
  </conditionalFormatting>
  <conditionalFormatting sqref="H5:H204">
    <cfRule type="containsText" dxfId="28" priority="4" stopIfTrue="1" operator="containsText" text="iqu% ijh{kk">
      <formula>NOT(ISERROR(SEARCH("iqu% ijh{kk",H5)))</formula>
    </cfRule>
  </conditionalFormatting>
  <conditionalFormatting sqref="V5:V204">
    <cfRule type="cellIs" dxfId="27" priority="3" stopIfTrue="1" operator="equal">
      <formula>0</formula>
    </cfRule>
  </conditionalFormatting>
  <conditionalFormatting sqref="V5:V204">
    <cfRule type="expression" dxfId="26" priority="1" stopIfTrue="1">
      <formula>$H5="BY GRACE PASS"</formula>
    </cfRule>
    <cfRule type="expression" dxfId="25" priority="2" stopIfTrue="1">
      <formula>$H5="SUPPLEMENTARY"</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pageSetUpPr fitToPage="1"/>
  </sheetPr>
  <dimension ref="B1:AR30"/>
  <sheetViews>
    <sheetView showGridLines="0" view="pageBreakPreview" zoomScaleSheetLayoutView="100" workbookViewId="0">
      <selection activeCell="W19" sqref="W19"/>
    </sheetView>
  </sheetViews>
  <sheetFormatPr defaultRowHeight="15"/>
  <cols>
    <col min="1" max="1" width="4.25" style="6" customWidth="1"/>
    <col min="2" max="3" width="8" style="38" customWidth="1"/>
    <col min="4" max="4" width="2" style="38" customWidth="1"/>
    <col min="5" max="8" width="6.625" style="38" customWidth="1"/>
    <col min="9" max="9" width="7.25" style="38" customWidth="1"/>
    <col min="10" max="14" width="6.625" style="38" customWidth="1"/>
    <col min="15" max="15" width="6.625" style="6" customWidth="1"/>
    <col min="16" max="16" width="9.875" style="38" customWidth="1"/>
    <col min="17" max="17" width="8.25" style="38" customWidth="1"/>
    <col min="18" max="18" width="7" style="38" customWidth="1"/>
    <col min="19" max="19" width="9.5" style="38" customWidth="1"/>
    <col min="20" max="20" width="8" style="38" customWidth="1"/>
    <col min="21" max="21" width="10.125" style="38" customWidth="1"/>
    <col min="22" max="29" width="6.75" style="6" customWidth="1"/>
    <col min="30" max="32" width="9" style="6"/>
    <col min="33" max="33" width="9" hidden="1" customWidth="1"/>
    <col min="34" max="34" width="10.125" hidden="1" customWidth="1"/>
    <col min="35" max="35" width="9" hidden="1" customWidth="1"/>
    <col min="36" max="37" width="9" customWidth="1"/>
    <col min="38" max="41" width="9" style="6"/>
    <col min="42" max="42" width="0" style="6" hidden="1" customWidth="1"/>
    <col min="43" max="43" width="9" style="6" hidden="1" customWidth="1"/>
    <col min="44" max="44" width="0" style="6" hidden="1" customWidth="1"/>
    <col min="45" max="16384" width="9" style="6"/>
  </cols>
  <sheetData>
    <row r="1" spans="2:43" ht="19.5" customHeight="1">
      <c r="B1" s="21"/>
      <c r="C1" s="21"/>
      <c r="D1" s="21"/>
      <c r="E1" s="21"/>
      <c r="F1" s="21"/>
      <c r="G1" s="21"/>
      <c r="H1" s="21"/>
      <c r="I1" s="1557" t="str">
        <f>IF('School Profile'!$D$12="Hindi","वार्षिक रिपोर्ट कार्ड ","Report Card")</f>
        <v xml:space="preserve">वार्षिक रिपोर्ट कार्ड </v>
      </c>
      <c r="J1" s="1557"/>
      <c r="K1" s="1557"/>
      <c r="L1" s="1557"/>
      <c r="M1" s="1557"/>
      <c r="N1" s="1557"/>
      <c r="O1" s="1557"/>
      <c r="P1" s="1557"/>
      <c r="Q1" s="21"/>
      <c r="R1" s="21"/>
      <c r="S1" s="21"/>
      <c r="T1" s="21"/>
      <c r="U1" s="21"/>
    </row>
    <row r="2" spans="2:43" ht="18.75" customHeight="1" thickBot="1">
      <c r="B2" s="21"/>
      <c r="C2" s="21"/>
      <c r="D2" s="21"/>
      <c r="E2" s="1566" t="str">
        <f>IF('School Profile'!$D$12="Hindi","शिक्षा विभाग, राजस्थान सरकार","Education Department, Rajasthan Government")</f>
        <v>शिक्षा विभाग, राजस्थान सरकार</v>
      </c>
      <c r="F2" s="1566"/>
      <c r="G2" s="1566"/>
      <c r="H2" s="1566"/>
      <c r="I2" s="1566"/>
      <c r="J2" s="1566"/>
      <c r="K2" s="1566"/>
      <c r="L2" s="1566"/>
      <c r="M2" s="1566"/>
      <c r="N2" s="1566"/>
      <c r="O2" s="1566"/>
      <c r="P2" s="1566"/>
      <c r="Q2" s="1566"/>
      <c r="R2" s="1566"/>
      <c r="S2" s="21"/>
      <c r="T2" s="21"/>
      <c r="U2" s="21"/>
    </row>
    <row r="3" spans="2:43" ht="21" customHeight="1" thickBot="1">
      <c r="B3" s="1560" t="str">
        <f>IF('School Profile'!D12="Hindi",CONCATENATE("विद्यालय का नाम :-","  ",'School Profile'!D9),CONCATENATE("School Name :-","  ",'School Profile'!D8))</f>
        <v xml:space="preserve">विद्यालय का नाम :-  महात्मा गाँधी राजकीय विद्यालय (अंग्रेजी माध्यम) बर, पाली </v>
      </c>
      <c r="C3" s="1560"/>
      <c r="D3" s="1560"/>
      <c r="E3" s="1560"/>
      <c r="F3" s="1560"/>
      <c r="G3" s="1560"/>
      <c r="H3" s="1560"/>
      <c r="I3" s="1560"/>
      <c r="J3" s="1560"/>
      <c r="K3" s="1560"/>
      <c r="L3" s="1560"/>
      <c r="M3" s="1560"/>
      <c r="N3" s="1560"/>
      <c r="O3" s="1560"/>
      <c r="P3" s="1560"/>
      <c r="Q3" s="1560"/>
      <c r="R3" s="1560"/>
      <c r="S3" s="1560"/>
      <c r="T3" s="1560"/>
      <c r="U3" s="337"/>
      <c r="AB3" s="1532" t="s">
        <v>254</v>
      </c>
      <c r="AC3" s="1533"/>
      <c r="AD3" s="1534"/>
      <c r="AG3" s="776"/>
      <c r="AH3" s="776"/>
      <c r="AI3" s="776"/>
      <c r="AJ3" s="776"/>
      <c r="AK3" s="776"/>
    </row>
    <row r="4" spans="2:43" ht="17.25" customHeight="1">
      <c r="B4" s="650"/>
      <c r="C4" s="650"/>
      <c r="D4" s="650"/>
      <c r="E4" s="650"/>
      <c r="F4" s="650"/>
      <c r="G4" s="650"/>
      <c r="H4" s="1547"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I4" s="1547"/>
      <c r="J4" s="1547"/>
      <c r="K4" s="1547"/>
      <c r="L4" s="1547"/>
      <c r="M4" s="1547"/>
      <c r="N4" s="1547"/>
      <c r="O4" s="1547"/>
      <c r="P4" s="1547"/>
      <c r="Q4" s="1547"/>
      <c r="R4" s="666"/>
      <c r="S4" s="651"/>
      <c r="T4" s="652"/>
      <c r="U4" s="337"/>
      <c r="AB4" s="1535"/>
      <c r="AC4" s="1536"/>
      <c r="AD4" s="1537"/>
    </row>
    <row r="5" spans="2:43" ht="19.5" customHeight="1">
      <c r="B5" s="1561" t="str">
        <f>IF('School Profile'!D12="Hindi","सत्र  :-","Session :-")</f>
        <v>सत्र  :-</v>
      </c>
      <c r="C5" s="1561"/>
      <c r="D5" s="1561"/>
      <c r="E5" s="1561"/>
      <c r="F5" s="1562" t="str">
        <f>IF('Marks Entry'!I3="","",'Marks Entry'!I3)</f>
        <v>2025-2026</v>
      </c>
      <c r="G5" s="1562"/>
      <c r="H5" s="1562"/>
      <c r="I5" s="1563"/>
      <c r="J5" s="1563"/>
      <c r="K5" s="1563"/>
      <c r="L5" s="388"/>
      <c r="M5" s="1561" t="str">
        <f>IF('School Profile'!$D$12="Hindi","कक्षा  :-","CLASS :- ")</f>
        <v>कक्षा  :-</v>
      </c>
      <c r="N5" s="1561"/>
      <c r="O5" s="653" t="str">
        <f>IF('Statement of Marks'!E3="","",'Statement of Marks'!E3)</f>
        <v>9th</v>
      </c>
      <c r="P5" s="654" t="str">
        <f>IFERROR(VLOOKUP(O6,'Statement of Marks'!$B$7:'Statement of Marks'!$IC$206,2,0),"")</f>
        <v>A</v>
      </c>
      <c r="Q5" s="338"/>
      <c r="R5" s="338"/>
      <c r="S5" s="339"/>
      <c r="T5" s="340"/>
      <c r="U5" s="337"/>
      <c r="AB5" s="1535"/>
      <c r="AC5" s="1536"/>
      <c r="AD5" s="1537"/>
      <c r="AH5" s="777">
        <f>O8</f>
        <v>40461</v>
      </c>
    </row>
    <row r="6" spans="2:43" ht="19.5" customHeight="1">
      <c r="B6" s="1559" t="str">
        <f>IF('School Profile'!$D$12="Hindi","विद्यार्थी का नाम :-","Student's Name :-")</f>
        <v>विद्यार्थी का नाम :-</v>
      </c>
      <c r="C6" s="1559"/>
      <c r="D6" s="1559"/>
      <c r="E6" s="1559"/>
      <c r="F6" s="1558" t="str">
        <f>IFERROR(VLOOKUP(O6,'Statement of Marks'!$B$7:'Statement of Marks'!$IC$206,5,0),"")</f>
        <v>RAHUL JAT</v>
      </c>
      <c r="G6" s="1558"/>
      <c r="H6" s="1558"/>
      <c r="I6" s="1558"/>
      <c r="J6" s="1558"/>
      <c r="K6" s="1558"/>
      <c r="L6" s="1558"/>
      <c r="M6" s="1565" t="str">
        <f>IF('School Profile'!$D$12="Hindi","रोल नंबर :-","Roll No. :")</f>
        <v>रोल नंबर :-</v>
      </c>
      <c r="N6" s="1565"/>
      <c r="O6" s="1564">
        <v>901</v>
      </c>
      <c r="P6" s="1564"/>
      <c r="Q6" s="338"/>
      <c r="R6" s="338"/>
      <c r="S6" s="339"/>
      <c r="T6" s="340"/>
      <c r="U6" s="337"/>
      <c r="AB6" s="1535"/>
      <c r="AC6" s="1536"/>
      <c r="AD6" s="1537"/>
      <c r="AG6">
        <f>YEAR(AH5)</f>
        <v>2010</v>
      </c>
      <c r="AH6">
        <f>MONTH(AH5)</f>
        <v>10</v>
      </c>
      <c r="AI6">
        <f>DAY(AH5)</f>
        <v>10</v>
      </c>
    </row>
    <row r="7" spans="2:43" ht="18.75" customHeight="1">
      <c r="B7" s="1559" t="str">
        <f>IF('School Profile'!$D$12="Hindi","पिता का नाम :-","Father's Name :-")</f>
        <v>पिता का नाम :-</v>
      </c>
      <c r="C7" s="1559"/>
      <c r="D7" s="1559"/>
      <c r="E7" s="1559"/>
      <c r="F7" s="1558" t="str">
        <f>IFERROR(VLOOKUP(O6,'Statement of Marks'!$B$7:'Statement of Marks'!$IC$206,6,0),"")</f>
        <v>HL JAT</v>
      </c>
      <c r="G7" s="1558"/>
      <c r="H7" s="1558"/>
      <c r="I7" s="1558"/>
      <c r="J7" s="1558"/>
      <c r="K7" s="1558"/>
      <c r="L7" s="1558"/>
      <c r="M7" s="1565" t="str">
        <f>IF('School Profile'!$D$12="Hindi","प्रवेशांक :","SR. NO. :")</f>
        <v>प्रवेशांक :</v>
      </c>
      <c r="N7" s="1565"/>
      <c r="O7" s="1543">
        <f>IFERROR(VLOOKUP(O6,'Statement of Marks'!$B$7:'Statement of Marks'!$IC$206,3,0),"")</f>
        <v>521</v>
      </c>
      <c r="P7" s="1543"/>
      <c r="Q7" s="341"/>
      <c r="R7" s="341"/>
      <c r="S7" s="339"/>
      <c r="T7" s="340"/>
      <c r="U7" s="337"/>
      <c r="AB7" s="1535"/>
      <c r="AC7" s="1536"/>
      <c r="AD7" s="1537"/>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दस</v>
      </c>
      <c r="AH7" t="str">
        <f>IF(AH6=1,"जनवरी",IF(AH6=2,"फरवरी",IF(AH6=3,"मार्च",IF(AH6=4,"अप्रैल",IF(AH6=5,"मई",IF(AH6=6,"जून",IF(AH6=7,"जुलाई",IF(AH6=8,"अगस्त",IF(AH6=9,"सितम्बर",IF(AH6=10,"अक्टूबर",IF(AH6=11,"नवम्बर",IF(AH6=12,"दिसम्बर",""))))))))))))</f>
        <v>अक्टूबर</v>
      </c>
      <c r="AI7"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दस</v>
      </c>
    </row>
    <row r="8" spans="2:43" ht="18.75" customHeight="1" thickBot="1">
      <c r="B8" s="1559" t="str">
        <f>IF('School Profile'!$D$12="Hindi","माता का नाम :-","Mother's Name :-")</f>
        <v>माता का नाम :-</v>
      </c>
      <c r="C8" s="1559"/>
      <c r="D8" s="1559"/>
      <c r="E8" s="1559"/>
      <c r="F8" s="1558" t="str">
        <f>IFERROR(VLOOKUP(O6,'Statement of Marks'!$B$7:'Statement of Marks'!$IC$206,7,0),"")</f>
        <v>LALI</v>
      </c>
      <c r="G8" s="1558"/>
      <c r="H8" s="1558"/>
      <c r="I8" s="1558"/>
      <c r="J8" s="1558"/>
      <c r="K8" s="1558"/>
      <c r="L8" s="1558"/>
      <c r="M8" s="1565" t="str">
        <f>IF('School Profile'!$D$12="Hindi","जन्म तिथि :","Date of Birth :")</f>
        <v>जन्म तिथि :</v>
      </c>
      <c r="N8" s="1565"/>
      <c r="O8" s="1541">
        <f>IFERROR(VLOOKUP(O6,'Statement of Marks'!$B$7:'Statement of Marks'!$IC$206,4,0),"")</f>
        <v>40461</v>
      </c>
      <c r="P8" s="1541"/>
      <c r="Q8" s="1541"/>
      <c r="R8" s="1542"/>
      <c r="S8" s="342"/>
      <c r="T8" s="343"/>
      <c r="U8" s="337"/>
      <c r="AB8" s="1535"/>
      <c r="AC8" s="1536"/>
      <c r="AD8" s="1537"/>
      <c r="AH8" t="str">
        <f>CONCATENATE(AI7," ",AH7," ",AG7)</f>
        <v>दस अक्टूबर दो हजार दस</v>
      </c>
    </row>
    <row r="9" spans="2:43" ht="18.75" customHeight="1">
      <c r="B9" s="671"/>
      <c r="C9" s="671"/>
      <c r="D9" s="671"/>
      <c r="E9" s="671"/>
      <c r="F9" s="732"/>
      <c r="G9" s="732"/>
      <c r="H9" s="732"/>
      <c r="I9" s="732"/>
      <c r="J9" s="732"/>
      <c r="K9" s="732"/>
      <c r="L9" s="1565" t="str">
        <f>IF('School Profile'!$D$12="Hindi","जन्मतिथि शब्दों में :-","Date of Birth in Words :-")</f>
        <v>जन्मतिथि शब्दों में :-</v>
      </c>
      <c r="M9" s="1565"/>
      <c r="N9" s="1565"/>
      <c r="O9" s="1548" t="str">
        <f>IFERROR(IF('School Profile'!$D$12="Hindi",AH8,AH10),"")</f>
        <v>दस अक्टूबर दो हजार दस</v>
      </c>
      <c r="P9" s="1548"/>
      <c r="Q9" s="1548"/>
      <c r="R9" s="1548"/>
      <c r="S9" s="1548"/>
      <c r="T9" s="1548"/>
      <c r="U9" s="1548"/>
      <c r="AB9" s="1535"/>
      <c r="AC9" s="1536"/>
      <c r="AD9" s="1537"/>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TEN</v>
      </c>
      <c r="AH9" t="str">
        <f>IF(AH6=1,"JANUARY",IF(AH6=2,"FEBUARY", IF(AH6=3,"MARCH",IF(AH6=4,"APRIL",IF(AH6=5,"MAY",IF(AH6=6,"JUNE",IF(AH6=7,"JULY",IF(AH6=8,"AUGUST",IF(AH6=9,"SEPTEMBER",IF(AH6=10,"OCTOBER",IF(AH6=11,"NOVEMBER",IF(AH6=12,"DECEMBER",""))))))))))))</f>
        <v>OCTOBER</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10TH</v>
      </c>
    </row>
    <row r="10" spans="2:43" ht="4.5" customHeight="1" thickBot="1">
      <c r="B10" s="344"/>
      <c r="C10" s="344"/>
      <c r="D10" s="344"/>
      <c r="E10" s="344"/>
      <c r="F10" s="396"/>
      <c r="G10" s="648"/>
      <c r="H10" s="396"/>
      <c r="I10" s="396"/>
      <c r="J10" s="399"/>
      <c r="K10" s="396"/>
      <c r="L10" s="396"/>
      <c r="M10" s="396"/>
      <c r="N10" s="399"/>
      <c r="O10" s="346"/>
      <c r="P10" s="346"/>
      <c r="Q10" s="346"/>
      <c r="R10" s="346"/>
      <c r="S10" s="337"/>
      <c r="T10" s="337"/>
      <c r="U10" s="337"/>
      <c r="AB10" s="1535"/>
      <c r="AC10" s="1536"/>
      <c r="AD10" s="1537"/>
      <c r="AH10" t="str">
        <f>CONCATENATE(AH9," ",AI9,", ",AG9)</f>
        <v>OCTOBER 10TH, TWO THOUSAND TEN</v>
      </c>
    </row>
    <row r="11" spans="2:43" ht="18" customHeight="1">
      <c r="B11" s="1607" t="str">
        <f>IF('School Profile'!$D$12="Hindi","विषय का नाम","Subject Name")</f>
        <v>विषय का नाम</v>
      </c>
      <c r="C11" s="1544"/>
      <c r="D11" s="1544"/>
      <c r="E11" s="1554" t="str">
        <f>IF('School Profile'!$D$12="Hindi","सामयिक परख","Seasonal Exam")</f>
        <v>सामयिक परख</v>
      </c>
      <c r="F11" s="1554"/>
      <c r="G11" s="1554"/>
      <c r="H11" s="1554"/>
      <c r="I11" s="1554" t="str">
        <f>IF('School Profile'!$D$12="Hindi","अर्द्धवार्षिक","Half Yearly")</f>
        <v>अर्द्धवार्षिक</v>
      </c>
      <c r="J11" s="1554"/>
      <c r="K11" s="1554"/>
      <c r="L11" s="1555" t="str">
        <f>IF('School Profile'!$D$12="Hindi","अर्द्ध वा. तक योग","Total Till H.Y.")</f>
        <v>अर्द्ध वा. तक योग</v>
      </c>
      <c r="M11" s="1554" t="str">
        <f>IF('School Profile'!$D$12="Hindi","वार्षिक","Yearly")</f>
        <v>वार्षिक</v>
      </c>
      <c r="N11" s="1554"/>
      <c r="O11" s="1554"/>
      <c r="P11" s="1549" t="str">
        <f>IF('School Profile'!$D$12="Hindi","विषय कुल योग ","Subject Total")</f>
        <v xml:space="preserve">विषय कुल योग </v>
      </c>
      <c r="Q11" s="1551" t="str">
        <f>IF('School Profile'!$D$12="Hindi","विषय परिणाम / विषय श्रेणी","Sub. Result /  Sub. Div.")</f>
        <v>विषय परिणाम / विषय श्रेणी</v>
      </c>
      <c r="R11" s="1544" t="str">
        <f>IF('School Profile'!$D$12="Hindi","विशेष योग्यता प्राप्त विषय","Distinction Marks  Subject")</f>
        <v>विशेष योग्यता प्राप्त विषय</v>
      </c>
      <c r="S11" s="1544"/>
      <c r="T11" s="1544" t="str">
        <f>IF('School Profile'!$D$12="Hindi","पूरक विषय","Supplementary Subject")</f>
        <v>पूरक विषय</v>
      </c>
      <c r="U11" s="1545"/>
      <c r="AB11" s="1535"/>
      <c r="AC11" s="1536"/>
      <c r="AD11" s="1537"/>
    </row>
    <row r="12" spans="2:43" ht="64.5" customHeight="1">
      <c r="B12" s="1608"/>
      <c r="C12" s="1521"/>
      <c r="D12" s="1521"/>
      <c r="E12" s="704" t="str">
        <f>IF('School Profile'!$D$12="Hindi","प्रथम परख ","First Test")</f>
        <v xml:space="preserve">प्रथम परख </v>
      </c>
      <c r="F12" s="704" t="str">
        <f>IF('School Profile'!$D$12="Hindi","द्वितीय परख","Second Test")</f>
        <v>द्वितीय परख</v>
      </c>
      <c r="G12" s="704" t="str">
        <f>IF('School Profile'!$D$12="Hindi","तृतीय परख","Third Test")</f>
        <v>तृतीय परख</v>
      </c>
      <c r="H12" s="705" t="str">
        <f>IF('School Profile'!$D$12="Hindi","सा. परख योग","Test Total")</f>
        <v>सा. परख योग</v>
      </c>
      <c r="I12" s="704" t="str">
        <f>IF('School Profile'!$D$12="Hindi","सैद्धान्तिक","Theoretical")</f>
        <v>सैद्धान्तिक</v>
      </c>
      <c r="J12" s="704" t="str">
        <f>IF('School Profile'!$D$12="Hindi","प्रायोगिक","Practical")</f>
        <v>प्रायोगिक</v>
      </c>
      <c r="K12" s="706" t="str">
        <f>IF('School Profile'!$D$12="Hindi","अर्द्धवार्षिक योग","H.Y.  Total")</f>
        <v>अर्द्धवार्षिक योग</v>
      </c>
      <c r="L12" s="1556"/>
      <c r="M12" s="658" t="str">
        <f>IF('School Profile'!$D$12="Hindi","सैद्धान्तिक","Theoretical")</f>
        <v>सैद्धान्तिक</v>
      </c>
      <c r="N12" s="658" t="str">
        <f>IF('School Profile'!$D$12="Hindi","प्रायोगिक","Practical")</f>
        <v>प्रायोगिक</v>
      </c>
      <c r="O12" s="659" t="str">
        <f>IF('School Profile'!$D$12="Hindi","वार्षिक योग","Yearly  Total")</f>
        <v>वार्षिक योग</v>
      </c>
      <c r="P12" s="1550"/>
      <c r="Q12" s="1552"/>
      <c r="R12" s="1521"/>
      <c r="S12" s="1521"/>
      <c r="T12" s="1521"/>
      <c r="U12" s="1546"/>
      <c r="Z12" s="21"/>
      <c r="AB12" s="1535"/>
      <c r="AC12" s="1536"/>
      <c r="AD12" s="1537"/>
    </row>
    <row r="13" spans="2:43" ht="17.25" customHeight="1" thickBot="1">
      <c r="B13" s="1568" t="s">
        <v>253</v>
      </c>
      <c r="C13" s="1569"/>
      <c r="D13" s="1569"/>
      <c r="E13" s="663">
        <v>10</v>
      </c>
      <c r="F13" s="663">
        <v>10</v>
      </c>
      <c r="G13" s="663">
        <v>10</v>
      </c>
      <c r="H13" s="663">
        <v>30</v>
      </c>
      <c r="I13" s="665" t="s">
        <v>251</v>
      </c>
      <c r="J13" s="661">
        <v>35</v>
      </c>
      <c r="K13" s="660">
        <v>70</v>
      </c>
      <c r="L13" s="661">
        <v>100</v>
      </c>
      <c r="M13" s="664" t="s">
        <v>252</v>
      </c>
      <c r="N13" s="663">
        <v>50</v>
      </c>
      <c r="O13" s="660">
        <v>100</v>
      </c>
      <c r="P13" s="662">
        <v>200</v>
      </c>
      <c r="Q13" s="1553"/>
      <c r="R13" s="1521"/>
      <c r="S13" s="1521"/>
      <c r="T13" s="1521"/>
      <c r="U13" s="1546"/>
      <c r="Z13" s="21"/>
      <c r="AB13" s="1538"/>
      <c r="AC13" s="1539"/>
      <c r="AD13" s="1540"/>
    </row>
    <row r="14" spans="2:43" ht="18.95" customHeight="1">
      <c r="B14" s="1570" t="str">
        <f>'Statement of Marks'!K3</f>
        <v>हिंदी</v>
      </c>
      <c r="C14" s="1571"/>
      <c r="D14" s="1571"/>
      <c r="E14" s="26">
        <f>IFERROR(VLOOKUP(O6,'Statement of Marks'!$B$7:'Statement of Marks'!$IC$206,10,0),"")</f>
        <v>8</v>
      </c>
      <c r="F14" s="26">
        <f>IFERROR(VLOOKUP(O6,'Statement of Marks'!$B$7:'Statement of Marks'!$IC$206,11,0),"")</f>
        <v>10</v>
      </c>
      <c r="G14" s="26">
        <f>IFERROR(VLOOKUP(O6,'Statement of Marks'!$B$7:'Statement of Marks'!$IC$206,12,0),"")</f>
        <v>8</v>
      </c>
      <c r="H14" s="26">
        <f>IFERROR(VLOOKUP(O6,'Statement of Marks'!$B$7:'Statement of Marks'!$IC$206,13,0),"")</f>
        <v>26</v>
      </c>
      <c r="I14" s="26">
        <f>IFERROR(VLOOKUP(O6,'Statement of Marks'!$B$7:'Statement of Marks'!$IC$206,14,0),"")</f>
        <v>46</v>
      </c>
      <c r="J14" s="26"/>
      <c r="K14" s="347">
        <f>IF(O6="","",IF(AND(I14="",J14=""),"",SUM(I14,J14)))</f>
        <v>46</v>
      </c>
      <c r="L14" s="679">
        <f>IFERROR(IF(O6="","",IF(AND(H14="",K14=""),"",SUM(H14,K14))),"")</f>
        <v>72</v>
      </c>
      <c r="M14" s="26">
        <f>IFERROR(VLOOKUP(O6,'Statement of Marks'!$B$7:'Statement of Marks'!$IC$206,16,0),"")</f>
        <v>70</v>
      </c>
      <c r="N14" s="26"/>
      <c r="O14" s="347">
        <f>IF(O6="","",IF(AND(M14="",N14=""),"",SUM(M14,N14)))</f>
        <v>70</v>
      </c>
      <c r="P14" s="674">
        <f>IFERROR(VLOOKUP(O6,'Statement of Marks'!$B$7:'Statement of Marks'!$IC$206,17,0),"")</f>
        <v>142</v>
      </c>
      <c r="Q14" s="680" t="str">
        <f>IFERROR(IF(P14="","",IF(VLOOKUP(O6,'Statement of Marks'!$B$7:'Statement of Marks'!$IC$206,195,0)="D","I",IF(VLOOKUP(O6,'Statement of Marks'!$B$7:'Statement of Marks'!$IC$206,195,0)="G1","G",IF(VLOOKUP(O6,'Statement of Marks'!$B$7:'Statement of Marks'!$IC$206,195,0)="G2","G",VLOOKUP(O6,'Statement of Marks'!$B$7:'Statement of Marks'!$IC$206,195,0))))),"")</f>
        <v>I</v>
      </c>
      <c r="R14" s="1514" t="str">
        <f t="shared" ref="R14:R19" si="0">IF(AND(P14=""),"",IF(AND(P14&gt;=$P$13*75%),B14,""))</f>
        <v/>
      </c>
      <c r="S14" s="1514"/>
      <c r="T14" s="1508" t="str">
        <f>IFERROR(VLOOKUP(O6,'Statement of Marks'!$B$7:'Statement of Marks'!$IC$206,222,0),"")</f>
        <v xml:space="preserve">      </v>
      </c>
      <c r="U14" s="1509"/>
    </row>
    <row r="15" spans="2:43" ht="18.95" customHeight="1">
      <c r="B15" s="1572" t="str">
        <f>'Statement of Marks'!Y3</f>
        <v>अंग्रेजी</v>
      </c>
      <c r="C15" s="1573"/>
      <c r="D15" s="1573"/>
      <c r="E15" s="26">
        <f>IFERROR(VLOOKUP(O6,'Statement of Marks'!$B$7:'Statement of Marks'!$IC$206,24,0),"")</f>
        <v>8</v>
      </c>
      <c r="F15" s="26">
        <f>IFERROR(VLOOKUP(O6,'Statement of Marks'!$B$7:'Statement of Marks'!$IC$206,25,0),"")</f>
        <v>10</v>
      </c>
      <c r="G15" s="26">
        <f>IFERROR(VLOOKUP(O6,'Statement of Marks'!$B$7:'Statement of Marks'!$IC$206,26,0),"")</f>
        <v>10</v>
      </c>
      <c r="H15" s="26">
        <f>IFERROR(VLOOKUP(O6,'Statement of Marks'!$B$7:'Statement of Marks'!$IC$206,27,0),"")</f>
        <v>28</v>
      </c>
      <c r="I15" s="26">
        <f>IFERROR(VLOOKUP(O6,'Statement of Marks'!$B$7:'Statement of Marks'!$IC$206,28,0),"")</f>
        <v>46</v>
      </c>
      <c r="J15" s="26"/>
      <c r="K15" s="347">
        <f>IF(O6="","",IF(AND(I15="",J15=""),"",SUM(I15,J15)))</f>
        <v>46</v>
      </c>
      <c r="L15" s="679">
        <f>IFERROR(IF(O6="","",IF(AND(H15="",K15=""),"",SUM(H15,K15))),"")</f>
        <v>74</v>
      </c>
      <c r="M15" s="26">
        <f>IFERROR(VLOOKUP(O6,'Statement of Marks'!$B$7:'Statement of Marks'!$IC$206,30,0),"")</f>
        <v>70</v>
      </c>
      <c r="N15" s="26"/>
      <c r="O15" s="347">
        <f>IF(O6="","",IF(AND(M15="",N15=""),"",SUM(M15,N15)))</f>
        <v>70</v>
      </c>
      <c r="P15" s="674">
        <f>IFERROR(VLOOKUP(O6,'Statement of Marks'!$B$7:'Statement of Marks'!$IC$206,31,0),"")</f>
        <v>144</v>
      </c>
      <c r="Q15" s="680" t="str">
        <f>IFERROR(IF(P14="","",IF(VLOOKUP(O6,'Statement of Marks'!$B$7:'Statement of Marks'!$IC$206,198,0)="D","I",IF(VLOOKUP(O6,'Statement of Marks'!$B$7:'Statement of Marks'!$IC$206,198,0)="G1","G",IF(VLOOKUP(O6,'Statement of Marks'!$B$7:'Statement of Marks'!$IC$206,198,0)="G2","G",VLOOKUP(O6,'Statement of Marks'!$B$7:'Statement of Marks'!$IC$206,198,0))))),"")</f>
        <v>I</v>
      </c>
      <c r="R15" s="1514" t="str">
        <f t="shared" si="0"/>
        <v/>
      </c>
      <c r="S15" s="1514"/>
      <c r="T15" s="1510"/>
      <c r="U15" s="1511"/>
      <c r="AQ15"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PASS  and Promoted to Class 10th</v>
      </c>
    </row>
    <row r="16" spans="2:43" ht="18.95" customHeight="1">
      <c r="B16" s="1572" t="str">
        <f>IFERROR(VLOOKUP(O6,'Statement of Marks'!$B$7:'Statement of Marks'!$IC$206,38,0),"")</f>
        <v>संस्कृत (71)</v>
      </c>
      <c r="C16" s="1573"/>
      <c r="D16" s="1573"/>
      <c r="E16" s="26">
        <f>IFERROR(VLOOKUP(O6,'Statement of Marks'!$B$7:'Statement of Marks'!$IC$206,39,0),"")</f>
        <v>8</v>
      </c>
      <c r="F16" s="26">
        <f>IFERROR(VLOOKUP(O6,'Statement of Marks'!$B$7:'Statement of Marks'!$IC$206,40,0),"")</f>
        <v>7</v>
      </c>
      <c r="G16" s="26">
        <f>IFERROR(VLOOKUP(O6,'Statement of Marks'!$B$7:'Statement of Marks'!$IC$206,41,0),"")</f>
        <v>10</v>
      </c>
      <c r="H16" s="26">
        <f>IFERROR(VLOOKUP(O6,'Statement of Marks'!$B$7:'Statement of Marks'!$IC$206,42,0),"")</f>
        <v>25</v>
      </c>
      <c r="I16" s="26">
        <f>IFERROR(VLOOKUP(O6,'Statement of Marks'!$B$7:'Statement of Marks'!$IC$206,43,0),"")</f>
        <v>46</v>
      </c>
      <c r="J16" s="26"/>
      <c r="K16" s="347">
        <f>IF(O6="","",IF(AND(I16="",J16=""),"",SUM(I16,J16)))</f>
        <v>46</v>
      </c>
      <c r="L16" s="679">
        <f>IFERROR(IF(O6="","",IF(AND(H16="",K16=""),"",SUM(H16,K16))),"")</f>
        <v>71</v>
      </c>
      <c r="M16" s="26">
        <f>IFERROR(VLOOKUP(O6,'Statement of Marks'!$B$7:'Statement of Marks'!$IC$206,45,0),"")</f>
        <v>70</v>
      </c>
      <c r="N16" s="26"/>
      <c r="O16" s="347">
        <f>IF(O6="","",IF(AND(M16="",N16=""),"",SUM(M16,N16)))</f>
        <v>70</v>
      </c>
      <c r="P16" s="674">
        <f>IFERROR(VLOOKUP(O6,'Statement of Marks'!$B$7:'Statement of Marks'!$IC$206,46,0),"")</f>
        <v>141</v>
      </c>
      <c r="Q16" s="680" t="str">
        <f>IFERROR(IF(P14="","",IF(VLOOKUP(O6,'Statement of Marks'!$B$7:'Statement of Marks'!$IC$206,201,0)="D","I",IF(VLOOKUP(O6,'Statement of Marks'!$B$7:'Statement of Marks'!$IC$206,201,0)="G1","G",IF(VLOOKUP(O6,'Statement of Marks'!$B$7:'Statement of Marks'!$IC$206,201,0)="G2","G",VLOOKUP(O6,'Statement of Marks'!$B$7:'Statement of Marks'!$IC$206,201,0))))),"")</f>
        <v>I</v>
      </c>
      <c r="R16" s="1514" t="str">
        <f t="shared" si="0"/>
        <v/>
      </c>
      <c r="S16" s="1514"/>
      <c r="T16" s="1510"/>
      <c r="U16" s="1511"/>
      <c r="W16" s="649"/>
      <c r="AQ16" s="6" t="str">
        <f>IFERROR(IF(VLOOKUP(O6,'Statement of Marks'!$B$7:'Statement of Marks'!$IC$206,226,0)="By Grace Pass","सानुग्रह उतीर्ण एवं कक्षा 10 में क्रमोन्नत",IF(VLOOKUP(O6,'Statement of Marks'!$B$7:'Statement of Marks'!$IC$206,226,0)="PASS","उतीर्ण एवं कक्षा 10 में क्रमोन्नत",IF(VLOOKUP(O6,'Statement of Marks'!$B$7:'Statement of Marks'!$IC$206,226,0)="SUPPLEMENTARY","पूरक",IF(VLOOKUP(O6,'Statement of Marks'!$B$7:'Statement of Marks'!$IC$206,226,0)="Re-Exam","पुनः परीक्षा",IF(VLOOKUP(O6,'Statement of Marks'!$B$7:'Statement of Marks'!$IC$206,226,0)="FAIL","अनुतीर्ण",""))))),"")</f>
        <v>उतीर्ण एवं कक्षा 10 में क्रमोन्नत</v>
      </c>
    </row>
    <row r="17" spans="2:44" ht="18.95" customHeight="1">
      <c r="B17" s="1572" t="str">
        <f>'Statement of Marks'!BB3</f>
        <v>गणित</v>
      </c>
      <c r="C17" s="1573"/>
      <c r="D17" s="1573"/>
      <c r="E17" s="26">
        <f>IFERROR(VLOOKUP(O6,'Statement of Marks'!$B$7:'Statement of Marks'!$IC$206,53,0),"")</f>
        <v>8</v>
      </c>
      <c r="F17" s="26">
        <f>IFERROR(VLOOKUP(O6,'Statement of Marks'!$B$7:'Statement of Marks'!$IC$206,54,0),"")</f>
        <v>10</v>
      </c>
      <c r="G17" s="26">
        <f>IFERROR(VLOOKUP(O6,'Statement of Marks'!$B$7:'Statement of Marks'!$IC$206,55,0),"")</f>
        <v>8</v>
      </c>
      <c r="H17" s="26">
        <f>IFERROR(VLOOKUP(O6,'Statement of Marks'!$B$7:'Statement of Marks'!$IC$206,56,0),"")</f>
        <v>26</v>
      </c>
      <c r="I17" s="26">
        <f>IFERROR(VLOOKUP(O6,'Statement of Marks'!$B$7:'Statement of Marks'!$IC$206,57,0),"")</f>
        <v>46</v>
      </c>
      <c r="J17" s="26"/>
      <c r="K17" s="347">
        <f>IF(O6="","",IF(AND(I17="",J17=""),"",SUM(I17,J17)))</f>
        <v>46</v>
      </c>
      <c r="L17" s="679">
        <f>IFERROR(IF(O6="","",IF(AND(H17="",K17=""),"",SUM(H17,K17))),"")</f>
        <v>72</v>
      </c>
      <c r="M17" s="26">
        <f>IFERROR(VLOOKUP(O6,'Statement of Marks'!$B$7:'Statement of Marks'!$IC$206,59,0),"")</f>
        <v>70</v>
      </c>
      <c r="N17" s="26"/>
      <c r="O17" s="347">
        <f>IF(O6="","",IF(AND(M17="",N17=""),"",SUM(M17,N17)))</f>
        <v>70</v>
      </c>
      <c r="P17" s="674">
        <f>IFERROR(VLOOKUP(O6,'Statement of Marks'!$B$7:'Statement of Marks'!$IC$206,60,0),"")</f>
        <v>142</v>
      </c>
      <c r="Q17" s="680" t="str">
        <f>IFERROR(IF(P14="","",IF(VLOOKUP(O6,'Statement of Marks'!$B$7:'Statement of Marks'!$IC$206,209,0)="D","I",IF(VLOOKUP(O6,'Statement of Marks'!$B$7:'Statement of Marks'!$IC$206,209,0)="G1","G",IF(VLOOKUP(O6,'Statement of Marks'!$B$7:'Statement of Marks'!$IC$206,209,0)="G2","G",VLOOKUP(O6,'Statement of Marks'!$B$7:'Statement of Marks'!$IC$206,209,0))))),"")</f>
        <v>I</v>
      </c>
      <c r="R17" s="1514" t="str">
        <f t="shared" si="0"/>
        <v/>
      </c>
      <c r="S17" s="1514"/>
      <c r="T17" s="1510"/>
      <c r="U17" s="1511"/>
      <c r="AQ17" s="6" t="str">
        <f>IF('School Profile'!$D$12="Hindi",AQ16,AQ15)</f>
        <v>उतीर्ण एवं कक्षा 10 में क्रमोन्नत</v>
      </c>
    </row>
    <row r="18" spans="2:44" ht="18.95" customHeight="1">
      <c r="B18" s="1572" t="str">
        <f>'Statement of Marks'!BP3</f>
        <v>विज्ञान</v>
      </c>
      <c r="C18" s="1573"/>
      <c r="D18" s="1573"/>
      <c r="E18" s="26">
        <f>IFERROR(VLOOKUP(O6,'Statement of Marks'!$B$7:'Statement of Marks'!$IC$206,67,0),"")</f>
        <v>8</v>
      </c>
      <c r="F18" s="26">
        <f>IFERROR(VLOOKUP(O6,'Statement of Marks'!$B$7:'Statement of Marks'!$IC$206,68,0),"")</f>
        <v>10</v>
      </c>
      <c r="G18" s="26">
        <f>IFERROR(VLOOKUP(O6,'Statement of Marks'!$B$7:'Statement of Marks'!$IC$206,69,0),"")</f>
        <v>9</v>
      </c>
      <c r="H18" s="26">
        <f>IFERROR(VLOOKUP(O6,'Statement of Marks'!$B$7:'Statement of Marks'!$IC$206,70,0),"")</f>
        <v>27</v>
      </c>
      <c r="I18" s="26">
        <f>IFERROR(VLOOKUP(O6,'Statement of Marks'!$B$7:'Statement of Marks'!$IC$206,71,0),"")</f>
        <v>46</v>
      </c>
      <c r="J18" s="26"/>
      <c r="K18" s="347">
        <f>IF(O6="","",IF(AND(I18="",J18=""),"",SUM(I18,J18)))</f>
        <v>46</v>
      </c>
      <c r="L18" s="679">
        <f>IFERROR(IF(O6="","",IF(AND(H18="",K18=""),"",SUM(H18,K18))),"")</f>
        <v>73</v>
      </c>
      <c r="M18" s="26">
        <f>IFERROR(VLOOKUP(O6,'Statement of Marks'!$B$7:'Statement of Marks'!$IC$206,73,0),"")</f>
        <v>70</v>
      </c>
      <c r="N18" s="26"/>
      <c r="O18" s="347">
        <f>IF(O6="","",IF(AND(M18="",N18=""),"",SUM(M18,N18)))</f>
        <v>70</v>
      </c>
      <c r="P18" s="674">
        <f>IFERROR(VLOOKUP(O6,'Statement of Marks'!$B$7:'Statement of Marks'!$IC$206,74,0),"")</f>
        <v>143</v>
      </c>
      <c r="Q18" s="680" t="str">
        <f>IFERROR(IF(P14="","",IF(VLOOKUP(O6,'Statement of Marks'!$B$7:'Statement of Marks'!$IC$206,212,0)="D","I",IF(VLOOKUP(O6,'Statement of Marks'!$B$7:'Statement of Marks'!$IC$206,212,0)="G1","G",IF(VLOOKUP(O6,'Statement of Marks'!$B$7:'Statement of Marks'!$IC$206,212,0)="G2","G",VLOOKUP(O6,'Statement of Marks'!$B$7:'Statement of Marks'!$IC$206,212,0))))),"")</f>
        <v>I</v>
      </c>
      <c r="R18" s="1514" t="str">
        <f t="shared" si="0"/>
        <v/>
      </c>
      <c r="S18" s="1514"/>
      <c r="T18" s="1510"/>
      <c r="U18" s="1511"/>
    </row>
    <row r="19" spans="2:44" ht="18.95" customHeight="1">
      <c r="B19" s="1579" t="str">
        <f>'Statement of Marks'!CE3</f>
        <v>सामाजिक विज्ञान</v>
      </c>
      <c r="C19" s="1580"/>
      <c r="D19" s="402" t="str">
        <f>IF(AND(O6=""),"",IF(OR(B21="",P21=""),"",IF(AND(P19&gt;=P21),"*","")))</f>
        <v/>
      </c>
      <c r="E19" s="26">
        <f>IFERROR(VLOOKUP(O6,'Statement of Marks'!$B$7:'Statement of Marks'!$IC$206,82,0),"")</f>
        <v>9</v>
      </c>
      <c r="F19" s="26">
        <f>IFERROR(VLOOKUP(O6,'Statement of Marks'!$B$7:'Statement of Marks'!$IC$206,83,0),"")</f>
        <v>9</v>
      </c>
      <c r="G19" s="26">
        <f>IFERROR(VLOOKUP(O6,'Statement of Marks'!$B$7:'Statement of Marks'!$IC$206,84,0),"")</f>
        <v>9</v>
      </c>
      <c r="H19" s="26">
        <f>IFERROR(VLOOKUP(O6,'Statement of Marks'!$B$7:'Statement of Marks'!$IC$206,85,0),"")</f>
        <v>27</v>
      </c>
      <c r="I19" s="26">
        <f>IFERROR(VLOOKUP(O6,'Statement of Marks'!$B$7:'Statement of Marks'!$IC$206,86,0),"")</f>
        <v>46</v>
      </c>
      <c r="J19" s="26"/>
      <c r="K19" s="347">
        <f>IF(O6="","",IF(AND(I19="",J19=""),"",SUM(I19,J19)))</f>
        <v>46</v>
      </c>
      <c r="L19" s="679">
        <f>IFERROR(IF(O6="","",IF(AND(H19="",K19=""),"",SUM(H19,K19))),"")</f>
        <v>73</v>
      </c>
      <c r="M19" s="26">
        <f>IFERROR(VLOOKUP(O6,'Statement of Marks'!$B$7:'Statement of Marks'!$IC$206,88,0),"")</f>
        <v>70</v>
      </c>
      <c r="N19" s="26"/>
      <c r="O19" s="347">
        <f>IF(O6="","",IF(AND(M19="",N19=""),"",SUM(M19,N19)))</f>
        <v>70</v>
      </c>
      <c r="P19" s="674">
        <f>IFERROR(VLOOKUP(O6,'Statement of Marks'!$B$7:'Statement of Marks'!$IC$206,89,0),"")</f>
        <v>143</v>
      </c>
      <c r="Q19" s="680" t="str">
        <f>IFERROR(IF(P14="","",IF(VLOOKUP(O6,'Statement of Marks'!$B$7:'Statement of Marks'!$IC$206,215,0)="D","I",IF(VLOOKUP(O6,'Statement of Marks'!$B$7:'Statement of Marks'!$IC$206,215,0)="G1","G",IF(VLOOKUP(O6,'Statement of Marks'!$B$7:'Statement of Marks'!$IC$206,215,0)="G2","G",VLOOKUP(O6,'Statement of Marks'!$B$7:'Statement of Marks'!$IC$206,215,0))))),"")</f>
        <v>I</v>
      </c>
      <c r="R19" s="1514" t="str">
        <f t="shared" si="0"/>
        <v/>
      </c>
      <c r="S19" s="1514"/>
      <c r="T19" s="1510"/>
      <c r="U19" s="1511"/>
    </row>
    <row r="20" spans="2:44" ht="14.25" customHeight="1">
      <c r="B20" s="1576" t="str">
        <f>IF('School Profile'!$D$12="Hindi","व्यावसायिक शिक्षा","Vocational Education")</f>
        <v>व्यावसायिक शिक्षा</v>
      </c>
      <c r="C20" s="1577"/>
      <c r="D20" s="1577"/>
      <c r="E20" s="1577"/>
      <c r="F20" s="1577"/>
      <c r="G20" s="1577"/>
      <c r="H20" s="1577"/>
      <c r="I20" s="1577"/>
      <c r="J20" s="1577"/>
      <c r="K20" s="1577"/>
      <c r="L20" s="1577"/>
      <c r="M20" s="1577"/>
      <c r="N20" s="1577"/>
      <c r="O20" s="1577"/>
      <c r="P20" s="1577"/>
      <c r="Q20" s="1577"/>
      <c r="R20" s="1577"/>
      <c r="S20" s="1578"/>
      <c r="T20" s="1510"/>
      <c r="U20" s="1511"/>
    </row>
    <row r="21" spans="2:44" ht="18.95" customHeight="1">
      <c r="B21" s="1574" t="str">
        <f>IFERROR(VLOOKUP(O6,'Statement of Marks'!$B$7:'Statement of Marks'!$IC$206,96,0),"")</f>
        <v>BEAUTY AND HEALTH</v>
      </c>
      <c r="C21" s="1575"/>
      <c r="D21" s="398" t="str">
        <f>IF(AND(O6=""),"",IF(OR(B21="",P21=""),"",IF(AND(P21&gt;=P19),"*","")))</f>
        <v>*</v>
      </c>
      <c r="E21" s="397">
        <f>IFERROR(VLOOKUP(O6,'Statement of Marks'!$B$7:'Statement of Marks'!$IC$206,97,0),"")</f>
        <v>8</v>
      </c>
      <c r="F21" s="26">
        <f>IFERROR(VLOOKUP(O6,'Statement of Marks'!$B$7:'Statement of Marks'!$IC$206,98,0),"")</f>
        <v>8</v>
      </c>
      <c r="G21" s="26">
        <f>IFERROR(VLOOKUP(O6,'Statement of Marks'!$B$7:'Statement of Marks'!$IC$206,99,0),"")</f>
        <v>8</v>
      </c>
      <c r="H21" s="26">
        <f>IFERROR(VLOOKUP(O6,'Statement of Marks'!$B$7:'Statement of Marks'!$IC$206,100,0),"")</f>
        <v>24</v>
      </c>
      <c r="I21" s="27">
        <f>IFERROR(VLOOKUP(O6,'Statement of Marks'!$B$7:'Statement of Marks'!$IC$206,101,0),"")</f>
        <v>31</v>
      </c>
      <c r="J21" s="27">
        <f>IFERROR(VLOOKUP(O6,'Statement of Marks'!$B$7:'Statement of Marks'!$IC$206,102,0),"")</f>
        <v>32</v>
      </c>
      <c r="K21" s="347">
        <f>IFERROR(VLOOKUP(O6,'Statement of Marks'!$B$7:'Statement of Marks'!$IC$206,103,0),"")</f>
        <v>63</v>
      </c>
      <c r="L21" s="679">
        <f>IFERROR(IF(O6="","",IF(AND(H21="",K21=""),"",SUM(H21,K21))),"")</f>
        <v>87</v>
      </c>
      <c r="M21" s="26">
        <f>IFERROR(VLOOKUP(O6,'Statement of Marks'!$B$7:'Statement of Marks'!$IC$206,105,0),"")</f>
        <v>43</v>
      </c>
      <c r="N21" s="26">
        <f>IFERROR(VLOOKUP(O6,'Statement of Marks'!$B$7:'Statement of Marks'!$IC$206,106,0),"")</f>
        <v>44</v>
      </c>
      <c r="O21" s="347">
        <f>IF(O6="","",IF(AND(M21="",N21=""),"",SUM(M21,N21)))</f>
        <v>87</v>
      </c>
      <c r="P21" s="672">
        <f>IFERROR(VLOOKUP(O6,'Statement of Marks'!$B$7:'Statement of Marks'!$IC$206,108,0),"")</f>
        <v>174</v>
      </c>
      <c r="Q21" s="680" t="str">
        <f>IFERROR(IF(P14="","",IF(VLOOKUP(O6,'Statement of Marks'!$B$7:'Statement of Marks'!$IC$206,218,0)="D","I",IF(VLOOKUP(O6,'Statement of Marks'!$B$7:'Statement of Marks'!$IC$206,218,0)="G1","G",IF(VLOOKUP(O6,'Statement of Marks'!$B$7:'Statement of Marks'!$IC$206,218,0)="G2","G",VLOOKUP(O6,'Statement of Marks'!$B$7:'Statement of Marks'!$IC$206,218,0))))),"")</f>
        <v>I</v>
      </c>
      <c r="R21" s="1530" t="str">
        <f>IF(AND(P21=""),"",IF(AND(P21&gt;=$P$13*75%),B21,""))</f>
        <v>BEAUTY AND HEALTH</v>
      </c>
      <c r="S21" s="1531"/>
      <c r="T21" s="1512"/>
      <c r="U21" s="1513"/>
      <c r="AL21" s="18"/>
      <c r="AM21" s="18"/>
      <c r="AN21" s="18"/>
      <c r="AO21" s="18"/>
      <c r="AP21" s="18"/>
      <c r="AQ21" s="18"/>
      <c r="AR21" s="18"/>
    </row>
    <row r="22" spans="2:44" ht="18.95" customHeight="1">
      <c r="B22" s="1596" t="str">
        <f>IF('School Profile'!D12="Hindi","प्राप्तांक","Marks Obtained")</f>
        <v>प्राप्तांक</v>
      </c>
      <c r="C22" s="1597"/>
      <c r="D22" s="1598"/>
      <c r="E22" s="676">
        <f>IF(AND(O6=""),"",IF(AND(E14="",E15="",E16="",E17="",E18=""),"",IF(OR($B$21="",E21=""),SUM(E14:E19),IF(($P$19/$P$13*100)&gt;=($P$21/$P$13*100),SUM(E14:E19),SUM(E14,E15,E16,E17,E18,E21)))))</f>
        <v>48</v>
      </c>
      <c r="F22" s="676">
        <f>IF(AND(O6=""),"",IF(AND(F14="",F15="",F16="",F17="",F18=""),"",IF(OR($B$21="",F21=""),SUM(F14:F19),IF(($P$19/$P$13*100)&gt;=($P$21/$P$13*100),SUM(F14:F19),SUM(F14,F15,F16,F17,F18,F21)))))</f>
        <v>55</v>
      </c>
      <c r="G22" s="676">
        <f>IF(AND(O6=""),"",IF(AND(G14="",G15="",G16="",G17="",G18=""),"",IF(OR($B$21="",G21=""),SUM(G14:G19),IF(($P$19/$P$13*100)&gt;=($P$21/$P$13*100),SUM(G14:G19),SUM(G14,G15,G16,G17,G18,G21)))))</f>
        <v>53</v>
      </c>
      <c r="H22" s="676">
        <f>IF(AND(O6=""),"",IF(AND(H14="",H15="",H16="",H17="",H18=""),"",IF(OR($B$21="",H21=""),SUM(H14:H19),IF(($P$19/$P$13*100)&gt;=($P$21/$P$13*100),SUM(H14:H19),SUM(H14,H15,H16,H17,H18,H21)))))</f>
        <v>156</v>
      </c>
      <c r="I22" s="676">
        <f>IF(AND(O6=""),"",IF(AND(I14="",I15="",I16="",I17="",I18=""),"",IF(OR($B$21="",I21=""),SUM(I14:I19),IF(($P$19/$P$13*100)&gt;=($P$21/$P$13*100),SUM(I14:I19),SUM(I14,I15,I16,I17,I18,I21)))))</f>
        <v>261</v>
      </c>
      <c r="J22" s="676">
        <f>IF(AND(O6=""),"",IF('School Profile'!D20="No","",IF(OR($B$21="",J21=""),SUM(J14:J19),IF(($P$19/$P$13*100)&gt;=($P$21/$P$13*100),SUM(J14:J19),SUM(J14,J15,J16,J17,J18,J21)))))</f>
        <v>32</v>
      </c>
      <c r="K22" s="676">
        <f>IF(AND(O6=""),"",IF(AND(K14="",K15="",K16="",K17="",K18=""),"",IF(OR($B$21="",K21=""),SUM(K14:K19),IF(($P$19/$P$13*100)&gt;=($P$21/$P$13*100),SUM(K14:K19),SUM(K14,K15,K16,K17,K18,K21)))))</f>
        <v>293</v>
      </c>
      <c r="L22" s="676">
        <f>IF(AND(O6=""),"",IF(AND(L14="",L15="",L16="",L17="",L18=""),"",IF(OR($B$21="",L21=""),SUM(L14:L19),IF(($P$19/$P$13*100)&gt;=($P$21/$P$13*100),SUM(L14:L19),SUM(L14,L15,L16,L17,L18,L21)))))</f>
        <v>449</v>
      </c>
      <c r="M22" s="676">
        <f>IF(AND(O6=""),"",IF(AND(M14="",M15="",M16="",M17="",M18=""),"",IF(OR($B$21="",M21=""),SUM(M14:M19),IF(($P$19/$P$13*100)&gt;=($P$21/$P$13*100),SUM(M14:M19),SUM(M14,M15,M16,M17,M18,M21)))))</f>
        <v>393</v>
      </c>
      <c r="N22" s="676">
        <f>IF(AND(O6=""),"",IF('School Profile'!D20="No","",IF(OR($B$21="",N21=""),SUM(N14:N19),IF(($P$19/$P$13*100)&gt;=($P$21/$P$13*100),SUM(N14:N19),SUM(N14,N15,N16,N17,N18,N21)))))</f>
        <v>44</v>
      </c>
      <c r="O22" s="676">
        <f>IF(AND(O6=""),"",IF(AND(O14="",O15="",O16="",O17="",O18=""),"",IF(OR($B$21="",O21=""),SUM(O14:O19),IF(($P$19/$P$13*100)&gt;=($P$21/$P$13*100),SUM(O14:O19),SUM(O14,O15,O16,O17,O18,O21)))))</f>
        <v>437</v>
      </c>
      <c r="P22" s="677">
        <f>IF(AND(O6=""),"",IF(AND(P14="",P15="",P16="",P17="",P18=""),"",IF(OR(B21="",P21=""),SUM(P14,P15,P16,P17,P18,P19),IF((P19/$P$13*100)&gt;=(P21/$P$13*100),SUM(P14,P15,P16,P17,P18,P19),SUM(P14,P15,P16,P17,P18,P21)))))</f>
        <v>886</v>
      </c>
      <c r="Q22" s="1581" t="str">
        <f>IF('School Profile'!$D$12="Hindi","मुख्य परीक्षा परिणाम","Main Exam Result")</f>
        <v>मुख्य परीक्षा परिणाम</v>
      </c>
      <c r="R22" s="1582"/>
      <c r="S22" s="1582"/>
      <c r="T22" s="1582"/>
      <c r="U22" s="1583"/>
      <c r="Y22" s="20"/>
      <c r="AL22" s="19"/>
      <c r="AM22" s="19"/>
      <c r="AN22" s="19"/>
      <c r="AO22" s="19"/>
      <c r="AP22" s="19"/>
      <c r="AQ22" s="19"/>
    </row>
    <row r="23" spans="2:44" ht="18.95" customHeight="1">
      <c r="B23" s="1599" t="str">
        <f>IF('School Profile'!D12="Hindi","कुल पूर्णांक","Total MAX. Marks")</f>
        <v>कुल पूर्णांक</v>
      </c>
      <c r="C23" s="1600"/>
      <c r="D23" s="1601"/>
      <c r="E23" s="731">
        <f>IF($O6="","",COUNTA(E14:E19)*E13-(COUNTIF(E14:E19,"NA")*E13+COUNTIF(E14:E19,"ML")*E13))</f>
        <v>60</v>
      </c>
      <c r="F23" s="731">
        <f>IF($O6="","",COUNTA(F14:F19)*F13-(COUNTIF(F14:F19,"NA")*F13+COUNTIF(F14:F19,"ML")*F13))</f>
        <v>60</v>
      </c>
      <c r="G23" s="731">
        <f>IF($O6="","",COUNTA(G14:G19)*G13-(COUNTIF(G14:G19,"NA")*G13+COUNTIF(G14:G19,"ML")*G13))</f>
        <v>60</v>
      </c>
      <c r="H23" s="731">
        <f>IF($O6="","",COUNTA(H14:H19)*H13-(COUNTIF(H14:H19,"NA")*H13+COUNTIF(H14:H19,"ML")*H13))</f>
        <v>180</v>
      </c>
      <c r="I23" s="731">
        <f>IF(AND(O6=""),"",IF(OR(B21="",P21=""),COUNTA(I14:I19)*70,IF(($P$19/$P$13*100)&gt;=($P$21/$P$13*100),COUNTA(I14:I19)*70,COUNTA(I14:I18)*70+35)))</f>
        <v>385</v>
      </c>
      <c r="J23" s="731">
        <f>IF($O6="","",IF('School Profile'!D20="No","",COUNTA(J14:J21)*J13-(COUNTIF(J14:J21,"NA")*J13+COUNTIF(J14:J21,"ML")*J13)))</f>
        <v>35</v>
      </c>
      <c r="K23" s="731">
        <f>IF($O6="","",COUNTA(K14:K19)*K13-(COUNTIF(K14:K19,"NA")*K13+COUNTIF(K14:K19,"ML")*K13))</f>
        <v>420</v>
      </c>
      <c r="L23" s="731">
        <f>IF($O6="","",COUNTA(L14:L19)*L13-(COUNTIF(L14:L19,"NA")*L13+COUNTIF(L14:L19,"ML")*L13))</f>
        <v>600</v>
      </c>
      <c r="M23" s="731">
        <f>IF(AND(O6=""),"",IF(OR(B21="",P21=""),COUNTA(I14:I19)*100,IF(($P$19/$P$13*100)&gt;=($P$21/$P$13*100),COUNTA(I14:I19)*100,COUNTA(I14:I18)*100+50)))</f>
        <v>550</v>
      </c>
      <c r="N23" s="731">
        <f>IF($O6="","",IF('School Profile'!D20="No","",COUNTA(N14:N21)*N13-(COUNTIF(N14:N21,"NA")*N13+COUNTIF(N14:N21,"ML")*N13)))</f>
        <v>50</v>
      </c>
      <c r="O23" s="731">
        <f>IF($O6="","",COUNTA(O14:O19)*O13-(COUNTIF(O14:O19,"NA")*O13+COUNTIF(O14:O19,"ML")*O13))</f>
        <v>600</v>
      </c>
      <c r="P23" s="685">
        <f>IF(O6="","",COUNTA(P14:P19)*P13-(COUNTIF(P14:P19,"NA")*P13+COUNTIF(P14:P19,"ML")*P13))</f>
        <v>1200</v>
      </c>
      <c r="Q23" s="1524" t="str">
        <f>IF('School Profile'!$D$12="Hindi",AQ16,AQ15)</f>
        <v>उतीर्ण एवं कक्षा 10 में क्रमोन्नत</v>
      </c>
      <c r="R23" s="1525"/>
      <c r="S23" s="1525"/>
      <c r="T23" s="1525"/>
      <c r="U23" s="1526"/>
      <c r="W23" s="20"/>
      <c r="AL23" s="19"/>
      <c r="AM23" s="19"/>
      <c r="AN23" s="19"/>
      <c r="AO23" s="19"/>
      <c r="AP23" s="19"/>
      <c r="AQ23" s="19"/>
    </row>
    <row r="24" spans="2:44" ht="20.100000000000001" customHeight="1">
      <c r="B24" s="1602" t="str">
        <f>IF('School Profile'!D12="Hindi","प्रतिशत","Percentage")</f>
        <v>प्रतिशत</v>
      </c>
      <c r="C24" s="1603"/>
      <c r="D24" s="1604"/>
      <c r="E24" s="678">
        <f>IFERROR(IF(E22="","",E22/E23*100),"")</f>
        <v>80</v>
      </c>
      <c r="F24" s="678">
        <f t="shared" ref="F24:O24" si="1">IFERROR(IF(F22="","",F22/F23*100),"")</f>
        <v>91.666666666666657</v>
      </c>
      <c r="G24" s="678">
        <f t="shared" si="1"/>
        <v>88.333333333333329</v>
      </c>
      <c r="H24" s="678">
        <f t="shared" si="1"/>
        <v>86.666666666666671</v>
      </c>
      <c r="I24" s="678">
        <f t="shared" si="1"/>
        <v>67.79220779220779</v>
      </c>
      <c r="J24" s="678">
        <f t="shared" si="1"/>
        <v>91.428571428571431</v>
      </c>
      <c r="K24" s="678">
        <f t="shared" si="1"/>
        <v>69.761904761904759</v>
      </c>
      <c r="L24" s="678">
        <f t="shared" si="1"/>
        <v>74.833333333333329</v>
      </c>
      <c r="M24" s="678">
        <f t="shared" si="1"/>
        <v>71.454545454545453</v>
      </c>
      <c r="N24" s="678">
        <f t="shared" si="1"/>
        <v>88</v>
      </c>
      <c r="O24" s="678">
        <f t="shared" si="1"/>
        <v>72.833333333333343</v>
      </c>
      <c r="P24" s="673">
        <f>IFERROR(IF(OR(P22="",O6=""),"",VLOOKUP(O6,'Statement of Marks'!$B$7:'Statement of Marks'!$IC$206,230,0)),"")</f>
        <v>73.833333333333329</v>
      </c>
      <c r="Q24" s="1527"/>
      <c r="R24" s="1528"/>
      <c r="S24" s="1528"/>
      <c r="T24" s="1528"/>
      <c r="U24" s="1529"/>
      <c r="W24" s="20"/>
      <c r="AL24" s="19"/>
      <c r="AM24" s="19"/>
      <c r="AN24" s="19"/>
      <c r="AO24" s="19"/>
      <c r="AP24" s="19"/>
      <c r="AQ24" s="19"/>
    </row>
    <row r="25" spans="2:44" ht="18.95" customHeight="1">
      <c r="B25" s="1584" t="str">
        <f>'Statement of Marks'!DZ208</f>
        <v>राजस्थान का स्वंत्रता आन्दोलन व शोर्य परम्परा</v>
      </c>
      <c r="C25" s="1585"/>
      <c r="D25" s="1585"/>
      <c r="E25" s="1585"/>
      <c r="F25" s="1585"/>
      <c r="G25" s="1586" t="str">
        <f>'Statement of Marks'!EL208</f>
        <v>सूचना प्रोद्योगिकी की अवधारणा - I</v>
      </c>
      <c r="H25" s="1586"/>
      <c r="I25" s="1586"/>
      <c r="J25" s="1586"/>
      <c r="K25" s="1586" t="str">
        <f>'Statement of Marks'!FB208</f>
        <v>स्वा. एवं शा. शिक्षा</v>
      </c>
      <c r="L25" s="1586"/>
      <c r="M25" s="1586"/>
      <c r="N25" s="1586"/>
      <c r="O25" s="1586" t="str">
        <f>'Statement of Marks'!FJ208</f>
        <v>समाजोपयोगी उत्पादन कार्य एवं समाज सेवा</v>
      </c>
      <c r="P25" s="1586"/>
      <c r="Q25" s="1586"/>
      <c r="R25" s="1586"/>
      <c r="S25" s="1521" t="str">
        <f>'Statement of Marks'!FU208</f>
        <v>कला शिक्षा</v>
      </c>
      <c r="T25" s="1521"/>
      <c r="U25" s="1546"/>
      <c r="W25" s="20"/>
      <c r="AL25" s="19"/>
      <c r="AM25" s="19"/>
      <c r="AN25" s="19"/>
      <c r="AO25" s="19"/>
      <c r="AP25" s="19"/>
      <c r="AQ25" s="19"/>
    </row>
    <row r="26" spans="2:44" ht="18.95" customHeight="1">
      <c r="B26" s="1503" t="str">
        <f>IF('School Profile'!D12="Hindi","पूर्णांक","MAX. Marks")</f>
        <v>पूर्णांक</v>
      </c>
      <c r="C26" s="1504"/>
      <c r="D26" s="1502" t="str">
        <f>IF('School Profile'!D12="Hindi","प्राप्तांक","Marks Obt.")</f>
        <v>प्राप्तांक</v>
      </c>
      <c r="E26" s="1502"/>
      <c r="F26" s="717" t="str">
        <f>IF('School Profile'!$D$12="Hindi","ग्रेड","Grade")</f>
        <v>ग्रेड</v>
      </c>
      <c r="G26" s="1504" t="str">
        <f>IF('School Profile'!D12="Hindi","पूर्णांक","MAX. Marks")</f>
        <v>पूर्णांक</v>
      </c>
      <c r="H26" s="1504"/>
      <c r="I26" s="728" t="str">
        <f>IF('School Profile'!D12="Hindi","प्राप्तांक","Marks Obt.")</f>
        <v>प्राप्तांक</v>
      </c>
      <c r="J26" s="717" t="str">
        <f>IF('School Profile'!$D$12="Hindi","ग्रेड","Grade")</f>
        <v>ग्रेड</v>
      </c>
      <c r="K26" s="1504" t="str">
        <f>IF('School Profile'!D12="Hindi","पूर्णांक","MAX. Marks")</f>
        <v>पूर्णांक</v>
      </c>
      <c r="L26" s="1504"/>
      <c r="M26" s="728" t="str">
        <f>IF('School Profile'!D12="Hindi","प्राप्तांक","Marks Obt.")</f>
        <v>प्राप्तांक</v>
      </c>
      <c r="N26" s="717" t="str">
        <f>IF('School Profile'!$D$12="Hindi","ग्रेड","Grade")</f>
        <v>ग्रेड</v>
      </c>
      <c r="O26" s="1504" t="str">
        <f>IF('School Profile'!D12="Hindi","पूर्णांक","MAX. Marks")</f>
        <v>पूर्णांक</v>
      </c>
      <c r="P26" s="1504"/>
      <c r="Q26" s="728" t="str">
        <f>IF('School Profile'!D12="Hindi","प्राप्तांक","Marks Obt.")</f>
        <v>प्राप्तांक</v>
      </c>
      <c r="R26" s="717" t="str">
        <f>IF('School Profile'!$D$12="Hindi","ग्रेड","Grade")</f>
        <v>ग्रेड</v>
      </c>
      <c r="S26" s="729" t="str">
        <f>IF('School Profile'!D12="Hindi","पूर्णांक","MAX. Marks")</f>
        <v>पूर्णांक</v>
      </c>
      <c r="T26" s="728" t="str">
        <f>IF('School Profile'!D12="Hindi","प्राप्तांक","Marks Obt.")</f>
        <v>प्राप्तांक</v>
      </c>
      <c r="U26" s="719" t="str">
        <f>IF('School Profile'!$D$12="Hindi","ग्रेड","Grade")</f>
        <v>ग्रेड</v>
      </c>
      <c r="W26" s="20"/>
      <c r="AL26" s="19"/>
      <c r="AM26" s="19"/>
      <c r="AN26" s="19"/>
      <c r="AO26" s="19"/>
      <c r="AP26" s="19"/>
      <c r="AQ26" s="19"/>
    </row>
    <row r="27" spans="2:44" ht="18.95" customHeight="1">
      <c r="B27" s="1505">
        <f>IFERROR(VLOOKUP(O6,'Statement of Marks'!$B$7:'Statement of Marks'!$IC$206,140,0),"")</f>
        <v>200</v>
      </c>
      <c r="C27" s="1506"/>
      <c r="D27" s="1507">
        <f>IFERROR(VLOOKUP(O6,'Statement of Marks'!$B$7:'Statement of Marks'!$IC$206,136,0),"")</f>
        <v>190</v>
      </c>
      <c r="E27" s="1507"/>
      <c r="F27" s="716" t="str">
        <f>IFERROR(VLOOKUP(O6,'Statement of Marks'!$B$7:'Statement of Marks'!$IC$206,137,0),"")</f>
        <v>A</v>
      </c>
      <c r="G27" s="1506">
        <f>IFERROR(VLOOKUP(O6,'Statement of Marks'!$B$7:'Statement of Marks'!$IC$206,156,0),"")</f>
        <v>200</v>
      </c>
      <c r="H27" s="1506"/>
      <c r="I27" s="731">
        <f>IFERROR(VLOOKUP(O6,'Statement of Marks'!$B$7:'Statement of Marks'!$IC$206,152,0),"")</f>
        <v>175</v>
      </c>
      <c r="J27" s="716" t="str">
        <f>IFERROR(VLOOKUP(O6,'Statement of Marks'!$B$7:'Statement of Marks'!$IC$206,153,0),"")</f>
        <v>A</v>
      </c>
      <c r="K27" s="1506">
        <f>IFERROR(VLOOKUP(O6,'Statement of Marks'!$B$7:'Statement of Marks'!$IC$206,175,0),"")</f>
        <v>200</v>
      </c>
      <c r="L27" s="1506"/>
      <c r="M27" s="718">
        <f>IFERROR(VLOOKUP(O6,'Statement of Marks'!$B$7:'Statement of Marks'!$IC$206,171,0),"")</f>
        <v>153</v>
      </c>
      <c r="N27" s="716" t="str">
        <f>IFERROR(VLOOKUP(O6,'Statement of Marks'!$B$7:'Statement of Marks'!$IC$206,172,0),"")</f>
        <v>B</v>
      </c>
      <c r="O27" s="1506">
        <f>IFERROR(VLOOKUP(O6,'Statement of Marks'!$B$7:'Statement of Marks'!$IC$206,183,0),"")</f>
        <v>100</v>
      </c>
      <c r="P27" s="1506"/>
      <c r="Q27" s="731">
        <f>IFERROR(VLOOKUP(O6,'Statement of Marks'!$B$7:'Statement of Marks'!$IC$206,179,0),"")</f>
        <v>91</v>
      </c>
      <c r="R27" s="716" t="str">
        <f>IFERROR(VLOOKUP(O6,'Statement of Marks'!$B$7:'Statement of Marks'!$IC$206,180,0),"")</f>
        <v>A</v>
      </c>
      <c r="S27" s="730">
        <f>IFERROR(VLOOKUP(O6,'Statement of Marks'!$B$7:'Statement of Marks'!$IC$206,191,0),"")</f>
        <v>100</v>
      </c>
      <c r="T27" s="731">
        <f>IFERROR(VLOOKUP(O6,'Statement of Marks'!$B$7:'Statement of Marks'!$IC$206,187,0),"")</f>
        <v>66</v>
      </c>
      <c r="U27" s="720" t="str">
        <f>IFERROR(VLOOKUP(O6,'Statement of Marks'!$B$7:'Statement of Marks'!$IC$206,188,0),"")</f>
        <v>B</v>
      </c>
      <c r="W27" s="20"/>
      <c r="AL27" s="19"/>
      <c r="AM27" s="19"/>
      <c r="AN27" s="19"/>
      <c r="AO27" s="19"/>
      <c r="AP27" s="19"/>
      <c r="AQ27" s="19"/>
    </row>
    <row r="28" spans="2:44" ht="18.95" customHeight="1">
      <c r="B28" s="1590" t="str">
        <f>IF('School Profile'!$D$12="Hindi","परीक्षा परिणाम घोषित दिनांक :-","Date of Result declaration :-")</f>
        <v>परीक्षा परिणाम घोषित दिनांक :-</v>
      </c>
      <c r="C28" s="1591"/>
      <c r="D28" s="1591"/>
      <c r="E28" s="1592"/>
      <c r="F28" s="1593">
        <f>IF(AND(O6=""),"",IF('School Profile'!D11="","",'School Profile'!D11))</f>
        <v>46106</v>
      </c>
      <c r="G28" s="1594"/>
      <c r="H28" s="1595"/>
      <c r="I28" s="1521" t="str">
        <f>IF('School Profile'!$D$12="Hindi","कुल कार्य दिवस","Total Working Days")</f>
        <v>कुल कार्य दिवस</v>
      </c>
      <c r="J28" s="1521"/>
      <c r="K28" s="1521"/>
      <c r="L28" s="1567">
        <f>IFERROR(VLOOKUP(O6,'Statement of Marks'!$B$7:'Statement of Marks'!$IC$206,192,0),"")</f>
        <v>200</v>
      </c>
      <c r="M28" s="1567"/>
      <c r="N28" s="1522" t="str">
        <f>IF('School Profile'!$D$12="Hindi","कुल उपस्थिति","Total  Attendance")</f>
        <v>कुल उपस्थिति</v>
      </c>
      <c r="O28" s="1523"/>
      <c r="P28" s="685">
        <f>IFERROR(VLOOKUP(O6,'Statement of Marks'!$B$7:'Statement of Marks'!$IC$206,193,0),"")</f>
        <v>192</v>
      </c>
      <c r="Q28" s="655" t="str">
        <f>IF('School Profile'!$D$12="Hindi","श्रेणी","Division")</f>
        <v>श्रेणी</v>
      </c>
      <c r="R28" s="400" t="str">
        <f>IFERROR(VLOOKUP(O6,'Statement of Marks'!$B$7:'Statement of Marks'!$IC$206,229,0),"")</f>
        <v>1st</v>
      </c>
      <c r="S28" s="1521" t="str">
        <f>IF('School Profile'!D12="Hindi","कक्षा में स्थान","Position in the Class")</f>
        <v>कक्षा में स्थान</v>
      </c>
      <c r="T28" s="1521"/>
      <c r="U28" s="714">
        <f>IFERROR(VLOOKUP(O6,'Statement of Marks'!$B$7:'Statement of Marks'!$IC$206,231,0),"")</f>
        <v>1.0000000000000013</v>
      </c>
      <c r="V28" s="21"/>
      <c r="W28" s="20"/>
    </row>
    <row r="29" spans="2:44" ht="24.75" customHeight="1">
      <c r="B29" s="1609" t="str">
        <f>IF('School Profile'!D12="Hindi","हस्ताक्षर कक्षाध्यापक","Signature of the class teacher")</f>
        <v>हस्ताक्षर कक्षाध्यापक</v>
      </c>
      <c r="C29" s="1610"/>
      <c r="D29" s="1610"/>
      <c r="E29" s="1610"/>
      <c r="F29" s="1610"/>
      <c r="G29" s="1611"/>
      <c r="H29" s="1606" t="str">
        <f>IF(AND(O6=""),"",CONCATENATE("( ",UPPER('School Profile'!D18)," )"))</f>
        <v>( YOGESH )</v>
      </c>
      <c r="I29" s="1606"/>
      <c r="J29" s="1606"/>
      <c r="K29" s="1606"/>
      <c r="L29" s="1606"/>
      <c r="M29" s="1606"/>
      <c r="N29" s="1606"/>
      <c r="O29" s="1518" t="str">
        <f>IF(AND(O6=""),"",CONCATENATE("( ",UPPER('School Profile'!D14)," )"))</f>
        <v>( DEWANAND )</v>
      </c>
      <c r="P29" s="1519"/>
      <c r="Q29" s="1519"/>
      <c r="R29" s="1519"/>
      <c r="S29" s="1519"/>
      <c r="T29" s="1519"/>
      <c r="U29" s="1520"/>
      <c r="W29" s="20"/>
    </row>
    <row r="30" spans="2:44" ht="19.5" customHeight="1" thickBot="1">
      <c r="B30" s="1587" t="str">
        <f>IF('School Profile'!D12="Hindi","हस्ताक्षर परीक्षा प्रभारी","Signature of the exam. Incharge")</f>
        <v>हस्ताक्षर परीक्षा प्रभारी</v>
      </c>
      <c r="C30" s="1588"/>
      <c r="D30" s="1588"/>
      <c r="E30" s="1588"/>
      <c r="F30" s="1588"/>
      <c r="G30" s="1589"/>
      <c r="H30" s="1605" t="str">
        <f>IF(AND(O6=""),"",CONCATENATE("( ",UPPER('School Profile'!D15)," )"))</f>
        <v>( HEERALAL JAT )</v>
      </c>
      <c r="I30" s="1605"/>
      <c r="J30" s="1605"/>
      <c r="K30" s="1605"/>
      <c r="L30" s="1605"/>
      <c r="M30" s="1605"/>
      <c r="N30" s="1605"/>
      <c r="O30" s="1515" t="str">
        <f>IF('School Profile'!D12="Hindi","हस्ताक्षर मय सील मोहर संस्था प्रधान","Signature &amp; Seal of the Head of the Institution")</f>
        <v>हस्ताक्षर मय सील मोहर संस्था प्रधान</v>
      </c>
      <c r="P30" s="1516"/>
      <c r="Q30" s="1516"/>
      <c r="R30" s="1516"/>
      <c r="S30" s="1516"/>
      <c r="T30" s="1516"/>
      <c r="U30" s="1517"/>
    </row>
  </sheetData>
  <sheetProtection password="B18A" sheet="1" objects="1" scenarios="1" formatCells="0" formatColumns="0" formatRows="0"/>
  <mergeCells count="81">
    <mergeCell ref="B30:G30"/>
    <mergeCell ref="M8:N8"/>
    <mergeCell ref="L9:N9"/>
    <mergeCell ref="M11:O11"/>
    <mergeCell ref="B8:E8"/>
    <mergeCell ref="B28:E28"/>
    <mergeCell ref="F28:H28"/>
    <mergeCell ref="B22:D22"/>
    <mergeCell ref="B23:D23"/>
    <mergeCell ref="B24:D24"/>
    <mergeCell ref="H30:N30"/>
    <mergeCell ref="H29:N29"/>
    <mergeCell ref="B11:D12"/>
    <mergeCell ref="B29:G29"/>
    <mergeCell ref="K25:N25"/>
    <mergeCell ref="O25:R25"/>
    <mergeCell ref="I28:K28"/>
    <mergeCell ref="L28:M28"/>
    <mergeCell ref="B13:D13"/>
    <mergeCell ref="B14:D14"/>
    <mergeCell ref="B15:D15"/>
    <mergeCell ref="B16:D16"/>
    <mergeCell ref="B17:D17"/>
    <mergeCell ref="B18:D18"/>
    <mergeCell ref="B21:C21"/>
    <mergeCell ref="B20:S20"/>
    <mergeCell ref="B19:C19"/>
    <mergeCell ref="Q22:U22"/>
    <mergeCell ref="S25:U25"/>
    <mergeCell ref="B25:F25"/>
    <mergeCell ref="G25:J25"/>
    <mergeCell ref="K26:L26"/>
    <mergeCell ref="I1:P1"/>
    <mergeCell ref="F6:L6"/>
    <mergeCell ref="F7:L7"/>
    <mergeCell ref="F8:L8"/>
    <mergeCell ref="B6:E6"/>
    <mergeCell ref="B3:T3"/>
    <mergeCell ref="M5:N5"/>
    <mergeCell ref="B5:E5"/>
    <mergeCell ref="F5:H5"/>
    <mergeCell ref="I5:K5"/>
    <mergeCell ref="O6:P6"/>
    <mergeCell ref="B7:E7"/>
    <mergeCell ref="M6:N6"/>
    <mergeCell ref="M7:N7"/>
    <mergeCell ref="E2:R2"/>
    <mergeCell ref="AB3:AD13"/>
    <mergeCell ref="O8:R8"/>
    <mergeCell ref="O7:P7"/>
    <mergeCell ref="R11:S13"/>
    <mergeCell ref="T11:U13"/>
    <mergeCell ref="H4:Q4"/>
    <mergeCell ref="O9:U9"/>
    <mergeCell ref="P11:P12"/>
    <mergeCell ref="Q11:Q13"/>
    <mergeCell ref="E11:H11"/>
    <mergeCell ref="I11:K11"/>
    <mergeCell ref="L11:L12"/>
    <mergeCell ref="O30:U30"/>
    <mergeCell ref="O29:U29"/>
    <mergeCell ref="S28:T28"/>
    <mergeCell ref="N28:O28"/>
    <mergeCell ref="R16:S16"/>
    <mergeCell ref="R17:S17"/>
    <mergeCell ref="R19:S19"/>
    <mergeCell ref="R18:S18"/>
    <mergeCell ref="Q23:U24"/>
    <mergeCell ref="R21:S21"/>
    <mergeCell ref="K27:L27"/>
    <mergeCell ref="O26:P26"/>
    <mergeCell ref="O27:P27"/>
    <mergeCell ref="T14:U21"/>
    <mergeCell ref="R14:S14"/>
    <mergeCell ref="R15:S15"/>
    <mergeCell ref="D26:E26"/>
    <mergeCell ref="B26:C26"/>
    <mergeCell ref="B27:C27"/>
    <mergeCell ref="D27:E27"/>
    <mergeCell ref="G26:H26"/>
    <mergeCell ref="G27:H27"/>
  </mergeCells>
  <conditionalFormatting sqref="B22:B25 I5:J5">
    <cfRule type="expression" dxfId="24" priority="19">
      <formula>ISERROR(B5)</formula>
    </cfRule>
  </conditionalFormatting>
  <conditionalFormatting sqref="B19:B20">
    <cfRule type="expression" dxfId="23" priority="6" stopIfTrue="1">
      <formula>P19&gt;P21</formula>
    </cfRule>
    <cfRule type="cellIs" dxfId="22" priority="7" operator="greaterThan">
      <formula>$P$19&gt;$P$21</formula>
    </cfRule>
  </conditionalFormatting>
  <conditionalFormatting sqref="B21">
    <cfRule type="expression" dxfId="21" priority="5" stopIfTrue="1">
      <formula>$P21&gt;$P19</formula>
    </cfRule>
  </conditionalFormatting>
  <conditionalFormatting sqref="Q14:Q19 Q21">
    <cfRule type="cellIs" dxfId="20" priority="1" operator="equal">
      <formula>"F"</formula>
    </cfRule>
    <cfRule type="cellIs" dxfId="19" priority="2" operator="equal">
      <formula>"S"</formula>
    </cfRule>
    <cfRule type="cellIs" dxfId="18" priority="3" stopIfTrue="1" operator="equal">
      <formula>"G"</formula>
    </cfRule>
  </conditionalFormatting>
  <pageMargins left="0.8" right="0.3" top="0.25" bottom="0.25" header="0" footer="0"/>
  <pageSetup paperSize="9" scale="93"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C299"/>
  <sheetViews>
    <sheetView showGridLines="0" view="pageBreakPreview" zoomScaleSheetLayoutView="100" workbookViewId="0">
      <selection activeCell="AU1" sqref="AU1:BD1048576"/>
    </sheetView>
  </sheetViews>
  <sheetFormatPr defaultRowHeight="15"/>
  <cols>
    <col min="1" max="1" width="4.625" customWidth="1"/>
    <col min="2" max="2" width="17.875" customWidth="1"/>
    <col min="3" max="3" width="2" customWidth="1"/>
    <col min="4" max="16" width="5.625" customWidth="1"/>
    <col min="17" max="17" width="4.625" customWidth="1"/>
    <col min="18" max="18" width="17.875" customWidth="1"/>
    <col min="19" max="19" width="2" customWidth="1"/>
    <col min="20" max="32" width="5.625" customWidth="1"/>
    <col min="40" max="41" width="9" hidden="1" customWidth="1"/>
    <col min="47" max="47" width="0" hidden="1" customWidth="1"/>
    <col min="48" max="48" width="9" hidden="1" customWidth="1"/>
    <col min="49" max="49" width="10.125" hidden="1" customWidth="1"/>
    <col min="50" max="53" width="9" hidden="1" customWidth="1"/>
    <col min="54" max="54" width="10.125" hidden="1" customWidth="1"/>
    <col min="55" max="55" width="9" hidden="1" customWidth="1"/>
    <col min="56" max="56" width="0" hidden="1" customWidth="1"/>
  </cols>
  <sheetData>
    <row r="1" spans="1:55" s="6" customFormat="1" ht="22.5" customHeight="1">
      <c r="A1" s="33"/>
      <c r="B1" s="28"/>
      <c r="C1" s="28"/>
      <c r="D1" s="1557" t="str">
        <f>IF('School Profile'!$D$12="Hindi","वार्षिक रिपोर्ट कार्ड ","Report Card")</f>
        <v xml:space="preserve">वार्षिक रिपोर्ट कार्ड </v>
      </c>
      <c r="E1" s="1557"/>
      <c r="F1" s="1557"/>
      <c r="G1" s="1557"/>
      <c r="H1" s="1557"/>
      <c r="I1" s="1557"/>
      <c r="J1" s="1557"/>
      <c r="K1" s="1557"/>
      <c r="L1" s="1557"/>
      <c r="M1" s="1557"/>
      <c r="N1" s="1557"/>
      <c r="O1" s="349"/>
      <c r="P1" s="349"/>
      <c r="Q1" s="1686" t="s">
        <v>77</v>
      </c>
      <c r="R1" s="28"/>
      <c r="S1" s="28"/>
      <c r="T1" s="1557" t="str">
        <f>IF('School Profile'!$D$12="Hindi","वार्षिक रिपोर्ट कार्ड ","Report Card")</f>
        <v xml:space="preserve">वार्षिक रिपोर्ट कार्ड </v>
      </c>
      <c r="U1" s="1557"/>
      <c r="V1" s="1557"/>
      <c r="W1" s="1557"/>
      <c r="X1" s="1557"/>
      <c r="Y1" s="1557"/>
      <c r="Z1" s="1557"/>
      <c r="AA1" s="1557"/>
      <c r="AB1" s="1557"/>
      <c r="AC1" s="1557"/>
      <c r="AD1" s="1557"/>
      <c r="AE1" s="349"/>
      <c r="AF1" s="349"/>
      <c r="AH1" s="691"/>
      <c r="AI1" s="1692" t="s">
        <v>146</v>
      </c>
      <c r="AJ1" s="1692"/>
      <c r="AK1" s="1692"/>
      <c r="AL1" s="692"/>
      <c r="AV1"/>
      <c r="AW1"/>
      <c r="AX1"/>
      <c r="BA1"/>
      <c r="BB1"/>
      <c r="BC1"/>
    </row>
    <row r="2" spans="1:55" s="6" customFormat="1" ht="20.25" customHeight="1">
      <c r="A2" s="33"/>
      <c r="B2" s="28"/>
      <c r="C2" s="28"/>
      <c r="D2" s="1687" t="str">
        <f>IF('School Profile'!$D$12="Hindi","शिक्षा विभाग, राजस्थान सरकार","Education Department, Rajasthan Government")</f>
        <v>शिक्षा विभाग, राजस्थान सरकार</v>
      </c>
      <c r="E2" s="1687"/>
      <c r="F2" s="1687"/>
      <c r="G2" s="1687"/>
      <c r="H2" s="1687"/>
      <c r="I2" s="1687"/>
      <c r="J2" s="1687"/>
      <c r="K2" s="1687"/>
      <c r="L2" s="1687"/>
      <c r="M2" s="1687"/>
      <c r="N2" s="1687"/>
      <c r="O2" s="349"/>
      <c r="P2" s="349"/>
      <c r="Q2" s="1686"/>
      <c r="R2" s="28"/>
      <c r="S2" s="28"/>
      <c r="T2" s="1687" t="str">
        <f>IF('School Profile'!$D$12="Hindi","शिक्षा विभाग, राजस्थान सरकार","Education Department, Rajasthan Government")</f>
        <v>शिक्षा विभाग, राजस्थान सरकार</v>
      </c>
      <c r="U2" s="1687"/>
      <c r="V2" s="1687"/>
      <c r="W2" s="1687"/>
      <c r="X2" s="1687"/>
      <c r="Y2" s="1687"/>
      <c r="Z2" s="1687"/>
      <c r="AA2" s="1687"/>
      <c r="AB2" s="1687"/>
      <c r="AC2" s="1687"/>
      <c r="AD2" s="1687"/>
      <c r="AE2" s="349"/>
      <c r="AF2" s="349"/>
      <c r="AH2" s="693"/>
      <c r="AI2" s="694"/>
      <c r="AJ2" s="694"/>
      <c r="AK2" s="694"/>
      <c r="AL2" s="695"/>
      <c r="AV2"/>
      <c r="AW2"/>
      <c r="AX2"/>
      <c r="BA2"/>
      <c r="BB2"/>
      <c r="BC2"/>
    </row>
    <row r="3" spans="1:55" s="6" customFormat="1" ht="24.95" customHeight="1">
      <c r="A3" s="33"/>
      <c r="B3" s="1560" t="str">
        <f>IF('School Profile'!$D$12="Hindi",CONCATENATE("विद्यालय का नाम :-","  ",'School Profile'!$D$9),CONCATENATE("School Name :-","  ",'School Profile'!$D$8))</f>
        <v xml:space="preserve">विद्यालय का नाम :-  महात्मा गाँधी राजकीय विद्यालय (अंग्रेजी माध्यम) बर, पाली </v>
      </c>
      <c r="C3" s="1560"/>
      <c r="D3" s="1560"/>
      <c r="E3" s="1560"/>
      <c r="F3" s="1560"/>
      <c r="G3" s="1560"/>
      <c r="H3" s="1560"/>
      <c r="I3" s="1560"/>
      <c r="J3" s="1560"/>
      <c r="K3" s="1560"/>
      <c r="L3" s="1560"/>
      <c r="M3" s="1560"/>
      <c r="N3" s="1560"/>
      <c r="O3" s="1560"/>
      <c r="P3" s="1560"/>
      <c r="Q3" s="1686"/>
      <c r="R3" s="1560" t="str">
        <f>IF('School Profile'!D12="Hindi",CONCATENATE("विद्यालय का नाम :-","  ",'School Profile'!D9),CONCATENATE("School Name :-","  ",'School Profile'!D8))</f>
        <v xml:space="preserve">विद्यालय का नाम :-  महात्मा गाँधी राजकीय विद्यालय (अंग्रेजी माध्यम) बर, पाली </v>
      </c>
      <c r="S3" s="1560"/>
      <c r="T3" s="1560"/>
      <c r="U3" s="1560"/>
      <c r="V3" s="1560"/>
      <c r="W3" s="1560"/>
      <c r="X3" s="1560"/>
      <c r="Y3" s="1560"/>
      <c r="Z3" s="1560"/>
      <c r="AA3" s="1560"/>
      <c r="AB3" s="1560"/>
      <c r="AC3" s="1560"/>
      <c r="AD3" s="1560"/>
      <c r="AE3" s="1560"/>
      <c r="AF3" s="1560"/>
      <c r="AH3" s="693"/>
      <c r="AI3" s="696"/>
      <c r="AJ3" s="697" t="s">
        <v>147</v>
      </c>
      <c r="AK3" s="696"/>
      <c r="AL3" s="695"/>
      <c r="AV3" s="776"/>
      <c r="AW3" s="776"/>
      <c r="AX3" s="776"/>
      <c r="BA3" s="776"/>
      <c r="BB3" s="776"/>
      <c r="BC3" s="776"/>
    </row>
    <row r="4" spans="1:55" s="6" customFormat="1" ht="18" customHeight="1" thickBot="1">
      <c r="A4" s="33"/>
      <c r="B4" s="650"/>
      <c r="C4" s="650"/>
      <c r="D4" s="650"/>
      <c r="E4" s="668"/>
      <c r="F4" s="1688" t="str">
        <f>IF(AND(L8=""),"",IF(AND('School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4" s="1688"/>
      <c r="H4" s="1688"/>
      <c r="I4" s="1688"/>
      <c r="J4" s="1688"/>
      <c r="K4" s="1688"/>
      <c r="L4" s="1688"/>
      <c r="M4" s="1688"/>
      <c r="N4" s="1688"/>
      <c r="O4" s="1688"/>
      <c r="P4" s="650"/>
      <c r="Q4" s="1686"/>
      <c r="R4" s="650"/>
      <c r="S4" s="650"/>
      <c r="T4" s="650"/>
      <c r="U4" s="668"/>
      <c r="V4" s="1688" t="str">
        <f>IF(AND(AB8=""),"",IF(AND('School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4" s="1688"/>
      <c r="X4" s="1688"/>
      <c r="Y4" s="1688"/>
      <c r="Z4" s="1688"/>
      <c r="AA4" s="1688"/>
      <c r="AB4" s="1688"/>
      <c r="AC4" s="1688"/>
      <c r="AD4" s="1688"/>
      <c r="AE4" s="1688"/>
      <c r="AF4" s="650"/>
      <c r="AH4" s="693"/>
      <c r="AI4" s="696"/>
      <c r="AJ4" s="697"/>
      <c r="AK4" s="696"/>
      <c r="AL4" s="695"/>
      <c r="AV4"/>
      <c r="AW4"/>
      <c r="AX4"/>
      <c r="BA4"/>
      <c r="BB4"/>
      <c r="BC4"/>
    </row>
    <row r="5" spans="1:55" s="351" customFormat="1" ht="21" customHeight="1" thickBot="1">
      <c r="A5" s="350"/>
      <c r="B5" s="681" t="str">
        <f>IF('School Profile'!$D$12="Hindi","कक्षा  :-","CLASS :- ")</f>
        <v>कक्षा  :-</v>
      </c>
      <c r="C5" s="1691" t="str">
        <f>IF('Statement of Marks'!$E$3="","",'Statement of Marks'!$E$3)</f>
        <v>9th</v>
      </c>
      <c r="D5" s="1691"/>
      <c r="E5" s="820" t="str">
        <f>IFERROR(VLOOKUP(L8,'Statement of Marks'!$B$7:'Statement of Marks'!$IC$206,2,0),"")</f>
        <v>A</v>
      </c>
      <c r="F5" s="820"/>
      <c r="G5" s="820"/>
      <c r="H5" s="820"/>
      <c r="I5" s="1684" t="str">
        <f>IF('School Profile'!$D$12="Hindi","प्रवेशांक :","SR. NO. :")</f>
        <v>प्रवेशांक :</v>
      </c>
      <c r="J5" s="1684"/>
      <c r="K5" s="1684"/>
      <c r="L5" s="1689">
        <f>IFERROR(VLOOKUP(L8,'Statement of Marks'!$B$7:'Statement of Marks'!$IC$206,3,0),"")</f>
        <v>521</v>
      </c>
      <c r="M5" s="1689"/>
      <c r="N5" s="1689"/>
      <c r="O5" s="1689"/>
      <c r="P5" s="414"/>
      <c r="Q5" s="1686"/>
      <c r="R5" s="681" t="str">
        <f>IF('School Profile'!$D$12="Hindi","कक्षा  :-","CLASS :- ")</f>
        <v>कक्षा  :-</v>
      </c>
      <c r="S5" s="1691" t="str">
        <f>IF('Statement of Marks'!$E$3="","",'Statement of Marks'!$E$3)</f>
        <v>9th</v>
      </c>
      <c r="T5" s="1691"/>
      <c r="U5" s="820" t="str">
        <f>IFERROR(VLOOKUP(AB8,'Statement of Marks'!$B$7:'Statement of Marks'!$IC$206,2,0),"")</f>
        <v>A</v>
      </c>
      <c r="V5" s="820"/>
      <c r="W5" s="820"/>
      <c r="X5" s="820"/>
      <c r="Y5" s="1684" t="str">
        <f>IF('School Profile'!$D$12="Hindi","प्रवेशांक :","SR. NO. :")</f>
        <v>प्रवेशांक :</v>
      </c>
      <c r="Z5" s="1684"/>
      <c r="AA5" s="1684"/>
      <c r="AB5" s="1689">
        <f>IFERROR(VLOOKUP(AB8,'Statement of Marks'!$B$7:'Statement of Marks'!$IC$206,3,0),"")</f>
        <v>501</v>
      </c>
      <c r="AC5" s="1689"/>
      <c r="AD5" s="1689"/>
      <c r="AE5" s="1689"/>
      <c r="AF5" s="414"/>
      <c r="AH5" s="693"/>
      <c r="AI5" s="22"/>
      <c r="AJ5" s="697" t="s">
        <v>78</v>
      </c>
      <c r="AK5" s="22"/>
      <c r="AL5" s="695"/>
      <c r="AV5"/>
      <c r="AW5" s="777">
        <f>L6</f>
        <v>40461</v>
      </c>
      <c r="AX5"/>
      <c r="BA5"/>
      <c r="BB5" s="777">
        <f>AB6</f>
        <v>40065</v>
      </c>
      <c r="BC5"/>
    </row>
    <row r="6" spans="1:55" s="351" customFormat="1" ht="21" customHeight="1" thickBot="1">
      <c r="A6" s="350"/>
      <c r="B6" s="682" t="str">
        <f>IF('School Profile'!$D$12="Hindi","विद्यार्थी का नाम :-","Student's Name :-")</f>
        <v>विद्यार्थी का नाम :-</v>
      </c>
      <c r="C6" s="1683" t="str">
        <f>IFERROR(VLOOKUP(L8,'Statement of Marks'!$B$7:'Statement of Marks'!$IC$206,5,0),"")</f>
        <v>RAHUL JAT</v>
      </c>
      <c r="D6" s="1683"/>
      <c r="E6" s="1683"/>
      <c r="F6" s="1683"/>
      <c r="G6" s="1683"/>
      <c r="H6" s="1683"/>
      <c r="I6" s="1684" t="str">
        <f>IF('School Profile'!$D$12="Hindi","जन्म तिथि :","Date of Birth :")</f>
        <v>जन्म तिथि :</v>
      </c>
      <c r="J6" s="1684"/>
      <c r="K6" s="1684"/>
      <c r="L6" s="1690">
        <f>IFERROR(VLOOKUP(L8,'Statement of Marks'!$B$7:'Statement of Marks'!$IC$206,4,0),"")</f>
        <v>40461</v>
      </c>
      <c r="M6" s="1690"/>
      <c r="N6" s="1690"/>
      <c r="O6" s="1690"/>
      <c r="P6" s="646"/>
      <c r="Q6" s="1686"/>
      <c r="R6" s="682" t="str">
        <f>IF('School Profile'!$D$12="Hindi","विद्यार्थी का नाम :-","Student's Name :-")</f>
        <v>विद्यार्थी का नाम :-</v>
      </c>
      <c r="S6" s="1683" t="str">
        <f>IFERROR(VLOOKUP(AB8,'Statement of Marks'!$B$7:'Statement of Marks'!$IC$206,5,0),"")</f>
        <v>RAM</v>
      </c>
      <c r="T6" s="1683"/>
      <c r="U6" s="1683"/>
      <c r="V6" s="1683"/>
      <c r="W6" s="1683"/>
      <c r="X6" s="1683"/>
      <c r="Y6" s="1684" t="str">
        <f>IF('School Profile'!$D$12="Hindi","जन्म तिथि :","Date of Birth :")</f>
        <v>जन्म तिथि :</v>
      </c>
      <c r="Z6" s="1684"/>
      <c r="AA6" s="1684"/>
      <c r="AB6" s="1690">
        <f>IFERROR(VLOOKUP(AB8,'Statement of Marks'!$B$7:'Statement of Marks'!$IC$206,4,0),"")</f>
        <v>40065</v>
      </c>
      <c r="AC6" s="1690"/>
      <c r="AD6" s="1690"/>
      <c r="AE6" s="1690"/>
      <c r="AF6" s="646"/>
      <c r="AH6" s="698"/>
      <c r="AI6" s="699"/>
      <c r="AJ6" s="699"/>
      <c r="AK6" s="699"/>
      <c r="AL6" s="700"/>
      <c r="AV6">
        <f>YEAR(AW5)</f>
        <v>2010</v>
      </c>
      <c r="AW6">
        <f>MONTH(AW5)</f>
        <v>10</v>
      </c>
      <c r="AX6">
        <f>DAY(AW5)</f>
        <v>10</v>
      </c>
      <c r="BA6">
        <f>YEAR(BB5)</f>
        <v>2009</v>
      </c>
      <c r="BB6">
        <f>MONTH(BB5)</f>
        <v>9</v>
      </c>
      <c r="BC6">
        <f>DAY(BB5)</f>
        <v>9</v>
      </c>
    </row>
    <row r="7" spans="1:55" s="351" customFormat="1" ht="21" customHeight="1">
      <c r="A7" s="350"/>
      <c r="B7" s="682" t="str">
        <f>IF('School Profile'!$D$12="Hindi","पिता का नाम :-","Father's Name :-")</f>
        <v>पिता का नाम :-</v>
      </c>
      <c r="C7" s="1683" t="str">
        <f>IFERROR(VLOOKUP(L8,'Statement of Marks'!$B$7:'Statement of Marks'!$IC$206,6,0),"")</f>
        <v>HL JAT</v>
      </c>
      <c r="D7" s="1683"/>
      <c r="E7" s="1683"/>
      <c r="F7" s="1683"/>
      <c r="G7" s="1683"/>
      <c r="H7" s="1683"/>
      <c r="I7" s="1684" t="str">
        <f>IF('School Profile'!$D$12="Hindi","जन्मतिथि शब्दों में :-","Date of Birth in Words :-")</f>
        <v>जन्मतिथि शब्दों में :-</v>
      </c>
      <c r="J7" s="1684"/>
      <c r="K7" s="1684"/>
      <c r="L7" s="1683" t="str">
        <f>IFERROR(IF('School Profile'!$D$12="Hindi",AW8,AW10),"")</f>
        <v>दस अक्टूबर दो हजार दस</v>
      </c>
      <c r="M7" s="1683"/>
      <c r="N7" s="1683"/>
      <c r="O7" s="1683"/>
      <c r="P7" s="646"/>
      <c r="Q7" s="1686"/>
      <c r="R7" s="682" t="str">
        <f>IF('School Profile'!$D$12="Hindi","पिता का नाम :-","Father's Name :-")</f>
        <v>पिता का नाम :-</v>
      </c>
      <c r="S7" s="1683" t="str">
        <f>IFERROR(VLOOKUP(AB8,'Statement of Marks'!$B$7:'Statement of Marks'!$IC$206,6,0),"")</f>
        <v>SHYAM</v>
      </c>
      <c r="T7" s="1683"/>
      <c r="U7" s="1683"/>
      <c r="V7" s="1683"/>
      <c r="W7" s="1683"/>
      <c r="X7" s="1683"/>
      <c r="Y7" s="1684" t="str">
        <f>IF('School Profile'!$D$12="Hindi","जन्मतिथि शब्दों में :-","Date of Birth in Words :-")</f>
        <v>जन्मतिथि शब्दों में :-</v>
      </c>
      <c r="Z7" s="1684"/>
      <c r="AA7" s="1684"/>
      <c r="AB7" s="1683" t="str">
        <f>IFERROR(IF('School Profile'!$D$12="Hindi",BB8,BB10),"")</f>
        <v>नौ सितम्बर दो हजार नौ</v>
      </c>
      <c r="AC7" s="1683"/>
      <c r="AD7" s="1683"/>
      <c r="AE7" s="1683"/>
      <c r="AF7" s="646"/>
      <c r="AH7" s="1695" t="str">
        <f>IF('School Profile'!D12="Hindi",AN13,AN12)</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901 से 920 , 921 से 940 , 941 से 960 ...........</v>
      </c>
      <c r="AI7" s="1696"/>
      <c r="AJ7" s="1696"/>
      <c r="AK7" s="1696"/>
      <c r="AL7" s="1697"/>
      <c r="AV7" t="str">
        <f>IF(AV6=2000,"दो हजार",IF(AV6=2001,"दो हजार एक",IF(AV6=2002,"दो हजार दो",IF(AV6=2003,"दो हजार तीन",IF(AV6=2004,"दो हजार चार",IF(AV6=2005,"दो हजार पांच",IF(AV6=2006,"दो हजार छः",IF(AV6=2007,"दो हजार सात",IF(AV6=2008,"दो हजार आठ",IF(AV6=2009,"दो हजार नौ",IF(AV6=2010,"दो हजार दस",IF(AV6=2011,"दो हजार ग्यारह",IF(AV6=2012,"दो हजार बारह",IF(AV6=2013,"दो हजार तेरह",IF(AV6=2014,"दो हजार चौदह",IF(AV6=2015,"दो हजार पंद्रह",IF(AV6=2016,"दो हजार सोलह",IF(AV6=2017,"दो हजार सत्रह",IF(AV6=2018,"दो हजार अठारह",IF(AV6=2019,"दो हजार उन्नीस",IF(AV6=2020,"दो हजार बीस",IF(AV6=2021,"दो हजार इक्कीस",IF(AV6=2022,"दो हजार बाइस","")))))))))))))))))))))))</f>
        <v>दो हजार दस</v>
      </c>
      <c r="AW7" t="str">
        <f>IF(AW6=1,"जनवरी",IF(AW6=2,"फरवरी",IF(AW6=3,"मार्च",IF(AW6=4,"अप्रैल",IF(AW6=5,"मई",IF(AW6=6,"जून",IF(AW6=7,"जुलाई",IF(AW6=8,"अगस्त",IF(AW6=9,"सितम्बर",IF(AW6=10,"अक्टूबर",IF(AW6=11,"नवम्बर",IF(AW6=12,"दिसम्बर",""))))))))))))</f>
        <v>अक्टूबर</v>
      </c>
      <c r="AX7" t="str">
        <f>IF(AX6=1,"एक",IF(AX6=2,"दो",IF(AX6=3,"तीन",IF(AX6=4,"चार",IF(AX6=5,"पांच",IF(AX6=6,"छः",IF(AX6=7,"सात",IF(AX6=8,"आठ",IF(AX6=9,"नौ",IF(AX6=10,"दस",IF(AX6=11,"ग्यारह",IF(AX6=12,"बारह",IF(AX6=13,"तेरह",IF(AX6=14,"चौदह",IF(AX6=15,"पंद्रह",IF(AX6=16,"सोलह",IF(AX6=17,"सत्रह",IF(AX6=18,"अठारह",IF(AX6=19,"उन्नीस",IF(AX6=20,"बीस",IF(AX6=21,"इक्कीस",IF(AX6=22,"बाइस",IF(AX6=23,"तेईस",IF(AX6=24,"चौबीस",IF(AX6=25,"पचीस",IF(AX6=26,"छबीस",IF(AX6=27,"सताईस",IF(AX6=28,"अठाइस",IF(AX6=29,"उन्नतीस",IF(AX6=30,"तीस",IF(AX6=31,"इकतीस","")))))))))))))))))))))))))))))))</f>
        <v>दस</v>
      </c>
      <c r="BA7" t="str">
        <f>IF(BA6=2000,"दो हजार",IF(BA6=2001,"दो हजार एक",IF(BA6=2002,"दो हजार दो",IF(BA6=2003,"दो हजार तीन",IF(BA6=2004,"दो हजार चार",IF(BA6=2005,"दो हजार पांच",IF(BA6=2006,"दो हजार छः",IF(BA6=2007,"दो हजार सात",IF(BA6=2008,"दो हजार आठ",IF(BA6=2009,"दो हजार नौ",IF(BA6=2010,"दो हजार दस",IF(BA6=2011,"दो हजार ग्यारह",IF(BA6=2012,"दो हजार बारह",IF(BA6=2013,"दो हजार तेरह",IF(BA6=2014,"दो हजार चौदह",IF(BA6=2015,"दो हजार पंद्रह",IF(BA6=2016,"दो हजार सोलह",IF(BA6=2017,"दो हजार सत्रह",IF(BA6=2018,"दो हजार अठारह",IF(BA6=2019,"दो हजार उन्नीस",IF(BA6=2020,"दो हजार बीस",IF(BA6=2021,"दो हजार इक्कीस",IF(BA6=2022,"दो हजार बाइस","")))))))))))))))))))))))</f>
        <v>दो हजार नौ</v>
      </c>
      <c r="BB7" t="str">
        <f>IF(BB6=1,"जनवरी",IF(BB6=2,"फरवरी",IF(BB6=3,"मार्च",IF(BB6=4,"अप्रैल",IF(BB6=5,"मई",IF(BB6=6,"जून",IF(BB6=7,"जुलाई",IF(BB6=8,"अगस्त",IF(BB6=9,"सितम्बर",IF(BB6=10,"अक्टूबर",IF(BB6=11,"नवम्बर",IF(BB6=12,"दिसम्बर",""))))))))))))</f>
        <v>सितम्बर</v>
      </c>
      <c r="BC7" t="str">
        <f>IF(BC6=1,"एक",IF(BC6=2,"दो",IF(BC6=3,"तीन",IF(BC6=4,"चार",IF(BC6=5,"पांच",IF(BC6=6,"छः",IF(BC6=7,"सात",IF(BC6=8,"आठ",IF(BC6=9,"नौ",IF(BC6=10,"दस",IF(BC6=11,"ग्यारह",IF(BC6=12,"बारह",IF(BC6=13,"तेरह",IF(BC6=14,"चौदह",IF(BC6=15,"पंद्रह",IF(BC6=16,"सोलह",IF(BC6=17,"सत्रह",IF(BC6=18,"अठारह",IF(BC6=19,"उन्नीस",IF(BC6=20,"बीस",IF(BC6=21,"इक्कीस",IF(BC6=22,"बाइस",IF(BC6=23,"तेईस",IF(BC6=24,"चौबीस",IF(BC6=25,"पचीस",IF(BC6=26,"छबीस",IF(BC6=27,"सताईस",IF(BC6=28,"अठाइस",IF(BC6=29,"उन्नतीस",IF(BC6=30,"तीस",IF(BC6=31,"इकतीस","")))))))))))))))))))))))))))))))</f>
        <v>नौ</v>
      </c>
    </row>
    <row r="8" spans="1:55" s="351" customFormat="1" ht="21" customHeight="1">
      <c r="A8" s="350"/>
      <c r="B8" s="681" t="str">
        <f>IF('School Profile'!$D$12="Hindi","माता का नाम :-","Mother's Name :-")</f>
        <v>माता का नाम :-</v>
      </c>
      <c r="C8" s="1683" t="str">
        <f>IFERROR(VLOOKUP(L8,'Statement of Marks'!$B$7:'Statement of Marks'!$IC$206,7,0),"")</f>
        <v>LALI</v>
      </c>
      <c r="D8" s="1683"/>
      <c r="E8" s="1683"/>
      <c r="F8" s="1683"/>
      <c r="G8" s="1683"/>
      <c r="H8" s="1683"/>
      <c r="I8" s="1684" t="str">
        <f>IF('School Profile'!$D$12="Hindi","रोल नंबर :-","Roll No. :")</f>
        <v>रोल नंबर :-</v>
      </c>
      <c r="J8" s="1684"/>
      <c r="K8" s="1684"/>
      <c r="L8" s="1685">
        <f>IF(AN10="","",AN10)</f>
        <v>901</v>
      </c>
      <c r="M8" s="1685"/>
      <c r="N8" s="1685"/>
      <c r="Q8" s="1686"/>
      <c r="R8" s="681" t="str">
        <f>IF('School Profile'!$D$12="Hindi","माता का नाम :-","Mother's Name :-")</f>
        <v>माता का नाम :-</v>
      </c>
      <c r="S8" s="1683" t="str">
        <f>IFERROR(VLOOKUP(AB8,'Statement of Marks'!$B$7:'Statement of Marks'!$IC$206,7,0),"")</f>
        <v>SITA</v>
      </c>
      <c r="T8" s="1683"/>
      <c r="U8" s="1683"/>
      <c r="V8" s="1683"/>
      <c r="W8" s="1683"/>
      <c r="X8" s="1683"/>
      <c r="Y8" s="1684" t="str">
        <f>IF('School Profile'!$D$12="Hindi","रोल नंबर :-","Roll No. :")</f>
        <v>रोल नंबर :-</v>
      </c>
      <c r="Z8" s="1684"/>
      <c r="AA8" s="1684"/>
      <c r="AB8" s="1693">
        <f>IF(L8="","",IF(AND(L8+1&gt;$AN$11),"",L8+1))</f>
        <v>902</v>
      </c>
      <c r="AC8" s="1693"/>
      <c r="AD8" s="1693"/>
      <c r="AH8" s="1698"/>
      <c r="AI8" s="1699"/>
      <c r="AJ8" s="1699"/>
      <c r="AK8" s="1699"/>
      <c r="AL8" s="1700"/>
      <c r="AV8"/>
      <c r="AW8" t="str">
        <f>CONCATENATE(AX7," ",AW7," ",AV7)</f>
        <v>दस अक्टूबर दो हजार दस</v>
      </c>
      <c r="AX8"/>
      <c r="BA8"/>
      <c r="BB8" t="str">
        <f>CONCATENATE(BC7," ",BB7," ",BA7)</f>
        <v>नौ सितम्बर दो हजार नौ</v>
      </c>
      <c r="BC8"/>
    </row>
    <row r="9" spans="1:55" s="351" customFormat="1" ht="9.75" customHeight="1">
      <c r="A9" s="350"/>
      <c r="B9" s="1694"/>
      <c r="C9" s="1694"/>
      <c r="D9" s="1694"/>
      <c r="E9" s="1694"/>
      <c r="F9" s="1694"/>
      <c r="G9" s="1694"/>
      <c r="H9" s="1694"/>
      <c r="I9" s="1694"/>
      <c r="J9" s="1694"/>
      <c r="K9" s="1694"/>
      <c r="L9" s="1694"/>
      <c r="M9" s="1694"/>
      <c r="N9" s="1694"/>
      <c r="O9" s="1694"/>
      <c r="P9" s="647"/>
      <c r="Q9" s="1686"/>
      <c r="R9" s="1694"/>
      <c r="S9" s="1694"/>
      <c r="T9" s="1694"/>
      <c r="U9" s="1694"/>
      <c r="V9" s="1694"/>
      <c r="W9" s="1694"/>
      <c r="X9" s="1694"/>
      <c r="Y9" s="1694"/>
      <c r="Z9" s="1694"/>
      <c r="AA9" s="1694"/>
      <c r="AB9" s="1694"/>
      <c r="AC9" s="1694"/>
      <c r="AD9" s="1694"/>
      <c r="AE9" s="1694"/>
      <c r="AF9" s="647"/>
      <c r="AH9" s="1698"/>
      <c r="AI9" s="1699"/>
      <c r="AJ9" s="1699"/>
      <c r="AK9" s="1699"/>
      <c r="AL9" s="1700"/>
      <c r="AV9" t="str">
        <f>IF(AV6=1961,"NINETEEN SIXTY ONE",IF(AV6=1962,"NINETEEN SIXTY TWO",IF(AV6=1963,"NINETEEN SIXTY THREE",IF(AV6=1964,"NINETEEN SIXTY FOUR",IF(AV6=1965,"NINETEEN SIXTY FIVE",IF(AV6=1966,"NINETEEN SIXTY SIX",IF(AV6=1967,"NINETEEN SIXTY SEVEN",IF(AV6=1968,"NINETEEN SIXTY EIGHT",IF(AV6=1969,"NINETEEN SIXTY NINE",IF(AV6=1970,"NINETEEN SEVENTY",IF(AV6=1971,"NINETEEN SEVENTY ONE",IF(AV6=1972,"NINETEEN SEVENTY TWO",IF(AV6=1973,"NINETEEN SEVENTY THREE",IF(AV6=1974,"NINETEEN SEVENTY FOUR",IF(AV6=1975,"NINETEEN SEVENTY FIVE",IF(AV6=1976,"NINETEEN SEVENTY SIX",IF(AV6=1977,"NINETEEN SEVENTY SEVEN",IF(AV6=1978,"NINETEEN SEVENTY EIGHT",IF(AV6=1979,"NINETEEN SEVENTY NINE",IF(AV6=1980,"NINETEEN EIGHTY",IF(AV6=1981,"NINETEEN EIGHTY ONE",IF(AV6=1982,"NINETEEN EIGHTY TWO",IF(AV6=1983,"NINETEEN EIGHTY THREE",IF(AV6=1984,"NINETEEN EIGHTY FOUR",IF(AV6=1985,"NINETEEN EIGHTY FIVE",IF(AV6=1986,"NINETEEN EIGHTY SIX",IF(AV6=1987,"NINETEEN EIGHTY SEVEN",IF(AV6=1988,"NINETEEN EIGHTY EIGHT",IF(AV6=1989,"NINETEEN EIGHTY NINE",IF(AV6=1990,"NINETEEN NINETY",IF(AV6=1991,"NINETEEN NINETY ONE",IF(AV6=1992,"NINETEEN NINETY TWO",IF(AV6=1993,"NINETEEN NINETY THREE",IF(AV6=1994,"NINETEEN NINETY FOUR",IF(AV6=1995,"NINETEEN NINETY FIVE",IF(AV6=1996,"NINETEEN NINETY SIX",IF(AV6=1997,"NINETEEN NINETY SEVEN",IF(AV6=1998,"NINETEEN NINETY EIGHT",IF(AV6=1999,"NINETEEN NINETY NINE",IF(AV6=2000,"TWO THOUSAND",IF(AV6=2001,"TWO THOUSAND ONE",IF(AV6=2002,"TWO THOUSAND TWO",IF(AV6=2003,"TWO THOUSAND THREE",IF(AV6=2004,"TWO THOUSAND FOUR",IF(AV6=2005,"TWO THOUSAND FIVE",IF(AV6=2006,"TWO THOUSAND SIX",IF(AV6=2007,"TWO THOUSAND SEVEN",IF(AV6=2008,"TWO THOUSAND EIGHT",IF(AV6=2009,"TWO THOUSAND NINE",IF(AV6=2010,"TWO THOUSAND TEN",IF(AV6=2011,"TWO THOUSAND ELEVEN",IF(AV6=2012,"TWO THOUSAND TWELVE",IF(AV6=2013,"TWO THOUSAND THIRTEEN",IF(AV6=2014,"TWO THOUSAND FOURTEEN",IF(AV6=2015,"TWO THOUSAND FIFTEEN",IF(AV6=2016,"TWO THOUSAND SIXTEEN",IF(AV6=2017,"TWO THOUSAND SEVENTEEN",IF(AV6=2018,"TWO THOUSAND EIGHTEEN",IF(AV6=2019,"TWO THOUSAND NINETEEN",IF(AV6=2020,"TWO THOUSAND TWENTY",IF(AV6=2021,"TWO THOUSAND TWENTY ONE",IF(AV6=2022,"TWO THOUSAND TWENTY TWO",IF(AV6=2023,"TWO THOUSAND TWENTY THREE",IF(AV6=2024,"TWO THOUSAND TWENTY FOUR",IF(AV6=2025,"TWO THOUSAND TWENTY FIVE","")))))))))))))))))))))))))))))))))))))))))))))))))))))))))))))))))</f>
        <v>TWO THOUSAND TEN</v>
      </c>
      <c r="AW9" t="str">
        <f>IF(AW6=1,"JANUARY",IF(AW6=2,"FEBUARY", IF(AW6=3,"MARCH",IF(AW6=4,"APRIL",IF(AW6=5,"MAY",IF(AW6=6,"JUNE",IF(AW6=7,"JULY",IF(AW6=8,"AUGUST",IF(AW6=9,"SEPTEMBER",IF(AW6=10,"OCTOBER",IF(AW6=11,"NOVEMBER",IF(AW6=12,"DECEMBER",""))))))))))))</f>
        <v>OCTOBER</v>
      </c>
      <c r="AX9" t="str">
        <f>IF(AX6=1,"1ST",IF(AX6=2,"2ND", IF(AX6=3,"3RD",IF(AX6=4,"FOURTH",IF(AX6=5,"FIFTH",IF(AX6=6,"SIXTH",IF(AX6=7,"7TH",IF(AX6=8,"8TH",IF(AX6=9,"9TH",IF(AX6=10,"10TH",IF(AX6=11,"11TH",IF(AX6=12,"12TH",IF(AX6=13,"13TH",IF(AX6=14,"14TH",IF(AX6=15,"FIFTEEN",IF(AX6=16,"SIXTEEN",IF(AX6=17,"SEVENTEEN",IF(AX6=18,"EIGHTEEN",IF(AX6=19,"NINETEEN",IF(AX6=20,"TWENTY",IF(AX6=21,"TWENTY FIRST",IF(AX6=22,"TWENTY SECOND",IF(AX6=23,"TWENTY THIRD",IF(AX6=24,"TWENTY FOURTH",IF(AX6=25,"TWENTY FIFTH",IF(AX6=26,"TWENTY SIX",IF(AX6=27,"TWENTY SEVEN",IF(AX6=28,"TWENTY EIGHT",IF(AX6=29,"TWENTY NINE",IF(AX6=30,"THIRTY",IF(AX6=31,"THIRTY FIRST","")))))))))))))))))))))))))))))))</f>
        <v>10TH</v>
      </c>
      <c r="BA9" t="str">
        <f>IF(BA6=1961,"NINETEEN SIXTY ONE",IF(BA6=1962,"NINETEEN SIXTY TWO",IF(BA6=1963,"NINETEEN SIXTY THREE",IF(BA6=1964,"NINETEEN SIXTY FOUR",IF(BA6=1965,"NINETEEN SIXTY FIVE",IF(BA6=1966,"NINETEEN SIXTY SIX",IF(BA6=1967,"NINETEEN SIXTY SEVEN",IF(BA6=1968,"NINETEEN SIXTY EIGHT",IF(BA6=1969,"NINETEEN SIXTY NINE",IF(BA6=1970,"NINETEEN SEVENTY",IF(BA6=1971,"NINETEEN SEVENTY ONE",IF(BA6=1972,"NINETEEN SEVENTY TWO",IF(BA6=1973,"NINETEEN SEVENTY THREE",IF(BA6=1974,"NINETEEN SEVENTY FOUR",IF(BA6=1975,"NINETEEN SEVENTY FIVE",IF(BA6=1976,"NINETEEN SEVENTY SIX",IF(BA6=1977,"NINETEEN SEVENTY SEVEN",IF(BA6=1978,"NINETEEN SEVENTY EIGHT",IF(BA6=1979,"NINETEEN SEVENTY NINE",IF(BA6=1980,"NINETEEN EIGHTY",IF(BA6=1981,"NINETEEN EIGHTY ONE",IF(BA6=1982,"NINETEEN EIGHTY TWO",IF(BA6=1983,"NINETEEN EIGHTY THREE",IF(BA6=1984,"NINETEEN EIGHTY FOUR",IF(BA6=1985,"NINETEEN EIGHTY FIVE",IF(BA6=1986,"NINETEEN EIGHTY SIX",IF(BA6=1987,"NINETEEN EIGHTY SEVEN",IF(BA6=1988,"NINETEEN EIGHTY EIGHT",IF(BA6=1989,"NINETEEN EIGHTY NINE",IF(BA6=1990,"NINETEEN NINETY",IF(BA6=1991,"NINETEEN NINETY ONE",IF(BA6=1992,"NINETEEN NINETY TWO",IF(BA6=1993,"NINETEEN NINETY THREE",IF(BA6=1994,"NINETEEN NINETY FOUR",IF(BA6=1995,"NINETEEN NINETY FIVE",IF(BA6=1996,"NINETEEN NINETY SIX",IF(BA6=1997,"NINETEEN NINETY SEVEN",IF(BA6=1998,"NINETEEN NINETY EIGHT",IF(BA6=1999,"NINETEEN NINETY NINE",IF(BA6=2000,"TWO THOUSAND",IF(BA6=2001,"TWO THOUSAND ONE",IF(BA6=2002,"TWO THOUSAND TWO",IF(BA6=2003,"TWO THOUSAND THREE",IF(BA6=2004,"TWO THOUSAND FOUR",IF(BA6=2005,"TWO THOUSAND FIVE",IF(BA6=2006,"TWO THOUSAND SIX",IF(BA6=2007,"TWO THOUSAND SEVEN",IF(BA6=2008,"TWO THOUSAND EIGHT",IF(BA6=2009,"TWO THOUSAND NINE",IF(BA6=2010,"TWO THOUSAND TEN",IF(BA6=2011,"TWO THOUSAND ELEVEN",IF(BA6=2012,"TWO THOUSAND TWELVE",IF(BA6=2013,"TWO THOUSAND THIRTEEN",IF(BA6=2014,"TWO THOUSAND FOURTEEN",IF(BA6=2015,"TWO THOUSAND FIFTEEN",IF(BA6=2016,"TWO THOUSAND SIXTEEN",IF(BA6=2017,"TWO THOUSAND SEVENTEEN",IF(BA6=2018,"TWO THOUSAND EIGHTEEN",IF(BA6=2019,"TWO THOUSAND NINETEEN",IF(BA6=2020,"TWO THOUSAND TWENTY",IF(BA6=2021,"TWO THOUSAND TWENTY ONE",IF(BA6=2022,"TWO THOUSAND TWENTY TWO",IF(BA6=2023,"TWO THOUSAND TWENTY THREE",IF(BA6=2024,"TWO THOUSAND TWENTY FOUR",IF(BA6=2025,"TWO THOUSAND TWENTY FIVE","")))))))))))))))))))))))))))))))))))))))))))))))))))))))))))))))))</f>
        <v>TWO THOUSAND NINE</v>
      </c>
      <c r="BB9" t="str">
        <f>IF(BB6=1,"JANUARY",IF(BB6=2,"FEBUARY", IF(BB6=3,"MARCH",IF(BB6=4,"APRIL",IF(BB6=5,"MAY",IF(BB6=6,"JUNE",IF(BB6=7,"JULY",IF(BB6=8,"AUGUST",IF(BB6=9,"SEPTEMBER",IF(BB6=10,"OCTOBER",IF(BB6=11,"NOVEMBER",IF(BB6=12,"DECEMBER",""))))))))))))</f>
        <v>SEPTEMBER</v>
      </c>
      <c r="BC9" t="str">
        <f>IF(BC6=1,"1ST",IF(BC6=2,"2ND", IF(BC6=3,"3RD",IF(BC6=4,"FOURTH",IF(BC6=5,"FIFTH",IF(BC6=6,"SIXTH",IF(BC6=7,"7TH",IF(BC6=8,"8TH",IF(BC6=9,"9TH",IF(BC6=10,"10TH",IF(BC6=11,"11TH",IF(BC6=12,"12TH",IF(BC6=13,"13TH",IF(BC6=14,"14TH",IF(BC6=15,"FIFTEEN",IF(BC6=16,"SIXTEEN",IF(BC6=17,"SEVENTEEN",IF(BC6=18,"EIGHTEEN",IF(BC6=19,"NINETEEN",IF(BC6=20,"TWENTY",IF(BC6=21,"TWENTY FIRST",IF(BC6=22,"TWENTY SECOND",IF(BC6=23,"TWENTY THIRD",IF(BC6=24,"TWENTY FOURTH",IF(BC6=25,"TWENTY FIFTH",IF(BC6=26,"TWENTY SIX",IF(BC6=27,"TWENTY SEVEN",IF(BC6=28,"TWENTY EIGHT",IF(BC6=29,"TWENTY NINE",IF(BC6=30,"THIRTY",IF(BC6=31,"THIRTY FIRST","")))))))))))))))))))))))))))))))</f>
        <v>9TH</v>
      </c>
    </row>
    <row r="10" spans="1:55" s="351" customFormat="1" ht="24.75" customHeight="1">
      <c r="A10" s="350"/>
      <c r="B10" s="1661" t="str">
        <f>IF('School Profile'!$D$12="Hindi","विषय का नाम","Subject Name")</f>
        <v>विषय का नाम</v>
      </c>
      <c r="C10" s="1662"/>
      <c r="D10" s="1681" t="str">
        <f>IF('School Profile'!$D$12="Hindi","सामयिक परख","Seasonal Exam")</f>
        <v>सामयिक परख</v>
      </c>
      <c r="E10" s="1681"/>
      <c r="F10" s="1681"/>
      <c r="G10" s="1681"/>
      <c r="H10" s="1681" t="str">
        <f>IF('School Profile'!$D$12="Hindi","अर्द्धवार्षिक","Half Yearly")</f>
        <v>अर्द्धवार्षिक</v>
      </c>
      <c r="I10" s="1681"/>
      <c r="J10" s="1681"/>
      <c r="K10" s="1556" t="str">
        <f>IF('School Profile'!$D$12="Hindi","अर्द्ध वा. तक योग","Total Till H.Y.")</f>
        <v>अर्द्ध वा. तक योग</v>
      </c>
      <c r="L10" s="1681" t="str">
        <f>IF('School Profile'!$D$12="Hindi","वार्षिक","Yearly")</f>
        <v>वार्षिक</v>
      </c>
      <c r="M10" s="1681"/>
      <c r="N10" s="1681"/>
      <c r="O10" s="1550" t="str">
        <f>IF('School Profile'!$D$12="Hindi","विषय कुल योग ","Subject Total")</f>
        <v xml:space="preserve">विषय कुल योग </v>
      </c>
      <c r="P10" s="1682" t="str">
        <f>IF('School Profile'!$D$12="Hindi","विषय परिणाम / विषय श्रेणी","Sub. Result /  Sub. Div.")</f>
        <v>विषय परिणाम / विषय श्रेणी</v>
      </c>
      <c r="Q10" s="1686"/>
      <c r="R10" s="1661" t="str">
        <f>IF('School Profile'!$D$12="Hindi","विषय का नाम","Subject Name")</f>
        <v>विषय का नाम</v>
      </c>
      <c r="S10" s="1662"/>
      <c r="T10" s="1681" t="str">
        <f>IF('School Profile'!$D$12="Hindi","सामयिक परख","Seasonal Exam")</f>
        <v>सामयिक परख</v>
      </c>
      <c r="U10" s="1681"/>
      <c r="V10" s="1681"/>
      <c r="W10" s="1681"/>
      <c r="X10" s="1681" t="str">
        <f>IF('School Profile'!$D$12="Hindi","अर्द्धवार्षिक","Half Yearly")</f>
        <v>अर्द्धवार्षिक</v>
      </c>
      <c r="Y10" s="1681"/>
      <c r="Z10" s="1681"/>
      <c r="AA10" s="1556" t="str">
        <f>IF('School Profile'!$D$12="Hindi","अर्द्ध वा. तक योग","Total Till H.Y.")</f>
        <v>अर्द्ध वा. तक योग</v>
      </c>
      <c r="AB10" s="1681" t="str">
        <f>IF('School Profile'!$D$12="Hindi","वार्षिक","Yearly")</f>
        <v>वार्षिक</v>
      </c>
      <c r="AC10" s="1681"/>
      <c r="AD10" s="1681"/>
      <c r="AE10" s="1550" t="str">
        <f>IF('School Profile'!$D$12="Hindi","विषय कुल योग ","Subject Total")</f>
        <v xml:space="preserve">विषय कुल योग </v>
      </c>
      <c r="AF10" s="1682" t="str">
        <f>IF('School Profile'!$D$12="Hindi","विषय परिणाम / विषय श्रेणी","Sub. Result /  Sub. Div.")</f>
        <v>विषय परिणाम / विषय श्रेणी</v>
      </c>
      <c r="AH10" s="1698"/>
      <c r="AI10" s="1699"/>
      <c r="AJ10" s="1699"/>
      <c r="AK10" s="1699"/>
      <c r="AL10" s="1700"/>
      <c r="AN10" s="351">
        <f>IF(AI5="",MIN('Statement of Marks'!B7:B206),AI5)</f>
        <v>901</v>
      </c>
      <c r="AV10"/>
      <c r="AW10" t="str">
        <f>CONCATENATE(AW9," ",AX9,", ",AV9)</f>
        <v>OCTOBER 10TH, TWO THOUSAND TEN</v>
      </c>
      <c r="AX10"/>
      <c r="BA10"/>
      <c r="BB10" t="str">
        <f>CONCATENATE(BB9," ",BC9,", ",BA9)</f>
        <v>SEPTEMBER 9TH, TWO THOUSAND NINE</v>
      </c>
      <c r="BC10"/>
    </row>
    <row r="11" spans="1:55" s="351" customFormat="1" ht="78.75" customHeight="1">
      <c r="A11" s="350"/>
      <c r="B11" s="1677"/>
      <c r="C11" s="1678"/>
      <c r="D11" s="656" t="str">
        <f>IF('School Profile'!$D$12="Hindi","प्रथम परख ","First Test")</f>
        <v xml:space="preserve">प्रथम परख </v>
      </c>
      <c r="E11" s="656" t="str">
        <f>IF('School Profile'!$D$12="Hindi","द्वितीय परख","Second Test")</f>
        <v>द्वितीय परख</v>
      </c>
      <c r="F11" s="656" t="str">
        <f>IF('School Profile'!$D$12="Hindi","तृतीय परख","Third Test")</f>
        <v>तृतीय परख</v>
      </c>
      <c r="G11" s="657" t="str">
        <f>IF('School Profile'!$D$12="Hindi","सा. परख योग","Test Total")</f>
        <v>सा. परख योग</v>
      </c>
      <c r="H11" s="658" t="str">
        <f>IF('School Profile'!$D$12="Hindi","सैद्धान्तिक","Theoretical")</f>
        <v>सैद्धान्तिक</v>
      </c>
      <c r="I11" s="658" t="str">
        <f>IF('School Profile'!$D$12="Hindi","प्रायोगिक","Practical")</f>
        <v>प्रायोगिक</v>
      </c>
      <c r="J11" s="659" t="str">
        <f>IF('School Profile'!$D$12="Hindi","अर्द्धवार्षिक योग","H.Y.  Total")</f>
        <v>अर्द्धवार्षिक योग</v>
      </c>
      <c r="K11" s="1556"/>
      <c r="L11" s="658" t="str">
        <f>IF('School Profile'!$D$12="Hindi","सैद्धान्तिक","Theoretical")</f>
        <v>सैद्धान्तिक</v>
      </c>
      <c r="M11" s="658" t="str">
        <f>IF('School Profile'!$D$12="Hindi","प्रायोगिक","Practical")</f>
        <v>प्रायोगिक</v>
      </c>
      <c r="N11" s="659" t="str">
        <f>IF('School Profile'!$D$12="Hindi","वार्षिक योग","Yearly  Total")</f>
        <v>वार्षिक योग</v>
      </c>
      <c r="O11" s="1550"/>
      <c r="P11" s="1552"/>
      <c r="Q11" s="1686"/>
      <c r="R11" s="1677"/>
      <c r="S11" s="1678"/>
      <c r="T11" s="656" t="str">
        <f>IF('School Profile'!$D$12="Hindi","प्रथम परख ","First Test")</f>
        <v xml:space="preserve">प्रथम परख </v>
      </c>
      <c r="U11" s="656" t="str">
        <f>IF('School Profile'!$D$12="Hindi","द्वितीय परख","Second Test")</f>
        <v>द्वितीय परख</v>
      </c>
      <c r="V11" s="656" t="str">
        <f>IF('School Profile'!$D$12="Hindi","तृतीय परख","Third Test")</f>
        <v>तृतीय परख</v>
      </c>
      <c r="W11" s="657" t="str">
        <f>IF('School Profile'!$D$12="Hindi","सा. परख योग","Test Total")</f>
        <v>सा. परख योग</v>
      </c>
      <c r="X11" s="658" t="str">
        <f>IF('School Profile'!$D$12="Hindi","सैद्धान्तिक","Theoretical")</f>
        <v>सैद्धान्तिक</v>
      </c>
      <c r="Y11" s="658" t="str">
        <f>IF('School Profile'!$D$12="Hindi","प्रायोगिक","Practical")</f>
        <v>प्रायोगिक</v>
      </c>
      <c r="Z11" s="659" t="str">
        <f>IF('School Profile'!$D$12="Hindi","अर्द्धवार्षिक योग","H.Y.  Total")</f>
        <v>अर्द्धवार्षिक योग</v>
      </c>
      <c r="AA11" s="1556"/>
      <c r="AB11" s="658" t="str">
        <f>IF('School Profile'!$D$12="Hindi","सैद्धान्तिक","Theoretical")</f>
        <v>सैद्धान्तिक</v>
      </c>
      <c r="AC11" s="658" t="str">
        <f>IF('School Profile'!$D$12="Hindi","प्रायोगिक","Practical")</f>
        <v>प्रायोगिक</v>
      </c>
      <c r="AD11" s="659" t="str">
        <f>IF('School Profile'!$D$12="Hindi","वार्षिक योग","Yearly  Total")</f>
        <v>वार्षिक योग</v>
      </c>
      <c r="AE11" s="1550"/>
      <c r="AF11" s="1552"/>
      <c r="AH11" s="1698"/>
      <c r="AI11" s="1699"/>
      <c r="AJ11" s="1699"/>
      <c r="AK11" s="1699"/>
      <c r="AL11" s="1700"/>
      <c r="AN11" s="351">
        <f>IF(AK5="",MAX('Statement of Marks'!B7:B206),AK5)</f>
        <v>931</v>
      </c>
      <c r="AV11"/>
      <c r="AW11"/>
      <c r="AX11"/>
      <c r="BA11"/>
      <c r="BB11"/>
      <c r="BC11"/>
    </row>
    <row r="12" spans="1:55" s="353" customFormat="1" ht="20.25" customHeight="1" thickBot="1">
      <c r="A12" s="352"/>
      <c r="B12" s="1679"/>
      <c r="C12" s="1680"/>
      <c r="D12" s="663">
        <v>10</v>
      </c>
      <c r="E12" s="663">
        <v>10</v>
      </c>
      <c r="F12" s="663">
        <v>10</v>
      </c>
      <c r="G12" s="663">
        <v>30</v>
      </c>
      <c r="H12" s="665" t="s">
        <v>251</v>
      </c>
      <c r="I12" s="661">
        <v>35</v>
      </c>
      <c r="J12" s="660">
        <v>70</v>
      </c>
      <c r="K12" s="661">
        <v>100</v>
      </c>
      <c r="L12" s="664" t="s">
        <v>252</v>
      </c>
      <c r="M12" s="663">
        <v>50</v>
      </c>
      <c r="N12" s="660">
        <v>100</v>
      </c>
      <c r="O12" s="662">
        <v>200</v>
      </c>
      <c r="P12" s="1553"/>
      <c r="Q12" s="1686"/>
      <c r="R12" s="1679"/>
      <c r="S12" s="1680"/>
      <c r="T12" s="663">
        <v>10</v>
      </c>
      <c r="U12" s="663">
        <v>10</v>
      </c>
      <c r="V12" s="663">
        <v>10</v>
      </c>
      <c r="W12" s="663">
        <v>30</v>
      </c>
      <c r="X12" s="665" t="s">
        <v>251</v>
      </c>
      <c r="Y12" s="661">
        <v>35</v>
      </c>
      <c r="Z12" s="660">
        <v>70</v>
      </c>
      <c r="AA12" s="661">
        <v>100</v>
      </c>
      <c r="AB12" s="664" t="s">
        <v>252</v>
      </c>
      <c r="AC12" s="663">
        <v>50</v>
      </c>
      <c r="AD12" s="660">
        <v>100</v>
      </c>
      <c r="AE12" s="662">
        <v>200</v>
      </c>
      <c r="AF12" s="1553"/>
      <c r="AH12" s="1701"/>
      <c r="AI12" s="1702"/>
      <c r="AJ12" s="1702"/>
      <c r="AK12" s="1702"/>
      <c r="AL12" s="1703"/>
      <c r="AN12" t="s">
        <v>269</v>
      </c>
      <c r="AV12"/>
      <c r="AW12"/>
      <c r="AX12"/>
      <c r="BA12"/>
      <c r="BB12"/>
      <c r="BC12"/>
    </row>
    <row r="13" spans="1:55" s="351" customFormat="1" ht="22.5" customHeight="1">
      <c r="A13" s="350"/>
      <c r="B13" s="1674" t="str">
        <f>'Statement of Marks'!$K$3</f>
        <v>हिंदी</v>
      </c>
      <c r="C13" s="1675"/>
      <c r="D13" s="26">
        <f>IFERROR(VLOOKUP(L8,'Statement of Marks'!$B$7:'Statement of Marks'!$IC$206,10,0),"")</f>
        <v>8</v>
      </c>
      <c r="E13" s="26">
        <f>IFERROR(VLOOKUP(L8,'Statement of Marks'!$B$7:'Statement of Marks'!$IC$206,11,0),"")</f>
        <v>10</v>
      </c>
      <c r="F13" s="26">
        <f>IFERROR(VLOOKUP(L8,'Statement of Marks'!$B$7:'Statement of Marks'!$IC$206,12,0),"")</f>
        <v>8</v>
      </c>
      <c r="G13" s="26">
        <f>IFERROR(VLOOKUP(L8,'Statement of Marks'!$B$7:'Statement of Marks'!$IC$206,13,0),"")</f>
        <v>26</v>
      </c>
      <c r="H13" s="26">
        <f>IFERROR(VLOOKUP(L8,'Statement of Marks'!$B$7:'Statement of Marks'!$IC$206,14,0),"")</f>
        <v>46</v>
      </c>
      <c r="I13" s="26"/>
      <c r="J13" s="347">
        <f>IF(L8="","",IF(AND(H13="",I13=""),"",SUM(H13,I13)))</f>
        <v>46</v>
      </c>
      <c r="K13" s="679">
        <f>IFERROR(IF(L8="","",IF(AND(G13="",J13=""),"",SUM(G13,J13))),"")</f>
        <v>72</v>
      </c>
      <c r="L13" s="26">
        <f>IFERROR(VLOOKUP(L8,'Statement of Marks'!$B$7:'Statement of Marks'!$IC$206,16,0),"")</f>
        <v>70</v>
      </c>
      <c r="M13" s="26"/>
      <c r="N13" s="347">
        <f>IF(L8="","",IF(AND(L13="",M13=""),"",SUM(L13,M13)))</f>
        <v>70</v>
      </c>
      <c r="O13" s="674">
        <f>IFERROR(VLOOKUP(L8,'Statement of Marks'!$B$7:'Statement of Marks'!$IC$206,17,0),"")</f>
        <v>142</v>
      </c>
      <c r="P13" s="680" t="str">
        <f>IFERROR(IF(O13="","",IF(VLOOKUP(L8,'Statement of Marks'!$B$7:'Statement of Marks'!$IC$206,195,0)="D","I",IF(VLOOKUP(L8,'Statement of Marks'!$B$7:'Statement of Marks'!$IC$206,195,0)="G1","G",IF(VLOOKUP(L8,'Statement of Marks'!$B$7:'Statement of Marks'!$IC$206,195,0)="G2","G",VLOOKUP(L8,'Statement of Marks'!$B$7:'Statement of Marks'!$IC$206,195,0))))),"")</f>
        <v>I</v>
      </c>
      <c r="Q13" s="1686"/>
      <c r="R13" s="1674" t="str">
        <f>'Statement of Marks'!$K$3</f>
        <v>हिंदी</v>
      </c>
      <c r="S13" s="1675"/>
      <c r="T13" s="26">
        <f>IFERROR(VLOOKUP(AB8,'Statement of Marks'!$B$7:'Statement of Marks'!$IC$206,10,0),"")</f>
        <v>8</v>
      </c>
      <c r="U13" s="26">
        <f>IFERROR(VLOOKUP(AB8,'Statement of Marks'!$B$7:'Statement of Marks'!$IC$206,11,0),"")</f>
        <v>9</v>
      </c>
      <c r="V13" s="26">
        <f>IFERROR(VLOOKUP(AB8,'Statement of Marks'!$B$7:'Statement of Marks'!$IC$206,12,0),"")</f>
        <v>9</v>
      </c>
      <c r="W13" s="26">
        <f>IFERROR(VLOOKUP(AB8,'Statement of Marks'!$B$7:'Statement of Marks'!$IC$206,13,0),"")</f>
        <v>26</v>
      </c>
      <c r="X13" s="26">
        <f>IFERROR(VLOOKUP(AB8,'Statement of Marks'!$B$7:'Statement of Marks'!$IC$206,14,0),"")</f>
        <v>46</v>
      </c>
      <c r="Y13" s="26"/>
      <c r="Z13" s="347">
        <f>IF(AB8="","",IF(AND(X13="",Y13=""),"",SUM(X13,Y13)))</f>
        <v>46</v>
      </c>
      <c r="AA13" s="679">
        <f>IFERROR(IF(AB8="","",IF(AND(W13="",Z13=""),"",SUM(W13,Z13))),"")</f>
        <v>72</v>
      </c>
      <c r="AB13" s="26">
        <f>IFERROR(VLOOKUP(AB8,'Statement of Marks'!$B$7:'Statement of Marks'!$IC$206,16,0),"")</f>
        <v>65</v>
      </c>
      <c r="AC13" s="26"/>
      <c r="AD13" s="347">
        <f>IF(AB8="","",IF(AND(AB13="",AC13=""),"",SUM(AB13,AC13)))</f>
        <v>65</v>
      </c>
      <c r="AE13" s="674">
        <f>IFERROR(VLOOKUP(AB8,'Statement of Marks'!$B$7:'Statement of Marks'!$IC$206,17,0),"")</f>
        <v>137</v>
      </c>
      <c r="AF13" s="680" t="str">
        <f>IFERROR(IF(AE13="","",IF(VLOOKUP(AB8,'Statement of Marks'!$B$7:'Statement of Marks'!$IC$206,195,0)="D","I",IF(VLOOKUP(AB8,'Statement of Marks'!$B$7:'Statement of Marks'!$IC$206,195,0)="G1","G",IF(VLOOKUP(AB8,'Statement of Marks'!$B$7:'Statement of Marks'!$IC$206,195,0)="G2","G",VLOOKUP(AB8,'Statement of Marks'!$B$7:'Statement of Marks'!$IC$206,195,0))))),"")</f>
        <v>I</v>
      </c>
      <c r="AN13" t="s">
        <v>270</v>
      </c>
      <c r="AV13"/>
      <c r="AW13"/>
      <c r="AX13"/>
      <c r="BA13"/>
      <c r="BB13"/>
      <c r="BC13"/>
    </row>
    <row r="14" spans="1:55" s="351" customFormat="1" ht="22.5" customHeight="1">
      <c r="A14" s="350"/>
      <c r="B14" s="1674" t="str">
        <f>'Statement of Marks'!$Y$3</f>
        <v>अंग्रेजी</v>
      </c>
      <c r="C14" s="1675"/>
      <c r="D14" s="26">
        <f>IFERROR(VLOOKUP(L8,'Statement of Marks'!$B$7:'Statement of Marks'!$IC$206,24,0),"")</f>
        <v>8</v>
      </c>
      <c r="E14" s="26">
        <f>IFERROR(VLOOKUP(L8,'Statement of Marks'!$B$7:'Statement of Marks'!$IC$206,25,0),"")</f>
        <v>10</v>
      </c>
      <c r="F14" s="26">
        <f>IFERROR(VLOOKUP(L8,'Statement of Marks'!$B$7:'Statement of Marks'!$IC$206,26,0),"")</f>
        <v>10</v>
      </c>
      <c r="G14" s="26">
        <f>IFERROR(VLOOKUP(L8,'Statement of Marks'!$B$7:'Statement of Marks'!$IC$206,27,0),"")</f>
        <v>28</v>
      </c>
      <c r="H14" s="26">
        <f>IFERROR(VLOOKUP(L8,'Statement of Marks'!$B$7:'Statement of Marks'!$IC$206,28,0),"")</f>
        <v>46</v>
      </c>
      <c r="I14" s="26"/>
      <c r="J14" s="347">
        <f>IF(L8="","",IF(AND(H14="",I14=""),"",SUM(H14,I14)))</f>
        <v>46</v>
      </c>
      <c r="K14" s="679">
        <f>IFERROR(IF(L8="","",IF(AND(G14="",J14=""),"",SUM(G14,J14))),"")</f>
        <v>74</v>
      </c>
      <c r="L14" s="26">
        <f>IFERROR(VLOOKUP(L8,'Statement of Marks'!$B$7:'Statement of Marks'!$IC$206,30,0),"")</f>
        <v>70</v>
      </c>
      <c r="M14" s="26"/>
      <c r="N14" s="347">
        <f>IF(L8="","",IF(AND(L14="",M14=""),"",SUM(L14,M14)))</f>
        <v>70</v>
      </c>
      <c r="O14" s="674">
        <f>IFERROR(VLOOKUP(L8,'Statement of Marks'!$B$7:'Statement of Marks'!$IC$206,31,0),"")</f>
        <v>144</v>
      </c>
      <c r="P14" s="680" t="str">
        <f>IFERROR(IF(O13="","",IF(VLOOKUP(L8,'Statement of Marks'!$B$7:'Statement of Marks'!$IC$206,198,0)="D","I",IF(VLOOKUP(L8,'Statement of Marks'!$B$7:'Statement of Marks'!$IC$206,198,0)="G1","G",IF(VLOOKUP(L8,'Statement of Marks'!$B$7:'Statement of Marks'!$IC$206,198,0)="G2","G",VLOOKUP(L8,'Statement of Marks'!$B$7:'Statement of Marks'!$IC$206,198,0))))),"")</f>
        <v>I</v>
      </c>
      <c r="Q14" s="1686"/>
      <c r="R14" s="1674" t="str">
        <f>'Statement of Marks'!$Y$3</f>
        <v>अंग्रेजी</v>
      </c>
      <c r="S14" s="1675"/>
      <c r="T14" s="26">
        <f>IFERROR(VLOOKUP(AB8,'Statement of Marks'!$B$7:'Statement of Marks'!$IC$206,24,0),"")</f>
        <v>8</v>
      </c>
      <c r="U14" s="26">
        <f>IFERROR(VLOOKUP(AB8,'Statement of Marks'!$B$7:'Statement of Marks'!$IC$206,25,0),"")</f>
        <v>9</v>
      </c>
      <c r="V14" s="26">
        <f>IFERROR(VLOOKUP(AB8,'Statement of Marks'!$B$7:'Statement of Marks'!$IC$206,26,0),"")</f>
        <v>10</v>
      </c>
      <c r="W14" s="26">
        <f>IFERROR(VLOOKUP(AB8,'Statement of Marks'!$B$7:'Statement of Marks'!$IC$206,27,0),"")</f>
        <v>27</v>
      </c>
      <c r="X14" s="26">
        <f>IFERROR(VLOOKUP(AB8,'Statement of Marks'!$B$7:'Statement of Marks'!$IC$206,28,0),"")</f>
        <v>66</v>
      </c>
      <c r="Y14" s="26"/>
      <c r="Z14" s="347">
        <f>IF(AB8="","",IF(AND(X14="",Y14=""),"",SUM(X14,Y14)))</f>
        <v>66</v>
      </c>
      <c r="AA14" s="679">
        <f>IFERROR(IF(AB8="","",IF(AND(W14="",Z14=""),"",SUM(W14,Z14))),"")</f>
        <v>93</v>
      </c>
      <c r="AB14" s="26">
        <f>IFERROR(VLOOKUP(AB8,'Statement of Marks'!$B$7:'Statement of Marks'!$IC$206,30,0),"")</f>
        <v>95</v>
      </c>
      <c r="AC14" s="26"/>
      <c r="AD14" s="347">
        <f>IF(AB8="","",IF(AND(AB14="",AC14=""),"",SUM(AB14,AC14)))</f>
        <v>95</v>
      </c>
      <c r="AE14" s="674">
        <f>IFERROR(VLOOKUP(AB8,'Statement of Marks'!$B$7:'Statement of Marks'!$IC$206,31,0),"")</f>
        <v>188</v>
      </c>
      <c r="AF14" s="680" t="str">
        <f>IFERROR(IF(AE13="","",IF(VLOOKUP(AB8,'Statement of Marks'!$B$7:'Statement of Marks'!$IC$206,198,0)="D","I",IF(VLOOKUP(AB8,'Statement of Marks'!$B$7:'Statement of Marks'!$IC$206,198,0)="G1","G",IF(VLOOKUP(AB8,'Statement of Marks'!$B$7:'Statement of Marks'!$IC$206,198,0)="G2","G",VLOOKUP(AB8,'Statement of Marks'!$B$7:'Statement of Marks'!$IC$206,198,0))))),"")</f>
        <v>I</v>
      </c>
      <c r="AV14"/>
      <c r="AW14"/>
      <c r="AX14"/>
      <c r="BA14"/>
      <c r="BB14"/>
      <c r="BC14"/>
    </row>
    <row r="15" spans="1:55" s="351" customFormat="1" ht="22.5" customHeight="1">
      <c r="A15" s="350"/>
      <c r="B15" s="1674" t="str">
        <f>IFERROR(VLOOKUP(L8,'Statement of Marks'!$B$7:'Statement of Marks'!$IC$206,38,0),"")</f>
        <v>संस्कृत (71)</v>
      </c>
      <c r="C15" s="1675"/>
      <c r="D15" s="26">
        <f>IFERROR(VLOOKUP(L8,'Statement of Marks'!$B$7:'Statement of Marks'!$IC$206,39,0),"")</f>
        <v>8</v>
      </c>
      <c r="E15" s="26">
        <f>IFERROR(VLOOKUP(L8,'Statement of Marks'!$B$7:'Statement of Marks'!$IC$206,40,0),"")</f>
        <v>7</v>
      </c>
      <c r="F15" s="26">
        <f>IFERROR(VLOOKUP(L8,'Statement of Marks'!$B$7:'Statement of Marks'!$IC$206,41,0),"")</f>
        <v>10</v>
      </c>
      <c r="G15" s="26">
        <f>IFERROR(VLOOKUP(L8,'Statement of Marks'!$B$7:'Statement of Marks'!$IC$206,42,0),"")</f>
        <v>25</v>
      </c>
      <c r="H15" s="26">
        <f>IFERROR(VLOOKUP(L8,'Statement of Marks'!$B$7:'Statement of Marks'!$IC$206,43,0),"")</f>
        <v>46</v>
      </c>
      <c r="I15" s="26"/>
      <c r="J15" s="347">
        <f>IF(L8="","",IF(AND(H15="",I15=""),"",SUM(H15,I15)))</f>
        <v>46</v>
      </c>
      <c r="K15" s="679">
        <f>IFERROR(IF(L8="","",IF(AND(G15="",J15=""),"",SUM(G15,J15))),"")</f>
        <v>71</v>
      </c>
      <c r="L15" s="26">
        <f>IFERROR(VLOOKUP(L8,'Statement of Marks'!$B$7:'Statement of Marks'!$IC$206,45,0),"")</f>
        <v>70</v>
      </c>
      <c r="M15" s="26"/>
      <c r="N15" s="347">
        <f>IF(L8="","",IF(AND(L15="",M15=""),"",SUM(L15,M15)))</f>
        <v>70</v>
      </c>
      <c r="O15" s="674">
        <f>IFERROR(VLOOKUP(L8,'Statement of Marks'!$B$7:'Statement of Marks'!$IC$206,46,0),"")</f>
        <v>141</v>
      </c>
      <c r="P15" s="680" t="str">
        <f>IFERROR(IF(O13="","",IF(VLOOKUP(L8,'Statement of Marks'!$B$7:'Statement of Marks'!$IC$206,201,0)="D","I",IF(VLOOKUP(L8,'Statement of Marks'!$B$7:'Statement of Marks'!$IC$206,201,0)="G1","G",IF(VLOOKUP(L8,'Statement of Marks'!$B$7:'Statement of Marks'!$IC$206,201,0)="G2","G",VLOOKUP(L8,'Statement of Marks'!$B$7:'Statement of Marks'!$IC$206,201,0))))),"")</f>
        <v>I</v>
      </c>
      <c r="Q15" s="1686"/>
      <c r="R15" s="1674" t="str">
        <f>IFERROR(VLOOKUP(AB8,'Statement of Marks'!$B$7:'Statement of Marks'!$IC$206,38,0),"")</f>
        <v>संस्कृत (71)</v>
      </c>
      <c r="S15" s="1675"/>
      <c r="T15" s="26">
        <f>IFERROR(VLOOKUP(AB8,'Statement of Marks'!$B$7:'Statement of Marks'!$IC$206,39,0),"")</f>
        <v>8</v>
      </c>
      <c r="U15" s="26">
        <f>IFERROR(VLOOKUP(AB8,'Statement of Marks'!$B$7:'Statement of Marks'!$IC$206,40,0),"")</f>
        <v>9</v>
      </c>
      <c r="V15" s="26">
        <f>IFERROR(VLOOKUP(AB8,'Statement of Marks'!$B$7:'Statement of Marks'!$IC$206,41,0),"")</f>
        <v>9</v>
      </c>
      <c r="W15" s="26">
        <f>IFERROR(VLOOKUP(AB8,'Statement of Marks'!$B$7:'Statement of Marks'!$IC$206,42,0),"")</f>
        <v>26</v>
      </c>
      <c r="X15" s="26">
        <f>IFERROR(VLOOKUP(AB8,'Statement of Marks'!$B$7:'Statement of Marks'!$IC$206,43,0),"")</f>
        <v>62</v>
      </c>
      <c r="Y15" s="26"/>
      <c r="Z15" s="347">
        <f>IF(AB8="","",IF(AND(X15="",Y15=""),"",SUM(X15,Y15)))</f>
        <v>62</v>
      </c>
      <c r="AA15" s="679">
        <f>IFERROR(IF(AB8="","",IF(AND(W15="",Z15=""),"",SUM(W15,Z15))),"")</f>
        <v>88</v>
      </c>
      <c r="AB15" s="26">
        <f>IFERROR(VLOOKUP(AB8,'Statement of Marks'!$B$7:'Statement of Marks'!$IC$206,45,0),"")</f>
        <v>92</v>
      </c>
      <c r="AC15" s="26"/>
      <c r="AD15" s="347">
        <f>IF(AB8="","",IF(AND(AB15="",AC15=""),"",SUM(AB15,AC15)))</f>
        <v>92</v>
      </c>
      <c r="AE15" s="674">
        <f>IFERROR(VLOOKUP(AB8,'Statement of Marks'!$B$7:'Statement of Marks'!$IC$206,46,0),"")</f>
        <v>180</v>
      </c>
      <c r="AF15" s="680" t="str">
        <f>IFERROR(IF(AE13="","",IF(VLOOKUP(AB8,'Statement of Marks'!$B$7:'Statement of Marks'!$IC$206,201,0)="D","I",IF(VLOOKUP(AB8,'Statement of Marks'!$B$7:'Statement of Marks'!$IC$206,201,0)="G1","G",IF(VLOOKUP(AB8,'Statement of Marks'!$B$7:'Statement of Marks'!$IC$206,201,0)="G2","G",VLOOKUP(AB8,'Statement of Marks'!$B$7:'Statement of Marks'!$IC$206,201,0))))),"")</f>
        <v>I</v>
      </c>
      <c r="AV15"/>
      <c r="AW15"/>
      <c r="AX15"/>
      <c r="BA15"/>
      <c r="BB15"/>
      <c r="BC15"/>
    </row>
    <row r="16" spans="1:55" s="351" customFormat="1" ht="22.5" customHeight="1">
      <c r="A16" s="350"/>
      <c r="B16" s="1674" t="str">
        <f>'Statement of Marks'!$BB$3</f>
        <v>गणित</v>
      </c>
      <c r="C16" s="1675"/>
      <c r="D16" s="26">
        <f>IFERROR(VLOOKUP(L8,'Statement of Marks'!$B$7:'Statement of Marks'!$IC$206,53,0),"")</f>
        <v>8</v>
      </c>
      <c r="E16" s="26">
        <f>IFERROR(VLOOKUP(L8,'Statement of Marks'!$B$7:'Statement of Marks'!$IC$206,54,0),"")</f>
        <v>10</v>
      </c>
      <c r="F16" s="26">
        <f>IFERROR(VLOOKUP(L8,'Statement of Marks'!$B$7:'Statement of Marks'!$IC$206,55,0),"")</f>
        <v>8</v>
      </c>
      <c r="G16" s="26">
        <f>IFERROR(VLOOKUP(L8,'Statement of Marks'!$B$7:'Statement of Marks'!$IC$206,56,0),"")</f>
        <v>26</v>
      </c>
      <c r="H16" s="26">
        <f>IFERROR(VLOOKUP(L8,'Statement of Marks'!$B$7:'Statement of Marks'!$IC$206,57,0),"")</f>
        <v>46</v>
      </c>
      <c r="I16" s="26"/>
      <c r="J16" s="347">
        <f>IF(L8="","",IF(AND(H16="",I16=""),"",SUM(H16,I16)))</f>
        <v>46</v>
      </c>
      <c r="K16" s="679">
        <f>IFERROR(IF(L8="","",IF(AND(G16="",J16=""),"",SUM(G16,J16))),"")</f>
        <v>72</v>
      </c>
      <c r="L16" s="26">
        <f>IFERROR(VLOOKUP(L8,'Statement of Marks'!$B$7:'Statement of Marks'!$IC$206,59,0),"")</f>
        <v>70</v>
      </c>
      <c r="M16" s="26"/>
      <c r="N16" s="347">
        <f>IF(L8="","",IF(AND(L16="",M16=""),"",SUM(L16,M16)))</f>
        <v>70</v>
      </c>
      <c r="O16" s="674">
        <f>IFERROR(VLOOKUP(L8,'Statement of Marks'!$B$7:'Statement of Marks'!$IC$206,60,0),"")</f>
        <v>142</v>
      </c>
      <c r="P16" s="680" t="str">
        <f>IFERROR(IF(O13="","",IF(VLOOKUP(L8,'Statement of Marks'!$B$7:'Statement of Marks'!$IC$206,209,0)="D","I",IF(VLOOKUP(L8,'Statement of Marks'!$B$7:'Statement of Marks'!$IC$206,209,0)="G1","G",IF(VLOOKUP(L8,'Statement of Marks'!$B$7:'Statement of Marks'!$IC$206,209,0)="G2","G",VLOOKUP(L8,'Statement of Marks'!$B$7:'Statement of Marks'!$IC$206,209,0))))),"")</f>
        <v>I</v>
      </c>
      <c r="Q16" s="1686"/>
      <c r="R16" s="1674" t="str">
        <f>'Statement of Marks'!$BB$3</f>
        <v>गणित</v>
      </c>
      <c r="S16" s="1675"/>
      <c r="T16" s="26">
        <f>IFERROR(VLOOKUP(AB8,'Statement of Marks'!$B$7:'Statement of Marks'!$IC$206,53,0),"")</f>
        <v>8</v>
      </c>
      <c r="U16" s="26">
        <f>IFERROR(VLOOKUP(AB8,'Statement of Marks'!$B$7:'Statement of Marks'!$IC$206,54,0),"")</f>
        <v>9</v>
      </c>
      <c r="V16" s="26">
        <f>IFERROR(VLOOKUP(AB8,'Statement of Marks'!$B$7:'Statement of Marks'!$IC$206,55,0),"")</f>
        <v>8</v>
      </c>
      <c r="W16" s="26">
        <f>IFERROR(VLOOKUP(AB8,'Statement of Marks'!$B$7:'Statement of Marks'!$IC$206,56,0),"")</f>
        <v>25</v>
      </c>
      <c r="X16" s="26">
        <f>IFERROR(VLOOKUP(AB8,'Statement of Marks'!$B$7:'Statement of Marks'!$IC$206,57,0),"")</f>
        <v>46</v>
      </c>
      <c r="Y16" s="26"/>
      <c r="Z16" s="347">
        <f>IF(AB8="","",IF(AND(X16="",Y16=""),"",SUM(X16,Y16)))</f>
        <v>46</v>
      </c>
      <c r="AA16" s="679">
        <f>IFERROR(IF(AB8="","",IF(AND(W16="",Z16=""),"",SUM(W16,Z16))),"")</f>
        <v>71</v>
      </c>
      <c r="AB16" s="26">
        <f>IFERROR(VLOOKUP(AB8,'Statement of Marks'!$B$7:'Statement of Marks'!$IC$206,59,0),"")</f>
        <v>45</v>
      </c>
      <c r="AC16" s="26"/>
      <c r="AD16" s="347">
        <f>IF(AB8="","",IF(AND(AB16="",AC16=""),"",SUM(AB16,AC16)))</f>
        <v>45</v>
      </c>
      <c r="AE16" s="674">
        <f>IFERROR(VLOOKUP(AB8,'Statement of Marks'!$B$7:'Statement of Marks'!$IC$206,60,0),"")</f>
        <v>116</v>
      </c>
      <c r="AF16" s="680" t="str">
        <f>IFERROR(IF(AE13="","",IF(VLOOKUP(AB8,'Statement of Marks'!$B$7:'Statement of Marks'!$IC$206,209,0)="D","I",IF(VLOOKUP(AB8,'Statement of Marks'!$B$7:'Statement of Marks'!$IC$206,209,0)="G1","G",IF(VLOOKUP(AB8,'Statement of Marks'!$B$7:'Statement of Marks'!$IC$206,209,0)="G2","G",VLOOKUP(AB8,'Statement of Marks'!$B$7:'Statement of Marks'!$IC$206,209,0))))),"")</f>
        <v>II</v>
      </c>
      <c r="AV16"/>
      <c r="AW16"/>
      <c r="AX16"/>
      <c r="BA16"/>
      <c r="BB16"/>
      <c r="BC16"/>
    </row>
    <row r="17" spans="1:55" s="351" customFormat="1" ht="22.5" customHeight="1">
      <c r="A17" s="350"/>
      <c r="B17" s="1661" t="str">
        <f>'Statement of Marks'!$BP$3</f>
        <v>विज्ञान</v>
      </c>
      <c r="C17" s="1662"/>
      <c r="D17" s="26">
        <f>IFERROR(VLOOKUP(L8,'Statement of Marks'!$B$7:'Statement of Marks'!$IC$206,67,0),"")</f>
        <v>8</v>
      </c>
      <c r="E17" s="26">
        <f>IFERROR(VLOOKUP(L8,'Statement of Marks'!$B$7:'Statement of Marks'!$IC$206,68,0),"")</f>
        <v>10</v>
      </c>
      <c r="F17" s="26">
        <f>IFERROR(VLOOKUP(L8,'Statement of Marks'!$B$7:'Statement of Marks'!$IC$206,69,0),"")</f>
        <v>9</v>
      </c>
      <c r="G17" s="26">
        <f>IFERROR(VLOOKUP(L8,'Statement of Marks'!$B$7:'Statement of Marks'!$IC$206,70,0),"")</f>
        <v>27</v>
      </c>
      <c r="H17" s="26">
        <f>IFERROR(VLOOKUP(L8,'Statement of Marks'!$B$7:'Statement of Marks'!$IC$206,71,0),"")</f>
        <v>46</v>
      </c>
      <c r="I17" s="26"/>
      <c r="J17" s="347">
        <f>IF(L8="","",IF(AND(H17="",I17=""),"",SUM(H17,I17)))</f>
        <v>46</v>
      </c>
      <c r="K17" s="679">
        <f>IFERROR(IF(L8="","",IF(AND(G17="",J17=""),"",SUM(G17,J17))),"")</f>
        <v>73</v>
      </c>
      <c r="L17" s="26">
        <f>IFERROR(VLOOKUP(L8,'Statement of Marks'!$B$7:'Statement of Marks'!$IC$206,73,0),"")</f>
        <v>70</v>
      </c>
      <c r="M17" s="26"/>
      <c r="N17" s="347">
        <f>IF(L8="","",IF(AND(L17="",M17=""),"",SUM(L17,M17)))</f>
        <v>70</v>
      </c>
      <c r="O17" s="674">
        <f>IFERROR(VLOOKUP(L8,'Statement of Marks'!$B$7:'Statement of Marks'!$IC$206,74,0),"")</f>
        <v>143</v>
      </c>
      <c r="P17" s="680" t="str">
        <f>IFERROR(IF(O13="","",IF(VLOOKUP(L8,'Statement of Marks'!$B$7:'Statement of Marks'!$IC$206,212,0)="D","I",IF(VLOOKUP(L8,'Statement of Marks'!$B$7:'Statement of Marks'!$IC$206,212,0)="G1","G",IF(VLOOKUP(L8,'Statement of Marks'!$B$7:'Statement of Marks'!$IC$206,212,0)="G2","G",VLOOKUP(L8,'Statement of Marks'!$B$7:'Statement of Marks'!$IC$206,212,0))))),"")</f>
        <v>I</v>
      </c>
      <c r="Q17" s="1686"/>
      <c r="R17" s="1661" t="str">
        <f>'Statement of Marks'!$BP$3</f>
        <v>विज्ञान</v>
      </c>
      <c r="S17" s="1662"/>
      <c r="T17" s="26">
        <f>IFERROR(VLOOKUP(AB8,'Statement of Marks'!$B$7:'Statement of Marks'!$IC$206,67,0),"")</f>
        <v>8</v>
      </c>
      <c r="U17" s="26">
        <f>IFERROR(VLOOKUP(AB8,'Statement of Marks'!$B$7:'Statement of Marks'!$IC$206,68,0),"")</f>
        <v>9</v>
      </c>
      <c r="V17" s="26">
        <f>IFERROR(VLOOKUP(AB8,'Statement of Marks'!$B$7:'Statement of Marks'!$IC$206,69,0),"")</f>
        <v>9</v>
      </c>
      <c r="W17" s="26">
        <f>IFERROR(VLOOKUP(AB8,'Statement of Marks'!$B$7:'Statement of Marks'!$IC$206,70,0),"")</f>
        <v>26</v>
      </c>
      <c r="X17" s="26">
        <f>IFERROR(VLOOKUP(AB8,'Statement of Marks'!$B$7:'Statement of Marks'!$IC$206,71,0),"")</f>
        <v>46</v>
      </c>
      <c r="Y17" s="26"/>
      <c r="Z17" s="347">
        <f>IF(AB8="","",IF(AND(X17="",Y17=""),"",SUM(X17,Y17)))</f>
        <v>46</v>
      </c>
      <c r="AA17" s="679">
        <f>IFERROR(IF(AB8="","",IF(AND(W17="",Z17=""),"",SUM(W17,Z17))),"")</f>
        <v>72</v>
      </c>
      <c r="AB17" s="26">
        <f>IFERROR(VLOOKUP(AB8,'Statement of Marks'!$B$7:'Statement of Marks'!$IC$206,73,0),"")</f>
        <v>45</v>
      </c>
      <c r="AC17" s="26"/>
      <c r="AD17" s="347">
        <f>IF(AB8="","",IF(AND(AB17="",AC17=""),"",SUM(AB17,AC17)))</f>
        <v>45</v>
      </c>
      <c r="AE17" s="674">
        <f>IFERROR(VLOOKUP(AB8,'Statement of Marks'!$B$7:'Statement of Marks'!$IC$206,74,0),"")</f>
        <v>117</v>
      </c>
      <c r="AF17" s="680" t="str">
        <f>IFERROR(IF(AE13="","",IF(VLOOKUP(AB8,'Statement of Marks'!$B$7:'Statement of Marks'!$IC$206,212,0)="D","I",IF(VLOOKUP(AB8,'Statement of Marks'!$B$7:'Statement of Marks'!$IC$206,212,0)="G1","G",IF(VLOOKUP(AB8,'Statement of Marks'!$B$7:'Statement of Marks'!$IC$206,212,0)="G2","G",VLOOKUP(AB8,'Statement of Marks'!$B$7:'Statement of Marks'!$IC$206,212,0))))),"")</f>
        <v>II</v>
      </c>
      <c r="AV17"/>
      <c r="AW17"/>
      <c r="AX17"/>
      <c r="BA17"/>
      <c r="BB17"/>
      <c r="BC17"/>
    </row>
    <row r="18" spans="1:55" s="351" customFormat="1" ht="22.5" customHeight="1">
      <c r="A18" s="350"/>
      <c r="B18" s="409" t="str">
        <f>'Statement of Marks'!$CE$3</f>
        <v>सामाजिक विज्ञान</v>
      </c>
      <c r="C18" s="412" t="str">
        <f>IF(OR(L8="",O18="",O20=""),"",IF(AND(O18&gt;=O20),"*",""))</f>
        <v/>
      </c>
      <c r="D18" s="26">
        <f>IFERROR(VLOOKUP(L8,'Statement of Marks'!$B$7:'Statement of Marks'!$IC$206,82,0),"")</f>
        <v>9</v>
      </c>
      <c r="E18" s="26">
        <f>IFERROR(VLOOKUP(L8,'Statement of Marks'!$B$7:'Statement of Marks'!$IC$206,83,0),"")</f>
        <v>9</v>
      </c>
      <c r="F18" s="26">
        <f>IFERROR(VLOOKUP(L8,'Statement of Marks'!$B$7:'Statement of Marks'!$IC$206,84,0),"")</f>
        <v>9</v>
      </c>
      <c r="G18" s="26">
        <f>IFERROR(VLOOKUP(L8,'Statement of Marks'!$B$7:'Statement of Marks'!$IC$206,85,0),"")</f>
        <v>27</v>
      </c>
      <c r="H18" s="26">
        <f>IFERROR(VLOOKUP(L8,'Statement of Marks'!$B$7:'Statement of Marks'!$IC$206,86,0),"")</f>
        <v>46</v>
      </c>
      <c r="I18" s="26"/>
      <c r="J18" s="347">
        <f>IF(L8="","",IF(AND(H18="",I18=""),"",SUM(H18,I18)))</f>
        <v>46</v>
      </c>
      <c r="K18" s="679">
        <f>IFERROR(IF(L8="","",IF(AND(G18="",J18=""),"",SUM(G18,J18))),"")</f>
        <v>73</v>
      </c>
      <c r="L18" s="26">
        <f>IFERROR(VLOOKUP(L8,'Statement of Marks'!$B$7:'Statement of Marks'!$IC$206,88,0),"")</f>
        <v>70</v>
      </c>
      <c r="M18" s="26"/>
      <c r="N18" s="347">
        <f>IF(L8="","",IF(AND(L18="",M18=""),"",SUM(L18,M18)))</f>
        <v>70</v>
      </c>
      <c r="O18" s="674">
        <f>IFERROR(VLOOKUP(L8,'Statement of Marks'!$B$7:'Statement of Marks'!$IC$206,89,0),"")</f>
        <v>143</v>
      </c>
      <c r="P18" s="680" t="str">
        <f>IFERROR(IF(O13="","",IF(VLOOKUP(L8,'Statement of Marks'!$B$7:'Statement of Marks'!$IC$206,215,0)="D","I",IF(VLOOKUP(L8,'Statement of Marks'!$B$7:'Statement of Marks'!$IC$206,215,0)="G1","G",IF(VLOOKUP(L8,'Statement of Marks'!$B$7:'Statement of Marks'!$IC$206,215,0)="G2","G",VLOOKUP(L8,'Statement of Marks'!$B$7:'Statement of Marks'!$IC$206,215,0))))),"")</f>
        <v>I</v>
      </c>
      <c r="Q18" s="1686"/>
      <c r="R18" s="409" t="str">
        <f>'Statement of Marks'!$CE$3</f>
        <v>सामाजिक विज्ञान</v>
      </c>
      <c r="S18" s="412" t="str">
        <f>IF(OR(AB8="",AE18="",AE20=""),"",IF(AND(AE18&gt;=AE20),"*",""))</f>
        <v>*</v>
      </c>
      <c r="T18" s="26">
        <f>IFERROR(VLOOKUP(AB8,'Statement of Marks'!$B$7:'Statement of Marks'!$IC$206,82,0),"")</f>
        <v>10</v>
      </c>
      <c r="U18" s="26">
        <f>IFERROR(VLOOKUP(AB8,'Statement of Marks'!$B$7:'Statement of Marks'!$IC$206,83,0),"")</f>
        <v>10</v>
      </c>
      <c r="V18" s="26">
        <f>IFERROR(VLOOKUP(AB8,'Statement of Marks'!$B$7:'Statement of Marks'!$IC$206,84,0),"")</f>
        <v>10</v>
      </c>
      <c r="W18" s="26">
        <f>IFERROR(VLOOKUP(AB8,'Statement of Marks'!$B$7:'Statement of Marks'!$IC$206,85,0),"")</f>
        <v>30</v>
      </c>
      <c r="X18" s="26">
        <f>IFERROR(VLOOKUP(AB8,'Statement of Marks'!$B$7:'Statement of Marks'!$IC$206,86,0),"")</f>
        <v>46</v>
      </c>
      <c r="Y18" s="26"/>
      <c r="Z18" s="347">
        <f>IF(AB8="","",IF(AND(X18="",Y18=""),"",SUM(X18,Y18)))</f>
        <v>46</v>
      </c>
      <c r="AA18" s="679">
        <f>IFERROR(IF(AB8="","",IF(AND(W18="",Z18=""),"",SUM(W18,Z18))),"")</f>
        <v>76</v>
      </c>
      <c r="AB18" s="26">
        <f>IFERROR(VLOOKUP(AB8,'Statement of Marks'!$B$7:'Statement of Marks'!$IC$206,88,0),"")</f>
        <v>45</v>
      </c>
      <c r="AC18" s="26"/>
      <c r="AD18" s="347">
        <f>IF(AB8="","",IF(AND(AB18="",AC18=""),"",SUM(AB18,AC18)))</f>
        <v>45</v>
      </c>
      <c r="AE18" s="674">
        <f>IFERROR(VLOOKUP(AB8,'Statement of Marks'!$B$7:'Statement of Marks'!$IC$206,89,0),"")</f>
        <v>121</v>
      </c>
      <c r="AF18" s="680" t="str">
        <f>IFERROR(IF(AE13="","",IF(VLOOKUP(AB8,'Statement of Marks'!$B$7:'Statement of Marks'!$IC$206,215,0)="D","I",IF(VLOOKUP(AB8,'Statement of Marks'!$B$7:'Statement of Marks'!$IC$206,215,0)="G1","G",IF(VLOOKUP(AB8,'Statement of Marks'!$B$7:'Statement of Marks'!$IC$206,215,0)="G2","G",VLOOKUP(AB8,'Statement of Marks'!$B$7:'Statement of Marks'!$IC$206,215,0))))),"")</f>
        <v>I</v>
      </c>
      <c r="AV18"/>
      <c r="AW18"/>
      <c r="AX18"/>
      <c r="BA18"/>
      <c r="BB18"/>
      <c r="BC18"/>
    </row>
    <row r="19" spans="1:55" s="351" customFormat="1" ht="19.5" customHeight="1">
      <c r="A19" s="350"/>
      <c r="B19" s="1663" t="str">
        <f>IF('School Profile'!$D$12="Hindi","व्यावसायिक शिक्षा","Vocational Education")</f>
        <v>व्यावसायिक शिक्षा</v>
      </c>
      <c r="C19" s="1664"/>
      <c r="D19" s="1665"/>
      <c r="E19" s="1665"/>
      <c r="F19" s="1665"/>
      <c r="G19" s="1665"/>
      <c r="H19" s="1665"/>
      <c r="I19" s="1665"/>
      <c r="J19" s="1665"/>
      <c r="K19" s="1665"/>
      <c r="L19" s="1665"/>
      <c r="M19" s="1665"/>
      <c r="N19" s="1665"/>
      <c r="O19" s="1665"/>
      <c r="P19" s="1666"/>
      <c r="Q19" s="1686"/>
      <c r="R19" s="1663" t="str">
        <f>IF('School Profile'!$D$12="Hindi","व्यावसायिक शिक्षा","Vocational Education")</f>
        <v>व्यावसायिक शिक्षा</v>
      </c>
      <c r="S19" s="1664"/>
      <c r="T19" s="1665"/>
      <c r="U19" s="1665"/>
      <c r="V19" s="1665"/>
      <c r="W19" s="1665"/>
      <c r="X19" s="1665"/>
      <c r="Y19" s="1665"/>
      <c r="Z19" s="1665"/>
      <c r="AA19" s="1665"/>
      <c r="AB19" s="1665"/>
      <c r="AC19" s="1665"/>
      <c r="AD19" s="1665"/>
      <c r="AE19" s="1665"/>
      <c r="AF19" s="1666"/>
      <c r="AV19"/>
      <c r="AW19"/>
      <c r="AX19"/>
      <c r="BA19"/>
      <c r="BB19"/>
      <c r="BC19"/>
    </row>
    <row r="20" spans="1:55" s="351" customFormat="1" ht="22.5" customHeight="1">
      <c r="A20" s="350"/>
      <c r="B20" s="411" t="str">
        <f>IFERROR(VLOOKUP(L8,'Statement of Marks'!$B$7:'Statement of Marks'!$IC$206,96,0),"")</f>
        <v>BEAUTY AND HEALTH</v>
      </c>
      <c r="C20" s="410" t="str">
        <f>IF(OR(L8="",O18="",O20="",B20=""),"",IF(AND(O20&gt;=O18),"*",""))</f>
        <v>*</v>
      </c>
      <c r="D20" s="397">
        <f>IFERROR(VLOOKUP(L8,'Statement of Marks'!$B$7:'Statement of Marks'!$IC$206,97,0),"")</f>
        <v>8</v>
      </c>
      <c r="E20" s="26">
        <f>IFERROR(VLOOKUP(L8,'Statement of Marks'!$B$7:'Statement of Marks'!$IC$206,98,0),"")</f>
        <v>8</v>
      </c>
      <c r="F20" s="26">
        <f>IFERROR(VLOOKUP(L8,'Statement of Marks'!$B$7:'Statement of Marks'!$IC$206,99,0),"")</f>
        <v>8</v>
      </c>
      <c r="G20" s="26">
        <f>IFERROR(VLOOKUP(L8,'Statement of Marks'!$B$7:'Statement of Marks'!$IC$206,100,0),"")</f>
        <v>24</v>
      </c>
      <c r="H20" s="27">
        <f>IFERROR(VLOOKUP(L8,'Statement of Marks'!$B$7:'Statement of Marks'!$IC$206,101,0),"")</f>
        <v>31</v>
      </c>
      <c r="I20" s="27">
        <f>IFERROR(VLOOKUP(L8,'Statement of Marks'!$B$7:'Statement of Marks'!$IC$206,102,0),"")</f>
        <v>32</v>
      </c>
      <c r="J20" s="347">
        <f>IFERROR(VLOOKUP(L8,'Statement of Marks'!$B$7:'Statement of Marks'!$IC$206,103,0),"")</f>
        <v>63</v>
      </c>
      <c r="K20" s="679">
        <f>IFERROR(IF(L8="","",IF(AND(G20="",J20=""),"",SUM(G20,J20))),"")</f>
        <v>87</v>
      </c>
      <c r="L20" s="26">
        <f>IFERROR(VLOOKUP(L8,'Statement of Marks'!$B$7:'Statement of Marks'!$IC$206,105,0),"")</f>
        <v>43</v>
      </c>
      <c r="M20" s="26">
        <f>IFERROR(VLOOKUP(L8,'Statement of Marks'!$B$7:'Statement of Marks'!$IC$206,106,0),"")</f>
        <v>44</v>
      </c>
      <c r="N20" s="347">
        <f>IF(L8="","",IF(AND(L20="",M20=""),"",SUM(L20,M20)))</f>
        <v>87</v>
      </c>
      <c r="O20" s="672">
        <f>IFERROR(VLOOKUP(L8,'Statement of Marks'!$B$7:'Statement of Marks'!$IC$206,108,0),"")</f>
        <v>174</v>
      </c>
      <c r="P20" s="680" t="str">
        <f>IFERROR(IF(O13="","",IF(VLOOKUP(L8,'Statement of Marks'!$B$7:'Statement of Marks'!$IC$206,218,0)="D","I",IF(VLOOKUP(L8,'Statement of Marks'!$B$7:'Statement of Marks'!$IC$206,218,0)="G1","G",IF(VLOOKUP(L8,'Statement of Marks'!$B$7:'Statement of Marks'!$IC$206,218,0)="G2","G",VLOOKUP(L8,'Statement of Marks'!$B$7:'Statement of Marks'!$IC$206,218,0))))),"")</f>
        <v>I</v>
      </c>
      <c r="Q20" s="1686"/>
      <c r="R20" s="411" t="str">
        <f>IFERROR(VLOOKUP(AB8,'Statement of Marks'!$B$7:'Statement of Marks'!$IC$206,96,0),"")</f>
        <v>AUTOMOBILE</v>
      </c>
      <c r="S20" s="410" t="str">
        <f>IF(OR(AB8="",AE18="",AE20="",R20=""),"",IF(AND(AE20&gt;=AE18),"*",""))</f>
        <v/>
      </c>
      <c r="T20" s="397">
        <f>IFERROR(VLOOKUP(AB8,'Statement of Marks'!$B$7:'Statement of Marks'!$IC$206,97,0),"")</f>
        <v>4</v>
      </c>
      <c r="U20" s="26">
        <f>IFERROR(VLOOKUP(AB8,'Statement of Marks'!$B$7:'Statement of Marks'!$IC$206,98,0),"")</f>
        <v>4</v>
      </c>
      <c r="V20" s="26">
        <f>IFERROR(VLOOKUP(AB8,'Statement of Marks'!$B$7:'Statement of Marks'!$IC$206,99,0),"")</f>
        <v>4</v>
      </c>
      <c r="W20" s="26">
        <f>IFERROR(VLOOKUP(AB8,'Statement of Marks'!$B$7:'Statement of Marks'!$IC$206,100,0),"")</f>
        <v>12</v>
      </c>
      <c r="X20" s="27">
        <f>IFERROR(VLOOKUP(AB8,'Statement of Marks'!$B$7:'Statement of Marks'!$IC$206,101,0),"")</f>
        <v>15</v>
      </c>
      <c r="Y20" s="27">
        <f>IFERROR(VLOOKUP(AB8,'Statement of Marks'!$B$7:'Statement of Marks'!$IC$206,102,0),"")</f>
        <v>15</v>
      </c>
      <c r="Z20" s="347">
        <f>IFERROR(VLOOKUP(AB8,'Statement of Marks'!$B$7:'Statement of Marks'!$IC$206,103,0),"")</f>
        <v>30</v>
      </c>
      <c r="AA20" s="679">
        <f>IFERROR(IF(AB8="","",IF(AND(W20="",Z20=""),"",SUM(W20,Z20))),"")</f>
        <v>42</v>
      </c>
      <c r="AB20" s="26">
        <f>IFERROR(VLOOKUP(AB8,'Statement of Marks'!$B$7:'Statement of Marks'!$IC$206,105,0),"")</f>
        <v>30</v>
      </c>
      <c r="AC20" s="26">
        <f>IFERROR(VLOOKUP(AB8,'Statement of Marks'!$B$7:'Statement of Marks'!$IC$206,106,0),"")</f>
        <v>30</v>
      </c>
      <c r="AD20" s="347">
        <f>IF(AB8="","",IF(AND(AB20="",AC20=""),"",SUM(AB20,AC20)))</f>
        <v>60</v>
      </c>
      <c r="AE20" s="672">
        <f>IFERROR(VLOOKUP(AB8,'Statement of Marks'!$B$7:'Statement of Marks'!$IC$206,108,0),"")</f>
        <v>102</v>
      </c>
      <c r="AF20" s="680" t="str">
        <f>IFERROR(IF(AE13="","",IF(VLOOKUP(AB8,'Statement of Marks'!$B$7:'Statement of Marks'!$IC$206,218,0)="D","I",IF(VLOOKUP(AB8,'Statement of Marks'!$B$7:'Statement of Marks'!$IC$206,218,0)="G1","G",IF(VLOOKUP(AB8,'Statement of Marks'!$B$7:'Statement of Marks'!$IC$206,218,0)="G2","G",VLOOKUP(AB8,'Statement of Marks'!$B$7:'Statement of Marks'!$IC$206,218,0))))),"")</f>
        <v>II</v>
      </c>
      <c r="AV20"/>
      <c r="AW20"/>
      <c r="AX20"/>
      <c r="BA20"/>
      <c r="BB20"/>
      <c r="BC20"/>
    </row>
    <row r="21" spans="1:55" s="351" customFormat="1" ht="25.5" customHeight="1">
      <c r="A21" s="350"/>
      <c r="B21" s="1667"/>
      <c r="C21" s="1668"/>
      <c r="D21" s="1669"/>
      <c r="E21" s="1669"/>
      <c r="F21" s="1669"/>
      <c r="G21" s="1669"/>
      <c r="H21" s="1669"/>
      <c r="I21" s="1669"/>
      <c r="J21" s="1669"/>
      <c r="K21" s="1669"/>
      <c r="L21" s="1670" t="str">
        <f>IF('School Profile'!$D$12="Hindi","महायोग :","Grand Total :")</f>
        <v>महायोग :</v>
      </c>
      <c r="M21" s="1671"/>
      <c r="N21" s="1671"/>
      <c r="O21" s="1672">
        <f>IF(OR(L8="",C6=""),"",IF(OR(B20="",O20=""),SUM(O13,O14,O15,O16,O17,O18),IF((O18/O12*100)&gt;=(O20/O12*100),SUM(O13:O18),SUM(O13,O14,O15,O16,O17,O20))))</f>
        <v>886</v>
      </c>
      <c r="P21" s="1673"/>
      <c r="Q21" s="1686"/>
      <c r="R21" s="1667"/>
      <c r="S21" s="1668"/>
      <c r="T21" s="1669"/>
      <c r="U21" s="1669"/>
      <c r="V21" s="1669"/>
      <c r="W21" s="1669"/>
      <c r="X21" s="1669"/>
      <c r="Y21" s="1669"/>
      <c r="Z21" s="1669"/>
      <c r="AA21" s="1669"/>
      <c r="AB21" s="1670" t="str">
        <f>IF('School Profile'!$D$12="Hindi","महायोग :","Grand Total :")</f>
        <v>महायोग :</v>
      </c>
      <c r="AC21" s="1671"/>
      <c r="AD21" s="1671"/>
      <c r="AE21" s="1672">
        <f>IF(OR(AB8="",S6=""),"",IF(OR(R20="",AE20=""),SUM(AE13,AE14,AE15,AE16,AE17,AE18),IF((AE18/AE12*100)&gt;=(AE20/AE12*100),SUM(AE13:AE18),SUM(AE13,AE14,AE15,AE16,AE17,AE20))))</f>
        <v>859</v>
      </c>
      <c r="AF21" s="1673"/>
      <c r="AV21"/>
      <c r="AW21"/>
      <c r="AX21"/>
      <c r="BA21"/>
      <c r="BB21"/>
      <c r="BC21"/>
    </row>
    <row r="22" spans="1:55" s="351" customFormat="1" ht="25.5" customHeight="1">
      <c r="A22" s="350"/>
      <c r="B22" s="1647" t="str">
        <f>'Statement of Marks'!$DZ$208</f>
        <v>राजस्थान का स्वंत्रता आन्दोलन व शोर्य परम्परा</v>
      </c>
      <c r="C22" s="1648"/>
      <c r="D22" s="1649" t="s">
        <v>148</v>
      </c>
      <c r="E22" s="1650"/>
      <c r="F22" s="355">
        <f>IFERROR(VLOOKUP(L8,'Statement of Marks'!$B$7:'Statement of Marks'!$IC$206,136,0),"")</f>
        <v>190</v>
      </c>
      <c r="G22" s="356" t="s">
        <v>134</v>
      </c>
      <c r="H22" s="355" t="str">
        <f>IFERROR(VLOOKUP(L8,'Statement of Marks'!$B$7:'Statement of Marks'!$IC$206,137,0),"")</f>
        <v>A</v>
      </c>
      <c r="I22" s="1651" t="str">
        <f>'Statement of Marks'!$EL$208</f>
        <v>सूचना प्रोद्योगिकी की अवधारणा - I</v>
      </c>
      <c r="J22" s="1652"/>
      <c r="K22" s="1652"/>
      <c r="L22" s="1653"/>
      <c r="M22" s="354" t="s">
        <v>148</v>
      </c>
      <c r="N22" s="355">
        <f>IFERROR(VLOOKUP(L8,'Statement of Marks'!$B$7:'Statement of Marks'!$IC$206,152,0),"")</f>
        <v>175</v>
      </c>
      <c r="O22" s="356" t="s">
        <v>134</v>
      </c>
      <c r="P22" s="355" t="str">
        <f>IFERROR(VLOOKUP(L8,'Statement of Marks'!$B$7:'Statement of Marks'!$IC$206,153,0),"")</f>
        <v>A</v>
      </c>
      <c r="Q22" s="1686"/>
      <c r="R22" s="1647" t="str">
        <f>'Statement of Marks'!$DZ$208</f>
        <v>राजस्थान का स्वंत्रता आन्दोलन व शोर्य परम्परा</v>
      </c>
      <c r="S22" s="1648"/>
      <c r="T22" s="1649" t="s">
        <v>148</v>
      </c>
      <c r="U22" s="1650"/>
      <c r="V22" s="355">
        <f>IFERROR(VLOOKUP(AB8,'Statement of Marks'!$B$7:'Statement of Marks'!$IC$206,136,0),"")</f>
        <v>177</v>
      </c>
      <c r="W22" s="356" t="s">
        <v>134</v>
      </c>
      <c r="X22" s="355" t="str">
        <f>IFERROR(VLOOKUP(AB8,'Statement of Marks'!$B$7:'Statement of Marks'!$IC$206,137,0),"")</f>
        <v>A</v>
      </c>
      <c r="Y22" s="1651" t="str">
        <f>'Statement of Marks'!$EL$208</f>
        <v>सूचना प्रोद्योगिकी की अवधारणा - I</v>
      </c>
      <c r="Z22" s="1652"/>
      <c r="AA22" s="1652"/>
      <c r="AB22" s="1653"/>
      <c r="AC22" s="354" t="s">
        <v>148</v>
      </c>
      <c r="AD22" s="355">
        <f>IFERROR(VLOOKUP(AB8,'Statement of Marks'!$B$7:'Statement of Marks'!$IC$206,152,0),"")</f>
        <v>177</v>
      </c>
      <c r="AE22" s="356" t="s">
        <v>134</v>
      </c>
      <c r="AF22" s="355" t="str">
        <f>IFERROR(VLOOKUP(AB8,'Statement of Marks'!$B$7:'Statement of Marks'!$IC$206,153,0),"")</f>
        <v>A</v>
      </c>
      <c r="AV22"/>
      <c r="AW22"/>
      <c r="AX22"/>
      <c r="BA22"/>
      <c r="BB22"/>
      <c r="BC22"/>
    </row>
    <row r="23" spans="1:55" s="351" customFormat="1" ht="25.5" customHeight="1">
      <c r="A23" s="350"/>
      <c r="B23" s="1654" t="str">
        <f>'Statement of Marks'!$FB$208</f>
        <v>स्वा. एवं शा. शिक्षा</v>
      </c>
      <c r="C23" s="1655"/>
      <c r="D23" s="1656" t="s">
        <v>148</v>
      </c>
      <c r="E23" s="1657"/>
      <c r="F23" s="355">
        <f>IFERROR(VLOOKUP(L8,'Statement of Marks'!$B$7:'Statement of Marks'!$IC$206,171,0),"")</f>
        <v>153</v>
      </c>
      <c r="G23" s="356" t="s">
        <v>134</v>
      </c>
      <c r="H23" s="355" t="str">
        <f>IFERROR(VLOOKUP(L8,'Statement of Marks'!$B$7:'Statement of Marks'!$IC$206,172,0),"")</f>
        <v>B</v>
      </c>
      <c r="I23" s="1658" t="str">
        <f>'Statement of Marks'!$FJ$208</f>
        <v>समाजोपयोगी उत्पादन कार्य एवं समाज सेवा</v>
      </c>
      <c r="J23" s="1659"/>
      <c r="K23" s="1659"/>
      <c r="L23" s="1660"/>
      <c r="M23" s="403" t="s">
        <v>148</v>
      </c>
      <c r="N23" s="404">
        <f>IFERROR(VLOOKUP(L8,'Statement of Marks'!$B$7:'Statement of Marks'!$IC$206,179,0),"")</f>
        <v>91</v>
      </c>
      <c r="O23" s="405" t="s">
        <v>134</v>
      </c>
      <c r="P23" s="404" t="str">
        <f>IFERROR(VLOOKUP(L8,'Statement of Marks'!$B$7:'Statement of Marks'!$IC$206,180,0),"")</f>
        <v>A</v>
      </c>
      <c r="Q23" s="1686"/>
      <c r="R23" s="1654" t="str">
        <f>'Statement of Marks'!$FB$208</f>
        <v>स्वा. एवं शा. शिक्षा</v>
      </c>
      <c r="S23" s="1655"/>
      <c r="T23" s="1656" t="s">
        <v>148</v>
      </c>
      <c r="U23" s="1657"/>
      <c r="V23" s="355">
        <f>IFERROR(VLOOKUP(AB8,'Statement of Marks'!$B$7:'Statement of Marks'!$IC$206,171,0),"")</f>
        <v>148</v>
      </c>
      <c r="W23" s="356" t="s">
        <v>134</v>
      </c>
      <c r="X23" s="355" t="str">
        <f>IFERROR(VLOOKUP(AB8,'Statement of Marks'!$B$7:'Statement of Marks'!$IC$206,172,0),"")</f>
        <v>B</v>
      </c>
      <c r="Y23" s="1658" t="str">
        <f>'Statement of Marks'!$FJ$208</f>
        <v>समाजोपयोगी उत्पादन कार्य एवं समाज सेवा</v>
      </c>
      <c r="Z23" s="1659"/>
      <c r="AA23" s="1659"/>
      <c r="AB23" s="1660"/>
      <c r="AC23" s="403" t="s">
        <v>148</v>
      </c>
      <c r="AD23" s="404">
        <f>IFERROR(VLOOKUP(AB8,'Statement of Marks'!$B$7:'Statement of Marks'!$IC$206,179,0),"")</f>
        <v>94</v>
      </c>
      <c r="AE23" s="405" t="s">
        <v>134</v>
      </c>
      <c r="AF23" s="404" t="str">
        <f>IFERROR(VLOOKUP(AB8,'Statement of Marks'!$B$7:'Statement of Marks'!$IC$206,180,0),"")</f>
        <v>A</v>
      </c>
      <c r="AV23"/>
      <c r="AW23"/>
      <c r="AX23"/>
      <c r="BA23"/>
      <c r="BB23"/>
      <c r="BC23"/>
    </row>
    <row r="24" spans="1:55" s="351" customFormat="1" ht="25.5" customHeight="1">
      <c r="A24" s="350"/>
      <c r="B24" s="1626" t="str">
        <f>'Statement of Marks'!$FU$208</f>
        <v>कला शिक्षा</v>
      </c>
      <c r="C24" s="1627"/>
      <c r="D24" s="1628" t="s">
        <v>148</v>
      </c>
      <c r="E24" s="1629"/>
      <c r="F24" s="404">
        <f>IFERROR(VLOOKUP(L8,'Statement of Marks'!$B$7:'Statement of Marks'!$IC$206,187,0),"")</f>
        <v>66</v>
      </c>
      <c r="G24" s="405" t="s">
        <v>134</v>
      </c>
      <c r="H24" s="355" t="str">
        <f>IFERROR(VLOOKUP(L8,'Statement of Marks'!$B$7:'Statement of Marks'!$IC$206,188,0),"")</f>
        <v>B</v>
      </c>
      <c r="I24" s="1630" t="str">
        <f>IF('School Profile'!$D$12="Hindi","परीक्षा परिणाम घोषित दिनांक :-","Date of Result declaration :-")</f>
        <v>परीक्षा परिणाम घोषित दिनांक :-</v>
      </c>
      <c r="J24" s="1631"/>
      <c r="K24" s="1631"/>
      <c r="L24" s="1632"/>
      <c r="M24" s="1633">
        <f>IF(AND(L8=""),"",IF('School Profile'!$D$11="","",'School Profile'!$D$11))</f>
        <v>46106</v>
      </c>
      <c r="N24" s="1634"/>
      <c r="O24" s="690" t="str">
        <f>IF('School Profile'!$D$12="Hindi","श्रेणी","Division")</f>
        <v>श्रेणी</v>
      </c>
      <c r="P24" s="407" t="str">
        <f>IFERROR(VLOOKUP(L8,'Statement of Marks'!$B$7:'Statement of Marks'!$IC$206,229,0),"")</f>
        <v>1st</v>
      </c>
      <c r="Q24" s="1686"/>
      <c r="R24" s="1626" t="str">
        <f>'Statement of Marks'!$FU$208</f>
        <v>कला शिक्षा</v>
      </c>
      <c r="S24" s="1627"/>
      <c r="T24" s="1628" t="s">
        <v>148</v>
      </c>
      <c r="U24" s="1629"/>
      <c r="V24" s="404">
        <f>IFERROR(VLOOKUP(AB8,'Statement of Marks'!$B$7:'Statement of Marks'!$IC$206,187,0),"")</f>
        <v>75</v>
      </c>
      <c r="W24" s="405" t="s">
        <v>134</v>
      </c>
      <c r="X24" s="355" t="str">
        <f>IFERROR(VLOOKUP(AB8,'Statement of Marks'!$B$7:'Statement of Marks'!$IC$206,188,0),"")</f>
        <v>B</v>
      </c>
      <c r="Y24" s="1630" t="str">
        <f>IF('School Profile'!$D$12="Hindi","परीक्षा परिणाम घोषित दिनांक :-","Date of Result declaration :-")</f>
        <v>परीक्षा परिणाम घोषित दिनांक :-</v>
      </c>
      <c r="Z24" s="1631"/>
      <c r="AA24" s="1631"/>
      <c r="AB24" s="1632"/>
      <c r="AC24" s="1633">
        <f>IF(AND(AB8=""),"",IF('School Profile'!$D$11="","",'School Profile'!$D$11))</f>
        <v>46106</v>
      </c>
      <c r="AD24" s="1634"/>
      <c r="AE24" s="690" t="str">
        <f>IF('School Profile'!$D$12="Hindi","श्रेणी","Division")</f>
        <v>श्रेणी</v>
      </c>
      <c r="AF24" s="407" t="str">
        <f>IFERROR(VLOOKUP(AB8,'Statement of Marks'!$B$7:'Statement of Marks'!$IC$206,229,0),"")</f>
        <v>1st</v>
      </c>
      <c r="AV24"/>
      <c r="AW24"/>
      <c r="AX24"/>
      <c r="BA24"/>
      <c r="BB24"/>
      <c r="BC24"/>
    </row>
    <row r="25" spans="1:55" s="351" customFormat="1" ht="30" customHeight="1">
      <c r="A25" s="350"/>
      <c r="B25" s="1635" t="s">
        <v>143</v>
      </c>
      <c r="C25" s="1636"/>
      <c r="D25" s="1637">
        <f>IFERROR(VLOOKUP(L8,'Statement of Marks'!$B$7:'Statement of Marks'!$IC$206,192,0),"")</f>
        <v>200</v>
      </c>
      <c r="E25" s="1638"/>
      <c r="F25" s="1639" t="s">
        <v>76</v>
      </c>
      <c r="G25" s="1640"/>
      <c r="H25" s="406">
        <f>IFERROR(VLOOKUP(L8,'Statement of Marks'!$B$7:'Statement of Marks'!$IC$206,193,0),"")</f>
        <v>192</v>
      </c>
      <c r="I25" s="1641" t="s">
        <v>135</v>
      </c>
      <c r="J25" s="1642"/>
      <c r="K25" s="1643">
        <f>IFERROR(IF(OR(O21="",L8=""),"",VLOOKUP(L8,'Statement of Marks'!$B$7:'Statement of Marks'!$IC$206,230,0)),"")</f>
        <v>73.833333333333329</v>
      </c>
      <c r="L25" s="1644"/>
      <c r="M25" s="1645" t="s">
        <v>144</v>
      </c>
      <c r="N25" s="1646"/>
      <c r="O25" s="1646"/>
      <c r="P25" s="408">
        <f>IFERROR(VLOOKUP(L8,'Statement of Marks'!$B$7:'Statement of Marks'!$IC$206,231,0),"")</f>
        <v>1.0000000000000013</v>
      </c>
      <c r="Q25" s="1686"/>
      <c r="R25" s="1635" t="s">
        <v>143</v>
      </c>
      <c r="S25" s="1636"/>
      <c r="T25" s="1637">
        <f>IFERROR(VLOOKUP(AB8,'Statement of Marks'!$B$7:'Statement of Marks'!$IC$206,192,0),"")</f>
        <v>210</v>
      </c>
      <c r="U25" s="1638"/>
      <c r="V25" s="1639" t="s">
        <v>76</v>
      </c>
      <c r="W25" s="1640"/>
      <c r="X25" s="406">
        <f>IFERROR(VLOOKUP(AB8,'Statement of Marks'!$B$7:'Statement of Marks'!$IC$206,193,0),"")</f>
        <v>202</v>
      </c>
      <c r="Y25" s="1641" t="s">
        <v>135</v>
      </c>
      <c r="Z25" s="1642"/>
      <c r="AA25" s="1643">
        <f>IFERROR(IF(OR(AE21="",AB8=""),"",VLOOKUP(AB8,'Statement of Marks'!$B$7:'Statement of Marks'!$IC$206,230,0)),"")</f>
        <v>71.583333333333329</v>
      </c>
      <c r="AB25" s="1644"/>
      <c r="AC25" s="1645" t="s">
        <v>144</v>
      </c>
      <c r="AD25" s="1646"/>
      <c r="AE25" s="1646"/>
      <c r="AF25" s="408">
        <f>IFERROR(VLOOKUP(AB8,'Statement of Marks'!$B$7:'Statement of Marks'!$IC$206,231,0),"")</f>
        <v>2.0000000000000018</v>
      </c>
      <c r="AV25"/>
      <c r="AW25"/>
      <c r="AX25"/>
      <c r="BA25"/>
      <c r="BB25"/>
      <c r="BC25"/>
    </row>
    <row r="26" spans="1:55" s="351" customFormat="1" ht="25.5" customHeight="1">
      <c r="A26" s="350"/>
      <c r="B26" s="1616" t="str">
        <f>IF('School Profile'!$D$12="Hindi","मुख्य परीक्षा परिणाम ","Main Exam Result")</f>
        <v xml:space="preserve">मुख्य परीक्षा परिणाम </v>
      </c>
      <c r="C26" s="1616"/>
      <c r="D26" s="1617"/>
      <c r="E26" s="1617"/>
      <c r="F26" s="1617"/>
      <c r="G26" s="1617" t="str">
        <f>IF('School Profile'!$D$12="Hindi","विशेष योग्यता प्राप्त विषय","Subjects Of Dictation Marks")</f>
        <v>विशेष योग्यता प्राप्त विषय</v>
      </c>
      <c r="H26" s="1617"/>
      <c r="I26" s="1617"/>
      <c r="J26" s="1617"/>
      <c r="K26" s="1617"/>
      <c r="L26" s="1618" t="str">
        <f>IF('School Profile'!$D$12="Hindi","पूरक विषय","Supplementary Subject")</f>
        <v>पूरक विषय</v>
      </c>
      <c r="M26" s="1619"/>
      <c r="N26" s="1619"/>
      <c r="O26" s="1619"/>
      <c r="P26" s="1620"/>
      <c r="Q26" s="1686"/>
      <c r="R26" s="1616" t="str">
        <f>IF('School Profile'!$D$12="Hindi","मुख्य परीक्षा परिणाम ","Main Exam Result")</f>
        <v xml:space="preserve">मुख्य परीक्षा परिणाम </v>
      </c>
      <c r="S26" s="1616"/>
      <c r="T26" s="1617"/>
      <c r="U26" s="1617"/>
      <c r="V26" s="1617"/>
      <c r="W26" s="1617" t="str">
        <f>IF('School Profile'!$D$12="Hindi","विशेष योग्यता प्राप्त विषय","Subjects Of Dictation Marks")</f>
        <v>विशेष योग्यता प्राप्त विषय</v>
      </c>
      <c r="X26" s="1617"/>
      <c r="Y26" s="1617"/>
      <c r="Z26" s="1617"/>
      <c r="AA26" s="1617"/>
      <c r="AB26" s="1618" t="str">
        <f>IF('School Profile'!$D$12="Hindi","पूरक विषय","Supplementary Subject")</f>
        <v>पूरक विषय</v>
      </c>
      <c r="AC26" s="1619"/>
      <c r="AD26" s="1619"/>
      <c r="AE26" s="1619"/>
      <c r="AF26" s="1620"/>
      <c r="AV26"/>
      <c r="AW26"/>
      <c r="AX26"/>
      <c r="BA26"/>
      <c r="BB26"/>
      <c r="BC26"/>
    </row>
    <row r="27" spans="1:55" s="351" customFormat="1" ht="42.75" customHeight="1">
      <c r="A27" s="350"/>
      <c r="B27" s="1621" t="str">
        <f>IFERROR(IF(VLOOKUP(L8,'Statement of Marks'!$B$7:'Statement of Marks'!$IC$206,226,0)="By Grace Pass","By Grace Pass and Promoted to Class 10th",IF(VLOOKUP(L8,'Statement of Marks'!$B$7:'Statement of Marks'!$IC$206,226,0)="PASS","PASS  and Promoted to Class 10th",IF(VLOOKUP(L8,'Statement of Marks'!$B$7:'Statement of Marks'!$IC$206,226,0)="SUPPLEMENTARY","Supplementary",IF(VLOOKUP(L8,'Statement of Marks'!$B$7:'Statement of Marks'!$IC$206,226,0)="Re-Exam","RE-EXAM",IF(VLOOKUP(L8,'Statement of Marks'!$B$7:'Statement of Marks'!$IC$206,226,0)="FAIL","FAIL",""))))),"")</f>
        <v>PASS  and Promoted to Class 10th</v>
      </c>
      <c r="C27" s="1621"/>
      <c r="D27" s="1621"/>
      <c r="E27" s="1621"/>
      <c r="F27" s="1621"/>
      <c r="G27" s="1622" t="str">
        <f>IFERROR(VLOOKUP(L8,'Statement of Marks'!$B$7:'Statement of Marks'!$IC$206,225,0),"")</f>
        <v xml:space="preserve">      व्यावसायिक शिक्षा</v>
      </c>
      <c r="H27" s="1622"/>
      <c r="I27" s="1622"/>
      <c r="J27" s="1622"/>
      <c r="K27" s="1622"/>
      <c r="L27" s="1623" t="str">
        <f>IFERROR(VLOOKUP(L8,'Statement of Marks'!$B$7:'Statement of Marks'!$IC$206,222,0),"")</f>
        <v xml:space="preserve">      </v>
      </c>
      <c r="M27" s="1624"/>
      <c r="N27" s="1624"/>
      <c r="O27" s="1624"/>
      <c r="P27" s="1625"/>
      <c r="Q27" s="1686"/>
      <c r="R27" s="1621" t="str">
        <f>IFERROR(IF(VLOOKUP(AB8,'Statement of Marks'!$B$7:'Statement of Marks'!$IC$206,226,0)="By Grace Pass","By Grace Pass and Promoted to Class 10th",IF(VLOOKUP(AB8,'Statement of Marks'!$B$7:'Statement of Marks'!$IC$206,226,0)="PASS","PASS  and Promoted to Class 10th",IF(VLOOKUP(AB8,'Statement of Marks'!$B$7:'Statement of Marks'!$IC$206,226,0)="SUPPLEMENTARY","Supplementary",IF(VLOOKUP(AB8,'Statement of Marks'!$B$7:'Statement of Marks'!$IC$206,226,0)="Re-Exam","RE-EXAM",IF(VLOOKUP(AB8,'Statement of Marks'!$B$7:'Statement of Marks'!$IC$206,226,0)="FAIL","FAIL",""))))),"")</f>
        <v>PASS  and Promoted to Class 10th</v>
      </c>
      <c r="S27" s="1621"/>
      <c r="T27" s="1621"/>
      <c r="U27" s="1621"/>
      <c r="V27" s="1621"/>
      <c r="W27" s="1622" t="str">
        <f>IFERROR(VLOOKUP(AB8,'Statement of Marks'!$B$7:'Statement of Marks'!$IC$206,225,0),"")</f>
        <v xml:space="preserve"> अंग्रेजी संस्कृत (71)    </v>
      </c>
      <c r="X27" s="1622"/>
      <c r="Y27" s="1622"/>
      <c r="Z27" s="1622"/>
      <c r="AA27" s="1622"/>
      <c r="AB27" s="1623" t="str">
        <f>IFERROR(VLOOKUP(AB8,'Statement of Marks'!$B$7:'Statement of Marks'!$IC$206,222,0),"")</f>
        <v xml:space="preserve">      </v>
      </c>
      <c r="AC27" s="1624"/>
      <c r="AD27" s="1624"/>
      <c r="AE27" s="1624"/>
      <c r="AF27" s="1625"/>
      <c r="AV27"/>
      <c r="AW27"/>
      <c r="AX27"/>
      <c r="BA27"/>
      <c r="BB27"/>
      <c r="BC27"/>
    </row>
    <row r="28" spans="1:55" s="351" customFormat="1" ht="52.5" customHeight="1">
      <c r="A28" s="350"/>
      <c r="B28" s="1612" t="str">
        <f>IF(AND(L8=""),"",CONCATENATE("(",'School Profile'!$D$18," )"))</f>
        <v>(Yogesh )</v>
      </c>
      <c r="C28" s="1612"/>
      <c r="D28" s="1612"/>
      <c r="E28" s="1612"/>
      <c r="F28" s="1612"/>
      <c r="G28" s="1613" t="str">
        <f>IF(AND(L8=""),"",CONCATENATE("( ",'School Profile'!$D$15," )"))</f>
        <v>( Heeralal Jat )</v>
      </c>
      <c r="H28" s="1613"/>
      <c r="I28" s="1613"/>
      <c r="J28" s="1613"/>
      <c r="K28" s="1614" t="str">
        <f>IF(AND(L8=""),"",CONCATENATE("( ",'School Profile'!$D$14," )"))</f>
        <v>( Dewanand )</v>
      </c>
      <c r="L28" s="1614"/>
      <c r="M28" s="1614"/>
      <c r="N28" s="1614"/>
      <c r="O28" s="1614"/>
      <c r="P28" s="1614"/>
      <c r="Q28" s="1686"/>
      <c r="R28" s="1612" t="str">
        <f>IF(AND(AB8=""),"",CONCATENATE("(",'School Profile'!$D$18," )"))</f>
        <v>(Yogesh )</v>
      </c>
      <c r="S28" s="1612"/>
      <c r="T28" s="1612"/>
      <c r="U28" s="1612"/>
      <c r="V28" s="1612"/>
      <c r="W28" s="1613" t="str">
        <f>IF(AND(AB8=""),"",CONCATENATE("( ",'School Profile'!$D$15," )"))</f>
        <v>( Heeralal Jat )</v>
      </c>
      <c r="X28" s="1613"/>
      <c r="Y28" s="1613"/>
      <c r="Z28" s="1613"/>
      <c r="AA28" s="1614" t="str">
        <f>IF(AND(AB8=""),"",CONCATENATE("( ",'School Profile'!$D$14," )"))</f>
        <v>( Dewanand )</v>
      </c>
      <c r="AB28" s="1614"/>
      <c r="AC28" s="1614"/>
      <c r="AD28" s="1614"/>
      <c r="AE28" s="1614"/>
      <c r="AF28" s="1614"/>
      <c r="AV28"/>
      <c r="AW28"/>
      <c r="AX28"/>
      <c r="BA28"/>
      <c r="BB28"/>
      <c r="BC28"/>
    </row>
    <row r="29" spans="1:55" s="351" customFormat="1" ht="24.75" customHeight="1">
      <c r="A29" s="350"/>
      <c r="B29" s="1615" t="str">
        <f>IF('School Profile'!$D$12="Hindi","हस्ताक्षर कक्षाध्यापक","Signature of the class teacher")</f>
        <v>हस्ताक्षर कक्षाध्यापक</v>
      </c>
      <c r="C29" s="1615"/>
      <c r="D29" s="1615"/>
      <c r="E29" s="1615"/>
      <c r="F29" s="1615"/>
      <c r="G29" s="1615" t="str">
        <f>IF('School Profile'!$D$12="Hindi","हस्ताक्षर परीक्षा प्रभारी","Signature of the exam. Incharge")</f>
        <v>हस्ताक्षर परीक्षा प्रभारी</v>
      </c>
      <c r="H29" s="1615"/>
      <c r="I29" s="1615"/>
      <c r="J29" s="1615"/>
      <c r="K29" s="1615" t="str">
        <f>IF('School Profile'!$D$12="Hindi","हस्ताक्षर मय सील मोहर संस्था प्रधान","Signature &amp; Seal of the Head of the Institution")</f>
        <v>हस्ताक्षर मय सील मोहर संस्था प्रधान</v>
      </c>
      <c r="L29" s="1615"/>
      <c r="M29" s="1615"/>
      <c r="N29" s="1615"/>
      <c r="O29" s="1615"/>
      <c r="P29" s="1615"/>
      <c r="Q29" s="1686"/>
      <c r="R29" s="1615" t="str">
        <f>IF('School Profile'!$D$12="Hindi","हस्ताक्षर कक्षाध्यापक","Signature of the class teacher")</f>
        <v>हस्ताक्षर कक्षाध्यापक</v>
      </c>
      <c r="S29" s="1615"/>
      <c r="T29" s="1615"/>
      <c r="U29" s="1615"/>
      <c r="V29" s="1615"/>
      <c r="W29" s="1615" t="str">
        <f>IF('School Profile'!$D$12="Hindi","हस्ताक्षर परीक्षा प्रभारी","Signature of the exam. Incharge")</f>
        <v>हस्ताक्षर परीक्षा प्रभारी</v>
      </c>
      <c r="X29" s="1615"/>
      <c r="Y29" s="1615"/>
      <c r="Z29" s="1615"/>
      <c r="AA29" s="1615" t="str">
        <f>IF('School Profile'!$D$12="Hindi","हस्ताक्षर मय सील मोहर संस्था प्रधान","Signature &amp; Seal of the Head of the Institution")</f>
        <v>हस्ताक्षर मय सील मोहर संस्था प्रधान</v>
      </c>
      <c r="AB29" s="1615"/>
      <c r="AC29" s="1615"/>
      <c r="AD29" s="1615"/>
      <c r="AE29" s="1615"/>
      <c r="AF29" s="1615"/>
      <c r="AV29"/>
      <c r="AW29"/>
      <c r="AX29"/>
      <c r="BA29"/>
      <c r="BB29"/>
      <c r="BC29"/>
    </row>
    <row r="30" spans="1:55" s="351" customFormat="1">
      <c r="A30" s="350"/>
      <c r="AV30"/>
      <c r="AW30"/>
      <c r="AX30"/>
      <c r="BA30"/>
      <c r="BB30"/>
      <c r="BC30"/>
    </row>
    <row r="31" spans="1:55" s="6" customFormat="1" ht="22.5" customHeight="1">
      <c r="A31" s="33">
        <f>IF(L38="","",1)</f>
        <v>1</v>
      </c>
      <c r="B31" s="28"/>
      <c r="C31" s="28"/>
      <c r="D31" s="1557" t="str">
        <f>IF('School Profile'!$D$12="Hindi","वार्षिक रिपोर्ट कार्ड ","Report Card")</f>
        <v xml:space="preserve">वार्षिक रिपोर्ट कार्ड </v>
      </c>
      <c r="E31" s="1557"/>
      <c r="F31" s="1557"/>
      <c r="G31" s="1557"/>
      <c r="H31" s="1557"/>
      <c r="I31" s="1557"/>
      <c r="J31" s="1557"/>
      <c r="K31" s="1557"/>
      <c r="L31" s="1557"/>
      <c r="M31" s="1557"/>
      <c r="N31" s="1557"/>
      <c r="O31" s="349"/>
      <c r="P31" s="349"/>
      <c r="Q31" s="1686" t="s">
        <v>77</v>
      </c>
      <c r="R31" s="28"/>
      <c r="S31" s="28"/>
      <c r="T31" s="1557" t="str">
        <f>IF('School Profile'!$D$12="Hindi","वार्षिक रिपोर्ट कार्ड ","Report Card")</f>
        <v xml:space="preserve">वार्षिक रिपोर्ट कार्ड </v>
      </c>
      <c r="U31" s="1557"/>
      <c r="V31" s="1557"/>
      <c r="W31" s="1557"/>
      <c r="X31" s="1557"/>
      <c r="Y31" s="1557"/>
      <c r="Z31" s="1557"/>
      <c r="AA31" s="1557"/>
      <c r="AB31" s="1557"/>
      <c r="AC31" s="1557"/>
      <c r="AD31" s="1557"/>
      <c r="AE31" s="349"/>
      <c r="AF31" s="349"/>
      <c r="AV31"/>
      <c r="AW31"/>
      <c r="AX31"/>
      <c r="BA31"/>
      <c r="BB31"/>
      <c r="BC31"/>
    </row>
    <row r="32" spans="1:55" s="6" customFormat="1" ht="22.5" customHeight="1">
      <c r="A32" s="33">
        <f>IF(L38="","",A31+1)</f>
        <v>2</v>
      </c>
      <c r="B32" s="28"/>
      <c r="C32" s="28"/>
      <c r="D32" s="1687" t="str">
        <f>IF('School Profile'!$D$12="Hindi","शिक्षा विभाग, राजस्थान सरकार","Education Department, Rajasthan Government")</f>
        <v>शिक्षा विभाग, राजस्थान सरकार</v>
      </c>
      <c r="E32" s="1687"/>
      <c r="F32" s="1687"/>
      <c r="G32" s="1687"/>
      <c r="H32" s="1687"/>
      <c r="I32" s="1687"/>
      <c r="J32" s="1687"/>
      <c r="K32" s="1687"/>
      <c r="L32" s="1687"/>
      <c r="M32" s="1687"/>
      <c r="N32" s="1687"/>
      <c r="O32" s="349"/>
      <c r="P32" s="349"/>
      <c r="Q32" s="1686"/>
      <c r="R32" s="28"/>
      <c r="S32" s="28"/>
      <c r="T32" s="1687" t="str">
        <f>IF('School Profile'!$D$12="Hindi","शिक्षा विभाग, राजस्थान सरकार","Education Department, Rajasthan Government")</f>
        <v>शिक्षा विभाग, राजस्थान सरकार</v>
      </c>
      <c r="U32" s="1687"/>
      <c r="V32" s="1687"/>
      <c r="W32" s="1687"/>
      <c r="X32" s="1687"/>
      <c r="Y32" s="1687"/>
      <c r="Z32" s="1687"/>
      <c r="AA32" s="1687"/>
      <c r="AB32" s="1687"/>
      <c r="AC32" s="1687"/>
      <c r="AD32" s="1687"/>
      <c r="AE32" s="349"/>
      <c r="AF32" s="349"/>
      <c r="AV32"/>
      <c r="AW32"/>
      <c r="AX32"/>
      <c r="BA32"/>
      <c r="BB32"/>
      <c r="BC32"/>
    </row>
    <row r="33" spans="1:55" s="32" customFormat="1" ht="24.95" customHeight="1">
      <c r="A33" s="34">
        <f>IF(L38="","",A32+1)</f>
        <v>3</v>
      </c>
      <c r="B33" s="1560" t="str">
        <f>IF('School Profile'!$D$12="Hindi",CONCATENATE("विद्यालय का नाम :-","  ",'School Profile'!$D$9),CONCATENATE("School Name :-","  ",'School Profile'!$D$8))</f>
        <v xml:space="preserve">विद्यालय का नाम :-  महात्मा गाँधी राजकीय विद्यालय (अंग्रेजी माध्यम) बर, पाली </v>
      </c>
      <c r="C33" s="1560"/>
      <c r="D33" s="1560"/>
      <c r="E33" s="1560"/>
      <c r="F33" s="1560"/>
      <c r="G33" s="1560"/>
      <c r="H33" s="1560"/>
      <c r="I33" s="1560"/>
      <c r="J33" s="1560"/>
      <c r="K33" s="1560"/>
      <c r="L33" s="1560"/>
      <c r="M33" s="1560"/>
      <c r="N33" s="1560"/>
      <c r="O33" s="1560"/>
      <c r="P33" s="1560"/>
      <c r="Q33" s="1686"/>
      <c r="R33" s="1560" t="str">
        <f>IF('School Profile'!$D$12="Hindi",CONCATENATE("विद्यालय का नाम :-","  ",'School Profile'!$D$9),CONCATENATE("School Name :-","  ",'School Profile'!$D$8))</f>
        <v xml:space="preserve">विद्यालय का नाम :-  महात्मा गाँधी राजकीय विद्यालय (अंग्रेजी माध्यम) बर, पाली </v>
      </c>
      <c r="S33" s="1560"/>
      <c r="T33" s="1560"/>
      <c r="U33" s="1560"/>
      <c r="V33" s="1560"/>
      <c r="W33" s="1560"/>
      <c r="X33" s="1560"/>
      <c r="Y33" s="1560"/>
      <c r="Z33" s="1560"/>
      <c r="AA33" s="1560"/>
      <c r="AB33" s="1560"/>
      <c r="AC33" s="1560"/>
      <c r="AD33" s="1560"/>
      <c r="AE33" s="1560"/>
      <c r="AF33" s="1560"/>
      <c r="AV33"/>
      <c r="AW33"/>
      <c r="AX33"/>
      <c r="BA33"/>
      <c r="BB33"/>
      <c r="BC33"/>
    </row>
    <row r="34" spans="1:55" s="32" customFormat="1" ht="24.95" customHeight="1">
      <c r="A34" s="34">
        <f>IF(L38="","",A33+1)</f>
        <v>4</v>
      </c>
      <c r="B34" s="668"/>
      <c r="C34" s="668"/>
      <c r="D34" s="668"/>
      <c r="E34" s="668"/>
      <c r="F34" s="1688" t="str">
        <f>IF(AND(L38=""),"",IF(AND('School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34" s="1688"/>
      <c r="H34" s="1688"/>
      <c r="I34" s="1688"/>
      <c r="J34" s="1688"/>
      <c r="K34" s="1688"/>
      <c r="L34" s="1688"/>
      <c r="M34" s="1688"/>
      <c r="N34" s="1688"/>
      <c r="O34" s="1688"/>
      <c r="P34" s="668"/>
      <c r="Q34" s="1686"/>
      <c r="R34" s="668"/>
      <c r="S34" s="668"/>
      <c r="T34" s="668"/>
      <c r="U34" s="668"/>
      <c r="V34" s="1688" t="str">
        <f>IF(AND(AB38=""),"",IF(AND('School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34" s="1688"/>
      <c r="X34" s="1688"/>
      <c r="Y34" s="1688"/>
      <c r="Z34" s="1688"/>
      <c r="AA34" s="1688"/>
      <c r="AB34" s="1688"/>
      <c r="AC34" s="1688"/>
      <c r="AD34" s="1688"/>
      <c r="AE34" s="1688"/>
      <c r="AF34" s="668"/>
      <c r="AV34"/>
      <c r="AW34"/>
      <c r="AX34"/>
      <c r="AY34" s="6"/>
      <c r="AZ34" s="6"/>
      <c r="BA34"/>
      <c r="BB34"/>
      <c r="BC34"/>
    </row>
    <row r="35" spans="1:55" s="351" customFormat="1" ht="21" customHeight="1">
      <c r="A35" s="33">
        <f>IF(L38="","",A34+1)</f>
        <v>5</v>
      </c>
      <c r="B35" s="681" t="str">
        <f>IF('School Profile'!$D$12="Hindi","कक्षा  :-","CLASS :- ")</f>
        <v>कक्षा  :-</v>
      </c>
      <c r="C35" s="1691" t="str">
        <f>IF('Statement of Marks'!$E$3="","",'Statement of Marks'!$E$3)</f>
        <v>9th</v>
      </c>
      <c r="D35" s="1691"/>
      <c r="E35" s="820" t="str">
        <f>IFERROR(VLOOKUP(L38,'Statement of Marks'!$B$7:'Statement of Marks'!$IC$206,2,0),"")</f>
        <v>A</v>
      </c>
      <c r="F35" s="820"/>
      <c r="G35" s="820"/>
      <c r="H35" s="820"/>
      <c r="I35" s="1684" t="str">
        <f>IF('School Profile'!$D$12="Hindi","प्रवेशांक :","SR. NO. :")</f>
        <v>प्रवेशांक :</v>
      </c>
      <c r="J35" s="1684"/>
      <c r="K35" s="1684"/>
      <c r="L35" s="1689" t="str">
        <f>IFERROR(VLOOKUP(L38,'Statement of Marks'!$B$7:'Statement of Marks'!$IC$206,3,0),"")</f>
        <v/>
      </c>
      <c r="M35" s="1689"/>
      <c r="N35" s="1689"/>
      <c r="O35" s="1689"/>
      <c r="P35" s="414"/>
      <c r="Q35" s="1686"/>
      <c r="R35" s="681" t="str">
        <f>IF('School Profile'!$D$12="Hindi","कक्षा  :-","CLASS :- ")</f>
        <v>कक्षा  :-</v>
      </c>
      <c r="S35" s="1691" t="str">
        <f>IF('Statement of Marks'!$E$3="","",'Statement of Marks'!$E$3)</f>
        <v>9th</v>
      </c>
      <c r="T35" s="1691"/>
      <c r="U35" s="820" t="str">
        <f>IFERROR(VLOOKUP(AB38,'Statement of Marks'!$B$7:'Statement of Marks'!$IC$206,2,0),"")</f>
        <v>A</v>
      </c>
      <c r="V35" s="820"/>
      <c r="W35" s="820"/>
      <c r="X35" s="820"/>
      <c r="Y35" s="1684" t="str">
        <f>IF('School Profile'!$D$12="Hindi","प्रवेशांक :","SR. NO. :")</f>
        <v>प्रवेशांक :</v>
      </c>
      <c r="Z35" s="1684"/>
      <c r="AA35" s="1684"/>
      <c r="AB35" s="1689" t="str">
        <f>IFERROR(VLOOKUP(AB38,'Statement of Marks'!$B$7:'Statement of Marks'!$IC$206,3,0),"")</f>
        <v/>
      </c>
      <c r="AC35" s="1689"/>
      <c r="AD35" s="1689"/>
      <c r="AE35" s="1689"/>
      <c r="AF35" s="414"/>
      <c r="AV35"/>
      <c r="AW35" s="777">
        <f>L36</f>
        <v>41192</v>
      </c>
      <c r="AX35"/>
      <c r="BA35"/>
      <c r="BB35" s="777">
        <f>AB36</f>
        <v>40670</v>
      </c>
      <c r="BC35"/>
    </row>
    <row r="36" spans="1:55" s="351" customFormat="1" ht="21" customHeight="1">
      <c r="A36" s="33">
        <f>IF(L38="","",A35+1)</f>
        <v>6</v>
      </c>
      <c r="B36" s="683" t="str">
        <f>IF('School Profile'!$D$12="Hindi","विद्यार्थी का नाम :-","Student's Name :-")</f>
        <v>विद्यार्थी का नाम :-</v>
      </c>
      <c r="C36" s="1683" t="str">
        <f>IFERROR(VLOOKUP(L38,'Statement of Marks'!$B$7:'Statement of Marks'!$IC$206,5,0),"")</f>
        <v>DINESH</v>
      </c>
      <c r="D36" s="1683"/>
      <c r="E36" s="1683"/>
      <c r="F36" s="1683"/>
      <c r="G36" s="1683"/>
      <c r="H36" s="1683"/>
      <c r="I36" s="1684" t="str">
        <f>IF('School Profile'!$D$12="Hindi","जन्म तिथि :","Date of Birth :")</f>
        <v>जन्म तिथि :</v>
      </c>
      <c r="J36" s="1684"/>
      <c r="K36" s="1684"/>
      <c r="L36" s="1690">
        <f>IFERROR(VLOOKUP(L38,'Statement of Marks'!$B$7:'Statement of Marks'!$IC$206,4,0),"")</f>
        <v>41192</v>
      </c>
      <c r="M36" s="1690"/>
      <c r="N36" s="1690"/>
      <c r="O36" s="1690"/>
      <c r="P36" s="670"/>
      <c r="Q36" s="1686"/>
      <c r="R36" s="683" t="str">
        <f>IF('School Profile'!$D$12="Hindi","विद्यार्थी का नाम :-","Student's Name :-")</f>
        <v>विद्यार्थी का नाम :-</v>
      </c>
      <c r="S36" s="1683" t="str">
        <f>IFERROR(VLOOKUP(AB38,'Statement of Marks'!$B$7:'Statement of Marks'!$IC$206,5,0),"")</f>
        <v>RAMESH</v>
      </c>
      <c r="T36" s="1683"/>
      <c r="U36" s="1683"/>
      <c r="V36" s="1683"/>
      <c r="W36" s="1683"/>
      <c r="X36" s="1683"/>
      <c r="Y36" s="1684" t="str">
        <f>IF('School Profile'!$D$12="Hindi","जन्म तिथि :","Date of Birth :")</f>
        <v>जन्म तिथि :</v>
      </c>
      <c r="Z36" s="1684"/>
      <c r="AA36" s="1684"/>
      <c r="AB36" s="1690">
        <f>IFERROR(VLOOKUP(AB38,'Statement of Marks'!$B$7:'Statement of Marks'!$IC$206,4,0),"")</f>
        <v>40670</v>
      </c>
      <c r="AC36" s="1690"/>
      <c r="AD36" s="1690"/>
      <c r="AE36" s="1690"/>
      <c r="AF36" s="670"/>
      <c r="AV36">
        <f>YEAR(AW35)</f>
        <v>2012</v>
      </c>
      <c r="AW36">
        <f>MONTH(AW35)</f>
        <v>10</v>
      </c>
      <c r="AX36">
        <f>DAY(AW35)</f>
        <v>10</v>
      </c>
      <c r="BA36">
        <f>YEAR(BB35)</f>
        <v>2011</v>
      </c>
      <c r="BB36">
        <f>MONTH(BB35)</f>
        <v>5</v>
      </c>
      <c r="BC36">
        <f>DAY(BB35)</f>
        <v>7</v>
      </c>
    </row>
    <row r="37" spans="1:55" s="351" customFormat="1" ht="21" customHeight="1">
      <c r="A37" s="33">
        <f>IF(L38="","",A36+1)</f>
        <v>7</v>
      </c>
      <c r="B37" s="683" t="str">
        <f>IF('School Profile'!$D$12="Hindi","पिता का नाम :-","Father's Name :-")</f>
        <v>पिता का नाम :-</v>
      </c>
      <c r="C37" s="1683" t="str">
        <f>IFERROR(VLOOKUP(L38,'Statement of Marks'!$B$7:'Statement of Marks'!$IC$206,6,0),"")</f>
        <v/>
      </c>
      <c r="D37" s="1683"/>
      <c r="E37" s="1683"/>
      <c r="F37" s="1683"/>
      <c r="G37" s="1683"/>
      <c r="H37" s="1683"/>
      <c r="I37" s="1684" t="str">
        <f>IF('School Profile'!$D$12="Hindi","जन्मतिथि शब्दों में :-","Date of Birth in Words :-")</f>
        <v>जन्मतिथि शब्दों में :-</v>
      </c>
      <c r="J37" s="1684"/>
      <c r="K37" s="1684"/>
      <c r="L37" s="1683" t="str">
        <f>IFERROR(IF('School Profile'!$D$12="Hindi",AW38,AW40),"")</f>
        <v>दस अक्टूबर दो हजार बारह</v>
      </c>
      <c r="M37" s="1683"/>
      <c r="N37" s="1683"/>
      <c r="O37" s="1683"/>
      <c r="P37" s="670"/>
      <c r="Q37" s="1686"/>
      <c r="R37" s="683" t="str">
        <f>IF('School Profile'!$D$12="Hindi","पिता का नाम :-","Father's Name :-")</f>
        <v>पिता का नाम :-</v>
      </c>
      <c r="S37" s="1683" t="str">
        <f>IFERROR(VLOOKUP(AB38,'Statement of Marks'!$B$7:'Statement of Marks'!$IC$206,6,0),"")</f>
        <v/>
      </c>
      <c r="T37" s="1683"/>
      <c r="U37" s="1683"/>
      <c r="V37" s="1683"/>
      <c r="W37" s="1683"/>
      <c r="X37" s="1683"/>
      <c r="Y37" s="1684" t="str">
        <f>IF('School Profile'!$D$12="Hindi","जन्मतिथि शब्दों में :-","Date of Birth in Words :-")</f>
        <v>जन्मतिथि शब्दों में :-</v>
      </c>
      <c r="Z37" s="1684"/>
      <c r="AA37" s="1684"/>
      <c r="AB37" s="1683" t="str">
        <f>IFERROR(IF('School Profile'!$D$12="Hindi",BB38,BB40),"")</f>
        <v>सात मई दो हजार ग्यारह</v>
      </c>
      <c r="AC37" s="1683"/>
      <c r="AD37" s="1683"/>
      <c r="AE37" s="1683"/>
      <c r="AF37" s="670"/>
      <c r="AV37" t="str">
        <f>IF(AV36=2000,"दो हजार",IF(AV36=2001,"दो हजार एक",IF(AV36=2002,"दो हजार दो",IF(AV36=2003,"दो हजार तीन",IF(AV36=2004,"दो हजार चार",IF(AV36=2005,"दो हजार पांच",IF(AV36=2006,"दो हजार छः",IF(AV36=2007,"दो हजार सात",IF(AV36=2008,"दो हजार आठ",IF(AV36=2009,"दो हजार नौ",IF(AV36=2010,"दो हजार दस",IF(AV36=2011,"दो हजार ग्यारह",IF(AV36=2012,"दो हजार बारह",IF(AV36=2013,"दो हजार तेरह",IF(AV36=2014,"दो हजार चौदह",IF(AV36=2015,"दो हजार पंद्रह",IF(AV36=2016,"दो हजार सोलह",IF(AV36=2017,"दो हजार सत्रह",IF(AV36=2018,"दो हजार अठारह",IF(AV36=2019,"दो हजार उन्नीस",IF(AV36=2020,"दो हजार बीस",IF(AV36=2021,"दो हजार इक्कीस",IF(AV36=2022,"दो हजार बाइस","")))))))))))))))))))))))</f>
        <v>दो हजार बारह</v>
      </c>
      <c r="AW37" t="str">
        <f>IF(AW36=1,"जनवरी",IF(AW36=2,"फरवरी",IF(AW36=3,"मार्च",IF(AW36=4,"अप्रैल",IF(AW36=5,"मई",IF(AW36=6,"जून",IF(AW36=7,"जुलाई",IF(AW36=8,"अगस्त",IF(AW36=9,"सितम्बर",IF(AW36=10,"अक्टूबर",IF(AW36=11,"नवम्बर",IF(AW36=12,"दिसम्बर",""))))))))))))</f>
        <v>अक्टूबर</v>
      </c>
      <c r="AX37" t="str">
        <f>IF(AX36=1,"एक",IF(AX36=2,"दो",IF(AX36=3,"तीन",IF(AX36=4,"चार",IF(AX36=5,"पांच",IF(AX36=6,"छः",IF(AX36=7,"सात",IF(AX36=8,"आठ",IF(AX36=9,"नौ",IF(AX36=10,"दस",IF(AX36=11,"ग्यारह",IF(AX36=12,"बारह",IF(AX36=13,"तेरह",IF(AX36=14,"चौदह",IF(AX36=15,"पंद्रह",IF(AX36=16,"सोलह",IF(AX36=17,"सत्रह",IF(AX36=18,"अठारह",IF(AX36=19,"उन्नीस",IF(AX36=20,"बीस",IF(AX36=21,"इक्कीस",IF(AX36=22,"बाइस",IF(AX36=23,"तेईस",IF(AX36=24,"चौबीस",IF(AX36=25,"पचीस",IF(AX36=26,"छबीस",IF(AX36=27,"सताईस",IF(AX36=28,"अठाइस",IF(AX36=29,"उन्नतीस",IF(AX36=30,"तीस",IF(AX36=31,"इकतीस","")))))))))))))))))))))))))))))))</f>
        <v>दस</v>
      </c>
      <c r="BA37" t="str">
        <f>IF(BA36=2000,"दो हजार",IF(BA36=2001,"दो हजार एक",IF(BA36=2002,"दो हजार दो",IF(BA36=2003,"दो हजार तीन",IF(BA36=2004,"दो हजार चार",IF(BA36=2005,"दो हजार पांच",IF(BA36=2006,"दो हजार छः",IF(BA36=2007,"दो हजार सात",IF(BA36=2008,"दो हजार आठ",IF(BA36=2009,"दो हजार नौ",IF(BA36=2010,"दो हजार दस",IF(BA36=2011,"दो हजार ग्यारह",IF(BA36=2012,"दो हजार बारह",IF(BA36=2013,"दो हजार तेरह",IF(BA36=2014,"दो हजार चौदह",IF(BA36=2015,"दो हजार पंद्रह",IF(BA36=2016,"दो हजार सोलह",IF(BA36=2017,"दो हजार सत्रह",IF(BA36=2018,"दो हजार अठारह",IF(BA36=2019,"दो हजार उन्नीस",IF(BA36=2020,"दो हजार बीस",IF(BA36=2021,"दो हजार इक्कीस",IF(BA36=2022,"दो हजार बाइस","")))))))))))))))))))))))</f>
        <v>दो हजार ग्यारह</v>
      </c>
      <c r="BB37" t="str">
        <f>IF(BB36=1,"जनवरी",IF(BB36=2,"फरवरी",IF(BB36=3,"मार्च",IF(BB36=4,"अप्रैल",IF(BB36=5,"मई",IF(BB36=6,"जून",IF(BB36=7,"जुलाई",IF(BB36=8,"अगस्त",IF(BB36=9,"सितम्बर",IF(BB36=10,"अक्टूबर",IF(BB36=11,"नवम्बर",IF(BB36=12,"दिसम्बर",""))))))))))))</f>
        <v>मई</v>
      </c>
      <c r="BC37" t="str">
        <f>IF(BC36=1,"एक",IF(BC36=2,"दो",IF(BC36=3,"तीन",IF(BC36=4,"चार",IF(BC36=5,"पांच",IF(BC36=6,"छः",IF(BC36=7,"सात",IF(BC36=8,"आठ",IF(BC36=9,"नौ",IF(BC36=10,"दस",IF(BC36=11,"ग्यारह",IF(BC36=12,"बारह",IF(BC36=13,"तेरह",IF(BC36=14,"चौदह",IF(BC36=15,"पंद्रह",IF(BC36=16,"सोलह",IF(BC36=17,"सत्रह",IF(BC36=18,"अठारह",IF(BC36=19,"उन्नीस",IF(BC36=20,"बीस",IF(BC36=21,"इक्कीस",IF(BC36=22,"बाइस",IF(BC36=23,"तेईस",IF(BC36=24,"चौबीस",IF(BC36=25,"पचीस",IF(BC36=26,"छबीस",IF(BC36=27,"सताईस",IF(BC36=28,"अठाइस",IF(BC36=29,"उन्नतीस",IF(BC36=30,"तीस",IF(BC36=31,"इकतीस","")))))))))))))))))))))))))))))))</f>
        <v>सात</v>
      </c>
    </row>
    <row r="38" spans="1:55" s="351" customFormat="1" ht="21" customHeight="1">
      <c r="A38" s="33">
        <f>IF(L38="","",A37+1)</f>
        <v>8</v>
      </c>
      <c r="B38" s="681" t="str">
        <f>IF('School Profile'!$D$12="Hindi","माता का नाम :-","Mother's Name :-")</f>
        <v>माता का नाम :-</v>
      </c>
      <c r="C38" s="1683" t="str">
        <f>IFERROR(VLOOKUP(L38,'Statement of Marks'!$B$7:'Statement of Marks'!$IC$206,7,0),"")</f>
        <v/>
      </c>
      <c r="D38" s="1683"/>
      <c r="E38" s="1683"/>
      <c r="F38" s="1683"/>
      <c r="G38" s="1683"/>
      <c r="H38" s="1683"/>
      <c r="I38" s="1684" t="str">
        <f>IF('School Profile'!$D$12="Hindi","रोल नंबर :-","Roll No. :")</f>
        <v>रोल नंबर :-</v>
      </c>
      <c r="J38" s="1684"/>
      <c r="K38" s="1684"/>
      <c r="L38" s="1685">
        <f>IF(AB8="","",IF(AND(AB8+1&gt;$AN$11),"",AB8+1))</f>
        <v>903</v>
      </c>
      <c r="M38" s="1685"/>
      <c r="N38" s="1685"/>
      <c r="Q38" s="1686"/>
      <c r="R38" s="681" t="str">
        <f>IF('School Profile'!$D$12="Hindi","माता का नाम :-","Mother's Name :-")</f>
        <v>माता का नाम :-</v>
      </c>
      <c r="S38" s="1683" t="str">
        <f>IFERROR(VLOOKUP(AB38,'Statement of Marks'!$B$7:'Statement of Marks'!$IC$206,7,0),"")</f>
        <v/>
      </c>
      <c r="T38" s="1683"/>
      <c r="U38" s="1683"/>
      <c r="V38" s="1683"/>
      <c r="W38" s="1683"/>
      <c r="X38" s="1683"/>
      <c r="Y38" s="1684" t="str">
        <f>IF('School Profile'!$D$12="Hindi","रोल नंबर :-","Roll No. :")</f>
        <v>रोल नंबर :-</v>
      </c>
      <c r="Z38" s="1684"/>
      <c r="AA38" s="1684"/>
      <c r="AB38" s="1685">
        <f>IF(L38="","",IF(AND(L38+1&gt;$AN$11),"",L38+1))</f>
        <v>904</v>
      </c>
      <c r="AC38" s="1685"/>
      <c r="AD38" s="1685"/>
      <c r="AV38"/>
      <c r="AW38" t="str">
        <f>CONCATENATE(AX37," ",AW37," ",AV37)</f>
        <v>दस अक्टूबर दो हजार बारह</v>
      </c>
      <c r="AX38"/>
      <c r="BA38"/>
      <c r="BB38" t="str">
        <f>CONCATENATE(BC37," ",BB37," ",BA37)</f>
        <v>सात मई दो हजार ग्यारह</v>
      </c>
      <c r="BC38"/>
    </row>
    <row r="39" spans="1:55" s="351" customFormat="1" ht="9.75" customHeight="1">
      <c r="A39" s="33">
        <f>IF(L38="","",A38+1)</f>
        <v>9</v>
      </c>
      <c r="B39" s="1676"/>
      <c r="C39" s="1676"/>
      <c r="D39" s="1676"/>
      <c r="E39" s="1676"/>
      <c r="F39" s="1676"/>
      <c r="G39" s="1676"/>
      <c r="H39" s="1676"/>
      <c r="I39" s="1676"/>
      <c r="J39" s="1676"/>
      <c r="K39" s="1676"/>
      <c r="L39" s="1676"/>
      <c r="M39" s="1676"/>
      <c r="N39" s="1676"/>
      <c r="O39" s="1676"/>
      <c r="P39" s="401"/>
      <c r="Q39" s="1686"/>
      <c r="R39" s="1676"/>
      <c r="S39" s="1676"/>
      <c r="T39" s="1676"/>
      <c r="U39" s="1676"/>
      <c r="V39" s="1676"/>
      <c r="W39" s="1676"/>
      <c r="X39" s="1676"/>
      <c r="Y39" s="1676"/>
      <c r="Z39" s="1676"/>
      <c r="AA39" s="1676"/>
      <c r="AB39" s="1676"/>
      <c r="AC39" s="1676"/>
      <c r="AD39" s="1676"/>
      <c r="AE39" s="1676"/>
      <c r="AF39" s="401"/>
      <c r="AV39" t="str">
        <f>IF(AV36=1961,"NINETEEN SIXTY ONE",IF(AV36=1962,"NINETEEN SIXTY TWO",IF(AV36=1963,"NINETEEN SIXTY THREE",IF(AV36=1964,"NINETEEN SIXTY FOUR",IF(AV36=1965,"NINETEEN SIXTY FIVE",IF(AV36=1966,"NINETEEN SIXTY SIX",IF(AV36=1967,"NINETEEN SIXTY SEVEN",IF(AV36=1968,"NINETEEN SIXTY EIGHT",IF(AV36=1969,"NINETEEN SIXTY NINE",IF(AV36=1970,"NINETEEN SEVENTY",IF(AV36=1971,"NINETEEN SEVENTY ONE",IF(AV36=1972,"NINETEEN SEVENTY TWO",IF(AV36=1973,"NINETEEN SEVENTY THREE",IF(AV36=1974,"NINETEEN SEVENTY FOUR",IF(AV36=1975,"NINETEEN SEVENTY FIVE",IF(AV36=1976,"NINETEEN SEVENTY SIX",IF(AV36=1977,"NINETEEN SEVENTY SEVEN",IF(AV36=1978,"NINETEEN SEVENTY EIGHT",IF(AV36=1979,"NINETEEN SEVENTY NINE",IF(AV36=1980,"NINETEEN EIGHTY",IF(AV36=1981,"NINETEEN EIGHTY ONE",IF(AV36=1982,"NINETEEN EIGHTY TWO",IF(AV36=1983,"NINETEEN EIGHTY THREE",IF(AV36=1984,"NINETEEN EIGHTY FOUR",IF(AV36=1985,"NINETEEN EIGHTY FIVE",IF(AV36=1986,"NINETEEN EIGHTY SIX",IF(AV36=1987,"NINETEEN EIGHTY SEVEN",IF(AV36=1988,"NINETEEN EIGHTY EIGHT",IF(AV36=1989,"NINETEEN EIGHTY NINE",IF(AV36=1990,"NINETEEN NINETY",IF(AV36=1991,"NINETEEN NINETY ONE",IF(AV36=1992,"NINETEEN NINETY TWO",IF(AV36=1993,"NINETEEN NINETY THREE",IF(AV36=1994,"NINETEEN NINETY FOUR",IF(AV36=1995,"NINETEEN NINETY FIVE",IF(AV36=1996,"NINETEEN NINETY SIX",IF(AV36=1997,"NINETEEN NINETY SEVEN",IF(AV36=1998,"NINETEEN NINETY EIGHT",IF(AV36=1999,"NINETEEN NINETY NINE",IF(AV36=2000,"TWO THOUSAND",IF(AV36=2001,"TWO THOUSAND ONE",IF(AV36=2002,"TWO THOUSAND TWO",IF(AV36=2003,"TWO THOUSAND THREE",IF(AV36=2004,"TWO THOUSAND FOUR",IF(AV36=2005,"TWO THOUSAND FIVE",IF(AV36=2006,"TWO THOUSAND SIX",IF(AV36=2007,"TWO THOUSAND SEVEN",IF(AV36=2008,"TWO THOUSAND EIGHT",IF(AV36=2009,"TWO THOUSAND NINE",IF(AV36=2010,"TWO THOUSAND TEN",IF(AV36=2011,"TWO THOUSAND ELEVEN",IF(AV36=2012,"TWO THOUSAND TWELVE",IF(AV36=2013,"TWO THOUSAND THIRTEEN",IF(AV36=2014,"TWO THOUSAND FOURTEEN",IF(AV36=2015,"TWO THOUSAND FIFTEEN",IF(AV36=2016,"TWO THOUSAND SIXTEEN",IF(AV36=2017,"TWO THOUSAND SEVENTEEN",IF(AV36=2018,"TWO THOUSAND EIGHTEEN",IF(AV36=2019,"TWO THOUSAND NINETEEN",IF(AV36=2020,"TWO THOUSAND TWENTY",IF(AV36=2021,"TWO THOUSAND TWENTY ONE",IF(AV36=2022,"TWO THOUSAND TWENTY TWO",IF(AV36=2023,"TWO THOUSAND TWENTY THREE",IF(AV36=2024,"TWO THOUSAND TWENTY FOUR",IF(AV36=2025,"TWO THOUSAND TWENTY FIVE","")))))))))))))))))))))))))))))))))))))))))))))))))))))))))))))))))</f>
        <v>TWO THOUSAND TWELVE</v>
      </c>
      <c r="AW39" t="str">
        <f>IF(AW36=1,"JANUARY",IF(AW36=2,"FEBUARY", IF(AW36=3,"MARCH",IF(AW36=4,"APRIL",IF(AW36=5,"MAY",IF(AW36=6,"JUNE",IF(AW36=7,"JULY",IF(AW36=8,"AUGUST",IF(AW36=9,"SEPTEMBER",IF(AW36=10,"OCTOBER",IF(AW36=11,"NOVEMBER",IF(AW36=12,"DECEMBER",""))))))))))))</f>
        <v>OCTOBER</v>
      </c>
      <c r="AX39" t="str">
        <f>IF(AX36=1,"1ST",IF(AX36=2,"2ND", IF(AX36=3,"3RD",IF(AX36=4,"FOURTH",IF(AX36=5,"FIFTH",IF(AX36=6,"SIXTH",IF(AX36=7,"7TH",IF(AX36=8,"8TH",IF(AX36=9,"9TH",IF(AX36=10,"10TH",IF(AX36=11,"11TH",IF(AX36=12,"12TH",IF(AX36=13,"13TH",IF(AX36=14,"14TH",IF(AX36=15,"FIFTEEN",IF(AX36=16,"SIXTEEN",IF(AX36=17,"SEVENTEEN",IF(AX36=18,"EIGHTEEN",IF(AX36=19,"NINETEEN",IF(AX36=20,"TWENTY",IF(AX36=21,"TWENTY FIRST",IF(AX36=22,"TWENTY SECOND",IF(AX36=23,"TWENTY THIRD",IF(AX36=24,"TWENTY FOURTH",IF(AX36=25,"TWENTY FIFTH",IF(AX36=26,"TWENTY SIX",IF(AX36=27,"TWENTY SEVEN",IF(AX36=28,"TWENTY EIGHT",IF(AX36=29,"TWENTY NINE",IF(AX36=30,"THIRTY",IF(AX36=31,"THIRTY FIRST","")))))))))))))))))))))))))))))))</f>
        <v>10TH</v>
      </c>
      <c r="BA39" t="str">
        <f>IF(BA36=1961,"NINETEEN SIXTY ONE",IF(BA36=1962,"NINETEEN SIXTY TWO",IF(BA36=1963,"NINETEEN SIXTY THREE",IF(BA36=1964,"NINETEEN SIXTY FOUR",IF(BA36=1965,"NINETEEN SIXTY FIVE",IF(BA36=1966,"NINETEEN SIXTY SIX",IF(BA36=1967,"NINETEEN SIXTY SEVEN",IF(BA36=1968,"NINETEEN SIXTY EIGHT",IF(BA36=1969,"NINETEEN SIXTY NINE",IF(BA36=1970,"NINETEEN SEVENTY",IF(BA36=1971,"NINETEEN SEVENTY ONE",IF(BA36=1972,"NINETEEN SEVENTY TWO",IF(BA36=1973,"NINETEEN SEVENTY THREE",IF(BA36=1974,"NINETEEN SEVENTY FOUR",IF(BA36=1975,"NINETEEN SEVENTY FIVE",IF(BA36=1976,"NINETEEN SEVENTY SIX",IF(BA36=1977,"NINETEEN SEVENTY SEVEN",IF(BA36=1978,"NINETEEN SEVENTY EIGHT",IF(BA36=1979,"NINETEEN SEVENTY NINE",IF(BA36=1980,"NINETEEN EIGHTY",IF(BA36=1981,"NINETEEN EIGHTY ONE",IF(BA36=1982,"NINETEEN EIGHTY TWO",IF(BA36=1983,"NINETEEN EIGHTY THREE",IF(BA36=1984,"NINETEEN EIGHTY FOUR",IF(BA36=1985,"NINETEEN EIGHTY FIVE",IF(BA36=1986,"NINETEEN EIGHTY SIX",IF(BA36=1987,"NINETEEN EIGHTY SEVEN",IF(BA36=1988,"NINETEEN EIGHTY EIGHT",IF(BA36=1989,"NINETEEN EIGHTY NINE",IF(BA36=1990,"NINETEEN NINETY",IF(BA36=1991,"NINETEEN NINETY ONE",IF(BA36=1992,"NINETEEN NINETY TWO",IF(BA36=1993,"NINETEEN NINETY THREE",IF(BA36=1994,"NINETEEN NINETY FOUR",IF(BA36=1995,"NINETEEN NINETY FIVE",IF(BA36=1996,"NINETEEN NINETY SIX",IF(BA36=1997,"NINETEEN NINETY SEVEN",IF(BA36=1998,"NINETEEN NINETY EIGHT",IF(BA36=1999,"NINETEEN NINETY NINE",IF(BA36=2000,"TWO THOUSAND",IF(BA36=2001,"TWO THOUSAND ONE",IF(BA36=2002,"TWO THOUSAND TWO",IF(BA36=2003,"TWO THOUSAND THREE",IF(BA36=2004,"TWO THOUSAND FOUR",IF(BA36=2005,"TWO THOUSAND FIVE",IF(BA36=2006,"TWO THOUSAND SIX",IF(BA36=2007,"TWO THOUSAND SEVEN",IF(BA36=2008,"TWO THOUSAND EIGHT",IF(BA36=2009,"TWO THOUSAND NINE",IF(BA36=2010,"TWO THOUSAND TEN",IF(BA36=2011,"TWO THOUSAND ELEVEN",IF(BA36=2012,"TWO THOUSAND TWELVE",IF(BA36=2013,"TWO THOUSAND THIRTEEN",IF(BA36=2014,"TWO THOUSAND FOURTEEN",IF(BA36=2015,"TWO THOUSAND FIFTEEN",IF(BA36=2016,"TWO THOUSAND SIXTEEN",IF(BA36=2017,"TWO THOUSAND SEVENTEEN",IF(BA36=2018,"TWO THOUSAND EIGHTEEN",IF(BA36=2019,"TWO THOUSAND NINETEEN",IF(BA36=2020,"TWO THOUSAND TWENTY",IF(BA36=2021,"TWO THOUSAND TWENTY ONE",IF(BA36=2022,"TWO THOUSAND TWENTY TWO",IF(BA36=2023,"TWO THOUSAND TWENTY THREE",IF(BA36=2024,"TWO THOUSAND TWENTY FOUR",IF(BA36=2025,"TWO THOUSAND TWENTY FIVE","")))))))))))))))))))))))))))))))))))))))))))))))))))))))))))))))))</f>
        <v>TWO THOUSAND ELEVEN</v>
      </c>
      <c r="BB39" t="str">
        <f>IF(BB36=1,"JANUARY",IF(BB36=2,"FEBUARY", IF(BB36=3,"MARCH",IF(BB36=4,"APRIL",IF(BB36=5,"MAY",IF(BB36=6,"JUNE",IF(BB36=7,"JULY",IF(BB36=8,"AUGUST",IF(BB36=9,"SEPTEMBER",IF(BB36=10,"OCTOBER",IF(BB36=11,"NOVEMBER",IF(BB36=12,"DECEMBER",""))))))))))))</f>
        <v>MAY</v>
      </c>
      <c r="BC39" t="str">
        <f>IF(BC36=1,"1ST",IF(BC36=2,"2ND", IF(BC36=3,"3RD",IF(BC36=4,"FOURTH",IF(BC36=5,"FIFTH",IF(BC36=6,"SIXTH",IF(BC36=7,"7TH",IF(BC36=8,"8TH",IF(BC36=9,"9TH",IF(BC36=10,"10TH",IF(BC36=11,"11TH",IF(BC36=12,"12TH",IF(BC36=13,"13TH",IF(BC36=14,"14TH",IF(BC36=15,"FIFTEEN",IF(BC36=16,"SIXTEEN",IF(BC36=17,"SEVENTEEN",IF(BC36=18,"EIGHTEEN",IF(BC36=19,"NINETEEN",IF(BC36=20,"TWENTY",IF(BC36=21,"TWENTY FIRST",IF(BC36=22,"TWENTY SECOND",IF(BC36=23,"TWENTY THIRD",IF(BC36=24,"TWENTY FOURTH",IF(BC36=25,"TWENTY FIFTH",IF(BC36=26,"TWENTY SIX",IF(BC36=27,"TWENTY SEVEN",IF(BC36=28,"TWENTY EIGHT",IF(BC36=29,"TWENTY NINE",IF(BC36=30,"THIRTY",IF(BC36=31,"THIRTY FIRST","")))))))))))))))))))))))))))))))</f>
        <v>7TH</v>
      </c>
    </row>
    <row r="40" spans="1:55" s="351" customFormat="1" ht="26.25" customHeight="1">
      <c r="A40" s="33">
        <f>IF(L38="","",A39+1)</f>
        <v>10</v>
      </c>
      <c r="B40" s="1661" t="str">
        <f>IF('School Profile'!$D$12="Hindi","विषय का नाम","Subject Name")</f>
        <v>विषय का नाम</v>
      </c>
      <c r="C40" s="1662"/>
      <c r="D40" s="1681" t="str">
        <f>IF('School Profile'!$D$12="Hindi","सामयिक परख","Seasonal Exam")</f>
        <v>सामयिक परख</v>
      </c>
      <c r="E40" s="1681"/>
      <c r="F40" s="1681"/>
      <c r="G40" s="1681"/>
      <c r="H40" s="1681" t="str">
        <f>IF('School Profile'!$D$12="Hindi","अर्द्धवार्षिक","Half Yearly")</f>
        <v>अर्द्धवार्षिक</v>
      </c>
      <c r="I40" s="1681"/>
      <c r="J40" s="1681"/>
      <c r="K40" s="1556" t="str">
        <f>IF('School Profile'!$D$12="Hindi","अर्द्ध वा. तक योग","Total Till H.Y.")</f>
        <v>अर्द्ध वा. तक योग</v>
      </c>
      <c r="L40" s="1681" t="str">
        <f>IF('School Profile'!$D$12="Hindi","वार्षिक","Yearly")</f>
        <v>वार्षिक</v>
      </c>
      <c r="M40" s="1681"/>
      <c r="N40" s="1681"/>
      <c r="O40" s="1550" t="str">
        <f>IF('School Profile'!$D$12="Hindi","विषय कुल योग ","Subject Total")</f>
        <v xml:space="preserve">विषय कुल योग </v>
      </c>
      <c r="P40" s="1682" t="str">
        <f>IF('School Profile'!$D$12="Hindi","विषय परिणाम / विषय श्रेणी","Sub. Result /  Sub. Div.")</f>
        <v>विषय परिणाम / विषय श्रेणी</v>
      </c>
      <c r="Q40" s="1686"/>
      <c r="R40" s="1661" t="str">
        <f>IF('School Profile'!$D$12="Hindi","विषय का नाम","Subject Name")</f>
        <v>विषय का नाम</v>
      </c>
      <c r="S40" s="1662"/>
      <c r="T40" s="1681" t="str">
        <f>IF('School Profile'!$D$12="Hindi","सामयिक परख","Seasonal Exam")</f>
        <v>सामयिक परख</v>
      </c>
      <c r="U40" s="1681"/>
      <c r="V40" s="1681"/>
      <c r="W40" s="1681"/>
      <c r="X40" s="1681" t="str">
        <f>IF('School Profile'!$D$12="Hindi","अर्द्धवार्षिक","Half Yearly")</f>
        <v>अर्द्धवार्षिक</v>
      </c>
      <c r="Y40" s="1681"/>
      <c r="Z40" s="1681"/>
      <c r="AA40" s="1556" t="str">
        <f>IF('School Profile'!$D$12="Hindi","अर्द्ध वा. तक योग","Total Till H.Y.")</f>
        <v>अर्द्ध वा. तक योग</v>
      </c>
      <c r="AB40" s="1681" t="str">
        <f>IF('School Profile'!$D$12="Hindi","वार्षिक","Yearly")</f>
        <v>वार्षिक</v>
      </c>
      <c r="AC40" s="1681"/>
      <c r="AD40" s="1681"/>
      <c r="AE40" s="1550" t="str">
        <f>IF('School Profile'!$D$12="Hindi","विषय कुल योग ","Subject Total")</f>
        <v xml:space="preserve">विषय कुल योग </v>
      </c>
      <c r="AF40" s="1682" t="str">
        <f>IF('School Profile'!$D$12="Hindi","विषय परिणाम / विषय श्रेणी","Sub. Result /  Sub. Div.")</f>
        <v>विषय परिणाम / विषय श्रेणी</v>
      </c>
      <c r="AV40"/>
      <c r="AW40" t="str">
        <f>CONCATENATE(AW39," ",AX39,", ",AV39)</f>
        <v>OCTOBER 10TH, TWO THOUSAND TWELVE</v>
      </c>
      <c r="AX40"/>
      <c r="BA40"/>
      <c r="BB40" t="str">
        <f>CONCATENATE(BB39," ",BC39,", ",BA39)</f>
        <v>MAY 7TH, TWO THOUSAND ELEVEN</v>
      </c>
      <c r="BC40"/>
    </row>
    <row r="41" spans="1:55" s="351" customFormat="1" ht="78.75" customHeight="1">
      <c r="A41" s="33">
        <f>IF(L38="","",A40+1)</f>
        <v>11</v>
      </c>
      <c r="B41" s="1677"/>
      <c r="C41" s="1678"/>
      <c r="D41" s="656" t="str">
        <f>IF('School Profile'!$D$12="Hindi","प्रथम परख ","First Test")</f>
        <v xml:space="preserve">प्रथम परख </v>
      </c>
      <c r="E41" s="656" t="str">
        <f>IF('School Profile'!$D$12="Hindi","द्वितीय परख","Second Test")</f>
        <v>द्वितीय परख</v>
      </c>
      <c r="F41" s="656" t="str">
        <f>IF('School Profile'!$D$12="Hindi","तृतीय परख","Third Test")</f>
        <v>तृतीय परख</v>
      </c>
      <c r="G41" s="657" t="str">
        <f>IF('School Profile'!$D$12="Hindi","सा. परख योग","Test Total")</f>
        <v>सा. परख योग</v>
      </c>
      <c r="H41" s="658" t="str">
        <f>IF('School Profile'!$D$12="Hindi","सैद्धान्तिक","Theoretical")</f>
        <v>सैद्धान्तिक</v>
      </c>
      <c r="I41" s="658" t="str">
        <f>IF('School Profile'!$D$12="Hindi","प्रायोगिक","Practical")</f>
        <v>प्रायोगिक</v>
      </c>
      <c r="J41" s="659" t="str">
        <f>IF('School Profile'!$D$12="Hindi","अर्द्धवार्षिक योग","H.Y.  Total")</f>
        <v>अर्द्धवार्षिक योग</v>
      </c>
      <c r="K41" s="1556"/>
      <c r="L41" s="658" t="str">
        <f>IF('School Profile'!$D$12="Hindi","सैद्धान्तिक","Theoretical")</f>
        <v>सैद्धान्तिक</v>
      </c>
      <c r="M41" s="658" t="str">
        <f>IF('School Profile'!$D$12="Hindi","प्रायोगिक","Practical")</f>
        <v>प्रायोगिक</v>
      </c>
      <c r="N41" s="659" t="str">
        <f>IF('School Profile'!$D$12="Hindi","वार्षिक योग","Yearly  Total")</f>
        <v>वार्षिक योग</v>
      </c>
      <c r="O41" s="1550"/>
      <c r="P41" s="1552"/>
      <c r="Q41" s="1686"/>
      <c r="R41" s="1677"/>
      <c r="S41" s="1678"/>
      <c r="T41" s="656" t="str">
        <f>IF('School Profile'!$D$12="Hindi","प्रथम परख ","First Test")</f>
        <v xml:space="preserve">प्रथम परख </v>
      </c>
      <c r="U41" s="656" t="str">
        <f>IF('School Profile'!$D$12="Hindi","द्वितीय परख","Second Test")</f>
        <v>द्वितीय परख</v>
      </c>
      <c r="V41" s="656" t="str">
        <f>IF('School Profile'!$D$12="Hindi","तृतीय परख","Third Test")</f>
        <v>तृतीय परख</v>
      </c>
      <c r="W41" s="657" t="str">
        <f>IF('School Profile'!$D$12="Hindi","सा. परख योग","Test Total")</f>
        <v>सा. परख योग</v>
      </c>
      <c r="X41" s="658" t="str">
        <f>IF('School Profile'!$D$12="Hindi","सैद्धान्तिक","Theoretical")</f>
        <v>सैद्धान्तिक</v>
      </c>
      <c r="Y41" s="658" t="str">
        <f>IF('School Profile'!$D$12="Hindi","प्रायोगिक","Practical")</f>
        <v>प्रायोगिक</v>
      </c>
      <c r="Z41" s="659" t="str">
        <f>IF('School Profile'!$D$12="Hindi","अर्द्धवार्षिक योग","H.Y.  Total")</f>
        <v>अर्द्धवार्षिक योग</v>
      </c>
      <c r="AA41" s="1556"/>
      <c r="AB41" s="658" t="str">
        <f>IF('School Profile'!$D$12="Hindi","सैद्धान्तिक","Theoretical")</f>
        <v>सैद्धान्तिक</v>
      </c>
      <c r="AC41" s="658" t="str">
        <f>IF('School Profile'!$D$12="Hindi","प्रायोगिक","Practical")</f>
        <v>प्रायोगिक</v>
      </c>
      <c r="AD41" s="659" t="str">
        <f>IF('School Profile'!$D$12="Hindi","वार्षिक योग","Yearly  Total")</f>
        <v>वार्षिक योग</v>
      </c>
      <c r="AE41" s="1550"/>
      <c r="AF41" s="1552"/>
      <c r="AV41"/>
      <c r="AW41"/>
      <c r="AX41"/>
      <c r="BA41"/>
      <c r="BB41"/>
      <c r="BC41"/>
    </row>
    <row r="42" spans="1:55" s="353" customFormat="1" ht="21" customHeight="1">
      <c r="A42" s="33">
        <f>IF(L38="","",A41+1)</f>
        <v>12</v>
      </c>
      <c r="B42" s="1679"/>
      <c r="C42" s="1680"/>
      <c r="D42" s="663">
        <v>10</v>
      </c>
      <c r="E42" s="663">
        <v>10</v>
      </c>
      <c r="F42" s="663">
        <v>10</v>
      </c>
      <c r="G42" s="663">
        <v>30</v>
      </c>
      <c r="H42" s="665" t="s">
        <v>251</v>
      </c>
      <c r="I42" s="661">
        <v>35</v>
      </c>
      <c r="J42" s="660">
        <v>70</v>
      </c>
      <c r="K42" s="661">
        <v>100</v>
      </c>
      <c r="L42" s="664" t="s">
        <v>252</v>
      </c>
      <c r="M42" s="663">
        <v>50</v>
      </c>
      <c r="N42" s="660">
        <v>100</v>
      </c>
      <c r="O42" s="662">
        <v>200</v>
      </c>
      <c r="P42" s="1553"/>
      <c r="Q42" s="1686"/>
      <c r="R42" s="1679"/>
      <c r="S42" s="1680"/>
      <c r="T42" s="663">
        <v>10</v>
      </c>
      <c r="U42" s="663">
        <v>10</v>
      </c>
      <c r="V42" s="663">
        <v>10</v>
      </c>
      <c r="W42" s="663">
        <v>30</v>
      </c>
      <c r="X42" s="665" t="s">
        <v>251</v>
      </c>
      <c r="Y42" s="661">
        <v>35</v>
      </c>
      <c r="Z42" s="660">
        <v>70</v>
      </c>
      <c r="AA42" s="661">
        <v>100</v>
      </c>
      <c r="AB42" s="664" t="s">
        <v>252</v>
      </c>
      <c r="AC42" s="663">
        <v>50</v>
      </c>
      <c r="AD42" s="660">
        <v>100</v>
      </c>
      <c r="AE42" s="662">
        <v>200</v>
      </c>
      <c r="AF42" s="1553"/>
      <c r="AV42"/>
      <c r="AW42"/>
      <c r="AX42"/>
      <c r="BA42"/>
      <c r="BB42"/>
      <c r="BC42"/>
    </row>
    <row r="43" spans="1:55" s="351" customFormat="1" ht="22.5" customHeight="1">
      <c r="A43" s="33">
        <f>IF(L38="","",A42+1)</f>
        <v>13</v>
      </c>
      <c r="B43" s="1674" t="str">
        <f>'Statement of Marks'!$K$3</f>
        <v>हिंदी</v>
      </c>
      <c r="C43" s="1675"/>
      <c r="D43" s="26">
        <f>IFERROR(VLOOKUP(L38,'Statement of Marks'!$B$7:'Statement of Marks'!$IC$206,10,0),"")</f>
        <v>8</v>
      </c>
      <c r="E43" s="26">
        <f>IFERROR(VLOOKUP(L38,'Statement of Marks'!$B$7:'Statement of Marks'!$IC$206,11,0),"")</f>
        <v>9</v>
      </c>
      <c r="F43" s="26">
        <f>IFERROR(VLOOKUP(L38,'Statement of Marks'!$B$7:'Statement of Marks'!$IC$206,12,0),"")</f>
        <v>7</v>
      </c>
      <c r="G43" s="26">
        <f>IFERROR(VLOOKUP(L38,'Statement of Marks'!$B$7:'Statement of Marks'!$IC$206,13,0),"")</f>
        <v>24</v>
      </c>
      <c r="H43" s="26">
        <f>IFERROR(VLOOKUP(L38,'Statement of Marks'!$B$7:'Statement of Marks'!$IC$206,14,0),"")</f>
        <v>46</v>
      </c>
      <c r="I43" s="26"/>
      <c r="J43" s="347">
        <f>IF(L38="","",IF(AND(H43="",I43=""),"",SUM(H43,I43)))</f>
        <v>46</v>
      </c>
      <c r="K43" s="679">
        <f>IFERROR(IF(L38="","",IF(AND(G43="",J43=""),"",SUM(G43,J43))),"")</f>
        <v>70</v>
      </c>
      <c r="L43" s="26">
        <f>IFERROR(VLOOKUP(L38,'Statement of Marks'!$B$7:'Statement of Marks'!$IC$206,16,0),"")</f>
        <v>13</v>
      </c>
      <c r="M43" s="26"/>
      <c r="N43" s="347">
        <f>IF(L38="","",IF(AND(L43="",M43=""),"",SUM(L43,M43)))</f>
        <v>13</v>
      </c>
      <c r="O43" s="674">
        <f>IFERROR(VLOOKUP(L38,'Statement of Marks'!$B$7:'Statement of Marks'!$IC$206,17,0),"")</f>
        <v>83</v>
      </c>
      <c r="P43" s="680" t="str">
        <f>IFERROR(IF(O43="","",IF(VLOOKUP(L38,'Statement of Marks'!$B$7:'Statement of Marks'!$IC$206,195,0)="D","I",IF(VLOOKUP(L38,'Statement of Marks'!$B$7:'Statement of Marks'!$IC$206,195,0)="G1","G",IF(VLOOKUP(L38,'Statement of Marks'!$B$7:'Statement of Marks'!$IC$206,195,0)="G2","G",VLOOKUP(L38,'Statement of Marks'!$B$7:'Statement of Marks'!$IC$206,195,0))))),"")</f>
        <v>F</v>
      </c>
      <c r="Q43" s="1686"/>
      <c r="R43" s="1674" t="str">
        <f>'Statement of Marks'!$K$3</f>
        <v>हिंदी</v>
      </c>
      <c r="S43" s="1675"/>
      <c r="T43" s="26" t="str">
        <f>IFERROR(VLOOKUP(AB38,'Statement of Marks'!$B$7:'Statement of Marks'!$IC$206,10,0),"")</f>
        <v>AB</v>
      </c>
      <c r="U43" s="26">
        <f>IFERROR(VLOOKUP(AB38,'Statement of Marks'!$B$7:'Statement of Marks'!$IC$206,11,0),"")</f>
        <v>9</v>
      </c>
      <c r="V43" s="26">
        <f>IFERROR(VLOOKUP(AB38,'Statement of Marks'!$B$7:'Statement of Marks'!$IC$206,12,0),"")</f>
        <v>4</v>
      </c>
      <c r="W43" s="26">
        <f>IFERROR(VLOOKUP(AB38,'Statement of Marks'!$B$7:'Statement of Marks'!$IC$206,13,0),"")</f>
        <v>13</v>
      </c>
      <c r="X43" s="26">
        <f>IFERROR(VLOOKUP(AB38,'Statement of Marks'!$B$7:'Statement of Marks'!$IC$206,14,0),"")</f>
        <v>46</v>
      </c>
      <c r="Y43" s="26"/>
      <c r="Z43" s="347">
        <f>IF(AB38="","",IF(AND(X43="",Y43=""),"",SUM(X43,Y43)))</f>
        <v>46</v>
      </c>
      <c r="AA43" s="679">
        <f>IFERROR(IF(AB38="","",IF(AND(W43="",Z43=""),"",SUM(W43,Z43))),"")</f>
        <v>59</v>
      </c>
      <c r="AB43" s="26">
        <f>IFERROR(VLOOKUP(AB38,'Statement of Marks'!$B$7:'Statement of Marks'!$IC$206,16,0),"")</f>
        <v>65</v>
      </c>
      <c r="AC43" s="26"/>
      <c r="AD43" s="347">
        <f>IF(AB38="","",IF(AND(AB43="",AC43=""),"",SUM(AB43,AC43)))</f>
        <v>65</v>
      </c>
      <c r="AE43" s="674">
        <f>IFERROR(VLOOKUP(AB38,'Statement of Marks'!$B$7:'Statement of Marks'!$IC$206,17,0),"")</f>
        <v>124</v>
      </c>
      <c r="AF43" s="680" t="str">
        <f>IFERROR(IF(AE43="","",IF(VLOOKUP(AB38,'Statement of Marks'!$B$7:'Statement of Marks'!$IC$206,195,0)="D","I",IF(VLOOKUP(AB38,'Statement of Marks'!$B$7:'Statement of Marks'!$IC$206,195,0)="G1","G",IF(VLOOKUP(AB38,'Statement of Marks'!$B$7:'Statement of Marks'!$IC$206,195,0)="G2","G",VLOOKUP(AB38,'Statement of Marks'!$B$7:'Statement of Marks'!$IC$206,195,0))))),"")</f>
        <v>I</v>
      </c>
      <c r="AV43"/>
      <c r="AW43"/>
      <c r="AX43"/>
      <c r="BA43"/>
      <c r="BB43"/>
      <c r="BC43"/>
    </row>
    <row r="44" spans="1:55" s="351" customFormat="1" ht="22.5" customHeight="1">
      <c r="A44" s="33">
        <f>IF(L38="","",A43+1)</f>
        <v>14</v>
      </c>
      <c r="B44" s="1674" t="str">
        <f>'Statement of Marks'!$Y$3</f>
        <v>अंग्रेजी</v>
      </c>
      <c r="C44" s="1675"/>
      <c r="D44" s="26">
        <f>IFERROR(VLOOKUP(L38,'Statement of Marks'!$B$7:'Statement of Marks'!$IC$206,24,0),"")</f>
        <v>8</v>
      </c>
      <c r="E44" s="26">
        <f>IFERROR(VLOOKUP(L38,'Statement of Marks'!$B$7:'Statement of Marks'!$IC$206,25,0),"")</f>
        <v>9</v>
      </c>
      <c r="F44" s="26">
        <f>IFERROR(VLOOKUP(L38,'Statement of Marks'!$B$7:'Statement of Marks'!$IC$206,26,0),"")</f>
        <v>10</v>
      </c>
      <c r="G44" s="26">
        <f>IFERROR(VLOOKUP(L38,'Statement of Marks'!$B$7:'Statement of Marks'!$IC$206,27,0),"")</f>
        <v>27</v>
      </c>
      <c r="H44" s="26">
        <f>IFERROR(VLOOKUP(L38,'Statement of Marks'!$B$7:'Statement of Marks'!$IC$206,28,0),"")</f>
        <v>65</v>
      </c>
      <c r="I44" s="26"/>
      <c r="J44" s="347">
        <f>IF(L38="","",IF(AND(H44="",I44=""),"",SUM(H44,I44)))</f>
        <v>65</v>
      </c>
      <c r="K44" s="679">
        <f>IFERROR(IF(L38="","",IF(AND(G44="",J44=""),"",SUM(G44,J44))),"")</f>
        <v>92</v>
      </c>
      <c r="L44" s="26">
        <f>IFERROR(VLOOKUP(L38,'Statement of Marks'!$B$7:'Statement of Marks'!$IC$206,30,0),"")</f>
        <v>95</v>
      </c>
      <c r="M44" s="26"/>
      <c r="N44" s="347">
        <f>IF(L38="","",IF(AND(L44="",M44=""),"",SUM(L44,M44)))</f>
        <v>95</v>
      </c>
      <c r="O44" s="674">
        <f>IFERROR(VLOOKUP(L38,'Statement of Marks'!$B$7:'Statement of Marks'!$IC$206,31,0),"")</f>
        <v>187</v>
      </c>
      <c r="P44" s="680" t="str">
        <f>IFERROR(IF(O43="","",IF(VLOOKUP(L38,'Statement of Marks'!$B$7:'Statement of Marks'!$IC$206,198,0)="D","I",IF(VLOOKUP(L38,'Statement of Marks'!$B$7:'Statement of Marks'!$IC$206,198,0)="G1","G",IF(VLOOKUP(L38,'Statement of Marks'!$B$7:'Statement of Marks'!$IC$206,198,0)="G2","G",VLOOKUP(L38,'Statement of Marks'!$B$7:'Statement of Marks'!$IC$206,198,0))))),"")</f>
        <v>I</v>
      </c>
      <c r="Q44" s="1686"/>
      <c r="R44" s="1674" t="str">
        <f>'Statement of Marks'!$Y$3</f>
        <v>अंग्रेजी</v>
      </c>
      <c r="S44" s="1675"/>
      <c r="T44" s="26">
        <f>IFERROR(VLOOKUP(AB38,'Statement of Marks'!$B$7:'Statement of Marks'!$IC$206,24,0),"")</f>
        <v>8</v>
      </c>
      <c r="U44" s="26">
        <f>IFERROR(VLOOKUP(AB38,'Statement of Marks'!$B$7:'Statement of Marks'!$IC$206,25,0),"")</f>
        <v>9</v>
      </c>
      <c r="V44" s="26">
        <f>IFERROR(VLOOKUP(AB38,'Statement of Marks'!$B$7:'Statement of Marks'!$IC$206,26,0),"")</f>
        <v>10</v>
      </c>
      <c r="W44" s="26">
        <f>IFERROR(VLOOKUP(AB38,'Statement of Marks'!$B$7:'Statement of Marks'!$IC$206,27,0),"")</f>
        <v>27</v>
      </c>
      <c r="X44" s="26">
        <f>IFERROR(VLOOKUP(AB38,'Statement of Marks'!$B$7:'Statement of Marks'!$IC$206,28,0),"")</f>
        <v>30</v>
      </c>
      <c r="Y44" s="26"/>
      <c r="Z44" s="347">
        <f>IF(AB38="","",IF(AND(X44="",Y44=""),"",SUM(X44,Y44)))</f>
        <v>30</v>
      </c>
      <c r="AA44" s="679">
        <f>IFERROR(IF(AB38="","",IF(AND(W44="",Z44=""),"",SUM(W44,Z44))),"")</f>
        <v>57</v>
      </c>
      <c r="AB44" s="26">
        <f>IFERROR(VLOOKUP(AB38,'Statement of Marks'!$B$7:'Statement of Marks'!$IC$206,30,0),"")</f>
        <v>95</v>
      </c>
      <c r="AC44" s="26"/>
      <c r="AD44" s="347">
        <f>IF(AB38="","",IF(AND(AB44="",AC44=""),"",SUM(AB44,AC44)))</f>
        <v>95</v>
      </c>
      <c r="AE44" s="674">
        <f>IFERROR(VLOOKUP(AB38,'Statement of Marks'!$B$7:'Statement of Marks'!$IC$206,31,0),"")</f>
        <v>152</v>
      </c>
      <c r="AF44" s="680" t="str">
        <f>IFERROR(IF(AE43="","",IF(VLOOKUP(AB38,'Statement of Marks'!$B$7:'Statement of Marks'!$IC$206,198,0)="D","I",IF(VLOOKUP(AB38,'Statement of Marks'!$B$7:'Statement of Marks'!$IC$206,198,0)="G1","G",IF(VLOOKUP(AB38,'Statement of Marks'!$B$7:'Statement of Marks'!$IC$206,198,0)="G2","G",VLOOKUP(AB38,'Statement of Marks'!$B$7:'Statement of Marks'!$IC$206,198,0))))),"")</f>
        <v>I</v>
      </c>
      <c r="AV44"/>
      <c r="AW44"/>
      <c r="AX44"/>
      <c r="BA44"/>
      <c r="BB44"/>
      <c r="BC44"/>
    </row>
    <row r="45" spans="1:55" s="351" customFormat="1" ht="22.5" customHeight="1">
      <c r="A45" s="33">
        <f>IF(L38="","",A44+1)</f>
        <v>15</v>
      </c>
      <c r="B45" s="1674" t="str">
        <f>IFERROR(VLOOKUP(L38,'Statement of Marks'!$B$7:'Statement of Marks'!$IC$206,38,0),"")</f>
        <v>संस्कृत (71)</v>
      </c>
      <c r="C45" s="1675"/>
      <c r="D45" s="26">
        <f>IFERROR(VLOOKUP(L38,'Statement of Marks'!$B$7:'Statement of Marks'!$IC$206,39,0),"")</f>
        <v>8</v>
      </c>
      <c r="E45" s="26">
        <f>IFERROR(VLOOKUP(L38,'Statement of Marks'!$B$7:'Statement of Marks'!$IC$206,40,0),"")</f>
        <v>9</v>
      </c>
      <c r="F45" s="26">
        <f>IFERROR(VLOOKUP(L38,'Statement of Marks'!$B$7:'Statement of Marks'!$IC$206,41,0),"")</f>
        <v>9</v>
      </c>
      <c r="G45" s="26">
        <f>IFERROR(VLOOKUP(L38,'Statement of Marks'!$B$7:'Statement of Marks'!$IC$206,42,0),"")</f>
        <v>26</v>
      </c>
      <c r="H45" s="26">
        <f>IFERROR(VLOOKUP(L38,'Statement of Marks'!$B$7:'Statement of Marks'!$IC$206,43,0),"")</f>
        <v>46</v>
      </c>
      <c r="I45" s="26"/>
      <c r="J45" s="347">
        <f>IF(L38="","",IF(AND(H45="",I45=""),"",SUM(H45,I45)))</f>
        <v>46</v>
      </c>
      <c r="K45" s="679">
        <f>IFERROR(IF(L38="","",IF(AND(G45="",J45=""),"",SUM(G45,J45))),"")</f>
        <v>72</v>
      </c>
      <c r="L45" s="26">
        <f>IFERROR(VLOOKUP(L38,'Statement of Marks'!$B$7:'Statement of Marks'!$IC$206,45,0),"")</f>
        <v>45</v>
      </c>
      <c r="M45" s="26"/>
      <c r="N45" s="347">
        <f>IF(L38="","",IF(AND(L45="",M45=""),"",SUM(L45,M45)))</f>
        <v>45</v>
      </c>
      <c r="O45" s="674">
        <f>IFERROR(VLOOKUP(L38,'Statement of Marks'!$B$7:'Statement of Marks'!$IC$206,46,0),"")</f>
        <v>117</v>
      </c>
      <c r="P45" s="680" t="str">
        <f>IFERROR(IF(O43="","",IF(VLOOKUP(L38,'Statement of Marks'!$B$7:'Statement of Marks'!$IC$206,201,0)="D","I",IF(VLOOKUP(L38,'Statement of Marks'!$B$7:'Statement of Marks'!$IC$206,201,0)="G1","G",IF(VLOOKUP(L38,'Statement of Marks'!$B$7:'Statement of Marks'!$IC$206,201,0)="G2","G",VLOOKUP(L38,'Statement of Marks'!$B$7:'Statement of Marks'!$IC$206,201,0))))),"")</f>
        <v>II</v>
      </c>
      <c r="Q45" s="1686"/>
      <c r="R45" s="1674" t="str">
        <f>IFERROR(VLOOKUP(AB38,'Statement of Marks'!$B$7:'Statement of Marks'!$IC$206,38,0),"")</f>
        <v>संस्कृत (71)</v>
      </c>
      <c r="S45" s="1675"/>
      <c r="T45" s="26">
        <f>IFERROR(VLOOKUP(AB38,'Statement of Marks'!$B$7:'Statement of Marks'!$IC$206,39,0),"")</f>
        <v>8</v>
      </c>
      <c r="U45" s="26">
        <f>IFERROR(VLOOKUP(AB38,'Statement of Marks'!$B$7:'Statement of Marks'!$IC$206,40,0),"")</f>
        <v>9</v>
      </c>
      <c r="V45" s="26">
        <f>IFERROR(VLOOKUP(AB38,'Statement of Marks'!$B$7:'Statement of Marks'!$IC$206,41,0),"")</f>
        <v>9</v>
      </c>
      <c r="W45" s="26">
        <f>IFERROR(VLOOKUP(AB38,'Statement of Marks'!$B$7:'Statement of Marks'!$IC$206,42,0),"")</f>
        <v>26</v>
      </c>
      <c r="X45" s="26">
        <f>IFERROR(VLOOKUP(AB38,'Statement of Marks'!$B$7:'Statement of Marks'!$IC$206,43,0),"")</f>
        <v>46</v>
      </c>
      <c r="Y45" s="26"/>
      <c r="Z45" s="347">
        <f>IF(AB38="","",IF(AND(X45="",Y45=""),"",SUM(X45,Y45)))</f>
        <v>46</v>
      </c>
      <c r="AA45" s="679">
        <f>IFERROR(IF(AB38="","",IF(AND(W45="",Z45=""),"",SUM(W45,Z45))),"")</f>
        <v>72</v>
      </c>
      <c r="AB45" s="26">
        <f>IFERROR(VLOOKUP(AB38,'Statement of Marks'!$B$7:'Statement of Marks'!$IC$206,45,0),"")</f>
        <v>45</v>
      </c>
      <c r="AC45" s="26"/>
      <c r="AD45" s="347">
        <f>IF(AB38="","",IF(AND(AB45="",AC45=""),"",SUM(AB45,AC45)))</f>
        <v>45</v>
      </c>
      <c r="AE45" s="674">
        <f>IFERROR(VLOOKUP(AB38,'Statement of Marks'!$B$7:'Statement of Marks'!$IC$206,46,0),"")</f>
        <v>117</v>
      </c>
      <c r="AF45" s="680" t="str">
        <f>IFERROR(IF(AE43="","",IF(VLOOKUP(AB38,'Statement of Marks'!$B$7:'Statement of Marks'!$IC$206,201,0)="D","I",IF(VLOOKUP(AB38,'Statement of Marks'!$B$7:'Statement of Marks'!$IC$206,201,0)="G1","G",IF(VLOOKUP(AB38,'Statement of Marks'!$B$7:'Statement of Marks'!$IC$206,201,0)="G2","G",VLOOKUP(AB38,'Statement of Marks'!$B$7:'Statement of Marks'!$IC$206,201,0))))),"")</f>
        <v>II</v>
      </c>
      <c r="AV45"/>
      <c r="AW45"/>
      <c r="AX45"/>
      <c r="BA45"/>
      <c r="BB45"/>
      <c r="BC45"/>
    </row>
    <row r="46" spans="1:55" s="351" customFormat="1" ht="22.5" customHeight="1">
      <c r="A46" s="33">
        <f>IF(L38="","",A45+1)</f>
        <v>16</v>
      </c>
      <c r="B46" s="1674" t="str">
        <f>'Statement of Marks'!$BB$3</f>
        <v>गणित</v>
      </c>
      <c r="C46" s="1675"/>
      <c r="D46" s="26">
        <f>IFERROR(VLOOKUP(L38,'Statement of Marks'!$B$7:'Statement of Marks'!$IC$206,53,0),"")</f>
        <v>8</v>
      </c>
      <c r="E46" s="26">
        <f>IFERROR(VLOOKUP(L38,'Statement of Marks'!$B$7:'Statement of Marks'!$IC$206,54,0),"")</f>
        <v>9</v>
      </c>
      <c r="F46" s="26">
        <f>IFERROR(VLOOKUP(L38,'Statement of Marks'!$B$7:'Statement of Marks'!$IC$206,55,0),"")</f>
        <v>8</v>
      </c>
      <c r="G46" s="26">
        <f>IFERROR(VLOOKUP(L38,'Statement of Marks'!$B$7:'Statement of Marks'!$IC$206,56,0),"")</f>
        <v>25</v>
      </c>
      <c r="H46" s="26">
        <f>IFERROR(VLOOKUP(L38,'Statement of Marks'!$B$7:'Statement of Marks'!$IC$206,57,0),"")</f>
        <v>68</v>
      </c>
      <c r="I46" s="26"/>
      <c r="J46" s="347">
        <f>IF(L38="","",IF(AND(H46="",I46=""),"",SUM(H46,I46)))</f>
        <v>68</v>
      </c>
      <c r="K46" s="679">
        <f>IFERROR(IF(L38="","",IF(AND(G46="",J46=""),"",SUM(G46,J46))),"")</f>
        <v>93</v>
      </c>
      <c r="L46" s="26">
        <f>IFERROR(VLOOKUP(L38,'Statement of Marks'!$B$7:'Statement of Marks'!$IC$206,59,0),"")</f>
        <v>95</v>
      </c>
      <c r="M46" s="26"/>
      <c r="N46" s="347">
        <f>IF(L38="","",IF(AND(L46="",M46=""),"",SUM(L46,M46)))</f>
        <v>95</v>
      </c>
      <c r="O46" s="674">
        <f>IFERROR(VLOOKUP(L38,'Statement of Marks'!$B$7:'Statement of Marks'!$IC$206,60,0),"")</f>
        <v>188</v>
      </c>
      <c r="P46" s="680" t="str">
        <f>IFERROR(IF(O43="","",IF(VLOOKUP(L38,'Statement of Marks'!$B$7:'Statement of Marks'!$IC$206,209,0)="D","I",IF(VLOOKUP(L38,'Statement of Marks'!$B$7:'Statement of Marks'!$IC$206,209,0)="G1","G",IF(VLOOKUP(L38,'Statement of Marks'!$B$7:'Statement of Marks'!$IC$206,209,0)="G2","G",VLOOKUP(L38,'Statement of Marks'!$B$7:'Statement of Marks'!$IC$206,209,0))))),"")</f>
        <v>I</v>
      </c>
      <c r="Q46" s="1686"/>
      <c r="R46" s="1674" t="str">
        <f>'Statement of Marks'!$BB$3</f>
        <v>गणित</v>
      </c>
      <c r="S46" s="1675"/>
      <c r="T46" s="26">
        <f>IFERROR(VLOOKUP(AB38,'Statement of Marks'!$B$7:'Statement of Marks'!$IC$206,53,0),"")</f>
        <v>8</v>
      </c>
      <c r="U46" s="26">
        <f>IFERROR(VLOOKUP(AB38,'Statement of Marks'!$B$7:'Statement of Marks'!$IC$206,54,0),"")</f>
        <v>9</v>
      </c>
      <c r="V46" s="26">
        <f>IFERROR(VLOOKUP(AB38,'Statement of Marks'!$B$7:'Statement of Marks'!$IC$206,55,0),"")</f>
        <v>8</v>
      </c>
      <c r="W46" s="26">
        <f>IFERROR(VLOOKUP(AB38,'Statement of Marks'!$B$7:'Statement of Marks'!$IC$206,56,0),"")</f>
        <v>25</v>
      </c>
      <c r="X46" s="26">
        <f>IFERROR(VLOOKUP(AB38,'Statement of Marks'!$B$7:'Statement of Marks'!$IC$206,57,0),"")</f>
        <v>12</v>
      </c>
      <c r="Y46" s="26"/>
      <c r="Z46" s="347">
        <f>IF(AB38="","",IF(AND(X46="",Y46=""),"",SUM(X46,Y46)))</f>
        <v>12</v>
      </c>
      <c r="AA46" s="679">
        <f>IFERROR(IF(AB38="","",IF(AND(W46="",Z46=""),"",SUM(W46,Z46))),"")</f>
        <v>37</v>
      </c>
      <c r="AB46" s="26">
        <f>IFERROR(VLOOKUP(AB38,'Statement of Marks'!$B$7:'Statement of Marks'!$IC$206,59,0),"")</f>
        <v>34</v>
      </c>
      <c r="AC46" s="26"/>
      <c r="AD46" s="347">
        <f>IF(AB38="","",IF(AND(AB46="",AC46=""),"",SUM(AB46,AC46)))</f>
        <v>34</v>
      </c>
      <c r="AE46" s="674">
        <f>IFERROR(VLOOKUP(AB38,'Statement of Marks'!$B$7:'Statement of Marks'!$IC$206,60,0),"")</f>
        <v>71</v>
      </c>
      <c r="AF46" s="680" t="str">
        <f>IFERROR(IF(AE43="","",IF(VLOOKUP(AB38,'Statement of Marks'!$B$7:'Statement of Marks'!$IC$206,209,0)="D","I",IF(VLOOKUP(AB38,'Statement of Marks'!$B$7:'Statement of Marks'!$IC$206,209,0)="G1","G",IF(VLOOKUP(AB38,'Statement of Marks'!$B$7:'Statement of Marks'!$IC$206,209,0)="G2","G",VLOOKUP(AB38,'Statement of Marks'!$B$7:'Statement of Marks'!$IC$206,209,0))))),"")</f>
        <v>G</v>
      </c>
      <c r="AV46"/>
      <c r="AW46"/>
      <c r="AX46"/>
      <c r="BA46"/>
      <c r="BB46"/>
      <c r="BC46"/>
    </row>
    <row r="47" spans="1:55" s="351" customFormat="1" ht="22.5" customHeight="1">
      <c r="A47" s="33">
        <f>IF(L38="","",A46+1)</f>
        <v>17</v>
      </c>
      <c r="B47" s="1661" t="str">
        <f>'Statement of Marks'!$BP$3</f>
        <v>विज्ञान</v>
      </c>
      <c r="C47" s="1662"/>
      <c r="D47" s="26">
        <f>IFERROR(VLOOKUP(L38,'Statement of Marks'!$B$7:'Statement of Marks'!$IC$206,67,0),"")</f>
        <v>8</v>
      </c>
      <c r="E47" s="26">
        <f>IFERROR(VLOOKUP(L38,'Statement of Marks'!$B$7:'Statement of Marks'!$IC$206,68,0),"")</f>
        <v>9</v>
      </c>
      <c r="F47" s="26">
        <f>IFERROR(VLOOKUP(L38,'Statement of Marks'!$B$7:'Statement of Marks'!$IC$206,69,0),"")</f>
        <v>8</v>
      </c>
      <c r="G47" s="26">
        <f>IFERROR(VLOOKUP(L38,'Statement of Marks'!$B$7:'Statement of Marks'!$IC$206,70,0),"")</f>
        <v>25</v>
      </c>
      <c r="H47" s="26">
        <f>IFERROR(VLOOKUP(L38,'Statement of Marks'!$B$7:'Statement of Marks'!$IC$206,71,0),"")</f>
        <v>46</v>
      </c>
      <c r="I47" s="26"/>
      <c r="J47" s="347">
        <f>IF(L38="","",IF(AND(H47="",I47=""),"",SUM(H47,I47)))</f>
        <v>46</v>
      </c>
      <c r="K47" s="679">
        <f>IFERROR(IF(L38="","",IF(AND(G47="",J47=""),"",SUM(G47,J47))),"")</f>
        <v>71</v>
      </c>
      <c r="L47" s="26">
        <f>IFERROR(VLOOKUP(L38,'Statement of Marks'!$B$7:'Statement of Marks'!$IC$206,73,0),"")</f>
        <v>45</v>
      </c>
      <c r="M47" s="26"/>
      <c r="N47" s="347">
        <f>IF(L38="","",IF(AND(L47="",M47=""),"",SUM(L47,M47)))</f>
        <v>45</v>
      </c>
      <c r="O47" s="674">
        <f>IFERROR(VLOOKUP(L38,'Statement of Marks'!$B$7:'Statement of Marks'!$IC$206,74,0),"")</f>
        <v>116</v>
      </c>
      <c r="P47" s="680" t="str">
        <f>IFERROR(IF(O43="","",IF(VLOOKUP(L38,'Statement of Marks'!$B$7:'Statement of Marks'!$IC$206,212,0)="D","I",IF(VLOOKUP(L38,'Statement of Marks'!$B$7:'Statement of Marks'!$IC$206,212,0)="G1","G",IF(VLOOKUP(L38,'Statement of Marks'!$B$7:'Statement of Marks'!$IC$206,212,0)="G2","G",VLOOKUP(L38,'Statement of Marks'!$B$7:'Statement of Marks'!$IC$206,212,0))))),"")</f>
        <v>II</v>
      </c>
      <c r="Q47" s="1686"/>
      <c r="R47" s="1661" t="str">
        <f>'Statement of Marks'!$BP$3</f>
        <v>विज्ञान</v>
      </c>
      <c r="S47" s="1662"/>
      <c r="T47" s="26">
        <f>IFERROR(VLOOKUP(AB38,'Statement of Marks'!$B$7:'Statement of Marks'!$IC$206,67,0),"")</f>
        <v>8</v>
      </c>
      <c r="U47" s="26">
        <f>IFERROR(VLOOKUP(AB38,'Statement of Marks'!$B$7:'Statement of Marks'!$IC$206,68,0),"")</f>
        <v>9</v>
      </c>
      <c r="V47" s="26">
        <f>IFERROR(VLOOKUP(AB38,'Statement of Marks'!$B$7:'Statement of Marks'!$IC$206,69,0),"")</f>
        <v>9</v>
      </c>
      <c r="W47" s="26">
        <f>IFERROR(VLOOKUP(AB38,'Statement of Marks'!$B$7:'Statement of Marks'!$IC$206,70,0),"")</f>
        <v>26</v>
      </c>
      <c r="X47" s="26">
        <f>IFERROR(VLOOKUP(AB38,'Statement of Marks'!$B$7:'Statement of Marks'!$IC$206,71,0),"")</f>
        <v>46</v>
      </c>
      <c r="Y47" s="26"/>
      <c r="Z47" s="347">
        <f>IF(AB38="","",IF(AND(X47="",Y47=""),"",SUM(X47,Y47)))</f>
        <v>46</v>
      </c>
      <c r="AA47" s="679">
        <f>IFERROR(IF(AB38="","",IF(AND(W47="",Z47=""),"",SUM(W47,Z47))),"")</f>
        <v>72</v>
      </c>
      <c r="AB47" s="26">
        <f>IFERROR(VLOOKUP(AB38,'Statement of Marks'!$B$7:'Statement of Marks'!$IC$206,73,0),"")</f>
        <v>45</v>
      </c>
      <c r="AC47" s="26"/>
      <c r="AD47" s="347">
        <f>IF(AB38="","",IF(AND(AB47="",AC47=""),"",SUM(AB47,AC47)))</f>
        <v>45</v>
      </c>
      <c r="AE47" s="674">
        <f>IFERROR(VLOOKUP(AB38,'Statement of Marks'!$B$7:'Statement of Marks'!$IC$206,74,0),"")</f>
        <v>117</v>
      </c>
      <c r="AF47" s="680" t="str">
        <f>IFERROR(IF(AE43="","",IF(VLOOKUP(AB38,'Statement of Marks'!$B$7:'Statement of Marks'!$IC$206,212,0)="D","I",IF(VLOOKUP(AB38,'Statement of Marks'!$B$7:'Statement of Marks'!$IC$206,212,0)="G1","G",IF(VLOOKUP(AB38,'Statement of Marks'!$B$7:'Statement of Marks'!$IC$206,212,0)="G2","G",VLOOKUP(AB38,'Statement of Marks'!$B$7:'Statement of Marks'!$IC$206,212,0))))),"")</f>
        <v>II</v>
      </c>
      <c r="AV47"/>
      <c r="AW47"/>
      <c r="AX47"/>
      <c r="BA47"/>
      <c r="BB47"/>
      <c r="BC47"/>
    </row>
    <row r="48" spans="1:55" s="351" customFormat="1" ht="22.5" customHeight="1">
      <c r="A48" s="33">
        <f>IF(L38="","",A47+1)</f>
        <v>18</v>
      </c>
      <c r="B48" s="409" t="str">
        <f>'Statement of Marks'!$CE$3</f>
        <v>सामाजिक विज्ञान</v>
      </c>
      <c r="C48" s="412" t="str">
        <f>IF(OR(L38="",O48="",O50=""),"",IF(AND(O48&gt;=O50),"*",""))</f>
        <v/>
      </c>
      <c r="D48" s="26">
        <f>IFERROR(VLOOKUP(L38,'Statement of Marks'!$B$7:'Statement of Marks'!$IC$206,82,0),"")</f>
        <v>8</v>
      </c>
      <c r="E48" s="26">
        <f>IFERROR(VLOOKUP(L38,'Statement of Marks'!$B$7:'Statement of Marks'!$IC$206,83,0),"")</f>
        <v>8</v>
      </c>
      <c r="F48" s="26">
        <f>IFERROR(VLOOKUP(L38,'Statement of Marks'!$B$7:'Statement of Marks'!$IC$206,84,0),"")</f>
        <v>8</v>
      </c>
      <c r="G48" s="26">
        <f>IFERROR(VLOOKUP(L38,'Statement of Marks'!$B$7:'Statement of Marks'!$IC$206,85,0),"")</f>
        <v>24</v>
      </c>
      <c r="H48" s="26">
        <f>IFERROR(VLOOKUP(L38,'Statement of Marks'!$B$7:'Statement of Marks'!$IC$206,86,0),"")</f>
        <v>46</v>
      </c>
      <c r="I48" s="26"/>
      <c r="J48" s="347">
        <f>IF(L38="","",IF(AND(H48="",I48=""),"",SUM(H48,I48)))</f>
        <v>46</v>
      </c>
      <c r="K48" s="679">
        <f>IFERROR(IF(L38="","",IF(AND(G48="",J48=""),"",SUM(G48,J48))),"")</f>
        <v>70</v>
      </c>
      <c r="L48" s="26">
        <f>IFERROR(VLOOKUP(L38,'Statement of Marks'!$B$7:'Statement of Marks'!$IC$206,88,0),"")</f>
        <v>45</v>
      </c>
      <c r="M48" s="26"/>
      <c r="N48" s="347">
        <f>IF(L38="","",IF(AND(L48="",M48=""),"",SUM(L48,M48)))</f>
        <v>45</v>
      </c>
      <c r="O48" s="674">
        <f>IFERROR(VLOOKUP(L38,'Statement of Marks'!$B$7:'Statement of Marks'!$IC$206,89,0),"")</f>
        <v>115</v>
      </c>
      <c r="P48" s="680" t="str">
        <f>IFERROR(IF(O43="","",IF(VLOOKUP(L38,'Statement of Marks'!$B$7:'Statement of Marks'!$IC$206,215,0)="D","I",IF(VLOOKUP(L38,'Statement of Marks'!$B$7:'Statement of Marks'!$IC$206,215,0)="G1","G",IF(VLOOKUP(L38,'Statement of Marks'!$B$7:'Statement of Marks'!$IC$206,215,0)="G2","G",VLOOKUP(L38,'Statement of Marks'!$B$7:'Statement of Marks'!$IC$206,215,0))))),"")</f>
        <v>II</v>
      </c>
      <c r="Q48" s="1686"/>
      <c r="R48" s="409" t="str">
        <f>'Statement of Marks'!$CE$3</f>
        <v>सामाजिक विज्ञान</v>
      </c>
      <c r="S48" s="412" t="str">
        <f>IF(OR(AB38="",AE48="",AE50=""),"",IF(AND(AE48&gt;=AE50),"*",""))</f>
        <v/>
      </c>
      <c r="T48" s="26">
        <f>IFERROR(VLOOKUP(AB38,'Statement of Marks'!$B$7:'Statement of Marks'!$IC$206,82,0),"")</f>
        <v>7</v>
      </c>
      <c r="U48" s="26">
        <f>IFERROR(VLOOKUP(AB38,'Statement of Marks'!$B$7:'Statement of Marks'!$IC$206,83,0),"")</f>
        <v>7</v>
      </c>
      <c r="V48" s="26">
        <f>IFERROR(VLOOKUP(AB38,'Statement of Marks'!$B$7:'Statement of Marks'!$IC$206,84,0),"")</f>
        <v>7</v>
      </c>
      <c r="W48" s="26">
        <f>IFERROR(VLOOKUP(AB38,'Statement of Marks'!$B$7:'Statement of Marks'!$IC$206,85,0),"")</f>
        <v>21</v>
      </c>
      <c r="X48" s="26">
        <f>IFERROR(VLOOKUP(AB38,'Statement of Marks'!$B$7:'Statement of Marks'!$IC$206,86,0),"")</f>
        <v>46</v>
      </c>
      <c r="Y48" s="26"/>
      <c r="Z48" s="347">
        <f>IF(AB38="","",IF(AND(X48="",Y48=""),"",SUM(X48,Y48)))</f>
        <v>46</v>
      </c>
      <c r="AA48" s="679">
        <f>IFERROR(IF(AB38="","",IF(AND(W48="",Z48=""),"",SUM(W48,Z48))),"")</f>
        <v>67</v>
      </c>
      <c r="AB48" s="26">
        <f>IFERROR(VLOOKUP(AB38,'Statement of Marks'!$B$7:'Statement of Marks'!$IC$206,88,0),"")</f>
        <v>45</v>
      </c>
      <c r="AC48" s="26"/>
      <c r="AD48" s="347">
        <f>IF(AB38="","",IF(AND(AB48="",AC48=""),"",SUM(AB48,AC48)))</f>
        <v>45</v>
      </c>
      <c r="AE48" s="674">
        <f>IFERROR(VLOOKUP(AB38,'Statement of Marks'!$B$7:'Statement of Marks'!$IC$206,89,0),"")</f>
        <v>112</v>
      </c>
      <c r="AF48" s="680" t="str">
        <f>IFERROR(IF(AE43="","",IF(VLOOKUP(AB38,'Statement of Marks'!$B$7:'Statement of Marks'!$IC$206,215,0)="D","I",IF(VLOOKUP(AB38,'Statement of Marks'!$B$7:'Statement of Marks'!$IC$206,215,0)="G1","G",IF(VLOOKUP(AB38,'Statement of Marks'!$B$7:'Statement of Marks'!$IC$206,215,0)="G2","G",VLOOKUP(AB38,'Statement of Marks'!$B$7:'Statement of Marks'!$IC$206,215,0))))),"")</f>
        <v>II</v>
      </c>
      <c r="AV48"/>
      <c r="AW48"/>
      <c r="AX48"/>
      <c r="BA48"/>
      <c r="BB48"/>
      <c r="BC48"/>
    </row>
    <row r="49" spans="1:55" s="351" customFormat="1">
      <c r="A49" s="33">
        <f>IF(L38="","",A48+1)</f>
        <v>19</v>
      </c>
      <c r="B49" s="1663" t="str">
        <f>IF('School Profile'!$D$12="Hindi","व्यावसायिक शिक्षा","Vocational Education")</f>
        <v>व्यावसायिक शिक्षा</v>
      </c>
      <c r="C49" s="1664"/>
      <c r="D49" s="1665"/>
      <c r="E49" s="1665"/>
      <c r="F49" s="1665"/>
      <c r="G49" s="1665"/>
      <c r="H49" s="1665"/>
      <c r="I49" s="1665"/>
      <c r="J49" s="1665"/>
      <c r="K49" s="1665"/>
      <c r="L49" s="1665"/>
      <c r="M49" s="1665"/>
      <c r="N49" s="1665"/>
      <c r="O49" s="1665"/>
      <c r="P49" s="1666"/>
      <c r="Q49" s="1686"/>
      <c r="R49" s="1663" t="str">
        <f>IF('School Profile'!$D$12="Hindi","व्यावसायिक शिक्षा","Vocational Education")</f>
        <v>व्यावसायिक शिक्षा</v>
      </c>
      <c r="S49" s="1664"/>
      <c r="T49" s="1665"/>
      <c r="U49" s="1665"/>
      <c r="V49" s="1665"/>
      <c r="W49" s="1665"/>
      <c r="X49" s="1665"/>
      <c r="Y49" s="1665"/>
      <c r="Z49" s="1665"/>
      <c r="AA49" s="1665"/>
      <c r="AB49" s="1665"/>
      <c r="AC49" s="1665"/>
      <c r="AD49" s="1665"/>
      <c r="AE49" s="1665"/>
      <c r="AF49" s="1666"/>
      <c r="AV49"/>
      <c r="AW49"/>
      <c r="AX49"/>
      <c r="BA49"/>
      <c r="BB49"/>
      <c r="BC49"/>
    </row>
    <row r="50" spans="1:55" s="351" customFormat="1" ht="22.5" customHeight="1">
      <c r="A50" s="33">
        <f>IF(L38="","",A49+1)</f>
        <v>20</v>
      </c>
      <c r="B50" s="411" t="str">
        <f>IFERROR(VLOOKUP(L38,'Statement of Marks'!$B$7:'Statement of Marks'!$IC$206,96,0),"")</f>
        <v>ELECTRICALS AND ELECTRONICS</v>
      </c>
      <c r="C50" s="410" t="str">
        <f>IF(OR(L38="",O48="",O50="",B50=""),"",IF(AND(O50&gt;=O48),"*",""))</f>
        <v>*</v>
      </c>
      <c r="D50" s="397">
        <f>IFERROR(VLOOKUP(L38,'Statement of Marks'!$B$7:'Statement of Marks'!$IC$206,97,0),"")</f>
        <v>10</v>
      </c>
      <c r="E50" s="26">
        <f>IFERROR(VLOOKUP(L38,'Statement of Marks'!$B$7:'Statement of Marks'!$IC$206,98,0),"")</f>
        <v>10</v>
      </c>
      <c r="F50" s="26">
        <f>IFERROR(VLOOKUP(L38,'Statement of Marks'!$B$7:'Statement of Marks'!$IC$206,99,0),"")</f>
        <v>10</v>
      </c>
      <c r="G50" s="26">
        <f>IFERROR(VLOOKUP(L38,'Statement of Marks'!$B$7:'Statement of Marks'!$IC$206,100,0),"")</f>
        <v>30</v>
      </c>
      <c r="H50" s="27">
        <f>IFERROR(VLOOKUP(L38,'Statement of Marks'!$B$7:'Statement of Marks'!$IC$206,101,0),"")</f>
        <v>35</v>
      </c>
      <c r="I50" s="27">
        <f>IFERROR(VLOOKUP(L38,'Statement of Marks'!$B$7:'Statement of Marks'!$IC$206,102,0),"")</f>
        <v>34</v>
      </c>
      <c r="J50" s="347">
        <f>IFERROR(VLOOKUP(L38,'Statement of Marks'!$B$7:'Statement of Marks'!$IC$206,103,0),"")</f>
        <v>69</v>
      </c>
      <c r="K50" s="679">
        <f>IFERROR(IF(L38="","",IF(AND(G50="",J50=""),"",SUM(G50,J50))),"")</f>
        <v>99</v>
      </c>
      <c r="L50" s="26">
        <f>IFERROR(VLOOKUP(L38,'Statement of Marks'!$B$7:'Statement of Marks'!$IC$206,105,0),"")</f>
        <v>45</v>
      </c>
      <c r="M50" s="26">
        <f>IFERROR(VLOOKUP(L38,'Statement of Marks'!$B$7:'Statement of Marks'!$IC$206,106,0),"")</f>
        <v>46</v>
      </c>
      <c r="N50" s="347">
        <f>IF(L38="","",IF(AND(L50="",M50=""),"",SUM(L50,M50)))</f>
        <v>91</v>
      </c>
      <c r="O50" s="672">
        <f>IFERROR(VLOOKUP(L38,'Statement of Marks'!$B$7:'Statement of Marks'!$IC$206,108,0),"")</f>
        <v>190</v>
      </c>
      <c r="P50" s="680" t="str">
        <f>IFERROR(IF(O43="","",IF(VLOOKUP(L38,'Statement of Marks'!$B$7:'Statement of Marks'!$IC$206,218,0)="D","I",IF(VLOOKUP(L38,'Statement of Marks'!$B$7:'Statement of Marks'!$IC$206,218,0)="G1","G",IF(VLOOKUP(L38,'Statement of Marks'!$B$7:'Statement of Marks'!$IC$206,218,0)="G2","G",VLOOKUP(L38,'Statement of Marks'!$B$7:'Statement of Marks'!$IC$206,218,0))))),"")</f>
        <v>I</v>
      </c>
      <c r="Q50" s="1686"/>
      <c r="R50" s="411" t="str">
        <f>IFERROR(VLOOKUP(AB38,'Statement of Marks'!$B$7:'Statement of Marks'!$IC$206,96,0),"")</f>
        <v/>
      </c>
      <c r="S50" s="410" t="str">
        <f>IF(OR(AB38="",AE48="",AE50="",R50=""),"",IF(AND(AE50&gt;=AE48),"*",""))</f>
        <v/>
      </c>
      <c r="T50" s="397" t="str">
        <f>IFERROR(VLOOKUP(AB38,'Statement of Marks'!$B$7:'Statement of Marks'!$IC$206,97,0),"")</f>
        <v/>
      </c>
      <c r="U50" s="26" t="str">
        <f>IFERROR(VLOOKUP(AB38,'Statement of Marks'!$B$7:'Statement of Marks'!$IC$206,98,0),"")</f>
        <v/>
      </c>
      <c r="V50" s="26" t="str">
        <f>IFERROR(VLOOKUP(AB38,'Statement of Marks'!$B$7:'Statement of Marks'!$IC$206,99,0),"")</f>
        <v/>
      </c>
      <c r="W50" s="26" t="str">
        <f>IFERROR(VLOOKUP(AB38,'Statement of Marks'!$B$7:'Statement of Marks'!$IC$206,100,0),"")</f>
        <v/>
      </c>
      <c r="X50" s="27" t="str">
        <f>IFERROR(VLOOKUP(AB38,'Statement of Marks'!$B$7:'Statement of Marks'!$IC$206,101,0),"")</f>
        <v/>
      </c>
      <c r="Y50" s="27" t="str">
        <f>IFERROR(VLOOKUP(AB38,'Statement of Marks'!$B$7:'Statement of Marks'!$IC$206,102,0),"")</f>
        <v/>
      </c>
      <c r="Z50" s="347" t="str">
        <f>IFERROR(VLOOKUP(AB38,'Statement of Marks'!$B$7:'Statement of Marks'!$IC$206,103,0),"")</f>
        <v/>
      </c>
      <c r="AA50" s="679" t="str">
        <f>IFERROR(IF(AB38="","",IF(AND(W50="",Z50=""),"",SUM(W50,Z50))),"")</f>
        <v/>
      </c>
      <c r="AB50" s="26" t="str">
        <f>IFERROR(VLOOKUP(AB38,'Statement of Marks'!$B$7:'Statement of Marks'!$IC$206,105,0),"")</f>
        <v/>
      </c>
      <c r="AC50" s="26" t="str">
        <f>IFERROR(VLOOKUP(AB38,'Statement of Marks'!$B$7:'Statement of Marks'!$IC$206,106,0),"")</f>
        <v/>
      </c>
      <c r="AD50" s="347" t="str">
        <f>IF(AB38="","",IF(AND(AB50="",AC50=""),"",SUM(AB50,AC50)))</f>
        <v/>
      </c>
      <c r="AE50" s="672" t="str">
        <f>IFERROR(VLOOKUP(AB38,'Statement of Marks'!$B$7:'Statement of Marks'!$IC$206,108,0),"")</f>
        <v/>
      </c>
      <c r="AF50" s="680" t="str">
        <f>IFERROR(IF(AE43="","",IF(VLOOKUP(AB38,'Statement of Marks'!$B$7:'Statement of Marks'!$IC$206,218,0)="D","I",IF(VLOOKUP(AB38,'Statement of Marks'!$B$7:'Statement of Marks'!$IC$206,218,0)="G1","G",IF(VLOOKUP(AB38,'Statement of Marks'!$B$7:'Statement of Marks'!$IC$206,218,0)="G2","G",VLOOKUP(AB38,'Statement of Marks'!$B$7:'Statement of Marks'!$IC$206,218,0))))),"")</f>
        <v/>
      </c>
      <c r="AV50"/>
      <c r="AW50"/>
      <c r="AX50"/>
      <c r="BA50"/>
      <c r="BB50"/>
      <c r="BC50"/>
    </row>
    <row r="51" spans="1:55" s="351" customFormat="1" ht="25.5" customHeight="1">
      <c r="A51" s="33">
        <f>IF(L38="","",A50+1)</f>
        <v>21</v>
      </c>
      <c r="B51" s="1667"/>
      <c r="C51" s="1668"/>
      <c r="D51" s="1669"/>
      <c r="E51" s="1669"/>
      <c r="F51" s="1669"/>
      <c r="G51" s="1669"/>
      <c r="H51" s="1669"/>
      <c r="I51" s="1669"/>
      <c r="J51" s="1669"/>
      <c r="K51" s="1669"/>
      <c r="L51" s="1670" t="str">
        <f>IF('School Profile'!$D$12="Hindi","महायोग :","Grand Total :")</f>
        <v>महायोग :</v>
      </c>
      <c r="M51" s="1671"/>
      <c r="N51" s="1671"/>
      <c r="O51" s="1672">
        <f>IF(OR(L38="",C36=""),"",IF(OR(B50="",O50=""),SUM(O43,O44,O45,O46,O47,O48),IF((O48/O42*100)&gt;=(O50/O42*100),SUM(O43:O48),SUM(O43,O44,O45,O46,O47,O50))))</f>
        <v>881</v>
      </c>
      <c r="P51" s="1673"/>
      <c r="Q51" s="1686"/>
      <c r="R51" s="1667"/>
      <c r="S51" s="1668"/>
      <c r="T51" s="1669"/>
      <c r="U51" s="1669"/>
      <c r="V51" s="1669"/>
      <c r="W51" s="1669"/>
      <c r="X51" s="1669"/>
      <c r="Y51" s="1669"/>
      <c r="Z51" s="1669"/>
      <c r="AA51" s="1669"/>
      <c r="AB51" s="1670" t="str">
        <f>IF('School Profile'!$D$12="Hindi","महायोग :","Grand Total :")</f>
        <v>महायोग :</v>
      </c>
      <c r="AC51" s="1671"/>
      <c r="AD51" s="1671"/>
      <c r="AE51" s="1672">
        <f>IF(OR(AB38="",S36=""),"",IF(OR(R50="",AE50=""),SUM(AE43,AE44,AE45,AE46,AE47,AE48),IF((AE48/AE42*100)&gt;=(AE50/AE42*100),SUM(AE43:AE48),SUM(AE43,AE44,AE45,AE46,AE47,AE50))))</f>
        <v>693</v>
      </c>
      <c r="AF51" s="1673"/>
      <c r="AV51"/>
      <c r="AW51"/>
      <c r="AX51"/>
      <c r="BA51"/>
      <c r="BB51"/>
      <c r="BC51"/>
    </row>
    <row r="52" spans="1:55" s="351" customFormat="1" ht="25.5" customHeight="1">
      <c r="A52" s="33">
        <f>IF(L38="","",A51+1)</f>
        <v>22</v>
      </c>
      <c r="B52" s="1647" t="str">
        <f>'Statement of Marks'!$DZ$208</f>
        <v>राजस्थान का स्वंत्रता आन्दोलन व शोर्य परम्परा</v>
      </c>
      <c r="C52" s="1648"/>
      <c r="D52" s="1649" t="s">
        <v>148</v>
      </c>
      <c r="E52" s="1650"/>
      <c r="F52" s="355">
        <f>IFERROR(VLOOKUP(L38,'Statement of Marks'!$B$7:'Statement of Marks'!$IC$206,136,0),"")</f>
        <v>184</v>
      </c>
      <c r="G52" s="356" t="s">
        <v>134</v>
      </c>
      <c r="H52" s="355" t="str">
        <f>IFERROR(VLOOKUP(L38,'Statement of Marks'!$B$7:'Statement of Marks'!$IC$206,137,0),"")</f>
        <v>A</v>
      </c>
      <c r="I52" s="1651" t="str">
        <f>'Statement of Marks'!$EL$208</f>
        <v>सूचना प्रोद्योगिकी की अवधारणा - I</v>
      </c>
      <c r="J52" s="1652"/>
      <c r="K52" s="1652"/>
      <c r="L52" s="1653"/>
      <c r="M52" s="354" t="s">
        <v>148</v>
      </c>
      <c r="N52" s="355">
        <f>IFERROR(VLOOKUP(L38,'Statement of Marks'!$B$7:'Statement of Marks'!$IC$206,152,0),"")</f>
        <v>175</v>
      </c>
      <c r="O52" s="356" t="s">
        <v>134</v>
      </c>
      <c r="P52" s="355" t="str">
        <f>IFERROR(VLOOKUP(L38,'Statement of Marks'!$B$7:'Statement of Marks'!$IC$206,153,0),"")</f>
        <v>A</v>
      </c>
      <c r="Q52" s="1686"/>
      <c r="R52" s="1647" t="str">
        <f>'Statement of Marks'!$DZ$208</f>
        <v>राजस्थान का स्वंत्रता आन्दोलन व शोर्य परम्परा</v>
      </c>
      <c r="S52" s="1648"/>
      <c r="T52" s="1649" t="s">
        <v>148</v>
      </c>
      <c r="U52" s="1650"/>
      <c r="V52" s="355">
        <f>IFERROR(VLOOKUP(AB38,'Statement of Marks'!$B$7:'Statement of Marks'!$IC$206,136,0),"")</f>
        <v>184</v>
      </c>
      <c r="W52" s="356" t="s">
        <v>134</v>
      </c>
      <c r="X52" s="355" t="str">
        <f>IFERROR(VLOOKUP(AB38,'Statement of Marks'!$B$7:'Statement of Marks'!$IC$206,137,0),"")</f>
        <v>A</v>
      </c>
      <c r="Y52" s="1651" t="str">
        <f>'Statement of Marks'!$EL$208</f>
        <v>सूचना प्रोद्योगिकी की अवधारणा - I</v>
      </c>
      <c r="Z52" s="1652"/>
      <c r="AA52" s="1652"/>
      <c r="AB52" s="1653"/>
      <c r="AC52" s="354" t="s">
        <v>148</v>
      </c>
      <c r="AD52" s="355">
        <f>IFERROR(VLOOKUP(AB38,'Statement of Marks'!$B$7:'Statement of Marks'!$IC$206,152,0),"")</f>
        <v>176</v>
      </c>
      <c r="AE52" s="356" t="s">
        <v>134</v>
      </c>
      <c r="AF52" s="355" t="str">
        <f>IFERROR(VLOOKUP(AB38,'Statement of Marks'!$B$7:'Statement of Marks'!$IC$206,153,0),"")</f>
        <v>A</v>
      </c>
      <c r="AV52"/>
      <c r="AW52"/>
      <c r="AX52"/>
      <c r="BA52"/>
      <c r="BB52"/>
      <c r="BC52"/>
    </row>
    <row r="53" spans="1:55" s="351" customFormat="1" ht="25.5" customHeight="1">
      <c r="A53" s="33">
        <f>IF(L38="","",A52+1)</f>
        <v>23</v>
      </c>
      <c r="B53" s="1654" t="str">
        <f>'Statement of Marks'!$FB$208</f>
        <v>स्वा. एवं शा. शिक्षा</v>
      </c>
      <c r="C53" s="1655"/>
      <c r="D53" s="1656" t="s">
        <v>148</v>
      </c>
      <c r="E53" s="1657"/>
      <c r="F53" s="355">
        <f>IFERROR(VLOOKUP(L38,'Statement of Marks'!$B$7:'Statement of Marks'!$IC$206,171,0),"")</f>
        <v>161</v>
      </c>
      <c r="G53" s="356" t="s">
        <v>134</v>
      </c>
      <c r="H53" s="355" t="str">
        <f>IFERROR(VLOOKUP(L38,'Statement of Marks'!$B$7:'Statement of Marks'!$IC$206,172,0),"")</f>
        <v>A</v>
      </c>
      <c r="I53" s="1658" t="str">
        <f>'Statement of Marks'!$FJ$208</f>
        <v>समाजोपयोगी उत्पादन कार्य एवं समाज सेवा</v>
      </c>
      <c r="J53" s="1659"/>
      <c r="K53" s="1659"/>
      <c r="L53" s="1660"/>
      <c r="M53" s="403" t="s">
        <v>148</v>
      </c>
      <c r="N53" s="404">
        <f>IFERROR(VLOOKUP(L38,'Statement of Marks'!$B$7:'Statement of Marks'!$IC$206,179,0),"")</f>
        <v>92</v>
      </c>
      <c r="O53" s="405" t="s">
        <v>134</v>
      </c>
      <c r="P53" s="404" t="str">
        <f>IFERROR(VLOOKUP(L38,'Statement of Marks'!$B$7:'Statement of Marks'!$IC$206,180,0),"")</f>
        <v>A</v>
      </c>
      <c r="Q53" s="1686"/>
      <c r="R53" s="1654" t="str">
        <f>'Statement of Marks'!$FB$208</f>
        <v>स्वा. एवं शा. शिक्षा</v>
      </c>
      <c r="S53" s="1655"/>
      <c r="T53" s="1656" t="s">
        <v>148</v>
      </c>
      <c r="U53" s="1657"/>
      <c r="V53" s="355">
        <f>IFERROR(VLOOKUP(AB38,'Statement of Marks'!$B$7:'Statement of Marks'!$IC$206,171,0),"")</f>
        <v>167</v>
      </c>
      <c r="W53" s="356" t="s">
        <v>134</v>
      </c>
      <c r="X53" s="355" t="str">
        <f>IFERROR(VLOOKUP(AB38,'Statement of Marks'!$B$7:'Statement of Marks'!$IC$206,172,0),"")</f>
        <v>A</v>
      </c>
      <c r="Y53" s="1658" t="str">
        <f>'Statement of Marks'!$FJ$208</f>
        <v>समाजोपयोगी उत्पादन कार्य एवं समाज सेवा</v>
      </c>
      <c r="Z53" s="1659"/>
      <c r="AA53" s="1659"/>
      <c r="AB53" s="1660"/>
      <c r="AC53" s="403" t="s">
        <v>148</v>
      </c>
      <c r="AD53" s="404">
        <f>IFERROR(VLOOKUP(AB38,'Statement of Marks'!$B$7:'Statement of Marks'!$IC$206,179,0),"")</f>
        <v>96</v>
      </c>
      <c r="AE53" s="405" t="s">
        <v>134</v>
      </c>
      <c r="AF53" s="404" t="str">
        <f>IFERROR(VLOOKUP(AB38,'Statement of Marks'!$B$7:'Statement of Marks'!$IC$206,180,0),"")</f>
        <v>A</v>
      </c>
      <c r="AV53"/>
      <c r="AW53"/>
      <c r="AX53"/>
      <c r="BA53"/>
      <c r="BB53"/>
      <c r="BC53"/>
    </row>
    <row r="54" spans="1:55" s="351" customFormat="1" ht="30" customHeight="1">
      <c r="A54" s="33">
        <f>IF(L38="","",A53+1)</f>
        <v>24</v>
      </c>
      <c r="B54" s="1626" t="str">
        <f>'Statement of Marks'!$FU$208</f>
        <v>कला शिक्षा</v>
      </c>
      <c r="C54" s="1627"/>
      <c r="D54" s="1628" t="s">
        <v>148</v>
      </c>
      <c r="E54" s="1629"/>
      <c r="F54" s="404">
        <f>IFERROR(VLOOKUP(L38,'Statement of Marks'!$B$7:'Statement of Marks'!$IC$206,187,0),"")</f>
        <v>79</v>
      </c>
      <c r="G54" s="405" t="s">
        <v>134</v>
      </c>
      <c r="H54" s="355" t="str">
        <f>IFERROR(VLOOKUP(L38,'Statement of Marks'!$B$7:'Statement of Marks'!$IC$206,188,0),"")</f>
        <v>B</v>
      </c>
      <c r="I54" s="1630" t="str">
        <f>IF('School Profile'!$D$12="Hindi","परीक्षा परिणाम घोषित दिनांक :-","Date of Result declaration :-")</f>
        <v>परीक्षा परिणाम घोषित दिनांक :-</v>
      </c>
      <c r="J54" s="1631"/>
      <c r="K54" s="1631"/>
      <c r="L54" s="1632"/>
      <c r="M54" s="1633">
        <f>IF(AND(L38=""),"",IF('School Profile'!$D$11="","",'School Profile'!$D$11))</f>
        <v>46106</v>
      </c>
      <c r="N54" s="1634"/>
      <c r="O54" s="690" t="str">
        <f>IF('School Profile'!$D$12="Hindi","श्रेणी","Division")</f>
        <v>श्रेणी</v>
      </c>
      <c r="P54" s="407" t="str">
        <f>IFERROR(VLOOKUP(L38,'Statement of Marks'!$B$7:'Statement of Marks'!$IC$206,229,0),"")</f>
        <v/>
      </c>
      <c r="Q54" s="1686"/>
      <c r="R54" s="1626" t="str">
        <f>'Statement of Marks'!$FU$208</f>
        <v>कला शिक्षा</v>
      </c>
      <c r="S54" s="1627"/>
      <c r="T54" s="1628" t="s">
        <v>148</v>
      </c>
      <c r="U54" s="1629"/>
      <c r="V54" s="404">
        <f>IFERROR(VLOOKUP(AB38,'Statement of Marks'!$B$7:'Statement of Marks'!$IC$206,187,0),"")</f>
        <v>81</v>
      </c>
      <c r="W54" s="405" t="s">
        <v>134</v>
      </c>
      <c r="X54" s="355" t="str">
        <f>IFERROR(VLOOKUP(AB38,'Statement of Marks'!$B$7:'Statement of Marks'!$IC$206,188,0),"")</f>
        <v>A</v>
      </c>
      <c r="Y54" s="1630" t="str">
        <f>IF('School Profile'!$D$12="Hindi","परीक्षा परिणाम घोषित दिनांक :-","Date of Result declaration :-")</f>
        <v>परीक्षा परिणाम घोषित दिनांक :-</v>
      </c>
      <c r="Z54" s="1631"/>
      <c r="AA54" s="1631"/>
      <c r="AB54" s="1632"/>
      <c r="AC54" s="1633">
        <f>IF(AND(AB38=""),"",IF('School Profile'!$D$11="","",'School Profile'!$D$11))</f>
        <v>46106</v>
      </c>
      <c r="AD54" s="1634"/>
      <c r="AE54" s="690" t="str">
        <f>IF('School Profile'!$D$12="Hindi","श्रेणी","Division")</f>
        <v>श्रेणी</v>
      </c>
      <c r="AF54" s="407" t="str">
        <f>IFERROR(VLOOKUP(AB38,'Statement of Marks'!$B$7:'Statement of Marks'!$IC$206,229,0),"")</f>
        <v>2nd</v>
      </c>
      <c r="AV54"/>
      <c r="AW54"/>
      <c r="AX54"/>
      <c r="BA54"/>
      <c r="BB54"/>
      <c r="BC54"/>
    </row>
    <row r="55" spans="1:55" s="351" customFormat="1" ht="29.25" customHeight="1">
      <c r="A55" s="33">
        <f>IF(L38="","",A54+1)</f>
        <v>25</v>
      </c>
      <c r="B55" s="1635" t="s">
        <v>143</v>
      </c>
      <c r="C55" s="1636"/>
      <c r="D55" s="1637" t="str">
        <f>IFERROR(VLOOKUP(L38,'Statement of Marks'!$B$7:'Statement of Marks'!$IC$206,192,0),"")</f>
        <v/>
      </c>
      <c r="E55" s="1638"/>
      <c r="F55" s="1639" t="s">
        <v>76</v>
      </c>
      <c r="G55" s="1640"/>
      <c r="H55" s="406" t="str">
        <f>IFERROR(VLOOKUP(L38,'Statement of Marks'!$B$7:'Statement of Marks'!$IC$206,193,0),"")</f>
        <v/>
      </c>
      <c r="I55" s="1641" t="s">
        <v>135</v>
      </c>
      <c r="J55" s="1642"/>
      <c r="K55" s="1643" t="str">
        <f>IFERROR(IF(OR(O51="",L38=""),"",VLOOKUP(L38,'Statement of Marks'!$B$7:'Statement of Marks'!$IC$206,230,0)),"")</f>
        <v/>
      </c>
      <c r="L55" s="1644"/>
      <c r="M55" s="1645" t="s">
        <v>144</v>
      </c>
      <c r="N55" s="1646"/>
      <c r="O55" s="1646"/>
      <c r="P55" s="408" t="str">
        <f>IFERROR(VLOOKUP(L38,'Statement of Marks'!$B$7:'Statement of Marks'!$IC$206,231,0),"")</f>
        <v/>
      </c>
      <c r="Q55" s="1686"/>
      <c r="R55" s="1635" t="s">
        <v>143</v>
      </c>
      <c r="S55" s="1636"/>
      <c r="T55" s="1637" t="str">
        <f>IFERROR(VLOOKUP(AB38,'Statement of Marks'!$B$7:'Statement of Marks'!$IC$206,192,0),"")</f>
        <v/>
      </c>
      <c r="U55" s="1638"/>
      <c r="V55" s="1639" t="s">
        <v>76</v>
      </c>
      <c r="W55" s="1640"/>
      <c r="X55" s="406" t="str">
        <f>IFERROR(VLOOKUP(AB38,'Statement of Marks'!$B$7:'Statement of Marks'!$IC$206,193,0),"")</f>
        <v/>
      </c>
      <c r="Y55" s="1641" t="s">
        <v>135</v>
      </c>
      <c r="Z55" s="1642"/>
      <c r="AA55" s="1643">
        <f>IFERROR(IF(OR(AE51="",AB38=""),"",VLOOKUP(AB38,'Statement of Marks'!$B$7:'Statement of Marks'!$IC$206,230,0)),"")</f>
        <v>57.75</v>
      </c>
      <c r="AB55" s="1644"/>
      <c r="AC55" s="1645" t="s">
        <v>144</v>
      </c>
      <c r="AD55" s="1646"/>
      <c r="AE55" s="1646"/>
      <c r="AF55" s="408">
        <f>IFERROR(VLOOKUP(AB38,'Statement of Marks'!$B$7:'Statement of Marks'!$IC$206,231,0),"")</f>
        <v>15.000000000000075</v>
      </c>
      <c r="AV55"/>
      <c r="AW55"/>
      <c r="AX55"/>
      <c r="BA55"/>
      <c r="BB55"/>
      <c r="BC55"/>
    </row>
    <row r="56" spans="1:55" s="351" customFormat="1" ht="27.75" customHeight="1">
      <c r="A56" s="33">
        <f>IF(L38="","",A55+1)</f>
        <v>26</v>
      </c>
      <c r="B56" s="1616" t="str">
        <f>IF('School Profile'!$D$12="Hindi","मुख्य परीक्षा परिणाम ","Main Exam Result")</f>
        <v xml:space="preserve">मुख्य परीक्षा परिणाम </v>
      </c>
      <c r="C56" s="1616"/>
      <c r="D56" s="1617"/>
      <c r="E56" s="1617"/>
      <c r="F56" s="1617"/>
      <c r="G56" s="1617" t="str">
        <f>IF('School Profile'!$D$12="Hindi","विशेष योग्यता प्राप्त विषय","Subjects Of Dictation Marks")</f>
        <v>विशेष योग्यता प्राप्त विषय</v>
      </c>
      <c r="H56" s="1617"/>
      <c r="I56" s="1617"/>
      <c r="J56" s="1617"/>
      <c r="K56" s="1617"/>
      <c r="L56" s="1618" t="str">
        <f>IF('School Profile'!$D$12="Hindi","पूरक विषय","Supplementary Subject")</f>
        <v>पूरक विषय</v>
      </c>
      <c r="M56" s="1619"/>
      <c r="N56" s="1619"/>
      <c r="O56" s="1619"/>
      <c r="P56" s="1620"/>
      <c r="Q56" s="1686"/>
      <c r="R56" s="1616" t="str">
        <f>IF('School Profile'!$D$12="Hindi","मुख्य परीक्षा परिणाम ","Main Exam Result")</f>
        <v xml:space="preserve">मुख्य परीक्षा परिणाम </v>
      </c>
      <c r="S56" s="1616"/>
      <c r="T56" s="1617"/>
      <c r="U56" s="1617"/>
      <c r="V56" s="1617"/>
      <c r="W56" s="1617" t="str">
        <f>IF('School Profile'!$D$12="Hindi","विशेष योग्यता प्राप्त विषय","Subjects Of Dictation Marks")</f>
        <v>विशेष योग्यता प्राप्त विषय</v>
      </c>
      <c r="X56" s="1617"/>
      <c r="Y56" s="1617"/>
      <c r="Z56" s="1617"/>
      <c r="AA56" s="1617"/>
      <c r="AB56" s="1618" t="str">
        <f>IF('School Profile'!$D$12="Hindi","पूरक विषय","Supplementary Subject")</f>
        <v>पूरक विषय</v>
      </c>
      <c r="AC56" s="1619"/>
      <c r="AD56" s="1619"/>
      <c r="AE56" s="1619"/>
      <c r="AF56" s="1620"/>
      <c r="AV56"/>
      <c r="AW56"/>
      <c r="AX56"/>
      <c r="BA56"/>
      <c r="BB56"/>
      <c r="BC56"/>
    </row>
    <row r="57" spans="1:55" s="351" customFormat="1" ht="42.75" customHeight="1">
      <c r="A57" s="33">
        <f>IF(L38="","",A56+1)</f>
        <v>27</v>
      </c>
      <c r="B57" s="1621" t="str">
        <f>IFERROR(IF(VLOOKUP(L38,'Statement of Marks'!$B$7:'Statement of Marks'!$IC$206,226,0)="By Grace Pass","By Grace Pass and Promoted to Class 10th",IF(VLOOKUP(L38,'Statement of Marks'!$B$7:'Statement of Marks'!$IC$206,226,0)="PASS","PASS  and Promoted to Class 10th",IF(VLOOKUP(L38,'Statement of Marks'!$B$7:'Statement of Marks'!$IC$206,226,0)="SUPPLEMENTARY","Supplementary",IF(VLOOKUP(L38,'Statement of Marks'!$B$7:'Statement of Marks'!$IC$206,226,0)="Re-Exam","RE-EXAM",IF(VLOOKUP(L38,'Statement of Marks'!$B$7:'Statement of Marks'!$IC$206,226,0)="FAIL","FAIL",""))))),"")</f>
        <v>FAIL</v>
      </c>
      <c r="C57" s="1621"/>
      <c r="D57" s="1621"/>
      <c r="E57" s="1621"/>
      <c r="F57" s="1621"/>
      <c r="G57" s="1622" t="str">
        <f>IFERROR(VLOOKUP(L38,'Statement of Marks'!$B$7:'Statement of Marks'!$IC$206,225,0),"")</f>
        <v xml:space="preserve"> अंग्रेजी  गणित   व्यावसायिक शिक्षा</v>
      </c>
      <c r="H57" s="1622"/>
      <c r="I57" s="1622"/>
      <c r="J57" s="1622"/>
      <c r="K57" s="1622"/>
      <c r="L57" s="1623" t="str">
        <f>IFERROR(VLOOKUP(L38,'Statement of Marks'!$B$7:'Statement of Marks'!$IC$206,222,0),"")</f>
        <v/>
      </c>
      <c r="M57" s="1624"/>
      <c r="N57" s="1624"/>
      <c r="O57" s="1624"/>
      <c r="P57" s="1625"/>
      <c r="Q57" s="1686"/>
      <c r="R57" s="1621" t="str">
        <f>IFERROR(IF(VLOOKUP(AB38,'Statement of Marks'!$B$7:'Statement of Marks'!$IC$206,226,0)="By Grace Pass","By Grace Pass and Promoted to Class 10th",IF(VLOOKUP(AB38,'Statement of Marks'!$B$7:'Statement of Marks'!$IC$206,226,0)="PASS","PASS  and Promoted to Class 10th",IF(VLOOKUP(AB38,'Statement of Marks'!$B$7:'Statement of Marks'!$IC$206,226,0)="SUPPLEMENTARY","Supplementary",IF(VLOOKUP(AB38,'Statement of Marks'!$B$7:'Statement of Marks'!$IC$206,226,0)="Re-Exam","RE-EXAM",IF(VLOOKUP(AB38,'Statement of Marks'!$B$7:'Statement of Marks'!$IC$206,226,0)="FAIL","FAIL",""))))),"")</f>
        <v>By Grace Pass and Promoted to Class 10th</v>
      </c>
      <c r="S57" s="1621"/>
      <c r="T57" s="1621"/>
      <c r="U57" s="1621"/>
      <c r="V57" s="1621"/>
      <c r="W57" s="1622" t="str">
        <f>IFERROR(VLOOKUP(AB38,'Statement of Marks'!$B$7:'Statement of Marks'!$IC$206,225,0),"")</f>
        <v xml:space="preserve"> अंग्रेजी     </v>
      </c>
      <c r="X57" s="1622"/>
      <c r="Y57" s="1622"/>
      <c r="Z57" s="1622"/>
      <c r="AA57" s="1622"/>
      <c r="AB57" s="1623" t="str">
        <f>IFERROR(VLOOKUP(AB38,'Statement of Marks'!$B$7:'Statement of Marks'!$IC$206,222,0),"")</f>
        <v xml:space="preserve">      </v>
      </c>
      <c r="AC57" s="1624"/>
      <c r="AD57" s="1624"/>
      <c r="AE57" s="1624"/>
      <c r="AF57" s="1625"/>
      <c r="AV57"/>
      <c r="AW57"/>
      <c r="AX57"/>
      <c r="BA57"/>
      <c r="BB57"/>
      <c r="BC57"/>
    </row>
    <row r="58" spans="1:55" s="351" customFormat="1" ht="52.5" customHeight="1">
      <c r="A58" s="33">
        <f>IF(L38="","",A57+1)</f>
        <v>28</v>
      </c>
      <c r="B58" s="1612" t="str">
        <f>IF(AND(L38=""),"",CONCATENATE("(",'School Profile'!$D$18," )"))</f>
        <v>(Yogesh )</v>
      </c>
      <c r="C58" s="1612"/>
      <c r="D58" s="1612"/>
      <c r="E58" s="1612"/>
      <c r="F58" s="1612"/>
      <c r="G58" s="1613" t="str">
        <f>IF(AND(L38=""),"",CONCATENATE("( ",'School Profile'!$D$15," )"))</f>
        <v>( Heeralal Jat )</v>
      </c>
      <c r="H58" s="1613"/>
      <c r="I58" s="1613"/>
      <c r="J58" s="1613"/>
      <c r="K58" s="1614" t="str">
        <f>IF(AND(L38=""),"",CONCATENATE("( ",'School Profile'!$D$14," )"))</f>
        <v>( Dewanand )</v>
      </c>
      <c r="L58" s="1614"/>
      <c r="M58" s="1614"/>
      <c r="N58" s="1614"/>
      <c r="O58" s="1614"/>
      <c r="P58" s="1614"/>
      <c r="Q58" s="1686"/>
      <c r="R58" s="1612" t="str">
        <f>IF(AND(AB38=""),"",CONCATENATE("(",'School Profile'!$D$18," )"))</f>
        <v>(Yogesh )</v>
      </c>
      <c r="S58" s="1612"/>
      <c r="T58" s="1612"/>
      <c r="U58" s="1612"/>
      <c r="V58" s="1612"/>
      <c r="W58" s="1613" t="str">
        <f>IF(AND(AB38=""),"",CONCATENATE("( ",'School Profile'!$D$15," )"))</f>
        <v>( Heeralal Jat )</v>
      </c>
      <c r="X58" s="1613"/>
      <c r="Y58" s="1613"/>
      <c r="Z58" s="1613"/>
      <c r="AA58" s="1614" t="str">
        <f>IF(AND(AB38=""),"",CONCATENATE("( ",'School Profile'!$D$14," )"))</f>
        <v>( Dewanand )</v>
      </c>
      <c r="AB58" s="1614"/>
      <c r="AC58" s="1614"/>
      <c r="AD58" s="1614"/>
      <c r="AE58" s="1614"/>
      <c r="AF58" s="1614"/>
      <c r="AV58"/>
      <c r="AW58"/>
      <c r="AX58"/>
      <c r="BA58"/>
      <c r="BB58"/>
      <c r="BC58"/>
    </row>
    <row r="59" spans="1:55" s="351" customFormat="1" ht="24.75" customHeight="1">
      <c r="A59" s="33">
        <f>IF(L38="","",A58+1)</f>
        <v>29</v>
      </c>
      <c r="B59" s="1615" t="str">
        <f>IF('School Profile'!$D$12="Hindi","हस्ताक्षर कक्षाध्यापक","Signature of the class teacher")</f>
        <v>हस्ताक्षर कक्षाध्यापक</v>
      </c>
      <c r="C59" s="1615"/>
      <c r="D59" s="1615"/>
      <c r="E59" s="1615"/>
      <c r="F59" s="1615"/>
      <c r="G59" s="1615" t="str">
        <f>IF('School Profile'!$D$12="Hindi","हस्ताक्षर परीक्षा प्रभारी","Signature of the exam. Incharge")</f>
        <v>हस्ताक्षर परीक्षा प्रभारी</v>
      </c>
      <c r="H59" s="1615"/>
      <c r="I59" s="1615"/>
      <c r="J59" s="1615"/>
      <c r="K59" s="1615" t="str">
        <f>IF('School Profile'!$D$12="Hindi","हस्ताक्षर मय सील मोहर संस्था प्रधान","Signature &amp; Seal of the Head of the Institution")</f>
        <v>हस्ताक्षर मय सील मोहर संस्था प्रधान</v>
      </c>
      <c r="L59" s="1615"/>
      <c r="M59" s="1615"/>
      <c r="N59" s="1615"/>
      <c r="O59" s="1615"/>
      <c r="P59" s="1615"/>
      <c r="Q59" s="1686"/>
      <c r="R59" s="1615" t="str">
        <f>IF('School Profile'!$D$12="Hindi","हस्ताक्षर कक्षाध्यापक","Signature of the class teacher")</f>
        <v>हस्ताक्षर कक्षाध्यापक</v>
      </c>
      <c r="S59" s="1615"/>
      <c r="T59" s="1615"/>
      <c r="U59" s="1615"/>
      <c r="V59" s="1615"/>
      <c r="W59" s="1615" t="str">
        <f>IF('School Profile'!$D$12="Hindi","हस्ताक्षर परीक्षा प्रभारी","Signature of the exam. Incharge")</f>
        <v>हस्ताक्षर परीक्षा प्रभारी</v>
      </c>
      <c r="X59" s="1615"/>
      <c r="Y59" s="1615"/>
      <c r="Z59" s="1615"/>
      <c r="AA59" s="1615" t="str">
        <f>IF('School Profile'!$D$12="Hindi","हस्ताक्षर मय सील मोहर संस्था प्रधान","Signature &amp; Seal of the Head of the Institution")</f>
        <v>हस्ताक्षर मय सील मोहर संस्था प्रधान</v>
      </c>
      <c r="AB59" s="1615"/>
      <c r="AC59" s="1615"/>
      <c r="AD59" s="1615"/>
      <c r="AE59" s="1615"/>
      <c r="AF59" s="1615"/>
      <c r="AV59"/>
      <c r="AW59"/>
      <c r="AX59"/>
      <c r="BA59"/>
      <c r="BB59"/>
      <c r="BC59"/>
    </row>
    <row r="60" spans="1:55" s="351" customFormat="1">
      <c r="A60" s="350"/>
      <c r="AV60"/>
      <c r="AW60"/>
      <c r="AX60"/>
      <c r="BA60"/>
      <c r="BB60"/>
      <c r="BC60"/>
    </row>
    <row r="61" spans="1:55" s="6" customFormat="1" ht="22.5" customHeight="1">
      <c r="A61" s="33">
        <f>IF(L68="","",1)</f>
        <v>1</v>
      </c>
      <c r="B61" s="28"/>
      <c r="C61" s="28"/>
      <c r="D61" s="1557" t="str">
        <f>IF('School Profile'!$D$12="Hindi","वार्षिक रिपोर्ट कार्ड ","Report Card")</f>
        <v xml:space="preserve">वार्षिक रिपोर्ट कार्ड </v>
      </c>
      <c r="E61" s="1557"/>
      <c r="F61" s="1557"/>
      <c r="G61" s="1557"/>
      <c r="H61" s="1557"/>
      <c r="I61" s="1557"/>
      <c r="J61" s="1557"/>
      <c r="K61" s="1557"/>
      <c r="L61" s="1557"/>
      <c r="M61" s="1557"/>
      <c r="N61" s="1557"/>
      <c r="O61" s="349"/>
      <c r="P61" s="349"/>
      <c r="Q61" s="1686" t="s">
        <v>77</v>
      </c>
      <c r="R61" s="28"/>
      <c r="S61" s="28"/>
      <c r="T61" s="1557" t="str">
        <f>IF('School Profile'!$D$12="Hindi","वार्षिक रिपोर्ट कार्ड ","Report Card")</f>
        <v xml:space="preserve">वार्षिक रिपोर्ट कार्ड </v>
      </c>
      <c r="U61" s="1557"/>
      <c r="V61" s="1557"/>
      <c r="W61" s="1557"/>
      <c r="X61" s="1557"/>
      <c r="Y61" s="1557"/>
      <c r="Z61" s="1557"/>
      <c r="AA61" s="1557"/>
      <c r="AB61" s="1557"/>
      <c r="AC61" s="1557"/>
      <c r="AD61" s="1557"/>
      <c r="AE61" s="349"/>
      <c r="AF61" s="349"/>
      <c r="AV61"/>
      <c r="AW61"/>
      <c r="AX61"/>
      <c r="BA61"/>
      <c r="BB61"/>
      <c r="BC61"/>
    </row>
    <row r="62" spans="1:55" s="6" customFormat="1" ht="22.5" customHeight="1">
      <c r="A62" s="33">
        <f>IF(L68="","",A61+1)</f>
        <v>2</v>
      </c>
      <c r="B62" s="28"/>
      <c r="C62" s="28"/>
      <c r="D62" s="1687" t="str">
        <f>IF('School Profile'!$D$12="Hindi","शिक्षा विभाग, राजस्थान सरकार","Education Department, Rajasthan Government")</f>
        <v>शिक्षा विभाग, राजस्थान सरकार</v>
      </c>
      <c r="E62" s="1687"/>
      <c r="F62" s="1687"/>
      <c r="G62" s="1687"/>
      <c r="H62" s="1687"/>
      <c r="I62" s="1687"/>
      <c r="J62" s="1687"/>
      <c r="K62" s="1687"/>
      <c r="L62" s="1687"/>
      <c r="M62" s="1687"/>
      <c r="N62" s="1687"/>
      <c r="O62" s="349"/>
      <c r="P62" s="349"/>
      <c r="Q62" s="1686"/>
      <c r="R62" s="28"/>
      <c r="S62" s="28"/>
      <c r="T62" s="1687" t="str">
        <f>IF('School Profile'!$D$12="Hindi","शिक्षा विभाग, राजस्थान सरकार","Education Department, Rajasthan Government")</f>
        <v>शिक्षा विभाग, राजस्थान सरकार</v>
      </c>
      <c r="U62" s="1687"/>
      <c r="V62" s="1687"/>
      <c r="W62" s="1687"/>
      <c r="X62" s="1687"/>
      <c r="Y62" s="1687"/>
      <c r="Z62" s="1687"/>
      <c r="AA62" s="1687"/>
      <c r="AB62" s="1687"/>
      <c r="AC62" s="1687"/>
      <c r="AD62" s="1687"/>
      <c r="AE62" s="349"/>
      <c r="AF62" s="349"/>
      <c r="AV62"/>
      <c r="AW62"/>
      <c r="AX62"/>
      <c r="BA62"/>
      <c r="BB62"/>
      <c r="BC62"/>
    </row>
    <row r="63" spans="1:55" s="32" customFormat="1" ht="24.95" customHeight="1">
      <c r="A63" s="34">
        <f>IF(L68="","",A62+1)</f>
        <v>3</v>
      </c>
      <c r="B63" s="1560" t="str">
        <f>IF('School Profile'!$D$12="Hindi",CONCATENATE("विद्यालय का नाम :-","  ",'School Profile'!$D$9),CONCATENATE("School Name :-","  ",'School Profile'!$D$8))</f>
        <v xml:space="preserve">विद्यालय का नाम :-  महात्मा गाँधी राजकीय विद्यालय (अंग्रेजी माध्यम) बर, पाली </v>
      </c>
      <c r="C63" s="1560"/>
      <c r="D63" s="1560"/>
      <c r="E63" s="1560"/>
      <c r="F63" s="1560"/>
      <c r="G63" s="1560"/>
      <c r="H63" s="1560"/>
      <c r="I63" s="1560"/>
      <c r="J63" s="1560"/>
      <c r="K63" s="1560"/>
      <c r="L63" s="1560"/>
      <c r="M63" s="1560"/>
      <c r="N63" s="1560"/>
      <c r="O63" s="1560"/>
      <c r="P63" s="1560"/>
      <c r="Q63" s="1686"/>
      <c r="R63" s="1560" t="str">
        <f>IF('School Profile'!$D$12="Hindi",CONCATENATE("विद्यालय का नाम :-","  ",'School Profile'!$D$9),CONCATENATE("School Name :-","  ",'School Profile'!$D$8))</f>
        <v xml:space="preserve">विद्यालय का नाम :-  महात्मा गाँधी राजकीय विद्यालय (अंग्रेजी माध्यम) बर, पाली </v>
      </c>
      <c r="S63" s="1560"/>
      <c r="T63" s="1560"/>
      <c r="U63" s="1560"/>
      <c r="V63" s="1560"/>
      <c r="W63" s="1560"/>
      <c r="X63" s="1560"/>
      <c r="Y63" s="1560"/>
      <c r="Z63" s="1560"/>
      <c r="AA63" s="1560"/>
      <c r="AB63" s="1560"/>
      <c r="AC63" s="1560"/>
      <c r="AD63" s="1560"/>
      <c r="AE63" s="1560"/>
      <c r="AF63" s="1560"/>
      <c r="AV63"/>
      <c r="AW63"/>
      <c r="AX63"/>
      <c r="BA63"/>
      <c r="BB63"/>
      <c r="BC63"/>
    </row>
    <row r="64" spans="1:55" s="32" customFormat="1" ht="24.95" customHeight="1">
      <c r="A64" s="34">
        <f>IF(L68="","",A63+1)</f>
        <v>4</v>
      </c>
      <c r="B64" s="668"/>
      <c r="C64" s="668"/>
      <c r="D64" s="668"/>
      <c r="E64" s="668"/>
      <c r="F64" s="1688" t="str">
        <f>IF(AND(L68=""),"",IF(AND('School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64" s="1688"/>
      <c r="H64" s="1688"/>
      <c r="I64" s="1688"/>
      <c r="J64" s="1688"/>
      <c r="K64" s="1688"/>
      <c r="L64" s="1688"/>
      <c r="M64" s="1688"/>
      <c r="N64" s="1688"/>
      <c r="O64" s="1688"/>
      <c r="P64" s="668"/>
      <c r="Q64" s="1686"/>
      <c r="R64" s="668"/>
      <c r="S64" s="668"/>
      <c r="T64" s="668"/>
      <c r="U64" s="668"/>
      <c r="V64" s="1688" t="str">
        <f>IF(AND(AB68=""),"",IF(AND('School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64" s="1688"/>
      <c r="X64" s="1688"/>
      <c r="Y64" s="1688"/>
      <c r="Z64" s="1688"/>
      <c r="AA64" s="1688"/>
      <c r="AB64" s="1688"/>
      <c r="AC64" s="1688"/>
      <c r="AD64" s="1688"/>
      <c r="AE64" s="1688"/>
      <c r="AF64" s="668"/>
      <c r="AV64"/>
      <c r="AW64"/>
      <c r="AX64"/>
      <c r="AY64" s="6"/>
      <c r="AZ64" s="6"/>
      <c r="BA64"/>
      <c r="BB64"/>
      <c r="BC64"/>
    </row>
    <row r="65" spans="1:55" s="351" customFormat="1" ht="21" customHeight="1">
      <c r="A65" s="33">
        <f>IF(L68="","",A64+1)</f>
        <v>5</v>
      </c>
      <c r="B65" s="681" t="str">
        <f>IF('School Profile'!$D$12="Hindi","कक्षा  :-","CLASS :- ")</f>
        <v>कक्षा  :-</v>
      </c>
      <c r="C65" s="1691" t="str">
        <f>IF('Statement of Marks'!$E$3="","",'Statement of Marks'!$E$3)</f>
        <v>9th</v>
      </c>
      <c r="D65" s="1691"/>
      <c r="E65" s="820" t="str">
        <f>IFERROR(VLOOKUP(L68,'Statement of Marks'!$B$7:'Statement of Marks'!$IC$206,2,0),"")</f>
        <v>A</v>
      </c>
      <c r="F65" s="820"/>
      <c r="G65" s="820"/>
      <c r="H65" s="820"/>
      <c r="I65" s="1684" t="str">
        <f>IF('School Profile'!$D$12="Hindi","प्रवेशांक :","SR. NO. :")</f>
        <v>प्रवेशांक :</v>
      </c>
      <c r="J65" s="1684"/>
      <c r="K65" s="1684"/>
      <c r="L65" s="1689" t="str">
        <f>IFERROR(VLOOKUP(L68,'Statement of Marks'!$B$7:'Statement of Marks'!$IC$206,3,0),"")</f>
        <v/>
      </c>
      <c r="M65" s="1689"/>
      <c r="N65" s="1689"/>
      <c r="O65" s="1689"/>
      <c r="P65" s="414"/>
      <c r="Q65" s="1686"/>
      <c r="R65" s="681" t="str">
        <f>IF('School Profile'!$D$12="Hindi","कक्षा  :-","CLASS :- ")</f>
        <v>कक्षा  :-</v>
      </c>
      <c r="S65" s="1691" t="str">
        <f>IF('Statement of Marks'!$E$3="","",'Statement of Marks'!$E$3)</f>
        <v>9th</v>
      </c>
      <c r="T65" s="1691"/>
      <c r="U65" s="820" t="str">
        <f>IFERROR(VLOOKUP(AB68,'Statement of Marks'!$B$7:'Statement of Marks'!$IC$206,2,0),"")</f>
        <v>A</v>
      </c>
      <c r="V65" s="820"/>
      <c r="W65" s="820"/>
      <c r="X65" s="820"/>
      <c r="Y65" s="1684" t="str">
        <f>IF('School Profile'!$D$12="Hindi","प्रवेशांक :","SR. NO. :")</f>
        <v>प्रवेशांक :</v>
      </c>
      <c r="Z65" s="1684"/>
      <c r="AA65" s="1684"/>
      <c r="AB65" s="1689" t="str">
        <f>IFERROR(VLOOKUP(AB68,'Statement of Marks'!$B$7:'Statement of Marks'!$IC$206,3,0),"")</f>
        <v/>
      </c>
      <c r="AC65" s="1689"/>
      <c r="AD65" s="1689"/>
      <c r="AE65" s="1689"/>
      <c r="AF65" s="414"/>
      <c r="AV65"/>
      <c r="AW65" s="777">
        <f>L66</f>
        <v>41525</v>
      </c>
      <c r="AX65"/>
      <c r="BA65"/>
      <c r="BB65" s="777">
        <f>AB66</f>
        <v>40933</v>
      </c>
      <c r="BC65"/>
    </row>
    <row r="66" spans="1:55" s="351" customFormat="1" ht="21" customHeight="1">
      <c r="A66" s="33">
        <f>IF(L68="","",A65+1)</f>
        <v>6</v>
      </c>
      <c r="B66" s="683" t="str">
        <f>IF('School Profile'!$D$12="Hindi","विद्यार्थी का नाम :-","Student's Name :-")</f>
        <v>विद्यार्थी का नाम :-</v>
      </c>
      <c r="C66" s="1683" t="str">
        <f>IFERROR(VLOOKUP(L68,'Statement of Marks'!$B$7:'Statement of Marks'!$IC$206,5,0),"")</f>
        <v>SHYAM</v>
      </c>
      <c r="D66" s="1683"/>
      <c r="E66" s="1683"/>
      <c r="F66" s="1683"/>
      <c r="G66" s="1683"/>
      <c r="H66" s="1683"/>
      <c r="I66" s="1684" t="str">
        <f>IF('School Profile'!$D$12="Hindi","जन्म तिथि :","Date of Birth :")</f>
        <v>जन्म तिथि :</v>
      </c>
      <c r="J66" s="1684"/>
      <c r="K66" s="1684"/>
      <c r="L66" s="1690">
        <f>IFERROR(VLOOKUP(L68,'Statement of Marks'!$B$7:'Statement of Marks'!$IC$206,4,0),"")</f>
        <v>41525</v>
      </c>
      <c r="M66" s="1690"/>
      <c r="N66" s="1690"/>
      <c r="O66" s="1690"/>
      <c r="P66" s="670"/>
      <c r="Q66" s="1686"/>
      <c r="R66" s="683" t="str">
        <f>IF('School Profile'!$D$12="Hindi","विद्यार्थी का नाम :-","Student's Name :-")</f>
        <v>विद्यार्थी का नाम :-</v>
      </c>
      <c r="S66" s="1683" t="str">
        <f>IFERROR(VLOOKUP(AB68,'Statement of Marks'!$B$7:'Statement of Marks'!$IC$206,5,0),"")</f>
        <v>GITA</v>
      </c>
      <c r="T66" s="1683"/>
      <c r="U66" s="1683"/>
      <c r="V66" s="1683"/>
      <c r="W66" s="1683"/>
      <c r="X66" s="1683"/>
      <c r="Y66" s="1684" t="str">
        <f>IF('School Profile'!$D$12="Hindi","जन्म तिथि :","Date of Birth :")</f>
        <v>जन्म तिथि :</v>
      </c>
      <c r="Z66" s="1684"/>
      <c r="AA66" s="1684"/>
      <c r="AB66" s="1690">
        <f>IFERROR(VLOOKUP(AB68,'Statement of Marks'!$B$7:'Statement of Marks'!$IC$206,4,0),"")</f>
        <v>40933</v>
      </c>
      <c r="AC66" s="1690"/>
      <c r="AD66" s="1690"/>
      <c r="AE66" s="1690"/>
      <c r="AF66" s="670"/>
      <c r="AV66">
        <f>YEAR(AW65)</f>
        <v>2013</v>
      </c>
      <c r="AW66">
        <f>MONTH(AW65)</f>
        <v>9</v>
      </c>
      <c r="AX66">
        <f>DAY(AW65)</f>
        <v>8</v>
      </c>
      <c r="BA66">
        <f>YEAR(BB65)</f>
        <v>2012</v>
      </c>
      <c r="BB66">
        <f>MONTH(BB65)</f>
        <v>1</v>
      </c>
      <c r="BC66">
        <f>DAY(BB65)</f>
        <v>25</v>
      </c>
    </row>
    <row r="67" spans="1:55" s="351" customFormat="1" ht="21" customHeight="1">
      <c r="A67" s="33">
        <f>IF(L68="","",A66+1)</f>
        <v>7</v>
      </c>
      <c r="B67" s="683" t="str">
        <f>IF('School Profile'!$D$12="Hindi","पिता का नाम :-","Father's Name :-")</f>
        <v>पिता का नाम :-</v>
      </c>
      <c r="C67" s="1683" t="str">
        <f>IFERROR(VLOOKUP(L68,'Statement of Marks'!$B$7:'Statement of Marks'!$IC$206,6,0),"")</f>
        <v/>
      </c>
      <c r="D67" s="1683"/>
      <c r="E67" s="1683"/>
      <c r="F67" s="1683"/>
      <c r="G67" s="1683"/>
      <c r="H67" s="1683"/>
      <c r="I67" s="1684" t="str">
        <f>IF('School Profile'!$D$12="Hindi","जन्मतिथि शब्दों में :-","Date of Birth in Words :-")</f>
        <v>जन्मतिथि शब्दों में :-</v>
      </c>
      <c r="J67" s="1684"/>
      <c r="K67" s="1684"/>
      <c r="L67" s="1683" t="str">
        <f>IFERROR(IF('School Profile'!$D$12="Hindi",AW68,AW70),"")</f>
        <v>आठ सितम्बर दो हजार तेरह</v>
      </c>
      <c r="M67" s="1683"/>
      <c r="N67" s="1683"/>
      <c r="O67" s="1683"/>
      <c r="P67" s="670"/>
      <c r="Q67" s="1686"/>
      <c r="R67" s="683" t="str">
        <f>IF('School Profile'!$D$12="Hindi","पिता का नाम :-","Father's Name :-")</f>
        <v>पिता का नाम :-</v>
      </c>
      <c r="S67" s="1683" t="str">
        <f>IFERROR(VLOOKUP(AB68,'Statement of Marks'!$B$7:'Statement of Marks'!$IC$206,6,0),"")</f>
        <v/>
      </c>
      <c r="T67" s="1683"/>
      <c r="U67" s="1683"/>
      <c r="V67" s="1683"/>
      <c r="W67" s="1683"/>
      <c r="X67" s="1683"/>
      <c r="Y67" s="1684" t="str">
        <f>IF('School Profile'!$D$12="Hindi","जन्मतिथि शब्दों में :-","Date of Birth in Words :-")</f>
        <v>जन्मतिथि शब्दों में :-</v>
      </c>
      <c r="Z67" s="1684"/>
      <c r="AA67" s="1684"/>
      <c r="AB67" s="1683" t="str">
        <f>IFERROR(IF('School Profile'!$D$12="Hindi",BB68,BB70),"")</f>
        <v>पचीस जनवरी दो हजार बारह</v>
      </c>
      <c r="AC67" s="1683"/>
      <c r="AD67" s="1683"/>
      <c r="AE67" s="1683"/>
      <c r="AF67" s="670"/>
      <c r="AV67" t="str">
        <f>IF(AV66=2000,"दो हजार",IF(AV66=2001,"दो हजार एक",IF(AV66=2002,"दो हजार दो",IF(AV66=2003,"दो हजार तीन",IF(AV66=2004,"दो हजार चार",IF(AV66=2005,"दो हजार पांच",IF(AV66=2006,"दो हजार छः",IF(AV66=2007,"दो हजार सात",IF(AV66=2008,"दो हजार आठ",IF(AV66=2009,"दो हजार नौ",IF(AV66=2010,"दो हजार दस",IF(AV66=2011,"दो हजार ग्यारह",IF(AV66=2012,"दो हजार बारह",IF(AV66=2013,"दो हजार तेरह",IF(AV66=2014,"दो हजार चौदह",IF(AV66=2015,"दो हजार पंद्रह",IF(AV66=2016,"दो हजार सोलह",IF(AV66=2017,"दो हजार सत्रह",IF(AV66=2018,"दो हजार अठारह",IF(AV66=2019,"दो हजार उन्नीस",IF(AV66=2020,"दो हजार बीस",IF(AV66=2021,"दो हजार इक्कीस",IF(AV66=2022,"दो हजार बाइस","")))))))))))))))))))))))</f>
        <v>दो हजार तेरह</v>
      </c>
      <c r="AW67" t="str">
        <f>IF(AW66=1,"जनवरी",IF(AW66=2,"फरवरी",IF(AW66=3,"मार्च",IF(AW66=4,"अप्रैल",IF(AW66=5,"मई",IF(AW66=6,"जून",IF(AW66=7,"जुलाई",IF(AW66=8,"अगस्त",IF(AW66=9,"सितम्बर",IF(AW66=10,"अक्टूबर",IF(AW66=11,"नवम्बर",IF(AW66=12,"दिसम्बर",""))))))))))))</f>
        <v>सितम्बर</v>
      </c>
      <c r="AX67" t="str">
        <f>IF(AX66=1,"एक",IF(AX66=2,"दो",IF(AX66=3,"तीन",IF(AX66=4,"चार",IF(AX66=5,"पांच",IF(AX66=6,"छः",IF(AX66=7,"सात",IF(AX66=8,"आठ",IF(AX66=9,"नौ",IF(AX66=10,"दस",IF(AX66=11,"ग्यारह",IF(AX66=12,"बारह",IF(AX66=13,"तेरह",IF(AX66=14,"चौदह",IF(AX66=15,"पंद्रह",IF(AX66=16,"सोलह",IF(AX66=17,"सत्रह",IF(AX66=18,"अठारह",IF(AX66=19,"उन्नीस",IF(AX66=20,"बीस",IF(AX66=21,"इक्कीस",IF(AX66=22,"बाइस",IF(AX66=23,"तेईस",IF(AX66=24,"चौबीस",IF(AX66=25,"पचीस",IF(AX66=26,"छबीस",IF(AX66=27,"सताईस",IF(AX66=28,"अठाइस",IF(AX66=29,"उन्नतीस",IF(AX66=30,"तीस",IF(AX66=31,"इकतीस","")))))))))))))))))))))))))))))))</f>
        <v>आठ</v>
      </c>
      <c r="BA67" t="str">
        <f>IF(BA66=2000,"दो हजार",IF(BA66=2001,"दो हजार एक",IF(BA66=2002,"दो हजार दो",IF(BA66=2003,"दो हजार तीन",IF(BA66=2004,"दो हजार चार",IF(BA66=2005,"दो हजार पांच",IF(BA66=2006,"दो हजार छः",IF(BA66=2007,"दो हजार सात",IF(BA66=2008,"दो हजार आठ",IF(BA66=2009,"दो हजार नौ",IF(BA66=2010,"दो हजार दस",IF(BA66=2011,"दो हजार ग्यारह",IF(BA66=2012,"दो हजार बारह",IF(BA66=2013,"दो हजार तेरह",IF(BA66=2014,"दो हजार चौदह",IF(BA66=2015,"दो हजार पंद्रह",IF(BA66=2016,"दो हजार सोलह",IF(BA66=2017,"दो हजार सत्रह",IF(BA66=2018,"दो हजार अठारह",IF(BA66=2019,"दो हजार उन्नीस",IF(BA66=2020,"दो हजार बीस",IF(BA66=2021,"दो हजार इक्कीस",IF(BA66=2022,"दो हजार बाइस","")))))))))))))))))))))))</f>
        <v>दो हजार बारह</v>
      </c>
      <c r="BB67" t="str">
        <f>IF(BB66=1,"जनवरी",IF(BB66=2,"फरवरी",IF(BB66=3,"मार्च",IF(BB66=4,"अप्रैल",IF(BB66=5,"मई",IF(BB66=6,"जून",IF(BB66=7,"जुलाई",IF(BB66=8,"अगस्त",IF(BB66=9,"सितम्बर",IF(BB66=10,"अक्टूबर",IF(BB66=11,"नवम्बर",IF(BB66=12,"दिसम्बर",""))))))))))))</f>
        <v>जनवरी</v>
      </c>
      <c r="BC67" t="str">
        <f>IF(BC66=1,"एक",IF(BC66=2,"दो",IF(BC66=3,"तीन",IF(BC66=4,"चार",IF(BC66=5,"पांच",IF(BC66=6,"छः",IF(BC66=7,"सात",IF(BC66=8,"आठ",IF(BC66=9,"नौ",IF(BC66=10,"दस",IF(BC66=11,"ग्यारह",IF(BC66=12,"बारह",IF(BC66=13,"तेरह",IF(BC66=14,"चौदह",IF(BC66=15,"पंद्रह",IF(BC66=16,"सोलह",IF(BC66=17,"सत्रह",IF(BC66=18,"अठारह",IF(BC66=19,"उन्नीस",IF(BC66=20,"बीस",IF(BC66=21,"इक्कीस",IF(BC66=22,"बाइस",IF(BC66=23,"तेईस",IF(BC66=24,"चौबीस",IF(BC66=25,"पचीस",IF(BC66=26,"छबीस",IF(BC66=27,"सताईस",IF(BC66=28,"अठाइस",IF(BC66=29,"उन्नतीस",IF(BC66=30,"तीस",IF(BC66=31,"इकतीस","")))))))))))))))))))))))))))))))</f>
        <v>पचीस</v>
      </c>
    </row>
    <row r="68" spans="1:55" s="351" customFormat="1" ht="21" customHeight="1">
      <c r="A68" s="33">
        <f>IF(L68="","",A67+1)</f>
        <v>8</v>
      </c>
      <c r="B68" s="681" t="str">
        <f>IF('School Profile'!$D$12="Hindi","माता का नाम :-","Mother's Name :-")</f>
        <v>माता का नाम :-</v>
      </c>
      <c r="C68" s="1683" t="str">
        <f>IFERROR(VLOOKUP(L68,'Statement of Marks'!$B$7:'Statement of Marks'!$IC$206,7,0),"")</f>
        <v/>
      </c>
      <c r="D68" s="1683"/>
      <c r="E68" s="1683"/>
      <c r="F68" s="1683"/>
      <c r="G68" s="1683"/>
      <c r="H68" s="1683"/>
      <c r="I68" s="1684" t="str">
        <f>IF('School Profile'!$D$12="Hindi","रोल नंबर :-","Roll No. :")</f>
        <v>रोल नंबर :-</v>
      </c>
      <c r="J68" s="1684"/>
      <c r="K68" s="1684"/>
      <c r="L68" s="1685">
        <f>IF(AB38="","",IF(AND(AB38+1&gt;$AN$11),"",AB38+1))</f>
        <v>905</v>
      </c>
      <c r="M68" s="1685"/>
      <c r="N68" s="1685"/>
      <c r="Q68" s="1686"/>
      <c r="R68" s="681" t="str">
        <f>IF('School Profile'!$D$12="Hindi","माता का नाम :-","Mother's Name :-")</f>
        <v>माता का नाम :-</v>
      </c>
      <c r="S68" s="1683" t="str">
        <f>IFERROR(VLOOKUP(AB68,'Statement of Marks'!$B$7:'Statement of Marks'!$IC$206,7,0),"")</f>
        <v/>
      </c>
      <c r="T68" s="1683"/>
      <c r="U68" s="1683"/>
      <c r="V68" s="1683"/>
      <c r="W68" s="1683"/>
      <c r="X68" s="1683"/>
      <c r="Y68" s="1684" t="str">
        <f>IF('School Profile'!$D$12="Hindi","रोल नंबर :-","Roll No. :")</f>
        <v>रोल नंबर :-</v>
      </c>
      <c r="Z68" s="1684"/>
      <c r="AA68" s="1684"/>
      <c r="AB68" s="1685">
        <f>IF(L68="","",IF(AND(L68+1&gt;$AN$11),"",L68+1))</f>
        <v>906</v>
      </c>
      <c r="AC68" s="1685"/>
      <c r="AD68" s="1685"/>
      <c r="AV68"/>
      <c r="AW68" t="str">
        <f>CONCATENATE(AX67," ",AW67," ",AV67)</f>
        <v>आठ सितम्बर दो हजार तेरह</v>
      </c>
      <c r="AX68"/>
      <c r="BA68"/>
      <c r="BB68" t="str">
        <f>CONCATENATE(BC67," ",BB67," ",BA67)</f>
        <v>पचीस जनवरी दो हजार बारह</v>
      </c>
      <c r="BC68"/>
    </row>
    <row r="69" spans="1:55" s="351" customFormat="1" ht="9.75" customHeight="1">
      <c r="A69" s="33">
        <f>IF(L68="","",A68+1)</f>
        <v>9</v>
      </c>
      <c r="B69" s="1676"/>
      <c r="C69" s="1676"/>
      <c r="D69" s="1676"/>
      <c r="E69" s="1676"/>
      <c r="F69" s="1676"/>
      <c r="G69" s="1676"/>
      <c r="H69" s="1676"/>
      <c r="I69" s="1676"/>
      <c r="J69" s="1676"/>
      <c r="K69" s="1676"/>
      <c r="L69" s="1676"/>
      <c r="M69" s="1676"/>
      <c r="N69" s="1676"/>
      <c r="O69" s="1676"/>
      <c r="P69" s="401"/>
      <c r="Q69" s="1686"/>
      <c r="R69" s="1676"/>
      <c r="S69" s="1676"/>
      <c r="T69" s="1676"/>
      <c r="U69" s="1676"/>
      <c r="V69" s="1676"/>
      <c r="W69" s="1676"/>
      <c r="X69" s="1676"/>
      <c r="Y69" s="1676"/>
      <c r="Z69" s="1676"/>
      <c r="AA69" s="1676"/>
      <c r="AB69" s="1676"/>
      <c r="AC69" s="1676"/>
      <c r="AD69" s="1676"/>
      <c r="AE69" s="1676"/>
      <c r="AF69" s="401"/>
      <c r="AV69" t="str">
        <f>IF(AV66=1961,"NINETEEN SIXTY ONE",IF(AV66=1962,"NINETEEN SIXTY TWO",IF(AV66=1963,"NINETEEN SIXTY THREE",IF(AV66=1964,"NINETEEN SIXTY FOUR",IF(AV66=1965,"NINETEEN SIXTY FIVE",IF(AV66=1966,"NINETEEN SIXTY SIX",IF(AV66=1967,"NINETEEN SIXTY SEVEN",IF(AV66=1968,"NINETEEN SIXTY EIGHT",IF(AV66=1969,"NINETEEN SIXTY NINE",IF(AV66=1970,"NINETEEN SEVENTY",IF(AV66=1971,"NINETEEN SEVENTY ONE",IF(AV66=1972,"NINETEEN SEVENTY TWO",IF(AV66=1973,"NINETEEN SEVENTY THREE",IF(AV66=1974,"NINETEEN SEVENTY FOUR",IF(AV66=1975,"NINETEEN SEVENTY FIVE",IF(AV66=1976,"NINETEEN SEVENTY SIX",IF(AV66=1977,"NINETEEN SEVENTY SEVEN",IF(AV66=1978,"NINETEEN SEVENTY EIGHT",IF(AV66=1979,"NINETEEN SEVENTY NINE",IF(AV66=1980,"NINETEEN EIGHTY",IF(AV66=1981,"NINETEEN EIGHTY ONE",IF(AV66=1982,"NINETEEN EIGHTY TWO",IF(AV66=1983,"NINETEEN EIGHTY THREE",IF(AV66=1984,"NINETEEN EIGHTY FOUR",IF(AV66=1985,"NINETEEN EIGHTY FIVE",IF(AV66=1986,"NINETEEN EIGHTY SIX",IF(AV66=1987,"NINETEEN EIGHTY SEVEN",IF(AV66=1988,"NINETEEN EIGHTY EIGHT",IF(AV66=1989,"NINETEEN EIGHTY NINE",IF(AV66=1990,"NINETEEN NINETY",IF(AV66=1991,"NINETEEN NINETY ONE",IF(AV66=1992,"NINETEEN NINETY TWO",IF(AV66=1993,"NINETEEN NINETY THREE",IF(AV66=1994,"NINETEEN NINETY FOUR",IF(AV66=1995,"NINETEEN NINETY FIVE",IF(AV66=1996,"NINETEEN NINETY SIX",IF(AV66=1997,"NINETEEN NINETY SEVEN",IF(AV66=1998,"NINETEEN NINETY EIGHT",IF(AV66=1999,"NINETEEN NINETY NINE",IF(AV66=2000,"TWO THOUSAND",IF(AV66=2001,"TWO THOUSAND ONE",IF(AV66=2002,"TWO THOUSAND TWO",IF(AV66=2003,"TWO THOUSAND THREE",IF(AV66=2004,"TWO THOUSAND FOUR",IF(AV66=2005,"TWO THOUSAND FIVE",IF(AV66=2006,"TWO THOUSAND SIX",IF(AV66=2007,"TWO THOUSAND SEVEN",IF(AV66=2008,"TWO THOUSAND EIGHT",IF(AV66=2009,"TWO THOUSAND NINE",IF(AV66=2010,"TWO THOUSAND TEN",IF(AV66=2011,"TWO THOUSAND ELEVEN",IF(AV66=2012,"TWO THOUSAND TWELVE",IF(AV66=2013,"TWO THOUSAND THIRTEEN",IF(AV66=2014,"TWO THOUSAND FOURTEEN",IF(AV66=2015,"TWO THOUSAND FIFTEEN",IF(AV66=2016,"TWO THOUSAND SIXTEEN",IF(AV66=2017,"TWO THOUSAND SEVENTEEN",IF(AV66=2018,"TWO THOUSAND EIGHTEEN",IF(AV66=2019,"TWO THOUSAND NINETEEN",IF(AV66=2020,"TWO THOUSAND TWENTY",IF(AV66=2021,"TWO THOUSAND TWENTY ONE",IF(AV66=2022,"TWO THOUSAND TWENTY TWO",IF(AV66=2023,"TWO THOUSAND TWENTY THREE",IF(AV66=2024,"TWO THOUSAND TWENTY FOUR",IF(AV66=2025,"TWO THOUSAND TWENTY FIVE","")))))))))))))))))))))))))))))))))))))))))))))))))))))))))))))))))</f>
        <v>TWO THOUSAND THIRTEEN</v>
      </c>
      <c r="AW69" t="str">
        <f>IF(AW66=1,"JANUARY",IF(AW66=2,"FEBUARY", IF(AW66=3,"MARCH",IF(AW66=4,"APRIL",IF(AW66=5,"MAY",IF(AW66=6,"JUNE",IF(AW66=7,"JULY",IF(AW66=8,"AUGUST",IF(AW66=9,"SEPTEMBER",IF(AW66=10,"OCTOBER",IF(AW66=11,"NOVEMBER",IF(AW66=12,"DECEMBER",""))))))))))))</f>
        <v>SEPTEMBER</v>
      </c>
      <c r="AX69" t="str">
        <f>IF(AX66=1,"1ST",IF(AX66=2,"2ND", IF(AX66=3,"3RD",IF(AX66=4,"FOURTH",IF(AX66=5,"FIFTH",IF(AX66=6,"SIXTH",IF(AX66=7,"7TH",IF(AX66=8,"8TH",IF(AX66=9,"9TH",IF(AX66=10,"10TH",IF(AX66=11,"11TH",IF(AX66=12,"12TH",IF(AX66=13,"13TH",IF(AX66=14,"14TH",IF(AX66=15,"FIFTEEN",IF(AX66=16,"SIXTEEN",IF(AX66=17,"SEVENTEEN",IF(AX66=18,"EIGHTEEN",IF(AX66=19,"NINETEEN",IF(AX66=20,"TWENTY",IF(AX66=21,"TWENTY FIRST",IF(AX66=22,"TWENTY SECOND",IF(AX66=23,"TWENTY THIRD",IF(AX66=24,"TWENTY FOURTH",IF(AX66=25,"TWENTY FIFTH",IF(AX66=26,"TWENTY SIX",IF(AX66=27,"TWENTY SEVEN",IF(AX66=28,"TWENTY EIGHT",IF(AX66=29,"TWENTY NINE",IF(AX66=30,"THIRTY",IF(AX66=31,"THIRTY FIRST","")))))))))))))))))))))))))))))))</f>
        <v>8TH</v>
      </c>
      <c r="BA69" t="str">
        <f>IF(BA66=1961,"NINETEEN SIXTY ONE",IF(BA66=1962,"NINETEEN SIXTY TWO",IF(BA66=1963,"NINETEEN SIXTY THREE",IF(BA66=1964,"NINETEEN SIXTY FOUR",IF(BA66=1965,"NINETEEN SIXTY FIVE",IF(BA66=1966,"NINETEEN SIXTY SIX",IF(BA66=1967,"NINETEEN SIXTY SEVEN",IF(BA66=1968,"NINETEEN SIXTY EIGHT",IF(BA66=1969,"NINETEEN SIXTY NINE",IF(BA66=1970,"NINETEEN SEVENTY",IF(BA66=1971,"NINETEEN SEVENTY ONE",IF(BA66=1972,"NINETEEN SEVENTY TWO",IF(BA66=1973,"NINETEEN SEVENTY THREE",IF(BA66=1974,"NINETEEN SEVENTY FOUR",IF(BA66=1975,"NINETEEN SEVENTY FIVE",IF(BA66=1976,"NINETEEN SEVENTY SIX",IF(BA66=1977,"NINETEEN SEVENTY SEVEN",IF(BA66=1978,"NINETEEN SEVENTY EIGHT",IF(BA66=1979,"NINETEEN SEVENTY NINE",IF(BA66=1980,"NINETEEN EIGHTY",IF(BA66=1981,"NINETEEN EIGHTY ONE",IF(BA66=1982,"NINETEEN EIGHTY TWO",IF(BA66=1983,"NINETEEN EIGHTY THREE",IF(BA66=1984,"NINETEEN EIGHTY FOUR",IF(BA66=1985,"NINETEEN EIGHTY FIVE",IF(BA66=1986,"NINETEEN EIGHTY SIX",IF(BA66=1987,"NINETEEN EIGHTY SEVEN",IF(BA66=1988,"NINETEEN EIGHTY EIGHT",IF(BA66=1989,"NINETEEN EIGHTY NINE",IF(BA66=1990,"NINETEEN NINETY",IF(BA66=1991,"NINETEEN NINETY ONE",IF(BA66=1992,"NINETEEN NINETY TWO",IF(BA66=1993,"NINETEEN NINETY THREE",IF(BA66=1994,"NINETEEN NINETY FOUR",IF(BA66=1995,"NINETEEN NINETY FIVE",IF(BA66=1996,"NINETEEN NINETY SIX",IF(BA66=1997,"NINETEEN NINETY SEVEN",IF(BA66=1998,"NINETEEN NINETY EIGHT",IF(BA66=1999,"NINETEEN NINETY NINE",IF(BA66=2000,"TWO THOUSAND",IF(BA66=2001,"TWO THOUSAND ONE",IF(BA66=2002,"TWO THOUSAND TWO",IF(BA66=2003,"TWO THOUSAND THREE",IF(BA66=2004,"TWO THOUSAND FOUR",IF(BA66=2005,"TWO THOUSAND FIVE",IF(BA66=2006,"TWO THOUSAND SIX",IF(BA66=2007,"TWO THOUSAND SEVEN",IF(BA66=2008,"TWO THOUSAND EIGHT",IF(BA66=2009,"TWO THOUSAND NINE",IF(BA66=2010,"TWO THOUSAND TEN",IF(BA66=2011,"TWO THOUSAND ELEVEN",IF(BA66=2012,"TWO THOUSAND TWELVE",IF(BA66=2013,"TWO THOUSAND THIRTEEN",IF(BA66=2014,"TWO THOUSAND FOURTEEN",IF(BA66=2015,"TWO THOUSAND FIFTEEN",IF(BA66=2016,"TWO THOUSAND SIXTEEN",IF(BA66=2017,"TWO THOUSAND SEVENTEEN",IF(BA66=2018,"TWO THOUSAND EIGHTEEN",IF(BA66=2019,"TWO THOUSAND NINETEEN",IF(BA66=2020,"TWO THOUSAND TWENTY",IF(BA66=2021,"TWO THOUSAND TWENTY ONE",IF(BA66=2022,"TWO THOUSAND TWENTY TWO",IF(BA66=2023,"TWO THOUSAND TWENTY THREE",IF(BA66=2024,"TWO THOUSAND TWENTY FOUR",IF(BA66=2025,"TWO THOUSAND TWENTY FIVE","")))))))))))))))))))))))))))))))))))))))))))))))))))))))))))))))))</f>
        <v>TWO THOUSAND TWELVE</v>
      </c>
      <c r="BB69" t="str">
        <f>IF(BB66=1,"JANUARY",IF(BB66=2,"FEBUARY", IF(BB66=3,"MARCH",IF(BB66=4,"APRIL",IF(BB66=5,"MAY",IF(BB66=6,"JUNE",IF(BB66=7,"JULY",IF(BB66=8,"AUGUST",IF(BB66=9,"SEPTEMBER",IF(BB66=10,"OCTOBER",IF(BB66=11,"NOVEMBER",IF(BB66=12,"DECEMBER",""))))))))))))</f>
        <v>JANUARY</v>
      </c>
      <c r="BC69" t="str">
        <f>IF(BC66=1,"1ST",IF(BC66=2,"2ND", IF(BC66=3,"3RD",IF(BC66=4,"FOURTH",IF(BC66=5,"FIFTH",IF(BC66=6,"SIXTH",IF(BC66=7,"7TH",IF(BC66=8,"8TH",IF(BC66=9,"9TH",IF(BC66=10,"10TH",IF(BC66=11,"11TH",IF(BC66=12,"12TH",IF(BC66=13,"13TH",IF(BC66=14,"14TH",IF(BC66=15,"FIFTEEN",IF(BC66=16,"SIXTEEN",IF(BC66=17,"SEVENTEEN",IF(BC66=18,"EIGHTEEN",IF(BC66=19,"NINETEEN",IF(BC66=20,"TWENTY",IF(BC66=21,"TWENTY FIRST",IF(BC66=22,"TWENTY SECOND",IF(BC66=23,"TWENTY THIRD",IF(BC66=24,"TWENTY FOURTH",IF(BC66=25,"TWENTY FIFTH",IF(BC66=26,"TWENTY SIX",IF(BC66=27,"TWENTY SEVEN",IF(BC66=28,"TWENTY EIGHT",IF(BC66=29,"TWENTY NINE",IF(BC66=30,"THIRTY",IF(BC66=31,"THIRTY FIRST","")))))))))))))))))))))))))))))))</f>
        <v>TWENTY FIFTH</v>
      </c>
    </row>
    <row r="70" spans="1:55" s="351" customFormat="1" ht="26.25" customHeight="1">
      <c r="A70" s="33">
        <f>IF(L68="","",A69+1)</f>
        <v>10</v>
      </c>
      <c r="B70" s="1661" t="str">
        <f>IF('School Profile'!$D$12="Hindi","विषय का नाम","Subject Name")</f>
        <v>विषय का नाम</v>
      </c>
      <c r="C70" s="1662"/>
      <c r="D70" s="1681" t="str">
        <f>IF('School Profile'!$D$12="Hindi","सामयिक परख","Seasonal Exam")</f>
        <v>सामयिक परख</v>
      </c>
      <c r="E70" s="1681"/>
      <c r="F70" s="1681"/>
      <c r="G70" s="1681"/>
      <c r="H70" s="1681" t="str">
        <f>IF('School Profile'!$D$12="Hindi","अर्द्धवार्षिक","Half Yearly")</f>
        <v>अर्द्धवार्षिक</v>
      </c>
      <c r="I70" s="1681"/>
      <c r="J70" s="1681"/>
      <c r="K70" s="1556" t="str">
        <f>IF('School Profile'!$D$12="Hindi","अर्द्ध वा. तक योग","Total Till H.Y.")</f>
        <v>अर्द्ध वा. तक योग</v>
      </c>
      <c r="L70" s="1681" t="str">
        <f>IF('School Profile'!$D$12="Hindi","वार्षिक","Yearly")</f>
        <v>वार्षिक</v>
      </c>
      <c r="M70" s="1681"/>
      <c r="N70" s="1681"/>
      <c r="O70" s="1550" t="str">
        <f>IF('School Profile'!$D$12="Hindi","विषय कुल योग ","Subject Total")</f>
        <v xml:space="preserve">विषय कुल योग </v>
      </c>
      <c r="P70" s="1682" t="str">
        <f>IF('School Profile'!$D$12="Hindi","विषय परिणाम / विषय श्रेणी","Sub. Result /  Sub. Div.")</f>
        <v>विषय परिणाम / विषय श्रेणी</v>
      </c>
      <c r="Q70" s="1686"/>
      <c r="R70" s="1661" t="str">
        <f>IF('School Profile'!$D$12="Hindi","विषय का नाम","Subject Name")</f>
        <v>विषय का नाम</v>
      </c>
      <c r="S70" s="1662"/>
      <c r="T70" s="1681" t="str">
        <f>IF('School Profile'!$D$12="Hindi","सामयिक परख","Seasonal Exam")</f>
        <v>सामयिक परख</v>
      </c>
      <c r="U70" s="1681"/>
      <c r="V70" s="1681"/>
      <c r="W70" s="1681"/>
      <c r="X70" s="1681" t="str">
        <f>IF('School Profile'!$D$12="Hindi","अर्द्धवार्षिक","Half Yearly")</f>
        <v>अर्द्धवार्षिक</v>
      </c>
      <c r="Y70" s="1681"/>
      <c r="Z70" s="1681"/>
      <c r="AA70" s="1556" t="str">
        <f>IF('School Profile'!$D$12="Hindi","अर्द्ध वा. तक योग","Total Till H.Y.")</f>
        <v>अर्द्ध वा. तक योग</v>
      </c>
      <c r="AB70" s="1681" t="str">
        <f>IF('School Profile'!$D$12="Hindi","वार्षिक","Yearly")</f>
        <v>वार्षिक</v>
      </c>
      <c r="AC70" s="1681"/>
      <c r="AD70" s="1681"/>
      <c r="AE70" s="1550" t="str">
        <f>IF('School Profile'!$D$12="Hindi","विषय कुल योग ","Subject Total")</f>
        <v xml:space="preserve">विषय कुल योग </v>
      </c>
      <c r="AF70" s="1682" t="str">
        <f>IF('School Profile'!$D$12="Hindi","विषय परिणाम / विषय श्रेणी","Sub. Result /  Sub. Div.")</f>
        <v>विषय परिणाम / विषय श्रेणी</v>
      </c>
      <c r="AV70"/>
      <c r="AW70" t="str">
        <f>CONCATENATE(AW69," ",AX69,", ",AV69)</f>
        <v>SEPTEMBER 8TH, TWO THOUSAND THIRTEEN</v>
      </c>
      <c r="AX70"/>
      <c r="BA70"/>
      <c r="BB70" t="str">
        <f>CONCATENATE(BB69," ",BC69,", ",BA69)</f>
        <v>JANUARY TWENTY FIFTH, TWO THOUSAND TWELVE</v>
      </c>
      <c r="BC70"/>
    </row>
    <row r="71" spans="1:55" s="351" customFormat="1" ht="78.75" customHeight="1">
      <c r="A71" s="33">
        <f>IF(L68="","",A70+1)</f>
        <v>11</v>
      </c>
      <c r="B71" s="1677"/>
      <c r="C71" s="1678"/>
      <c r="D71" s="656" t="str">
        <f>IF('School Profile'!$D$12="Hindi","प्रथम परख ","First Test")</f>
        <v xml:space="preserve">प्रथम परख </v>
      </c>
      <c r="E71" s="656" t="str">
        <f>IF('School Profile'!$D$12="Hindi","द्वितीय परख","Second Test")</f>
        <v>द्वितीय परख</v>
      </c>
      <c r="F71" s="656" t="str">
        <f>IF('School Profile'!$D$12="Hindi","तृतीय परख","Third Test")</f>
        <v>तृतीय परख</v>
      </c>
      <c r="G71" s="657" t="str">
        <f>IF('School Profile'!$D$12="Hindi","सा. परख योग","Test Total")</f>
        <v>सा. परख योग</v>
      </c>
      <c r="H71" s="658" t="str">
        <f>IF('School Profile'!$D$12="Hindi","सैद्धान्तिक","Theoretical")</f>
        <v>सैद्धान्तिक</v>
      </c>
      <c r="I71" s="658" t="str">
        <f>IF('School Profile'!$D$12="Hindi","प्रायोगिक","Practical")</f>
        <v>प्रायोगिक</v>
      </c>
      <c r="J71" s="659" t="str">
        <f>IF('School Profile'!$D$12="Hindi","अर्द्धवार्षिक योग","H.Y.  Total")</f>
        <v>अर्द्धवार्षिक योग</v>
      </c>
      <c r="K71" s="1556"/>
      <c r="L71" s="658" t="str">
        <f>IF('School Profile'!$D$12="Hindi","सैद्धान्तिक","Theoretical")</f>
        <v>सैद्धान्तिक</v>
      </c>
      <c r="M71" s="658" t="str">
        <f>IF('School Profile'!$D$12="Hindi","प्रायोगिक","Practical")</f>
        <v>प्रायोगिक</v>
      </c>
      <c r="N71" s="659" t="str">
        <f>IF('School Profile'!$D$12="Hindi","वार्षिक योग","Yearly  Total")</f>
        <v>वार्षिक योग</v>
      </c>
      <c r="O71" s="1550"/>
      <c r="P71" s="1552"/>
      <c r="Q71" s="1686"/>
      <c r="R71" s="1677"/>
      <c r="S71" s="1678"/>
      <c r="T71" s="656" t="str">
        <f>IF('School Profile'!$D$12="Hindi","प्रथम परख ","First Test")</f>
        <v xml:space="preserve">प्रथम परख </v>
      </c>
      <c r="U71" s="656" t="str">
        <f>IF('School Profile'!$D$12="Hindi","द्वितीय परख","Second Test")</f>
        <v>द्वितीय परख</v>
      </c>
      <c r="V71" s="656" t="str">
        <f>IF('School Profile'!$D$12="Hindi","तृतीय परख","Third Test")</f>
        <v>तृतीय परख</v>
      </c>
      <c r="W71" s="657" t="str">
        <f>IF('School Profile'!$D$12="Hindi","सा. परख योग","Test Total")</f>
        <v>सा. परख योग</v>
      </c>
      <c r="X71" s="658" t="str">
        <f>IF('School Profile'!$D$12="Hindi","सैद्धान्तिक","Theoretical")</f>
        <v>सैद्धान्तिक</v>
      </c>
      <c r="Y71" s="658" t="str">
        <f>IF('School Profile'!$D$12="Hindi","प्रायोगिक","Practical")</f>
        <v>प्रायोगिक</v>
      </c>
      <c r="Z71" s="659" t="str">
        <f>IF('School Profile'!$D$12="Hindi","अर्द्धवार्षिक योग","H.Y.  Total")</f>
        <v>अर्द्धवार्षिक योग</v>
      </c>
      <c r="AA71" s="1556"/>
      <c r="AB71" s="658" t="str">
        <f>IF('School Profile'!$D$12="Hindi","सैद्धान्तिक","Theoretical")</f>
        <v>सैद्धान्तिक</v>
      </c>
      <c r="AC71" s="658" t="str">
        <f>IF('School Profile'!$D$12="Hindi","प्रायोगिक","Practical")</f>
        <v>प्रायोगिक</v>
      </c>
      <c r="AD71" s="659" t="str">
        <f>IF('School Profile'!$D$12="Hindi","वार्षिक योग","Yearly  Total")</f>
        <v>वार्षिक योग</v>
      </c>
      <c r="AE71" s="1550"/>
      <c r="AF71" s="1552"/>
      <c r="AV71"/>
      <c r="AW71"/>
      <c r="AX71"/>
      <c r="BA71"/>
      <c r="BB71"/>
      <c r="BC71"/>
    </row>
    <row r="72" spans="1:55" s="353" customFormat="1" ht="21" customHeight="1">
      <c r="A72" s="33">
        <f>IF(L68="","",A71+1)</f>
        <v>12</v>
      </c>
      <c r="B72" s="1679"/>
      <c r="C72" s="1680"/>
      <c r="D72" s="663">
        <v>10</v>
      </c>
      <c r="E72" s="663">
        <v>10</v>
      </c>
      <c r="F72" s="663">
        <v>10</v>
      </c>
      <c r="G72" s="663">
        <v>30</v>
      </c>
      <c r="H72" s="665" t="s">
        <v>251</v>
      </c>
      <c r="I72" s="661">
        <v>35</v>
      </c>
      <c r="J72" s="660">
        <v>70</v>
      </c>
      <c r="K72" s="661">
        <v>100</v>
      </c>
      <c r="L72" s="664" t="s">
        <v>252</v>
      </c>
      <c r="M72" s="663">
        <v>50</v>
      </c>
      <c r="N72" s="660">
        <v>100</v>
      </c>
      <c r="O72" s="662">
        <v>200</v>
      </c>
      <c r="P72" s="1553"/>
      <c r="Q72" s="1686"/>
      <c r="R72" s="1679"/>
      <c r="S72" s="1680"/>
      <c r="T72" s="663">
        <v>10</v>
      </c>
      <c r="U72" s="663">
        <v>10</v>
      </c>
      <c r="V72" s="663">
        <v>10</v>
      </c>
      <c r="W72" s="663">
        <v>30</v>
      </c>
      <c r="X72" s="665" t="s">
        <v>251</v>
      </c>
      <c r="Y72" s="661">
        <v>35</v>
      </c>
      <c r="Z72" s="660">
        <v>70</v>
      </c>
      <c r="AA72" s="661">
        <v>100</v>
      </c>
      <c r="AB72" s="664" t="s">
        <v>252</v>
      </c>
      <c r="AC72" s="663">
        <v>50</v>
      </c>
      <c r="AD72" s="660">
        <v>100</v>
      </c>
      <c r="AE72" s="662">
        <v>200</v>
      </c>
      <c r="AF72" s="1553"/>
      <c r="AV72"/>
      <c r="AW72"/>
      <c r="AX72"/>
      <c r="BA72"/>
      <c r="BB72"/>
      <c r="BC72"/>
    </row>
    <row r="73" spans="1:55" s="351" customFormat="1" ht="22.5" customHeight="1">
      <c r="A73" s="33">
        <f>IF(L68="","",A72+1)</f>
        <v>13</v>
      </c>
      <c r="B73" s="1674" t="str">
        <f>'Statement of Marks'!$K$3</f>
        <v>हिंदी</v>
      </c>
      <c r="C73" s="1675"/>
      <c r="D73" s="26">
        <f>IFERROR(VLOOKUP(L68,'Statement of Marks'!$B$7:'Statement of Marks'!$IC$206,10,0),"")</f>
        <v>8</v>
      </c>
      <c r="E73" s="26">
        <f>IFERROR(VLOOKUP(L68,'Statement of Marks'!$B$7:'Statement of Marks'!$IC$206,11,0),"")</f>
        <v>9</v>
      </c>
      <c r="F73" s="26">
        <f>IFERROR(VLOOKUP(L68,'Statement of Marks'!$B$7:'Statement of Marks'!$IC$206,12,0),"")</f>
        <v>8</v>
      </c>
      <c r="G73" s="26">
        <f>IFERROR(VLOOKUP(L68,'Statement of Marks'!$B$7:'Statement of Marks'!$IC$206,13,0),"")</f>
        <v>25</v>
      </c>
      <c r="H73" s="26">
        <f>IFERROR(VLOOKUP(L68,'Statement of Marks'!$B$7:'Statement of Marks'!$IC$206,14,0),"")</f>
        <v>46</v>
      </c>
      <c r="I73" s="26"/>
      <c r="J73" s="347">
        <f>IF(L68="","",IF(AND(H73="",I73=""),"",SUM(H73,I73)))</f>
        <v>46</v>
      </c>
      <c r="K73" s="679">
        <f>IFERROR(IF(L68="","",IF(AND(G73="",J73=""),"",SUM(G73,J73))),"")</f>
        <v>71</v>
      </c>
      <c r="L73" s="26">
        <f>IFERROR(VLOOKUP(L68,'Statement of Marks'!$B$7:'Statement of Marks'!$IC$206,16,0),"")</f>
        <v>65</v>
      </c>
      <c r="M73" s="26"/>
      <c r="N73" s="347">
        <f>IF(L68="","",IF(AND(L73="",M73=""),"",SUM(L73,M73)))</f>
        <v>65</v>
      </c>
      <c r="O73" s="674">
        <f>IFERROR(VLOOKUP(L68,'Statement of Marks'!$B$7:'Statement of Marks'!$IC$206,17,0),"")</f>
        <v>136</v>
      </c>
      <c r="P73" s="680" t="str">
        <f>IFERROR(IF(O73="","",IF(VLOOKUP(L68,'Statement of Marks'!$B$7:'Statement of Marks'!$IC$206,195,0)="D","I",IF(VLOOKUP(L68,'Statement of Marks'!$B$7:'Statement of Marks'!$IC$206,195,0)="G1","G",IF(VLOOKUP(L68,'Statement of Marks'!$B$7:'Statement of Marks'!$IC$206,195,0)="G2","G",VLOOKUP(L68,'Statement of Marks'!$B$7:'Statement of Marks'!$IC$206,195,0))))),"")</f>
        <v>I</v>
      </c>
      <c r="Q73" s="1686"/>
      <c r="R73" s="1674" t="str">
        <f>'Statement of Marks'!$K$3</f>
        <v>हिंदी</v>
      </c>
      <c r="S73" s="1675"/>
      <c r="T73" s="26" t="str">
        <f>IFERROR(VLOOKUP(AB68,'Statement of Marks'!$B$7:'Statement of Marks'!$IC$206,10,0),"")</f>
        <v>NA</v>
      </c>
      <c r="U73" s="26">
        <f>IFERROR(VLOOKUP(AB68,'Statement of Marks'!$B$7:'Statement of Marks'!$IC$206,11,0),"")</f>
        <v>9</v>
      </c>
      <c r="V73" s="26">
        <f>IFERROR(VLOOKUP(AB68,'Statement of Marks'!$B$7:'Statement of Marks'!$IC$206,12,0),"")</f>
        <v>7</v>
      </c>
      <c r="W73" s="26">
        <f>IFERROR(VLOOKUP(AB68,'Statement of Marks'!$B$7:'Statement of Marks'!$IC$206,13,0),"")</f>
        <v>16</v>
      </c>
      <c r="X73" s="26">
        <f>IFERROR(VLOOKUP(AB68,'Statement of Marks'!$B$7:'Statement of Marks'!$IC$206,14,0),"")</f>
        <v>46</v>
      </c>
      <c r="Y73" s="26"/>
      <c r="Z73" s="347">
        <f>IF(AB68="","",IF(AND(X73="",Y73=""),"",SUM(X73,Y73)))</f>
        <v>46</v>
      </c>
      <c r="AA73" s="679">
        <f>IFERROR(IF(AB68="","",IF(AND(W73="",Z73=""),"",SUM(W73,Z73))),"")</f>
        <v>62</v>
      </c>
      <c r="AB73" s="26">
        <f>IFERROR(VLOOKUP(AB68,'Statement of Marks'!$B$7:'Statement of Marks'!$IC$206,16,0),"")</f>
        <v>65</v>
      </c>
      <c r="AC73" s="26"/>
      <c r="AD73" s="347">
        <f>IF(AB68="","",IF(AND(AB73="",AC73=""),"",SUM(AB73,AC73)))</f>
        <v>65</v>
      </c>
      <c r="AE73" s="674">
        <f>IFERROR(VLOOKUP(AB68,'Statement of Marks'!$B$7:'Statement of Marks'!$IC$206,17,0),"")</f>
        <v>127</v>
      </c>
      <c r="AF73" s="680" t="str">
        <f>IFERROR(IF(AE73="","",IF(VLOOKUP(AB68,'Statement of Marks'!$B$7:'Statement of Marks'!$IC$206,195,0)="D","I",IF(VLOOKUP(AB68,'Statement of Marks'!$B$7:'Statement of Marks'!$IC$206,195,0)="G1","G",IF(VLOOKUP(AB68,'Statement of Marks'!$B$7:'Statement of Marks'!$IC$206,195,0)="G2","G",VLOOKUP(AB68,'Statement of Marks'!$B$7:'Statement of Marks'!$IC$206,195,0))))),"")</f>
        <v>I</v>
      </c>
      <c r="AV73"/>
      <c r="AW73"/>
      <c r="AX73"/>
      <c r="BA73"/>
      <c r="BB73"/>
      <c r="BC73"/>
    </row>
    <row r="74" spans="1:55" s="351" customFormat="1" ht="22.5" customHeight="1">
      <c r="A74" s="33">
        <f>IF(L68="","",A73+1)</f>
        <v>14</v>
      </c>
      <c r="B74" s="1674" t="str">
        <f>'Statement of Marks'!$Y$3</f>
        <v>अंग्रेजी</v>
      </c>
      <c r="C74" s="1675"/>
      <c r="D74" s="26">
        <f>IFERROR(VLOOKUP(L68,'Statement of Marks'!$B$7:'Statement of Marks'!$IC$206,24,0),"")</f>
        <v>8</v>
      </c>
      <c r="E74" s="26">
        <f>IFERROR(VLOOKUP(L68,'Statement of Marks'!$B$7:'Statement of Marks'!$IC$206,25,0),"")</f>
        <v>9</v>
      </c>
      <c r="F74" s="26">
        <f>IFERROR(VLOOKUP(L68,'Statement of Marks'!$B$7:'Statement of Marks'!$IC$206,26,0),"")</f>
        <v>10</v>
      </c>
      <c r="G74" s="26">
        <f>IFERROR(VLOOKUP(L68,'Statement of Marks'!$B$7:'Statement of Marks'!$IC$206,27,0),"")</f>
        <v>27</v>
      </c>
      <c r="H74" s="26">
        <f>IFERROR(VLOOKUP(L68,'Statement of Marks'!$B$7:'Statement of Marks'!$IC$206,28,0),"")</f>
        <v>61</v>
      </c>
      <c r="I74" s="26"/>
      <c r="J74" s="347">
        <f>IF(L68="","",IF(AND(H74="",I74=""),"",SUM(H74,I74)))</f>
        <v>61</v>
      </c>
      <c r="K74" s="679">
        <f>IFERROR(IF(L68="","",IF(AND(G74="",J74=""),"",SUM(G74,J74))),"")</f>
        <v>88</v>
      </c>
      <c r="L74" s="26">
        <f>IFERROR(VLOOKUP(L68,'Statement of Marks'!$B$7:'Statement of Marks'!$IC$206,30,0),"")</f>
        <v>45</v>
      </c>
      <c r="M74" s="26"/>
      <c r="N74" s="347">
        <f>IF(L68="","",IF(AND(L74="",M74=""),"",SUM(L74,M74)))</f>
        <v>45</v>
      </c>
      <c r="O74" s="674">
        <f>IFERROR(VLOOKUP(L68,'Statement of Marks'!$B$7:'Statement of Marks'!$IC$206,31,0),"")</f>
        <v>133</v>
      </c>
      <c r="P74" s="680" t="str">
        <f>IFERROR(IF(O73="","",IF(VLOOKUP(L68,'Statement of Marks'!$B$7:'Statement of Marks'!$IC$206,198,0)="D","I",IF(VLOOKUP(L68,'Statement of Marks'!$B$7:'Statement of Marks'!$IC$206,198,0)="G1","G",IF(VLOOKUP(L68,'Statement of Marks'!$B$7:'Statement of Marks'!$IC$206,198,0)="G2","G",VLOOKUP(L68,'Statement of Marks'!$B$7:'Statement of Marks'!$IC$206,198,0))))),"")</f>
        <v>I</v>
      </c>
      <c r="Q74" s="1686"/>
      <c r="R74" s="1674" t="str">
        <f>'Statement of Marks'!$Y$3</f>
        <v>अंग्रेजी</v>
      </c>
      <c r="S74" s="1675"/>
      <c r="T74" s="26">
        <f>IFERROR(VLOOKUP(AB68,'Statement of Marks'!$B$7:'Statement of Marks'!$IC$206,24,0),"")</f>
        <v>8</v>
      </c>
      <c r="U74" s="26">
        <f>IFERROR(VLOOKUP(AB68,'Statement of Marks'!$B$7:'Statement of Marks'!$IC$206,25,0),"")</f>
        <v>9</v>
      </c>
      <c r="V74" s="26">
        <f>IFERROR(VLOOKUP(AB68,'Statement of Marks'!$B$7:'Statement of Marks'!$IC$206,26,0),"")</f>
        <v>10</v>
      </c>
      <c r="W74" s="26">
        <f>IFERROR(VLOOKUP(AB68,'Statement of Marks'!$B$7:'Statement of Marks'!$IC$206,27,0),"")</f>
        <v>27</v>
      </c>
      <c r="X74" s="26">
        <f>IFERROR(VLOOKUP(AB68,'Statement of Marks'!$B$7:'Statement of Marks'!$IC$206,28,0),"")</f>
        <v>62</v>
      </c>
      <c r="Y74" s="26"/>
      <c r="Z74" s="347">
        <f>IF(AB68="","",IF(AND(X74="",Y74=""),"",SUM(X74,Y74)))</f>
        <v>62</v>
      </c>
      <c r="AA74" s="679">
        <f>IFERROR(IF(AB68="","",IF(AND(W74="",Z74=""),"",SUM(W74,Z74))),"")</f>
        <v>89</v>
      </c>
      <c r="AB74" s="26">
        <f>IFERROR(VLOOKUP(AB68,'Statement of Marks'!$B$7:'Statement of Marks'!$IC$206,30,0),"")</f>
        <v>95</v>
      </c>
      <c r="AC74" s="26"/>
      <c r="AD74" s="347">
        <f>IF(AB68="","",IF(AND(AB74="",AC74=""),"",SUM(AB74,AC74)))</f>
        <v>95</v>
      </c>
      <c r="AE74" s="674">
        <f>IFERROR(VLOOKUP(AB68,'Statement of Marks'!$B$7:'Statement of Marks'!$IC$206,31,0),"")</f>
        <v>184</v>
      </c>
      <c r="AF74" s="680" t="str">
        <f>IFERROR(IF(AE73="","",IF(VLOOKUP(AB68,'Statement of Marks'!$B$7:'Statement of Marks'!$IC$206,198,0)="D","I",IF(VLOOKUP(AB68,'Statement of Marks'!$B$7:'Statement of Marks'!$IC$206,198,0)="G1","G",IF(VLOOKUP(AB68,'Statement of Marks'!$B$7:'Statement of Marks'!$IC$206,198,0)="G2","G",VLOOKUP(AB68,'Statement of Marks'!$B$7:'Statement of Marks'!$IC$206,198,0))))),"")</f>
        <v>I</v>
      </c>
      <c r="AV74"/>
      <c r="AW74"/>
      <c r="AX74"/>
      <c r="BA74"/>
      <c r="BB74"/>
      <c r="BC74"/>
    </row>
    <row r="75" spans="1:55" s="351" customFormat="1" ht="22.5" customHeight="1">
      <c r="A75" s="33">
        <f>IF(L68="","",A74+1)</f>
        <v>15</v>
      </c>
      <c r="B75" s="1674" t="str">
        <f>IFERROR(VLOOKUP(L68,'Statement of Marks'!$B$7:'Statement of Marks'!$IC$206,38,0),"")</f>
        <v xml:space="preserve">उर्दू (72) </v>
      </c>
      <c r="C75" s="1675"/>
      <c r="D75" s="26">
        <f>IFERROR(VLOOKUP(L68,'Statement of Marks'!$B$7:'Statement of Marks'!$IC$206,39,0),"")</f>
        <v>8</v>
      </c>
      <c r="E75" s="26">
        <f>IFERROR(VLOOKUP(L68,'Statement of Marks'!$B$7:'Statement of Marks'!$IC$206,40,0),"")</f>
        <v>9</v>
      </c>
      <c r="F75" s="26">
        <f>IFERROR(VLOOKUP(L68,'Statement of Marks'!$B$7:'Statement of Marks'!$IC$206,41,0),"")</f>
        <v>8</v>
      </c>
      <c r="G75" s="26">
        <f>IFERROR(VLOOKUP(L68,'Statement of Marks'!$B$7:'Statement of Marks'!$IC$206,42,0),"")</f>
        <v>25</v>
      </c>
      <c r="H75" s="26">
        <f>IFERROR(VLOOKUP(L68,'Statement of Marks'!$B$7:'Statement of Marks'!$IC$206,43,0),"")</f>
        <v>46</v>
      </c>
      <c r="I75" s="26"/>
      <c r="J75" s="347">
        <f>IF(L68="","",IF(AND(H75="",I75=""),"",SUM(H75,I75)))</f>
        <v>46</v>
      </c>
      <c r="K75" s="679">
        <f>IFERROR(IF(L68="","",IF(AND(G75="",J75=""),"",SUM(G75,J75))),"")</f>
        <v>71</v>
      </c>
      <c r="L75" s="26">
        <f>IFERROR(VLOOKUP(L68,'Statement of Marks'!$B$7:'Statement of Marks'!$IC$206,45,0),"")</f>
        <v>45</v>
      </c>
      <c r="M75" s="26"/>
      <c r="N75" s="347">
        <f>IF(L68="","",IF(AND(L75="",M75=""),"",SUM(L75,M75)))</f>
        <v>45</v>
      </c>
      <c r="O75" s="674">
        <f>IFERROR(VLOOKUP(L68,'Statement of Marks'!$B$7:'Statement of Marks'!$IC$206,46,0),"")</f>
        <v>116</v>
      </c>
      <c r="P75" s="680" t="str">
        <f>IFERROR(IF(O73="","",IF(VLOOKUP(L68,'Statement of Marks'!$B$7:'Statement of Marks'!$IC$206,201,0)="D","I",IF(VLOOKUP(L68,'Statement of Marks'!$B$7:'Statement of Marks'!$IC$206,201,0)="G1","G",IF(VLOOKUP(L68,'Statement of Marks'!$B$7:'Statement of Marks'!$IC$206,201,0)="G2","G",VLOOKUP(L68,'Statement of Marks'!$B$7:'Statement of Marks'!$IC$206,201,0))))),"")</f>
        <v>II</v>
      </c>
      <c r="Q75" s="1686"/>
      <c r="R75" s="1674" t="str">
        <f>IFERROR(VLOOKUP(AB68,'Statement of Marks'!$B$7:'Statement of Marks'!$IC$206,38,0),"")</f>
        <v xml:space="preserve">उर्दू (72) </v>
      </c>
      <c r="S75" s="1675"/>
      <c r="T75" s="26">
        <f>IFERROR(VLOOKUP(AB68,'Statement of Marks'!$B$7:'Statement of Marks'!$IC$206,39,0),"")</f>
        <v>8</v>
      </c>
      <c r="U75" s="26">
        <f>IFERROR(VLOOKUP(AB68,'Statement of Marks'!$B$7:'Statement of Marks'!$IC$206,40,0),"")</f>
        <v>9</v>
      </c>
      <c r="V75" s="26">
        <f>IFERROR(VLOOKUP(AB68,'Statement of Marks'!$B$7:'Statement of Marks'!$IC$206,41,0),"")</f>
        <v>8</v>
      </c>
      <c r="W75" s="26">
        <f>IFERROR(VLOOKUP(AB68,'Statement of Marks'!$B$7:'Statement of Marks'!$IC$206,42,0),"")</f>
        <v>25</v>
      </c>
      <c r="X75" s="26">
        <f>IFERROR(VLOOKUP(AB68,'Statement of Marks'!$B$7:'Statement of Marks'!$IC$206,43,0),"")</f>
        <v>46</v>
      </c>
      <c r="Y75" s="26"/>
      <c r="Z75" s="347">
        <f>IF(AB68="","",IF(AND(X75="",Y75=""),"",SUM(X75,Y75)))</f>
        <v>46</v>
      </c>
      <c r="AA75" s="679">
        <f>IFERROR(IF(AB68="","",IF(AND(W75="",Z75=""),"",SUM(W75,Z75))),"")</f>
        <v>71</v>
      </c>
      <c r="AB75" s="26">
        <f>IFERROR(VLOOKUP(AB68,'Statement of Marks'!$B$7:'Statement of Marks'!$IC$206,45,0),"")</f>
        <v>45</v>
      </c>
      <c r="AC75" s="26"/>
      <c r="AD75" s="347">
        <f>IF(AB68="","",IF(AND(AB75="",AC75=""),"",SUM(AB75,AC75)))</f>
        <v>45</v>
      </c>
      <c r="AE75" s="674">
        <f>IFERROR(VLOOKUP(AB68,'Statement of Marks'!$B$7:'Statement of Marks'!$IC$206,46,0),"")</f>
        <v>116</v>
      </c>
      <c r="AF75" s="680" t="str">
        <f>IFERROR(IF(AE73="","",IF(VLOOKUP(AB68,'Statement of Marks'!$B$7:'Statement of Marks'!$IC$206,201,0)="D","I",IF(VLOOKUP(AB68,'Statement of Marks'!$B$7:'Statement of Marks'!$IC$206,201,0)="G1","G",IF(VLOOKUP(AB68,'Statement of Marks'!$B$7:'Statement of Marks'!$IC$206,201,0)="G2","G",VLOOKUP(AB68,'Statement of Marks'!$B$7:'Statement of Marks'!$IC$206,201,0))))),"")</f>
        <v>II</v>
      </c>
      <c r="AV75"/>
      <c r="AW75"/>
      <c r="AX75"/>
      <c r="BA75"/>
      <c r="BB75"/>
      <c r="BC75"/>
    </row>
    <row r="76" spans="1:55" s="351" customFormat="1" ht="22.5" customHeight="1">
      <c r="A76" s="33">
        <f>IF(L68="","",A75+1)</f>
        <v>16</v>
      </c>
      <c r="B76" s="1674" t="str">
        <f>'Statement of Marks'!$BB$3</f>
        <v>गणित</v>
      </c>
      <c r="C76" s="1675"/>
      <c r="D76" s="26">
        <f>IFERROR(VLOOKUP(L68,'Statement of Marks'!$B$7:'Statement of Marks'!$IC$206,53,0),"")</f>
        <v>8</v>
      </c>
      <c r="E76" s="26">
        <f>IFERROR(VLOOKUP(L68,'Statement of Marks'!$B$7:'Statement of Marks'!$IC$206,54,0),"")</f>
        <v>9</v>
      </c>
      <c r="F76" s="26">
        <f>IFERROR(VLOOKUP(L68,'Statement of Marks'!$B$7:'Statement of Marks'!$IC$206,55,0),"")</f>
        <v>9</v>
      </c>
      <c r="G76" s="26">
        <f>IFERROR(VLOOKUP(L68,'Statement of Marks'!$B$7:'Statement of Marks'!$IC$206,56,0),"")</f>
        <v>26</v>
      </c>
      <c r="H76" s="26">
        <f>IFERROR(VLOOKUP(L68,'Statement of Marks'!$B$7:'Statement of Marks'!$IC$206,57,0),"")</f>
        <v>46</v>
      </c>
      <c r="I76" s="26"/>
      <c r="J76" s="347">
        <f>IF(L68="","",IF(AND(H76="",I76=""),"",SUM(H76,I76)))</f>
        <v>46</v>
      </c>
      <c r="K76" s="679">
        <f>IFERROR(IF(L68="","",IF(AND(G76="",J76=""),"",SUM(G76,J76))),"")</f>
        <v>72</v>
      </c>
      <c r="L76" s="26">
        <f>IFERROR(VLOOKUP(L68,'Statement of Marks'!$B$7:'Statement of Marks'!$IC$206,59,0),"")</f>
        <v>45</v>
      </c>
      <c r="M76" s="26"/>
      <c r="N76" s="347">
        <f>IF(L68="","",IF(AND(L76="",M76=""),"",SUM(L76,M76)))</f>
        <v>45</v>
      </c>
      <c r="O76" s="674">
        <f>IFERROR(VLOOKUP(L68,'Statement of Marks'!$B$7:'Statement of Marks'!$IC$206,60,0),"")</f>
        <v>117</v>
      </c>
      <c r="P76" s="680" t="str">
        <f>IFERROR(IF(O73="","",IF(VLOOKUP(L68,'Statement of Marks'!$B$7:'Statement of Marks'!$IC$206,209,0)="D","I",IF(VLOOKUP(L68,'Statement of Marks'!$B$7:'Statement of Marks'!$IC$206,209,0)="G1","G",IF(VLOOKUP(L68,'Statement of Marks'!$B$7:'Statement of Marks'!$IC$206,209,0)="G2","G",VLOOKUP(L68,'Statement of Marks'!$B$7:'Statement of Marks'!$IC$206,209,0))))),"")</f>
        <v>II</v>
      </c>
      <c r="Q76" s="1686"/>
      <c r="R76" s="1674" t="str">
        <f>'Statement of Marks'!$BB$3</f>
        <v>गणित</v>
      </c>
      <c r="S76" s="1675"/>
      <c r="T76" s="26">
        <f>IFERROR(VLOOKUP(AB68,'Statement of Marks'!$B$7:'Statement of Marks'!$IC$206,53,0),"")</f>
        <v>8</v>
      </c>
      <c r="U76" s="26">
        <f>IFERROR(VLOOKUP(AB68,'Statement of Marks'!$B$7:'Statement of Marks'!$IC$206,54,0),"")</f>
        <v>9</v>
      </c>
      <c r="V76" s="26">
        <f>IFERROR(VLOOKUP(AB68,'Statement of Marks'!$B$7:'Statement of Marks'!$IC$206,55,0),"")</f>
        <v>9</v>
      </c>
      <c r="W76" s="26">
        <f>IFERROR(VLOOKUP(AB68,'Statement of Marks'!$B$7:'Statement of Marks'!$IC$206,56,0),"")</f>
        <v>26</v>
      </c>
      <c r="X76" s="26">
        <f>IFERROR(VLOOKUP(AB68,'Statement of Marks'!$B$7:'Statement of Marks'!$IC$206,57,0),"")</f>
        <v>46</v>
      </c>
      <c r="Y76" s="26"/>
      <c r="Z76" s="347">
        <f>IF(AB68="","",IF(AND(X76="",Y76=""),"",SUM(X76,Y76)))</f>
        <v>46</v>
      </c>
      <c r="AA76" s="679">
        <f>IFERROR(IF(AB68="","",IF(AND(W76="",Z76=""),"",SUM(W76,Z76))),"")</f>
        <v>72</v>
      </c>
      <c r="AB76" s="26">
        <f>IFERROR(VLOOKUP(AB68,'Statement of Marks'!$B$7:'Statement of Marks'!$IC$206,59,0),"")</f>
        <v>45</v>
      </c>
      <c r="AC76" s="26"/>
      <c r="AD76" s="347">
        <f>IF(AB68="","",IF(AND(AB76="",AC76=""),"",SUM(AB76,AC76)))</f>
        <v>45</v>
      </c>
      <c r="AE76" s="674">
        <f>IFERROR(VLOOKUP(AB68,'Statement of Marks'!$B$7:'Statement of Marks'!$IC$206,60,0),"")</f>
        <v>117</v>
      </c>
      <c r="AF76" s="680" t="str">
        <f>IFERROR(IF(AE73="","",IF(VLOOKUP(AB68,'Statement of Marks'!$B$7:'Statement of Marks'!$IC$206,209,0)="D","I",IF(VLOOKUP(AB68,'Statement of Marks'!$B$7:'Statement of Marks'!$IC$206,209,0)="G1","G",IF(VLOOKUP(AB68,'Statement of Marks'!$B$7:'Statement of Marks'!$IC$206,209,0)="G2","G",VLOOKUP(AB68,'Statement of Marks'!$B$7:'Statement of Marks'!$IC$206,209,0))))),"")</f>
        <v>II</v>
      </c>
      <c r="AV76"/>
      <c r="AW76"/>
      <c r="AX76"/>
      <c r="BA76"/>
      <c r="BB76"/>
      <c r="BC76"/>
    </row>
    <row r="77" spans="1:55" s="351" customFormat="1" ht="22.5" customHeight="1">
      <c r="A77" s="33">
        <f>IF(L68="","",A76+1)</f>
        <v>17</v>
      </c>
      <c r="B77" s="1661" t="str">
        <f>'Statement of Marks'!$BP$3</f>
        <v>विज्ञान</v>
      </c>
      <c r="C77" s="1662"/>
      <c r="D77" s="26">
        <f>IFERROR(VLOOKUP(L68,'Statement of Marks'!$B$7:'Statement of Marks'!$IC$206,67,0),"")</f>
        <v>8</v>
      </c>
      <c r="E77" s="26">
        <f>IFERROR(VLOOKUP(L68,'Statement of Marks'!$B$7:'Statement of Marks'!$IC$206,68,0),"")</f>
        <v>9</v>
      </c>
      <c r="F77" s="26">
        <f>IFERROR(VLOOKUP(L68,'Statement of Marks'!$B$7:'Statement of Marks'!$IC$206,69,0),"")</f>
        <v>10</v>
      </c>
      <c r="G77" s="26">
        <f>IFERROR(VLOOKUP(L68,'Statement of Marks'!$B$7:'Statement of Marks'!$IC$206,70,0),"")</f>
        <v>27</v>
      </c>
      <c r="H77" s="26">
        <f>IFERROR(VLOOKUP(L68,'Statement of Marks'!$B$7:'Statement of Marks'!$IC$206,71,0),"")</f>
        <v>46</v>
      </c>
      <c r="I77" s="26"/>
      <c r="J77" s="347">
        <f>IF(L68="","",IF(AND(H77="",I77=""),"",SUM(H77,I77)))</f>
        <v>46</v>
      </c>
      <c r="K77" s="679">
        <f>IFERROR(IF(L68="","",IF(AND(G77="",J77=""),"",SUM(G77,J77))),"")</f>
        <v>73</v>
      </c>
      <c r="L77" s="26">
        <f>IFERROR(VLOOKUP(L68,'Statement of Marks'!$B$7:'Statement of Marks'!$IC$206,73,0),"")</f>
        <v>45</v>
      </c>
      <c r="M77" s="26"/>
      <c r="N77" s="347">
        <f>IF(L68="","",IF(AND(L77="",M77=""),"",SUM(L77,M77)))</f>
        <v>45</v>
      </c>
      <c r="O77" s="674">
        <f>IFERROR(VLOOKUP(L68,'Statement of Marks'!$B$7:'Statement of Marks'!$IC$206,74,0),"")</f>
        <v>118</v>
      </c>
      <c r="P77" s="680" t="str">
        <f>IFERROR(IF(O73="","",IF(VLOOKUP(L68,'Statement of Marks'!$B$7:'Statement of Marks'!$IC$206,212,0)="D","I",IF(VLOOKUP(L68,'Statement of Marks'!$B$7:'Statement of Marks'!$IC$206,212,0)="G1","G",IF(VLOOKUP(L68,'Statement of Marks'!$B$7:'Statement of Marks'!$IC$206,212,0)="G2","G",VLOOKUP(L68,'Statement of Marks'!$B$7:'Statement of Marks'!$IC$206,212,0))))),"")</f>
        <v>II</v>
      </c>
      <c r="Q77" s="1686"/>
      <c r="R77" s="1661" t="str">
        <f>'Statement of Marks'!$BP$3</f>
        <v>विज्ञान</v>
      </c>
      <c r="S77" s="1662"/>
      <c r="T77" s="26">
        <f>IFERROR(VLOOKUP(AB68,'Statement of Marks'!$B$7:'Statement of Marks'!$IC$206,67,0),"")</f>
        <v>8</v>
      </c>
      <c r="U77" s="26">
        <f>IFERROR(VLOOKUP(AB68,'Statement of Marks'!$B$7:'Statement of Marks'!$IC$206,68,0),"")</f>
        <v>9</v>
      </c>
      <c r="V77" s="26">
        <f>IFERROR(VLOOKUP(AB68,'Statement of Marks'!$B$7:'Statement of Marks'!$IC$206,69,0),"")</f>
        <v>10</v>
      </c>
      <c r="W77" s="26">
        <f>IFERROR(VLOOKUP(AB68,'Statement of Marks'!$B$7:'Statement of Marks'!$IC$206,70,0),"")</f>
        <v>27</v>
      </c>
      <c r="X77" s="26">
        <f>IFERROR(VLOOKUP(AB68,'Statement of Marks'!$B$7:'Statement of Marks'!$IC$206,71,0),"")</f>
        <v>46</v>
      </c>
      <c r="Y77" s="26"/>
      <c r="Z77" s="347">
        <f>IF(AB68="","",IF(AND(X77="",Y77=""),"",SUM(X77,Y77)))</f>
        <v>46</v>
      </c>
      <c r="AA77" s="679">
        <f>IFERROR(IF(AB68="","",IF(AND(W77="",Z77=""),"",SUM(W77,Z77))),"")</f>
        <v>73</v>
      </c>
      <c r="AB77" s="26">
        <f>IFERROR(VLOOKUP(AB68,'Statement of Marks'!$B$7:'Statement of Marks'!$IC$206,73,0),"")</f>
        <v>45</v>
      </c>
      <c r="AC77" s="26"/>
      <c r="AD77" s="347">
        <f>IF(AB68="","",IF(AND(AB77="",AC77=""),"",SUM(AB77,AC77)))</f>
        <v>45</v>
      </c>
      <c r="AE77" s="674">
        <f>IFERROR(VLOOKUP(AB68,'Statement of Marks'!$B$7:'Statement of Marks'!$IC$206,74,0),"")</f>
        <v>118</v>
      </c>
      <c r="AF77" s="680" t="str">
        <f>IFERROR(IF(AE73="","",IF(VLOOKUP(AB68,'Statement of Marks'!$B$7:'Statement of Marks'!$IC$206,212,0)="D","I",IF(VLOOKUP(AB68,'Statement of Marks'!$B$7:'Statement of Marks'!$IC$206,212,0)="G1","G",IF(VLOOKUP(AB68,'Statement of Marks'!$B$7:'Statement of Marks'!$IC$206,212,0)="G2","G",VLOOKUP(AB68,'Statement of Marks'!$B$7:'Statement of Marks'!$IC$206,212,0))))),"")</f>
        <v>II</v>
      </c>
      <c r="AV77"/>
      <c r="AW77"/>
      <c r="AX77"/>
      <c r="BA77"/>
      <c r="BB77"/>
      <c r="BC77"/>
    </row>
    <row r="78" spans="1:55" s="351" customFormat="1" ht="22.5" customHeight="1">
      <c r="A78" s="33">
        <f>IF(L68="","",A77+1)</f>
        <v>18</v>
      </c>
      <c r="B78" s="409" t="str">
        <f>'Statement of Marks'!$CE$3</f>
        <v>सामाजिक विज्ञान</v>
      </c>
      <c r="C78" s="412" t="str">
        <f>IF(OR(L68="",O78="",O80=""),"",IF(AND(O78&gt;=O80),"*",""))</f>
        <v/>
      </c>
      <c r="D78" s="26">
        <f>IFERROR(VLOOKUP(L68,'Statement of Marks'!$B$7:'Statement of Marks'!$IC$206,82,0),"")</f>
        <v>6</v>
      </c>
      <c r="E78" s="26">
        <f>IFERROR(VLOOKUP(L68,'Statement of Marks'!$B$7:'Statement of Marks'!$IC$206,83,0),"")</f>
        <v>6</v>
      </c>
      <c r="F78" s="26">
        <f>IFERROR(VLOOKUP(L68,'Statement of Marks'!$B$7:'Statement of Marks'!$IC$206,84,0),"")</f>
        <v>6</v>
      </c>
      <c r="G78" s="26">
        <f>IFERROR(VLOOKUP(L68,'Statement of Marks'!$B$7:'Statement of Marks'!$IC$206,85,0),"")</f>
        <v>18</v>
      </c>
      <c r="H78" s="26">
        <f>IFERROR(VLOOKUP(L68,'Statement of Marks'!$B$7:'Statement of Marks'!$IC$206,86,0),"")</f>
        <v>46</v>
      </c>
      <c r="I78" s="26"/>
      <c r="J78" s="347">
        <f>IF(L68="","",IF(AND(H78="",I78=""),"",SUM(H78,I78)))</f>
        <v>46</v>
      </c>
      <c r="K78" s="679">
        <f>IFERROR(IF(L68="","",IF(AND(G78="",J78=""),"",SUM(G78,J78))),"")</f>
        <v>64</v>
      </c>
      <c r="L78" s="26">
        <f>IFERROR(VLOOKUP(L68,'Statement of Marks'!$B$7:'Statement of Marks'!$IC$206,88,0),"")</f>
        <v>45</v>
      </c>
      <c r="M78" s="26"/>
      <c r="N78" s="347">
        <f>IF(L68="","",IF(AND(L78="",M78=""),"",SUM(L78,M78)))</f>
        <v>45</v>
      </c>
      <c r="O78" s="674">
        <f>IFERROR(VLOOKUP(L68,'Statement of Marks'!$B$7:'Statement of Marks'!$IC$206,89,0),"")</f>
        <v>109</v>
      </c>
      <c r="P78" s="680" t="str">
        <f>IFERROR(IF(O73="","",IF(VLOOKUP(L68,'Statement of Marks'!$B$7:'Statement of Marks'!$IC$206,215,0)="D","I",IF(VLOOKUP(L68,'Statement of Marks'!$B$7:'Statement of Marks'!$IC$206,215,0)="G1","G",IF(VLOOKUP(L68,'Statement of Marks'!$B$7:'Statement of Marks'!$IC$206,215,0)="G2","G",VLOOKUP(L68,'Statement of Marks'!$B$7:'Statement of Marks'!$IC$206,215,0))))),"")</f>
        <v>II</v>
      </c>
      <c r="Q78" s="1686"/>
      <c r="R78" s="409" t="str">
        <f>'Statement of Marks'!$CE$3</f>
        <v>सामाजिक विज्ञान</v>
      </c>
      <c r="S78" s="412" t="str">
        <f>IF(OR(AB68="",AE78="",AE80=""),"",IF(AND(AE78&gt;=AE80),"*",""))</f>
        <v/>
      </c>
      <c r="T78" s="26">
        <f>IFERROR(VLOOKUP(AB68,'Statement of Marks'!$B$7:'Statement of Marks'!$IC$206,82,0),"")</f>
        <v>8</v>
      </c>
      <c r="U78" s="26">
        <f>IFERROR(VLOOKUP(AB68,'Statement of Marks'!$B$7:'Statement of Marks'!$IC$206,83,0),"")</f>
        <v>8</v>
      </c>
      <c r="V78" s="26">
        <f>IFERROR(VLOOKUP(AB68,'Statement of Marks'!$B$7:'Statement of Marks'!$IC$206,84,0),"")</f>
        <v>8</v>
      </c>
      <c r="W78" s="26">
        <f>IFERROR(VLOOKUP(AB68,'Statement of Marks'!$B$7:'Statement of Marks'!$IC$206,85,0),"")</f>
        <v>24</v>
      </c>
      <c r="X78" s="26">
        <f>IFERROR(VLOOKUP(AB68,'Statement of Marks'!$B$7:'Statement of Marks'!$IC$206,86,0),"")</f>
        <v>46</v>
      </c>
      <c r="Y78" s="26"/>
      <c r="Z78" s="347">
        <f>IF(AB68="","",IF(AND(X78="",Y78=""),"",SUM(X78,Y78)))</f>
        <v>46</v>
      </c>
      <c r="AA78" s="679">
        <f>IFERROR(IF(AB68="","",IF(AND(W78="",Z78=""),"",SUM(W78,Z78))),"")</f>
        <v>70</v>
      </c>
      <c r="AB78" s="26">
        <f>IFERROR(VLOOKUP(AB68,'Statement of Marks'!$B$7:'Statement of Marks'!$IC$206,88,0),"")</f>
        <v>45</v>
      </c>
      <c r="AC78" s="26"/>
      <c r="AD78" s="347">
        <f>IF(AB68="","",IF(AND(AB78="",AC78=""),"",SUM(AB78,AC78)))</f>
        <v>45</v>
      </c>
      <c r="AE78" s="674">
        <f>IFERROR(VLOOKUP(AB68,'Statement of Marks'!$B$7:'Statement of Marks'!$IC$206,89,0),"")</f>
        <v>115</v>
      </c>
      <c r="AF78" s="680" t="str">
        <f>IFERROR(IF(AE73="","",IF(VLOOKUP(AB68,'Statement of Marks'!$B$7:'Statement of Marks'!$IC$206,215,0)="D","I",IF(VLOOKUP(AB68,'Statement of Marks'!$B$7:'Statement of Marks'!$IC$206,215,0)="G1","G",IF(VLOOKUP(AB68,'Statement of Marks'!$B$7:'Statement of Marks'!$IC$206,215,0)="G2","G",VLOOKUP(AB68,'Statement of Marks'!$B$7:'Statement of Marks'!$IC$206,215,0))))),"")</f>
        <v>II</v>
      </c>
      <c r="AV78"/>
      <c r="AW78"/>
      <c r="AX78"/>
      <c r="BA78"/>
      <c r="BB78"/>
      <c r="BC78"/>
    </row>
    <row r="79" spans="1:55" s="351" customFormat="1">
      <c r="A79" s="33">
        <f>IF(L68="","",A78+1)</f>
        <v>19</v>
      </c>
      <c r="B79" s="1663" t="str">
        <f>IF('School Profile'!$D$12="Hindi","व्यावसायिक शिक्षा","Vocational Education")</f>
        <v>व्यावसायिक शिक्षा</v>
      </c>
      <c r="C79" s="1664"/>
      <c r="D79" s="1665"/>
      <c r="E79" s="1665"/>
      <c r="F79" s="1665"/>
      <c r="G79" s="1665"/>
      <c r="H79" s="1665"/>
      <c r="I79" s="1665"/>
      <c r="J79" s="1665"/>
      <c r="K79" s="1665"/>
      <c r="L79" s="1665"/>
      <c r="M79" s="1665"/>
      <c r="N79" s="1665"/>
      <c r="O79" s="1665"/>
      <c r="P79" s="1666"/>
      <c r="Q79" s="1686"/>
      <c r="R79" s="1663" t="str">
        <f>IF('School Profile'!$D$12="Hindi","व्यावसायिक शिक्षा","Vocational Education")</f>
        <v>व्यावसायिक शिक्षा</v>
      </c>
      <c r="S79" s="1664"/>
      <c r="T79" s="1665"/>
      <c r="U79" s="1665"/>
      <c r="V79" s="1665"/>
      <c r="W79" s="1665"/>
      <c r="X79" s="1665"/>
      <c r="Y79" s="1665"/>
      <c r="Z79" s="1665"/>
      <c r="AA79" s="1665"/>
      <c r="AB79" s="1665"/>
      <c r="AC79" s="1665"/>
      <c r="AD79" s="1665"/>
      <c r="AE79" s="1665"/>
      <c r="AF79" s="1666"/>
      <c r="AV79"/>
      <c r="AW79"/>
      <c r="AX79"/>
      <c r="BA79"/>
      <c r="BB79"/>
      <c r="BC79"/>
    </row>
    <row r="80" spans="1:55" s="351" customFormat="1" ht="22.5" customHeight="1">
      <c r="A80" s="33">
        <f>IF(L68="","",A79+1)</f>
        <v>20</v>
      </c>
      <c r="B80" s="411" t="str">
        <f>IFERROR(VLOOKUP(L68,'Statement of Marks'!$B$7:'Statement of Marks'!$IC$206,96,0),"")</f>
        <v/>
      </c>
      <c r="C80" s="410" t="str">
        <f>IF(OR(L68="",O78="",O80="",B80=""),"",IF(AND(O80&gt;=O78),"*",""))</f>
        <v/>
      </c>
      <c r="D80" s="397" t="str">
        <f>IFERROR(VLOOKUP(L68,'Statement of Marks'!$B$7:'Statement of Marks'!$IC$206,97,0),"")</f>
        <v/>
      </c>
      <c r="E80" s="26" t="str">
        <f>IFERROR(VLOOKUP(L68,'Statement of Marks'!$B$7:'Statement of Marks'!$IC$206,98,0),"")</f>
        <v/>
      </c>
      <c r="F80" s="26" t="str">
        <f>IFERROR(VLOOKUP(L68,'Statement of Marks'!$B$7:'Statement of Marks'!$IC$206,99,0),"")</f>
        <v/>
      </c>
      <c r="G80" s="26" t="str">
        <f>IFERROR(VLOOKUP(L68,'Statement of Marks'!$B$7:'Statement of Marks'!$IC$206,100,0),"")</f>
        <v/>
      </c>
      <c r="H80" s="27" t="str">
        <f>IFERROR(VLOOKUP(L68,'Statement of Marks'!$B$7:'Statement of Marks'!$IC$206,101,0),"")</f>
        <v/>
      </c>
      <c r="I80" s="27" t="str">
        <f>IFERROR(VLOOKUP(L68,'Statement of Marks'!$B$7:'Statement of Marks'!$IC$206,102,0),"")</f>
        <v/>
      </c>
      <c r="J80" s="347" t="str">
        <f>IFERROR(VLOOKUP(L68,'Statement of Marks'!$B$7:'Statement of Marks'!$IC$206,103,0),"")</f>
        <v/>
      </c>
      <c r="K80" s="679" t="str">
        <f>IFERROR(IF(L68="","",IF(AND(G80="",J80=""),"",SUM(G80,J80))),"")</f>
        <v/>
      </c>
      <c r="L80" s="26" t="str">
        <f>IFERROR(VLOOKUP(L68,'Statement of Marks'!$B$7:'Statement of Marks'!$IC$206,105,0),"")</f>
        <v/>
      </c>
      <c r="M80" s="26" t="str">
        <f>IFERROR(VLOOKUP(L68,'Statement of Marks'!$B$7:'Statement of Marks'!$IC$206,106,0),"")</f>
        <v/>
      </c>
      <c r="N80" s="347" t="str">
        <f>IF(L68="","",IF(AND(L80="",M80=""),"",SUM(L80,M80)))</f>
        <v/>
      </c>
      <c r="O80" s="672" t="str">
        <f>IFERROR(VLOOKUP(L68,'Statement of Marks'!$B$7:'Statement of Marks'!$IC$206,108,0),"")</f>
        <v/>
      </c>
      <c r="P80" s="680" t="str">
        <f>IFERROR(IF(O73="","",IF(VLOOKUP(L68,'Statement of Marks'!$B$7:'Statement of Marks'!$IC$206,218,0)="D","I",IF(VLOOKUP(L68,'Statement of Marks'!$B$7:'Statement of Marks'!$IC$206,218,0)="G1","G",IF(VLOOKUP(L68,'Statement of Marks'!$B$7:'Statement of Marks'!$IC$206,218,0)="G2","G",VLOOKUP(L68,'Statement of Marks'!$B$7:'Statement of Marks'!$IC$206,218,0))))),"")</f>
        <v/>
      </c>
      <c r="Q80" s="1686"/>
      <c r="R80" s="411" t="str">
        <f>IFERROR(VLOOKUP(AB68,'Statement of Marks'!$B$7:'Statement of Marks'!$IC$206,96,0),"")</f>
        <v/>
      </c>
      <c r="S80" s="410" t="str">
        <f>IF(OR(AB68="",AE78="",AE80="",R80=""),"",IF(AND(AE80&gt;=AE78),"*",""))</f>
        <v/>
      </c>
      <c r="T80" s="397" t="str">
        <f>IFERROR(VLOOKUP(AB68,'Statement of Marks'!$B$7:'Statement of Marks'!$IC$206,97,0),"")</f>
        <v/>
      </c>
      <c r="U80" s="26" t="str">
        <f>IFERROR(VLOOKUP(AB68,'Statement of Marks'!$B$7:'Statement of Marks'!$IC$206,98,0),"")</f>
        <v/>
      </c>
      <c r="V80" s="26" t="str">
        <f>IFERROR(VLOOKUP(AB68,'Statement of Marks'!$B$7:'Statement of Marks'!$IC$206,99,0),"")</f>
        <v/>
      </c>
      <c r="W80" s="26" t="str">
        <f>IFERROR(VLOOKUP(AB68,'Statement of Marks'!$B$7:'Statement of Marks'!$IC$206,100,0),"")</f>
        <v/>
      </c>
      <c r="X80" s="27" t="str">
        <f>IFERROR(VLOOKUP(AB68,'Statement of Marks'!$B$7:'Statement of Marks'!$IC$206,101,0),"")</f>
        <v/>
      </c>
      <c r="Y80" s="27" t="str">
        <f>IFERROR(VLOOKUP(AB68,'Statement of Marks'!$B$7:'Statement of Marks'!$IC$206,102,0),"")</f>
        <v/>
      </c>
      <c r="Z80" s="347" t="str">
        <f>IFERROR(VLOOKUP(AB68,'Statement of Marks'!$B$7:'Statement of Marks'!$IC$206,103,0),"")</f>
        <v/>
      </c>
      <c r="AA80" s="679" t="str">
        <f>IFERROR(IF(AB68="","",IF(AND(W80="",Z80=""),"",SUM(W80,Z80))),"")</f>
        <v/>
      </c>
      <c r="AB80" s="26" t="str">
        <f>IFERROR(VLOOKUP(AB68,'Statement of Marks'!$B$7:'Statement of Marks'!$IC$206,105,0),"")</f>
        <v/>
      </c>
      <c r="AC80" s="26" t="str">
        <f>IFERROR(VLOOKUP(AB68,'Statement of Marks'!$B$7:'Statement of Marks'!$IC$206,106,0),"")</f>
        <v/>
      </c>
      <c r="AD80" s="347" t="str">
        <f>IF(AB68="","",IF(AND(AB80="",AC80=""),"",SUM(AB80,AC80)))</f>
        <v/>
      </c>
      <c r="AE80" s="672" t="str">
        <f>IFERROR(VLOOKUP(AB68,'Statement of Marks'!$B$7:'Statement of Marks'!$IC$206,108,0),"")</f>
        <v/>
      </c>
      <c r="AF80" s="680" t="str">
        <f>IFERROR(IF(AE73="","",IF(VLOOKUP(AB68,'Statement of Marks'!$B$7:'Statement of Marks'!$IC$206,218,0)="D","I",IF(VLOOKUP(AB68,'Statement of Marks'!$B$7:'Statement of Marks'!$IC$206,218,0)="G1","G",IF(VLOOKUP(AB68,'Statement of Marks'!$B$7:'Statement of Marks'!$IC$206,218,0)="G2","G",VLOOKUP(AB68,'Statement of Marks'!$B$7:'Statement of Marks'!$IC$206,218,0))))),"")</f>
        <v/>
      </c>
      <c r="AV80"/>
      <c r="AW80"/>
      <c r="AX80"/>
      <c r="BA80"/>
      <c r="BB80"/>
      <c r="BC80"/>
    </row>
    <row r="81" spans="1:55" s="351" customFormat="1" ht="25.5" customHeight="1">
      <c r="A81" s="33">
        <f>IF(L68="","",A80+1)</f>
        <v>21</v>
      </c>
      <c r="B81" s="1667"/>
      <c r="C81" s="1668"/>
      <c r="D81" s="1669"/>
      <c r="E81" s="1669"/>
      <c r="F81" s="1669"/>
      <c r="G81" s="1669"/>
      <c r="H81" s="1669"/>
      <c r="I81" s="1669"/>
      <c r="J81" s="1669"/>
      <c r="K81" s="1669"/>
      <c r="L81" s="1670" t="str">
        <f>IF('School Profile'!$D$12="Hindi","महायोग :","Grand Total :")</f>
        <v>महायोग :</v>
      </c>
      <c r="M81" s="1671"/>
      <c r="N81" s="1671"/>
      <c r="O81" s="1672">
        <f>IF(OR(L68="",C66=""),"",IF(OR(B80="",O80=""),SUM(O73,O74,O75,O76,O77,O78),IF((O78/O72*100)&gt;=(O80/O72*100),SUM(O73:O78),SUM(O73,O74,O75,O76,O77,O80))))</f>
        <v>729</v>
      </c>
      <c r="P81" s="1673"/>
      <c r="Q81" s="1686"/>
      <c r="R81" s="1667"/>
      <c r="S81" s="1668"/>
      <c r="T81" s="1669"/>
      <c r="U81" s="1669"/>
      <c r="V81" s="1669"/>
      <c r="W81" s="1669"/>
      <c r="X81" s="1669"/>
      <c r="Y81" s="1669"/>
      <c r="Z81" s="1669"/>
      <c r="AA81" s="1669"/>
      <c r="AB81" s="1670" t="str">
        <f>IF('School Profile'!$D$12="Hindi","महायोग :","Grand Total :")</f>
        <v>महायोग :</v>
      </c>
      <c r="AC81" s="1671"/>
      <c r="AD81" s="1671"/>
      <c r="AE81" s="1672">
        <f>IF(OR(AB68="",S66=""),"",IF(OR(R80="",AE80=""),SUM(AE73,AE74,AE75,AE76,AE77,AE78),IF((AE78/AE72*100)&gt;=(AE80/AE72*100),SUM(AE73:AE78),SUM(AE73,AE74,AE75,AE76,AE77,AE80))))</f>
        <v>777</v>
      </c>
      <c r="AF81" s="1673"/>
      <c r="AV81"/>
      <c r="AW81"/>
      <c r="AX81"/>
      <c r="BA81"/>
      <c r="BB81"/>
      <c r="BC81"/>
    </row>
    <row r="82" spans="1:55" s="351" customFormat="1" ht="25.5" customHeight="1">
      <c r="A82" s="33">
        <f>IF(L68="","",A81+1)</f>
        <v>22</v>
      </c>
      <c r="B82" s="1647" t="str">
        <f>'Statement of Marks'!$DZ$208</f>
        <v>राजस्थान का स्वंत्रता आन्दोलन व शोर्य परम्परा</v>
      </c>
      <c r="C82" s="1648"/>
      <c r="D82" s="1649" t="s">
        <v>148</v>
      </c>
      <c r="E82" s="1650"/>
      <c r="F82" s="355">
        <f>IFERROR(VLOOKUP(L68,'Statement of Marks'!$B$7:'Statement of Marks'!$IC$206,136,0),"")</f>
        <v>184</v>
      </c>
      <c r="G82" s="356" t="s">
        <v>134</v>
      </c>
      <c r="H82" s="355" t="str">
        <f>IFERROR(VLOOKUP(L68,'Statement of Marks'!$B$7:'Statement of Marks'!$IC$206,137,0),"")</f>
        <v>A</v>
      </c>
      <c r="I82" s="1651" t="str">
        <f>'Statement of Marks'!$EL$208</f>
        <v>सूचना प्रोद्योगिकी की अवधारणा - I</v>
      </c>
      <c r="J82" s="1652"/>
      <c r="K82" s="1652"/>
      <c r="L82" s="1653"/>
      <c r="M82" s="354" t="s">
        <v>148</v>
      </c>
      <c r="N82" s="355">
        <f>IFERROR(VLOOKUP(L68,'Statement of Marks'!$B$7:'Statement of Marks'!$IC$206,152,0),"")</f>
        <v>177</v>
      </c>
      <c r="O82" s="356" t="s">
        <v>134</v>
      </c>
      <c r="P82" s="355" t="str">
        <f>IFERROR(VLOOKUP(L68,'Statement of Marks'!$B$7:'Statement of Marks'!$IC$206,153,0),"")</f>
        <v>A</v>
      </c>
      <c r="Q82" s="1686"/>
      <c r="R82" s="1647" t="str">
        <f>'Statement of Marks'!$DZ$208</f>
        <v>राजस्थान का स्वंत्रता आन्दोलन व शोर्य परम्परा</v>
      </c>
      <c r="S82" s="1648"/>
      <c r="T82" s="1649" t="s">
        <v>148</v>
      </c>
      <c r="U82" s="1650"/>
      <c r="V82" s="355">
        <f>IFERROR(VLOOKUP(AB68,'Statement of Marks'!$B$7:'Statement of Marks'!$IC$206,136,0),"")</f>
        <v>184</v>
      </c>
      <c r="W82" s="356" t="s">
        <v>134</v>
      </c>
      <c r="X82" s="355" t="str">
        <f>IFERROR(VLOOKUP(AB68,'Statement of Marks'!$B$7:'Statement of Marks'!$IC$206,137,0),"")</f>
        <v>A</v>
      </c>
      <c r="Y82" s="1651" t="str">
        <f>'Statement of Marks'!$EL$208</f>
        <v>सूचना प्रोद्योगिकी की अवधारणा - I</v>
      </c>
      <c r="Z82" s="1652"/>
      <c r="AA82" s="1652"/>
      <c r="AB82" s="1653"/>
      <c r="AC82" s="354" t="s">
        <v>148</v>
      </c>
      <c r="AD82" s="355">
        <f>IFERROR(VLOOKUP(AB68,'Statement of Marks'!$B$7:'Statement of Marks'!$IC$206,152,0),"")</f>
        <v>172</v>
      </c>
      <c r="AE82" s="356" t="s">
        <v>134</v>
      </c>
      <c r="AF82" s="355" t="str">
        <f>IFERROR(VLOOKUP(AB68,'Statement of Marks'!$B$7:'Statement of Marks'!$IC$206,153,0),"")</f>
        <v>A</v>
      </c>
      <c r="AV82"/>
      <c r="AW82"/>
      <c r="AX82"/>
      <c r="BA82"/>
      <c r="BB82"/>
      <c r="BC82"/>
    </row>
    <row r="83" spans="1:55" s="351" customFormat="1" ht="25.5" customHeight="1">
      <c r="A83" s="33">
        <f>IF(L68="","",A82+1)</f>
        <v>23</v>
      </c>
      <c r="B83" s="1654" t="str">
        <f>'Statement of Marks'!$FB$208</f>
        <v>स्वा. एवं शा. शिक्षा</v>
      </c>
      <c r="C83" s="1655"/>
      <c r="D83" s="1656" t="s">
        <v>148</v>
      </c>
      <c r="E83" s="1657"/>
      <c r="F83" s="355">
        <f>IFERROR(VLOOKUP(L68,'Statement of Marks'!$B$7:'Statement of Marks'!$IC$206,171,0),"")</f>
        <v>173</v>
      </c>
      <c r="G83" s="356" t="s">
        <v>134</v>
      </c>
      <c r="H83" s="355" t="str">
        <f>IFERROR(VLOOKUP(L68,'Statement of Marks'!$B$7:'Statement of Marks'!$IC$206,172,0),"")</f>
        <v>A</v>
      </c>
      <c r="I83" s="1658" t="str">
        <f>'Statement of Marks'!$FJ$208</f>
        <v>समाजोपयोगी उत्पादन कार्य एवं समाज सेवा</v>
      </c>
      <c r="J83" s="1659"/>
      <c r="K83" s="1659"/>
      <c r="L83" s="1660"/>
      <c r="M83" s="403" t="s">
        <v>148</v>
      </c>
      <c r="N83" s="404">
        <f>IFERROR(VLOOKUP(L68,'Statement of Marks'!$B$7:'Statement of Marks'!$IC$206,179,0),"")</f>
        <v>87</v>
      </c>
      <c r="O83" s="405" t="s">
        <v>134</v>
      </c>
      <c r="P83" s="404" t="str">
        <f>IFERROR(VLOOKUP(L68,'Statement of Marks'!$B$7:'Statement of Marks'!$IC$206,180,0),"")</f>
        <v>A</v>
      </c>
      <c r="Q83" s="1686"/>
      <c r="R83" s="1654" t="str">
        <f>'Statement of Marks'!$FB$208</f>
        <v>स्वा. एवं शा. शिक्षा</v>
      </c>
      <c r="S83" s="1655"/>
      <c r="T83" s="1656" t="s">
        <v>148</v>
      </c>
      <c r="U83" s="1657"/>
      <c r="V83" s="355">
        <f>IFERROR(VLOOKUP(AB68,'Statement of Marks'!$B$7:'Statement of Marks'!$IC$206,171,0),"")</f>
        <v>178</v>
      </c>
      <c r="W83" s="356" t="s">
        <v>134</v>
      </c>
      <c r="X83" s="355" t="str">
        <f>IFERROR(VLOOKUP(AB68,'Statement of Marks'!$B$7:'Statement of Marks'!$IC$206,172,0),"")</f>
        <v>A</v>
      </c>
      <c r="Y83" s="1658" t="str">
        <f>'Statement of Marks'!$FJ$208</f>
        <v>समाजोपयोगी उत्पादन कार्य एवं समाज सेवा</v>
      </c>
      <c r="Z83" s="1659"/>
      <c r="AA83" s="1659"/>
      <c r="AB83" s="1660"/>
      <c r="AC83" s="403" t="s">
        <v>148</v>
      </c>
      <c r="AD83" s="404">
        <f>IFERROR(VLOOKUP(AB68,'Statement of Marks'!$B$7:'Statement of Marks'!$IC$206,179,0),"")</f>
        <v>80</v>
      </c>
      <c r="AE83" s="405" t="s">
        <v>134</v>
      </c>
      <c r="AF83" s="404" t="str">
        <f>IFERROR(VLOOKUP(AB68,'Statement of Marks'!$B$7:'Statement of Marks'!$IC$206,180,0),"")</f>
        <v>B</v>
      </c>
      <c r="AV83"/>
      <c r="AW83"/>
      <c r="AX83"/>
      <c r="BA83"/>
      <c r="BB83"/>
      <c r="BC83"/>
    </row>
    <row r="84" spans="1:55" s="351" customFormat="1" ht="30" customHeight="1">
      <c r="A84" s="33">
        <f>IF(L68="","",A83+1)</f>
        <v>24</v>
      </c>
      <c r="B84" s="1626" t="str">
        <f>'Statement of Marks'!$FU$208</f>
        <v>कला शिक्षा</v>
      </c>
      <c r="C84" s="1627"/>
      <c r="D84" s="1628" t="s">
        <v>148</v>
      </c>
      <c r="E84" s="1629"/>
      <c r="F84" s="404">
        <f>IFERROR(VLOOKUP(L68,'Statement of Marks'!$B$7:'Statement of Marks'!$IC$206,187,0),"")</f>
        <v>91</v>
      </c>
      <c r="G84" s="405" t="s">
        <v>134</v>
      </c>
      <c r="H84" s="355" t="str">
        <f>IFERROR(VLOOKUP(L68,'Statement of Marks'!$B$7:'Statement of Marks'!$IC$206,188,0),"")</f>
        <v>A</v>
      </c>
      <c r="I84" s="1630" t="str">
        <f>IF('School Profile'!$D$12="Hindi","परीक्षा परिणाम घोषित दिनांक :-","Date of Result declaration :-")</f>
        <v>परीक्षा परिणाम घोषित दिनांक :-</v>
      </c>
      <c r="J84" s="1631"/>
      <c r="K84" s="1631"/>
      <c r="L84" s="1632"/>
      <c r="M84" s="1633">
        <f>IF(AND(L68=""),"",IF('School Profile'!$D$11="","",'School Profile'!$D$11))</f>
        <v>46106</v>
      </c>
      <c r="N84" s="1634"/>
      <c r="O84" s="690" t="str">
        <f>IF('School Profile'!$D$12="Hindi","श्रेणी","Division")</f>
        <v>श्रेणी</v>
      </c>
      <c r="P84" s="407" t="str">
        <f>IFERROR(VLOOKUP(L68,'Statement of Marks'!$B$7:'Statement of Marks'!$IC$206,229,0),"")</f>
        <v>1st</v>
      </c>
      <c r="Q84" s="1686"/>
      <c r="R84" s="1626" t="str">
        <f>'Statement of Marks'!$FU$208</f>
        <v>कला शिक्षा</v>
      </c>
      <c r="S84" s="1627"/>
      <c r="T84" s="1628" t="s">
        <v>148</v>
      </c>
      <c r="U84" s="1629"/>
      <c r="V84" s="404">
        <f>IFERROR(VLOOKUP(AB68,'Statement of Marks'!$B$7:'Statement of Marks'!$IC$206,187,0),"")</f>
        <v>85</v>
      </c>
      <c r="W84" s="405" t="s">
        <v>134</v>
      </c>
      <c r="X84" s="355" t="str">
        <f>IFERROR(VLOOKUP(AB68,'Statement of Marks'!$B$7:'Statement of Marks'!$IC$206,188,0),"")</f>
        <v>A</v>
      </c>
      <c r="Y84" s="1630" t="str">
        <f>IF('School Profile'!$D$12="Hindi","परीक्षा परिणाम घोषित दिनांक :-","Date of Result declaration :-")</f>
        <v>परीक्षा परिणाम घोषित दिनांक :-</v>
      </c>
      <c r="Z84" s="1631"/>
      <c r="AA84" s="1631"/>
      <c r="AB84" s="1632"/>
      <c r="AC84" s="1633">
        <f>IF(AND(AB68=""),"",IF('School Profile'!$D$11="","",'School Profile'!$D$11))</f>
        <v>46106</v>
      </c>
      <c r="AD84" s="1634"/>
      <c r="AE84" s="690" t="str">
        <f>IF('School Profile'!$D$12="Hindi","श्रेणी","Division")</f>
        <v>श्रेणी</v>
      </c>
      <c r="AF84" s="407" t="str">
        <f>IFERROR(VLOOKUP(AB68,'Statement of Marks'!$B$7:'Statement of Marks'!$IC$206,229,0),"")</f>
        <v>1st</v>
      </c>
      <c r="AV84"/>
      <c r="AW84"/>
      <c r="AX84"/>
      <c r="BA84"/>
      <c r="BB84"/>
      <c r="BC84"/>
    </row>
    <row r="85" spans="1:55" s="351" customFormat="1" ht="29.25" customHeight="1">
      <c r="A85" s="33">
        <f>IF(L68="","",A84+1)</f>
        <v>25</v>
      </c>
      <c r="B85" s="1635" t="s">
        <v>143</v>
      </c>
      <c r="C85" s="1636"/>
      <c r="D85" s="1637" t="str">
        <f>IFERROR(VLOOKUP(L68,'Statement of Marks'!$B$7:'Statement of Marks'!$IC$206,192,0),"")</f>
        <v/>
      </c>
      <c r="E85" s="1638"/>
      <c r="F85" s="1639" t="s">
        <v>76</v>
      </c>
      <c r="G85" s="1640"/>
      <c r="H85" s="406" t="str">
        <f>IFERROR(VLOOKUP(L68,'Statement of Marks'!$B$7:'Statement of Marks'!$IC$206,193,0),"")</f>
        <v/>
      </c>
      <c r="I85" s="1641" t="s">
        <v>135</v>
      </c>
      <c r="J85" s="1642"/>
      <c r="K85" s="1643">
        <f>IFERROR(IF(OR(O81="",L68=""),"",VLOOKUP(L68,'Statement of Marks'!$B$7:'Statement of Marks'!$IC$206,230,0)),"")</f>
        <v>60.75</v>
      </c>
      <c r="L85" s="1644"/>
      <c r="M85" s="1645" t="s">
        <v>144</v>
      </c>
      <c r="N85" s="1646"/>
      <c r="O85" s="1646"/>
      <c r="P85" s="408">
        <f>IFERROR(VLOOKUP(L68,'Statement of Marks'!$B$7:'Statement of Marks'!$IC$206,231,0),"")</f>
        <v>11.000000000000082</v>
      </c>
      <c r="Q85" s="1686"/>
      <c r="R85" s="1635" t="s">
        <v>143</v>
      </c>
      <c r="S85" s="1636"/>
      <c r="T85" s="1637" t="str">
        <f>IFERROR(VLOOKUP(AB68,'Statement of Marks'!$B$7:'Statement of Marks'!$IC$206,192,0),"")</f>
        <v/>
      </c>
      <c r="U85" s="1638"/>
      <c r="V85" s="1639" t="s">
        <v>76</v>
      </c>
      <c r="W85" s="1640"/>
      <c r="X85" s="406" t="str">
        <f>IFERROR(VLOOKUP(AB68,'Statement of Marks'!$B$7:'Statement of Marks'!$IC$206,193,0),"")</f>
        <v/>
      </c>
      <c r="Y85" s="1641" t="s">
        <v>135</v>
      </c>
      <c r="Z85" s="1642"/>
      <c r="AA85" s="1643">
        <f>IFERROR(IF(OR(AE81="",AB68=""),"",VLOOKUP(AB68,'Statement of Marks'!$B$7:'Statement of Marks'!$IC$206,230,0)),"")</f>
        <v>65.294117647058826</v>
      </c>
      <c r="AB85" s="1644"/>
      <c r="AC85" s="1645" t="s">
        <v>144</v>
      </c>
      <c r="AD85" s="1646"/>
      <c r="AE85" s="1646"/>
      <c r="AF85" s="408">
        <f>IFERROR(VLOOKUP(AB68,'Statement of Marks'!$B$7:'Statement of Marks'!$IC$206,231,0),"")</f>
        <v>4.0000000000000018</v>
      </c>
      <c r="AV85"/>
      <c r="AW85"/>
      <c r="AX85"/>
      <c r="BA85"/>
      <c r="BB85"/>
      <c r="BC85"/>
    </row>
    <row r="86" spans="1:55" s="351" customFormat="1" ht="27.75" customHeight="1">
      <c r="A86" s="33">
        <f>IF(L68="","",A85+1)</f>
        <v>26</v>
      </c>
      <c r="B86" s="1616" t="str">
        <f>IF('School Profile'!$D$12="Hindi","मुख्य परीक्षा परिणाम ","Main Exam Result")</f>
        <v xml:space="preserve">मुख्य परीक्षा परिणाम </v>
      </c>
      <c r="C86" s="1616"/>
      <c r="D86" s="1617"/>
      <c r="E86" s="1617"/>
      <c r="F86" s="1617"/>
      <c r="G86" s="1617" t="str">
        <f>IF('School Profile'!$D$12="Hindi","विशेष योग्यता प्राप्त विषय","Subjects Of Dictation Marks")</f>
        <v>विशेष योग्यता प्राप्त विषय</v>
      </c>
      <c r="H86" s="1617"/>
      <c r="I86" s="1617"/>
      <c r="J86" s="1617"/>
      <c r="K86" s="1617"/>
      <c r="L86" s="1618" t="str">
        <f>IF('School Profile'!$D$12="Hindi","पूरक विषय","Supplementary Subject")</f>
        <v>पूरक विषय</v>
      </c>
      <c r="M86" s="1619"/>
      <c r="N86" s="1619"/>
      <c r="O86" s="1619"/>
      <c r="P86" s="1620"/>
      <c r="Q86" s="1686"/>
      <c r="R86" s="1616" t="str">
        <f>IF('School Profile'!$D$12="Hindi","मुख्य परीक्षा परिणाम ","Main Exam Result")</f>
        <v xml:space="preserve">मुख्य परीक्षा परिणाम </v>
      </c>
      <c r="S86" s="1616"/>
      <c r="T86" s="1617"/>
      <c r="U86" s="1617"/>
      <c r="V86" s="1617"/>
      <c r="W86" s="1617" t="str">
        <f>IF('School Profile'!$D$12="Hindi","विशेष योग्यता प्राप्त विषय","Subjects Of Dictation Marks")</f>
        <v>विशेष योग्यता प्राप्त विषय</v>
      </c>
      <c r="X86" s="1617"/>
      <c r="Y86" s="1617"/>
      <c r="Z86" s="1617"/>
      <c r="AA86" s="1617"/>
      <c r="AB86" s="1618" t="str">
        <f>IF('School Profile'!$D$12="Hindi","पूरक विषय","Supplementary Subject")</f>
        <v>पूरक विषय</v>
      </c>
      <c r="AC86" s="1619"/>
      <c r="AD86" s="1619"/>
      <c r="AE86" s="1619"/>
      <c r="AF86" s="1620"/>
      <c r="AV86"/>
      <c r="AW86"/>
      <c r="AX86"/>
      <c r="BA86"/>
      <c r="BB86"/>
      <c r="BC86"/>
    </row>
    <row r="87" spans="1:55" s="351" customFormat="1" ht="42.75" customHeight="1">
      <c r="A87" s="33">
        <f>IF(L68="","",A86+1)</f>
        <v>27</v>
      </c>
      <c r="B87" s="1621" t="str">
        <f>IFERROR(IF(VLOOKUP(L68,'Statement of Marks'!$B$7:'Statement of Marks'!$IC$206,226,0)="By Grace Pass","By Grace Pass and Promoted to Class 10th",IF(VLOOKUP(L68,'Statement of Marks'!$B$7:'Statement of Marks'!$IC$206,226,0)="PASS","PASS  and Promoted to Class 10th",IF(VLOOKUP(L68,'Statement of Marks'!$B$7:'Statement of Marks'!$IC$206,226,0)="SUPPLEMENTARY","Supplementary",IF(VLOOKUP(L68,'Statement of Marks'!$B$7:'Statement of Marks'!$IC$206,226,0)="Re-Exam","RE-EXAM",IF(VLOOKUP(L68,'Statement of Marks'!$B$7:'Statement of Marks'!$IC$206,226,0)="FAIL","FAIL",""))))),"")</f>
        <v>PASS  and Promoted to Class 10th</v>
      </c>
      <c r="C87" s="1621"/>
      <c r="D87" s="1621"/>
      <c r="E87" s="1621"/>
      <c r="F87" s="1621"/>
      <c r="G87" s="1622" t="str">
        <f>IFERROR(VLOOKUP(L68,'Statement of Marks'!$B$7:'Statement of Marks'!$IC$206,225,0),"")</f>
        <v xml:space="preserve">      </v>
      </c>
      <c r="H87" s="1622"/>
      <c r="I87" s="1622"/>
      <c r="J87" s="1622"/>
      <c r="K87" s="1622"/>
      <c r="L87" s="1623" t="str">
        <f>IFERROR(VLOOKUP(L68,'Statement of Marks'!$B$7:'Statement of Marks'!$IC$206,222,0),"")</f>
        <v xml:space="preserve">      </v>
      </c>
      <c r="M87" s="1624"/>
      <c r="N87" s="1624"/>
      <c r="O87" s="1624"/>
      <c r="P87" s="1625"/>
      <c r="Q87" s="1686"/>
      <c r="R87" s="1621" t="str">
        <f>IFERROR(IF(VLOOKUP(AB68,'Statement of Marks'!$B$7:'Statement of Marks'!$IC$206,226,0)="By Grace Pass","By Grace Pass and Promoted to Class 10th",IF(VLOOKUP(AB68,'Statement of Marks'!$B$7:'Statement of Marks'!$IC$206,226,0)="PASS","PASS  and Promoted to Class 10th",IF(VLOOKUP(AB68,'Statement of Marks'!$B$7:'Statement of Marks'!$IC$206,226,0)="SUPPLEMENTARY","Supplementary",IF(VLOOKUP(AB68,'Statement of Marks'!$B$7:'Statement of Marks'!$IC$206,226,0)="Re-Exam","RE-EXAM",IF(VLOOKUP(AB68,'Statement of Marks'!$B$7:'Statement of Marks'!$IC$206,226,0)="FAIL","FAIL",""))))),"")</f>
        <v>PASS  and Promoted to Class 10th</v>
      </c>
      <c r="S87" s="1621"/>
      <c r="T87" s="1621"/>
      <c r="U87" s="1621"/>
      <c r="V87" s="1621"/>
      <c r="W87" s="1622" t="str">
        <f>IFERROR(VLOOKUP(AB68,'Statement of Marks'!$B$7:'Statement of Marks'!$IC$206,225,0),"")</f>
        <v xml:space="preserve"> अंग्रेजी     </v>
      </c>
      <c r="X87" s="1622"/>
      <c r="Y87" s="1622"/>
      <c r="Z87" s="1622"/>
      <c r="AA87" s="1622"/>
      <c r="AB87" s="1623" t="str">
        <f>IFERROR(VLOOKUP(AB68,'Statement of Marks'!$B$7:'Statement of Marks'!$IC$206,222,0),"")</f>
        <v xml:space="preserve">      </v>
      </c>
      <c r="AC87" s="1624"/>
      <c r="AD87" s="1624"/>
      <c r="AE87" s="1624"/>
      <c r="AF87" s="1625"/>
      <c r="AV87"/>
      <c r="AW87"/>
      <c r="AX87"/>
      <c r="BA87"/>
      <c r="BB87"/>
      <c r="BC87"/>
    </row>
    <row r="88" spans="1:55" s="351" customFormat="1" ht="52.5" customHeight="1">
      <c r="A88" s="33">
        <f>IF(L68="","",A87+1)</f>
        <v>28</v>
      </c>
      <c r="B88" s="1612" t="str">
        <f>IF(AND(L68=""),"",CONCATENATE("(",'School Profile'!$D$18," )"))</f>
        <v>(Yogesh )</v>
      </c>
      <c r="C88" s="1612"/>
      <c r="D88" s="1612"/>
      <c r="E88" s="1612"/>
      <c r="F88" s="1612"/>
      <c r="G88" s="1613" t="str">
        <f>IF(AND(L68=""),"",CONCATENATE("( ",'School Profile'!$D$15," )"))</f>
        <v>( Heeralal Jat )</v>
      </c>
      <c r="H88" s="1613"/>
      <c r="I88" s="1613"/>
      <c r="J88" s="1613"/>
      <c r="K88" s="1614" t="str">
        <f>IF(AND(L68=""),"",CONCATENATE("( ",'School Profile'!$D$14," )"))</f>
        <v>( Dewanand )</v>
      </c>
      <c r="L88" s="1614"/>
      <c r="M88" s="1614"/>
      <c r="N88" s="1614"/>
      <c r="O88" s="1614"/>
      <c r="P88" s="1614"/>
      <c r="Q88" s="1686"/>
      <c r="R88" s="1612" t="str">
        <f>IF(AND(AB68=""),"",CONCATENATE("(",'School Profile'!$D$18," )"))</f>
        <v>(Yogesh )</v>
      </c>
      <c r="S88" s="1612"/>
      <c r="T88" s="1612"/>
      <c r="U88" s="1612"/>
      <c r="V88" s="1612"/>
      <c r="W88" s="1613" t="str">
        <f>IF(AND(AB68=""),"",CONCATENATE("( ",'School Profile'!$D$15," )"))</f>
        <v>( Heeralal Jat )</v>
      </c>
      <c r="X88" s="1613"/>
      <c r="Y88" s="1613"/>
      <c r="Z88" s="1613"/>
      <c r="AA88" s="1614" t="str">
        <f>IF(AND(AB68=""),"",CONCATENATE("( ",'School Profile'!$D$14," )"))</f>
        <v>( Dewanand )</v>
      </c>
      <c r="AB88" s="1614"/>
      <c r="AC88" s="1614"/>
      <c r="AD88" s="1614"/>
      <c r="AE88" s="1614"/>
      <c r="AF88" s="1614"/>
      <c r="AV88"/>
      <c r="AW88"/>
      <c r="AX88"/>
      <c r="BA88"/>
      <c r="BB88"/>
      <c r="BC88"/>
    </row>
    <row r="89" spans="1:55" s="351" customFormat="1" ht="24.75" customHeight="1">
      <c r="A89" s="33">
        <f>IF(L68="","",A88+1)</f>
        <v>29</v>
      </c>
      <c r="B89" s="1615" t="str">
        <f>IF('School Profile'!$D$12="Hindi","हस्ताक्षर कक्षाध्यापक","Signature of the class teacher")</f>
        <v>हस्ताक्षर कक्षाध्यापक</v>
      </c>
      <c r="C89" s="1615"/>
      <c r="D89" s="1615"/>
      <c r="E89" s="1615"/>
      <c r="F89" s="1615"/>
      <c r="G89" s="1615" t="str">
        <f>IF('School Profile'!$D$12="Hindi","हस्ताक्षर परीक्षा प्रभारी","Signature of the exam. Incharge")</f>
        <v>हस्ताक्षर परीक्षा प्रभारी</v>
      </c>
      <c r="H89" s="1615"/>
      <c r="I89" s="1615"/>
      <c r="J89" s="1615"/>
      <c r="K89" s="1615" t="str">
        <f>IF('School Profile'!$D$12="Hindi","हस्ताक्षर मय सील मोहर संस्था प्रधान","Signature &amp; Seal of the Head of the Institution")</f>
        <v>हस्ताक्षर मय सील मोहर संस्था प्रधान</v>
      </c>
      <c r="L89" s="1615"/>
      <c r="M89" s="1615"/>
      <c r="N89" s="1615"/>
      <c r="O89" s="1615"/>
      <c r="P89" s="1615"/>
      <c r="Q89" s="1686"/>
      <c r="R89" s="1615" t="str">
        <f>IF('School Profile'!$D$12="Hindi","हस्ताक्षर कक्षाध्यापक","Signature of the class teacher")</f>
        <v>हस्ताक्षर कक्षाध्यापक</v>
      </c>
      <c r="S89" s="1615"/>
      <c r="T89" s="1615"/>
      <c r="U89" s="1615"/>
      <c r="V89" s="1615"/>
      <c r="W89" s="1615" t="str">
        <f>IF('School Profile'!$D$12="Hindi","हस्ताक्षर परीक्षा प्रभारी","Signature of the exam. Incharge")</f>
        <v>हस्ताक्षर परीक्षा प्रभारी</v>
      </c>
      <c r="X89" s="1615"/>
      <c r="Y89" s="1615"/>
      <c r="Z89" s="1615"/>
      <c r="AA89" s="1615" t="str">
        <f>IF('School Profile'!$D$12="Hindi","हस्ताक्षर मय सील मोहर संस्था प्रधान","Signature &amp; Seal of the Head of the Institution")</f>
        <v>हस्ताक्षर मय सील मोहर संस्था प्रधान</v>
      </c>
      <c r="AB89" s="1615"/>
      <c r="AC89" s="1615"/>
      <c r="AD89" s="1615"/>
      <c r="AE89" s="1615"/>
      <c r="AF89" s="1615"/>
      <c r="AV89"/>
      <c r="AW89"/>
      <c r="AX89"/>
      <c r="BA89"/>
      <c r="BB89"/>
      <c r="BC89"/>
    </row>
    <row r="91" spans="1:55" s="6" customFormat="1" ht="22.5" customHeight="1">
      <c r="A91" s="33">
        <f>IF(L98="","",1)</f>
        <v>1</v>
      </c>
      <c r="B91" s="28"/>
      <c r="C91" s="28"/>
      <c r="D91" s="1557" t="str">
        <f>IF('School Profile'!$D$12="Hindi","वार्षिक रिपोर्ट कार्ड ","Report Card")</f>
        <v xml:space="preserve">वार्षिक रिपोर्ट कार्ड </v>
      </c>
      <c r="E91" s="1557"/>
      <c r="F91" s="1557"/>
      <c r="G91" s="1557"/>
      <c r="H91" s="1557"/>
      <c r="I91" s="1557"/>
      <c r="J91" s="1557"/>
      <c r="K91" s="1557"/>
      <c r="L91" s="1557"/>
      <c r="M91" s="1557"/>
      <c r="N91" s="1557"/>
      <c r="O91" s="349"/>
      <c r="P91" s="349"/>
      <c r="Q91" s="1686" t="s">
        <v>77</v>
      </c>
      <c r="R91" s="28"/>
      <c r="S91" s="28"/>
      <c r="T91" s="1557" t="str">
        <f>IF('School Profile'!$D$12="Hindi","वार्षिक रिपोर्ट कार्ड ","Report Card")</f>
        <v xml:space="preserve">वार्षिक रिपोर्ट कार्ड </v>
      </c>
      <c r="U91" s="1557"/>
      <c r="V91" s="1557"/>
      <c r="W91" s="1557"/>
      <c r="X91" s="1557"/>
      <c r="Y91" s="1557"/>
      <c r="Z91" s="1557"/>
      <c r="AA91" s="1557"/>
      <c r="AB91" s="1557"/>
      <c r="AC91" s="1557"/>
      <c r="AD91" s="1557"/>
      <c r="AE91" s="349"/>
      <c r="AF91" s="349"/>
      <c r="AV91"/>
      <c r="AW91"/>
      <c r="AX91"/>
      <c r="BA91"/>
      <c r="BB91"/>
      <c r="BC91"/>
    </row>
    <row r="92" spans="1:55" s="6" customFormat="1" ht="22.5" customHeight="1">
      <c r="A92" s="33">
        <f>IF(L98="","",A91+1)</f>
        <v>2</v>
      </c>
      <c r="B92" s="28"/>
      <c r="C92" s="28"/>
      <c r="D92" s="1687" t="str">
        <f>IF('School Profile'!$D$12="Hindi","शिक्षा विभाग, राजस्थान सरकार","Education Department, Rajasthan Government")</f>
        <v>शिक्षा विभाग, राजस्थान सरकार</v>
      </c>
      <c r="E92" s="1687"/>
      <c r="F92" s="1687"/>
      <c r="G92" s="1687"/>
      <c r="H92" s="1687"/>
      <c r="I92" s="1687"/>
      <c r="J92" s="1687"/>
      <c r="K92" s="1687"/>
      <c r="L92" s="1687"/>
      <c r="M92" s="1687"/>
      <c r="N92" s="1687"/>
      <c r="O92" s="349"/>
      <c r="P92" s="349"/>
      <c r="Q92" s="1686"/>
      <c r="R92" s="28"/>
      <c r="S92" s="28"/>
      <c r="T92" s="1687" t="str">
        <f>IF('School Profile'!$D$12="Hindi","शिक्षा विभाग, राजस्थान सरकार","Education Department, Rajasthan Government")</f>
        <v>शिक्षा विभाग, राजस्थान सरकार</v>
      </c>
      <c r="U92" s="1687"/>
      <c r="V92" s="1687"/>
      <c r="W92" s="1687"/>
      <c r="X92" s="1687"/>
      <c r="Y92" s="1687"/>
      <c r="Z92" s="1687"/>
      <c r="AA92" s="1687"/>
      <c r="AB92" s="1687"/>
      <c r="AC92" s="1687"/>
      <c r="AD92" s="1687"/>
      <c r="AE92" s="349"/>
      <c r="AF92" s="349"/>
      <c r="AV92"/>
      <c r="AW92"/>
      <c r="AX92"/>
      <c r="BA92"/>
      <c r="BB92"/>
      <c r="BC92"/>
    </row>
    <row r="93" spans="1:55" s="32" customFormat="1" ht="24.95" customHeight="1">
      <c r="A93" s="34">
        <f>IF(L98="","",A92+1)</f>
        <v>3</v>
      </c>
      <c r="B93" s="1560" t="str">
        <f>IF('School Profile'!$D$12="Hindi",CONCATENATE("विद्यालय का नाम :-","  ",'School Profile'!$D$9),CONCATENATE("School Name :-","  ",'School Profile'!$D$8))</f>
        <v xml:space="preserve">विद्यालय का नाम :-  महात्मा गाँधी राजकीय विद्यालय (अंग्रेजी माध्यम) बर, पाली </v>
      </c>
      <c r="C93" s="1560"/>
      <c r="D93" s="1560"/>
      <c r="E93" s="1560"/>
      <c r="F93" s="1560"/>
      <c r="G93" s="1560"/>
      <c r="H93" s="1560"/>
      <c r="I93" s="1560"/>
      <c r="J93" s="1560"/>
      <c r="K93" s="1560"/>
      <c r="L93" s="1560"/>
      <c r="M93" s="1560"/>
      <c r="N93" s="1560"/>
      <c r="O93" s="1560"/>
      <c r="P93" s="1560"/>
      <c r="Q93" s="1686"/>
      <c r="R93" s="1560" t="str">
        <f>IF('School Profile'!$D$12="Hindi",CONCATENATE("विद्यालय का नाम :-","  ",'School Profile'!$D$9),CONCATENATE("School Name :-","  ",'School Profile'!$D$8))</f>
        <v xml:space="preserve">विद्यालय का नाम :-  महात्मा गाँधी राजकीय विद्यालय (अंग्रेजी माध्यम) बर, पाली </v>
      </c>
      <c r="S93" s="1560"/>
      <c r="T93" s="1560"/>
      <c r="U93" s="1560"/>
      <c r="V93" s="1560"/>
      <c r="W93" s="1560"/>
      <c r="X93" s="1560"/>
      <c r="Y93" s="1560"/>
      <c r="Z93" s="1560"/>
      <c r="AA93" s="1560"/>
      <c r="AB93" s="1560"/>
      <c r="AC93" s="1560"/>
      <c r="AD93" s="1560"/>
      <c r="AE93" s="1560"/>
      <c r="AF93" s="1560"/>
      <c r="AV93"/>
      <c r="AW93"/>
      <c r="AX93"/>
      <c r="BA93"/>
      <c r="BB93"/>
      <c r="BC93"/>
    </row>
    <row r="94" spans="1:55" s="32" customFormat="1" ht="24.95" customHeight="1">
      <c r="A94" s="34">
        <f>IF(L98="","",A93+1)</f>
        <v>4</v>
      </c>
      <c r="B94" s="668"/>
      <c r="C94" s="668"/>
      <c r="D94" s="668"/>
      <c r="E94" s="668"/>
      <c r="F94" s="1688" t="str">
        <f>IF(AND(L98=""),"",IF(AND('School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94" s="1688"/>
      <c r="H94" s="1688"/>
      <c r="I94" s="1688"/>
      <c r="J94" s="1688"/>
      <c r="K94" s="1688"/>
      <c r="L94" s="1688"/>
      <c r="M94" s="1688"/>
      <c r="N94" s="1688"/>
      <c r="O94" s="1688"/>
      <c r="P94" s="668"/>
      <c r="Q94" s="1686"/>
      <c r="R94" s="668"/>
      <c r="S94" s="668"/>
      <c r="T94" s="668"/>
      <c r="U94" s="668"/>
      <c r="V94" s="1688" t="str">
        <f>IF(AND(AB98=""),"",IF(AND('School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94" s="1688"/>
      <c r="X94" s="1688"/>
      <c r="Y94" s="1688"/>
      <c r="Z94" s="1688"/>
      <c r="AA94" s="1688"/>
      <c r="AB94" s="1688"/>
      <c r="AC94" s="1688"/>
      <c r="AD94" s="1688"/>
      <c r="AE94" s="1688"/>
      <c r="AF94" s="668"/>
      <c r="AV94"/>
      <c r="AW94"/>
      <c r="AX94"/>
      <c r="AY94" s="6"/>
      <c r="AZ94" s="6"/>
      <c r="BA94"/>
      <c r="BB94"/>
      <c r="BC94"/>
    </row>
    <row r="95" spans="1:55" s="351" customFormat="1" ht="21" customHeight="1">
      <c r="A95" s="33">
        <f>IF(L98="","",A94+1)</f>
        <v>5</v>
      </c>
      <c r="B95" s="681" t="str">
        <f>IF('School Profile'!$D$12="Hindi","कक्षा  :-","CLASS :- ")</f>
        <v>कक्षा  :-</v>
      </c>
      <c r="C95" s="1691" t="str">
        <f>IF('Statement of Marks'!$E$3="","",'Statement of Marks'!$E$3)</f>
        <v>9th</v>
      </c>
      <c r="D95" s="1691"/>
      <c r="E95" s="820" t="str">
        <f>IFERROR(VLOOKUP(L98,'Statement of Marks'!$B$7:'Statement of Marks'!$IC$206,2,0),"")</f>
        <v>A</v>
      </c>
      <c r="F95" s="820"/>
      <c r="G95" s="820"/>
      <c r="H95" s="820"/>
      <c r="I95" s="1684" t="str">
        <f>IF('School Profile'!$D$12="Hindi","प्रवेशांक :","SR. NO. :")</f>
        <v>प्रवेशांक :</v>
      </c>
      <c r="J95" s="1684"/>
      <c r="K95" s="1684"/>
      <c r="L95" s="1689" t="str">
        <f>IFERROR(VLOOKUP(L98,'Statement of Marks'!$B$7:'Statement of Marks'!$IC$206,3,0),"")</f>
        <v/>
      </c>
      <c r="M95" s="1689"/>
      <c r="N95" s="1689"/>
      <c r="O95" s="1689"/>
      <c r="P95" s="414"/>
      <c r="Q95" s="1686"/>
      <c r="R95" s="681" t="str">
        <f>IF('School Profile'!$D$12="Hindi","कक्षा  :-","CLASS :- ")</f>
        <v>कक्षा  :-</v>
      </c>
      <c r="S95" s="1691" t="str">
        <f>IF('Statement of Marks'!$E$3="","",'Statement of Marks'!$E$3)</f>
        <v>9th</v>
      </c>
      <c r="T95" s="1691"/>
      <c r="U95" s="820" t="str">
        <f>IFERROR(VLOOKUP(AB98,'Statement of Marks'!$B$7:'Statement of Marks'!$IC$206,2,0),"")</f>
        <v>A</v>
      </c>
      <c r="V95" s="820"/>
      <c r="W95" s="820"/>
      <c r="X95" s="820"/>
      <c r="Y95" s="1684" t="str">
        <f>IF('School Profile'!$D$12="Hindi","प्रवेशांक :","SR. NO. :")</f>
        <v>प्रवेशांक :</v>
      </c>
      <c r="Z95" s="1684"/>
      <c r="AA95" s="1684"/>
      <c r="AB95" s="1689" t="str">
        <f>IFERROR(VLOOKUP(AB98,'Statement of Marks'!$B$7:'Statement of Marks'!$IC$206,3,0),"")</f>
        <v/>
      </c>
      <c r="AC95" s="1689"/>
      <c r="AD95" s="1689"/>
      <c r="AE95" s="1689"/>
      <c r="AF95" s="414"/>
      <c r="AV95"/>
      <c r="AW95" s="777">
        <f>L96</f>
        <v>41317</v>
      </c>
      <c r="AX95"/>
      <c r="BA95"/>
      <c r="BB95" s="777">
        <f>AB96</f>
        <v>40282</v>
      </c>
      <c r="BC95"/>
    </row>
    <row r="96" spans="1:55" s="351" customFormat="1" ht="21" customHeight="1">
      <c r="A96" s="33">
        <f>IF(L98="","",A95+1)</f>
        <v>6</v>
      </c>
      <c r="B96" s="683" t="str">
        <f>IF('School Profile'!$D$12="Hindi","विद्यार्थी का नाम :-","Student's Name :-")</f>
        <v>विद्यार्थी का नाम :-</v>
      </c>
      <c r="C96" s="1683" t="str">
        <f>IFERROR(VLOOKUP(L98,'Statement of Marks'!$B$7:'Statement of Marks'!$IC$206,5,0),"")</f>
        <v>MITA</v>
      </c>
      <c r="D96" s="1683"/>
      <c r="E96" s="1683"/>
      <c r="F96" s="1683"/>
      <c r="G96" s="1683"/>
      <c r="H96" s="1683"/>
      <c r="I96" s="1684" t="str">
        <f>IF('School Profile'!$D$12="Hindi","जन्म तिथि :","Date of Birth :")</f>
        <v>जन्म तिथि :</v>
      </c>
      <c r="J96" s="1684"/>
      <c r="K96" s="1684"/>
      <c r="L96" s="1690">
        <f>IFERROR(VLOOKUP(L98,'Statement of Marks'!$B$7:'Statement of Marks'!$IC$206,4,0),"")</f>
        <v>41317</v>
      </c>
      <c r="M96" s="1690"/>
      <c r="N96" s="1690"/>
      <c r="O96" s="1690"/>
      <c r="P96" s="670"/>
      <c r="Q96" s="1686"/>
      <c r="R96" s="683" t="str">
        <f>IF('School Profile'!$D$12="Hindi","विद्यार्थी का नाम :-","Student's Name :-")</f>
        <v>विद्यार्थी का नाम :-</v>
      </c>
      <c r="S96" s="1683" t="str">
        <f>IFERROR(VLOOKUP(AB98,'Statement of Marks'!$B$7:'Statement of Marks'!$IC$206,5,0),"")</f>
        <v>SITA</v>
      </c>
      <c r="T96" s="1683"/>
      <c r="U96" s="1683"/>
      <c r="V96" s="1683"/>
      <c r="W96" s="1683"/>
      <c r="X96" s="1683"/>
      <c r="Y96" s="1684" t="str">
        <f>IF('School Profile'!$D$12="Hindi","जन्म तिथि :","Date of Birth :")</f>
        <v>जन्म तिथि :</v>
      </c>
      <c r="Z96" s="1684"/>
      <c r="AA96" s="1684"/>
      <c r="AB96" s="1690">
        <f>IFERROR(VLOOKUP(AB98,'Statement of Marks'!$B$7:'Statement of Marks'!$IC$206,4,0),"")</f>
        <v>40282</v>
      </c>
      <c r="AC96" s="1690"/>
      <c r="AD96" s="1690"/>
      <c r="AE96" s="1690"/>
      <c r="AF96" s="670"/>
      <c r="AV96">
        <f>YEAR(AW95)</f>
        <v>2013</v>
      </c>
      <c r="AW96">
        <f>MONTH(AW95)</f>
        <v>2</v>
      </c>
      <c r="AX96">
        <f>DAY(AW95)</f>
        <v>12</v>
      </c>
      <c r="BA96">
        <f>YEAR(BB95)</f>
        <v>2010</v>
      </c>
      <c r="BB96">
        <f>MONTH(BB95)</f>
        <v>4</v>
      </c>
      <c r="BC96">
        <f>DAY(BB95)</f>
        <v>14</v>
      </c>
    </row>
    <row r="97" spans="1:55" s="351" customFormat="1" ht="21" customHeight="1">
      <c r="A97" s="33">
        <f>IF(L98="","",A96+1)</f>
        <v>7</v>
      </c>
      <c r="B97" s="683" t="str">
        <f>IF('School Profile'!$D$12="Hindi","पिता का नाम :-","Father's Name :-")</f>
        <v>पिता का नाम :-</v>
      </c>
      <c r="C97" s="1683" t="str">
        <f>IFERROR(VLOOKUP(L98,'Statement of Marks'!$B$7:'Statement of Marks'!$IC$206,6,0),"")</f>
        <v/>
      </c>
      <c r="D97" s="1683"/>
      <c r="E97" s="1683"/>
      <c r="F97" s="1683"/>
      <c r="G97" s="1683"/>
      <c r="H97" s="1683"/>
      <c r="I97" s="1684" t="str">
        <f>IF('School Profile'!$D$12="Hindi","जन्मतिथि शब्दों में :-","Date of Birth in Words :-")</f>
        <v>जन्मतिथि शब्दों में :-</v>
      </c>
      <c r="J97" s="1684"/>
      <c r="K97" s="1684"/>
      <c r="L97" s="1683" t="str">
        <f>IFERROR(IF('School Profile'!$D$12="Hindi",AW98,AW100),"")</f>
        <v>बारह फरवरी दो हजार तेरह</v>
      </c>
      <c r="M97" s="1683"/>
      <c r="N97" s="1683"/>
      <c r="O97" s="1683"/>
      <c r="P97" s="670"/>
      <c r="Q97" s="1686"/>
      <c r="R97" s="683" t="str">
        <f>IF('School Profile'!$D$12="Hindi","पिता का नाम :-","Father's Name :-")</f>
        <v>पिता का नाम :-</v>
      </c>
      <c r="S97" s="1683" t="str">
        <f>IFERROR(VLOOKUP(AB98,'Statement of Marks'!$B$7:'Statement of Marks'!$IC$206,6,0),"")</f>
        <v/>
      </c>
      <c r="T97" s="1683"/>
      <c r="U97" s="1683"/>
      <c r="V97" s="1683"/>
      <c r="W97" s="1683"/>
      <c r="X97" s="1683"/>
      <c r="Y97" s="1684" t="str">
        <f>IF('School Profile'!$D$12="Hindi","जन्मतिथि शब्दों में :-","Date of Birth in Words :-")</f>
        <v>जन्मतिथि शब्दों में :-</v>
      </c>
      <c r="Z97" s="1684"/>
      <c r="AA97" s="1684"/>
      <c r="AB97" s="1683" t="str">
        <f>IFERROR(IF('School Profile'!$D$12="Hindi",BB98,BB100),"")</f>
        <v>चौदह अप्रैल दो हजार दस</v>
      </c>
      <c r="AC97" s="1683"/>
      <c r="AD97" s="1683"/>
      <c r="AE97" s="1683"/>
      <c r="AF97" s="670"/>
      <c r="AV97" t="str">
        <f>IF(AV96=2000,"दो हजार",IF(AV96=2001,"दो हजार एक",IF(AV96=2002,"दो हजार दो",IF(AV96=2003,"दो हजार तीन",IF(AV96=2004,"दो हजार चार",IF(AV96=2005,"दो हजार पांच",IF(AV96=2006,"दो हजार छः",IF(AV96=2007,"दो हजार सात",IF(AV96=2008,"दो हजार आठ",IF(AV96=2009,"दो हजार नौ",IF(AV96=2010,"दो हजार दस",IF(AV96=2011,"दो हजार ग्यारह",IF(AV96=2012,"दो हजार बारह",IF(AV96=2013,"दो हजार तेरह",IF(AV96=2014,"दो हजार चौदह",IF(AV96=2015,"दो हजार पंद्रह",IF(AV96=2016,"दो हजार सोलह",IF(AV96=2017,"दो हजार सत्रह",IF(AV96=2018,"दो हजार अठारह",IF(AV96=2019,"दो हजार उन्नीस",IF(AV96=2020,"दो हजार बीस",IF(AV96=2021,"दो हजार इक्कीस",IF(AV96=2022,"दो हजार बाइस","")))))))))))))))))))))))</f>
        <v>दो हजार तेरह</v>
      </c>
      <c r="AW97" t="str">
        <f>IF(AW96=1,"जनवरी",IF(AW96=2,"फरवरी",IF(AW96=3,"मार्च",IF(AW96=4,"अप्रैल",IF(AW96=5,"मई",IF(AW96=6,"जून",IF(AW96=7,"जुलाई",IF(AW96=8,"अगस्त",IF(AW96=9,"सितम्बर",IF(AW96=10,"अक्टूबर",IF(AW96=11,"नवम्बर",IF(AW96=12,"दिसम्बर",""))))))))))))</f>
        <v>फरवरी</v>
      </c>
      <c r="AX97" t="str">
        <f>IF(AX96=1,"एक",IF(AX96=2,"दो",IF(AX96=3,"तीन",IF(AX96=4,"चार",IF(AX96=5,"पांच",IF(AX96=6,"छः",IF(AX96=7,"सात",IF(AX96=8,"आठ",IF(AX96=9,"नौ",IF(AX96=10,"दस",IF(AX96=11,"ग्यारह",IF(AX96=12,"बारह",IF(AX96=13,"तेरह",IF(AX96=14,"चौदह",IF(AX96=15,"पंद्रह",IF(AX96=16,"सोलह",IF(AX96=17,"सत्रह",IF(AX96=18,"अठारह",IF(AX96=19,"उन्नीस",IF(AX96=20,"बीस",IF(AX96=21,"इक्कीस",IF(AX96=22,"बाइस",IF(AX96=23,"तेईस",IF(AX96=24,"चौबीस",IF(AX96=25,"पचीस",IF(AX96=26,"छबीस",IF(AX96=27,"सताईस",IF(AX96=28,"अठाइस",IF(AX96=29,"उन्नतीस",IF(AX96=30,"तीस",IF(AX96=31,"इकतीस","")))))))))))))))))))))))))))))))</f>
        <v>बारह</v>
      </c>
      <c r="BA97" t="str">
        <f>IF(BA96=2000,"दो हजार",IF(BA96=2001,"दो हजार एक",IF(BA96=2002,"दो हजार दो",IF(BA96=2003,"दो हजार तीन",IF(BA96=2004,"दो हजार चार",IF(BA96=2005,"दो हजार पांच",IF(BA96=2006,"दो हजार छः",IF(BA96=2007,"दो हजार सात",IF(BA96=2008,"दो हजार आठ",IF(BA96=2009,"दो हजार नौ",IF(BA96=2010,"दो हजार दस",IF(BA96=2011,"दो हजार ग्यारह",IF(BA96=2012,"दो हजार बारह",IF(BA96=2013,"दो हजार तेरह",IF(BA96=2014,"दो हजार चौदह",IF(BA96=2015,"दो हजार पंद्रह",IF(BA96=2016,"दो हजार सोलह",IF(BA96=2017,"दो हजार सत्रह",IF(BA96=2018,"दो हजार अठारह",IF(BA96=2019,"दो हजार उन्नीस",IF(BA96=2020,"दो हजार बीस",IF(BA96=2021,"दो हजार इक्कीस",IF(BA96=2022,"दो हजार बाइस","")))))))))))))))))))))))</f>
        <v>दो हजार दस</v>
      </c>
      <c r="BB97" t="str">
        <f>IF(BB96=1,"जनवरी",IF(BB96=2,"फरवरी",IF(BB96=3,"मार्च",IF(BB96=4,"अप्रैल",IF(BB96=5,"मई",IF(BB96=6,"जून",IF(BB96=7,"जुलाई",IF(BB96=8,"अगस्त",IF(BB96=9,"सितम्बर",IF(BB96=10,"अक्टूबर",IF(BB96=11,"नवम्बर",IF(BB96=12,"दिसम्बर",""))))))))))))</f>
        <v>अप्रैल</v>
      </c>
      <c r="BC97" t="str">
        <f>IF(BC96=1,"एक",IF(BC96=2,"दो",IF(BC96=3,"तीन",IF(BC96=4,"चार",IF(BC96=5,"पांच",IF(BC96=6,"छः",IF(BC96=7,"सात",IF(BC96=8,"आठ",IF(BC96=9,"नौ",IF(BC96=10,"दस",IF(BC96=11,"ग्यारह",IF(BC96=12,"बारह",IF(BC96=13,"तेरह",IF(BC96=14,"चौदह",IF(BC96=15,"पंद्रह",IF(BC96=16,"सोलह",IF(BC96=17,"सत्रह",IF(BC96=18,"अठारह",IF(BC96=19,"उन्नीस",IF(BC96=20,"बीस",IF(BC96=21,"इक्कीस",IF(BC96=22,"बाइस",IF(BC96=23,"तेईस",IF(BC96=24,"चौबीस",IF(BC96=25,"पचीस",IF(BC96=26,"छबीस",IF(BC96=27,"सताईस",IF(BC96=28,"अठाइस",IF(BC96=29,"उन्नतीस",IF(BC96=30,"तीस",IF(BC96=31,"इकतीस","")))))))))))))))))))))))))))))))</f>
        <v>चौदह</v>
      </c>
    </row>
    <row r="98" spans="1:55" s="351" customFormat="1" ht="21" customHeight="1">
      <c r="A98" s="33">
        <f>IF(L98="","",A97+1)</f>
        <v>8</v>
      </c>
      <c r="B98" s="681" t="str">
        <f>IF('School Profile'!$D$12="Hindi","माता का नाम :-","Mother's Name :-")</f>
        <v>माता का नाम :-</v>
      </c>
      <c r="C98" s="1683" t="str">
        <f>IFERROR(VLOOKUP(L98,'Statement of Marks'!$B$7:'Statement of Marks'!$IC$206,7,0),"")</f>
        <v/>
      </c>
      <c r="D98" s="1683"/>
      <c r="E98" s="1683"/>
      <c r="F98" s="1683"/>
      <c r="G98" s="1683"/>
      <c r="H98" s="1683"/>
      <c r="I98" s="1684" t="str">
        <f>IF('School Profile'!$D$12="Hindi","रोल नंबर :-","Roll No. :")</f>
        <v>रोल नंबर :-</v>
      </c>
      <c r="J98" s="1684"/>
      <c r="K98" s="1684"/>
      <c r="L98" s="1685">
        <f>IF(AB68="","",IF(AND(AB68+1&gt;$AN$11),"",AB68+1))</f>
        <v>907</v>
      </c>
      <c r="M98" s="1685"/>
      <c r="N98" s="1685"/>
      <c r="Q98" s="1686"/>
      <c r="R98" s="681" t="str">
        <f>IF('School Profile'!$D$12="Hindi","माता का नाम :-","Mother's Name :-")</f>
        <v>माता का नाम :-</v>
      </c>
      <c r="S98" s="1683" t="str">
        <f>IFERROR(VLOOKUP(AB98,'Statement of Marks'!$B$7:'Statement of Marks'!$IC$206,7,0),"")</f>
        <v/>
      </c>
      <c r="T98" s="1683"/>
      <c r="U98" s="1683"/>
      <c r="V98" s="1683"/>
      <c r="W98" s="1683"/>
      <c r="X98" s="1683"/>
      <c r="Y98" s="1684" t="str">
        <f>IF('School Profile'!$D$12="Hindi","रोल नंबर :-","Roll No. :")</f>
        <v>रोल नंबर :-</v>
      </c>
      <c r="Z98" s="1684"/>
      <c r="AA98" s="1684"/>
      <c r="AB98" s="1685">
        <f>IF(L98="","",IF(AND(L98+1&gt;$AN$11),"",L98+1))</f>
        <v>908</v>
      </c>
      <c r="AC98" s="1685"/>
      <c r="AD98" s="1685"/>
      <c r="AV98"/>
      <c r="AW98" t="str">
        <f>CONCATENATE(AX97," ",AW97," ",AV97)</f>
        <v>बारह फरवरी दो हजार तेरह</v>
      </c>
      <c r="AX98"/>
      <c r="BA98"/>
      <c r="BB98" t="str">
        <f>CONCATENATE(BC97," ",BB97," ",BA97)</f>
        <v>चौदह अप्रैल दो हजार दस</v>
      </c>
      <c r="BC98"/>
    </row>
    <row r="99" spans="1:55" s="351" customFormat="1" ht="9.75" customHeight="1">
      <c r="A99" s="33">
        <f>IF(L98="","",A98+1)</f>
        <v>9</v>
      </c>
      <c r="B99" s="1676"/>
      <c r="C99" s="1676"/>
      <c r="D99" s="1676"/>
      <c r="E99" s="1676"/>
      <c r="F99" s="1676"/>
      <c r="G99" s="1676"/>
      <c r="H99" s="1676"/>
      <c r="I99" s="1676"/>
      <c r="J99" s="1676"/>
      <c r="K99" s="1676"/>
      <c r="L99" s="1676"/>
      <c r="M99" s="1676"/>
      <c r="N99" s="1676"/>
      <c r="O99" s="1676"/>
      <c r="P99" s="401"/>
      <c r="Q99" s="1686"/>
      <c r="R99" s="1676"/>
      <c r="S99" s="1676"/>
      <c r="T99" s="1676"/>
      <c r="U99" s="1676"/>
      <c r="V99" s="1676"/>
      <c r="W99" s="1676"/>
      <c r="X99" s="1676"/>
      <c r="Y99" s="1676"/>
      <c r="Z99" s="1676"/>
      <c r="AA99" s="1676"/>
      <c r="AB99" s="1676"/>
      <c r="AC99" s="1676"/>
      <c r="AD99" s="1676"/>
      <c r="AE99" s="1676"/>
      <c r="AF99" s="401"/>
      <c r="AV99" t="str">
        <f>IF(AV96=1961,"NINETEEN SIXTY ONE",IF(AV96=1962,"NINETEEN SIXTY TWO",IF(AV96=1963,"NINETEEN SIXTY THREE",IF(AV96=1964,"NINETEEN SIXTY FOUR",IF(AV96=1965,"NINETEEN SIXTY FIVE",IF(AV96=1966,"NINETEEN SIXTY SIX",IF(AV96=1967,"NINETEEN SIXTY SEVEN",IF(AV96=1968,"NINETEEN SIXTY EIGHT",IF(AV96=1969,"NINETEEN SIXTY NINE",IF(AV96=1970,"NINETEEN SEVENTY",IF(AV96=1971,"NINETEEN SEVENTY ONE",IF(AV96=1972,"NINETEEN SEVENTY TWO",IF(AV96=1973,"NINETEEN SEVENTY THREE",IF(AV96=1974,"NINETEEN SEVENTY FOUR",IF(AV96=1975,"NINETEEN SEVENTY FIVE",IF(AV96=1976,"NINETEEN SEVENTY SIX",IF(AV96=1977,"NINETEEN SEVENTY SEVEN",IF(AV96=1978,"NINETEEN SEVENTY EIGHT",IF(AV96=1979,"NINETEEN SEVENTY NINE",IF(AV96=1980,"NINETEEN EIGHTY",IF(AV96=1981,"NINETEEN EIGHTY ONE",IF(AV96=1982,"NINETEEN EIGHTY TWO",IF(AV96=1983,"NINETEEN EIGHTY THREE",IF(AV96=1984,"NINETEEN EIGHTY FOUR",IF(AV96=1985,"NINETEEN EIGHTY FIVE",IF(AV96=1986,"NINETEEN EIGHTY SIX",IF(AV96=1987,"NINETEEN EIGHTY SEVEN",IF(AV96=1988,"NINETEEN EIGHTY EIGHT",IF(AV96=1989,"NINETEEN EIGHTY NINE",IF(AV96=1990,"NINETEEN NINETY",IF(AV96=1991,"NINETEEN NINETY ONE",IF(AV96=1992,"NINETEEN NINETY TWO",IF(AV96=1993,"NINETEEN NINETY THREE",IF(AV96=1994,"NINETEEN NINETY FOUR",IF(AV96=1995,"NINETEEN NINETY FIVE",IF(AV96=1996,"NINETEEN NINETY SIX",IF(AV96=1997,"NINETEEN NINETY SEVEN",IF(AV96=1998,"NINETEEN NINETY EIGHT",IF(AV96=1999,"NINETEEN NINETY NINE",IF(AV96=2000,"TWO THOUSAND",IF(AV96=2001,"TWO THOUSAND ONE",IF(AV96=2002,"TWO THOUSAND TWO",IF(AV96=2003,"TWO THOUSAND THREE",IF(AV96=2004,"TWO THOUSAND FOUR",IF(AV96=2005,"TWO THOUSAND FIVE",IF(AV96=2006,"TWO THOUSAND SIX",IF(AV96=2007,"TWO THOUSAND SEVEN",IF(AV96=2008,"TWO THOUSAND EIGHT",IF(AV96=2009,"TWO THOUSAND NINE",IF(AV96=2010,"TWO THOUSAND TEN",IF(AV96=2011,"TWO THOUSAND ELEVEN",IF(AV96=2012,"TWO THOUSAND TWELVE",IF(AV96=2013,"TWO THOUSAND THIRTEEN",IF(AV96=2014,"TWO THOUSAND FOURTEEN",IF(AV96=2015,"TWO THOUSAND FIFTEEN",IF(AV96=2016,"TWO THOUSAND SIXTEEN",IF(AV96=2017,"TWO THOUSAND SEVENTEEN",IF(AV96=2018,"TWO THOUSAND EIGHTEEN",IF(AV96=2019,"TWO THOUSAND NINETEEN",IF(AV96=2020,"TWO THOUSAND TWENTY",IF(AV96=2021,"TWO THOUSAND TWENTY ONE",IF(AV96=2022,"TWO THOUSAND TWENTY TWO",IF(AV96=2023,"TWO THOUSAND TWENTY THREE",IF(AV96=2024,"TWO THOUSAND TWENTY FOUR",IF(AV96=2025,"TWO THOUSAND TWENTY FIVE","")))))))))))))))))))))))))))))))))))))))))))))))))))))))))))))))))</f>
        <v>TWO THOUSAND THIRTEEN</v>
      </c>
      <c r="AW99" t="str">
        <f>IF(AW96=1,"JANUARY",IF(AW96=2,"FEBUARY", IF(AW96=3,"MARCH",IF(AW96=4,"APRIL",IF(AW96=5,"MAY",IF(AW96=6,"JUNE",IF(AW96=7,"JULY",IF(AW96=8,"AUGUST",IF(AW96=9,"SEPTEMBER",IF(AW96=10,"OCTOBER",IF(AW96=11,"NOVEMBER",IF(AW96=12,"DECEMBER",""))))))))))))</f>
        <v>FEBUARY</v>
      </c>
      <c r="AX99" t="str">
        <f>IF(AX96=1,"1ST",IF(AX96=2,"2ND", IF(AX96=3,"3RD",IF(AX96=4,"FOURTH",IF(AX96=5,"FIFTH",IF(AX96=6,"SIXTH",IF(AX96=7,"7TH",IF(AX96=8,"8TH",IF(AX96=9,"9TH",IF(AX96=10,"10TH",IF(AX96=11,"11TH",IF(AX96=12,"12TH",IF(AX96=13,"13TH",IF(AX96=14,"14TH",IF(AX96=15,"FIFTEEN",IF(AX96=16,"SIXTEEN",IF(AX96=17,"SEVENTEEN",IF(AX96=18,"EIGHTEEN",IF(AX96=19,"NINETEEN",IF(AX96=20,"TWENTY",IF(AX96=21,"TWENTY FIRST",IF(AX96=22,"TWENTY SECOND",IF(AX96=23,"TWENTY THIRD",IF(AX96=24,"TWENTY FOURTH",IF(AX96=25,"TWENTY FIFTH",IF(AX96=26,"TWENTY SIX",IF(AX96=27,"TWENTY SEVEN",IF(AX96=28,"TWENTY EIGHT",IF(AX96=29,"TWENTY NINE",IF(AX96=30,"THIRTY",IF(AX96=31,"THIRTY FIRST","")))))))))))))))))))))))))))))))</f>
        <v>12TH</v>
      </c>
      <c r="BA99" t="str">
        <f>IF(BA96=1961,"NINETEEN SIXTY ONE",IF(BA96=1962,"NINETEEN SIXTY TWO",IF(BA96=1963,"NINETEEN SIXTY THREE",IF(BA96=1964,"NINETEEN SIXTY FOUR",IF(BA96=1965,"NINETEEN SIXTY FIVE",IF(BA96=1966,"NINETEEN SIXTY SIX",IF(BA96=1967,"NINETEEN SIXTY SEVEN",IF(BA96=1968,"NINETEEN SIXTY EIGHT",IF(BA96=1969,"NINETEEN SIXTY NINE",IF(BA96=1970,"NINETEEN SEVENTY",IF(BA96=1971,"NINETEEN SEVENTY ONE",IF(BA96=1972,"NINETEEN SEVENTY TWO",IF(BA96=1973,"NINETEEN SEVENTY THREE",IF(BA96=1974,"NINETEEN SEVENTY FOUR",IF(BA96=1975,"NINETEEN SEVENTY FIVE",IF(BA96=1976,"NINETEEN SEVENTY SIX",IF(BA96=1977,"NINETEEN SEVENTY SEVEN",IF(BA96=1978,"NINETEEN SEVENTY EIGHT",IF(BA96=1979,"NINETEEN SEVENTY NINE",IF(BA96=1980,"NINETEEN EIGHTY",IF(BA96=1981,"NINETEEN EIGHTY ONE",IF(BA96=1982,"NINETEEN EIGHTY TWO",IF(BA96=1983,"NINETEEN EIGHTY THREE",IF(BA96=1984,"NINETEEN EIGHTY FOUR",IF(BA96=1985,"NINETEEN EIGHTY FIVE",IF(BA96=1986,"NINETEEN EIGHTY SIX",IF(BA96=1987,"NINETEEN EIGHTY SEVEN",IF(BA96=1988,"NINETEEN EIGHTY EIGHT",IF(BA96=1989,"NINETEEN EIGHTY NINE",IF(BA96=1990,"NINETEEN NINETY",IF(BA96=1991,"NINETEEN NINETY ONE",IF(BA96=1992,"NINETEEN NINETY TWO",IF(BA96=1993,"NINETEEN NINETY THREE",IF(BA96=1994,"NINETEEN NINETY FOUR",IF(BA96=1995,"NINETEEN NINETY FIVE",IF(BA96=1996,"NINETEEN NINETY SIX",IF(BA96=1997,"NINETEEN NINETY SEVEN",IF(BA96=1998,"NINETEEN NINETY EIGHT",IF(BA96=1999,"NINETEEN NINETY NINE",IF(BA96=2000,"TWO THOUSAND",IF(BA96=2001,"TWO THOUSAND ONE",IF(BA96=2002,"TWO THOUSAND TWO",IF(BA96=2003,"TWO THOUSAND THREE",IF(BA96=2004,"TWO THOUSAND FOUR",IF(BA96=2005,"TWO THOUSAND FIVE",IF(BA96=2006,"TWO THOUSAND SIX",IF(BA96=2007,"TWO THOUSAND SEVEN",IF(BA96=2008,"TWO THOUSAND EIGHT",IF(BA96=2009,"TWO THOUSAND NINE",IF(BA96=2010,"TWO THOUSAND TEN",IF(BA96=2011,"TWO THOUSAND ELEVEN",IF(BA96=2012,"TWO THOUSAND TWELVE",IF(BA96=2013,"TWO THOUSAND THIRTEEN",IF(BA96=2014,"TWO THOUSAND FOURTEEN",IF(BA96=2015,"TWO THOUSAND FIFTEEN",IF(BA96=2016,"TWO THOUSAND SIXTEEN",IF(BA96=2017,"TWO THOUSAND SEVENTEEN",IF(BA96=2018,"TWO THOUSAND EIGHTEEN",IF(BA96=2019,"TWO THOUSAND NINETEEN",IF(BA96=2020,"TWO THOUSAND TWENTY",IF(BA96=2021,"TWO THOUSAND TWENTY ONE",IF(BA96=2022,"TWO THOUSAND TWENTY TWO",IF(BA96=2023,"TWO THOUSAND TWENTY THREE",IF(BA96=2024,"TWO THOUSAND TWENTY FOUR",IF(BA96=2025,"TWO THOUSAND TWENTY FIVE","")))))))))))))))))))))))))))))))))))))))))))))))))))))))))))))))))</f>
        <v>TWO THOUSAND TEN</v>
      </c>
      <c r="BB99" t="str">
        <f>IF(BB96=1,"JANUARY",IF(BB96=2,"FEBUARY", IF(BB96=3,"MARCH",IF(BB96=4,"APRIL",IF(BB96=5,"MAY",IF(BB96=6,"JUNE",IF(BB96=7,"JULY",IF(BB96=8,"AUGUST",IF(BB96=9,"SEPTEMBER",IF(BB96=10,"OCTOBER",IF(BB96=11,"NOVEMBER",IF(BB96=12,"DECEMBER",""))))))))))))</f>
        <v>APRIL</v>
      </c>
      <c r="BC99" t="str">
        <f>IF(BC96=1,"1ST",IF(BC96=2,"2ND", IF(BC96=3,"3RD",IF(BC96=4,"FOURTH",IF(BC96=5,"FIFTH",IF(BC96=6,"SIXTH",IF(BC96=7,"7TH",IF(BC96=8,"8TH",IF(BC96=9,"9TH",IF(BC96=10,"10TH",IF(BC96=11,"11TH",IF(BC96=12,"12TH",IF(BC96=13,"13TH",IF(BC96=14,"14TH",IF(BC96=15,"FIFTEEN",IF(BC96=16,"SIXTEEN",IF(BC96=17,"SEVENTEEN",IF(BC96=18,"EIGHTEEN",IF(BC96=19,"NINETEEN",IF(BC96=20,"TWENTY",IF(BC96=21,"TWENTY FIRST",IF(BC96=22,"TWENTY SECOND",IF(BC96=23,"TWENTY THIRD",IF(BC96=24,"TWENTY FOURTH",IF(BC96=25,"TWENTY FIFTH",IF(BC96=26,"TWENTY SIX",IF(BC96=27,"TWENTY SEVEN",IF(BC96=28,"TWENTY EIGHT",IF(BC96=29,"TWENTY NINE",IF(BC96=30,"THIRTY",IF(BC96=31,"THIRTY FIRST","")))))))))))))))))))))))))))))))</f>
        <v>14TH</v>
      </c>
    </row>
    <row r="100" spans="1:55" s="351" customFormat="1" ht="26.25" customHeight="1">
      <c r="A100" s="33">
        <f>IF(L98="","",A99+1)</f>
        <v>10</v>
      </c>
      <c r="B100" s="1661" t="str">
        <f>IF('School Profile'!$D$12="Hindi","विषय का नाम","Subject Name")</f>
        <v>विषय का नाम</v>
      </c>
      <c r="C100" s="1662"/>
      <c r="D100" s="1681" t="str">
        <f>IF('School Profile'!$D$12="Hindi","सामयिक परख","Seasonal Exam")</f>
        <v>सामयिक परख</v>
      </c>
      <c r="E100" s="1681"/>
      <c r="F100" s="1681"/>
      <c r="G100" s="1681"/>
      <c r="H100" s="1681" t="str">
        <f>IF('School Profile'!$D$12="Hindi","अर्द्धवार्षिक","Half Yearly")</f>
        <v>अर्द्धवार्षिक</v>
      </c>
      <c r="I100" s="1681"/>
      <c r="J100" s="1681"/>
      <c r="K100" s="1556" t="str">
        <f>IF('School Profile'!$D$12="Hindi","अर्द्ध वा. तक योग","Total Till H.Y.")</f>
        <v>अर्द्ध वा. तक योग</v>
      </c>
      <c r="L100" s="1681" t="str">
        <f>IF('School Profile'!$D$12="Hindi","वार्षिक","Yearly")</f>
        <v>वार्षिक</v>
      </c>
      <c r="M100" s="1681"/>
      <c r="N100" s="1681"/>
      <c r="O100" s="1550" t="str">
        <f>IF('School Profile'!$D$12="Hindi","विषय कुल योग ","Subject Total")</f>
        <v xml:space="preserve">विषय कुल योग </v>
      </c>
      <c r="P100" s="1682" t="str">
        <f>IF('School Profile'!$D$12="Hindi","विषय परिणाम / विषय श्रेणी","Sub. Result /  Sub. Div.")</f>
        <v>विषय परिणाम / विषय श्रेणी</v>
      </c>
      <c r="Q100" s="1686"/>
      <c r="R100" s="1661" t="str">
        <f>IF('School Profile'!$D$12="Hindi","विषय का नाम","Subject Name")</f>
        <v>विषय का नाम</v>
      </c>
      <c r="S100" s="1662"/>
      <c r="T100" s="1681" t="str">
        <f>IF('School Profile'!$D$12="Hindi","सामयिक परख","Seasonal Exam")</f>
        <v>सामयिक परख</v>
      </c>
      <c r="U100" s="1681"/>
      <c r="V100" s="1681"/>
      <c r="W100" s="1681"/>
      <c r="X100" s="1681" t="str">
        <f>IF('School Profile'!$D$12="Hindi","अर्द्धवार्षिक","Half Yearly")</f>
        <v>अर्द्धवार्षिक</v>
      </c>
      <c r="Y100" s="1681"/>
      <c r="Z100" s="1681"/>
      <c r="AA100" s="1556" t="str">
        <f>IF('School Profile'!$D$12="Hindi","अर्द्ध वा. तक योग","Total Till H.Y.")</f>
        <v>अर्द्ध वा. तक योग</v>
      </c>
      <c r="AB100" s="1681" t="str">
        <f>IF('School Profile'!$D$12="Hindi","वार्षिक","Yearly")</f>
        <v>वार्षिक</v>
      </c>
      <c r="AC100" s="1681"/>
      <c r="AD100" s="1681"/>
      <c r="AE100" s="1550" t="str">
        <f>IF('School Profile'!$D$12="Hindi","विषय कुल योग ","Subject Total")</f>
        <v xml:space="preserve">विषय कुल योग </v>
      </c>
      <c r="AF100" s="1682" t="str">
        <f>IF('School Profile'!$D$12="Hindi","विषय परिणाम / विषय श्रेणी","Sub. Result /  Sub. Div.")</f>
        <v>विषय परिणाम / विषय श्रेणी</v>
      </c>
      <c r="AV100"/>
      <c r="AW100" t="str">
        <f>CONCATENATE(AW99," ",AX99,", ",AV99)</f>
        <v>FEBUARY 12TH, TWO THOUSAND THIRTEEN</v>
      </c>
      <c r="AX100"/>
      <c r="BA100"/>
      <c r="BB100" t="str">
        <f>CONCATENATE(BB99," ",BC99,", ",BA99)</f>
        <v>APRIL 14TH, TWO THOUSAND TEN</v>
      </c>
      <c r="BC100"/>
    </row>
    <row r="101" spans="1:55" s="351" customFormat="1" ht="78.75" customHeight="1">
      <c r="A101" s="33">
        <f>IF(L98="","",A100+1)</f>
        <v>11</v>
      </c>
      <c r="B101" s="1677"/>
      <c r="C101" s="1678"/>
      <c r="D101" s="656" t="str">
        <f>IF('School Profile'!$D$12="Hindi","प्रथम परख ","First Test")</f>
        <v xml:space="preserve">प्रथम परख </v>
      </c>
      <c r="E101" s="656" t="str">
        <f>IF('School Profile'!$D$12="Hindi","द्वितीय परख","Second Test")</f>
        <v>द्वितीय परख</v>
      </c>
      <c r="F101" s="656" t="str">
        <f>IF('School Profile'!$D$12="Hindi","तृतीय परख","Third Test")</f>
        <v>तृतीय परख</v>
      </c>
      <c r="G101" s="657" t="str">
        <f>IF('School Profile'!$D$12="Hindi","सा. परख योग","Test Total")</f>
        <v>सा. परख योग</v>
      </c>
      <c r="H101" s="658" t="str">
        <f>IF('School Profile'!$D$12="Hindi","सैद्धान्तिक","Theoretical")</f>
        <v>सैद्धान्तिक</v>
      </c>
      <c r="I101" s="658" t="str">
        <f>IF('School Profile'!$D$12="Hindi","प्रायोगिक","Practical")</f>
        <v>प्रायोगिक</v>
      </c>
      <c r="J101" s="659" t="str">
        <f>IF('School Profile'!$D$12="Hindi","अर्द्धवार्षिक योग","H.Y.  Total")</f>
        <v>अर्द्धवार्षिक योग</v>
      </c>
      <c r="K101" s="1556"/>
      <c r="L101" s="658" t="str">
        <f>IF('School Profile'!$D$12="Hindi","सैद्धान्तिक","Theoretical")</f>
        <v>सैद्धान्तिक</v>
      </c>
      <c r="M101" s="658" t="str">
        <f>IF('School Profile'!$D$12="Hindi","प्रायोगिक","Practical")</f>
        <v>प्रायोगिक</v>
      </c>
      <c r="N101" s="659" t="str">
        <f>IF('School Profile'!$D$12="Hindi","वार्षिक योग","Yearly  Total")</f>
        <v>वार्षिक योग</v>
      </c>
      <c r="O101" s="1550"/>
      <c r="P101" s="1552"/>
      <c r="Q101" s="1686"/>
      <c r="R101" s="1677"/>
      <c r="S101" s="1678"/>
      <c r="T101" s="656" t="str">
        <f>IF('School Profile'!$D$12="Hindi","प्रथम परख ","First Test")</f>
        <v xml:space="preserve">प्रथम परख </v>
      </c>
      <c r="U101" s="656" t="str">
        <f>IF('School Profile'!$D$12="Hindi","द्वितीय परख","Second Test")</f>
        <v>द्वितीय परख</v>
      </c>
      <c r="V101" s="656" t="str">
        <f>IF('School Profile'!$D$12="Hindi","तृतीय परख","Third Test")</f>
        <v>तृतीय परख</v>
      </c>
      <c r="W101" s="657" t="str">
        <f>IF('School Profile'!$D$12="Hindi","सा. परख योग","Test Total")</f>
        <v>सा. परख योग</v>
      </c>
      <c r="X101" s="658" t="str">
        <f>IF('School Profile'!$D$12="Hindi","सैद्धान्तिक","Theoretical")</f>
        <v>सैद्धान्तिक</v>
      </c>
      <c r="Y101" s="658" t="str">
        <f>IF('School Profile'!$D$12="Hindi","प्रायोगिक","Practical")</f>
        <v>प्रायोगिक</v>
      </c>
      <c r="Z101" s="659" t="str">
        <f>IF('School Profile'!$D$12="Hindi","अर्द्धवार्षिक योग","H.Y.  Total")</f>
        <v>अर्द्धवार्षिक योग</v>
      </c>
      <c r="AA101" s="1556"/>
      <c r="AB101" s="658" t="str">
        <f>IF('School Profile'!$D$12="Hindi","सैद्धान्तिक","Theoretical")</f>
        <v>सैद्धान्तिक</v>
      </c>
      <c r="AC101" s="658" t="str">
        <f>IF('School Profile'!$D$12="Hindi","प्रायोगिक","Practical")</f>
        <v>प्रायोगिक</v>
      </c>
      <c r="AD101" s="659" t="str">
        <f>IF('School Profile'!$D$12="Hindi","वार्षिक योग","Yearly  Total")</f>
        <v>वार्षिक योग</v>
      </c>
      <c r="AE101" s="1550"/>
      <c r="AF101" s="1552"/>
      <c r="AV101"/>
      <c r="AW101"/>
      <c r="AX101"/>
      <c r="BA101"/>
      <c r="BB101"/>
      <c r="BC101"/>
    </row>
    <row r="102" spans="1:55" s="353" customFormat="1" ht="21" customHeight="1">
      <c r="A102" s="33">
        <f>IF(L98="","",A101+1)</f>
        <v>12</v>
      </c>
      <c r="B102" s="1679"/>
      <c r="C102" s="1680"/>
      <c r="D102" s="663">
        <v>10</v>
      </c>
      <c r="E102" s="663">
        <v>10</v>
      </c>
      <c r="F102" s="663">
        <v>10</v>
      </c>
      <c r="G102" s="663">
        <v>30</v>
      </c>
      <c r="H102" s="665" t="s">
        <v>251</v>
      </c>
      <c r="I102" s="661">
        <v>35</v>
      </c>
      <c r="J102" s="660">
        <v>70</v>
      </c>
      <c r="K102" s="661">
        <v>100</v>
      </c>
      <c r="L102" s="664" t="s">
        <v>252</v>
      </c>
      <c r="M102" s="663">
        <v>50</v>
      </c>
      <c r="N102" s="660">
        <v>100</v>
      </c>
      <c r="O102" s="662">
        <v>200</v>
      </c>
      <c r="P102" s="1553"/>
      <c r="Q102" s="1686"/>
      <c r="R102" s="1679"/>
      <c r="S102" s="1680"/>
      <c r="T102" s="663">
        <v>10</v>
      </c>
      <c r="U102" s="663">
        <v>10</v>
      </c>
      <c r="V102" s="663">
        <v>10</v>
      </c>
      <c r="W102" s="663">
        <v>30</v>
      </c>
      <c r="X102" s="665" t="s">
        <v>251</v>
      </c>
      <c r="Y102" s="661">
        <v>35</v>
      </c>
      <c r="Z102" s="660">
        <v>70</v>
      </c>
      <c r="AA102" s="661">
        <v>100</v>
      </c>
      <c r="AB102" s="664" t="s">
        <v>252</v>
      </c>
      <c r="AC102" s="663">
        <v>50</v>
      </c>
      <c r="AD102" s="660">
        <v>100</v>
      </c>
      <c r="AE102" s="662">
        <v>200</v>
      </c>
      <c r="AF102" s="1553"/>
      <c r="AV102"/>
      <c r="AW102"/>
      <c r="AX102"/>
      <c r="BA102"/>
      <c r="BB102"/>
      <c r="BC102"/>
    </row>
    <row r="103" spans="1:55" s="351" customFormat="1" ht="22.5" customHeight="1">
      <c r="A103" s="33">
        <f>IF(L98="","",A102+1)</f>
        <v>13</v>
      </c>
      <c r="B103" s="1674" t="str">
        <f>'Statement of Marks'!$K$3</f>
        <v>हिंदी</v>
      </c>
      <c r="C103" s="1675"/>
      <c r="D103" s="26">
        <f>IFERROR(VLOOKUP(L98,'Statement of Marks'!$B$7:'Statement of Marks'!$IC$206,10,0),"")</f>
        <v>8</v>
      </c>
      <c r="E103" s="26" t="str">
        <f>IFERROR(VLOOKUP(L98,'Statement of Marks'!$B$7:'Statement of Marks'!$IC$206,11,0),"")</f>
        <v>ML</v>
      </c>
      <c r="F103" s="26">
        <f>IFERROR(VLOOKUP(L98,'Statement of Marks'!$B$7:'Statement of Marks'!$IC$206,12,0),"")</f>
        <v>8</v>
      </c>
      <c r="G103" s="26">
        <f>IFERROR(VLOOKUP(L98,'Statement of Marks'!$B$7:'Statement of Marks'!$IC$206,13,0),"")</f>
        <v>16</v>
      </c>
      <c r="H103" s="26">
        <f>IFERROR(VLOOKUP(L98,'Statement of Marks'!$B$7:'Statement of Marks'!$IC$206,14,0),"")</f>
        <v>46</v>
      </c>
      <c r="I103" s="26"/>
      <c r="J103" s="347">
        <f>IF(L98="","",IF(AND(H103="",I103=""),"",SUM(H103,I103)))</f>
        <v>46</v>
      </c>
      <c r="K103" s="679">
        <f>IFERROR(IF(L98="","",IF(AND(G103="",J103=""),"",SUM(G103,J103))),"")</f>
        <v>62</v>
      </c>
      <c r="L103" s="26">
        <f>IFERROR(VLOOKUP(L98,'Statement of Marks'!$B$7:'Statement of Marks'!$IC$206,16,0),"")</f>
        <v>65</v>
      </c>
      <c r="M103" s="26"/>
      <c r="N103" s="347">
        <f>IF(L98="","",IF(AND(L103="",M103=""),"",SUM(L103,M103)))</f>
        <v>65</v>
      </c>
      <c r="O103" s="674">
        <f>IFERROR(VLOOKUP(L98,'Statement of Marks'!$B$7:'Statement of Marks'!$IC$206,17,0),"")</f>
        <v>127</v>
      </c>
      <c r="P103" s="680" t="str">
        <f>IFERROR(IF(O103="","",IF(VLOOKUP(L98,'Statement of Marks'!$B$7:'Statement of Marks'!$IC$206,195,0)="D","I",IF(VLOOKUP(L98,'Statement of Marks'!$B$7:'Statement of Marks'!$IC$206,195,0)="G1","G",IF(VLOOKUP(L98,'Statement of Marks'!$B$7:'Statement of Marks'!$IC$206,195,0)="G2","G",VLOOKUP(L98,'Statement of Marks'!$B$7:'Statement of Marks'!$IC$206,195,0))))),"")</f>
        <v>I</v>
      </c>
      <c r="Q103" s="1686"/>
      <c r="R103" s="1674" t="str">
        <f>'Statement of Marks'!$K$3</f>
        <v>हिंदी</v>
      </c>
      <c r="S103" s="1675"/>
      <c r="T103" s="26">
        <f>IFERROR(VLOOKUP(AB98,'Statement of Marks'!$B$7:'Statement of Marks'!$IC$206,10,0),"")</f>
        <v>8</v>
      </c>
      <c r="U103" s="26">
        <f>IFERROR(VLOOKUP(AB98,'Statement of Marks'!$B$7:'Statement of Marks'!$IC$206,11,0),"")</f>
        <v>9</v>
      </c>
      <c r="V103" s="26">
        <f>IFERROR(VLOOKUP(AB98,'Statement of Marks'!$B$7:'Statement of Marks'!$IC$206,12,0),"")</f>
        <v>9</v>
      </c>
      <c r="W103" s="26">
        <f>IFERROR(VLOOKUP(AB98,'Statement of Marks'!$B$7:'Statement of Marks'!$IC$206,13,0),"")</f>
        <v>26</v>
      </c>
      <c r="X103" s="26">
        <f>IFERROR(VLOOKUP(AB98,'Statement of Marks'!$B$7:'Statement of Marks'!$IC$206,14,0),"")</f>
        <v>46</v>
      </c>
      <c r="Y103" s="26"/>
      <c r="Z103" s="347">
        <f>IF(AB98="","",IF(AND(X103="",Y103=""),"",SUM(X103,Y103)))</f>
        <v>46</v>
      </c>
      <c r="AA103" s="679">
        <f>IFERROR(IF(AB98="","",IF(AND(W103="",Z103=""),"",SUM(W103,Z103))),"")</f>
        <v>72</v>
      </c>
      <c r="AB103" s="26">
        <f>IFERROR(VLOOKUP(AB98,'Statement of Marks'!$B$7:'Statement of Marks'!$IC$206,16,0),"")</f>
        <v>65</v>
      </c>
      <c r="AC103" s="26"/>
      <c r="AD103" s="347">
        <f>IF(AB98="","",IF(AND(AB103="",AC103=""),"",SUM(AB103,AC103)))</f>
        <v>65</v>
      </c>
      <c r="AE103" s="674">
        <f>IFERROR(VLOOKUP(AB98,'Statement of Marks'!$B$7:'Statement of Marks'!$IC$206,17,0),"")</f>
        <v>137</v>
      </c>
      <c r="AF103" s="680" t="str">
        <f>IFERROR(IF(AE103="","",IF(VLOOKUP(AB98,'Statement of Marks'!$B$7:'Statement of Marks'!$IC$206,195,0)="D","I",IF(VLOOKUP(AB98,'Statement of Marks'!$B$7:'Statement of Marks'!$IC$206,195,0)="G1","G",IF(VLOOKUP(AB98,'Statement of Marks'!$B$7:'Statement of Marks'!$IC$206,195,0)="G2","G",VLOOKUP(AB98,'Statement of Marks'!$B$7:'Statement of Marks'!$IC$206,195,0))))),"")</f>
        <v>I</v>
      </c>
      <c r="AV103"/>
      <c r="AW103"/>
      <c r="AX103"/>
      <c r="BA103"/>
      <c r="BB103"/>
      <c r="BC103"/>
    </row>
    <row r="104" spans="1:55" s="351" customFormat="1" ht="22.5" customHeight="1">
      <c r="A104" s="33">
        <f>IF(L98="","",A103+1)</f>
        <v>14</v>
      </c>
      <c r="B104" s="1674" t="str">
        <f>'Statement of Marks'!$Y$3</f>
        <v>अंग्रेजी</v>
      </c>
      <c r="C104" s="1675"/>
      <c r="D104" s="26">
        <f>IFERROR(VLOOKUP(L98,'Statement of Marks'!$B$7:'Statement of Marks'!$IC$206,24,0),"")</f>
        <v>8</v>
      </c>
      <c r="E104" s="26">
        <f>IFERROR(VLOOKUP(L98,'Statement of Marks'!$B$7:'Statement of Marks'!$IC$206,25,0),"")</f>
        <v>9</v>
      </c>
      <c r="F104" s="26">
        <f>IFERROR(VLOOKUP(L98,'Statement of Marks'!$B$7:'Statement of Marks'!$IC$206,26,0),"")</f>
        <v>9</v>
      </c>
      <c r="G104" s="26">
        <f>IFERROR(VLOOKUP(L98,'Statement of Marks'!$B$7:'Statement of Marks'!$IC$206,27,0),"")</f>
        <v>26</v>
      </c>
      <c r="H104" s="26">
        <f>IFERROR(VLOOKUP(L98,'Statement of Marks'!$B$7:'Statement of Marks'!$IC$206,28,0),"")</f>
        <v>60</v>
      </c>
      <c r="I104" s="26"/>
      <c r="J104" s="347">
        <f>IF(L98="","",IF(AND(H104="",I104=""),"",SUM(H104,I104)))</f>
        <v>60</v>
      </c>
      <c r="K104" s="679">
        <f>IFERROR(IF(L98="","",IF(AND(G104="",J104=""),"",SUM(G104,J104))),"")</f>
        <v>86</v>
      </c>
      <c r="L104" s="26">
        <f>IFERROR(VLOOKUP(L98,'Statement of Marks'!$B$7:'Statement of Marks'!$IC$206,30,0),"")</f>
        <v>60</v>
      </c>
      <c r="M104" s="26"/>
      <c r="N104" s="347">
        <f>IF(L98="","",IF(AND(L104="",M104=""),"",SUM(L104,M104)))</f>
        <v>60</v>
      </c>
      <c r="O104" s="674">
        <f>IFERROR(VLOOKUP(L98,'Statement of Marks'!$B$7:'Statement of Marks'!$IC$206,31,0),"")</f>
        <v>146</v>
      </c>
      <c r="P104" s="680" t="str">
        <f>IFERROR(IF(O103="","",IF(VLOOKUP(L98,'Statement of Marks'!$B$7:'Statement of Marks'!$IC$206,198,0)="D","I",IF(VLOOKUP(L98,'Statement of Marks'!$B$7:'Statement of Marks'!$IC$206,198,0)="G1","G",IF(VLOOKUP(L98,'Statement of Marks'!$B$7:'Statement of Marks'!$IC$206,198,0)="G2","G",VLOOKUP(L98,'Statement of Marks'!$B$7:'Statement of Marks'!$IC$206,198,0))))),"")</f>
        <v>I</v>
      </c>
      <c r="Q104" s="1686"/>
      <c r="R104" s="1674" t="str">
        <f>'Statement of Marks'!$Y$3</f>
        <v>अंग्रेजी</v>
      </c>
      <c r="S104" s="1675"/>
      <c r="T104" s="26">
        <f>IFERROR(VLOOKUP(AB98,'Statement of Marks'!$B$7:'Statement of Marks'!$IC$206,24,0),"")</f>
        <v>8</v>
      </c>
      <c r="U104" s="26">
        <f>IFERROR(VLOOKUP(AB98,'Statement of Marks'!$B$7:'Statement of Marks'!$IC$206,25,0),"")</f>
        <v>9</v>
      </c>
      <c r="V104" s="26">
        <f>IFERROR(VLOOKUP(AB98,'Statement of Marks'!$B$7:'Statement of Marks'!$IC$206,26,0),"")</f>
        <v>9</v>
      </c>
      <c r="W104" s="26">
        <f>IFERROR(VLOOKUP(AB98,'Statement of Marks'!$B$7:'Statement of Marks'!$IC$206,27,0),"")</f>
        <v>26</v>
      </c>
      <c r="X104" s="26">
        <f>IFERROR(VLOOKUP(AB98,'Statement of Marks'!$B$7:'Statement of Marks'!$IC$206,28,0),"")</f>
        <v>60</v>
      </c>
      <c r="Y104" s="26"/>
      <c r="Z104" s="347">
        <f>IF(AB98="","",IF(AND(X104="",Y104=""),"",SUM(X104,Y104)))</f>
        <v>60</v>
      </c>
      <c r="AA104" s="679">
        <f>IFERROR(IF(AB98="","",IF(AND(W104="",Z104=""),"",SUM(W104,Z104))),"")</f>
        <v>86</v>
      </c>
      <c r="AB104" s="26">
        <f>IFERROR(VLOOKUP(AB98,'Statement of Marks'!$B$7:'Statement of Marks'!$IC$206,30,0),"")</f>
        <v>95</v>
      </c>
      <c r="AC104" s="26"/>
      <c r="AD104" s="347">
        <f>IF(AB98="","",IF(AND(AB104="",AC104=""),"",SUM(AB104,AC104)))</f>
        <v>95</v>
      </c>
      <c r="AE104" s="674">
        <f>IFERROR(VLOOKUP(AB98,'Statement of Marks'!$B$7:'Statement of Marks'!$IC$206,31,0),"")</f>
        <v>181</v>
      </c>
      <c r="AF104" s="680" t="str">
        <f>IFERROR(IF(AE103="","",IF(VLOOKUP(AB98,'Statement of Marks'!$B$7:'Statement of Marks'!$IC$206,198,0)="D","I",IF(VLOOKUP(AB98,'Statement of Marks'!$B$7:'Statement of Marks'!$IC$206,198,0)="G1","G",IF(VLOOKUP(AB98,'Statement of Marks'!$B$7:'Statement of Marks'!$IC$206,198,0)="G2","G",VLOOKUP(AB98,'Statement of Marks'!$B$7:'Statement of Marks'!$IC$206,198,0))))),"")</f>
        <v>I</v>
      </c>
      <c r="AV104"/>
      <c r="AW104"/>
      <c r="AX104"/>
      <c r="BA104"/>
      <c r="BB104"/>
      <c r="BC104"/>
    </row>
    <row r="105" spans="1:55" s="351" customFormat="1" ht="22.5" customHeight="1">
      <c r="A105" s="33">
        <f>IF(L98="","",A104+1)</f>
        <v>15</v>
      </c>
      <c r="B105" s="1674" t="str">
        <f>IFERROR(VLOOKUP(L98,'Statement of Marks'!$B$7:'Statement of Marks'!$IC$206,38,0),"")</f>
        <v>गुजराती (73)</v>
      </c>
      <c r="C105" s="1675"/>
      <c r="D105" s="26">
        <f>IFERROR(VLOOKUP(L98,'Statement of Marks'!$B$7:'Statement of Marks'!$IC$206,39,0),"")</f>
        <v>8</v>
      </c>
      <c r="E105" s="26">
        <f>IFERROR(VLOOKUP(L98,'Statement of Marks'!$B$7:'Statement of Marks'!$IC$206,40,0),"")</f>
        <v>9</v>
      </c>
      <c r="F105" s="26">
        <f>IFERROR(VLOOKUP(L98,'Statement of Marks'!$B$7:'Statement of Marks'!$IC$206,41,0),"")</f>
        <v>8</v>
      </c>
      <c r="G105" s="26">
        <f>IFERROR(VLOOKUP(L98,'Statement of Marks'!$B$7:'Statement of Marks'!$IC$206,42,0),"")</f>
        <v>25</v>
      </c>
      <c r="H105" s="26">
        <f>IFERROR(VLOOKUP(L98,'Statement of Marks'!$B$7:'Statement of Marks'!$IC$206,43,0),"")</f>
        <v>46</v>
      </c>
      <c r="I105" s="26"/>
      <c r="J105" s="347">
        <f>IF(L98="","",IF(AND(H105="",I105=""),"",SUM(H105,I105)))</f>
        <v>46</v>
      </c>
      <c r="K105" s="679">
        <f>IFERROR(IF(L98="","",IF(AND(G105="",J105=""),"",SUM(G105,J105))),"")</f>
        <v>71</v>
      </c>
      <c r="L105" s="26">
        <f>IFERROR(VLOOKUP(L98,'Statement of Marks'!$B$7:'Statement of Marks'!$IC$206,45,0),"")</f>
        <v>45</v>
      </c>
      <c r="M105" s="26"/>
      <c r="N105" s="347">
        <f>IF(L98="","",IF(AND(L105="",M105=""),"",SUM(L105,M105)))</f>
        <v>45</v>
      </c>
      <c r="O105" s="674">
        <f>IFERROR(VLOOKUP(L98,'Statement of Marks'!$B$7:'Statement of Marks'!$IC$206,46,0),"")</f>
        <v>116</v>
      </c>
      <c r="P105" s="680" t="str">
        <f>IFERROR(IF(O103="","",IF(VLOOKUP(L98,'Statement of Marks'!$B$7:'Statement of Marks'!$IC$206,201,0)="D","I",IF(VLOOKUP(L98,'Statement of Marks'!$B$7:'Statement of Marks'!$IC$206,201,0)="G1","G",IF(VLOOKUP(L98,'Statement of Marks'!$B$7:'Statement of Marks'!$IC$206,201,0)="G2","G",VLOOKUP(L98,'Statement of Marks'!$B$7:'Statement of Marks'!$IC$206,201,0))))),"")</f>
        <v>II</v>
      </c>
      <c r="Q105" s="1686"/>
      <c r="R105" s="1674" t="str">
        <f>IFERROR(VLOOKUP(AB98,'Statement of Marks'!$B$7:'Statement of Marks'!$IC$206,38,0),"")</f>
        <v>गुजराती (73)</v>
      </c>
      <c r="S105" s="1675"/>
      <c r="T105" s="26">
        <f>IFERROR(VLOOKUP(AB98,'Statement of Marks'!$B$7:'Statement of Marks'!$IC$206,39,0),"")</f>
        <v>8</v>
      </c>
      <c r="U105" s="26">
        <f>IFERROR(VLOOKUP(AB98,'Statement of Marks'!$B$7:'Statement of Marks'!$IC$206,40,0),"")</f>
        <v>9</v>
      </c>
      <c r="V105" s="26">
        <f>IFERROR(VLOOKUP(AB98,'Statement of Marks'!$B$7:'Statement of Marks'!$IC$206,41,0),"")</f>
        <v>8</v>
      </c>
      <c r="W105" s="26">
        <f>IFERROR(VLOOKUP(AB98,'Statement of Marks'!$B$7:'Statement of Marks'!$IC$206,42,0),"")</f>
        <v>25</v>
      </c>
      <c r="X105" s="26">
        <f>IFERROR(VLOOKUP(AB98,'Statement of Marks'!$B$7:'Statement of Marks'!$IC$206,43,0),"")</f>
        <v>58</v>
      </c>
      <c r="Y105" s="26"/>
      <c r="Z105" s="347">
        <f>IF(AB98="","",IF(AND(X105="",Y105=""),"",SUM(X105,Y105)))</f>
        <v>58</v>
      </c>
      <c r="AA105" s="679">
        <f>IFERROR(IF(AB98="","",IF(AND(W105="",Z105=""),"",SUM(W105,Z105))),"")</f>
        <v>83</v>
      </c>
      <c r="AB105" s="26">
        <f>IFERROR(VLOOKUP(AB98,'Statement of Marks'!$B$7:'Statement of Marks'!$IC$206,45,0),"")</f>
        <v>95</v>
      </c>
      <c r="AC105" s="26"/>
      <c r="AD105" s="347">
        <f>IF(AB98="","",IF(AND(AB105="",AC105=""),"",SUM(AB105,AC105)))</f>
        <v>95</v>
      </c>
      <c r="AE105" s="674">
        <f>IFERROR(VLOOKUP(AB98,'Statement of Marks'!$B$7:'Statement of Marks'!$IC$206,46,0),"")</f>
        <v>178</v>
      </c>
      <c r="AF105" s="680" t="str">
        <f>IFERROR(IF(AE103="","",IF(VLOOKUP(AB98,'Statement of Marks'!$B$7:'Statement of Marks'!$IC$206,201,0)="D","I",IF(VLOOKUP(AB98,'Statement of Marks'!$B$7:'Statement of Marks'!$IC$206,201,0)="G1","G",IF(VLOOKUP(AB98,'Statement of Marks'!$B$7:'Statement of Marks'!$IC$206,201,0)="G2","G",VLOOKUP(AB98,'Statement of Marks'!$B$7:'Statement of Marks'!$IC$206,201,0))))),"")</f>
        <v>I</v>
      </c>
      <c r="AV105"/>
      <c r="AW105"/>
      <c r="AX105"/>
      <c r="BA105"/>
      <c r="BB105"/>
      <c r="BC105"/>
    </row>
    <row r="106" spans="1:55" s="351" customFormat="1" ht="22.5" customHeight="1">
      <c r="A106" s="33">
        <f>IF(L98="","",A105+1)</f>
        <v>16</v>
      </c>
      <c r="B106" s="1674" t="str">
        <f>'Statement of Marks'!$BB$3</f>
        <v>गणित</v>
      </c>
      <c r="C106" s="1675"/>
      <c r="D106" s="26">
        <f>IFERROR(VLOOKUP(L98,'Statement of Marks'!$B$7:'Statement of Marks'!$IC$206,53,0),"")</f>
        <v>4</v>
      </c>
      <c r="E106" s="26">
        <f>IFERROR(VLOOKUP(L98,'Statement of Marks'!$B$7:'Statement of Marks'!$IC$206,54,0),"")</f>
        <v>4</v>
      </c>
      <c r="F106" s="26">
        <f>IFERROR(VLOOKUP(L98,'Statement of Marks'!$B$7:'Statement of Marks'!$IC$206,55,0),"")</f>
        <v>9</v>
      </c>
      <c r="G106" s="26">
        <f>IFERROR(VLOOKUP(L98,'Statement of Marks'!$B$7:'Statement of Marks'!$IC$206,56,0),"")</f>
        <v>17</v>
      </c>
      <c r="H106" s="26">
        <f>IFERROR(VLOOKUP(L98,'Statement of Marks'!$B$7:'Statement of Marks'!$IC$206,57,0),"")</f>
        <v>9</v>
      </c>
      <c r="I106" s="26"/>
      <c r="J106" s="347">
        <f>IF(L98="","",IF(AND(H106="",I106=""),"",SUM(H106,I106)))</f>
        <v>9</v>
      </c>
      <c r="K106" s="679">
        <f>IFERROR(IF(L98="","",IF(AND(G106="",J106=""),"",SUM(G106,J106))),"")</f>
        <v>26</v>
      </c>
      <c r="L106" s="26">
        <f>IFERROR(VLOOKUP(L98,'Statement of Marks'!$B$7:'Statement of Marks'!$IC$206,59,0),"")</f>
        <v>34</v>
      </c>
      <c r="M106" s="26"/>
      <c r="N106" s="347">
        <f>IF(L98="","",IF(AND(L106="",M106=""),"",SUM(L106,M106)))</f>
        <v>34</v>
      </c>
      <c r="O106" s="674">
        <f>IFERROR(VLOOKUP(L98,'Statement of Marks'!$B$7:'Statement of Marks'!$IC$206,60,0),"")</f>
        <v>60</v>
      </c>
      <c r="P106" s="680" t="str">
        <f>IFERROR(IF(O103="","",IF(VLOOKUP(L98,'Statement of Marks'!$B$7:'Statement of Marks'!$IC$206,209,0)="D","I",IF(VLOOKUP(L98,'Statement of Marks'!$B$7:'Statement of Marks'!$IC$206,209,0)="G1","G",IF(VLOOKUP(L98,'Statement of Marks'!$B$7:'Statement of Marks'!$IC$206,209,0)="G2","G",VLOOKUP(L98,'Statement of Marks'!$B$7:'Statement of Marks'!$IC$206,209,0))))),"")</f>
        <v>S</v>
      </c>
      <c r="Q106" s="1686"/>
      <c r="R106" s="1674" t="str">
        <f>'Statement of Marks'!$BB$3</f>
        <v>गणित</v>
      </c>
      <c r="S106" s="1675"/>
      <c r="T106" s="26">
        <f>IFERROR(VLOOKUP(AB98,'Statement of Marks'!$B$7:'Statement of Marks'!$IC$206,53,0),"")</f>
        <v>8</v>
      </c>
      <c r="U106" s="26">
        <f>IFERROR(VLOOKUP(AB98,'Statement of Marks'!$B$7:'Statement of Marks'!$IC$206,54,0),"")</f>
        <v>9</v>
      </c>
      <c r="V106" s="26">
        <f>IFERROR(VLOOKUP(AB98,'Statement of Marks'!$B$7:'Statement of Marks'!$IC$206,55,0),"")</f>
        <v>9</v>
      </c>
      <c r="W106" s="26">
        <f>IFERROR(VLOOKUP(AB98,'Statement of Marks'!$B$7:'Statement of Marks'!$IC$206,56,0),"")</f>
        <v>26</v>
      </c>
      <c r="X106" s="26">
        <f>IFERROR(VLOOKUP(AB98,'Statement of Marks'!$B$7:'Statement of Marks'!$IC$206,57,0),"")</f>
        <v>46</v>
      </c>
      <c r="Y106" s="26"/>
      <c r="Z106" s="347">
        <f>IF(AB98="","",IF(AND(X106="",Y106=""),"",SUM(X106,Y106)))</f>
        <v>46</v>
      </c>
      <c r="AA106" s="679">
        <f>IFERROR(IF(AB98="","",IF(AND(W106="",Z106=""),"",SUM(W106,Z106))),"")</f>
        <v>72</v>
      </c>
      <c r="AB106" s="26">
        <f>IFERROR(VLOOKUP(AB98,'Statement of Marks'!$B$7:'Statement of Marks'!$IC$206,59,0),"")</f>
        <v>45</v>
      </c>
      <c r="AC106" s="26"/>
      <c r="AD106" s="347">
        <f>IF(AB98="","",IF(AND(AB106="",AC106=""),"",SUM(AB106,AC106)))</f>
        <v>45</v>
      </c>
      <c r="AE106" s="674">
        <f>IFERROR(VLOOKUP(AB98,'Statement of Marks'!$B$7:'Statement of Marks'!$IC$206,60,0),"")</f>
        <v>117</v>
      </c>
      <c r="AF106" s="680" t="str">
        <f>IFERROR(IF(AE103="","",IF(VLOOKUP(AB98,'Statement of Marks'!$B$7:'Statement of Marks'!$IC$206,209,0)="D","I",IF(VLOOKUP(AB98,'Statement of Marks'!$B$7:'Statement of Marks'!$IC$206,209,0)="G1","G",IF(VLOOKUP(AB98,'Statement of Marks'!$B$7:'Statement of Marks'!$IC$206,209,0)="G2","G",VLOOKUP(AB98,'Statement of Marks'!$B$7:'Statement of Marks'!$IC$206,209,0))))),"")</f>
        <v>II</v>
      </c>
      <c r="AV106"/>
      <c r="AW106"/>
      <c r="AX106"/>
      <c r="BA106"/>
      <c r="BB106"/>
      <c r="BC106"/>
    </row>
    <row r="107" spans="1:55" s="351" customFormat="1" ht="22.5" customHeight="1">
      <c r="A107" s="33">
        <f>IF(L98="","",A106+1)</f>
        <v>17</v>
      </c>
      <c r="B107" s="1661" t="str">
        <f>'Statement of Marks'!$BP$3</f>
        <v>विज्ञान</v>
      </c>
      <c r="C107" s="1662"/>
      <c r="D107" s="26">
        <f>IFERROR(VLOOKUP(L98,'Statement of Marks'!$B$7:'Statement of Marks'!$IC$206,67,0),"")</f>
        <v>8</v>
      </c>
      <c r="E107" s="26">
        <f>IFERROR(VLOOKUP(L98,'Statement of Marks'!$B$7:'Statement of Marks'!$IC$206,68,0),"")</f>
        <v>9</v>
      </c>
      <c r="F107" s="26">
        <f>IFERROR(VLOOKUP(L98,'Statement of Marks'!$B$7:'Statement of Marks'!$IC$206,69,0),"")</f>
        <v>10</v>
      </c>
      <c r="G107" s="26">
        <f>IFERROR(VLOOKUP(L98,'Statement of Marks'!$B$7:'Statement of Marks'!$IC$206,70,0),"")</f>
        <v>27</v>
      </c>
      <c r="H107" s="26">
        <f>IFERROR(VLOOKUP(L98,'Statement of Marks'!$B$7:'Statement of Marks'!$IC$206,71,0),"")</f>
        <v>46</v>
      </c>
      <c r="I107" s="26"/>
      <c r="J107" s="347">
        <f>IF(L98="","",IF(AND(H107="",I107=""),"",SUM(H107,I107)))</f>
        <v>46</v>
      </c>
      <c r="K107" s="679">
        <f>IFERROR(IF(L98="","",IF(AND(G107="",J107=""),"",SUM(G107,J107))),"")</f>
        <v>73</v>
      </c>
      <c r="L107" s="26">
        <f>IFERROR(VLOOKUP(L98,'Statement of Marks'!$B$7:'Statement of Marks'!$IC$206,73,0),"")</f>
        <v>45</v>
      </c>
      <c r="M107" s="26"/>
      <c r="N107" s="347">
        <f>IF(L98="","",IF(AND(L107="",M107=""),"",SUM(L107,M107)))</f>
        <v>45</v>
      </c>
      <c r="O107" s="674">
        <f>IFERROR(VLOOKUP(L98,'Statement of Marks'!$B$7:'Statement of Marks'!$IC$206,74,0),"")</f>
        <v>118</v>
      </c>
      <c r="P107" s="680" t="str">
        <f>IFERROR(IF(O103="","",IF(VLOOKUP(L98,'Statement of Marks'!$B$7:'Statement of Marks'!$IC$206,212,0)="D","I",IF(VLOOKUP(L98,'Statement of Marks'!$B$7:'Statement of Marks'!$IC$206,212,0)="G1","G",IF(VLOOKUP(L98,'Statement of Marks'!$B$7:'Statement of Marks'!$IC$206,212,0)="G2","G",VLOOKUP(L98,'Statement of Marks'!$B$7:'Statement of Marks'!$IC$206,212,0))))),"")</f>
        <v>II</v>
      </c>
      <c r="Q107" s="1686"/>
      <c r="R107" s="1661" t="str">
        <f>'Statement of Marks'!$BP$3</f>
        <v>विज्ञान</v>
      </c>
      <c r="S107" s="1662"/>
      <c r="T107" s="26">
        <f>IFERROR(VLOOKUP(AB98,'Statement of Marks'!$B$7:'Statement of Marks'!$IC$206,67,0),"")</f>
        <v>8</v>
      </c>
      <c r="U107" s="26">
        <f>IFERROR(VLOOKUP(AB98,'Statement of Marks'!$B$7:'Statement of Marks'!$IC$206,68,0),"")</f>
        <v>9</v>
      </c>
      <c r="V107" s="26">
        <f>IFERROR(VLOOKUP(AB98,'Statement of Marks'!$B$7:'Statement of Marks'!$IC$206,69,0),"")</f>
        <v>10</v>
      </c>
      <c r="W107" s="26">
        <f>IFERROR(VLOOKUP(AB98,'Statement of Marks'!$B$7:'Statement of Marks'!$IC$206,70,0),"")</f>
        <v>27</v>
      </c>
      <c r="X107" s="26">
        <f>IFERROR(VLOOKUP(AB98,'Statement of Marks'!$B$7:'Statement of Marks'!$IC$206,71,0),"")</f>
        <v>46</v>
      </c>
      <c r="Y107" s="26"/>
      <c r="Z107" s="347">
        <f>IF(AB98="","",IF(AND(X107="",Y107=""),"",SUM(X107,Y107)))</f>
        <v>46</v>
      </c>
      <c r="AA107" s="679">
        <f>IFERROR(IF(AB98="","",IF(AND(W107="",Z107=""),"",SUM(W107,Z107))),"")</f>
        <v>73</v>
      </c>
      <c r="AB107" s="26">
        <f>IFERROR(VLOOKUP(AB98,'Statement of Marks'!$B$7:'Statement of Marks'!$IC$206,73,0),"")</f>
        <v>45</v>
      </c>
      <c r="AC107" s="26"/>
      <c r="AD107" s="347">
        <f>IF(AB98="","",IF(AND(AB107="",AC107=""),"",SUM(AB107,AC107)))</f>
        <v>45</v>
      </c>
      <c r="AE107" s="674">
        <f>IFERROR(VLOOKUP(AB98,'Statement of Marks'!$B$7:'Statement of Marks'!$IC$206,74,0),"")</f>
        <v>118</v>
      </c>
      <c r="AF107" s="680" t="str">
        <f>IFERROR(IF(AE103="","",IF(VLOOKUP(AB98,'Statement of Marks'!$B$7:'Statement of Marks'!$IC$206,212,0)="D","I",IF(VLOOKUP(AB98,'Statement of Marks'!$B$7:'Statement of Marks'!$IC$206,212,0)="G1","G",IF(VLOOKUP(AB98,'Statement of Marks'!$B$7:'Statement of Marks'!$IC$206,212,0)="G2","G",VLOOKUP(AB98,'Statement of Marks'!$B$7:'Statement of Marks'!$IC$206,212,0))))),"")</f>
        <v>II</v>
      </c>
      <c r="AV107"/>
      <c r="AW107"/>
      <c r="AX107"/>
      <c r="BA107"/>
      <c r="BB107"/>
      <c r="BC107"/>
    </row>
    <row r="108" spans="1:55" s="351" customFormat="1" ht="22.5" customHeight="1">
      <c r="A108" s="33">
        <f>IF(L98="","",A107+1)</f>
        <v>18</v>
      </c>
      <c r="B108" s="409" t="str">
        <f>'Statement of Marks'!$CE$3</f>
        <v>सामाजिक विज्ञान</v>
      </c>
      <c r="C108" s="412" t="str">
        <f>IF(OR(L98="",O108="",O110=""),"",IF(AND(O108&gt;=O110),"*",""))</f>
        <v/>
      </c>
      <c r="D108" s="26">
        <f>IFERROR(VLOOKUP(L98,'Statement of Marks'!$B$7:'Statement of Marks'!$IC$206,82,0),"")</f>
        <v>10</v>
      </c>
      <c r="E108" s="26">
        <f>IFERROR(VLOOKUP(L98,'Statement of Marks'!$B$7:'Statement of Marks'!$IC$206,83,0),"")</f>
        <v>10</v>
      </c>
      <c r="F108" s="26">
        <f>IFERROR(VLOOKUP(L98,'Statement of Marks'!$B$7:'Statement of Marks'!$IC$206,84,0),"")</f>
        <v>10</v>
      </c>
      <c r="G108" s="26">
        <f>IFERROR(VLOOKUP(L98,'Statement of Marks'!$B$7:'Statement of Marks'!$IC$206,85,0),"")</f>
        <v>30</v>
      </c>
      <c r="H108" s="26">
        <f>IFERROR(VLOOKUP(L98,'Statement of Marks'!$B$7:'Statement of Marks'!$IC$206,86,0),"")</f>
        <v>46</v>
      </c>
      <c r="I108" s="26"/>
      <c r="J108" s="347">
        <f>IF(L98="","",IF(AND(H108="",I108=""),"",SUM(H108,I108)))</f>
        <v>46</v>
      </c>
      <c r="K108" s="679">
        <f>IFERROR(IF(L98="","",IF(AND(G108="",J108=""),"",SUM(G108,J108))),"")</f>
        <v>76</v>
      </c>
      <c r="L108" s="26">
        <f>IFERROR(VLOOKUP(L98,'Statement of Marks'!$B$7:'Statement of Marks'!$IC$206,88,0),"")</f>
        <v>45</v>
      </c>
      <c r="M108" s="26"/>
      <c r="N108" s="347">
        <f>IF(L98="","",IF(AND(L108="",M108=""),"",SUM(L108,M108)))</f>
        <v>45</v>
      </c>
      <c r="O108" s="674">
        <f>IFERROR(VLOOKUP(L98,'Statement of Marks'!$B$7:'Statement of Marks'!$IC$206,89,0),"")</f>
        <v>121</v>
      </c>
      <c r="P108" s="680" t="str">
        <f>IFERROR(IF(O103="","",IF(VLOOKUP(L98,'Statement of Marks'!$B$7:'Statement of Marks'!$IC$206,215,0)="D","I",IF(VLOOKUP(L98,'Statement of Marks'!$B$7:'Statement of Marks'!$IC$206,215,0)="G1","G",IF(VLOOKUP(L98,'Statement of Marks'!$B$7:'Statement of Marks'!$IC$206,215,0)="G2","G",VLOOKUP(L98,'Statement of Marks'!$B$7:'Statement of Marks'!$IC$206,215,0))))),"")</f>
        <v>I</v>
      </c>
      <c r="Q108" s="1686"/>
      <c r="R108" s="409" t="str">
        <f>'Statement of Marks'!$CE$3</f>
        <v>सामाजिक विज्ञान</v>
      </c>
      <c r="S108" s="412" t="str">
        <f>IF(OR(AB98="",AE108="",AE110=""),"",IF(AND(AE108&gt;=AE110),"*",""))</f>
        <v/>
      </c>
      <c r="T108" s="26">
        <f>IFERROR(VLOOKUP(AB98,'Statement of Marks'!$B$7:'Statement of Marks'!$IC$206,82,0),"")</f>
        <v>8</v>
      </c>
      <c r="U108" s="26">
        <f>IFERROR(VLOOKUP(AB98,'Statement of Marks'!$B$7:'Statement of Marks'!$IC$206,83,0),"")</f>
        <v>8</v>
      </c>
      <c r="V108" s="26">
        <f>IFERROR(VLOOKUP(AB98,'Statement of Marks'!$B$7:'Statement of Marks'!$IC$206,84,0),"")</f>
        <v>8</v>
      </c>
      <c r="W108" s="26">
        <f>IFERROR(VLOOKUP(AB98,'Statement of Marks'!$B$7:'Statement of Marks'!$IC$206,85,0),"")</f>
        <v>24</v>
      </c>
      <c r="X108" s="26">
        <f>IFERROR(VLOOKUP(AB98,'Statement of Marks'!$B$7:'Statement of Marks'!$IC$206,86,0),"")</f>
        <v>46</v>
      </c>
      <c r="Y108" s="26"/>
      <c r="Z108" s="347">
        <f>IF(AB98="","",IF(AND(X108="",Y108=""),"",SUM(X108,Y108)))</f>
        <v>46</v>
      </c>
      <c r="AA108" s="679">
        <f>IFERROR(IF(AB98="","",IF(AND(W108="",Z108=""),"",SUM(W108,Z108))),"")</f>
        <v>70</v>
      </c>
      <c r="AB108" s="26">
        <f>IFERROR(VLOOKUP(AB98,'Statement of Marks'!$B$7:'Statement of Marks'!$IC$206,88,0),"")</f>
        <v>45</v>
      </c>
      <c r="AC108" s="26"/>
      <c r="AD108" s="347">
        <f>IF(AB98="","",IF(AND(AB108="",AC108=""),"",SUM(AB108,AC108)))</f>
        <v>45</v>
      </c>
      <c r="AE108" s="674">
        <f>IFERROR(VLOOKUP(AB98,'Statement of Marks'!$B$7:'Statement of Marks'!$IC$206,89,0),"")</f>
        <v>115</v>
      </c>
      <c r="AF108" s="680" t="str">
        <f>IFERROR(IF(AE103="","",IF(VLOOKUP(AB98,'Statement of Marks'!$B$7:'Statement of Marks'!$IC$206,215,0)="D","I",IF(VLOOKUP(AB98,'Statement of Marks'!$B$7:'Statement of Marks'!$IC$206,215,0)="G1","G",IF(VLOOKUP(AB98,'Statement of Marks'!$B$7:'Statement of Marks'!$IC$206,215,0)="G2","G",VLOOKUP(AB98,'Statement of Marks'!$B$7:'Statement of Marks'!$IC$206,215,0))))),"")</f>
        <v>II</v>
      </c>
      <c r="AV108"/>
      <c r="AW108"/>
      <c r="AX108"/>
      <c r="BA108"/>
      <c r="BB108"/>
      <c r="BC108"/>
    </row>
    <row r="109" spans="1:55" s="351" customFormat="1">
      <c r="A109" s="33">
        <f>IF(L98="","",A108+1)</f>
        <v>19</v>
      </c>
      <c r="B109" s="1663" t="str">
        <f>IF('School Profile'!$D$12="Hindi","व्यावसायिक शिक्षा","Vocational Education")</f>
        <v>व्यावसायिक शिक्षा</v>
      </c>
      <c r="C109" s="1664"/>
      <c r="D109" s="1665"/>
      <c r="E109" s="1665"/>
      <c r="F109" s="1665"/>
      <c r="G109" s="1665"/>
      <c r="H109" s="1665"/>
      <c r="I109" s="1665"/>
      <c r="J109" s="1665"/>
      <c r="K109" s="1665"/>
      <c r="L109" s="1665"/>
      <c r="M109" s="1665"/>
      <c r="N109" s="1665"/>
      <c r="O109" s="1665"/>
      <c r="P109" s="1666"/>
      <c r="Q109" s="1686"/>
      <c r="R109" s="1663" t="str">
        <f>IF('School Profile'!$D$12="Hindi","व्यावसायिक शिक्षा","Vocational Education")</f>
        <v>व्यावसायिक शिक्षा</v>
      </c>
      <c r="S109" s="1664"/>
      <c r="T109" s="1665"/>
      <c r="U109" s="1665"/>
      <c r="V109" s="1665"/>
      <c r="W109" s="1665"/>
      <c r="X109" s="1665"/>
      <c r="Y109" s="1665"/>
      <c r="Z109" s="1665"/>
      <c r="AA109" s="1665"/>
      <c r="AB109" s="1665"/>
      <c r="AC109" s="1665"/>
      <c r="AD109" s="1665"/>
      <c r="AE109" s="1665"/>
      <c r="AF109" s="1666"/>
      <c r="AV109"/>
      <c r="AW109"/>
      <c r="AX109"/>
      <c r="BA109"/>
      <c r="BB109"/>
      <c r="BC109"/>
    </row>
    <row r="110" spans="1:55" s="351" customFormat="1" ht="22.5" customHeight="1">
      <c r="A110" s="33">
        <f>IF(L98="","",A109+1)</f>
        <v>20</v>
      </c>
      <c r="B110" s="411" t="str">
        <f>IFERROR(VLOOKUP(L98,'Statement of Marks'!$B$7:'Statement of Marks'!$IC$206,96,0),"")</f>
        <v/>
      </c>
      <c r="C110" s="410" t="str">
        <f>IF(OR(L98="",O108="",O110="",B110=""),"",IF(AND(O110&gt;=O108),"*",""))</f>
        <v/>
      </c>
      <c r="D110" s="397" t="str">
        <f>IFERROR(VLOOKUP(L98,'Statement of Marks'!$B$7:'Statement of Marks'!$IC$206,97,0),"")</f>
        <v/>
      </c>
      <c r="E110" s="26" t="str">
        <f>IFERROR(VLOOKUP(L98,'Statement of Marks'!$B$7:'Statement of Marks'!$IC$206,98,0),"")</f>
        <v/>
      </c>
      <c r="F110" s="26" t="str">
        <f>IFERROR(VLOOKUP(L98,'Statement of Marks'!$B$7:'Statement of Marks'!$IC$206,99,0),"")</f>
        <v/>
      </c>
      <c r="G110" s="26" t="str">
        <f>IFERROR(VLOOKUP(L98,'Statement of Marks'!$B$7:'Statement of Marks'!$IC$206,100,0),"")</f>
        <v/>
      </c>
      <c r="H110" s="27" t="str">
        <f>IFERROR(VLOOKUP(L98,'Statement of Marks'!$B$7:'Statement of Marks'!$IC$206,101,0),"")</f>
        <v/>
      </c>
      <c r="I110" s="27" t="str">
        <f>IFERROR(VLOOKUP(L98,'Statement of Marks'!$B$7:'Statement of Marks'!$IC$206,102,0),"")</f>
        <v/>
      </c>
      <c r="J110" s="347" t="str">
        <f>IFERROR(VLOOKUP(L98,'Statement of Marks'!$B$7:'Statement of Marks'!$IC$206,103,0),"")</f>
        <v/>
      </c>
      <c r="K110" s="679" t="str">
        <f>IFERROR(IF(L98="","",IF(AND(G110="",J110=""),"",SUM(G110,J110))),"")</f>
        <v/>
      </c>
      <c r="L110" s="26" t="str">
        <f>IFERROR(VLOOKUP(L98,'Statement of Marks'!$B$7:'Statement of Marks'!$IC$206,105,0),"")</f>
        <v/>
      </c>
      <c r="M110" s="26" t="str">
        <f>IFERROR(VLOOKUP(L98,'Statement of Marks'!$B$7:'Statement of Marks'!$IC$206,106,0),"")</f>
        <v/>
      </c>
      <c r="N110" s="347" t="str">
        <f>IF(L98="","",IF(AND(L110="",M110=""),"",SUM(L110,M110)))</f>
        <v/>
      </c>
      <c r="O110" s="672" t="str">
        <f>IFERROR(VLOOKUP(L98,'Statement of Marks'!$B$7:'Statement of Marks'!$IC$206,108,0),"")</f>
        <v/>
      </c>
      <c r="P110" s="680" t="str">
        <f>IFERROR(IF(O103="","",IF(VLOOKUP(L98,'Statement of Marks'!$B$7:'Statement of Marks'!$IC$206,218,0)="D","I",IF(VLOOKUP(L98,'Statement of Marks'!$B$7:'Statement of Marks'!$IC$206,218,0)="G1","G",IF(VLOOKUP(L98,'Statement of Marks'!$B$7:'Statement of Marks'!$IC$206,218,0)="G2","G",VLOOKUP(L98,'Statement of Marks'!$B$7:'Statement of Marks'!$IC$206,218,0))))),"")</f>
        <v/>
      </c>
      <c r="Q110" s="1686"/>
      <c r="R110" s="411" t="str">
        <f>IFERROR(VLOOKUP(AB98,'Statement of Marks'!$B$7:'Statement of Marks'!$IC$206,96,0),"")</f>
        <v/>
      </c>
      <c r="S110" s="410" t="str">
        <f>IF(OR(AB98="",AE108="",AE110="",R110=""),"",IF(AND(AE110&gt;=AE108),"*",""))</f>
        <v/>
      </c>
      <c r="T110" s="397" t="str">
        <f>IFERROR(VLOOKUP(AB98,'Statement of Marks'!$B$7:'Statement of Marks'!$IC$206,97,0),"")</f>
        <v/>
      </c>
      <c r="U110" s="26" t="str">
        <f>IFERROR(VLOOKUP(AB98,'Statement of Marks'!$B$7:'Statement of Marks'!$IC$206,98,0),"")</f>
        <v/>
      </c>
      <c r="V110" s="26" t="str">
        <f>IFERROR(VLOOKUP(AB98,'Statement of Marks'!$B$7:'Statement of Marks'!$IC$206,99,0),"")</f>
        <v/>
      </c>
      <c r="W110" s="26" t="str">
        <f>IFERROR(VLOOKUP(AB98,'Statement of Marks'!$B$7:'Statement of Marks'!$IC$206,100,0),"")</f>
        <v/>
      </c>
      <c r="X110" s="27" t="str">
        <f>IFERROR(VLOOKUP(AB98,'Statement of Marks'!$B$7:'Statement of Marks'!$IC$206,101,0),"")</f>
        <v/>
      </c>
      <c r="Y110" s="27" t="str">
        <f>IFERROR(VLOOKUP(AB98,'Statement of Marks'!$B$7:'Statement of Marks'!$IC$206,102,0),"")</f>
        <v/>
      </c>
      <c r="Z110" s="347" t="str">
        <f>IFERROR(VLOOKUP(AB98,'Statement of Marks'!$B$7:'Statement of Marks'!$IC$206,103,0),"")</f>
        <v/>
      </c>
      <c r="AA110" s="679" t="str">
        <f>IFERROR(IF(AB98="","",IF(AND(W110="",Z110=""),"",SUM(W110,Z110))),"")</f>
        <v/>
      </c>
      <c r="AB110" s="26" t="str">
        <f>IFERROR(VLOOKUP(AB98,'Statement of Marks'!$B$7:'Statement of Marks'!$IC$206,105,0),"")</f>
        <v/>
      </c>
      <c r="AC110" s="26" t="str">
        <f>IFERROR(VLOOKUP(AB98,'Statement of Marks'!$B$7:'Statement of Marks'!$IC$206,106,0),"")</f>
        <v/>
      </c>
      <c r="AD110" s="347" t="str">
        <f>IF(AB98="","",IF(AND(AB110="",AC110=""),"",SUM(AB110,AC110)))</f>
        <v/>
      </c>
      <c r="AE110" s="672" t="str">
        <f>IFERROR(VLOOKUP(AB98,'Statement of Marks'!$B$7:'Statement of Marks'!$IC$206,108,0),"")</f>
        <v/>
      </c>
      <c r="AF110" s="680" t="str">
        <f>IFERROR(IF(AE103="","",IF(VLOOKUP(AB98,'Statement of Marks'!$B$7:'Statement of Marks'!$IC$206,218,0)="D","I",IF(VLOOKUP(AB98,'Statement of Marks'!$B$7:'Statement of Marks'!$IC$206,218,0)="G1","G",IF(VLOOKUP(AB98,'Statement of Marks'!$B$7:'Statement of Marks'!$IC$206,218,0)="G2","G",VLOOKUP(AB98,'Statement of Marks'!$B$7:'Statement of Marks'!$IC$206,218,0))))),"")</f>
        <v/>
      </c>
      <c r="AV110"/>
      <c r="AW110"/>
      <c r="AX110"/>
      <c r="BA110"/>
      <c r="BB110"/>
      <c r="BC110"/>
    </row>
    <row r="111" spans="1:55" s="351" customFormat="1" ht="25.5" customHeight="1">
      <c r="A111" s="33">
        <f>IF(L98="","",A110+1)</f>
        <v>21</v>
      </c>
      <c r="B111" s="1667"/>
      <c r="C111" s="1668"/>
      <c r="D111" s="1669"/>
      <c r="E111" s="1669"/>
      <c r="F111" s="1669"/>
      <c r="G111" s="1669"/>
      <c r="H111" s="1669"/>
      <c r="I111" s="1669"/>
      <c r="J111" s="1669"/>
      <c r="K111" s="1669"/>
      <c r="L111" s="1670" t="str">
        <f>IF('School Profile'!$D$12="Hindi","महायोग :","Grand Total :")</f>
        <v>महायोग :</v>
      </c>
      <c r="M111" s="1671"/>
      <c r="N111" s="1671"/>
      <c r="O111" s="1672">
        <f>IF(OR(L98="",C96=""),"",IF(OR(B110="",O110=""),SUM(O103,O104,O105,O106,O107,O108),IF((O108/O102*100)&gt;=(O110/O102*100),SUM(O103:O108),SUM(O103,O104,O105,O106,O107,O110))))</f>
        <v>688</v>
      </c>
      <c r="P111" s="1673"/>
      <c r="Q111" s="1686"/>
      <c r="R111" s="1667"/>
      <c r="S111" s="1668"/>
      <c r="T111" s="1669"/>
      <c r="U111" s="1669"/>
      <c r="V111" s="1669"/>
      <c r="W111" s="1669"/>
      <c r="X111" s="1669"/>
      <c r="Y111" s="1669"/>
      <c r="Z111" s="1669"/>
      <c r="AA111" s="1669"/>
      <c r="AB111" s="1670" t="str">
        <f>IF('School Profile'!$D$12="Hindi","महायोग :","Grand Total :")</f>
        <v>महायोग :</v>
      </c>
      <c r="AC111" s="1671"/>
      <c r="AD111" s="1671"/>
      <c r="AE111" s="1672">
        <f>IF(OR(AB98="",S96=""),"",IF(OR(R110="",AE110=""),SUM(AE103,AE104,AE105,AE106,AE107,AE108),IF((AE108/AE102*100)&gt;=(AE110/AE102*100),SUM(AE103:AE108),SUM(AE103,AE104,AE105,AE106,AE107,AE110))))</f>
        <v>846</v>
      </c>
      <c r="AF111" s="1673"/>
      <c r="AV111"/>
      <c r="AW111"/>
      <c r="AX111"/>
      <c r="BA111"/>
      <c r="BB111"/>
      <c r="BC111"/>
    </row>
    <row r="112" spans="1:55" s="351" customFormat="1" ht="25.5" customHeight="1">
      <c r="A112" s="33">
        <f>IF(L98="","",A111+1)</f>
        <v>22</v>
      </c>
      <c r="B112" s="1647" t="str">
        <f>'Statement of Marks'!$DZ$208</f>
        <v>राजस्थान का स्वंत्रता आन्दोलन व शोर्य परम्परा</v>
      </c>
      <c r="C112" s="1648"/>
      <c r="D112" s="1649" t="s">
        <v>148</v>
      </c>
      <c r="E112" s="1650"/>
      <c r="F112" s="355">
        <f>IFERROR(VLOOKUP(L98,'Statement of Marks'!$B$7:'Statement of Marks'!$IC$206,136,0),"")</f>
        <v>184</v>
      </c>
      <c r="G112" s="356" t="s">
        <v>134</v>
      </c>
      <c r="H112" s="355" t="str">
        <f>IFERROR(VLOOKUP(L98,'Statement of Marks'!$B$7:'Statement of Marks'!$IC$206,137,0),"")</f>
        <v>A</v>
      </c>
      <c r="I112" s="1651" t="str">
        <f>'Statement of Marks'!$EL$208</f>
        <v>सूचना प्रोद्योगिकी की अवधारणा - I</v>
      </c>
      <c r="J112" s="1652"/>
      <c r="K112" s="1652"/>
      <c r="L112" s="1653"/>
      <c r="M112" s="354" t="s">
        <v>148</v>
      </c>
      <c r="N112" s="355">
        <f>IFERROR(VLOOKUP(L98,'Statement of Marks'!$B$7:'Statement of Marks'!$IC$206,152,0),"")</f>
        <v>168</v>
      </c>
      <c r="O112" s="356" t="s">
        <v>134</v>
      </c>
      <c r="P112" s="355" t="str">
        <f>IFERROR(VLOOKUP(L98,'Statement of Marks'!$B$7:'Statement of Marks'!$IC$206,153,0),"")</f>
        <v>A</v>
      </c>
      <c r="Q112" s="1686"/>
      <c r="R112" s="1647" t="str">
        <f>'Statement of Marks'!$DZ$208</f>
        <v>राजस्थान का स्वंत्रता आन्दोलन व शोर्य परम्परा</v>
      </c>
      <c r="S112" s="1648"/>
      <c r="T112" s="1649" t="s">
        <v>148</v>
      </c>
      <c r="U112" s="1650"/>
      <c r="V112" s="355">
        <f>IFERROR(VLOOKUP(AB98,'Statement of Marks'!$B$7:'Statement of Marks'!$IC$206,136,0),"")</f>
        <v>184</v>
      </c>
      <c r="W112" s="356" t="s">
        <v>134</v>
      </c>
      <c r="X112" s="355" t="str">
        <f>IFERROR(VLOOKUP(AB98,'Statement of Marks'!$B$7:'Statement of Marks'!$IC$206,137,0),"")</f>
        <v>A</v>
      </c>
      <c r="Y112" s="1651" t="str">
        <f>'Statement of Marks'!$EL$208</f>
        <v>सूचना प्रोद्योगिकी की अवधारणा - I</v>
      </c>
      <c r="Z112" s="1652"/>
      <c r="AA112" s="1652"/>
      <c r="AB112" s="1653"/>
      <c r="AC112" s="354" t="s">
        <v>148</v>
      </c>
      <c r="AD112" s="355">
        <f>IFERROR(VLOOKUP(AB98,'Statement of Marks'!$B$7:'Statement of Marks'!$IC$206,152,0),"")</f>
        <v>183</v>
      </c>
      <c r="AE112" s="356" t="s">
        <v>134</v>
      </c>
      <c r="AF112" s="355" t="str">
        <f>IFERROR(VLOOKUP(AB98,'Statement of Marks'!$B$7:'Statement of Marks'!$IC$206,153,0),"")</f>
        <v>A</v>
      </c>
      <c r="AV112"/>
      <c r="AW112"/>
      <c r="AX112"/>
      <c r="BA112"/>
      <c r="BB112"/>
      <c r="BC112"/>
    </row>
    <row r="113" spans="1:55" s="351" customFormat="1" ht="25.5" customHeight="1">
      <c r="A113" s="33">
        <f>IF(L98="","",A112+1)</f>
        <v>23</v>
      </c>
      <c r="B113" s="1654" t="str">
        <f>'Statement of Marks'!$FB$208</f>
        <v>स्वा. एवं शा. शिक्षा</v>
      </c>
      <c r="C113" s="1655"/>
      <c r="D113" s="1656" t="s">
        <v>148</v>
      </c>
      <c r="E113" s="1657"/>
      <c r="F113" s="355">
        <f>IFERROR(VLOOKUP(L98,'Statement of Marks'!$B$7:'Statement of Marks'!$IC$206,171,0),"")</f>
        <v>171</v>
      </c>
      <c r="G113" s="356" t="s">
        <v>134</v>
      </c>
      <c r="H113" s="355" t="str">
        <f>IFERROR(VLOOKUP(L98,'Statement of Marks'!$B$7:'Statement of Marks'!$IC$206,172,0),"")</f>
        <v>A</v>
      </c>
      <c r="I113" s="1658" t="str">
        <f>'Statement of Marks'!$FJ$208</f>
        <v>समाजोपयोगी उत्पादन कार्य एवं समाज सेवा</v>
      </c>
      <c r="J113" s="1659"/>
      <c r="K113" s="1659"/>
      <c r="L113" s="1660"/>
      <c r="M113" s="403" t="s">
        <v>148</v>
      </c>
      <c r="N113" s="404">
        <f>IFERROR(VLOOKUP(L98,'Statement of Marks'!$B$7:'Statement of Marks'!$IC$206,179,0),"")</f>
        <v>80</v>
      </c>
      <c r="O113" s="405" t="s">
        <v>134</v>
      </c>
      <c r="P113" s="404" t="str">
        <f>IFERROR(VLOOKUP(L98,'Statement of Marks'!$B$7:'Statement of Marks'!$IC$206,180,0),"")</f>
        <v>B</v>
      </c>
      <c r="Q113" s="1686"/>
      <c r="R113" s="1654" t="str">
        <f>'Statement of Marks'!$FB$208</f>
        <v>स्वा. एवं शा. शिक्षा</v>
      </c>
      <c r="S113" s="1655"/>
      <c r="T113" s="1656" t="s">
        <v>148</v>
      </c>
      <c r="U113" s="1657"/>
      <c r="V113" s="355">
        <f>IFERROR(VLOOKUP(AB98,'Statement of Marks'!$B$7:'Statement of Marks'!$IC$206,171,0),"")</f>
        <v>175</v>
      </c>
      <c r="W113" s="356" t="s">
        <v>134</v>
      </c>
      <c r="X113" s="355" t="str">
        <f>IFERROR(VLOOKUP(AB98,'Statement of Marks'!$B$7:'Statement of Marks'!$IC$206,172,0),"")</f>
        <v>A</v>
      </c>
      <c r="Y113" s="1658" t="str">
        <f>'Statement of Marks'!$FJ$208</f>
        <v>समाजोपयोगी उत्पादन कार्य एवं समाज सेवा</v>
      </c>
      <c r="Z113" s="1659"/>
      <c r="AA113" s="1659"/>
      <c r="AB113" s="1660"/>
      <c r="AC113" s="403" t="s">
        <v>148</v>
      </c>
      <c r="AD113" s="404">
        <f>IFERROR(VLOOKUP(AB98,'Statement of Marks'!$B$7:'Statement of Marks'!$IC$206,179,0),"")</f>
        <v>80</v>
      </c>
      <c r="AE113" s="405" t="s">
        <v>134</v>
      </c>
      <c r="AF113" s="404" t="str">
        <f>IFERROR(VLOOKUP(AB98,'Statement of Marks'!$B$7:'Statement of Marks'!$IC$206,180,0),"")</f>
        <v>B</v>
      </c>
      <c r="AV113"/>
      <c r="AW113"/>
      <c r="AX113"/>
      <c r="BA113"/>
      <c r="BB113"/>
      <c r="BC113"/>
    </row>
    <row r="114" spans="1:55" s="351" customFormat="1" ht="30" customHeight="1">
      <c r="A114" s="33">
        <f>IF(L98="","",A113+1)</f>
        <v>24</v>
      </c>
      <c r="B114" s="1626" t="str">
        <f>'Statement of Marks'!$FU$208</f>
        <v>कला शिक्षा</v>
      </c>
      <c r="C114" s="1627"/>
      <c r="D114" s="1628" t="s">
        <v>148</v>
      </c>
      <c r="E114" s="1629"/>
      <c r="F114" s="404">
        <f>IFERROR(VLOOKUP(L98,'Statement of Marks'!$B$7:'Statement of Marks'!$IC$206,187,0),"")</f>
        <v>88</v>
      </c>
      <c r="G114" s="405" t="s">
        <v>134</v>
      </c>
      <c r="H114" s="355" t="str">
        <f>IFERROR(VLOOKUP(L98,'Statement of Marks'!$B$7:'Statement of Marks'!$IC$206,188,0),"")</f>
        <v>A</v>
      </c>
      <c r="I114" s="1630" t="str">
        <f>IF('School Profile'!$D$12="Hindi","परीक्षा परिणाम घोषित दिनांक :-","Date of Result declaration :-")</f>
        <v>परीक्षा परिणाम घोषित दिनांक :-</v>
      </c>
      <c r="J114" s="1631"/>
      <c r="K114" s="1631"/>
      <c r="L114" s="1632"/>
      <c r="M114" s="1633">
        <f>IF(AND(L98=""),"",IF('School Profile'!$D$11="","",'School Profile'!$D$11))</f>
        <v>46106</v>
      </c>
      <c r="N114" s="1634"/>
      <c r="O114" s="690" t="str">
        <f>IF('School Profile'!$D$12="Hindi","श्रेणी","Division")</f>
        <v>श्रेणी</v>
      </c>
      <c r="P114" s="407" t="str">
        <f>IFERROR(VLOOKUP(L98,'Statement of Marks'!$B$7:'Statement of Marks'!$IC$206,229,0),"")</f>
        <v/>
      </c>
      <c r="Q114" s="1686"/>
      <c r="R114" s="1626" t="str">
        <f>'Statement of Marks'!$FU$208</f>
        <v>कला शिक्षा</v>
      </c>
      <c r="S114" s="1627"/>
      <c r="T114" s="1628" t="s">
        <v>148</v>
      </c>
      <c r="U114" s="1629"/>
      <c r="V114" s="404">
        <f>IFERROR(VLOOKUP(AB98,'Statement of Marks'!$B$7:'Statement of Marks'!$IC$206,187,0),"")</f>
        <v>96</v>
      </c>
      <c r="W114" s="405" t="s">
        <v>134</v>
      </c>
      <c r="X114" s="355" t="str">
        <f>IFERROR(VLOOKUP(AB98,'Statement of Marks'!$B$7:'Statement of Marks'!$IC$206,188,0),"")</f>
        <v>A</v>
      </c>
      <c r="Y114" s="1630" t="str">
        <f>IF('School Profile'!$D$12="Hindi","परीक्षा परिणाम घोषित दिनांक :-","Date of Result declaration :-")</f>
        <v>परीक्षा परिणाम घोषित दिनांक :-</v>
      </c>
      <c r="Z114" s="1631"/>
      <c r="AA114" s="1631"/>
      <c r="AB114" s="1632"/>
      <c r="AC114" s="1633">
        <f>IF(AND(AB98=""),"",IF('School Profile'!$D$11="","",'School Profile'!$D$11))</f>
        <v>46106</v>
      </c>
      <c r="AD114" s="1634"/>
      <c r="AE114" s="690" t="str">
        <f>IF('School Profile'!$D$12="Hindi","श्रेणी","Division")</f>
        <v>श्रेणी</v>
      </c>
      <c r="AF114" s="407" t="str">
        <f>IFERROR(VLOOKUP(AB98,'Statement of Marks'!$B$7:'Statement of Marks'!$IC$206,229,0),"")</f>
        <v>1st</v>
      </c>
      <c r="AV114"/>
      <c r="AW114"/>
      <c r="AX114"/>
      <c r="BA114"/>
      <c r="BB114"/>
      <c r="BC114"/>
    </row>
    <row r="115" spans="1:55" s="351" customFormat="1" ht="29.25" customHeight="1">
      <c r="A115" s="33">
        <f>IF(L98="","",A114+1)</f>
        <v>25</v>
      </c>
      <c r="B115" s="1635" t="s">
        <v>143</v>
      </c>
      <c r="C115" s="1636"/>
      <c r="D115" s="1637" t="str">
        <f>IFERROR(VLOOKUP(L98,'Statement of Marks'!$B$7:'Statement of Marks'!$IC$206,192,0),"")</f>
        <v/>
      </c>
      <c r="E115" s="1638"/>
      <c r="F115" s="1639" t="s">
        <v>76</v>
      </c>
      <c r="G115" s="1640"/>
      <c r="H115" s="406" t="str">
        <f>IFERROR(VLOOKUP(L98,'Statement of Marks'!$B$7:'Statement of Marks'!$IC$206,193,0),"")</f>
        <v/>
      </c>
      <c r="I115" s="1641" t="s">
        <v>135</v>
      </c>
      <c r="J115" s="1642"/>
      <c r="K115" s="1643" t="str">
        <f>IFERROR(IF(OR(O111="",L98=""),"",VLOOKUP(L98,'Statement of Marks'!$B$7:'Statement of Marks'!$IC$206,230,0)),"")</f>
        <v/>
      </c>
      <c r="L115" s="1644"/>
      <c r="M115" s="1645" t="s">
        <v>144</v>
      </c>
      <c r="N115" s="1646"/>
      <c r="O115" s="1646"/>
      <c r="P115" s="408" t="str">
        <f>IFERROR(VLOOKUP(L98,'Statement of Marks'!$B$7:'Statement of Marks'!$IC$206,231,0),"")</f>
        <v/>
      </c>
      <c r="Q115" s="1686"/>
      <c r="R115" s="1635" t="s">
        <v>143</v>
      </c>
      <c r="S115" s="1636"/>
      <c r="T115" s="1637" t="str">
        <f>IFERROR(VLOOKUP(AB98,'Statement of Marks'!$B$7:'Statement of Marks'!$IC$206,192,0),"")</f>
        <v/>
      </c>
      <c r="U115" s="1638"/>
      <c r="V115" s="1639" t="s">
        <v>76</v>
      </c>
      <c r="W115" s="1640"/>
      <c r="X115" s="406" t="str">
        <f>IFERROR(VLOOKUP(AB98,'Statement of Marks'!$B$7:'Statement of Marks'!$IC$206,193,0),"")</f>
        <v/>
      </c>
      <c r="Y115" s="1641" t="s">
        <v>135</v>
      </c>
      <c r="Z115" s="1642"/>
      <c r="AA115" s="1643">
        <f>IFERROR(IF(OR(AE111="",AB98=""),"",VLOOKUP(AB98,'Statement of Marks'!$B$7:'Statement of Marks'!$IC$206,230,0)),"")</f>
        <v>70.5</v>
      </c>
      <c r="AB115" s="1644"/>
      <c r="AC115" s="1645" t="s">
        <v>144</v>
      </c>
      <c r="AD115" s="1646"/>
      <c r="AE115" s="1646"/>
      <c r="AF115" s="408">
        <f>IFERROR(VLOOKUP(AB98,'Statement of Marks'!$B$7:'Statement of Marks'!$IC$206,231,0),"")</f>
        <v>3.0000000000000018</v>
      </c>
      <c r="AV115"/>
      <c r="AW115"/>
      <c r="AX115"/>
      <c r="BA115"/>
      <c r="BB115"/>
      <c r="BC115"/>
    </row>
    <row r="116" spans="1:55" s="351" customFormat="1" ht="27.75" customHeight="1">
      <c r="A116" s="33">
        <f>IF(L98="","",A115+1)</f>
        <v>26</v>
      </c>
      <c r="B116" s="1616" t="str">
        <f>IF('School Profile'!$D$12="Hindi","मुख्य परीक्षा परिणाम ","Main Exam Result")</f>
        <v xml:space="preserve">मुख्य परीक्षा परिणाम </v>
      </c>
      <c r="C116" s="1616"/>
      <c r="D116" s="1617"/>
      <c r="E116" s="1617"/>
      <c r="F116" s="1617"/>
      <c r="G116" s="1617" t="str">
        <f>IF('School Profile'!$D$12="Hindi","विशेष योग्यता प्राप्त विषय","Subjects Of Dictation Marks")</f>
        <v>विशेष योग्यता प्राप्त विषय</v>
      </c>
      <c r="H116" s="1617"/>
      <c r="I116" s="1617"/>
      <c r="J116" s="1617"/>
      <c r="K116" s="1617"/>
      <c r="L116" s="1618" t="str">
        <f>IF('School Profile'!$D$12="Hindi","पूरक विषय","Supplementary Subject")</f>
        <v>पूरक विषय</v>
      </c>
      <c r="M116" s="1619"/>
      <c r="N116" s="1619"/>
      <c r="O116" s="1619"/>
      <c r="P116" s="1620"/>
      <c r="Q116" s="1686"/>
      <c r="R116" s="1616" t="str">
        <f>IF('School Profile'!$D$12="Hindi","मुख्य परीक्षा परिणाम ","Main Exam Result")</f>
        <v xml:space="preserve">मुख्य परीक्षा परिणाम </v>
      </c>
      <c r="S116" s="1616"/>
      <c r="T116" s="1617"/>
      <c r="U116" s="1617"/>
      <c r="V116" s="1617"/>
      <c r="W116" s="1617" t="str">
        <f>IF('School Profile'!$D$12="Hindi","विशेष योग्यता प्राप्त विषय","Subjects Of Dictation Marks")</f>
        <v>विशेष योग्यता प्राप्त विषय</v>
      </c>
      <c r="X116" s="1617"/>
      <c r="Y116" s="1617"/>
      <c r="Z116" s="1617"/>
      <c r="AA116" s="1617"/>
      <c r="AB116" s="1618" t="str">
        <f>IF('School Profile'!$D$12="Hindi","पूरक विषय","Supplementary Subject")</f>
        <v>पूरक विषय</v>
      </c>
      <c r="AC116" s="1619"/>
      <c r="AD116" s="1619"/>
      <c r="AE116" s="1619"/>
      <c r="AF116" s="1620"/>
      <c r="AV116"/>
      <c r="AW116"/>
      <c r="AX116"/>
      <c r="BA116"/>
      <c r="BB116"/>
      <c r="BC116"/>
    </row>
    <row r="117" spans="1:55" s="351" customFormat="1" ht="42.75" customHeight="1">
      <c r="A117" s="33">
        <f>IF(L98="","",A116+1)</f>
        <v>27</v>
      </c>
      <c r="B117" s="1621" t="str">
        <f>IFERROR(IF(VLOOKUP(L98,'Statement of Marks'!$B$7:'Statement of Marks'!$IC$206,226,0)="By Grace Pass","By Grace Pass and Promoted to Class 10th",IF(VLOOKUP(L98,'Statement of Marks'!$B$7:'Statement of Marks'!$IC$206,226,0)="PASS","PASS  and Promoted to Class 10th",IF(VLOOKUP(L98,'Statement of Marks'!$B$7:'Statement of Marks'!$IC$206,226,0)="SUPPLEMENTARY","Supplementary",IF(VLOOKUP(L98,'Statement of Marks'!$B$7:'Statement of Marks'!$IC$206,226,0)="Re-Exam","RE-EXAM",IF(VLOOKUP(L98,'Statement of Marks'!$B$7:'Statement of Marks'!$IC$206,226,0)="FAIL","FAIL",""))))),"")</f>
        <v>Supplementary</v>
      </c>
      <c r="C117" s="1621"/>
      <c r="D117" s="1621"/>
      <c r="E117" s="1621"/>
      <c r="F117" s="1621"/>
      <c r="G117" s="1622" t="str">
        <f>IFERROR(VLOOKUP(L98,'Statement of Marks'!$B$7:'Statement of Marks'!$IC$206,225,0),"")</f>
        <v xml:space="preserve">      </v>
      </c>
      <c r="H117" s="1622"/>
      <c r="I117" s="1622"/>
      <c r="J117" s="1622"/>
      <c r="K117" s="1622"/>
      <c r="L117" s="1623" t="str">
        <f>IFERROR(VLOOKUP(L98,'Statement of Marks'!$B$7:'Statement of Marks'!$IC$206,222,0),"")</f>
        <v xml:space="preserve">   गणित   </v>
      </c>
      <c r="M117" s="1624"/>
      <c r="N117" s="1624"/>
      <c r="O117" s="1624"/>
      <c r="P117" s="1625"/>
      <c r="Q117" s="1686"/>
      <c r="R117" s="1621" t="str">
        <f>IFERROR(IF(VLOOKUP(AB98,'Statement of Marks'!$B$7:'Statement of Marks'!$IC$206,226,0)="By Grace Pass","By Grace Pass and Promoted to Class 10th",IF(VLOOKUP(AB98,'Statement of Marks'!$B$7:'Statement of Marks'!$IC$206,226,0)="PASS","PASS  and Promoted to Class 10th",IF(VLOOKUP(AB98,'Statement of Marks'!$B$7:'Statement of Marks'!$IC$206,226,0)="SUPPLEMENTARY","Supplementary",IF(VLOOKUP(AB98,'Statement of Marks'!$B$7:'Statement of Marks'!$IC$206,226,0)="Re-Exam","RE-EXAM",IF(VLOOKUP(AB98,'Statement of Marks'!$B$7:'Statement of Marks'!$IC$206,226,0)="FAIL","FAIL",""))))),"")</f>
        <v>PASS  and Promoted to Class 10th</v>
      </c>
      <c r="S117" s="1621"/>
      <c r="T117" s="1621"/>
      <c r="U117" s="1621"/>
      <c r="V117" s="1621"/>
      <c r="W117" s="1622" t="str">
        <f>IFERROR(VLOOKUP(AB98,'Statement of Marks'!$B$7:'Statement of Marks'!$IC$206,225,0),"")</f>
        <v xml:space="preserve"> अंग्रेजी गुजराती (73)    </v>
      </c>
      <c r="X117" s="1622"/>
      <c r="Y117" s="1622"/>
      <c r="Z117" s="1622"/>
      <c r="AA117" s="1622"/>
      <c r="AB117" s="1623" t="str">
        <f>IFERROR(VLOOKUP(AB98,'Statement of Marks'!$B$7:'Statement of Marks'!$IC$206,222,0),"")</f>
        <v xml:space="preserve">      </v>
      </c>
      <c r="AC117" s="1624"/>
      <c r="AD117" s="1624"/>
      <c r="AE117" s="1624"/>
      <c r="AF117" s="1625"/>
      <c r="AV117"/>
      <c r="AW117"/>
      <c r="AX117"/>
      <c r="BA117"/>
      <c r="BB117"/>
      <c r="BC117"/>
    </row>
    <row r="118" spans="1:55" s="351" customFormat="1" ht="52.5" customHeight="1">
      <c r="A118" s="33">
        <f>IF(L98="","",A117+1)</f>
        <v>28</v>
      </c>
      <c r="B118" s="1612" t="str">
        <f>IF(AND(L98=""),"",CONCATENATE("(",'School Profile'!$D$18," )"))</f>
        <v>(Yogesh )</v>
      </c>
      <c r="C118" s="1612"/>
      <c r="D118" s="1612"/>
      <c r="E118" s="1612"/>
      <c r="F118" s="1612"/>
      <c r="G118" s="1613" t="str">
        <f>IF(AND(L98=""),"",CONCATENATE("( ",'School Profile'!$D$15," )"))</f>
        <v>( Heeralal Jat )</v>
      </c>
      <c r="H118" s="1613"/>
      <c r="I118" s="1613"/>
      <c r="J118" s="1613"/>
      <c r="K118" s="1614" t="str">
        <f>IF(AND(L98=""),"",CONCATENATE("( ",'School Profile'!$D$14," )"))</f>
        <v>( Dewanand )</v>
      </c>
      <c r="L118" s="1614"/>
      <c r="M118" s="1614"/>
      <c r="N118" s="1614"/>
      <c r="O118" s="1614"/>
      <c r="P118" s="1614"/>
      <c r="Q118" s="1686"/>
      <c r="R118" s="1612" t="str">
        <f>IF(AND(AB98=""),"",CONCATENATE("(",'School Profile'!$D$18," )"))</f>
        <v>(Yogesh )</v>
      </c>
      <c r="S118" s="1612"/>
      <c r="T118" s="1612"/>
      <c r="U118" s="1612"/>
      <c r="V118" s="1612"/>
      <c r="W118" s="1613" t="str">
        <f>IF(AND(AB98=""),"",CONCATENATE("( ",'School Profile'!$D$15," )"))</f>
        <v>( Heeralal Jat )</v>
      </c>
      <c r="X118" s="1613"/>
      <c r="Y118" s="1613"/>
      <c r="Z118" s="1613"/>
      <c r="AA118" s="1614" t="str">
        <f>IF(AND(AB98=""),"",CONCATENATE("( ",'School Profile'!$D$14," )"))</f>
        <v>( Dewanand )</v>
      </c>
      <c r="AB118" s="1614"/>
      <c r="AC118" s="1614"/>
      <c r="AD118" s="1614"/>
      <c r="AE118" s="1614"/>
      <c r="AF118" s="1614"/>
      <c r="AV118"/>
      <c r="AW118"/>
      <c r="AX118"/>
      <c r="BA118"/>
      <c r="BB118"/>
      <c r="BC118"/>
    </row>
    <row r="119" spans="1:55" s="351" customFormat="1" ht="24.75" customHeight="1">
      <c r="A119" s="33">
        <f>IF(L98="","",A118+1)</f>
        <v>29</v>
      </c>
      <c r="B119" s="1615" t="str">
        <f>IF('School Profile'!$D$12="Hindi","हस्ताक्षर कक्षाध्यापक","Signature of the class teacher")</f>
        <v>हस्ताक्षर कक्षाध्यापक</v>
      </c>
      <c r="C119" s="1615"/>
      <c r="D119" s="1615"/>
      <c r="E119" s="1615"/>
      <c r="F119" s="1615"/>
      <c r="G119" s="1615" t="str">
        <f>IF('School Profile'!$D$12="Hindi","हस्ताक्षर परीक्षा प्रभारी","Signature of the exam. Incharge")</f>
        <v>हस्ताक्षर परीक्षा प्रभारी</v>
      </c>
      <c r="H119" s="1615"/>
      <c r="I119" s="1615"/>
      <c r="J119" s="1615"/>
      <c r="K119" s="1615" t="str">
        <f>IF('School Profile'!$D$12="Hindi","हस्ताक्षर मय सील मोहर संस्था प्रधान","Signature &amp; Seal of the Head of the Institution")</f>
        <v>हस्ताक्षर मय सील मोहर संस्था प्रधान</v>
      </c>
      <c r="L119" s="1615"/>
      <c r="M119" s="1615"/>
      <c r="N119" s="1615"/>
      <c r="O119" s="1615"/>
      <c r="P119" s="1615"/>
      <c r="Q119" s="1686"/>
      <c r="R119" s="1615" t="str">
        <f>IF('School Profile'!$D$12="Hindi","हस्ताक्षर कक्षाध्यापक","Signature of the class teacher")</f>
        <v>हस्ताक्षर कक्षाध्यापक</v>
      </c>
      <c r="S119" s="1615"/>
      <c r="T119" s="1615"/>
      <c r="U119" s="1615"/>
      <c r="V119" s="1615"/>
      <c r="W119" s="1615" t="str">
        <f>IF('School Profile'!$D$12="Hindi","हस्ताक्षर परीक्षा प्रभारी","Signature of the exam. Incharge")</f>
        <v>हस्ताक्षर परीक्षा प्रभारी</v>
      </c>
      <c r="X119" s="1615"/>
      <c r="Y119" s="1615"/>
      <c r="Z119" s="1615"/>
      <c r="AA119" s="1615" t="str">
        <f>IF('School Profile'!$D$12="Hindi","हस्ताक्षर मय सील मोहर संस्था प्रधान","Signature &amp; Seal of the Head of the Institution")</f>
        <v>हस्ताक्षर मय सील मोहर संस्था प्रधान</v>
      </c>
      <c r="AB119" s="1615"/>
      <c r="AC119" s="1615"/>
      <c r="AD119" s="1615"/>
      <c r="AE119" s="1615"/>
      <c r="AF119" s="1615"/>
      <c r="AV119"/>
      <c r="AW119"/>
      <c r="AX119"/>
      <c r="BA119"/>
      <c r="BB119"/>
      <c r="BC119"/>
    </row>
    <row r="121" spans="1:55" s="6" customFormat="1" ht="22.5" customHeight="1">
      <c r="A121" s="33">
        <f>IF(L128="","",1)</f>
        <v>1</v>
      </c>
      <c r="B121" s="28"/>
      <c r="C121" s="28"/>
      <c r="D121" s="1557" t="str">
        <f>IF('School Profile'!$D$12="Hindi","वार्षिक रिपोर्ट कार्ड ","Report Card")</f>
        <v xml:space="preserve">वार्षिक रिपोर्ट कार्ड </v>
      </c>
      <c r="E121" s="1557"/>
      <c r="F121" s="1557"/>
      <c r="G121" s="1557"/>
      <c r="H121" s="1557"/>
      <c r="I121" s="1557"/>
      <c r="J121" s="1557"/>
      <c r="K121" s="1557"/>
      <c r="L121" s="1557"/>
      <c r="M121" s="1557"/>
      <c r="N121" s="1557"/>
      <c r="O121" s="349"/>
      <c r="P121" s="349"/>
      <c r="Q121" s="1686" t="s">
        <v>77</v>
      </c>
      <c r="R121" s="28"/>
      <c r="S121" s="28"/>
      <c r="T121" s="1557" t="str">
        <f>IF('School Profile'!$D$12="Hindi","वार्षिक रिपोर्ट कार्ड ","Report Card")</f>
        <v xml:space="preserve">वार्षिक रिपोर्ट कार्ड </v>
      </c>
      <c r="U121" s="1557"/>
      <c r="V121" s="1557"/>
      <c r="W121" s="1557"/>
      <c r="X121" s="1557"/>
      <c r="Y121" s="1557"/>
      <c r="Z121" s="1557"/>
      <c r="AA121" s="1557"/>
      <c r="AB121" s="1557"/>
      <c r="AC121" s="1557"/>
      <c r="AD121" s="1557"/>
      <c r="AE121" s="349"/>
      <c r="AF121" s="349"/>
      <c r="AV121"/>
      <c r="AW121"/>
      <c r="AX121"/>
      <c r="BA121"/>
      <c r="BB121"/>
      <c r="BC121"/>
    </row>
    <row r="122" spans="1:55" s="6" customFormat="1" ht="22.5" customHeight="1">
      <c r="A122" s="33">
        <f>IF(L128="","",A121+1)</f>
        <v>2</v>
      </c>
      <c r="B122" s="28"/>
      <c r="C122" s="28"/>
      <c r="D122" s="1687" t="str">
        <f>IF('School Profile'!$D$12="Hindi","शिक्षा विभाग, राजस्थान सरकार","Education Department, Rajasthan Government")</f>
        <v>शिक्षा विभाग, राजस्थान सरकार</v>
      </c>
      <c r="E122" s="1687"/>
      <c r="F122" s="1687"/>
      <c r="G122" s="1687"/>
      <c r="H122" s="1687"/>
      <c r="I122" s="1687"/>
      <c r="J122" s="1687"/>
      <c r="K122" s="1687"/>
      <c r="L122" s="1687"/>
      <c r="M122" s="1687"/>
      <c r="N122" s="1687"/>
      <c r="O122" s="349"/>
      <c r="P122" s="349"/>
      <c r="Q122" s="1686"/>
      <c r="R122" s="28"/>
      <c r="S122" s="28"/>
      <c r="T122" s="1687" t="str">
        <f>IF('School Profile'!$D$12="Hindi","शिक्षा विभाग, राजस्थान सरकार","Education Department, Rajasthan Government")</f>
        <v>शिक्षा विभाग, राजस्थान सरकार</v>
      </c>
      <c r="U122" s="1687"/>
      <c r="V122" s="1687"/>
      <c r="W122" s="1687"/>
      <c r="X122" s="1687"/>
      <c r="Y122" s="1687"/>
      <c r="Z122" s="1687"/>
      <c r="AA122" s="1687"/>
      <c r="AB122" s="1687"/>
      <c r="AC122" s="1687"/>
      <c r="AD122" s="1687"/>
      <c r="AE122" s="349"/>
      <c r="AF122" s="349"/>
      <c r="AV122"/>
      <c r="AW122"/>
      <c r="AX122"/>
      <c r="BA122"/>
      <c r="BB122"/>
      <c r="BC122"/>
    </row>
    <row r="123" spans="1:55" s="32" customFormat="1" ht="24.95" customHeight="1">
      <c r="A123" s="34">
        <f>IF(L128="","",A122+1)</f>
        <v>3</v>
      </c>
      <c r="B123" s="1560" t="str">
        <f>IF('School Profile'!$D$12="Hindi",CONCATENATE("विद्यालय का नाम :-","  ",'School Profile'!$D$9),CONCATENATE("School Name :-","  ",'School Profile'!$D$8))</f>
        <v xml:space="preserve">विद्यालय का नाम :-  महात्मा गाँधी राजकीय विद्यालय (अंग्रेजी माध्यम) बर, पाली </v>
      </c>
      <c r="C123" s="1560"/>
      <c r="D123" s="1560"/>
      <c r="E123" s="1560"/>
      <c r="F123" s="1560"/>
      <c r="G123" s="1560"/>
      <c r="H123" s="1560"/>
      <c r="I123" s="1560"/>
      <c r="J123" s="1560"/>
      <c r="K123" s="1560"/>
      <c r="L123" s="1560"/>
      <c r="M123" s="1560"/>
      <c r="N123" s="1560"/>
      <c r="O123" s="1560"/>
      <c r="P123" s="1560"/>
      <c r="Q123" s="1686"/>
      <c r="R123" s="1560" t="str">
        <f>IF('School Profile'!$D$12="Hindi",CONCATENATE("विद्यालय का नाम :-","  ",'School Profile'!$D$9),CONCATENATE("School Name :-","  ",'School Profile'!$D$8))</f>
        <v xml:space="preserve">विद्यालय का नाम :-  महात्मा गाँधी राजकीय विद्यालय (अंग्रेजी माध्यम) बर, पाली </v>
      </c>
      <c r="S123" s="1560"/>
      <c r="T123" s="1560"/>
      <c r="U123" s="1560"/>
      <c r="V123" s="1560"/>
      <c r="W123" s="1560"/>
      <c r="X123" s="1560"/>
      <c r="Y123" s="1560"/>
      <c r="Z123" s="1560"/>
      <c r="AA123" s="1560"/>
      <c r="AB123" s="1560"/>
      <c r="AC123" s="1560"/>
      <c r="AD123" s="1560"/>
      <c r="AE123" s="1560"/>
      <c r="AF123" s="1560"/>
      <c r="AV123"/>
      <c r="AW123"/>
      <c r="AX123"/>
      <c r="BA123"/>
      <c r="BB123"/>
      <c r="BC123"/>
    </row>
    <row r="124" spans="1:55" s="32" customFormat="1" ht="24.95" customHeight="1">
      <c r="A124" s="34">
        <f>IF(L128="","",A123+1)</f>
        <v>4</v>
      </c>
      <c r="B124" s="668"/>
      <c r="C124" s="668"/>
      <c r="D124" s="668"/>
      <c r="E124" s="668"/>
      <c r="F124" s="1688" t="str">
        <f>IF(AND(L128=""),"",IF(AND('School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24" s="1688"/>
      <c r="H124" s="1688"/>
      <c r="I124" s="1688"/>
      <c r="J124" s="1688"/>
      <c r="K124" s="1688"/>
      <c r="L124" s="1688"/>
      <c r="M124" s="1688"/>
      <c r="N124" s="1688"/>
      <c r="O124" s="1688"/>
      <c r="P124" s="668"/>
      <c r="Q124" s="1686"/>
      <c r="R124" s="668"/>
      <c r="S124" s="668"/>
      <c r="T124" s="668"/>
      <c r="U124" s="668"/>
      <c r="V124" s="1688" t="str">
        <f>IF(AND(AB128=""),"",IF(AND('School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24" s="1688"/>
      <c r="X124" s="1688"/>
      <c r="Y124" s="1688"/>
      <c r="Z124" s="1688"/>
      <c r="AA124" s="1688"/>
      <c r="AB124" s="1688"/>
      <c r="AC124" s="1688"/>
      <c r="AD124" s="1688"/>
      <c r="AE124" s="1688"/>
      <c r="AF124" s="668"/>
      <c r="AV124"/>
      <c r="AW124"/>
      <c r="AX124"/>
      <c r="AY124" s="6"/>
      <c r="AZ124" s="6"/>
      <c r="BA124"/>
      <c r="BB124"/>
      <c r="BC124"/>
    </row>
    <row r="125" spans="1:55" s="351" customFormat="1" ht="21" customHeight="1">
      <c r="A125" s="33">
        <f>IF(L128="","",A124+1)</f>
        <v>5</v>
      </c>
      <c r="B125" s="681" t="str">
        <f>IF('School Profile'!$D$12="Hindi","कक्षा  :-","CLASS :- ")</f>
        <v>कक्षा  :-</v>
      </c>
      <c r="C125" s="1691" t="str">
        <f>IF('Statement of Marks'!$E$3="","",'Statement of Marks'!$E$3)</f>
        <v>9th</v>
      </c>
      <c r="D125" s="1691"/>
      <c r="E125" s="820" t="str">
        <f>IFERROR(VLOOKUP(L128,'Statement of Marks'!$B$7:'Statement of Marks'!$IC$206,2,0),"")</f>
        <v>A</v>
      </c>
      <c r="F125" s="820"/>
      <c r="G125" s="820"/>
      <c r="H125" s="820"/>
      <c r="I125" s="1684" t="str">
        <f>IF('School Profile'!$D$12="Hindi","प्रवेशांक :","SR. NO. :")</f>
        <v>प्रवेशांक :</v>
      </c>
      <c r="J125" s="1684"/>
      <c r="K125" s="1684"/>
      <c r="L125" s="1689" t="str">
        <f>IFERROR(VLOOKUP(L128,'Statement of Marks'!$B$7:'Statement of Marks'!$IC$206,3,0),"")</f>
        <v/>
      </c>
      <c r="M125" s="1689"/>
      <c r="N125" s="1689"/>
      <c r="O125" s="1689"/>
      <c r="P125" s="414"/>
      <c r="Q125" s="1686"/>
      <c r="R125" s="681" t="str">
        <f>IF('School Profile'!$D$12="Hindi","कक्षा  :-","CLASS :- ")</f>
        <v>कक्षा  :-</v>
      </c>
      <c r="S125" s="1691" t="str">
        <f>IF('Statement of Marks'!$E$3="","",'Statement of Marks'!$E$3)</f>
        <v>9th</v>
      </c>
      <c r="T125" s="1691"/>
      <c r="U125" s="820" t="str">
        <f>IFERROR(VLOOKUP(AB128,'Statement of Marks'!$B$7:'Statement of Marks'!$IC$206,2,0),"")</f>
        <v>A</v>
      </c>
      <c r="V125" s="820"/>
      <c r="W125" s="820"/>
      <c r="X125" s="820"/>
      <c r="Y125" s="1684" t="str">
        <f>IF('School Profile'!$D$12="Hindi","प्रवेशांक :","SR. NO. :")</f>
        <v>प्रवेशांक :</v>
      </c>
      <c r="Z125" s="1684"/>
      <c r="AA125" s="1684"/>
      <c r="AB125" s="1689" t="str">
        <f>IFERROR(VLOOKUP(AB128,'Statement of Marks'!$B$7:'Statement of Marks'!$IC$206,3,0),"")</f>
        <v/>
      </c>
      <c r="AC125" s="1689"/>
      <c r="AD125" s="1689"/>
      <c r="AE125" s="1689"/>
      <c r="AF125" s="414"/>
      <c r="AV125"/>
      <c r="AW125" s="777">
        <f>L126</f>
        <v>40065</v>
      </c>
      <c r="AX125"/>
      <c r="BA125"/>
      <c r="BB125" s="777">
        <f>AB126</f>
        <v>40737</v>
      </c>
      <c r="BC125"/>
    </row>
    <row r="126" spans="1:55" s="351" customFormat="1" ht="21" customHeight="1">
      <c r="A126" s="33">
        <f>IF(L128="","",A125+1)</f>
        <v>6</v>
      </c>
      <c r="B126" s="683" t="str">
        <f>IF('School Profile'!$D$12="Hindi","विद्यार्थी का नाम :-","Student's Name :-")</f>
        <v>विद्यार्थी का नाम :-</v>
      </c>
      <c r="C126" s="1683" t="str">
        <f>IFERROR(VLOOKUP(L128,'Statement of Marks'!$B$7:'Statement of Marks'!$IC$206,5,0),"")</f>
        <v>RITA</v>
      </c>
      <c r="D126" s="1683"/>
      <c r="E126" s="1683"/>
      <c r="F126" s="1683"/>
      <c r="G126" s="1683"/>
      <c r="H126" s="1683"/>
      <c r="I126" s="1684" t="str">
        <f>IF('School Profile'!$D$12="Hindi","जन्म तिथि :","Date of Birth :")</f>
        <v>जन्म तिथि :</v>
      </c>
      <c r="J126" s="1684"/>
      <c r="K126" s="1684"/>
      <c r="L126" s="1690">
        <f>IFERROR(VLOOKUP(L128,'Statement of Marks'!$B$7:'Statement of Marks'!$IC$206,4,0),"")</f>
        <v>40065</v>
      </c>
      <c r="M126" s="1690"/>
      <c r="N126" s="1690"/>
      <c r="O126" s="1690"/>
      <c r="P126" s="670"/>
      <c r="Q126" s="1686"/>
      <c r="R126" s="683" t="str">
        <f>IF('School Profile'!$D$12="Hindi","विद्यार्थी का नाम :-","Student's Name :-")</f>
        <v>विद्यार्थी का नाम :-</v>
      </c>
      <c r="S126" s="1683" t="str">
        <f>IFERROR(VLOOKUP(AB128,'Statement of Marks'!$B$7:'Statement of Marks'!$IC$206,5,0),"")</f>
        <v>SONU</v>
      </c>
      <c r="T126" s="1683"/>
      <c r="U126" s="1683"/>
      <c r="V126" s="1683"/>
      <c r="W126" s="1683"/>
      <c r="X126" s="1683"/>
      <c r="Y126" s="1684" t="str">
        <f>IF('School Profile'!$D$12="Hindi","जन्म तिथि :","Date of Birth :")</f>
        <v>जन्म तिथि :</v>
      </c>
      <c r="Z126" s="1684"/>
      <c r="AA126" s="1684"/>
      <c r="AB126" s="1690">
        <f>IFERROR(VLOOKUP(AB128,'Statement of Marks'!$B$7:'Statement of Marks'!$IC$206,4,0),"")</f>
        <v>40737</v>
      </c>
      <c r="AC126" s="1690"/>
      <c r="AD126" s="1690"/>
      <c r="AE126" s="1690"/>
      <c r="AF126" s="670"/>
      <c r="AV126">
        <f>YEAR(AW125)</f>
        <v>2009</v>
      </c>
      <c r="AW126">
        <f>MONTH(AW125)</f>
        <v>9</v>
      </c>
      <c r="AX126">
        <f>DAY(AW125)</f>
        <v>9</v>
      </c>
      <c r="BA126">
        <f>YEAR(BB125)</f>
        <v>2011</v>
      </c>
      <c r="BB126">
        <f>MONTH(BB125)</f>
        <v>7</v>
      </c>
      <c r="BC126">
        <f>DAY(BB125)</f>
        <v>13</v>
      </c>
    </row>
    <row r="127" spans="1:55" s="351" customFormat="1" ht="21" customHeight="1">
      <c r="A127" s="33">
        <f>IF(L128="","",A126+1)</f>
        <v>7</v>
      </c>
      <c r="B127" s="683" t="str">
        <f>IF('School Profile'!$D$12="Hindi","पिता का नाम :-","Father's Name :-")</f>
        <v>पिता का नाम :-</v>
      </c>
      <c r="C127" s="1683" t="str">
        <f>IFERROR(VLOOKUP(L128,'Statement of Marks'!$B$7:'Statement of Marks'!$IC$206,6,0),"")</f>
        <v/>
      </c>
      <c r="D127" s="1683"/>
      <c r="E127" s="1683"/>
      <c r="F127" s="1683"/>
      <c r="G127" s="1683"/>
      <c r="H127" s="1683"/>
      <c r="I127" s="1684" t="str">
        <f>IF('School Profile'!$D$12="Hindi","जन्मतिथि शब्दों में :-","Date of Birth in Words :-")</f>
        <v>जन्मतिथि शब्दों में :-</v>
      </c>
      <c r="J127" s="1684"/>
      <c r="K127" s="1684"/>
      <c r="L127" s="1683" t="str">
        <f>IFERROR(IF('School Profile'!$D$12="Hindi",AW128,AW130),"")</f>
        <v>नौ सितम्बर दो हजार नौ</v>
      </c>
      <c r="M127" s="1683"/>
      <c r="N127" s="1683"/>
      <c r="O127" s="1683"/>
      <c r="P127" s="670"/>
      <c r="Q127" s="1686"/>
      <c r="R127" s="683" t="str">
        <f>IF('School Profile'!$D$12="Hindi","पिता का नाम :-","Father's Name :-")</f>
        <v>पिता का नाम :-</v>
      </c>
      <c r="S127" s="1683" t="str">
        <f>IFERROR(VLOOKUP(AB128,'Statement of Marks'!$B$7:'Statement of Marks'!$IC$206,6,0),"")</f>
        <v/>
      </c>
      <c r="T127" s="1683"/>
      <c r="U127" s="1683"/>
      <c r="V127" s="1683"/>
      <c r="W127" s="1683"/>
      <c r="X127" s="1683"/>
      <c r="Y127" s="1684" t="str">
        <f>IF('School Profile'!$D$12="Hindi","जन्मतिथि शब्दों में :-","Date of Birth in Words :-")</f>
        <v>जन्मतिथि शब्दों में :-</v>
      </c>
      <c r="Z127" s="1684"/>
      <c r="AA127" s="1684"/>
      <c r="AB127" s="1683" t="str">
        <f>IFERROR(IF('School Profile'!$D$12="Hindi",BB128,BB130),"")</f>
        <v>तेरह जुलाई दो हजार ग्यारह</v>
      </c>
      <c r="AC127" s="1683"/>
      <c r="AD127" s="1683"/>
      <c r="AE127" s="1683"/>
      <c r="AF127" s="670"/>
      <c r="AV127" t="str">
        <f>IF(AV126=2000,"दो हजार",IF(AV126=2001,"दो हजार एक",IF(AV126=2002,"दो हजार दो",IF(AV126=2003,"दो हजार तीन",IF(AV126=2004,"दो हजार चार",IF(AV126=2005,"दो हजार पांच",IF(AV126=2006,"दो हजार छः",IF(AV126=2007,"दो हजार सात",IF(AV126=2008,"दो हजार आठ",IF(AV126=2009,"दो हजार नौ",IF(AV126=2010,"दो हजार दस",IF(AV126=2011,"दो हजार ग्यारह",IF(AV126=2012,"दो हजार बारह",IF(AV126=2013,"दो हजार तेरह",IF(AV126=2014,"दो हजार चौदह",IF(AV126=2015,"दो हजार पंद्रह",IF(AV126=2016,"दो हजार सोलह",IF(AV126=2017,"दो हजार सत्रह",IF(AV126=2018,"दो हजार अठारह",IF(AV126=2019,"दो हजार उन्नीस",IF(AV126=2020,"दो हजार बीस",IF(AV126=2021,"दो हजार इक्कीस",IF(AV126=2022,"दो हजार बाइस","")))))))))))))))))))))))</f>
        <v>दो हजार नौ</v>
      </c>
      <c r="AW127" t="str">
        <f>IF(AW126=1,"जनवरी",IF(AW126=2,"फरवरी",IF(AW126=3,"मार्च",IF(AW126=4,"अप्रैल",IF(AW126=5,"मई",IF(AW126=6,"जून",IF(AW126=7,"जुलाई",IF(AW126=8,"अगस्त",IF(AW126=9,"सितम्बर",IF(AW126=10,"अक्टूबर",IF(AW126=11,"नवम्बर",IF(AW126=12,"दिसम्बर",""))))))))))))</f>
        <v>सितम्बर</v>
      </c>
      <c r="AX127" t="str">
        <f>IF(AX126=1,"एक",IF(AX126=2,"दो",IF(AX126=3,"तीन",IF(AX126=4,"चार",IF(AX126=5,"पांच",IF(AX126=6,"छः",IF(AX126=7,"सात",IF(AX126=8,"आठ",IF(AX126=9,"नौ",IF(AX126=10,"दस",IF(AX126=11,"ग्यारह",IF(AX126=12,"बारह",IF(AX126=13,"तेरह",IF(AX126=14,"चौदह",IF(AX126=15,"पंद्रह",IF(AX126=16,"सोलह",IF(AX126=17,"सत्रह",IF(AX126=18,"अठारह",IF(AX126=19,"उन्नीस",IF(AX126=20,"बीस",IF(AX126=21,"इक्कीस",IF(AX126=22,"बाइस",IF(AX126=23,"तेईस",IF(AX126=24,"चौबीस",IF(AX126=25,"पचीस",IF(AX126=26,"छबीस",IF(AX126=27,"सताईस",IF(AX126=28,"अठाइस",IF(AX126=29,"उन्नतीस",IF(AX126=30,"तीस",IF(AX126=31,"इकतीस","")))))))))))))))))))))))))))))))</f>
        <v>नौ</v>
      </c>
      <c r="BA127" t="str">
        <f>IF(BA126=2000,"दो हजार",IF(BA126=2001,"दो हजार एक",IF(BA126=2002,"दो हजार दो",IF(BA126=2003,"दो हजार तीन",IF(BA126=2004,"दो हजार चार",IF(BA126=2005,"दो हजार पांच",IF(BA126=2006,"दो हजार छः",IF(BA126=2007,"दो हजार सात",IF(BA126=2008,"दो हजार आठ",IF(BA126=2009,"दो हजार नौ",IF(BA126=2010,"दो हजार दस",IF(BA126=2011,"दो हजार ग्यारह",IF(BA126=2012,"दो हजार बारह",IF(BA126=2013,"दो हजार तेरह",IF(BA126=2014,"दो हजार चौदह",IF(BA126=2015,"दो हजार पंद्रह",IF(BA126=2016,"दो हजार सोलह",IF(BA126=2017,"दो हजार सत्रह",IF(BA126=2018,"दो हजार अठारह",IF(BA126=2019,"दो हजार उन्नीस",IF(BA126=2020,"दो हजार बीस",IF(BA126=2021,"दो हजार इक्कीस",IF(BA126=2022,"दो हजार बाइस","")))))))))))))))))))))))</f>
        <v>दो हजार ग्यारह</v>
      </c>
      <c r="BB127" t="str">
        <f>IF(BB126=1,"जनवरी",IF(BB126=2,"फरवरी",IF(BB126=3,"मार्च",IF(BB126=4,"अप्रैल",IF(BB126=5,"मई",IF(BB126=6,"जून",IF(BB126=7,"जुलाई",IF(BB126=8,"अगस्त",IF(BB126=9,"सितम्बर",IF(BB126=10,"अक्टूबर",IF(BB126=11,"नवम्बर",IF(BB126=12,"दिसम्बर",""))))))))))))</f>
        <v>जुलाई</v>
      </c>
      <c r="BC127" t="str">
        <f>IF(BC126=1,"एक",IF(BC126=2,"दो",IF(BC126=3,"तीन",IF(BC126=4,"चार",IF(BC126=5,"पांच",IF(BC126=6,"छः",IF(BC126=7,"सात",IF(BC126=8,"आठ",IF(BC126=9,"नौ",IF(BC126=10,"दस",IF(BC126=11,"ग्यारह",IF(BC126=12,"बारह",IF(BC126=13,"तेरह",IF(BC126=14,"चौदह",IF(BC126=15,"पंद्रह",IF(BC126=16,"सोलह",IF(BC126=17,"सत्रह",IF(BC126=18,"अठारह",IF(BC126=19,"उन्नीस",IF(BC126=20,"बीस",IF(BC126=21,"इक्कीस",IF(BC126=22,"बाइस",IF(BC126=23,"तेईस",IF(BC126=24,"चौबीस",IF(BC126=25,"पचीस",IF(BC126=26,"छबीस",IF(BC126=27,"सताईस",IF(BC126=28,"अठाइस",IF(BC126=29,"उन्नतीस",IF(BC126=30,"तीस",IF(BC126=31,"इकतीस","")))))))))))))))))))))))))))))))</f>
        <v>तेरह</v>
      </c>
    </row>
    <row r="128" spans="1:55" s="351" customFormat="1" ht="21" customHeight="1">
      <c r="A128" s="33">
        <f>IF(L128="","",A127+1)</f>
        <v>8</v>
      </c>
      <c r="B128" s="681" t="str">
        <f>IF('School Profile'!$D$12="Hindi","माता का नाम :-","Mother's Name :-")</f>
        <v>माता का नाम :-</v>
      </c>
      <c r="C128" s="1683" t="str">
        <f>IFERROR(VLOOKUP(L128,'Statement of Marks'!$B$7:'Statement of Marks'!$IC$206,7,0),"")</f>
        <v/>
      </c>
      <c r="D128" s="1683"/>
      <c r="E128" s="1683"/>
      <c r="F128" s="1683"/>
      <c r="G128" s="1683"/>
      <c r="H128" s="1683"/>
      <c r="I128" s="1684" t="str">
        <f>IF('School Profile'!$D$12="Hindi","रोल नंबर :-","Roll No. :")</f>
        <v>रोल नंबर :-</v>
      </c>
      <c r="J128" s="1684"/>
      <c r="K128" s="1684"/>
      <c r="L128" s="1685">
        <f>IF(AB98="","",IF(AND(AB98+1&gt;$AN$11),"",AB98+1))</f>
        <v>909</v>
      </c>
      <c r="M128" s="1685"/>
      <c r="N128" s="1685"/>
      <c r="Q128" s="1686"/>
      <c r="R128" s="681" t="str">
        <f>IF('School Profile'!$D$12="Hindi","माता का नाम :-","Mother's Name :-")</f>
        <v>माता का नाम :-</v>
      </c>
      <c r="S128" s="1683" t="str">
        <f>IFERROR(VLOOKUP(AB128,'Statement of Marks'!$B$7:'Statement of Marks'!$IC$206,7,0),"")</f>
        <v/>
      </c>
      <c r="T128" s="1683"/>
      <c r="U128" s="1683"/>
      <c r="V128" s="1683"/>
      <c r="W128" s="1683"/>
      <c r="X128" s="1683"/>
      <c r="Y128" s="1684" t="str">
        <f>IF('School Profile'!$D$12="Hindi","रोल नंबर :-","Roll No. :")</f>
        <v>रोल नंबर :-</v>
      </c>
      <c r="Z128" s="1684"/>
      <c r="AA128" s="1684"/>
      <c r="AB128" s="1685">
        <f>IF(L128="","",IF(AND(L128+1&gt;$AN$11),"",L128+1))</f>
        <v>910</v>
      </c>
      <c r="AC128" s="1685"/>
      <c r="AD128" s="1685"/>
      <c r="AV128"/>
      <c r="AW128" t="str">
        <f>CONCATENATE(AX127," ",AW127," ",AV127)</f>
        <v>नौ सितम्बर दो हजार नौ</v>
      </c>
      <c r="AX128"/>
      <c r="BA128"/>
      <c r="BB128" t="str">
        <f>CONCATENATE(BC127," ",BB127," ",BA127)</f>
        <v>तेरह जुलाई दो हजार ग्यारह</v>
      </c>
      <c r="BC128"/>
    </row>
    <row r="129" spans="1:55" s="351" customFormat="1" ht="9.75" customHeight="1">
      <c r="A129" s="33">
        <f>IF(L128="","",A128+1)</f>
        <v>9</v>
      </c>
      <c r="B129" s="1676"/>
      <c r="C129" s="1676"/>
      <c r="D129" s="1676"/>
      <c r="E129" s="1676"/>
      <c r="F129" s="1676"/>
      <c r="G129" s="1676"/>
      <c r="H129" s="1676"/>
      <c r="I129" s="1676"/>
      <c r="J129" s="1676"/>
      <c r="K129" s="1676"/>
      <c r="L129" s="1676"/>
      <c r="M129" s="1676"/>
      <c r="N129" s="1676"/>
      <c r="O129" s="1676"/>
      <c r="P129" s="401"/>
      <c r="Q129" s="1686"/>
      <c r="R129" s="1676"/>
      <c r="S129" s="1676"/>
      <c r="T129" s="1676"/>
      <c r="U129" s="1676"/>
      <c r="V129" s="1676"/>
      <c r="W129" s="1676"/>
      <c r="X129" s="1676"/>
      <c r="Y129" s="1676"/>
      <c r="Z129" s="1676"/>
      <c r="AA129" s="1676"/>
      <c r="AB129" s="1676"/>
      <c r="AC129" s="1676"/>
      <c r="AD129" s="1676"/>
      <c r="AE129" s="1676"/>
      <c r="AF129" s="401"/>
      <c r="AV129" t="str">
        <f>IF(AV126=1961,"NINETEEN SIXTY ONE",IF(AV126=1962,"NINETEEN SIXTY TWO",IF(AV126=1963,"NINETEEN SIXTY THREE",IF(AV126=1964,"NINETEEN SIXTY FOUR",IF(AV126=1965,"NINETEEN SIXTY FIVE",IF(AV126=1966,"NINETEEN SIXTY SIX",IF(AV126=1967,"NINETEEN SIXTY SEVEN",IF(AV126=1968,"NINETEEN SIXTY EIGHT",IF(AV126=1969,"NINETEEN SIXTY NINE",IF(AV126=1970,"NINETEEN SEVENTY",IF(AV126=1971,"NINETEEN SEVENTY ONE",IF(AV126=1972,"NINETEEN SEVENTY TWO",IF(AV126=1973,"NINETEEN SEVENTY THREE",IF(AV126=1974,"NINETEEN SEVENTY FOUR",IF(AV126=1975,"NINETEEN SEVENTY FIVE",IF(AV126=1976,"NINETEEN SEVENTY SIX",IF(AV126=1977,"NINETEEN SEVENTY SEVEN",IF(AV126=1978,"NINETEEN SEVENTY EIGHT",IF(AV126=1979,"NINETEEN SEVENTY NINE",IF(AV126=1980,"NINETEEN EIGHTY",IF(AV126=1981,"NINETEEN EIGHTY ONE",IF(AV126=1982,"NINETEEN EIGHTY TWO",IF(AV126=1983,"NINETEEN EIGHTY THREE",IF(AV126=1984,"NINETEEN EIGHTY FOUR",IF(AV126=1985,"NINETEEN EIGHTY FIVE",IF(AV126=1986,"NINETEEN EIGHTY SIX",IF(AV126=1987,"NINETEEN EIGHTY SEVEN",IF(AV126=1988,"NINETEEN EIGHTY EIGHT",IF(AV126=1989,"NINETEEN EIGHTY NINE",IF(AV126=1990,"NINETEEN NINETY",IF(AV126=1991,"NINETEEN NINETY ONE",IF(AV126=1992,"NINETEEN NINETY TWO",IF(AV126=1993,"NINETEEN NINETY THREE",IF(AV126=1994,"NINETEEN NINETY FOUR",IF(AV126=1995,"NINETEEN NINETY FIVE",IF(AV126=1996,"NINETEEN NINETY SIX",IF(AV126=1997,"NINETEEN NINETY SEVEN",IF(AV126=1998,"NINETEEN NINETY EIGHT",IF(AV126=1999,"NINETEEN NINETY NINE",IF(AV126=2000,"TWO THOUSAND",IF(AV126=2001,"TWO THOUSAND ONE",IF(AV126=2002,"TWO THOUSAND TWO",IF(AV126=2003,"TWO THOUSAND THREE",IF(AV126=2004,"TWO THOUSAND FOUR",IF(AV126=2005,"TWO THOUSAND FIVE",IF(AV126=2006,"TWO THOUSAND SIX",IF(AV126=2007,"TWO THOUSAND SEVEN",IF(AV126=2008,"TWO THOUSAND EIGHT",IF(AV126=2009,"TWO THOUSAND NINE",IF(AV126=2010,"TWO THOUSAND TEN",IF(AV126=2011,"TWO THOUSAND ELEVEN",IF(AV126=2012,"TWO THOUSAND TWELVE",IF(AV126=2013,"TWO THOUSAND THIRTEEN",IF(AV126=2014,"TWO THOUSAND FOURTEEN",IF(AV126=2015,"TWO THOUSAND FIFTEEN",IF(AV126=2016,"TWO THOUSAND SIXTEEN",IF(AV126=2017,"TWO THOUSAND SEVENTEEN",IF(AV126=2018,"TWO THOUSAND EIGHTEEN",IF(AV126=2019,"TWO THOUSAND NINETEEN",IF(AV126=2020,"TWO THOUSAND TWENTY",IF(AV126=2021,"TWO THOUSAND TWENTY ONE",IF(AV126=2022,"TWO THOUSAND TWENTY TWO",IF(AV126=2023,"TWO THOUSAND TWENTY THREE",IF(AV126=2024,"TWO THOUSAND TWENTY FOUR",IF(AV126=2025,"TWO THOUSAND TWENTY FIVE","")))))))))))))))))))))))))))))))))))))))))))))))))))))))))))))))))</f>
        <v>TWO THOUSAND NINE</v>
      </c>
      <c r="AW129" t="str">
        <f>IF(AW126=1,"JANUARY",IF(AW126=2,"FEBUARY", IF(AW126=3,"MARCH",IF(AW126=4,"APRIL",IF(AW126=5,"MAY",IF(AW126=6,"JUNE",IF(AW126=7,"JULY",IF(AW126=8,"AUGUST",IF(AW126=9,"SEPTEMBER",IF(AW126=10,"OCTOBER",IF(AW126=11,"NOVEMBER",IF(AW126=12,"DECEMBER",""))))))))))))</f>
        <v>SEPTEMBER</v>
      </c>
      <c r="AX129" t="str">
        <f>IF(AX126=1,"1ST",IF(AX126=2,"2ND", IF(AX126=3,"3RD",IF(AX126=4,"FOURTH",IF(AX126=5,"FIFTH",IF(AX126=6,"SIXTH",IF(AX126=7,"7TH",IF(AX126=8,"8TH",IF(AX126=9,"9TH",IF(AX126=10,"10TH",IF(AX126=11,"11TH",IF(AX126=12,"12TH",IF(AX126=13,"13TH",IF(AX126=14,"14TH",IF(AX126=15,"FIFTEEN",IF(AX126=16,"SIXTEEN",IF(AX126=17,"SEVENTEEN",IF(AX126=18,"EIGHTEEN",IF(AX126=19,"NINETEEN",IF(AX126=20,"TWENTY",IF(AX126=21,"TWENTY FIRST",IF(AX126=22,"TWENTY SECOND",IF(AX126=23,"TWENTY THIRD",IF(AX126=24,"TWENTY FOURTH",IF(AX126=25,"TWENTY FIFTH",IF(AX126=26,"TWENTY SIX",IF(AX126=27,"TWENTY SEVEN",IF(AX126=28,"TWENTY EIGHT",IF(AX126=29,"TWENTY NINE",IF(AX126=30,"THIRTY",IF(AX126=31,"THIRTY FIRST","")))))))))))))))))))))))))))))))</f>
        <v>9TH</v>
      </c>
      <c r="BA129" t="str">
        <f>IF(BA126=1961,"NINETEEN SIXTY ONE",IF(BA126=1962,"NINETEEN SIXTY TWO",IF(BA126=1963,"NINETEEN SIXTY THREE",IF(BA126=1964,"NINETEEN SIXTY FOUR",IF(BA126=1965,"NINETEEN SIXTY FIVE",IF(BA126=1966,"NINETEEN SIXTY SIX",IF(BA126=1967,"NINETEEN SIXTY SEVEN",IF(BA126=1968,"NINETEEN SIXTY EIGHT",IF(BA126=1969,"NINETEEN SIXTY NINE",IF(BA126=1970,"NINETEEN SEVENTY",IF(BA126=1971,"NINETEEN SEVENTY ONE",IF(BA126=1972,"NINETEEN SEVENTY TWO",IF(BA126=1973,"NINETEEN SEVENTY THREE",IF(BA126=1974,"NINETEEN SEVENTY FOUR",IF(BA126=1975,"NINETEEN SEVENTY FIVE",IF(BA126=1976,"NINETEEN SEVENTY SIX",IF(BA126=1977,"NINETEEN SEVENTY SEVEN",IF(BA126=1978,"NINETEEN SEVENTY EIGHT",IF(BA126=1979,"NINETEEN SEVENTY NINE",IF(BA126=1980,"NINETEEN EIGHTY",IF(BA126=1981,"NINETEEN EIGHTY ONE",IF(BA126=1982,"NINETEEN EIGHTY TWO",IF(BA126=1983,"NINETEEN EIGHTY THREE",IF(BA126=1984,"NINETEEN EIGHTY FOUR",IF(BA126=1985,"NINETEEN EIGHTY FIVE",IF(BA126=1986,"NINETEEN EIGHTY SIX",IF(BA126=1987,"NINETEEN EIGHTY SEVEN",IF(BA126=1988,"NINETEEN EIGHTY EIGHT",IF(BA126=1989,"NINETEEN EIGHTY NINE",IF(BA126=1990,"NINETEEN NINETY",IF(BA126=1991,"NINETEEN NINETY ONE",IF(BA126=1992,"NINETEEN NINETY TWO",IF(BA126=1993,"NINETEEN NINETY THREE",IF(BA126=1994,"NINETEEN NINETY FOUR",IF(BA126=1995,"NINETEEN NINETY FIVE",IF(BA126=1996,"NINETEEN NINETY SIX",IF(BA126=1997,"NINETEEN NINETY SEVEN",IF(BA126=1998,"NINETEEN NINETY EIGHT",IF(BA126=1999,"NINETEEN NINETY NINE",IF(BA126=2000,"TWO THOUSAND",IF(BA126=2001,"TWO THOUSAND ONE",IF(BA126=2002,"TWO THOUSAND TWO",IF(BA126=2003,"TWO THOUSAND THREE",IF(BA126=2004,"TWO THOUSAND FOUR",IF(BA126=2005,"TWO THOUSAND FIVE",IF(BA126=2006,"TWO THOUSAND SIX",IF(BA126=2007,"TWO THOUSAND SEVEN",IF(BA126=2008,"TWO THOUSAND EIGHT",IF(BA126=2009,"TWO THOUSAND NINE",IF(BA126=2010,"TWO THOUSAND TEN",IF(BA126=2011,"TWO THOUSAND ELEVEN",IF(BA126=2012,"TWO THOUSAND TWELVE",IF(BA126=2013,"TWO THOUSAND THIRTEEN",IF(BA126=2014,"TWO THOUSAND FOURTEEN",IF(BA126=2015,"TWO THOUSAND FIFTEEN",IF(BA126=2016,"TWO THOUSAND SIXTEEN",IF(BA126=2017,"TWO THOUSAND SEVENTEEN",IF(BA126=2018,"TWO THOUSAND EIGHTEEN",IF(BA126=2019,"TWO THOUSAND NINETEEN",IF(BA126=2020,"TWO THOUSAND TWENTY",IF(BA126=2021,"TWO THOUSAND TWENTY ONE",IF(BA126=2022,"TWO THOUSAND TWENTY TWO",IF(BA126=2023,"TWO THOUSAND TWENTY THREE",IF(BA126=2024,"TWO THOUSAND TWENTY FOUR",IF(BA126=2025,"TWO THOUSAND TWENTY FIVE","")))))))))))))))))))))))))))))))))))))))))))))))))))))))))))))))))</f>
        <v>TWO THOUSAND ELEVEN</v>
      </c>
      <c r="BB129" t="str">
        <f>IF(BB126=1,"JANUARY",IF(BB126=2,"FEBUARY", IF(BB126=3,"MARCH",IF(BB126=4,"APRIL",IF(BB126=5,"MAY",IF(BB126=6,"JUNE",IF(BB126=7,"JULY",IF(BB126=8,"AUGUST",IF(BB126=9,"SEPTEMBER",IF(BB126=10,"OCTOBER",IF(BB126=11,"NOVEMBER",IF(BB126=12,"DECEMBER",""))))))))))))</f>
        <v>JULY</v>
      </c>
      <c r="BC129" t="str">
        <f>IF(BC126=1,"1ST",IF(BC126=2,"2ND", IF(BC126=3,"3RD",IF(BC126=4,"FOURTH",IF(BC126=5,"FIFTH",IF(BC126=6,"SIXTH",IF(BC126=7,"7TH",IF(BC126=8,"8TH",IF(BC126=9,"9TH",IF(BC126=10,"10TH",IF(BC126=11,"11TH",IF(BC126=12,"12TH",IF(BC126=13,"13TH",IF(BC126=14,"14TH",IF(BC126=15,"FIFTEEN",IF(BC126=16,"SIXTEEN",IF(BC126=17,"SEVENTEEN",IF(BC126=18,"EIGHTEEN",IF(BC126=19,"NINETEEN",IF(BC126=20,"TWENTY",IF(BC126=21,"TWENTY FIRST",IF(BC126=22,"TWENTY SECOND",IF(BC126=23,"TWENTY THIRD",IF(BC126=24,"TWENTY FOURTH",IF(BC126=25,"TWENTY FIFTH",IF(BC126=26,"TWENTY SIX",IF(BC126=27,"TWENTY SEVEN",IF(BC126=28,"TWENTY EIGHT",IF(BC126=29,"TWENTY NINE",IF(BC126=30,"THIRTY",IF(BC126=31,"THIRTY FIRST","")))))))))))))))))))))))))))))))</f>
        <v>13TH</v>
      </c>
    </row>
    <row r="130" spans="1:55" s="351" customFormat="1" ht="26.25" customHeight="1">
      <c r="A130" s="33">
        <f>IF(L128="","",A129+1)</f>
        <v>10</v>
      </c>
      <c r="B130" s="1661" t="str">
        <f>IF('School Profile'!$D$12="Hindi","विषय का नाम","Subject Name")</f>
        <v>विषय का नाम</v>
      </c>
      <c r="C130" s="1662"/>
      <c r="D130" s="1681" t="str">
        <f>IF('School Profile'!$D$12="Hindi","सामयिक परख","Seasonal Exam")</f>
        <v>सामयिक परख</v>
      </c>
      <c r="E130" s="1681"/>
      <c r="F130" s="1681"/>
      <c r="G130" s="1681"/>
      <c r="H130" s="1681" t="str">
        <f>IF('School Profile'!$D$12="Hindi","अर्द्धवार्षिक","Half Yearly")</f>
        <v>अर्द्धवार्षिक</v>
      </c>
      <c r="I130" s="1681"/>
      <c r="J130" s="1681"/>
      <c r="K130" s="1556" t="str">
        <f>IF('School Profile'!$D$12="Hindi","अर्द्ध वा. तक योग","Total Till H.Y.")</f>
        <v>अर्द्ध वा. तक योग</v>
      </c>
      <c r="L130" s="1681" t="str">
        <f>IF('School Profile'!$D$12="Hindi","वार्षिक","Yearly")</f>
        <v>वार्षिक</v>
      </c>
      <c r="M130" s="1681"/>
      <c r="N130" s="1681"/>
      <c r="O130" s="1550" t="str">
        <f>IF('School Profile'!$D$12="Hindi","विषय कुल योग ","Subject Total")</f>
        <v xml:space="preserve">विषय कुल योग </v>
      </c>
      <c r="P130" s="1682" t="str">
        <f>IF('School Profile'!$D$12="Hindi","विषय परिणाम / विषय श्रेणी","Sub. Result /  Sub. Div.")</f>
        <v>विषय परिणाम / विषय श्रेणी</v>
      </c>
      <c r="Q130" s="1686"/>
      <c r="R130" s="1661" t="str">
        <f>IF('School Profile'!$D$12="Hindi","विषय का नाम","Subject Name")</f>
        <v>विषय का नाम</v>
      </c>
      <c r="S130" s="1662"/>
      <c r="T130" s="1681" t="str">
        <f>IF('School Profile'!$D$12="Hindi","सामयिक परख","Seasonal Exam")</f>
        <v>सामयिक परख</v>
      </c>
      <c r="U130" s="1681"/>
      <c r="V130" s="1681"/>
      <c r="W130" s="1681"/>
      <c r="X130" s="1681" t="str">
        <f>IF('School Profile'!$D$12="Hindi","अर्द्धवार्षिक","Half Yearly")</f>
        <v>अर्द्धवार्षिक</v>
      </c>
      <c r="Y130" s="1681"/>
      <c r="Z130" s="1681"/>
      <c r="AA130" s="1556" t="str">
        <f>IF('School Profile'!$D$12="Hindi","अर्द्ध वा. तक योग","Total Till H.Y.")</f>
        <v>अर्द्ध वा. तक योग</v>
      </c>
      <c r="AB130" s="1681" t="str">
        <f>IF('School Profile'!$D$12="Hindi","वार्षिक","Yearly")</f>
        <v>वार्षिक</v>
      </c>
      <c r="AC130" s="1681"/>
      <c r="AD130" s="1681"/>
      <c r="AE130" s="1550" t="str">
        <f>IF('School Profile'!$D$12="Hindi","विषय कुल योग ","Subject Total")</f>
        <v xml:space="preserve">विषय कुल योग </v>
      </c>
      <c r="AF130" s="1682" t="str">
        <f>IF('School Profile'!$D$12="Hindi","विषय परिणाम / विषय श्रेणी","Sub. Result /  Sub. Div.")</f>
        <v>विषय परिणाम / विषय श्रेणी</v>
      </c>
      <c r="AV130"/>
      <c r="AW130" t="str">
        <f>CONCATENATE(AW129," ",AX129,", ",AV129)</f>
        <v>SEPTEMBER 9TH, TWO THOUSAND NINE</v>
      </c>
      <c r="AX130"/>
      <c r="BA130"/>
      <c r="BB130" t="str">
        <f>CONCATENATE(BB129," ",BC129,", ",BA129)</f>
        <v>JULY 13TH, TWO THOUSAND ELEVEN</v>
      </c>
      <c r="BC130"/>
    </row>
    <row r="131" spans="1:55" s="351" customFormat="1" ht="78.75" customHeight="1">
      <c r="A131" s="33">
        <f>IF(L128="","",A130+1)</f>
        <v>11</v>
      </c>
      <c r="B131" s="1677"/>
      <c r="C131" s="1678"/>
      <c r="D131" s="656" t="str">
        <f>IF('School Profile'!$D$12="Hindi","प्रथम परख ","First Test")</f>
        <v xml:space="preserve">प्रथम परख </v>
      </c>
      <c r="E131" s="656" t="str">
        <f>IF('School Profile'!$D$12="Hindi","द्वितीय परख","Second Test")</f>
        <v>द्वितीय परख</v>
      </c>
      <c r="F131" s="656" t="str">
        <f>IF('School Profile'!$D$12="Hindi","तृतीय परख","Third Test")</f>
        <v>तृतीय परख</v>
      </c>
      <c r="G131" s="657" t="str">
        <f>IF('School Profile'!$D$12="Hindi","सा. परख योग","Test Total")</f>
        <v>सा. परख योग</v>
      </c>
      <c r="H131" s="658" t="str">
        <f>IF('School Profile'!$D$12="Hindi","सैद्धान्तिक","Theoretical")</f>
        <v>सैद्धान्तिक</v>
      </c>
      <c r="I131" s="658" t="str">
        <f>IF('School Profile'!$D$12="Hindi","प्रायोगिक","Practical")</f>
        <v>प्रायोगिक</v>
      </c>
      <c r="J131" s="659" t="str">
        <f>IF('School Profile'!$D$12="Hindi","अर्द्धवार्षिक योग","H.Y.  Total")</f>
        <v>अर्द्धवार्षिक योग</v>
      </c>
      <c r="K131" s="1556"/>
      <c r="L131" s="658" t="str">
        <f>IF('School Profile'!$D$12="Hindi","सैद्धान्तिक","Theoretical")</f>
        <v>सैद्धान्तिक</v>
      </c>
      <c r="M131" s="658" t="str">
        <f>IF('School Profile'!$D$12="Hindi","प्रायोगिक","Practical")</f>
        <v>प्रायोगिक</v>
      </c>
      <c r="N131" s="659" t="str">
        <f>IF('School Profile'!$D$12="Hindi","वार्षिक योग","Yearly  Total")</f>
        <v>वार्षिक योग</v>
      </c>
      <c r="O131" s="1550"/>
      <c r="P131" s="1552"/>
      <c r="Q131" s="1686"/>
      <c r="R131" s="1677"/>
      <c r="S131" s="1678"/>
      <c r="T131" s="656" t="str">
        <f>IF('School Profile'!$D$12="Hindi","प्रथम परख ","First Test")</f>
        <v xml:space="preserve">प्रथम परख </v>
      </c>
      <c r="U131" s="656" t="str">
        <f>IF('School Profile'!$D$12="Hindi","द्वितीय परख","Second Test")</f>
        <v>द्वितीय परख</v>
      </c>
      <c r="V131" s="656" t="str">
        <f>IF('School Profile'!$D$12="Hindi","तृतीय परख","Third Test")</f>
        <v>तृतीय परख</v>
      </c>
      <c r="W131" s="657" t="str">
        <f>IF('School Profile'!$D$12="Hindi","सा. परख योग","Test Total")</f>
        <v>सा. परख योग</v>
      </c>
      <c r="X131" s="658" t="str">
        <f>IF('School Profile'!$D$12="Hindi","सैद्धान्तिक","Theoretical")</f>
        <v>सैद्धान्तिक</v>
      </c>
      <c r="Y131" s="658" t="str">
        <f>IF('School Profile'!$D$12="Hindi","प्रायोगिक","Practical")</f>
        <v>प्रायोगिक</v>
      </c>
      <c r="Z131" s="659" t="str">
        <f>IF('School Profile'!$D$12="Hindi","अर्द्धवार्षिक योग","H.Y.  Total")</f>
        <v>अर्द्धवार्षिक योग</v>
      </c>
      <c r="AA131" s="1556"/>
      <c r="AB131" s="658" t="str">
        <f>IF('School Profile'!$D$12="Hindi","सैद्धान्तिक","Theoretical")</f>
        <v>सैद्धान्तिक</v>
      </c>
      <c r="AC131" s="658" t="str">
        <f>IF('School Profile'!$D$12="Hindi","प्रायोगिक","Practical")</f>
        <v>प्रायोगिक</v>
      </c>
      <c r="AD131" s="659" t="str">
        <f>IF('School Profile'!$D$12="Hindi","वार्षिक योग","Yearly  Total")</f>
        <v>वार्षिक योग</v>
      </c>
      <c r="AE131" s="1550"/>
      <c r="AF131" s="1552"/>
      <c r="AV131"/>
      <c r="AW131"/>
      <c r="AX131"/>
      <c r="BA131"/>
      <c r="BB131"/>
      <c r="BC131"/>
    </row>
    <row r="132" spans="1:55" s="353" customFormat="1" ht="21" customHeight="1">
      <c r="A132" s="33">
        <f>IF(L128="","",A131+1)</f>
        <v>12</v>
      </c>
      <c r="B132" s="1679"/>
      <c r="C132" s="1680"/>
      <c r="D132" s="663">
        <v>10</v>
      </c>
      <c r="E132" s="663">
        <v>10</v>
      </c>
      <c r="F132" s="663">
        <v>10</v>
      </c>
      <c r="G132" s="663">
        <v>30</v>
      </c>
      <c r="H132" s="665" t="s">
        <v>251</v>
      </c>
      <c r="I132" s="661">
        <v>35</v>
      </c>
      <c r="J132" s="660">
        <v>70</v>
      </c>
      <c r="K132" s="661">
        <v>100</v>
      </c>
      <c r="L132" s="664" t="s">
        <v>252</v>
      </c>
      <c r="M132" s="663">
        <v>50</v>
      </c>
      <c r="N132" s="660">
        <v>100</v>
      </c>
      <c r="O132" s="662">
        <v>200</v>
      </c>
      <c r="P132" s="1553"/>
      <c r="Q132" s="1686"/>
      <c r="R132" s="1679"/>
      <c r="S132" s="1680"/>
      <c r="T132" s="663">
        <v>10</v>
      </c>
      <c r="U132" s="663">
        <v>10</v>
      </c>
      <c r="V132" s="663">
        <v>10</v>
      </c>
      <c r="W132" s="663">
        <v>30</v>
      </c>
      <c r="X132" s="665" t="s">
        <v>251</v>
      </c>
      <c r="Y132" s="661">
        <v>35</v>
      </c>
      <c r="Z132" s="660">
        <v>70</v>
      </c>
      <c r="AA132" s="661">
        <v>100</v>
      </c>
      <c r="AB132" s="664" t="s">
        <v>252</v>
      </c>
      <c r="AC132" s="663">
        <v>50</v>
      </c>
      <c r="AD132" s="660">
        <v>100</v>
      </c>
      <c r="AE132" s="662">
        <v>200</v>
      </c>
      <c r="AF132" s="1553"/>
      <c r="AV132"/>
      <c r="AW132"/>
      <c r="AX132"/>
      <c r="BA132"/>
      <c r="BB132"/>
      <c r="BC132"/>
    </row>
    <row r="133" spans="1:55" s="351" customFormat="1" ht="22.5" customHeight="1">
      <c r="A133" s="33">
        <f>IF(L128="","",A132+1)</f>
        <v>13</v>
      </c>
      <c r="B133" s="1674" t="str">
        <f>'Statement of Marks'!$K$3</f>
        <v>हिंदी</v>
      </c>
      <c r="C133" s="1675"/>
      <c r="D133" s="26" t="str">
        <f>IFERROR(VLOOKUP(L128,'Statement of Marks'!$B$7:'Statement of Marks'!$IC$206,10,0),"")</f>
        <v/>
      </c>
      <c r="E133" s="26" t="str">
        <f>IFERROR(VLOOKUP(L128,'Statement of Marks'!$B$7:'Statement of Marks'!$IC$206,11,0),"")</f>
        <v/>
      </c>
      <c r="F133" s="26">
        <f>IFERROR(VLOOKUP(L128,'Statement of Marks'!$B$7:'Statement of Marks'!$IC$206,12,0),"")</f>
        <v>8</v>
      </c>
      <c r="G133" s="26">
        <f>IFERROR(VLOOKUP(L128,'Statement of Marks'!$B$7:'Statement of Marks'!$IC$206,13,0),"")</f>
        <v>8</v>
      </c>
      <c r="H133" s="26">
        <f>IFERROR(VLOOKUP(L128,'Statement of Marks'!$B$7:'Statement of Marks'!$IC$206,14,0),"")</f>
        <v>46</v>
      </c>
      <c r="I133" s="26"/>
      <c r="J133" s="347">
        <f>IF(L128="","",IF(AND(H133="",I133=""),"",SUM(H133,I133)))</f>
        <v>46</v>
      </c>
      <c r="K133" s="679">
        <f>IFERROR(IF(L128="","",IF(AND(G133="",J133=""),"",SUM(G133,J133))),"")</f>
        <v>54</v>
      </c>
      <c r="L133" s="26">
        <f>IFERROR(VLOOKUP(L128,'Statement of Marks'!$B$7:'Statement of Marks'!$IC$206,16,0),"")</f>
        <v>65</v>
      </c>
      <c r="M133" s="26"/>
      <c r="N133" s="347">
        <f>IF(L128="","",IF(AND(L133="",M133=""),"",SUM(L133,M133)))</f>
        <v>65</v>
      </c>
      <c r="O133" s="674">
        <f>IFERROR(VLOOKUP(L128,'Statement of Marks'!$B$7:'Statement of Marks'!$IC$206,17,0),"")</f>
        <v>119</v>
      </c>
      <c r="P133" s="680" t="str">
        <f>IFERROR(IF(O133="","",IF(VLOOKUP(L128,'Statement of Marks'!$B$7:'Statement of Marks'!$IC$206,195,0)="D","I",IF(VLOOKUP(L128,'Statement of Marks'!$B$7:'Statement of Marks'!$IC$206,195,0)="G1","G",IF(VLOOKUP(L128,'Statement of Marks'!$B$7:'Statement of Marks'!$IC$206,195,0)="G2","G",VLOOKUP(L128,'Statement of Marks'!$B$7:'Statement of Marks'!$IC$206,195,0))))),"")</f>
        <v>II</v>
      </c>
      <c r="Q133" s="1686"/>
      <c r="R133" s="1674" t="str">
        <f>'Statement of Marks'!$K$3</f>
        <v>हिंदी</v>
      </c>
      <c r="S133" s="1675"/>
      <c r="T133" s="26">
        <f>IFERROR(VLOOKUP(AB128,'Statement of Marks'!$B$7:'Statement of Marks'!$IC$206,10,0),"")</f>
        <v>8</v>
      </c>
      <c r="U133" s="26">
        <f>IFERROR(VLOOKUP(AB128,'Statement of Marks'!$B$7:'Statement of Marks'!$IC$206,11,0),"")</f>
        <v>9</v>
      </c>
      <c r="V133" s="26">
        <f>IFERROR(VLOOKUP(AB128,'Statement of Marks'!$B$7:'Statement of Marks'!$IC$206,12,0),"")</f>
        <v>7</v>
      </c>
      <c r="W133" s="26">
        <f>IFERROR(VLOOKUP(AB128,'Statement of Marks'!$B$7:'Statement of Marks'!$IC$206,13,0),"")</f>
        <v>24</v>
      </c>
      <c r="X133" s="26">
        <f>IFERROR(VLOOKUP(AB128,'Statement of Marks'!$B$7:'Statement of Marks'!$IC$206,14,0),"")</f>
        <v>46</v>
      </c>
      <c r="Y133" s="26"/>
      <c r="Z133" s="347">
        <f>IF(AB128="","",IF(AND(X133="",Y133=""),"",SUM(X133,Y133)))</f>
        <v>46</v>
      </c>
      <c r="AA133" s="679">
        <f>IFERROR(IF(AB128="","",IF(AND(W133="",Z133=""),"",SUM(W133,Z133))),"")</f>
        <v>70</v>
      </c>
      <c r="AB133" s="26">
        <f>IFERROR(VLOOKUP(AB128,'Statement of Marks'!$B$7:'Statement of Marks'!$IC$206,16,0),"")</f>
        <v>65</v>
      </c>
      <c r="AC133" s="26"/>
      <c r="AD133" s="347">
        <f>IF(AB128="","",IF(AND(AB133="",AC133=""),"",SUM(AB133,AC133)))</f>
        <v>65</v>
      </c>
      <c r="AE133" s="674">
        <f>IFERROR(VLOOKUP(AB128,'Statement of Marks'!$B$7:'Statement of Marks'!$IC$206,17,0),"")</f>
        <v>135</v>
      </c>
      <c r="AF133" s="680" t="str">
        <f>IFERROR(IF(AE133="","",IF(VLOOKUP(AB128,'Statement of Marks'!$B$7:'Statement of Marks'!$IC$206,195,0)="D","I",IF(VLOOKUP(AB128,'Statement of Marks'!$B$7:'Statement of Marks'!$IC$206,195,0)="G1","G",IF(VLOOKUP(AB128,'Statement of Marks'!$B$7:'Statement of Marks'!$IC$206,195,0)="G2","G",VLOOKUP(AB128,'Statement of Marks'!$B$7:'Statement of Marks'!$IC$206,195,0))))),"")</f>
        <v>I</v>
      </c>
      <c r="AV133"/>
      <c r="AW133"/>
      <c r="AX133"/>
      <c r="BA133"/>
      <c r="BB133"/>
      <c r="BC133"/>
    </row>
    <row r="134" spans="1:55" s="351" customFormat="1" ht="22.5" customHeight="1">
      <c r="A134" s="33">
        <f>IF(L128="","",A133+1)</f>
        <v>14</v>
      </c>
      <c r="B134" s="1674" t="str">
        <f>'Statement of Marks'!$Y$3</f>
        <v>अंग्रेजी</v>
      </c>
      <c r="C134" s="1675"/>
      <c r="D134" s="26">
        <f>IFERROR(VLOOKUP(L128,'Statement of Marks'!$B$7:'Statement of Marks'!$IC$206,24,0),"")</f>
        <v>8</v>
      </c>
      <c r="E134" s="26">
        <f>IFERROR(VLOOKUP(L128,'Statement of Marks'!$B$7:'Statement of Marks'!$IC$206,25,0),"")</f>
        <v>9</v>
      </c>
      <c r="F134" s="26">
        <f>IFERROR(VLOOKUP(L128,'Statement of Marks'!$B$7:'Statement of Marks'!$IC$206,26,0),"")</f>
        <v>9</v>
      </c>
      <c r="G134" s="26">
        <f>IFERROR(VLOOKUP(L128,'Statement of Marks'!$B$7:'Statement of Marks'!$IC$206,27,0),"")</f>
        <v>26</v>
      </c>
      <c r="H134" s="26">
        <f>IFERROR(VLOOKUP(L128,'Statement of Marks'!$B$7:'Statement of Marks'!$IC$206,28,0),"")</f>
        <v>60</v>
      </c>
      <c r="I134" s="26"/>
      <c r="J134" s="347">
        <f>IF(L128="","",IF(AND(H134="",I134=""),"",SUM(H134,I134)))</f>
        <v>60</v>
      </c>
      <c r="K134" s="679">
        <f>IFERROR(IF(L128="","",IF(AND(G134="",J134=""),"",SUM(G134,J134))),"")</f>
        <v>86</v>
      </c>
      <c r="L134" s="26">
        <f>IFERROR(VLOOKUP(L128,'Statement of Marks'!$B$7:'Statement of Marks'!$IC$206,30,0),"")</f>
        <v>85</v>
      </c>
      <c r="M134" s="26"/>
      <c r="N134" s="347">
        <f>IF(L128="","",IF(AND(L134="",M134=""),"",SUM(L134,M134)))</f>
        <v>85</v>
      </c>
      <c r="O134" s="674">
        <f>IFERROR(VLOOKUP(L128,'Statement of Marks'!$B$7:'Statement of Marks'!$IC$206,31,0),"")</f>
        <v>171</v>
      </c>
      <c r="P134" s="680" t="str">
        <f>IFERROR(IF(O133="","",IF(VLOOKUP(L128,'Statement of Marks'!$B$7:'Statement of Marks'!$IC$206,198,0)="D","I",IF(VLOOKUP(L128,'Statement of Marks'!$B$7:'Statement of Marks'!$IC$206,198,0)="G1","G",IF(VLOOKUP(L128,'Statement of Marks'!$B$7:'Statement of Marks'!$IC$206,198,0)="G2","G",VLOOKUP(L128,'Statement of Marks'!$B$7:'Statement of Marks'!$IC$206,198,0))))),"")</f>
        <v>I</v>
      </c>
      <c r="Q134" s="1686"/>
      <c r="R134" s="1674" t="str">
        <f>'Statement of Marks'!$Y$3</f>
        <v>अंग्रेजी</v>
      </c>
      <c r="S134" s="1675"/>
      <c r="T134" s="26">
        <f>IFERROR(VLOOKUP(AB128,'Statement of Marks'!$B$7:'Statement of Marks'!$IC$206,24,0),"")</f>
        <v>8</v>
      </c>
      <c r="U134" s="26">
        <f>IFERROR(VLOOKUP(AB128,'Statement of Marks'!$B$7:'Statement of Marks'!$IC$206,25,0),"")</f>
        <v>9</v>
      </c>
      <c r="V134" s="26">
        <f>IFERROR(VLOOKUP(AB128,'Statement of Marks'!$B$7:'Statement of Marks'!$IC$206,26,0),"")</f>
        <v>9</v>
      </c>
      <c r="W134" s="26">
        <f>IFERROR(VLOOKUP(AB128,'Statement of Marks'!$B$7:'Statement of Marks'!$IC$206,27,0),"")</f>
        <v>26</v>
      </c>
      <c r="X134" s="26">
        <f>IFERROR(VLOOKUP(AB128,'Statement of Marks'!$B$7:'Statement of Marks'!$IC$206,28,0),"")</f>
        <v>30</v>
      </c>
      <c r="Y134" s="26"/>
      <c r="Z134" s="347">
        <f>IF(AB128="","",IF(AND(X134="",Y134=""),"",SUM(X134,Y134)))</f>
        <v>30</v>
      </c>
      <c r="AA134" s="679">
        <f>IFERROR(IF(AB128="","",IF(AND(W134="",Z134=""),"",SUM(W134,Z134))),"")</f>
        <v>56</v>
      </c>
      <c r="AB134" s="26">
        <f>IFERROR(VLOOKUP(AB128,'Statement of Marks'!$B$7:'Statement of Marks'!$IC$206,30,0),"")</f>
        <v>30</v>
      </c>
      <c r="AC134" s="26"/>
      <c r="AD134" s="347">
        <f>IF(AB128="","",IF(AND(AB134="",AC134=""),"",SUM(AB134,AC134)))</f>
        <v>30</v>
      </c>
      <c r="AE134" s="674">
        <f>IFERROR(VLOOKUP(AB128,'Statement of Marks'!$B$7:'Statement of Marks'!$IC$206,31,0),"")</f>
        <v>86</v>
      </c>
      <c r="AF134" s="680" t="str">
        <f>IFERROR(IF(AE133="","",IF(VLOOKUP(AB128,'Statement of Marks'!$B$7:'Statement of Marks'!$IC$206,198,0)="D","I",IF(VLOOKUP(AB128,'Statement of Marks'!$B$7:'Statement of Marks'!$IC$206,198,0)="G1","G",IF(VLOOKUP(AB128,'Statement of Marks'!$B$7:'Statement of Marks'!$IC$206,198,0)="G2","G",VLOOKUP(AB128,'Statement of Marks'!$B$7:'Statement of Marks'!$IC$206,198,0))))),"")</f>
        <v>III</v>
      </c>
      <c r="AV134"/>
      <c r="AW134"/>
      <c r="AX134"/>
      <c r="BA134"/>
      <c r="BB134"/>
      <c r="BC134"/>
    </row>
    <row r="135" spans="1:55" s="351" customFormat="1" ht="22.5" customHeight="1">
      <c r="A135" s="33">
        <f>IF(L128="","",A134+1)</f>
        <v>15</v>
      </c>
      <c r="B135" s="1674" t="str">
        <f>IFERROR(VLOOKUP(L128,'Statement of Marks'!$B$7:'Statement of Marks'!$IC$206,38,0),"")</f>
        <v xml:space="preserve">उर्दू (72) </v>
      </c>
      <c r="C135" s="1675"/>
      <c r="D135" s="26">
        <f>IFERROR(VLOOKUP(L128,'Statement of Marks'!$B$7:'Statement of Marks'!$IC$206,39,0),"")</f>
        <v>8</v>
      </c>
      <c r="E135" s="26">
        <f>IFERROR(VLOOKUP(L128,'Statement of Marks'!$B$7:'Statement of Marks'!$IC$206,40,0),"")</f>
        <v>9</v>
      </c>
      <c r="F135" s="26">
        <f>IFERROR(VLOOKUP(L128,'Statement of Marks'!$B$7:'Statement of Marks'!$IC$206,41,0),"")</f>
        <v>8</v>
      </c>
      <c r="G135" s="26">
        <f>IFERROR(VLOOKUP(L128,'Statement of Marks'!$B$7:'Statement of Marks'!$IC$206,42,0),"")</f>
        <v>25</v>
      </c>
      <c r="H135" s="26">
        <f>IFERROR(VLOOKUP(L128,'Statement of Marks'!$B$7:'Statement of Marks'!$IC$206,43,0),"")</f>
        <v>46</v>
      </c>
      <c r="I135" s="26"/>
      <c r="J135" s="347">
        <f>IF(L128="","",IF(AND(H135="",I135=""),"",SUM(H135,I135)))</f>
        <v>46</v>
      </c>
      <c r="K135" s="679">
        <f>IFERROR(IF(L128="","",IF(AND(G135="",J135=""),"",SUM(G135,J135))),"")</f>
        <v>71</v>
      </c>
      <c r="L135" s="26">
        <f>IFERROR(VLOOKUP(L128,'Statement of Marks'!$B$7:'Statement of Marks'!$IC$206,45,0),"")</f>
        <v>45</v>
      </c>
      <c r="M135" s="26"/>
      <c r="N135" s="347">
        <f>IF(L128="","",IF(AND(L135="",M135=""),"",SUM(L135,M135)))</f>
        <v>45</v>
      </c>
      <c r="O135" s="674">
        <f>IFERROR(VLOOKUP(L128,'Statement of Marks'!$B$7:'Statement of Marks'!$IC$206,46,0),"")</f>
        <v>116</v>
      </c>
      <c r="P135" s="680" t="str">
        <f>IFERROR(IF(O133="","",IF(VLOOKUP(L128,'Statement of Marks'!$B$7:'Statement of Marks'!$IC$206,201,0)="D","I",IF(VLOOKUP(L128,'Statement of Marks'!$B$7:'Statement of Marks'!$IC$206,201,0)="G1","G",IF(VLOOKUP(L128,'Statement of Marks'!$B$7:'Statement of Marks'!$IC$206,201,0)="G2","G",VLOOKUP(L128,'Statement of Marks'!$B$7:'Statement of Marks'!$IC$206,201,0))))),"")</f>
        <v>II</v>
      </c>
      <c r="Q135" s="1686"/>
      <c r="R135" s="1674" t="str">
        <f>IFERROR(VLOOKUP(AB128,'Statement of Marks'!$B$7:'Statement of Marks'!$IC$206,38,0),"")</f>
        <v>संस्कृत (71)</v>
      </c>
      <c r="S135" s="1675"/>
      <c r="T135" s="26">
        <f>IFERROR(VLOOKUP(AB128,'Statement of Marks'!$B$7:'Statement of Marks'!$IC$206,39,0),"")</f>
        <v>8</v>
      </c>
      <c r="U135" s="26">
        <f>IFERROR(VLOOKUP(AB128,'Statement of Marks'!$B$7:'Statement of Marks'!$IC$206,40,0),"")</f>
        <v>9</v>
      </c>
      <c r="V135" s="26">
        <f>IFERROR(VLOOKUP(AB128,'Statement of Marks'!$B$7:'Statement of Marks'!$IC$206,41,0),"")</f>
        <v>7</v>
      </c>
      <c r="W135" s="26">
        <f>IFERROR(VLOOKUP(AB128,'Statement of Marks'!$B$7:'Statement of Marks'!$IC$206,42,0),"")</f>
        <v>24</v>
      </c>
      <c r="X135" s="26">
        <f>IFERROR(VLOOKUP(AB128,'Statement of Marks'!$B$7:'Statement of Marks'!$IC$206,43,0),"")</f>
        <v>46</v>
      </c>
      <c r="Y135" s="26"/>
      <c r="Z135" s="347">
        <f>IF(AB128="","",IF(AND(X135="",Y135=""),"",SUM(X135,Y135)))</f>
        <v>46</v>
      </c>
      <c r="AA135" s="679">
        <f>IFERROR(IF(AB128="","",IF(AND(W135="",Z135=""),"",SUM(W135,Z135))),"")</f>
        <v>70</v>
      </c>
      <c r="AB135" s="26">
        <f>IFERROR(VLOOKUP(AB128,'Statement of Marks'!$B$7:'Statement of Marks'!$IC$206,45,0),"")</f>
        <v>45</v>
      </c>
      <c r="AC135" s="26"/>
      <c r="AD135" s="347">
        <f>IF(AB128="","",IF(AND(AB135="",AC135=""),"",SUM(AB135,AC135)))</f>
        <v>45</v>
      </c>
      <c r="AE135" s="674">
        <f>IFERROR(VLOOKUP(AB128,'Statement of Marks'!$B$7:'Statement of Marks'!$IC$206,46,0),"")</f>
        <v>115</v>
      </c>
      <c r="AF135" s="680" t="str">
        <f>IFERROR(IF(AE133="","",IF(VLOOKUP(AB128,'Statement of Marks'!$B$7:'Statement of Marks'!$IC$206,201,0)="D","I",IF(VLOOKUP(AB128,'Statement of Marks'!$B$7:'Statement of Marks'!$IC$206,201,0)="G1","G",IF(VLOOKUP(AB128,'Statement of Marks'!$B$7:'Statement of Marks'!$IC$206,201,0)="G2","G",VLOOKUP(AB128,'Statement of Marks'!$B$7:'Statement of Marks'!$IC$206,201,0))))),"")</f>
        <v>II</v>
      </c>
      <c r="AV135"/>
      <c r="AW135"/>
      <c r="AX135"/>
      <c r="BA135"/>
      <c r="BB135"/>
      <c r="BC135"/>
    </row>
    <row r="136" spans="1:55" s="351" customFormat="1" ht="22.5" customHeight="1">
      <c r="A136" s="33">
        <f>IF(L128="","",A135+1)</f>
        <v>16</v>
      </c>
      <c r="B136" s="1674" t="str">
        <f>'Statement of Marks'!$BB$3</f>
        <v>गणित</v>
      </c>
      <c r="C136" s="1675"/>
      <c r="D136" s="26">
        <f>IFERROR(VLOOKUP(L128,'Statement of Marks'!$B$7:'Statement of Marks'!$IC$206,53,0),"")</f>
        <v>8</v>
      </c>
      <c r="E136" s="26">
        <f>IFERROR(VLOOKUP(L128,'Statement of Marks'!$B$7:'Statement of Marks'!$IC$206,54,0),"")</f>
        <v>9</v>
      </c>
      <c r="F136" s="26">
        <f>IFERROR(VLOOKUP(L128,'Statement of Marks'!$B$7:'Statement of Marks'!$IC$206,55,0),"")</f>
        <v>9</v>
      </c>
      <c r="G136" s="26">
        <f>IFERROR(VLOOKUP(L128,'Statement of Marks'!$B$7:'Statement of Marks'!$IC$206,56,0),"")</f>
        <v>26</v>
      </c>
      <c r="H136" s="26">
        <f>IFERROR(VLOOKUP(L128,'Statement of Marks'!$B$7:'Statement of Marks'!$IC$206,57,0),"")</f>
        <v>16</v>
      </c>
      <c r="I136" s="26"/>
      <c r="J136" s="347">
        <f>IF(L128="","",IF(AND(H136="",I136=""),"",SUM(H136,I136)))</f>
        <v>16</v>
      </c>
      <c r="K136" s="679">
        <f>IFERROR(IF(L128="","",IF(AND(G136="",J136=""),"",SUM(G136,J136))),"")</f>
        <v>42</v>
      </c>
      <c r="L136" s="26">
        <f>IFERROR(VLOOKUP(L128,'Statement of Marks'!$B$7:'Statement of Marks'!$IC$206,59,0),"")</f>
        <v>45</v>
      </c>
      <c r="M136" s="26"/>
      <c r="N136" s="347">
        <f>IF(L128="","",IF(AND(L136="",M136=""),"",SUM(L136,M136)))</f>
        <v>45</v>
      </c>
      <c r="O136" s="674">
        <f>IFERROR(VLOOKUP(L128,'Statement of Marks'!$B$7:'Statement of Marks'!$IC$206,60,0),"")</f>
        <v>87</v>
      </c>
      <c r="P136" s="680" t="str">
        <f>IFERROR(IF(O133="","",IF(VLOOKUP(L128,'Statement of Marks'!$B$7:'Statement of Marks'!$IC$206,209,0)="D","I",IF(VLOOKUP(L128,'Statement of Marks'!$B$7:'Statement of Marks'!$IC$206,209,0)="G1","G",IF(VLOOKUP(L128,'Statement of Marks'!$B$7:'Statement of Marks'!$IC$206,209,0)="G2","G",VLOOKUP(L128,'Statement of Marks'!$B$7:'Statement of Marks'!$IC$206,209,0))))),"")</f>
        <v>III</v>
      </c>
      <c r="Q136" s="1686"/>
      <c r="R136" s="1674" t="str">
        <f>'Statement of Marks'!$BB$3</f>
        <v>गणित</v>
      </c>
      <c r="S136" s="1675"/>
      <c r="T136" s="26">
        <f>IFERROR(VLOOKUP(AB128,'Statement of Marks'!$B$7:'Statement of Marks'!$IC$206,53,0),"")</f>
        <v>8</v>
      </c>
      <c r="U136" s="26">
        <f>IFERROR(VLOOKUP(AB128,'Statement of Marks'!$B$7:'Statement of Marks'!$IC$206,54,0),"")</f>
        <v>9</v>
      </c>
      <c r="V136" s="26">
        <f>IFERROR(VLOOKUP(AB128,'Statement of Marks'!$B$7:'Statement of Marks'!$IC$206,55,0),"")</f>
        <v>10</v>
      </c>
      <c r="W136" s="26">
        <f>IFERROR(VLOOKUP(AB128,'Statement of Marks'!$B$7:'Statement of Marks'!$IC$206,56,0),"")</f>
        <v>27</v>
      </c>
      <c r="X136" s="26">
        <f>IFERROR(VLOOKUP(AB128,'Statement of Marks'!$B$7:'Statement of Marks'!$IC$206,57,0),"")</f>
        <v>15</v>
      </c>
      <c r="Y136" s="26"/>
      <c r="Z136" s="347">
        <f>IF(AB128="","",IF(AND(X136="",Y136=""),"",SUM(X136,Y136)))</f>
        <v>15</v>
      </c>
      <c r="AA136" s="679">
        <f>IFERROR(IF(AB128="","",IF(AND(W136="",Z136=""),"",SUM(W136,Z136))),"")</f>
        <v>42</v>
      </c>
      <c r="AB136" s="26">
        <f>IFERROR(VLOOKUP(AB128,'Statement of Marks'!$B$7:'Statement of Marks'!$IC$206,59,0),"")</f>
        <v>25</v>
      </c>
      <c r="AC136" s="26"/>
      <c r="AD136" s="347">
        <f>IF(AB128="","",IF(AND(AB136="",AC136=""),"",SUM(AB136,AC136)))</f>
        <v>25</v>
      </c>
      <c r="AE136" s="674">
        <f>IFERROR(VLOOKUP(AB128,'Statement of Marks'!$B$7:'Statement of Marks'!$IC$206,60,0),"")</f>
        <v>67</v>
      </c>
      <c r="AF136" s="680" t="str">
        <f>IFERROR(IF(AE133="","",IF(VLOOKUP(AB128,'Statement of Marks'!$B$7:'Statement of Marks'!$IC$206,209,0)="D","I",IF(VLOOKUP(AB128,'Statement of Marks'!$B$7:'Statement of Marks'!$IC$206,209,0)="G1","G",IF(VLOOKUP(AB128,'Statement of Marks'!$B$7:'Statement of Marks'!$IC$206,209,0)="G2","G",VLOOKUP(AB128,'Statement of Marks'!$B$7:'Statement of Marks'!$IC$206,209,0))))),"")</f>
        <v>G</v>
      </c>
      <c r="AV136"/>
      <c r="AW136"/>
      <c r="AX136"/>
      <c r="BA136"/>
      <c r="BB136"/>
      <c r="BC136"/>
    </row>
    <row r="137" spans="1:55" s="351" customFormat="1" ht="22.5" customHeight="1">
      <c r="A137" s="33">
        <f>IF(L128="","",A136+1)</f>
        <v>17</v>
      </c>
      <c r="B137" s="1661" t="str">
        <f>'Statement of Marks'!$BP$3</f>
        <v>विज्ञान</v>
      </c>
      <c r="C137" s="1662"/>
      <c r="D137" s="26">
        <f>IFERROR(VLOOKUP(L128,'Statement of Marks'!$B$7:'Statement of Marks'!$IC$206,67,0),"")</f>
        <v>8</v>
      </c>
      <c r="E137" s="26">
        <f>IFERROR(VLOOKUP(L128,'Statement of Marks'!$B$7:'Statement of Marks'!$IC$206,68,0),"")</f>
        <v>9</v>
      </c>
      <c r="F137" s="26">
        <f>IFERROR(VLOOKUP(L128,'Statement of Marks'!$B$7:'Statement of Marks'!$IC$206,69,0),"")</f>
        <v>8</v>
      </c>
      <c r="G137" s="26">
        <f>IFERROR(VLOOKUP(L128,'Statement of Marks'!$B$7:'Statement of Marks'!$IC$206,70,0),"")</f>
        <v>25</v>
      </c>
      <c r="H137" s="26">
        <f>IFERROR(VLOOKUP(L128,'Statement of Marks'!$B$7:'Statement of Marks'!$IC$206,71,0),"")</f>
        <v>46</v>
      </c>
      <c r="I137" s="26"/>
      <c r="J137" s="347">
        <f>IF(L128="","",IF(AND(H137="",I137=""),"",SUM(H137,I137)))</f>
        <v>46</v>
      </c>
      <c r="K137" s="679">
        <f>IFERROR(IF(L128="","",IF(AND(G137="",J137=""),"",SUM(G137,J137))),"")</f>
        <v>71</v>
      </c>
      <c r="L137" s="26">
        <f>IFERROR(VLOOKUP(L128,'Statement of Marks'!$B$7:'Statement of Marks'!$IC$206,73,0),"")</f>
        <v>45</v>
      </c>
      <c r="M137" s="26"/>
      <c r="N137" s="347">
        <f>IF(L128="","",IF(AND(L137="",M137=""),"",SUM(L137,M137)))</f>
        <v>45</v>
      </c>
      <c r="O137" s="674">
        <f>IFERROR(VLOOKUP(L128,'Statement of Marks'!$B$7:'Statement of Marks'!$IC$206,74,0),"")</f>
        <v>116</v>
      </c>
      <c r="P137" s="680" t="str">
        <f>IFERROR(IF(O133="","",IF(VLOOKUP(L128,'Statement of Marks'!$B$7:'Statement of Marks'!$IC$206,212,0)="D","I",IF(VLOOKUP(L128,'Statement of Marks'!$B$7:'Statement of Marks'!$IC$206,212,0)="G1","G",IF(VLOOKUP(L128,'Statement of Marks'!$B$7:'Statement of Marks'!$IC$206,212,0)="G2","G",VLOOKUP(L128,'Statement of Marks'!$B$7:'Statement of Marks'!$IC$206,212,0))))),"")</f>
        <v>II</v>
      </c>
      <c r="Q137" s="1686"/>
      <c r="R137" s="1661" t="str">
        <f>'Statement of Marks'!$BP$3</f>
        <v>विज्ञान</v>
      </c>
      <c r="S137" s="1662"/>
      <c r="T137" s="26">
        <f>IFERROR(VLOOKUP(AB128,'Statement of Marks'!$B$7:'Statement of Marks'!$IC$206,67,0),"")</f>
        <v>8</v>
      </c>
      <c r="U137" s="26">
        <f>IFERROR(VLOOKUP(AB128,'Statement of Marks'!$B$7:'Statement of Marks'!$IC$206,68,0),"")</f>
        <v>9</v>
      </c>
      <c r="V137" s="26">
        <f>IFERROR(VLOOKUP(AB128,'Statement of Marks'!$B$7:'Statement of Marks'!$IC$206,69,0),"")</f>
        <v>7</v>
      </c>
      <c r="W137" s="26">
        <f>IFERROR(VLOOKUP(AB128,'Statement of Marks'!$B$7:'Statement of Marks'!$IC$206,70,0),"")</f>
        <v>24</v>
      </c>
      <c r="X137" s="26">
        <f>IFERROR(VLOOKUP(AB128,'Statement of Marks'!$B$7:'Statement of Marks'!$IC$206,71,0),"")</f>
        <v>46</v>
      </c>
      <c r="Y137" s="26"/>
      <c r="Z137" s="347">
        <f>IF(AB128="","",IF(AND(X137="",Y137=""),"",SUM(X137,Y137)))</f>
        <v>46</v>
      </c>
      <c r="AA137" s="679">
        <f>IFERROR(IF(AB128="","",IF(AND(W137="",Z137=""),"",SUM(W137,Z137))),"")</f>
        <v>70</v>
      </c>
      <c r="AB137" s="26">
        <f>IFERROR(VLOOKUP(AB128,'Statement of Marks'!$B$7:'Statement of Marks'!$IC$206,73,0),"")</f>
        <v>45</v>
      </c>
      <c r="AC137" s="26"/>
      <c r="AD137" s="347">
        <f>IF(AB128="","",IF(AND(AB137="",AC137=""),"",SUM(AB137,AC137)))</f>
        <v>45</v>
      </c>
      <c r="AE137" s="674">
        <f>IFERROR(VLOOKUP(AB128,'Statement of Marks'!$B$7:'Statement of Marks'!$IC$206,74,0),"")</f>
        <v>115</v>
      </c>
      <c r="AF137" s="680" t="str">
        <f>IFERROR(IF(AE133="","",IF(VLOOKUP(AB128,'Statement of Marks'!$B$7:'Statement of Marks'!$IC$206,212,0)="D","I",IF(VLOOKUP(AB128,'Statement of Marks'!$B$7:'Statement of Marks'!$IC$206,212,0)="G1","G",IF(VLOOKUP(AB128,'Statement of Marks'!$B$7:'Statement of Marks'!$IC$206,212,0)="G2","G",VLOOKUP(AB128,'Statement of Marks'!$B$7:'Statement of Marks'!$IC$206,212,0))))),"")</f>
        <v>II</v>
      </c>
      <c r="AV137"/>
      <c r="AW137"/>
      <c r="AX137"/>
      <c r="BA137"/>
      <c r="BB137"/>
      <c r="BC137"/>
    </row>
    <row r="138" spans="1:55" s="351" customFormat="1" ht="22.5" customHeight="1">
      <c r="A138" s="33">
        <f>IF(L128="","",A137+1)</f>
        <v>18</v>
      </c>
      <c r="B138" s="409" t="str">
        <f>'Statement of Marks'!$CE$3</f>
        <v>सामाजिक विज्ञान</v>
      </c>
      <c r="C138" s="412" t="str">
        <f>IF(OR(L128="",O138="",O140=""),"",IF(AND(O138&gt;=O140),"*",""))</f>
        <v/>
      </c>
      <c r="D138" s="26">
        <f>IFERROR(VLOOKUP(L128,'Statement of Marks'!$B$7:'Statement of Marks'!$IC$206,82,0),"")</f>
        <v>8</v>
      </c>
      <c r="E138" s="26">
        <f>IFERROR(VLOOKUP(L128,'Statement of Marks'!$B$7:'Statement of Marks'!$IC$206,83,0),"")</f>
        <v>8</v>
      </c>
      <c r="F138" s="26">
        <f>IFERROR(VLOOKUP(L128,'Statement of Marks'!$B$7:'Statement of Marks'!$IC$206,84,0),"")</f>
        <v>8</v>
      </c>
      <c r="G138" s="26">
        <f>IFERROR(VLOOKUP(L128,'Statement of Marks'!$B$7:'Statement of Marks'!$IC$206,85,0),"")</f>
        <v>24</v>
      </c>
      <c r="H138" s="26">
        <f>IFERROR(VLOOKUP(L128,'Statement of Marks'!$B$7:'Statement of Marks'!$IC$206,86,0),"")</f>
        <v>46</v>
      </c>
      <c r="I138" s="26"/>
      <c r="J138" s="347">
        <f>IF(L128="","",IF(AND(H138="",I138=""),"",SUM(H138,I138)))</f>
        <v>46</v>
      </c>
      <c r="K138" s="679">
        <f>IFERROR(IF(L128="","",IF(AND(G138="",J138=""),"",SUM(G138,J138))),"")</f>
        <v>70</v>
      </c>
      <c r="L138" s="26">
        <f>IFERROR(VLOOKUP(L128,'Statement of Marks'!$B$7:'Statement of Marks'!$IC$206,88,0),"")</f>
        <v>45</v>
      </c>
      <c r="M138" s="26"/>
      <c r="N138" s="347">
        <f>IF(L128="","",IF(AND(L138="",M138=""),"",SUM(L138,M138)))</f>
        <v>45</v>
      </c>
      <c r="O138" s="674">
        <f>IFERROR(VLOOKUP(L128,'Statement of Marks'!$B$7:'Statement of Marks'!$IC$206,89,0),"")</f>
        <v>115</v>
      </c>
      <c r="P138" s="680" t="str">
        <f>IFERROR(IF(O133="","",IF(VLOOKUP(L128,'Statement of Marks'!$B$7:'Statement of Marks'!$IC$206,215,0)="D","I",IF(VLOOKUP(L128,'Statement of Marks'!$B$7:'Statement of Marks'!$IC$206,215,0)="G1","G",IF(VLOOKUP(L128,'Statement of Marks'!$B$7:'Statement of Marks'!$IC$206,215,0)="G2","G",VLOOKUP(L128,'Statement of Marks'!$B$7:'Statement of Marks'!$IC$206,215,0))))),"")</f>
        <v>II</v>
      </c>
      <c r="Q138" s="1686"/>
      <c r="R138" s="409" t="str">
        <f>'Statement of Marks'!$CE$3</f>
        <v>सामाजिक विज्ञान</v>
      </c>
      <c r="S138" s="412" t="str">
        <f>IF(OR(AB128="",AE138="",AE140=""),"",IF(AND(AE138&gt;=AE140),"*",""))</f>
        <v/>
      </c>
      <c r="T138" s="26">
        <f>IFERROR(VLOOKUP(AB128,'Statement of Marks'!$B$7:'Statement of Marks'!$IC$206,82,0),"")</f>
        <v>8</v>
      </c>
      <c r="U138" s="26">
        <f>IFERROR(VLOOKUP(AB128,'Statement of Marks'!$B$7:'Statement of Marks'!$IC$206,83,0),"")</f>
        <v>8</v>
      </c>
      <c r="V138" s="26">
        <f>IFERROR(VLOOKUP(AB128,'Statement of Marks'!$B$7:'Statement of Marks'!$IC$206,84,0),"")</f>
        <v>8</v>
      </c>
      <c r="W138" s="26">
        <f>IFERROR(VLOOKUP(AB128,'Statement of Marks'!$B$7:'Statement of Marks'!$IC$206,85,0),"")</f>
        <v>24</v>
      </c>
      <c r="X138" s="26">
        <f>IFERROR(VLOOKUP(AB128,'Statement of Marks'!$B$7:'Statement of Marks'!$IC$206,86,0),"")</f>
        <v>46</v>
      </c>
      <c r="Y138" s="26"/>
      <c r="Z138" s="347">
        <f>IF(AB128="","",IF(AND(X138="",Y138=""),"",SUM(X138,Y138)))</f>
        <v>46</v>
      </c>
      <c r="AA138" s="679">
        <f>IFERROR(IF(AB128="","",IF(AND(W138="",Z138=""),"",SUM(W138,Z138))),"")</f>
        <v>70</v>
      </c>
      <c r="AB138" s="26">
        <f>IFERROR(VLOOKUP(AB128,'Statement of Marks'!$B$7:'Statement of Marks'!$IC$206,88,0),"")</f>
        <v>45</v>
      </c>
      <c r="AC138" s="26"/>
      <c r="AD138" s="347">
        <f>IF(AB128="","",IF(AND(AB138="",AC138=""),"",SUM(AB138,AC138)))</f>
        <v>45</v>
      </c>
      <c r="AE138" s="674">
        <f>IFERROR(VLOOKUP(AB128,'Statement of Marks'!$B$7:'Statement of Marks'!$IC$206,89,0),"")</f>
        <v>115</v>
      </c>
      <c r="AF138" s="680" t="str">
        <f>IFERROR(IF(AE133="","",IF(VLOOKUP(AB128,'Statement of Marks'!$B$7:'Statement of Marks'!$IC$206,215,0)="D","I",IF(VLOOKUP(AB128,'Statement of Marks'!$B$7:'Statement of Marks'!$IC$206,215,0)="G1","G",IF(VLOOKUP(AB128,'Statement of Marks'!$B$7:'Statement of Marks'!$IC$206,215,0)="G2","G",VLOOKUP(AB128,'Statement of Marks'!$B$7:'Statement of Marks'!$IC$206,215,0))))),"")</f>
        <v>II</v>
      </c>
      <c r="AV138"/>
      <c r="AW138"/>
      <c r="AX138"/>
      <c r="BA138"/>
      <c r="BB138"/>
      <c r="BC138"/>
    </row>
    <row r="139" spans="1:55" s="351" customFormat="1">
      <c r="A139" s="33">
        <f>IF(L128="","",A138+1)</f>
        <v>19</v>
      </c>
      <c r="B139" s="1663" t="str">
        <f>IF('School Profile'!$D$12="Hindi","व्यावसायिक शिक्षा","Vocational Education")</f>
        <v>व्यावसायिक शिक्षा</v>
      </c>
      <c r="C139" s="1664"/>
      <c r="D139" s="1665"/>
      <c r="E139" s="1665"/>
      <c r="F139" s="1665"/>
      <c r="G139" s="1665"/>
      <c r="H139" s="1665"/>
      <c r="I139" s="1665"/>
      <c r="J139" s="1665"/>
      <c r="K139" s="1665"/>
      <c r="L139" s="1665"/>
      <c r="M139" s="1665"/>
      <c r="N139" s="1665"/>
      <c r="O139" s="1665"/>
      <c r="P139" s="1666"/>
      <c r="Q139" s="1686"/>
      <c r="R139" s="1663" t="str">
        <f>IF('School Profile'!$D$12="Hindi","व्यावसायिक शिक्षा","Vocational Education")</f>
        <v>व्यावसायिक शिक्षा</v>
      </c>
      <c r="S139" s="1664"/>
      <c r="T139" s="1665"/>
      <c r="U139" s="1665"/>
      <c r="V139" s="1665"/>
      <c r="W139" s="1665"/>
      <c r="X139" s="1665"/>
      <c r="Y139" s="1665"/>
      <c r="Z139" s="1665"/>
      <c r="AA139" s="1665"/>
      <c r="AB139" s="1665"/>
      <c r="AC139" s="1665"/>
      <c r="AD139" s="1665"/>
      <c r="AE139" s="1665"/>
      <c r="AF139" s="1666"/>
      <c r="AV139"/>
      <c r="AW139"/>
      <c r="AX139"/>
      <c r="BA139"/>
      <c r="BB139"/>
      <c r="BC139"/>
    </row>
    <row r="140" spans="1:55" s="351" customFormat="1" ht="22.5" customHeight="1">
      <c r="A140" s="33">
        <f>IF(L128="","",A139+1)</f>
        <v>20</v>
      </c>
      <c r="B140" s="411" t="str">
        <f>IFERROR(VLOOKUP(L128,'Statement of Marks'!$B$7:'Statement of Marks'!$IC$206,96,0),"")</f>
        <v/>
      </c>
      <c r="C140" s="410" t="str">
        <f>IF(OR(L128="",O138="",O140="",B140=""),"",IF(AND(O140&gt;=O138),"*",""))</f>
        <v/>
      </c>
      <c r="D140" s="397" t="str">
        <f>IFERROR(VLOOKUP(L128,'Statement of Marks'!$B$7:'Statement of Marks'!$IC$206,97,0),"")</f>
        <v/>
      </c>
      <c r="E140" s="26" t="str">
        <f>IFERROR(VLOOKUP(L128,'Statement of Marks'!$B$7:'Statement of Marks'!$IC$206,98,0),"")</f>
        <v/>
      </c>
      <c r="F140" s="26" t="str">
        <f>IFERROR(VLOOKUP(L128,'Statement of Marks'!$B$7:'Statement of Marks'!$IC$206,99,0),"")</f>
        <v/>
      </c>
      <c r="G140" s="26" t="str">
        <f>IFERROR(VLOOKUP(L128,'Statement of Marks'!$B$7:'Statement of Marks'!$IC$206,100,0),"")</f>
        <v/>
      </c>
      <c r="H140" s="27" t="str">
        <f>IFERROR(VLOOKUP(L128,'Statement of Marks'!$B$7:'Statement of Marks'!$IC$206,101,0),"")</f>
        <v/>
      </c>
      <c r="I140" s="27" t="str">
        <f>IFERROR(VLOOKUP(L128,'Statement of Marks'!$B$7:'Statement of Marks'!$IC$206,102,0),"")</f>
        <v/>
      </c>
      <c r="J140" s="347" t="str">
        <f>IFERROR(VLOOKUP(L128,'Statement of Marks'!$B$7:'Statement of Marks'!$IC$206,103,0),"")</f>
        <v/>
      </c>
      <c r="K140" s="679" t="str">
        <f>IFERROR(IF(L128="","",IF(AND(G140="",J140=""),"",SUM(G140,J140))),"")</f>
        <v/>
      </c>
      <c r="L140" s="26" t="str">
        <f>IFERROR(VLOOKUP(L128,'Statement of Marks'!$B$7:'Statement of Marks'!$IC$206,105,0),"")</f>
        <v/>
      </c>
      <c r="M140" s="26" t="str">
        <f>IFERROR(VLOOKUP(L128,'Statement of Marks'!$B$7:'Statement of Marks'!$IC$206,106,0),"")</f>
        <v/>
      </c>
      <c r="N140" s="347" t="str">
        <f>IF(L128="","",IF(AND(L140="",M140=""),"",SUM(L140,M140)))</f>
        <v/>
      </c>
      <c r="O140" s="672" t="str">
        <f>IFERROR(VLOOKUP(L128,'Statement of Marks'!$B$7:'Statement of Marks'!$IC$206,108,0),"")</f>
        <v/>
      </c>
      <c r="P140" s="680" t="str">
        <f>IFERROR(IF(O133="","",IF(VLOOKUP(L128,'Statement of Marks'!$B$7:'Statement of Marks'!$IC$206,218,0)="D","I",IF(VLOOKUP(L128,'Statement of Marks'!$B$7:'Statement of Marks'!$IC$206,218,0)="G1","G",IF(VLOOKUP(L128,'Statement of Marks'!$B$7:'Statement of Marks'!$IC$206,218,0)="G2","G",VLOOKUP(L128,'Statement of Marks'!$B$7:'Statement of Marks'!$IC$206,218,0))))),"")</f>
        <v/>
      </c>
      <c r="Q140" s="1686"/>
      <c r="R140" s="411" t="str">
        <f>IFERROR(VLOOKUP(AB128,'Statement of Marks'!$B$7:'Statement of Marks'!$IC$206,96,0),"")</f>
        <v/>
      </c>
      <c r="S140" s="410" t="str">
        <f>IF(OR(AB128="",AE138="",AE140="",R140=""),"",IF(AND(AE140&gt;=AE138),"*",""))</f>
        <v/>
      </c>
      <c r="T140" s="397" t="str">
        <f>IFERROR(VLOOKUP(AB128,'Statement of Marks'!$B$7:'Statement of Marks'!$IC$206,97,0),"")</f>
        <v/>
      </c>
      <c r="U140" s="26" t="str">
        <f>IFERROR(VLOOKUP(AB128,'Statement of Marks'!$B$7:'Statement of Marks'!$IC$206,98,0),"")</f>
        <v/>
      </c>
      <c r="V140" s="26" t="str">
        <f>IFERROR(VLOOKUP(AB128,'Statement of Marks'!$B$7:'Statement of Marks'!$IC$206,99,0),"")</f>
        <v/>
      </c>
      <c r="W140" s="26" t="str">
        <f>IFERROR(VLOOKUP(AB128,'Statement of Marks'!$B$7:'Statement of Marks'!$IC$206,100,0),"")</f>
        <v/>
      </c>
      <c r="X140" s="27" t="str">
        <f>IFERROR(VLOOKUP(AB128,'Statement of Marks'!$B$7:'Statement of Marks'!$IC$206,101,0),"")</f>
        <v/>
      </c>
      <c r="Y140" s="27" t="str">
        <f>IFERROR(VLOOKUP(AB128,'Statement of Marks'!$B$7:'Statement of Marks'!$IC$206,102,0),"")</f>
        <v/>
      </c>
      <c r="Z140" s="347" t="str">
        <f>IFERROR(VLOOKUP(AB128,'Statement of Marks'!$B$7:'Statement of Marks'!$IC$206,103,0),"")</f>
        <v/>
      </c>
      <c r="AA140" s="679" t="str">
        <f>IFERROR(IF(AB128="","",IF(AND(W140="",Z140=""),"",SUM(W140,Z140))),"")</f>
        <v/>
      </c>
      <c r="AB140" s="26" t="str">
        <f>IFERROR(VLOOKUP(AB128,'Statement of Marks'!$B$7:'Statement of Marks'!$IC$206,105,0),"")</f>
        <v/>
      </c>
      <c r="AC140" s="26" t="str">
        <f>IFERROR(VLOOKUP(AB128,'Statement of Marks'!$B$7:'Statement of Marks'!$IC$206,106,0),"")</f>
        <v/>
      </c>
      <c r="AD140" s="347" t="str">
        <f>IF(AB128="","",IF(AND(AB140="",AC140=""),"",SUM(AB140,AC140)))</f>
        <v/>
      </c>
      <c r="AE140" s="672" t="str">
        <f>IFERROR(VLOOKUP(AB128,'Statement of Marks'!$B$7:'Statement of Marks'!$IC$206,108,0),"")</f>
        <v/>
      </c>
      <c r="AF140" s="680" t="str">
        <f>IFERROR(IF(AE133="","",IF(VLOOKUP(AB128,'Statement of Marks'!$B$7:'Statement of Marks'!$IC$206,218,0)="D","I",IF(VLOOKUP(AB128,'Statement of Marks'!$B$7:'Statement of Marks'!$IC$206,218,0)="G1","G",IF(VLOOKUP(AB128,'Statement of Marks'!$B$7:'Statement of Marks'!$IC$206,218,0)="G2","G",VLOOKUP(AB128,'Statement of Marks'!$B$7:'Statement of Marks'!$IC$206,218,0))))),"")</f>
        <v/>
      </c>
      <c r="AV140"/>
      <c r="AW140"/>
      <c r="AX140"/>
      <c r="BA140"/>
      <c r="BB140"/>
      <c r="BC140"/>
    </row>
    <row r="141" spans="1:55" s="351" customFormat="1" ht="25.5" customHeight="1">
      <c r="A141" s="33">
        <f>IF(L128="","",A140+1)</f>
        <v>21</v>
      </c>
      <c r="B141" s="1667"/>
      <c r="C141" s="1668"/>
      <c r="D141" s="1669"/>
      <c r="E141" s="1669"/>
      <c r="F141" s="1669"/>
      <c r="G141" s="1669"/>
      <c r="H141" s="1669"/>
      <c r="I141" s="1669"/>
      <c r="J141" s="1669"/>
      <c r="K141" s="1669"/>
      <c r="L141" s="1670" t="str">
        <f>IF('School Profile'!$D$12="Hindi","महायोग :","Grand Total :")</f>
        <v>महायोग :</v>
      </c>
      <c r="M141" s="1671"/>
      <c r="N141" s="1671"/>
      <c r="O141" s="1672">
        <f>IF(OR(L128="",C126=""),"",IF(OR(B140="",O140=""),SUM(O133,O134,O135,O136,O137,O138),IF((O138/O132*100)&gt;=(O140/O132*100),SUM(O133:O138),SUM(O133,O134,O135,O136,O137,O140))))</f>
        <v>724</v>
      </c>
      <c r="P141" s="1673"/>
      <c r="Q141" s="1686"/>
      <c r="R141" s="1667"/>
      <c r="S141" s="1668"/>
      <c r="T141" s="1669"/>
      <c r="U141" s="1669"/>
      <c r="V141" s="1669"/>
      <c r="W141" s="1669"/>
      <c r="X141" s="1669"/>
      <c r="Y141" s="1669"/>
      <c r="Z141" s="1669"/>
      <c r="AA141" s="1669"/>
      <c r="AB141" s="1670" t="str">
        <f>IF('School Profile'!$D$12="Hindi","महायोग :","Grand Total :")</f>
        <v>महायोग :</v>
      </c>
      <c r="AC141" s="1671"/>
      <c r="AD141" s="1671"/>
      <c r="AE141" s="1672">
        <f>IF(OR(AB128="",S126=""),"",IF(OR(R140="",AE140=""),SUM(AE133,AE134,AE135,AE136,AE137,AE138),IF((AE138/AE132*100)&gt;=(AE140/AE132*100),SUM(AE133:AE138),SUM(AE133,AE134,AE135,AE136,AE137,AE140))))</f>
        <v>633</v>
      </c>
      <c r="AF141" s="1673"/>
      <c r="AV141"/>
      <c r="AW141"/>
      <c r="AX141"/>
      <c r="BA141"/>
      <c r="BB141"/>
      <c r="BC141"/>
    </row>
    <row r="142" spans="1:55" s="351" customFormat="1" ht="25.5" customHeight="1">
      <c r="A142" s="33">
        <f>IF(L128="","",A141+1)</f>
        <v>22</v>
      </c>
      <c r="B142" s="1647" t="str">
        <f>'Statement of Marks'!$DZ$208</f>
        <v>राजस्थान का स्वंत्रता आन्दोलन व शोर्य परम्परा</v>
      </c>
      <c r="C142" s="1648"/>
      <c r="D142" s="1649" t="s">
        <v>148</v>
      </c>
      <c r="E142" s="1650"/>
      <c r="F142" s="355">
        <f>IFERROR(VLOOKUP(L128,'Statement of Marks'!$B$7:'Statement of Marks'!$IC$206,136,0),"")</f>
        <v>184</v>
      </c>
      <c r="G142" s="356" t="s">
        <v>134</v>
      </c>
      <c r="H142" s="355" t="str">
        <f>IFERROR(VLOOKUP(L128,'Statement of Marks'!$B$7:'Statement of Marks'!$IC$206,137,0),"")</f>
        <v>A</v>
      </c>
      <c r="I142" s="1651" t="str">
        <f>'Statement of Marks'!$EL$208</f>
        <v>सूचना प्रोद्योगिकी की अवधारणा - I</v>
      </c>
      <c r="J142" s="1652"/>
      <c r="K142" s="1652"/>
      <c r="L142" s="1653"/>
      <c r="M142" s="354" t="s">
        <v>148</v>
      </c>
      <c r="N142" s="355">
        <f>IFERROR(VLOOKUP(L128,'Statement of Marks'!$B$7:'Statement of Marks'!$IC$206,152,0),"")</f>
        <v>179</v>
      </c>
      <c r="O142" s="356" t="s">
        <v>134</v>
      </c>
      <c r="P142" s="355" t="str">
        <f>IFERROR(VLOOKUP(L128,'Statement of Marks'!$B$7:'Statement of Marks'!$IC$206,153,0),"")</f>
        <v>A</v>
      </c>
      <c r="Q142" s="1686"/>
      <c r="R142" s="1647" t="str">
        <f>'Statement of Marks'!$DZ$208</f>
        <v>राजस्थान का स्वंत्रता आन्दोलन व शोर्य परम्परा</v>
      </c>
      <c r="S142" s="1648"/>
      <c r="T142" s="1649" t="s">
        <v>148</v>
      </c>
      <c r="U142" s="1650"/>
      <c r="V142" s="355">
        <f>IFERROR(VLOOKUP(AB128,'Statement of Marks'!$B$7:'Statement of Marks'!$IC$206,136,0),"")</f>
        <v>184</v>
      </c>
      <c r="W142" s="356" t="s">
        <v>134</v>
      </c>
      <c r="X142" s="355" t="str">
        <f>IFERROR(VLOOKUP(AB128,'Statement of Marks'!$B$7:'Statement of Marks'!$IC$206,137,0),"")</f>
        <v>A</v>
      </c>
      <c r="Y142" s="1651" t="str">
        <f>'Statement of Marks'!$EL$208</f>
        <v>सूचना प्रोद्योगिकी की अवधारणा - I</v>
      </c>
      <c r="Z142" s="1652"/>
      <c r="AA142" s="1652"/>
      <c r="AB142" s="1653"/>
      <c r="AC142" s="354" t="s">
        <v>148</v>
      </c>
      <c r="AD142" s="355">
        <f>IFERROR(VLOOKUP(AB128,'Statement of Marks'!$B$7:'Statement of Marks'!$IC$206,152,0),"")</f>
        <v>163</v>
      </c>
      <c r="AE142" s="356" t="s">
        <v>134</v>
      </c>
      <c r="AF142" s="355" t="str">
        <f>IFERROR(VLOOKUP(AB128,'Statement of Marks'!$B$7:'Statement of Marks'!$IC$206,153,0),"")</f>
        <v>A</v>
      </c>
      <c r="AV142"/>
      <c r="AW142"/>
      <c r="AX142"/>
      <c r="BA142"/>
      <c r="BB142"/>
      <c r="BC142"/>
    </row>
    <row r="143" spans="1:55" s="351" customFormat="1" ht="25.5" customHeight="1">
      <c r="A143" s="33">
        <f>IF(L128="","",A142+1)</f>
        <v>23</v>
      </c>
      <c r="B143" s="1654" t="str">
        <f>'Statement of Marks'!$FB$208</f>
        <v>स्वा. एवं शा. शिक्षा</v>
      </c>
      <c r="C143" s="1655"/>
      <c r="D143" s="1656" t="s">
        <v>148</v>
      </c>
      <c r="E143" s="1657"/>
      <c r="F143" s="355">
        <f>IFERROR(VLOOKUP(L128,'Statement of Marks'!$B$7:'Statement of Marks'!$IC$206,171,0),"")</f>
        <v>174</v>
      </c>
      <c r="G143" s="356" t="s">
        <v>134</v>
      </c>
      <c r="H143" s="355" t="str">
        <f>IFERROR(VLOOKUP(L128,'Statement of Marks'!$B$7:'Statement of Marks'!$IC$206,172,0),"")</f>
        <v>A</v>
      </c>
      <c r="I143" s="1658" t="str">
        <f>'Statement of Marks'!$FJ$208</f>
        <v>समाजोपयोगी उत्पादन कार्य एवं समाज सेवा</v>
      </c>
      <c r="J143" s="1659"/>
      <c r="K143" s="1659"/>
      <c r="L143" s="1660"/>
      <c r="M143" s="403" t="s">
        <v>148</v>
      </c>
      <c r="N143" s="404">
        <f>IFERROR(VLOOKUP(L128,'Statement of Marks'!$B$7:'Statement of Marks'!$IC$206,179,0),"")</f>
        <v>80</v>
      </c>
      <c r="O143" s="405" t="s">
        <v>134</v>
      </c>
      <c r="P143" s="404" t="str">
        <f>IFERROR(VLOOKUP(L128,'Statement of Marks'!$B$7:'Statement of Marks'!$IC$206,180,0),"")</f>
        <v>B</v>
      </c>
      <c r="Q143" s="1686"/>
      <c r="R143" s="1654" t="str">
        <f>'Statement of Marks'!$FB$208</f>
        <v>स्वा. एवं शा. शिक्षा</v>
      </c>
      <c r="S143" s="1655"/>
      <c r="T143" s="1656" t="s">
        <v>148</v>
      </c>
      <c r="U143" s="1657"/>
      <c r="V143" s="355">
        <f>IFERROR(VLOOKUP(AB128,'Statement of Marks'!$B$7:'Statement of Marks'!$IC$206,171,0),"")</f>
        <v>182</v>
      </c>
      <c r="W143" s="356" t="s">
        <v>134</v>
      </c>
      <c r="X143" s="355" t="str">
        <f>IFERROR(VLOOKUP(AB128,'Statement of Marks'!$B$7:'Statement of Marks'!$IC$206,172,0),"")</f>
        <v>A</v>
      </c>
      <c r="Y143" s="1658" t="str">
        <f>'Statement of Marks'!$FJ$208</f>
        <v>समाजोपयोगी उत्पादन कार्य एवं समाज सेवा</v>
      </c>
      <c r="Z143" s="1659"/>
      <c r="AA143" s="1659"/>
      <c r="AB143" s="1660"/>
      <c r="AC143" s="403" t="s">
        <v>148</v>
      </c>
      <c r="AD143" s="404">
        <f>IFERROR(VLOOKUP(AB128,'Statement of Marks'!$B$7:'Statement of Marks'!$IC$206,179,0),"")</f>
        <v>80</v>
      </c>
      <c r="AE143" s="405" t="s">
        <v>134</v>
      </c>
      <c r="AF143" s="404" t="str">
        <f>IFERROR(VLOOKUP(AB128,'Statement of Marks'!$B$7:'Statement of Marks'!$IC$206,180,0),"")</f>
        <v>B</v>
      </c>
      <c r="AV143"/>
      <c r="AW143"/>
      <c r="AX143"/>
      <c r="BA143"/>
      <c r="BB143"/>
      <c r="BC143"/>
    </row>
    <row r="144" spans="1:55" s="351" customFormat="1" ht="30" customHeight="1">
      <c r="A144" s="33">
        <f>IF(L128="","",A143+1)</f>
        <v>24</v>
      </c>
      <c r="B144" s="1626" t="str">
        <f>'Statement of Marks'!$FU$208</f>
        <v>कला शिक्षा</v>
      </c>
      <c r="C144" s="1627"/>
      <c r="D144" s="1628" t="s">
        <v>148</v>
      </c>
      <c r="E144" s="1629"/>
      <c r="F144" s="404">
        <f>IFERROR(VLOOKUP(L128,'Statement of Marks'!$B$7:'Statement of Marks'!$IC$206,187,0),"")</f>
        <v>89</v>
      </c>
      <c r="G144" s="405" t="s">
        <v>134</v>
      </c>
      <c r="H144" s="355" t="str">
        <f>IFERROR(VLOOKUP(L128,'Statement of Marks'!$B$7:'Statement of Marks'!$IC$206,188,0),"")</f>
        <v>A</v>
      </c>
      <c r="I144" s="1630" t="str">
        <f>IF('School Profile'!$D$12="Hindi","परीक्षा परिणाम घोषित दिनांक :-","Date of Result declaration :-")</f>
        <v>परीक्षा परिणाम घोषित दिनांक :-</v>
      </c>
      <c r="J144" s="1631"/>
      <c r="K144" s="1631"/>
      <c r="L144" s="1632"/>
      <c r="M144" s="1633">
        <f>IF(AND(L128=""),"",IF('School Profile'!$D$11="","",'School Profile'!$D$11))</f>
        <v>46106</v>
      </c>
      <c r="N144" s="1634"/>
      <c r="O144" s="690" t="str">
        <f>IF('School Profile'!$D$12="Hindi","श्रेणी","Division")</f>
        <v>श्रेणी</v>
      </c>
      <c r="P144" s="407" t="str">
        <f>IFERROR(VLOOKUP(L128,'Statement of Marks'!$B$7:'Statement of Marks'!$IC$206,229,0),"")</f>
        <v>1st</v>
      </c>
      <c r="Q144" s="1686"/>
      <c r="R144" s="1626" t="str">
        <f>'Statement of Marks'!$FU$208</f>
        <v>कला शिक्षा</v>
      </c>
      <c r="S144" s="1627"/>
      <c r="T144" s="1628" t="s">
        <v>148</v>
      </c>
      <c r="U144" s="1629"/>
      <c r="V144" s="404">
        <f>IFERROR(VLOOKUP(AB128,'Statement of Marks'!$B$7:'Statement of Marks'!$IC$206,187,0),"")</f>
        <v>80</v>
      </c>
      <c r="W144" s="405" t="s">
        <v>134</v>
      </c>
      <c r="X144" s="355" t="str">
        <f>IFERROR(VLOOKUP(AB128,'Statement of Marks'!$B$7:'Statement of Marks'!$IC$206,188,0),"")</f>
        <v>B</v>
      </c>
      <c r="Y144" s="1630" t="str">
        <f>IF('School Profile'!$D$12="Hindi","परीक्षा परिणाम घोषित दिनांक :-","Date of Result declaration :-")</f>
        <v>परीक्षा परिणाम घोषित दिनांक :-</v>
      </c>
      <c r="Z144" s="1631"/>
      <c r="AA144" s="1631"/>
      <c r="AB144" s="1632"/>
      <c r="AC144" s="1633">
        <f>IF(AND(AB128=""),"",IF('School Profile'!$D$11="","",'School Profile'!$D$11))</f>
        <v>46106</v>
      </c>
      <c r="AD144" s="1634"/>
      <c r="AE144" s="690" t="str">
        <f>IF('School Profile'!$D$12="Hindi","श्रेणी","Division")</f>
        <v>श्रेणी</v>
      </c>
      <c r="AF144" s="407" t="str">
        <f>IFERROR(VLOOKUP(AB128,'Statement of Marks'!$B$7:'Statement of Marks'!$IC$206,229,0),"")</f>
        <v>2nd</v>
      </c>
      <c r="AV144"/>
      <c r="AW144"/>
      <c r="AX144"/>
      <c r="BA144"/>
      <c r="BB144"/>
      <c r="BC144"/>
    </row>
    <row r="145" spans="1:55" s="351" customFormat="1" ht="29.25" customHeight="1">
      <c r="A145" s="33">
        <f>IF(L128="","",A144+1)</f>
        <v>25</v>
      </c>
      <c r="B145" s="1635" t="s">
        <v>143</v>
      </c>
      <c r="C145" s="1636"/>
      <c r="D145" s="1637" t="str">
        <f>IFERROR(VLOOKUP(L128,'Statement of Marks'!$B$7:'Statement of Marks'!$IC$206,192,0),"")</f>
        <v/>
      </c>
      <c r="E145" s="1638"/>
      <c r="F145" s="1639" t="s">
        <v>76</v>
      </c>
      <c r="G145" s="1640"/>
      <c r="H145" s="406" t="str">
        <f>IFERROR(VLOOKUP(L128,'Statement of Marks'!$B$7:'Statement of Marks'!$IC$206,193,0),"")</f>
        <v/>
      </c>
      <c r="I145" s="1641" t="s">
        <v>135</v>
      </c>
      <c r="J145" s="1642"/>
      <c r="K145" s="1643">
        <f>IFERROR(IF(OR(O141="",L128=""),"",VLOOKUP(L128,'Statement of Marks'!$B$7:'Statement of Marks'!$IC$206,230,0)),"")</f>
        <v>60.333333333333336</v>
      </c>
      <c r="L145" s="1644"/>
      <c r="M145" s="1645" t="s">
        <v>144</v>
      </c>
      <c r="N145" s="1646"/>
      <c r="O145" s="1646"/>
      <c r="P145" s="408">
        <f>IFERROR(VLOOKUP(L128,'Statement of Marks'!$B$7:'Statement of Marks'!$IC$206,231,0),"")</f>
        <v>12.00000000000008</v>
      </c>
      <c r="Q145" s="1686"/>
      <c r="R145" s="1635" t="s">
        <v>143</v>
      </c>
      <c r="S145" s="1636"/>
      <c r="T145" s="1637" t="str">
        <f>IFERROR(VLOOKUP(AB128,'Statement of Marks'!$B$7:'Statement of Marks'!$IC$206,192,0),"")</f>
        <v/>
      </c>
      <c r="U145" s="1638"/>
      <c r="V145" s="1639" t="s">
        <v>76</v>
      </c>
      <c r="W145" s="1640"/>
      <c r="X145" s="406" t="str">
        <f>IFERROR(VLOOKUP(AB128,'Statement of Marks'!$B$7:'Statement of Marks'!$IC$206,193,0),"")</f>
        <v/>
      </c>
      <c r="Y145" s="1641" t="s">
        <v>135</v>
      </c>
      <c r="Z145" s="1642"/>
      <c r="AA145" s="1643">
        <f>IFERROR(IF(OR(AE141="",AB128=""),"",VLOOKUP(AB128,'Statement of Marks'!$B$7:'Statement of Marks'!$IC$206,230,0)),"")</f>
        <v>52.75</v>
      </c>
      <c r="AB145" s="1644"/>
      <c r="AC145" s="1645" t="s">
        <v>144</v>
      </c>
      <c r="AD145" s="1646"/>
      <c r="AE145" s="1646"/>
      <c r="AF145" s="408">
        <f>IFERROR(VLOOKUP(AB128,'Statement of Marks'!$B$7:'Statement of Marks'!$IC$206,231,0),"")</f>
        <v>17.999999999999773</v>
      </c>
      <c r="AV145"/>
      <c r="AW145"/>
      <c r="AX145"/>
      <c r="BA145"/>
      <c r="BB145"/>
      <c r="BC145"/>
    </row>
    <row r="146" spans="1:55" s="351" customFormat="1" ht="27.75" customHeight="1">
      <c r="A146" s="33">
        <f>IF(L128="","",A145+1)</f>
        <v>26</v>
      </c>
      <c r="B146" s="1616" t="str">
        <f>IF('School Profile'!$D$12="Hindi","मुख्य परीक्षा परिणाम ","Main Exam Result")</f>
        <v xml:space="preserve">मुख्य परीक्षा परिणाम </v>
      </c>
      <c r="C146" s="1616"/>
      <c r="D146" s="1617"/>
      <c r="E146" s="1617"/>
      <c r="F146" s="1617"/>
      <c r="G146" s="1617" t="str">
        <f>IF('School Profile'!$D$12="Hindi","विशेष योग्यता प्राप्त विषय","Subjects Of Dictation Marks")</f>
        <v>विशेष योग्यता प्राप्त विषय</v>
      </c>
      <c r="H146" s="1617"/>
      <c r="I146" s="1617"/>
      <c r="J146" s="1617"/>
      <c r="K146" s="1617"/>
      <c r="L146" s="1618" t="str">
        <f>IF('School Profile'!$D$12="Hindi","पूरक विषय","Supplementary Subject")</f>
        <v>पूरक विषय</v>
      </c>
      <c r="M146" s="1619"/>
      <c r="N146" s="1619"/>
      <c r="O146" s="1619"/>
      <c r="P146" s="1620"/>
      <c r="Q146" s="1686"/>
      <c r="R146" s="1616" t="str">
        <f>IF('School Profile'!$D$12="Hindi","मुख्य परीक्षा परिणाम ","Main Exam Result")</f>
        <v xml:space="preserve">मुख्य परीक्षा परिणाम </v>
      </c>
      <c r="S146" s="1616"/>
      <c r="T146" s="1617"/>
      <c r="U146" s="1617"/>
      <c r="V146" s="1617"/>
      <c r="W146" s="1617" t="str">
        <f>IF('School Profile'!$D$12="Hindi","विशेष योग्यता प्राप्त विषय","Subjects Of Dictation Marks")</f>
        <v>विशेष योग्यता प्राप्त विषय</v>
      </c>
      <c r="X146" s="1617"/>
      <c r="Y146" s="1617"/>
      <c r="Z146" s="1617"/>
      <c r="AA146" s="1617"/>
      <c r="AB146" s="1618" t="str">
        <f>IF('School Profile'!$D$12="Hindi","पूरक विषय","Supplementary Subject")</f>
        <v>पूरक विषय</v>
      </c>
      <c r="AC146" s="1619"/>
      <c r="AD146" s="1619"/>
      <c r="AE146" s="1619"/>
      <c r="AF146" s="1620"/>
      <c r="AV146"/>
      <c r="AW146"/>
      <c r="AX146"/>
      <c r="BA146"/>
      <c r="BB146"/>
      <c r="BC146"/>
    </row>
    <row r="147" spans="1:55" s="351" customFormat="1" ht="42.75" customHeight="1">
      <c r="A147" s="33">
        <f>IF(L128="","",A146+1)</f>
        <v>27</v>
      </c>
      <c r="B147" s="1621" t="str">
        <f>IFERROR(IF(VLOOKUP(L128,'Statement of Marks'!$B$7:'Statement of Marks'!$IC$206,226,0)="By Grace Pass","By Grace Pass and Promoted to Class 10th",IF(VLOOKUP(L128,'Statement of Marks'!$B$7:'Statement of Marks'!$IC$206,226,0)="PASS","PASS  and Promoted to Class 10th",IF(VLOOKUP(L128,'Statement of Marks'!$B$7:'Statement of Marks'!$IC$206,226,0)="SUPPLEMENTARY","Supplementary",IF(VLOOKUP(L128,'Statement of Marks'!$B$7:'Statement of Marks'!$IC$206,226,0)="Re-Exam","RE-EXAM",IF(VLOOKUP(L128,'Statement of Marks'!$B$7:'Statement of Marks'!$IC$206,226,0)="FAIL","FAIL",""))))),"")</f>
        <v>PASS  and Promoted to Class 10th</v>
      </c>
      <c r="C147" s="1621"/>
      <c r="D147" s="1621"/>
      <c r="E147" s="1621"/>
      <c r="F147" s="1621"/>
      <c r="G147" s="1622" t="str">
        <f>IFERROR(VLOOKUP(L128,'Statement of Marks'!$B$7:'Statement of Marks'!$IC$206,225,0),"")</f>
        <v xml:space="preserve"> अंग्रेजी     </v>
      </c>
      <c r="H147" s="1622"/>
      <c r="I147" s="1622"/>
      <c r="J147" s="1622"/>
      <c r="K147" s="1622"/>
      <c r="L147" s="1623" t="str">
        <f>IFERROR(VLOOKUP(L128,'Statement of Marks'!$B$7:'Statement of Marks'!$IC$206,222,0),"")</f>
        <v xml:space="preserve">      </v>
      </c>
      <c r="M147" s="1624"/>
      <c r="N147" s="1624"/>
      <c r="O147" s="1624"/>
      <c r="P147" s="1625"/>
      <c r="Q147" s="1686"/>
      <c r="R147" s="1621" t="str">
        <f>IFERROR(IF(VLOOKUP(AB128,'Statement of Marks'!$B$7:'Statement of Marks'!$IC$206,226,0)="By Grace Pass","By Grace Pass and Promoted to Class 10th",IF(VLOOKUP(AB128,'Statement of Marks'!$B$7:'Statement of Marks'!$IC$206,226,0)="PASS","PASS  and Promoted to Class 10th",IF(VLOOKUP(AB128,'Statement of Marks'!$B$7:'Statement of Marks'!$IC$206,226,0)="SUPPLEMENTARY","Supplementary",IF(VLOOKUP(AB128,'Statement of Marks'!$B$7:'Statement of Marks'!$IC$206,226,0)="Re-Exam","RE-EXAM",IF(VLOOKUP(AB128,'Statement of Marks'!$B$7:'Statement of Marks'!$IC$206,226,0)="FAIL","FAIL",""))))),"")</f>
        <v>By Grace Pass and Promoted to Class 10th</v>
      </c>
      <c r="S147" s="1621"/>
      <c r="T147" s="1621"/>
      <c r="U147" s="1621"/>
      <c r="V147" s="1621"/>
      <c r="W147" s="1622" t="str">
        <f>IFERROR(VLOOKUP(AB128,'Statement of Marks'!$B$7:'Statement of Marks'!$IC$206,225,0),"")</f>
        <v xml:space="preserve">      </v>
      </c>
      <c r="X147" s="1622"/>
      <c r="Y147" s="1622"/>
      <c r="Z147" s="1622"/>
      <c r="AA147" s="1622"/>
      <c r="AB147" s="1623" t="str">
        <f>IFERROR(VLOOKUP(AB128,'Statement of Marks'!$B$7:'Statement of Marks'!$IC$206,222,0),"")</f>
        <v xml:space="preserve">      </v>
      </c>
      <c r="AC147" s="1624"/>
      <c r="AD147" s="1624"/>
      <c r="AE147" s="1624"/>
      <c r="AF147" s="1625"/>
      <c r="AV147"/>
      <c r="AW147"/>
      <c r="AX147"/>
      <c r="BA147"/>
      <c r="BB147"/>
      <c r="BC147"/>
    </row>
    <row r="148" spans="1:55" s="351" customFormat="1" ht="52.5" customHeight="1">
      <c r="A148" s="33">
        <f>IF(L128="","",A147+1)</f>
        <v>28</v>
      </c>
      <c r="B148" s="1612" t="str">
        <f>IF(AND(L128=""),"",CONCATENATE("(",'School Profile'!$D$18," )"))</f>
        <v>(Yogesh )</v>
      </c>
      <c r="C148" s="1612"/>
      <c r="D148" s="1612"/>
      <c r="E148" s="1612"/>
      <c r="F148" s="1612"/>
      <c r="G148" s="1613" t="str">
        <f>IF(AND(L128=""),"",CONCATENATE("( ",'School Profile'!$D$15," )"))</f>
        <v>( Heeralal Jat )</v>
      </c>
      <c r="H148" s="1613"/>
      <c r="I148" s="1613"/>
      <c r="J148" s="1613"/>
      <c r="K148" s="1614" t="str">
        <f>IF(AND(L128=""),"",CONCATENATE("( ",'School Profile'!$D$14," )"))</f>
        <v>( Dewanand )</v>
      </c>
      <c r="L148" s="1614"/>
      <c r="M148" s="1614"/>
      <c r="N148" s="1614"/>
      <c r="O148" s="1614"/>
      <c r="P148" s="1614"/>
      <c r="Q148" s="1686"/>
      <c r="R148" s="1612" t="str">
        <f>IF(AND(AB128=""),"",CONCATENATE("(",'School Profile'!$D$18," )"))</f>
        <v>(Yogesh )</v>
      </c>
      <c r="S148" s="1612"/>
      <c r="T148" s="1612"/>
      <c r="U148" s="1612"/>
      <c r="V148" s="1612"/>
      <c r="W148" s="1613" t="str">
        <f>IF(AND(AB128=""),"",CONCATENATE("( ",'School Profile'!$D$15," )"))</f>
        <v>( Heeralal Jat )</v>
      </c>
      <c r="X148" s="1613"/>
      <c r="Y148" s="1613"/>
      <c r="Z148" s="1613"/>
      <c r="AA148" s="1614" t="str">
        <f>IF(AND(AB128=""),"",CONCATENATE("( ",'School Profile'!$D$14," )"))</f>
        <v>( Dewanand )</v>
      </c>
      <c r="AB148" s="1614"/>
      <c r="AC148" s="1614"/>
      <c r="AD148" s="1614"/>
      <c r="AE148" s="1614"/>
      <c r="AF148" s="1614"/>
      <c r="AV148"/>
      <c r="AW148"/>
      <c r="AX148"/>
      <c r="BA148"/>
      <c r="BB148"/>
      <c r="BC148"/>
    </row>
    <row r="149" spans="1:55" s="351" customFormat="1" ht="24.75" customHeight="1">
      <c r="A149" s="33">
        <f>IF(L128="","",A148+1)</f>
        <v>29</v>
      </c>
      <c r="B149" s="1615" t="str">
        <f>IF('School Profile'!$D$12="Hindi","हस्ताक्षर कक्षाध्यापक","Signature of the class teacher")</f>
        <v>हस्ताक्षर कक्षाध्यापक</v>
      </c>
      <c r="C149" s="1615"/>
      <c r="D149" s="1615"/>
      <c r="E149" s="1615"/>
      <c r="F149" s="1615"/>
      <c r="G149" s="1615" t="str">
        <f>IF('School Profile'!$D$12="Hindi","हस्ताक्षर परीक्षा प्रभारी","Signature of the exam. Incharge")</f>
        <v>हस्ताक्षर परीक्षा प्रभारी</v>
      </c>
      <c r="H149" s="1615"/>
      <c r="I149" s="1615"/>
      <c r="J149" s="1615"/>
      <c r="K149" s="1615" t="str">
        <f>IF('School Profile'!$D$12="Hindi","हस्ताक्षर मय सील मोहर संस्था प्रधान","Signature &amp; Seal of the Head of the Institution")</f>
        <v>हस्ताक्षर मय सील मोहर संस्था प्रधान</v>
      </c>
      <c r="L149" s="1615"/>
      <c r="M149" s="1615"/>
      <c r="N149" s="1615"/>
      <c r="O149" s="1615"/>
      <c r="P149" s="1615"/>
      <c r="Q149" s="1686"/>
      <c r="R149" s="1615" t="str">
        <f>IF('School Profile'!$D$12="Hindi","हस्ताक्षर कक्षाध्यापक","Signature of the class teacher")</f>
        <v>हस्ताक्षर कक्षाध्यापक</v>
      </c>
      <c r="S149" s="1615"/>
      <c r="T149" s="1615"/>
      <c r="U149" s="1615"/>
      <c r="V149" s="1615"/>
      <c r="W149" s="1615" t="str">
        <f>IF('School Profile'!$D$12="Hindi","हस्ताक्षर परीक्षा प्रभारी","Signature of the exam. Incharge")</f>
        <v>हस्ताक्षर परीक्षा प्रभारी</v>
      </c>
      <c r="X149" s="1615"/>
      <c r="Y149" s="1615"/>
      <c r="Z149" s="1615"/>
      <c r="AA149" s="1615" t="str">
        <f>IF('School Profile'!$D$12="Hindi","हस्ताक्षर मय सील मोहर संस्था प्रधान","Signature &amp; Seal of the Head of the Institution")</f>
        <v>हस्ताक्षर मय सील मोहर संस्था प्रधान</v>
      </c>
      <c r="AB149" s="1615"/>
      <c r="AC149" s="1615"/>
      <c r="AD149" s="1615"/>
      <c r="AE149" s="1615"/>
      <c r="AF149" s="1615"/>
      <c r="AV149"/>
      <c r="AW149"/>
      <c r="AX149"/>
      <c r="BA149"/>
      <c r="BB149"/>
      <c r="BC149"/>
    </row>
    <row r="151" spans="1:55" s="6" customFormat="1" ht="22.5" customHeight="1">
      <c r="A151" s="33">
        <f>IF(L158="","",1)</f>
        <v>1</v>
      </c>
      <c r="B151" s="28"/>
      <c r="C151" s="28"/>
      <c r="D151" s="1557" t="str">
        <f>IF('School Profile'!$D$12="Hindi","वार्षिक रिपोर्ट कार्ड ","Report Card")</f>
        <v xml:space="preserve">वार्षिक रिपोर्ट कार्ड </v>
      </c>
      <c r="E151" s="1557"/>
      <c r="F151" s="1557"/>
      <c r="G151" s="1557"/>
      <c r="H151" s="1557"/>
      <c r="I151" s="1557"/>
      <c r="J151" s="1557"/>
      <c r="K151" s="1557"/>
      <c r="L151" s="1557"/>
      <c r="M151" s="1557"/>
      <c r="N151" s="1557"/>
      <c r="O151" s="349"/>
      <c r="P151" s="349"/>
      <c r="Q151" s="1686" t="s">
        <v>77</v>
      </c>
      <c r="R151" s="28"/>
      <c r="S151" s="28"/>
      <c r="T151" s="1557" t="str">
        <f>IF('School Profile'!$D$12="Hindi","वार्षिक रिपोर्ट कार्ड ","Report Card")</f>
        <v xml:space="preserve">वार्षिक रिपोर्ट कार्ड </v>
      </c>
      <c r="U151" s="1557"/>
      <c r="V151" s="1557"/>
      <c r="W151" s="1557"/>
      <c r="X151" s="1557"/>
      <c r="Y151" s="1557"/>
      <c r="Z151" s="1557"/>
      <c r="AA151" s="1557"/>
      <c r="AB151" s="1557"/>
      <c r="AC151" s="1557"/>
      <c r="AD151" s="1557"/>
      <c r="AE151" s="349"/>
      <c r="AF151" s="349"/>
      <c r="AV151"/>
      <c r="AW151"/>
      <c r="AX151"/>
      <c r="BA151"/>
      <c r="BB151"/>
      <c r="BC151"/>
    </row>
    <row r="152" spans="1:55" s="6" customFormat="1" ht="22.5" customHeight="1">
      <c r="A152" s="33">
        <f>IF(L158="","",A151+1)</f>
        <v>2</v>
      </c>
      <c r="B152" s="28"/>
      <c r="C152" s="28"/>
      <c r="D152" s="1687" t="str">
        <f>IF('School Profile'!$D$12="Hindi","शिक्षा विभाग, राजस्थान सरकार","Education Department, Rajasthan Government")</f>
        <v>शिक्षा विभाग, राजस्थान सरकार</v>
      </c>
      <c r="E152" s="1687"/>
      <c r="F152" s="1687"/>
      <c r="G152" s="1687"/>
      <c r="H152" s="1687"/>
      <c r="I152" s="1687"/>
      <c r="J152" s="1687"/>
      <c r="K152" s="1687"/>
      <c r="L152" s="1687"/>
      <c r="M152" s="1687"/>
      <c r="N152" s="1687"/>
      <c r="O152" s="349"/>
      <c r="P152" s="349"/>
      <c r="Q152" s="1686"/>
      <c r="R152" s="28"/>
      <c r="S152" s="28"/>
      <c r="T152" s="1687" t="str">
        <f>IF('School Profile'!$D$12="Hindi","शिक्षा विभाग, राजस्थान सरकार","Education Department, Rajasthan Government")</f>
        <v>शिक्षा विभाग, राजस्थान सरकार</v>
      </c>
      <c r="U152" s="1687"/>
      <c r="V152" s="1687"/>
      <c r="W152" s="1687"/>
      <c r="X152" s="1687"/>
      <c r="Y152" s="1687"/>
      <c r="Z152" s="1687"/>
      <c r="AA152" s="1687"/>
      <c r="AB152" s="1687"/>
      <c r="AC152" s="1687"/>
      <c r="AD152" s="1687"/>
      <c r="AE152" s="349"/>
      <c r="AF152" s="349"/>
      <c r="AV152"/>
      <c r="AW152"/>
      <c r="AX152"/>
      <c r="BA152"/>
      <c r="BB152"/>
      <c r="BC152"/>
    </row>
    <row r="153" spans="1:55" s="32" customFormat="1" ht="24.95" customHeight="1">
      <c r="A153" s="34">
        <f>IF(L158="","",A152+1)</f>
        <v>3</v>
      </c>
      <c r="B153" s="1560" t="str">
        <f>IF('School Profile'!$D$12="Hindi",CONCATENATE("विद्यालय का नाम :-","  ",'School Profile'!$D$9),CONCATENATE("School Name :-","  ",'School Profile'!$D$8))</f>
        <v xml:space="preserve">विद्यालय का नाम :-  महात्मा गाँधी राजकीय विद्यालय (अंग्रेजी माध्यम) बर, पाली </v>
      </c>
      <c r="C153" s="1560"/>
      <c r="D153" s="1560"/>
      <c r="E153" s="1560"/>
      <c r="F153" s="1560"/>
      <c r="G153" s="1560"/>
      <c r="H153" s="1560"/>
      <c r="I153" s="1560"/>
      <c r="J153" s="1560"/>
      <c r="K153" s="1560"/>
      <c r="L153" s="1560"/>
      <c r="M153" s="1560"/>
      <c r="N153" s="1560"/>
      <c r="O153" s="1560"/>
      <c r="P153" s="1560"/>
      <c r="Q153" s="1686"/>
      <c r="R153" s="1560" t="str">
        <f>IF('School Profile'!$D$12="Hindi",CONCATENATE("विद्यालय का नाम :-","  ",'School Profile'!$D$9),CONCATENATE("School Name :-","  ",'School Profile'!$D$8))</f>
        <v xml:space="preserve">विद्यालय का नाम :-  महात्मा गाँधी राजकीय विद्यालय (अंग्रेजी माध्यम) बर, पाली </v>
      </c>
      <c r="S153" s="1560"/>
      <c r="T153" s="1560"/>
      <c r="U153" s="1560"/>
      <c r="V153" s="1560"/>
      <c r="W153" s="1560"/>
      <c r="X153" s="1560"/>
      <c r="Y153" s="1560"/>
      <c r="Z153" s="1560"/>
      <c r="AA153" s="1560"/>
      <c r="AB153" s="1560"/>
      <c r="AC153" s="1560"/>
      <c r="AD153" s="1560"/>
      <c r="AE153" s="1560"/>
      <c r="AF153" s="1560"/>
      <c r="AV153"/>
      <c r="AW153"/>
      <c r="AX153"/>
      <c r="BA153"/>
      <c r="BB153"/>
      <c r="BC153"/>
    </row>
    <row r="154" spans="1:55" s="32" customFormat="1" ht="24.95" customHeight="1">
      <c r="A154" s="34">
        <f>IF(L158="","",A153+1)</f>
        <v>4</v>
      </c>
      <c r="B154" s="668"/>
      <c r="C154" s="668"/>
      <c r="D154" s="668"/>
      <c r="E154" s="668"/>
      <c r="F154" s="1688" t="str">
        <f>IF(AND(L158=""),"",IF(AND('School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54" s="1688"/>
      <c r="H154" s="1688"/>
      <c r="I154" s="1688"/>
      <c r="J154" s="1688"/>
      <c r="K154" s="1688"/>
      <c r="L154" s="1688"/>
      <c r="M154" s="1688"/>
      <c r="N154" s="1688"/>
      <c r="O154" s="1688"/>
      <c r="P154" s="668"/>
      <c r="Q154" s="1686"/>
      <c r="R154" s="668"/>
      <c r="S154" s="668"/>
      <c r="T154" s="668"/>
      <c r="U154" s="668"/>
      <c r="V154" s="1688" t="str">
        <f>IF(AND(AB158=""),"",IF(AND('School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54" s="1688"/>
      <c r="X154" s="1688"/>
      <c r="Y154" s="1688"/>
      <c r="Z154" s="1688"/>
      <c r="AA154" s="1688"/>
      <c r="AB154" s="1688"/>
      <c r="AC154" s="1688"/>
      <c r="AD154" s="1688"/>
      <c r="AE154" s="1688"/>
      <c r="AF154" s="668"/>
      <c r="AV154"/>
      <c r="AW154"/>
      <c r="AX154"/>
      <c r="AY154" s="6"/>
      <c r="AZ154" s="6"/>
      <c r="BA154"/>
      <c r="BB154"/>
      <c r="BC154"/>
    </row>
    <row r="155" spans="1:55" s="351" customFormat="1" ht="21" customHeight="1">
      <c r="A155" s="33">
        <f>IF(L158="","",A154+1)</f>
        <v>5</v>
      </c>
      <c r="B155" s="681" t="str">
        <f>IF('School Profile'!$D$12="Hindi","कक्षा  :-","CLASS :- ")</f>
        <v>कक्षा  :-</v>
      </c>
      <c r="C155" s="1691" t="str">
        <f>IF('Statement of Marks'!$E$3="","",'Statement of Marks'!$E$3)</f>
        <v>9th</v>
      </c>
      <c r="D155" s="1691"/>
      <c r="E155" s="820" t="str">
        <f>IFERROR(VLOOKUP(L158,'Statement of Marks'!$B$7:'Statement of Marks'!$IC$206,2,0),"")</f>
        <v>A</v>
      </c>
      <c r="F155" s="820"/>
      <c r="G155" s="820"/>
      <c r="H155" s="820"/>
      <c r="I155" s="1684" t="str">
        <f>IF('School Profile'!$D$12="Hindi","प्रवेशांक :","SR. NO. :")</f>
        <v>प्रवेशांक :</v>
      </c>
      <c r="J155" s="1684"/>
      <c r="K155" s="1684"/>
      <c r="L155" s="1689" t="str">
        <f>IFERROR(VLOOKUP(L158,'Statement of Marks'!$B$7:'Statement of Marks'!$IC$206,3,0),"")</f>
        <v/>
      </c>
      <c r="M155" s="1689"/>
      <c r="N155" s="1689"/>
      <c r="O155" s="1689"/>
      <c r="P155" s="414"/>
      <c r="Q155" s="1686"/>
      <c r="R155" s="681" t="str">
        <f>IF('School Profile'!$D$12="Hindi","कक्षा  :-","CLASS :- ")</f>
        <v>कक्षा  :-</v>
      </c>
      <c r="S155" s="1691" t="str">
        <f>IF('Statement of Marks'!$E$3="","",'Statement of Marks'!$E$3)</f>
        <v>9th</v>
      </c>
      <c r="T155" s="1691"/>
      <c r="U155" s="820" t="str">
        <f>IFERROR(VLOOKUP(AB158,'Statement of Marks'!$B$7:'Statement of Marks'!$IC$206,2,0),"")</f>
        <v>A</v>
      </c>
      <c r="V155" s="820"/>
      <c r="W155" s="820"/>
      <c r="X155" s="820"/>
      <c r="Y155" s="1684" t="str">
        <f>IF('School Profile'!$D$12="Hindi","प्रवेशांक :","SR. NO. :")</f>
        <v>प्रवेशांक :</v>
      </c>
      <c r="Z155" s="1684"/>
      <c r="AA155" s="1684"/>
      <c r="AB155" s="1689" t="str">
        <f>IFERROR(VLOOKUP(AB158,'Statement of Marks'!$B$7:'Statement of Marks'!$IC$206,3,0),"")</f>
        <v/>
      </c>
      <c r="AC155" s="1689"/>
      <c r="AD155" s="1689"/>
      <c r="AE155" s="1689"/>
      <c r="AF155" s="414"/>
      <c r="AV155"/>
      <c r="AW155" s="777">
        <f>L156</f>
        <v>41878</v>
      </c>
      <c r="AX155"/>
      <c r="BA155"/>
      <c r="BB155" s="777" t="str">
        <f>AB156</f>
        <v/>
      </c>
      <c r="BC155"/>
    </row>
    <row r="156" spans="1:55" s="351" customFormat="1" ht="21" customHeight="1">
      <c r="A156" s="33">
        <f>IF(L158="","",A155+1)</f>
        <v>6</v>
      </c>
      <c r="B156" s="683" t="str">
        <f>IF('School Profile'!$D$12="Hindi","विद्यार्थी का नाम :-","Student's Name :-")</f>
        <v>विद्यार्थी का नाम :-</v>
      </c>
      <c r="C156" s="1683" t="str">
        <f>IFERROR(VLOOKUP(L158,'Statement of Marks'!$B$7:'Statement of Marks'!$IC$206,5,0),"")</f>
        <v>MONU</v>
      </c>
      <c r="D156" s="1683"/>
      <c r="E156" s="1683"/>
      <c r="F156" s="1683"/>
      <c r="G156" s="1683"/>
      <c r="H156" s="1683"/>
      <c r="I156" s="1684" t="str">
        <f>IF('School Profile'!$D$12="Hindi","जन्म तिथि :","Date of Birth :")</f>
        <v>जन्म तिथि :</v>
      </c>
      <c r="J156" s="1684"/>
      <c r="K156" s="1684"/>
      <c r="L156" s="1690">
        <f>IFERROR(VLOOKUP(L158,'Statement of Marks'!$B$7:'Statement of Marks'!$IC$206,4,0),"")</f>
        <v>41878</v>
      </c>
      <c r="M156" s="1690"/>
      <c r="N156" s="1690"/>
      <c r="O156" s="1690"/>
      <c r="P156" s="670"/>
      <c r="Q156" s="1686"/>
      <c r="R156" s="683" t="str">
        <f>IF('School Profile'!$D$12="Hindi","विद्यार्थी का नाम :-","Student's Name :-")</f>
        <v>विद्यार्थी का नाम :-</v>
      </c>
      <c r="S156" s="1683" t="str">
        <f>IFERROR(VLOOKUP(AB158,'Statement of Marks'!$B$7:'Statement of Marks'!$IC$206,5,0),"")</f>
        <v>JAY</v>
      </c>
      <c r="T156" s="1683"/>
      <c r="U156" s="1683"/>
      <c r="V156" s="1683"/>
      <c r="W156" s="1683"/>
      <c r="X156" s="1683"/>
      <c r="Y156" s="1684" t="str">
        <f>IF('School Profile'!$D$12="Hindi","जन्म तिथि :","Date of Birth :")</f>
        <v>जन्म तिथि :</v>
      </c>
      <c r="Z156" s="1684"/>
      <c r="AA156" s="1684"/>
      <c r="AB156" s="1690" t="str">
        <f>IFERROR(VLOOKUP(AB158,'Statement of Marks'!$B$7:'Statement of Marks'!$IC$206,4,0),"")</f>
        <v/>
      </c>
      <c r="AC156" s="1690"/>
      <c r="AD156" s="1690"/>
      <c r="AE156" s="1690"/>
      <c r="AF156" s="670"/>
      <c r="AV156">
        <f>YEAR(AW155)</f>
        <v>2014</v>
      </c>
      <c r="AW156">
        <f>MONTH(AW155)</f>
        <v>8</v>
      </c>
      <c r="AX156">
        <f>DAY(AW155)</f>
        <v>27</v>
      </c>
      <c r="BA156" t="e">
        <f>YEAR(BB155)</f>
        <v>#VALUE!</v>
      </c>
      <c r="BB156" t="e">
        <f>MONTH(BB155)</f>
        <v>#VALUE!</v>
      </c>
      <c r="BC156" t="e">
        <f>DAY(BB155)</f>
        <v>#VALUE!</v>
      </c>
    </row>
    <row r="157" spans="1:55" s="351" customFormat="1" ht="21" customHeight="1">
      <c r="A157" s="33">
        <f>IF(L158="","",A156+1)</f>
        <v>7</v>
      </c>
      <c r="B157" s="683" t="str">
        <f>IF('School Profile'!$D$12="Hindi","पिता का नाम :-","Father's Name :-")</f>
        <v>पिता का नाम :-</v>
      </c>
      <c r="C157" s="1683" t="str">
        <f>IFERROR(VLOOKUP(L158,'Statement of Marks'!$B$7:'Statement of Marks'!$IC$206,6,0),"")</f>
        <v/>
      </c>
      <c r="D157" s="1683"/>
      <c r="E157" s="1683"/>
      <c r="F157" s="1683"/>
      <c r="G157" s="1683"/>
      <c r="H157" s="1683"/>
      <c r="I157" s="1684" t="str">
        <f>IF('School Profile'!$D$12="Hindi","जन्मतिथि शब्दों में :-","Date of Birth in Words :-")</f>
        <v>जन्मतिथि शब्दों में :-</v>
      </c>
      <c r="J157" s="1684"/>
      <c r="K157" s="1684"/>
      <c r="L157" s="1683" t="str">
        <f>IFERROR(IF('School Profile'!$D$12="Hindi",'Simple Marksheet'!AW158,'Simple Marksheet'!AW160),"")</f>
        <v>सताईस अगस्त दो हजार चौदह</v>
      </c>
      <c r="M157" s="1683"/>
      <c r="N157" s="1683"/>
      <c r="O157" s="1683"/>
      <c r="P157" s="670"/>
      <c r="Q157" s="1686"/>
      <c r="R157" s="683" t="str">
        <f>IF('School Profile'!$D$12="Hindi","पिता का नाम :-","Father's Name :-")</f>
        <v>पिता का नाम :-</v>
      </c>
      <c r="S157" s="1683" t="str">
        <f>IFERROR(VLOOKUP(AB158,'Statement of Marks'!$B$7:'Statement of Marks'!$IC$206,6,0),"")</f>
        <v/>
      </c>
      <c r="T157" s="1683"/>
      <c r="U157" s="1683"/>
      <c r="V157" s="1683"/>
      <c r="W157" s="1683"/>
      <c r="X157" s="1683"/>
      <c r="Y157" s="1684" t="str">
        <f>IF('School Profile'!$D$12="Hindi","जन्मतिथि शब्दों में :-","Date of Birth in Words :-")</f>
        <v>जन्मतिथि शब्दों में :-</v>
      </c>
      <c r="Z157" s="1684"/>
      <c r="AA157" s="1684"/>
      <c r="AB157" s="1683" t="str">
        <f>IFERROR(IF('School Profile'!$D$12="Hindi",BB158,BB160),"")</f>
        <v/>
      </c>
      <c r="AC157" s="1683"/>
      <c r="AD157" s="1683"/>
      <c r="AE157" s="1683"/>
      <c r="AF157" s="670"/>
      <c r="AV157" t="str">
        <f>IF(AV156=2000,"दो हजार",IF(AV156=2001,"दो हजार एक",IF(AV156=2002,"दो हजार दो",IF(AV156=2003,"दो हजार तीन",IF(AV156=2004,"दो हजार चार",IF(AV156=2005,"दो हजार पांच",IF(AV156=2006,"दो हजार छः",IF(AV156=2007,"दो हजार सात",IF(AV156=2008,"दो हजार आठ",IF(AV156=2009,"दो हजार नौ",IF(AV156=2010,"दो हजार दस",IF(AV156=2011,"दो हजार ग्यारह",IF(AV156=2012,"दो हजार बारह",IF(AV156=2013,"दो हजार तेरह",IF(AV156=2014,"दो हजार चौदह",IF(AV156=2015,"दो हजार पंद्रह",IF(AV156=2016,"दो हजार सोलह",IF(AV156=2017,"दो हजार सत्रह",IF(AV156=2018,"दो हजार अठारह",IF(AV156=2019,"दो हजार उन्नीस",IF(AV156=2020,"दो हजार बीस",IF(AV156=2021,"दो हजार इक्कीस",IF(AV156=2022,"दो हजार बाइस","")))))))))))))))))))))))</f>
        <v>दो हजार चौदह</v>
      </c>
      <c r="AW157" t="str">
        <f>IF(AW156=1,"जनवरी",IF(AW156=2,"फरवरी",IF(AW156=3,"मार्च",IF(AW156=4,"अप्रैल",IF(AW156=5,"मई",IF(AW156=6,"जून",IF(AW156=7,"जुलाई",IF(AW156=8,"अगस्त",IF(AW156=9,"सितम्बर",IF(AW156=10,"अक्टूबर",IF(AW156=11,"नवम्बर",IF(AW156=12,"दिसम्बर",""))))))))))))</f>
        <v>अगस्त</v>
      </c>
      <c r="AX157" t="str">
        <f>IF(AX156=1,"एक",IF(AX156=2,"दो",IF(AX156=3,"तीन",IF(AX156=4,"चार",IF(AX156=5,"पांच",IF(AX156=6,"छः",IF(AX156=7,"सात",IF(AX156=8,"आठ",IF(AX156=9,"नौ",IF(AX156=10,"दस",IF(AX156=11,"ग्यारह",IF(AX156=12,"बारह",IF(AX156=13,"तेरह",IF(AX156=14,"चौदह",IF(AX156=15,"पंद्रह",IF(AX156=16,"सोलह",IF(AX156=17,"सत्रह",IF(AX156=18,"अठारह",IF(AX156=19,"उन्नीस",IF(AX156=20,"बीस",IF(AX156=21,"इक्कीस",IF(AX156=22,"बाइस",IF(AX156=23,"तेईस",IF(AX156=24,"चौबीस",IF(AX156=25,"पचीस",IF(AX156=26,"छबीस",IF(AX156=27,"सताईस",IF(AX156=28,"अठाइस",IF(AX156=29,"उन्नतीस",IF(AX156=30,"तीस",IF(AX156=31,"इकतीस","")))))))))))))))))))))))))))))))</f>
        <v>सताईस</v>
      </c>
      <c r="BA157" t="e">
        <f>IF(BA156=2000,"दो हजार",IF(BA156=2001,"दो हजार एक",IF(BA156=2002,"दो हजार दो",IF(BA156=2003,"दो हजार तीन",IF(BA156=2004,"दो हजार चार",IF(BA156=2005,"दो हजार पांच",IF(BA156=2006,"दो हजार छः",IF(BA156=2007,"दो हजार सात",IF(BA156=2008,"दो हजार आठ",IF(BA156=2009,"दो हजार नौ",IF(BA156=2010,"दो हजार दस",IF(BA156=2011,"दो हजार ग्यारह",IF(BA156=2012,"दो हजार बारह",IF(BA156=2013,"दो हजार तेरह",IF(BA156=2014,"दो हजार चौदह",IF(BA156=2015,"दो हजार पंद्रह",IF(BA156=2016,"दो हजार सोलह",IF(BA156=2017,"दो हजार सत्रह",IF(BA156=2018,"दो हजार अठारह",IF(BA156=2019,"दो हजार उन्नीस",IF(BA156=2020,"दो हजार बीस",IF(BA156=2021,"दो हजार इक्कीस",IF(BA156=2022,"दो हजार बाइस","")))))))))))))))))))))))</f>
        <v>#VALUE!</v>
      </c>
      <c r="BB157" t="e">
        <f>IF(BB156=1,"जनवरी",IF(BB156=2,"फरवरी",IF(BB156=3,"मार्च",IF(BB156=4,"अप्रैल",IF(BB156=5,"मई",IF(BB156=6,"जून",IF(BB156=7,"जुलाई",IF(BB156=8,"अगस्त",IF(BB156=9,"सितम्बर",IF(BB156=10,"अक्टूबर",IF(BB156=11,"नवम्बर",IF(BB156=12,"दिसम्बर",""))))))))))))</f>
        <v>#VALUE!</v>
      </c>
      <c r="BC157" t="e">
        <f>IF(BC156=1,"एक",IF(BC156=2,"दो",IF(BC156=3,"तीन",IF(BC156=4,"चार",IF(BC156=5,"पांच",IF(BC156=6,"छः",IF(BC156=7,"सात",IF(BC156=8,"आठ",IF(BC156=9,"नौ",IF(BC156=10,"दस",IF(BC156=11,"ग्यारह",IF(BC156=12,"बारह",IF(BC156=13,"तेरह",IF(BC156=14,"चौदह",IF(BC156=15,"पंद्रह",IF(BC156=16,"सोलह",IF(BC156=17,"सत्रह",IF(BC156=18,"अठारह",IF(BC156=19,"उन्नीस",IF(BC156=20,"बीस",IF(BC156=21,"इक्कीस",IF(BC156=22,"बाइस",IF(BC156=23,"तेईस",IF(BC156=24,"चौबीस",IF(BC156=25,"पचीस",IF(BC156=26,"छबीस",IF(BC156=27,"सताईस",IF(BC156=28,"अठाइस",IF(BC156=29,"उन्नतीस",IF(BC156=30,"तीस",IF(BC156=31,"इकतीस","")))))))))))))))))))))))))))))))</f>
        <v>#VALUE!</v>
      </c>
    </row>
    <row r="158" spans="1:55" s="351" customFormat="1" ht="21" customHeight="1">
      <c r="A158" s="33">
        <f>IF(L158="","",A157+1)</f>
        <v>8</v>
      </c>
      <c r="B158" s="681" t="str">
        <f>IF('School Profile'!$D$12="Hindi","माता का नाम :-","Mother's Name :-")</f>
        <v>माता का नाम :-</v>
      </c>
      <c r="C158" s="1683" t="str">
        <f>IFERROR(VLOOKUP(L158,'Statement of Marks'!$B$7:'Statement of Marks'!$IC$206,7,0),"")</f>
        <v/>
      </c>
      <c r="D158" s="1683"/>
      <c r="E158" s="1683"/>
      <c r="F158" s="1683"/>
      <c r="G158" s="1683"/>
      <c r="H158" s="1683"/>
      <c r="I158" s="1684" t="str">
        <f>IF('School Profile'!$D$12="Hindi","रोल नंबर :-","Roll No. :")</f>
        <v>रोल नंबर :-</v>
      </c>
      <c r="J158" s="1684"/>
      <c r="K158" s="1684"/>
      <c r="L158" s="1685">
        <f>IF(AB128="","",IF(AND(AB128+1&gt;$AN$11),"",AB128+1))</f>
        <v>911</v>
      </c>
      <c r="M158" s="1685"/>
      <c r="N158" s="1685"/>
      <c r="Q158" s="1686"/>
      <c r="R158" s="681" t="str">
        <f>IF('School Profile'!$D$12="Hindi","माता का नाम :-","Mother's Name :-")</f>
        <v>माता का नाम :-</v>
      </c>
      <c r="S158" s="1683" t="str">
        <f>IFERROR(VLOOKUP(AB158,'Statement of Marks'!$B$7:'Statement of Marks'!$IC$206,7,0),"")</f>
        <v/>
      </c>
      <c r="T158" s="1683"/>
      <c r="U158" s="1683"/>
      <c r="V158" s="1683"/>
      <c r="W158" s="1683"/>
      <c r="X158" s="1683"/>
      <c r="Y158" s="1684" t="str">
        <f>IF('School Profile'!$D$12="Hindi","रोल नंबर :-","Roll No. :")</f>
        <v>रोल नंबर :-</v>
      </c>
      <c r="Z158" s="1684"/>
      <c r="AA158" s="1684"/>
      <c r="AB158" s="1685">
        <f>IF(L158="","",IF(AND(L158+1&gt;$AN$11),"",L158+1))</f>
        <v>912</v>
      </c>
      <c r="AC158" s="1685"/>
      <c r="AD158" s="1685"/>
      <c r="AV158"/>
      <c r="AW158" t="str">
        <f>CONCATENATE(AX157," ",AW157," ",AV157)</f>
        <v>सताईस अगस्त दो हजार चौदह</v>
      </c>
      <c r="AX158"/>
      <c r="BA158"/>
      <c r="BB158" t="e">
        <f>CONCATENATE(BC157," ",BB157," ",BA157)</f>
        <v>#VALUE!</v>
      </c>
      <c r="BC158"/>
    </row>
    <row r="159" spans="1:55" s="351" customFormat="1" ht="9.75" customHeight="1">
      <c r="A159" s="33">
        <f>IF(L158="","",A158+1)</f>
        <v>9</v>
      </c>
      <c r="B159" s="1676"/>
      <c r="C159" s="1676"/>
      <c r="D159" s="1676"/>
      <c r="E159" s="1676"/>
      <c r="F159" s="1676"/>
      <c r="G159" s="1676"/>
      <c r="H159" s="1676"/>
      <c r="I159" s="1676"/>
      <c r="J159" s="1676"/>
      <c r="K159" s="1676"/>
      <c r="L159" s="1676"/>
      <c r="M159" s="1676"/>
      <c r="N159" s="1676"/>
      <c r="O159" s="1676"/>
      <c r="P159" s="401"/>
      <c r="Q159" s="1686"/>
      <c r="R159" s="1676"/>
      <c r="S159" s="1676"/>
      <c r="T159" s="1676"/>
      <c r="U159" s="1676"/>
      <c r="V159" s="1676"/>
      <c r="W159" s="1676"/>
      <c r="X159" s="1676"/>
      <c r="Y159" s="1676"/>
      <c r="Z159" s="1676"/>
      <c r="AA159" s="1676"/>
      <c r="AB159" s="1676"/>
      <c r="AC159" s="1676"/>
      <c r="AD159" s="1676"/>
      <c r="AE159" s="1676"/>
      <c r="AF159" s="401"/>
      <c r="AV159" t="str">
        <f>IF(AV156=1961,"NINETEEN SIXTY ONE",IF(AV156=1962,"NINETEEN SIXTY TWO",IF(AV156=1963,"NINETEEN SIXTY THREE",IF(AV156=1964,"NINETEEN SIXTY FOUR",IF(AV156=1965,"NINETEEN SIXTY FIVE",IF(AV156=1966,"NINETEEN SIXTY SIX",IF(AV156=1967,"NINETEEN SIXTY SEVEN",IF(AV156=1968,"NINETEEN SIXTY EIGHT",IF(AV156=1969,"NINETEEN SIXTY NINE",IF(AV156=1970,"NINETEEN SEVENTY",IF(AV156=1971,"NINETEEN SEVENTY ONE",IF(AV156=1972,"NINETEEN SEVENTY TWO",IF(AV156=1973,"NINETEEN SEVENTY THREE",IF(AV156=1974,"NINETEEN SEVENTY FOUR",IF(AV156=1975,"NINETEEN SEVENTY FIVE",IF(AV156=1976,"NINETEEN SEVENTY SIX",IF(AV156=1977,"NINETEEN SEVENTY SEVEN",IF(AV156=1978,"NINETEEN SEVENTY EIGHT",IF(AV156=1979,"NINETEEN SEVENTY NINE",IF(AV156=1980,"NINETEEN EIGHTY",IF(AV156=1981,"NINETEEN EIGHTY ONE",IF(AV156=1982,"NINETEEN EIGHTY TWO",IF(AV156=1983,"NINETEEN EIGHTY THREE",IF(AV156=1984,"NINETEEN EIGHTY FOUR",IF(AV156=1985,"NINETEEN EIGHTY FIVE",IF(AV156=1986,"NINETEEN EIGHTY SIX",IF(AV156=1987,"NINETEEN EIGHTY SEVEN",IF(AV156=1988,"NINETEEN EIGHTY EIGHT",IF(AV156=1989,"NINETEEN EIGHTY NINE",IF(AV156=1990,"NINETEEN NINETY",IF(AV156=1991,"NINETEEN NINETY ONE",IF(AV156=1992,"NINETEEN NINETY TWO",IF(AV156=1993,"NINETEEN NINETY THREE",IF(AV156=1994,"NINETEEN NINETY FOUR",IF(AV156=1995,"NINETEEN NINETY FIVE",IF(AV156=1996,"NINETEEN NINETY SIX",IF(AV156=1997,"NINETEEN NINETY SEVEN",IF(AV156=1998,"NINETEEN NINETY EIGHT",IF(AV156=1999,"NINETEEN NINETY NINE",IF(AV156=2000,"TWO THOUSAND",IF(AV156=2001,"TWO THOUSAND ONE",IF(AV156=2002,"TWO THOUSAND TWO",IF(AV156=2003,"TWO THOUSAND THREE",IF(AV156=2004,"TWO THOUSAND FOUR",IF(AV156=2005,"TWO THOUSAND FIVE",IF(AV156=2006,"TWO THOUSAND SIX",IF(AV156=2007,"TWO THOUSAND SEVEN",IF(AV156=2008,"TWO THOUSAND EIGHT",IF(AV156=2009,"TWO THOUSAND NINE",IF(AV156=2010,"TWO THOUSAND TEN",IF(AV156=2011,"TWO THOUSAND ELEVEN",IF(AV156=2012,"TWO THOUSAND TWELVE",IF(AV156=2013,"TWO THOUSAND THIRTEEN",IF(AV156=2014,"TWO THOUSAND FOURTEEN",IF(AV156=2015,"TWO THOUSAND FIFTEEN",IF(AV156=2016,"TWO THOUSAND SIXTEEN",IF(AV156=2017,"TWO THOUSAND SEVENTEEN",IF(AV156=2018,"TWO THOUSAND EIGHTEEN",IF(AV156=2019,"TWO THOUSAND NINETEEN",IF(AV156=2020,"TWO THOUSAND TWENTY",IF(AV156=2021,"TWO THOUSAND TWENTY ONE",IF(AV156=2022,"TWO THOUSAND TWENTY TWO",IF(AV156=2023,"TWO THOUSAND TWENTY THREE",IF(AV156=2024,"TWO THOUSAND TWENTY FOUR",IF(AV156=2025,"TWO THOUSAND TWENTY FIVE","")))))))))))))))))))))))))))))))))))))))))))))))))))))))))))))))))</f>
        <v>TWO THOUSAND FOURTEEN</v>
      </c>
      <c r="AW159" t="str">
        <f>IF(AW156=1,"JANUARY",IF(AW156=2,"FEBUARY", IF(AW156=3,"MARCH",IF(AW156=4,"APRIL",IF(AW156=5,"MAY",IF(AW156=6,"JUNE",IF(AW156=7,"JULY",IF(AW156=8,"AUGUST",IF(AW156=9,"SEPTEMBER",IF(AW156=10,"OCTOBER",IF(AW156=11,"NOVEMBER",IF(AW156=12,"DECEMBER",""))))))))))))</f>
        <v>AUGUST</v>
      </c>
      <c r="AX159" t="str">
        <f>IF(AX156=1,"1ST",IF(AX156=2,"2ND", IF(AX156=3,"3RD",IF(AX156=4,"FOURTH",IF(AX156=5,"FIFTH",IF(AX156=6,"SIXTH",IF(AX156=7,"7TH",IF(AX156=8,"8TH",IF(AX156=9,"9TH",IF(AX156=10,"10TH",IF(AX156=11,"11TH",IF(AX156=12,"12TH",IF(AX156=13,"13TH",IF(AX156=14,"14TH",IF(AX156=15,"FIFTEEN",IF(AX156=16,"SIXTEEN",IF(AX156=17,"SEVENTEEN",IF(AX156=18,"EIGHTEEN",IF(AX156=19,"NINETEEN",IF(AX156=20,"TWENTY",IF(AX156=21,"TWENTY FIRST",IF(AX156=22,"TWENTY SECOND",IF(AX156=23,"TWENTY THIRD",IF(AX156=24,"TWENTY FOURTH",IF(AX156=25,"TWENTY FIFTH",IF(AX156=26,"TWENTY SIX",IF(AX156=27,"TWENTY SEVEN",IF(AX156=28,"TWENTY EIGHT",IF(AX156=29,"TWENTY NINE",IF(AX156=30,"THIRTY",IF(AX156=31,"THIRTY FIRST","")))))))))))))))))))))))))))))))</f>
        <v>TWENTY SEVEN</v>
      </c>
      <c r="BA159" t="e">
        <f>IF(BA156=1961,"NINETEEN SIXTY ONE",IF(BA156=1962,"NINETEEN SIXTY TWO",IF(BA156=1963,"NINETEEN SIXTY THREE",IF(BA156=1964,"NINETEEN SIXTY FOUR",IF(BA156=1965,"NINETEEN SIXTY FIVE",IF(BA156=1966,"NINETEEN SIXTY SIX",IF(BA156=1967,"NINETEEN SIXTY SEVEN",IF(BA156=1968,"NINETEEN SIXTY EIGHT",IF(BA156=1969,"NINETEEN SIXTY NINE",IF(BA156=1970,"NINETEEN SEVENTY",IF(BA156=1971,"NINETEEN SEVENTY ONE",IF(BA156=1972,"NINETEEN SEVENTY TWO",IF(BA156=1973,"NINETEEN SEVENTY THREE",IF(BA156=1974,"NINETEEN SEVENTY FOUR",IF(BA156=1975,"NINETEEN SEVENTY FIVE",IF(BA156=1976,"NINETEEN SEVENTY SIX",IF(BA156=1977,"NINETEEN SEVENTY SEVEN",IF(BA156=1978,"NINETEEN SEVENTY EIGHT",IF(BA156=1979,"NINETEEN SEVENTY NINE",IF(BA156=1980,"NINETEEN EIGHTY",IF(BA156=1981,"NINETEEN EIGHTY ONE",IF(BA156=1982,"NINETEEN EIGHTY TWO",IF(BA156=1983,"NINETEEN EIGHTY THREE",IF(BA156=1984,"NINETEEN EIGHTY FOUR",IF(BA156=1985,"NINETEEN EIGHTY FIVE",IF(BA156=1986,"NINETEEN EIGHTY SIX",IF(BA156=1987,"NINETEEN EIGHTY SEVEN",IF(BA156=1988,"NINETEEN EIGHTY EIGHT",IF(BA156=1989,"NINETEEN EIGHTY NINE",IF(BA156=1990,"NINETEEN NINETY",IF(BA156=1991,"NINETEEN NINETY ONE",IF(BA156=1992,"NINETEEN NINETY TWO",IF(BA156=1993,"NINETEEN NINETY THREE",IF(BA156=1994,"NINETEEN NINETY FOUR",IF(BA156=1995,"NINETEEN NINETY FIVE",IF(BA156=1996,"NINETEEN NINETY SIX",IF(BA156=1997,"NINETEEN NINETY SEVEN",IF(BA156=1998,"NINETEEN NINETY EIGHT",IF(BA156=1999,"NINETEEN NINETY NINE",IF(BA156=2000,"TWO THOUSAND",IF(BA156=2001,"TWO THOUSAND ONE",IF(BA156=2002,"TWO THOUSAND TWO",IF(BA156=2003,"TWO THOUSAND THREE",IF(BA156=2004,"TWO THOUSAND FOUR",IF(BA156=2005,"TWO THOUSAND FIVE",IF(BA156=2006,"TWO THOUSAND SIX",IF(BA156=2007,"TWO THOUSAND SEVEN",IF(BA156=2008,"TWO THOUSAND EIGHT",IF(BA156=2009,"TWO THOUSAND NINE",IF(BA156=2010,"TWO THOUSAND TEN",IF(BA156=2011,"TWO THOUSAND ELEVEN",IF(BA156=2012,"TWO THOUSAND TWELVE",IF(BA156=2013,"TWO THOUSAND THIRTEEN",IF(BA156=2014,"TWO THOUSAND FOURTEEN",IF(BA156=2015,"TWO THOUSAND FIFTEEN",IF(BA156=2016,"TWO THOUSAND SIXTEEN",IF(BA156=2017,"TWO THOUSAND SEVENTEEN",IF(BA156=2018,"TWO THOUSAND EIGHTEEN",IF(BA156=2019,"TWO THOUSAND NINETEEN",IF(BA156=2020,"TWO THOUSAND TWENTY",IF(BA156=2021,"TWO THOUSAND TWENTY ONE",IF(BA156=2022,"TWO THOUSAND TWENTY TWO",IF(BA156=2023,"TWO THOUSAND TWENTY THREE",IF(BA156=2024,"TWO THOUSAND TWENTY FOUR",IF(BA156=2025,"TWO THOUSAND TWENTY FIVE","")))))))))))))))))))))))))))))))))))))))))))))))))))))))))))))))))</f>
        <v>#VALUE!</v>
      </c>
      <c r="BB159" t="e">
        <f>IF(BB156=1,"JANUARY",IF(BB156=2,"FEBUARY", IF(BB156=3,"MARCH",IF(BB156=4,"APRIL",IF(BB156=5,"MAY",IF(BB156=6,"JUNE",IF(BB156=7,"JULY",IF(BB156=8,"AUGUST",IF(BB156=9,"SEPTEMBER",IF(BB156=10,"OCTOBER",IF(BB156=11,"NOVEMBER",IF(BB156=12,"DECEMBER",""))))))))))))</f>
        <v>#VALUE!</v>
      </c>
      <c r="BC159" t="e">
        <f>IF(BC156=1,"1ST",IF(BC156=2,"2ND", IF(BC156=3,"3RD",IF(BC156=4,"FOURTH",IF(BC156=5,"FIFTH",IF(BC156=6,"SIXTH",IF(BC156=7,"7TH",IF(BC156=8,"8TH",IF(BC156=9,"9TH",IF(BC156=10,"10TH",IF(BC156=11,"11TH",IF(BC156=12,"12TH",IF(BC156=13,"13TH",IF(BC156=14,"14TH",IF(BC156=15,"FIFTEEN",IF(BC156=16,"SIXTEEN",IF(BC156=17,"SEVENTEEN",IF(BC156=18,"EIGHTEEN",IF(BC156=19,"NINETEEN",IF(BC156=20,"TWENTY",IF(BC156=21,"TWENTY FIRST",IF(BC156=22,"TWENTY SECOND",IF(BC156=23,"TWENTY THIRD",IF(BC156=24,"TWENTY FOURTH",IF(BC156=25,"TWENTY FIFTH",IF(BC156=26,"TWENTY SIX",IF(BC156=27,"TWENTY SEVEN",IF(BC156=28,"TWENTY EIGHT",IF(BC156=29,"TWENTY NINE",IF(BC156=30,"THIRTY",IF(BC156=31,"THIRTY FIRST","")))))))))))))))))))))))))))))))</f>
        <v>#VALUE!</v>
      </c>
    </row>
    <row r="160" spans="1:55" s="351" customFormat="1" ht="26.25" customHeight="1">
      <c r="A160" s="33">
        <f>IF(L158="","",A159+1)</f>
        <v>10</v>
      </c>
      <c r="B160" s="1661" t="str">
        <f>IF('School Profile'!$D$12="Hindi","विषय का नाम","Subject Name")</f>
        <v>विषय का नाम</v>
      </c>
      <c r="C160" s="1662"/>
      <c r="D160" s="1681" t="str">
        <f>IF('School Profile'!$D$12="Hindi","सामयिक परख","Seasonal Exam")</f>
        <v>सामयिक परख</v>
      </c>
      <c r="E160" s="1681"/>
      <c r="F160" s="1681"/>
      <c r="G160" s="1681"/>
      <c r="H160" s="1681" t="str">
        <f>IF('School Profile'!$D$12="Hindi","अर्द्धवार्षिक","Half Yearly")</f>
        <v>अर्द्धवार्षिक</v>
      </c>
      <c r="I160" s="1681"/>
      <c r="J160" s="1681"/>
      <c r="K160" s="1556" t="str">
        <f>IF('School Profile'!$D$12="Hindi","अर्द्ध वा. तक योग","Total Till H.Y.")</f>
        <v>अर्द्ध वा. तक योग</v>
      </c>
      <c r="L160" s="1681" t="str">
        <f>IF('School Profile'!$D$12="Hindi","वार्षिक","Yearly")</f>
        <v>वार्षिक</v>
      </c>
      <c r="M160" s="1681"/>
      <c r="N160" s="1681"/>
      <c r="O160" s="1550" t="str">
        <f>IF('School Profile'!$D$12="Hindi","विषय कुल योग ","Subject Total")</f>
        <v xml:space="preserve">विषय कुल योग </v>
      </c>
      <c r="P160" s="1682" t="str">
        <f>IF('School Profile'!$D$12="Hindi","विषय परिणाम / विषय श्रेणी","Sub. Result /  Sub. Div.")</f>
        <v>विषय परिणाम / विषय श्रेणी</v>
      </c>
      <c r="Q160" s="1686"/>
      <c r="R160" s="1661" t="str">
        <f>IF('School Profile'!$D$12="Hindi","विषय का नाम","Subject Name")</f>
        <v>विषय का नाम</v>
      </c>
      <c r="S160" s="1662"/>
      <c r="T160" s="1681" t="str">
        <f>IF('School Profile'!$D$12="Hindi","सामयिक परख","Seasonal Exam")</f>
        <v>सामयिक परख</v>
      </c>
      <c r="U160" s="1681"/>
      <c r="V160" s="1681"/>
      <c r="W160" s="1681"/>
      <c r="X160" s="1681" t="str">
        <f>IF('School Profile'!$D$12="Hindi","अर्द्धवार्षिक","Half Yearly")</f>
        <v>अर्द्धवार्षिक</v>
      </c>
      <c r="Y160" s="1681"/>
      <c r="Z160" s="1681"/>
      <c r="AA160" s="1556" t="str">
        <f>IF('School Profile'!$D$12="Hindi","अर्द्ध वा. तक योग","Total Till H.Y.")</f>
        <v>अर्द्ध वा. तक योग</v>
      </c>
      <c r="AB160" s="1681" t="str">
        <f>IF('School Profile'!$D$12="Hindi","वार्षिक","Yearly")</f>
        <v>वार्षिक</v>
      </c>
      <c r="AC160" s="1681"/>
      <c r="AD160" s="1681"/>
      <c r="AE160" s="1550" t="str">
        <f>IF('School Profile'!$D$12="Hindi","विषय कुल योग ","Subject Total")</f>
        <v xml:space="preserve">विषय कुल योग </v>
      </c>
      <c r="AF160" s="1682" t="str">
        <f>IF('School Profile'!$D$12="Hindi","विषय परिणाम / विषय श्रेणी","Sub. Result /  Sub. Div.")</f>
        <v>विषय परिणाम / विषय श्रेणी</v>
      </c>
      <c r="AV160"/>
      <c r="AW160" t="str">
        <f>CONCATENATE(AW159," ",AX159,", ",AV159)</f>
        <v>AUGUST TWENTY SEVEN, TWO THOUSAND FOURTEEN</v>
      </c>
      <c r="AX160"/>
      <c r="BA160"/>
      <c r="BB160" t="e">
        <f>CONCATENATE(BB159," ",BC159,", ",BA159)</f>
        <v>#VALUE!</v>
      </c>
      <c r="BC160"/>
    </row>
    <row r="161" spans="1:55" s="351" customFormat="1" ht="78.75" customHeight="1">
      <c r="A161" s="33">
        <f>IF(L158="","",A160+1)</f>
        <v>11</v>
      </c>
      <c r="B161" s="1677"/>
      <c r="C161" s="1678"/>
      <c r="D161" s="656" t="str">
        <f>IF('School Profile'!$D$12="Hindi","प्रथम परख ","First Test")</f>
        <v xml:space="preserve">प्रथम परख </v>
      </c>
      <c r="E161" s="656" t="str">
        <f>IF('School Profile'!$D$12="Hindi","द्वितीय परख","Second Test")</f>
        <v>द्वितीय परख</v>
      </c>
      <c r="F161" s="656" t="str">
        <f>IF('School Profile'!$D$12="Hindi","तृतीय परख","Third Test")</f>
        <v>तृतीय परख</v>
      </c>
      <c r="G161" s="657" t="str">
        <f>IF('School Profile'!$D$12="Hindi","सा. परख योग","Test Total")</f>
        <v>सा. परख योग</v>
      </c>
      <c r="H161" s="658" t="str">
        <f>IF('School Profile'!$D$12="Hindi","सैद्धान्तिक","Theoretical")</f>
        <v>सैद्धान्तिक</v>
      </c>
      <c r="I161" s="658" t="str">
        <f>IF('School Profile'!$D$12="Hindi","प्रायोगिक","Practical")</f>
        <v>प्रायोगिक</v>
      </c>
      <c r="J161" s="659" t="str">
        <f>IF('School Profile'!$D$12="Hindi","अर्द्धवार्षिक योग","H.Y.  Total")</f>
        <v>अर्द्धवार्षिक योग</v>
      </c>
      <c r="K161" s="1556"/>
      <c r="L161" s="658" t="str">
        <f>IF('School Profile'!$D$12="Hindi","सैद्धान्तिक","Theoretical")</f>
        <v>सैद्धान्तिक</v>
      </c>
      <c r="M161" s="658" t="str">
        <f>IF('School Profile'!$D$12="Hindi","प्रायोगिक","Practical")</f>
        <v>प्रायोगिक</v>
      </c>
      <c r="N161" s="659" t="str">
        <f>IF('School Profile'!$D$12="Hindi","वार्षिक योग","Yearly  Total")</f>
        <v>वार्षिक योग</v>
      </c>
      <c r="O161" s="1550"/>
      <c r="P161" s="1552"/>
      <c r="Q161" s="1686"/>
      <c r="R161" s="1677"/>
      <c r="S161" s="1678"/>
      <c r="T161" s="656" t="str">
        <f>IF('School Profile'!$D$12="Hindi","प्रथम परख ","First Test")</f>
        <v xml:space="preserve">प्रथम परख </v>
      </c>
      <c r="U161" s="656" t="str">
        <f>IF('School Profile'!$D$12="Hindi","द्वितीय परख","Second Test")</f>
        <v>द्वितीय परख</v>
      </c>
      <c r="V161" s="656" t="str">
        <f>IF('School Profile'!$D$12="Hindi","तृतीय परख","Third Test")</f>
        <v>तृतीय परख</v>
      </c>
      <c r="W161" s="657" t="str">
        <f>IF('School Profile'!$D$12="Hindi","सा. परख योग","Test Total")</f>
        <v>सा. परख योग</v>
      </c>
      <c r="X161" s="658" t="str">
        <f>IF('School Profile'!$D$12="Hindi","सैद्धान्तिक","Theoretical")</f>
        <v>सैद्धान्तिक</v>
      </c>
      <c r="Y161" s="658" t="str">
        <f>IF('School Profile'!$D$12="Hindi","प्रायोगिक","Practical")</f>
        <v>प्रायोगिक</v>
      </c>
      <c r="Z161" s="659" t="str">
        <f>IF('School Profile'!$D$12="Hindi","अर्द्धवार्षिक योग","H.Y.  Total")</f>
        <v>अर्द्धवार्षिक योग</v>
      </c>
      <c r="AA161" s="1556"/>
      <c r="AB161" s="658" t="str">
        <f>IF('School Profile'!$D$12="Hindi","सैद्धान्तिक","Theoretical")</f>
        <v>सैद्धान्तिक</v>
      </c>
      <c r="AC161" s="658" t="str">
        <f>IF('School Profile'!$D$12="Hindi","प्रायोगिक","Practical")</f>
        <v>प्रायोगिक</v>
      </c>
      <c r="AD161" s="659" t="str">
        <f>IF('School Profile'!$D$12="Hindi","वार्षिक योग","Yearly  Total")</f>
        <v>वार्षिक योग</v>
      </c>
      <c r="AE161" s="1550"/>
      <c r="AF161" s="1552"/>
      <c r="AV161"/>
      <c r="AW161"/>
      <c r="AX161"/>
      <c r="BA161"/>
      <c r="BB161"/>
      <c r="BC161"/>
    </row>
    <row r="162" spans="1:55" s="353" customFormat="1" ht="21" customHeight="1">
      <c r="A162" s="33">
        <f>IF(L158="","",A161+1)</f>
        <v>12</v>
      </c>
      <c r="B162" s="1679"/>
      <c r="C162" s="1680"/>
      <c r="D162" s="663">
        <v>10</v>
      </c>
      <c r="E162" s="663">
        <v>10</v>
      </c>
      <c r="F162" s="663">
        <v>10</v>
      </c>
      <c r="G162" s="663">
        <v>30</v>
      </c>
      <c r="H162" s="665" t="s">
        <v>251</v>
      </c>
      <c r="I162" s="661">
        <v>35</v>
      </c>
      <c r="J162" s="660">
        <v>70</v>
      </c>
      <c r="K162" s="661">
        <v>100</v>
      </c>
      <c r="L162" s="664" t="s">
        <v>252</v>
      </c>
      <c r="M162" s="663">
        <v>50</v>
      </c>
      <c r="N162" s="660">
        <v>100</v>
      </c>
      <c r="O162" s="662">
        <v>200</v>
      </c>
      <c r="P162" s="1553"/>
      <c r="Q162" s="1686"/>
      <c r="R162" s="1679"/>
      <c r="S162" s="1680"/>
      <c r="T162" s="663">
        <v>10</v>
      </c>
      <c r="U162" s="663">
        <v>10</v>
      </c>
      <c r="V162" s="663">
        <v>10</v>
      </c>
      <c r="W162" s="663">
        <v>30</v>
      </c>
      <c r="X162" s="665" t="s">
        <v>251</v>
      </c>
      <c r="Y162" s="661">
        <v>35</v>
      </c>
      <c r="Z162" s="660">
        <v>70</v>
      </c>
      <c r="AA162" s="661">
        <v>100</v>
      </c>
      <c r="AB162" s="664" t="s">
        <v>252</v>
      </c>
      <c r="AC162" s="663">
        <v>50</v>
      </c>
      <c r="AD162" s="660">
        <v>100</v>
      </c>
      <c r="AE162" s="662">
        <v>200</v>
      </c>
      <c r="AF162" s="1553"/>
      <c r="AV162"/>
      <c r="AW162"/>
      <c r="AX162"/>
      <c r="BA162"/>
      <c r="BB162"/>
      <c r="BC162"/>
    </row>
    <row r="163" spans="1:55" s="351" customFormat="1" ht="22.5" customHeight="1">
      <c r="A163" s="33">
        <f>IF(L158="","",A162+1)</f>
        <v>13</v>
      </c>
      <c r="B163" s="1674" t="str">
        <f>'Statement of Marks'!$K$3</f>
        <v>हिंदी</v>
      </c>
      <c r="C163" s="1675"/>
      <c r="D163" s="26" t="str">
        <f>IFERROR(VLOOKUP(L158,'Statement of Marks'!$B$7:'Statement of Marks'!$IC$206,10,0),"")</f>
        <v/>
      </c>
      <c r="E163" s="26" t="str">
        <f>IFERROR(VLOOKUP(L158,'Statement of Marks'!$B$7:'Statement of Marks'!$IC$206,11,0),"")</f>
        <v/>
      </c>
      <c r="F163" s="26" t="str">
        <f>IFERROR(VLOOKUP(L158,'Statement of Marks'!$B$7:'Statement of Marks'!$IC$206,12,0),"")</f>
        <v/>
      </c>
      <c r="G163" s="26" t="str">
        <f>IFERROR(VLOOKUP(L158,'Statement of Marks'!$B$7:'Statement of Marks'!$IC$206,13,0),"")</f>
        <v/>
      </c>
      <c r="H163" s="26">
        <f>IFERROR(VLOOKUP(L158,'Statement of Marks'!$B$7:'Statement of Marks'!$IC$206,14,0),"")</f>
        <v>46</v>
      </c>
      <c r="I163" s="26"/>
      <c r="J163" s="347">
        <f>IF(L158="","",IF(AND(H163="",I163=""),"",SUM(H163,I163)))</f>
        <v>46</v>
      </c>
      <c r="K163" s="679">
        <f>IFERROR(IF(L158="","",IF(AND(G163="",J163=""),"",SUM(G163,J163))),"")</f>
        <v>46</v>
      </c>
      <c r="L163" s="26">
        <f>IFERROR(VLOOKUP(L158,'Statement of Marks'!$B$7:'Statement of Marks'!$IC$206,16,0),"")</f>
        <v>65</v>
      </c>
      <c r="M163" s="26"/>
      <c r="N163" s="347">
        <f>IF(L158="","",IF(AND(L163="",M163=""),"",SUM(L163,M163)))</f>
        <v>65</v>
      </c>
      <c r="O163" s="674">
        <f>IFERROR(VLOOKUP(L158,'Statement of Marks'!$B$7:'Statement of Marks'!$IC$206,17,0),"")</f>
        <v>111</v>
      </c>
      <c r="P163" s="680" t="str">
        <f>IFERROR(IF(O163="","",IF(VLOOKUP(L158,'Statement of Marks'!$B$7:'Statement of Marks'!$IC$206,195,0)="D","I",IF(VLOOKUP(L158,'Statement of Marks'!$B$7:'Statement of Marks'!$IC$206,195,0)="G1","G",IF(VLOOKUP(L158,'Statement of Marks'!$B$7:'Statement of Marks'!$IC$206,195,0)="G2","G",VLOOKUP(L158,'Statement of Marks'!$B$7:'Statement of Marks'!$IC$206,195,0))))),"")</f>
        <v>AB</v>
      </c>
      <c r="Q163" s="1686"/>
      <c r="R163" s="1674" t="str">
        <f>'Statement of Marks'!$K$3</f>
        <v>हिंदी</v>
      </c>
      <c r="S163" s="1675"/>
      <c r="T163" s="26">
        <f>IFERROR(VLOOKUP(AB158,'Statement of Marks'!$B$7:'Statement of Marks'!$IC$206,10,0),"")</f>
        <v>7</v>
      </c>
      <c r="U163" s="26">
        <f>IFERROR(VLOOKUP(AB158,'Statement of Marks'!$B$7:'Statement of Marks'!$IC$206,11,0),"")</f>
        <v>8</v>
      </c>
      <c r="V163" s="26">
        <f>IFERROR(VLOOKUP(AB158,'Statement of Marks'!$B$7:'Statement of Marks'!$IC$206,12,0),"")</f>
        <v>7</v>
      </c>
      <c r="W163" s="26">
        <f>IFERROR(VLOOKUP(AB158,'Statement of Marks'!$B$7:'Statement of Marks'!$IC$206,13,0),"")</f>
        <v>22</v>
      </c>
      <c r="X163" s="26">
        <f>IFERROR(VLOOKUP(AB158,'Statement of Marks'!$B$7:'Statement of Marks'!$IC$206,14,0),"")</f>
        <v>47</v>
      </c>
      <c r="Y163" s="26"/>
      <c r="Z163" s="347">
        <f>IF(AB158="","",IF(AND(X163="",Y163=""),"",SUM(X163,Y163)))</f>
        <v>47</v>
      </c>
      <c r="AA163" s="679">
        <f>IFERROR(IF(AB158="","",IF(AND(W163="",Z163=""),"",SUM(W163,Z163))),"")</f>
        <v>69</v>
      </c>
      <c r="AB163" s="26">
        <f>IFERROR(VLOOKUP(AB158,'Statement of Marks'!$B$7:'Statement of Marks'!$IC$206,16,0),"")</f>
        <v>65</v>
      </c>
      <c r="AC163" s="26"/>
      <c r="AD163" s="347">
        <f>IF(AB158="","",IF(AND(AB163="",AC163=""),"",SUM(AB163,AC163)))</f>
        <v>65</v>
      </c>
      <c r="AE163" s="674">
        <f>IFERROR(VLOOKUP(AB158,'Statement of Marks'!$B$7:'Statement of Marks'!$IC$206,17,0),"")</f>
        <v>134</v>
      </c>
      <c r="AF163" s="680" t="str">
        <f>IFERROR(IF(AE163="","",IF(VLOOKUP(AB158,'Statement of Marks'!$B$7:'Statement of Marks'!$IC$206,195,0)="D","I",IF(VLOOKUP(AB158,'Statement of Marks'!$B$7:'Statement of Marks'!$IC$206,195,0)="G1","G",IF(VLOOKUP(AB158,'Statement of Marks'!$B$7:'Statement of Marks'!$IC$206,195,0)="G2","G",VLOOKUP(AB158,'Statement of Marks'!$B$7:'Statement of Marks'!$IC$206,195,0))))),"")</f>
        <v>I</v>
      </c>
      <c r="AV163"/>
      <c r="AW163"/>
      <c r="AX163"/>
      <c r="BA163"/>
      <c r="BB163"/>
      <c r="BC163"/>
    </row>
    <row r="164" spans="1:55" s="351" customFormat="1" ht="22.5" customHeight="1">
      <c r="A164" s="33">
        <f>IF(L158="","",A163+1)</f>
        <v>14</v>
      </c>
      <c r="B164" s="1674" t="str">
        <f>'Statement of Marks'!$Y$3</f>
        <v>अंग्रेजी</v>
      </c>
      <c r="C164" s="1675"/>
      <c r="D164" s="26">
        <f>IFERROR(VLOOKUP(L158,'Statement of Marks'!$B$7:'Statement of Marks'!$IC$206,24,0),"")</f>
        <v>8</v>
      </c>
      <c r="E164" s="26">
        <f>IFERROR(VLOOKUP(L158,'Statement of Marks'!$B$7:'Statement of Marks'!$IC$206,25,0),"")</f>
        <v>9</v>
      </c>
      <c r="F164" s="26">
        <f>IFERROR(VLOOKUP(L158,'Statement of Marks'!$B$7:'Statement of Marks'!$IC$206,26,0),"")</f>
        <v>9</v>
      </c>
      <c r="G164" s="26">
        <f>IFERROR(VLOOKUP(L158,'Statement of Marks'!$B$7:'Statement of Marks'!$IC$206,27,0),"")</f>
        <v>26</v>
      </c>
      <c r="H164" s="26">
        <f>IFERROR(VLOOKUP(L158,'Statement of Marks'!$B$7:'Statement of Marks'!$IC$206,28,0),"")</f>
        <v>60</v>
      </c>
      <c r="I164" s="26"/>
      <c r="J164" s="347">
        <f>IF(L158="","",IF(AND(H164="",I164=""),"",SUM(H164,I164)))</f>
        <v>60</v>
      </c>
      <c r="K164" s="679">
        <f>IFERROR(IF(L158="","",IF(AND(G164="",J164=""),"",SUM(G164,J164))),"")</f>
        <v>86</v>
      </c>
      <c r="L164" s="26">
        <f>IFERROR(VLOOKUP(L158,'Statement of Marks'!$B$7:'Statement of Marks'!$IC$206,30,0),"")</f>
        <v>85</v>
      </c>
      <c r="M164" s="26"/>
      <c r="N164" s="347">
        <f>IF(L158="","",IF(AND(L164="",M164=""),"",SUM(L164,M164)))</f>
        <v>85</v>
      </c>
      <c r="O164" s="674">
        <f>IFERROR(VLOOKUP(L158,'Statement of Marks'!$B$7:'Statement of Marks'!$IC$206,31,0),"")</f>
        <v>171</v>
      </c>
      <c r="P164" s="680" t="str">
        <f>IFERROR(IF(O163="","",IF(VLOOKUP(L158,'Statement of Marks'!$B$7:'Statement of Marks'!$IC$206,198,0)="D","I",IF(VLOOKUP(L158,'Statement of Marks'!$B$7:'Statement of Marks'!$IC$206,198,0)="G1","G",IF(VLOOKUP(L158,'Statement of Marks'!$B$7:'Statement of Marks'!$IC$206,198,0)="G2","G",VLOOKUP(L158,'Statement of Marks'!$B$7:'Statement of Marks'!$IC$206,198,0))))),"")</f>
        <v>I</v>
      </c>
      <c r="Q164" s="1686"/>
      <c r="R164" s="1674" t="str">
        <f>'Statement of Marks'!$Y$3</f>
        <v>अंग्रेजी</v>
      </c>
      <c r="S164" s="1675"/>
      <c r="T164" s="26">
        <f>IFERROR(VLOOKUP(AB158,'Statement of Marks'!$B$7:'Statement of Marks'!$IC$206,24,0),"")</f>
        <v>8</v>
      </c>
      <c r="U164" s="26">
        <f>IFERROR(VLOOKUP(AB158,'Statement of Marks'!$B$7:'Statement of Marks'!$IC$206,25,0),"")</f>
        <v>9</v>
      </c>
      <c r="V164" s="26">
        <f>IFERROR(VLOOKUP(AB158,'Statement of Marks'!$B$7:'Statement of Marks'!$IC$206,26,0),"")</f>
        <v>9</v>
      </c>
      <c r="W164" s="26">
        <f>IFERROR(VLOOKUP(AB158,'Statement of Marks'!$B$7:'Statement of Marks'!$IC$206,27,0),"")</f>
        <v>26</v>
      </c>
      <c r="X164" s="26">
        <f>IFERROR(VLOOKUP(AB158,'Statement of Marks'!$B$7:'Statement of Marks'!$IC$206,28,0),"")</f>
        <v>60</v>
      </c>
      <c r="Y164" s="26"/>
      <c r="Z164" s="347">
        <f>IF(AB158="","",IF(AND(X164="",Y164=""),"",SUM(X164,Y164)))</f>
        <v>60</v>
      </c>
      <c r="AA164" s="679">
        <f>IFERROR(IF(AB158="","",IF(AND(W164="",Z164=""),"",SUM(W164,Z164))),"")</f>
        <v>86</v>
      </c>
      <c r="AB164" s="26">
        <f>IFERROR(VLOOKUP(AB158,'Statement of Marks'!$B$7:'Statement of Marks'!$IC$206,30,0),"")</f>
        <v>85</v>
      </c>
      <c r="AC164" s="26"/>
      <c r="AD164" s="347">
        <f>IF(AB158="","",IF(AND(AB164="",AC164=""),"",SUM(AB164,AC164)))</f>
        <v>85</v>
      </c>
      <c r="AE164" s="674">
        <f>IFERROR(VLOOKUP(AB158,'Statement of Marks'!$B$7:'Statement of Marks'!$IC$206,31,0),"")</f>
        <v>171</v>
      </c>
      <c r="AF164" s="680" t="str">
        <f>IFERROR(IF(AE163="","",IF(VLOOKUP(AB158,'Statement of Marks'!$B$7:'Statement of Marks'!$IC$206,198,0)="D","I",IF(VLOOKUP(AB158,'Statement of Marks'!$B$7:'Statement of Marks'!$IC$206,198,0)="G1","G",IF(VLOOKUP(AB158,'Statement of Marks'!$B$7:'Statement of Marks'!$IC$206,198,0)="G2","G",VLOOKUP(AB158,'Statement of Marks'!$B$7:'Statement of Marks'!$IC$206,198,0))))),"")</f>
        <v>I</v>
      </c>
      <c r="AV164"/>
      <c r="AW164"/>
      <c r="AX164"/>
      <c r="BA164"/>
      <c r="BB164"/>
      <c r="BC164"/>
    </row>
    <row r="165" spans="1:55" s="351" customFormat="1" ht="22.5" customHeight="1">
      <c r="A165" s="33">
        <f>IF(L158="","",A164+1)</f>
        <v>15</v>
      </c>
      <c r="B165" s="1674" t="str">
        <f>IFERROR(VLOOKUP(L158,'Statement of Marks'!$B$7:'Statement of Marks'!$IC$206,38,0),"")</f>
        <v>संस्कृत (71)</v>
      </c>
      <c r="C165" s="1675"/>
      <c r="D165" s="26">
        <f>IFERROR(VLOOKUP(L158,'Statement of Marks'!$B$7:'Statement of Marks'!$IC$206,39,0),"")</f>
        <v>8</v>
      </c>
      <c r="E165" s="26">
        <f>IFERROR(VLOOKUP(L158,'Statement of Marks'!$B$7:'Statement of Marks'!$IC$206,40,0),"")</f>
        <v>9</v>
      </c>
      <c r="F165" s="26">
        <f>IFERROR(VLOOKUP(L158,'Statement of Marks'!$B$7:'Statement of Marks'!$IC$206,41,0),"")</f>
        <v>7</v>
      </c>
      <c r="G165" s="26">
        <f>IFERROR(VLOOKUP(L158,'Statement of Marks'!$B$7:'Statement of Marks'!$IC$206,42,0),"")</f>
        <v>24</v>
      </c>
      <c r="H165" s="26">
        <f>IFERROR(VLOOKUP(L158,'Statement of Marks'!$B$7:'Statement of Marks'!$IC$206,43,0),"")</f>
        <v>46</v>
      </c>
      <c r="I165" s="26"/>
      <c r="J165" s="347">
        <f>IF(L158="","",IF(AND(H165="",I165=""),"",SUM(H165,I165)))</f>
        <v>46</v>
      </c>
      <c r="K165" s="679">
        <f>IFERROR(IF(L158="","",IF(AND(G165="",J165=""),"",SUM(G165,J165))),"")</f>
        <v>70</v>
      </c>
      <c r="L165" s="26">
        <f>IFERROR(VLOOKUP(L158,'Statement of Marks'!$B$7:'Statement of Marks'!$IC$206,45,0),"")</f>
        <v>45</v>
      </c>
      <c r="M165" s="26"/>
      <c r="N165" s="347">
        <f>IF(L158="","",IF(AND(L165="",M165=""),"",SUM(L165,M165)))</f>
        <v>45</v>
      </c>
      <c r="O165" s="674">
        <f>IFERROR(VLOOKUP(L158,'Statement of Marks'!$B$7:'Statement of Marks'!$IC$206,46,0),"")</f>
        <v>115</v>
      </c>
      <c r="P165" s="680" t="str">
        <f>IFERROR(IF(O163="","",IF(VLOOKUP(L158,'Statement of Marks'!$B$7:'Statement of Marks'!$IC$206,201,0)="D","I",IF(VLOOKUP(L158,'Statement of Marks'!$B$7:'Statement of Marks'!$IC$206,201,0)="G1","G",IF(VLOOKUP(L158,'Statement of Marks'!$B$7:'Statement of Marks'!$IC$206,201,0)="G2","G",VLOOKUP(L158,'Statement of Marks'!$B$7:'Statement of Marks'!$IC$206,201,0))))),"")</f>
        <v>II</v>
      </c>
      <c r="Q165" s="1686"/>
      <c r="R165" s="1674" t="str">
        <f>IFERROR(VLOOKUP(AB158,'Statement of Marks'!$B$7:'Statement of Marks'!$IC$206,38,0),"")</f>
        <v>संस्कृत (71)</v>
      </c>
      <c r="S165" s="1675"/>
      <c r="T165" s="26">
        <f>IFERROR(VLOOKUP(AB158,'Statement of Marks'!$B$7:'Statement of Marks'!$IC$206,39,0),"")</f>
        <v>8</v>
      </c>
      <c r="U165" s="26">
        <f>IFERROR(VLOOKUP(AB158,'Statement of Marks'!$B$7:'Statement of Marks'!$IC$206,40,0),"")</f>
        <v>9</v>
      </c>
      <c r="V165" s="26">
        <f>IFERROR(VLOOKUP(AB158,'Statement of Marks'!$B$7:'Statement of Marks'!$IC$206,41,0),"")</f>
        <v>7</v>
      </c>
      <c r="W165" s="26">
        <f>IFERROR(VLOOKUP(AB158,'Statement of Marks'!$B$7:'Statement of Marks'!$IC$206,42,0),"")</f>
        <v>24</v>
      </c>
      <c r="X165" s="26">
        <f>IFERROR(VLOOKUP(AB158,'Statement of Marks'!$B$7:'Statement of Marks'!$IC$206,43,0),"")</f>
        <v>46</v>
      </c>
      <c r="Y165" s="26"/>
      <c r="Z165" s="347">
        <f>IF(AB158="","",IF(AND(X165="",Y165=""),"",SUM(X165,Y165)))</f>
        <v>46</v>
      </c>
      <c r="AA165" s="679">
        <f>IFERROR(IF(AB158="","",IF(AND(W165="",Z165=""),"",SUM(W165,Z165))),"")</f>
        <v>70</v>
      </c>
      <c r="AB165" s="26">
        <f>IFERROR(VLOOKUP(AB158,'Statement of Marks'!$B$7:'Statement of Marks'!$IC$206,45,0),"")</f>
        <v>45</v>
      </c>
      <c r="AC165" s="26"/>
      <c r="AD165" s="347">
        <f>IF(AB158="","",IF(AND(AB165="",AC165=""),"",SUM(AB165,AC165)))</f>
        <v>45</v>
      </c>
      <c r="AE165" s="674">
        <f>IFERROR(VLOOKUP(AB158,'Statement of Marks'!$B$7:'Statement of Marks'!$IC$206,46,0),"")</f>
        <v>115</v>
      </c>
      <c r="AF165" s="680" t="str">
        <f>IFERROR(IF(AE163="","",IF(VLOOKUP(AB158,'Statement of Marks'!$B$7:'Statement of Marks'!$IC$206,201,0)="D","I",IF(VLOOKUP(AB158,'Statement of Marks'!$B$7:'Statement of Marks'!$IC$206,201,0)="G1","G",IF(VLOOKUP(AB158,'Statement of Marks'!$B$7:'Statement of Marks'!$IC$206,201,0)="G2","G",VLOOKUP(AB158,'Statement of Marks'!$B$7:'Statement of Marks'!$IC$206,201,0))))),"")</f>
        <v>II</v>
      </c>
      <c r="AV165"/>
      <c r="AW165"/>
      <c r="AX165"/>
      <c r="BA165"/>
      <c r="BB165"/>
      <c r="BC165"/>
    </row>
    <row r="166" spans="1:55" s="351" customFormat="1" ht="22.5" customHeight="1">
      <c r="A166" s="33">
        <f>IF(L158="","",A165+1)</f>
        <v>16</v>
      </c>
      <c r="B166" s="1674" t="str">
        <f>'Statement of Marks'!$BB$3</f>
        <v>गणित</v>
      </c>
      <c r="C166" s="1675"/>
      <c r="D166" s="26">
        <f>IFERROR(VLOOKUP(L158,'Statement of Marks'!$B$7:'Statement of Marks'!$IC$206,53,0),"")</f>
        <v>8</v>
      </c>
      <c r="E166" s="26">
        <f>IFERROR(VLOOKUP(L158,'Statement of Marks'!$B$7:'Statement of Marks'!$IC$206,54,0),"")</f>
        <v>9</v>
      </c>
      <c r="F166" s="26">
        <f>IFERROR(VLOOKUP(L158,'Statement of Marks'!$B$7:'Statement of Marks'!$IC$206,55,0),"")</f>
        <v>10</v>
      </c>
      <c r="G166" s="26">
        <f>IFERROR(VLOOKUP(L158,'Statement of Marks'!$B$7:'Statement of Marks'!$IC$206,56,0),"")</f>
        <v>27</v>
      </c>
      <c r="H166" s="26">
        <f>IFERROR(VLOOKUP(L158,'Statement of Marks'!$B$7:'Statement of Marks'!$IC$206,57,0),"")</f>
        <v>46</v>
      </c>
      <c r="I166" s="26"/>
      <c r="J166" s="347">
        <f>IF(L158="","",IF(AND(H166="",I166=""),"",SUM(H166,I166)))</f>
        <v>46</v>
      </c>
      <c r="K166" s="679">
        <f>IFERROR(IF(L158="","",IF(AND(G166="",J166=""),"",SUM(G166,J166))),"")</f>
        <v>73</v>
      </c>
      <c r="L166" s="26">
        <f>IFERROR(VLOOKUP(L158,'Statement of Marks'!$B$7:'Statement of Marks'!$IC$206,59,0),"")</f>
        <v>45</v>
      </c>
      <c r="M166" s="26"/>
      <c r="N166" s="347">
        <f>IF(L158="","",IF(AND(L166="",M166=""),"",SUM(L166,M166)))</f>
        <v>45</v>
      </c>
      <c r="O166" s="674">
        <f>IFERROR(VLOOKUP(L158,'Statement of Marks'!$B$7:'Statement of Marks'!$IC$206,60,0),"")</f>
        <v>118</v>
      </c>
      <c r="P166" s="680" t="str">
        <f>IFERROR(IF(O163="","",IF(VLOOKUP(L158,'Statement of Marks'!$B$7:'Statement of Marks'!$IC$206,209,0)="D","I",IF(VLOOKUP(L158,'Statement of Marks'!$B$7:'Statement of Marks'!$IC$206,209,0)="G1","G",IF(VLOOKUP(L158,'Statement of Marks'!$B$7:'Statement of Marks'!$IC$206,209,0)="G2","G",VLOOKUP(L158,'Statement of Marks'!$B$7:'Statement of Marks'!$IC$206,209,0))))),"")</f>
        <v>II</v>
      </c>
      <c r="Q166" s="1686"/>
      <c r="R166" s="1674" t="str">
        <f>'Statement of Marks'!$BB$3</f>
        <v>गणित</v>
      </c>
      <c r="S166" s="1675"/>
      <c r="T166" s="26">
        <f>IFERROR(VLOOKUP(AB158,'Statement of Marks'!$B$7:'Statement of Marks'!$IC$206,53,0),"")</f>
        <v>8</v>
      </c>
      <c r="U166" s="26">
        <f>IFERROR(VLOOKUP(AB158,'Statement of Marks'!$B$7:'Statement of Marks'!$IC$206,54,0),"")</f>
        <v>9</v>
      </c>
      <c r="V166" s="26">
        <f>IFERROR(VLOOKUP(AB158,'Statement of Marks'!$B$7:'Statement of Marks'!$IC$206,55,0),"")</f>
        <v>10</v>
      </c>
      <c r="W166" s="26">
        <f>IFERROR(VLOOKUP(AB158,'Statement of Marks'!$B$7:'Statement of Marks'!$IC$206,56,0),"")</f>
        <v>27</v>
      </c>
      <c r="X166" s="26">
        <f>IFERROR(VLOOKUP(AB158,'Statement of Marks'!$B$7:'Statement of Marks'!$IC$206,57,0),"")</f>
        <v>20</v>
      </c>
      <c r="Y166" s="26"/>
      <c r="Z166" s="347">
        <f>IF(AB158="","",IF(AND(X166="",Y166=""),"",SUM(X166,Y166)))</f>
        <v>20</v>
      </c>
      <c r="AA166" s="679">
        <f>IFERROR(IF(AB158="","",IF(AND(W166="",Z166=""),"",SUM(W166,Z166))),"")</f>
        <v>47</v>
      </c>
      <c r="AB166" s="26">
        <f>IFERROR(VLOOKUP(AB158,'Statement of Marks'!$B$7:'Statement of Marks'!$IC$206,59,0),"")</f>
        <v>21</v>
      </c>
      <c r="AC166" s="26"/>
      <c r="AD166" s="347">
        <f>IF(AB158="","",IF(AND(AB166="",AC166=""),"",SUM(AB166,AC166)))</f>
        <v>21</v>
      </c>
      <c r="AE166" s="674">
        <f>IFERROR(VLOOKUP(AB158,'Statement of Marks'!$B$7:'Statement of Marks'!$IC$206,60,0),"")</f>
        <v>68</v>
      </c>
      <c r="AF166" s="680" t="str">
        <f>IFERROR(IF(AE163="","",IF(VLOOKUP(AB158,'Statement of Marks'!$B$7:'Statement of Marks'!$IC$206,209,0)="D","I",IF(VLOOKUP(AB158,'Statement of Marks'!$B$7:'Statement of Marks'!$IC$206,209,0)="G1","G",IF(VLOOKUP(AB158,'Statement of Marks'!$B$7:'Statement of Marks'!$IC$206,209,0)="G2","G",VLOOKUP(AB158,'Statement of Marks'!$B$7:'Statement of Marks'!$IC$206,209,0))))),"")</f>
        <v>G</v>
      </c>
      <c r="AV166"/>
      <c r="AW166"/>
      <c r="AX166"/>
      <c r="BA166"/>
      <c r="BB166"/>
      <c r="BC166"/>
    </row>
    <row r="167" spans="1:55" s="351" customFormat="1" ht="22.5" customHeight="1">
      <c r="A167" s="33">
        <f>IF(L158="","",A166+1)</f>
        <v>17</v>
      </c>
      <c r="B167" s="1661" t="str">
        <f>'Statement of Marks'!$BP$3</f>
        <v>विज्ञान</v>
      </c>
      <c r="C167" s="1662"/>
      <c r="D167" s="26">
        <f>IFERROR(VLOOKUP(L158,'Statement of Marks'!$B$7:'Statement of Marks'!$IC$206,67,0),"")</f>
        <v>8</v>
      </c>
      <c r="E167" s="26">
        <f>IFERROR(VLOOKUP(L158,'Statement of Marks'!$B$7:'Statement of Marks'!$IC$206,68,0),"")</f>
        <v>9</v>
      </c>
      <c r="F167" s="26">
        <f>IFERROR(VLOOKUP(L158,'Statement of Marks'!$B$7:'Statement of Marks'!$IC$206,69,0),"")</f>
        <v>7</v>
      </c>
      <c r="G167" s="26">
        <f>IFERROR(VLOOKUP(L158,'Statement of Marks'!$B$7:'Statement of Marks'!$IC$206,70,0),"")</f>
        <v>24</v>
      </c>
      <c r="H167" s="26">
        <f>IFERROR(VLOOKUP(L158,'Statement of Marks'!$B$7:'Statement of Marks'!$IC$206,71,0),"")</f>
        <v>46</v>
      </c>
      <c r="I167" s="26"/>
      <c r="J167" s="347">
        <f>IF(L158="","",IF(AND(H167="",I167=""),"",SUM(H167,I167)))</f>
        <v>46</v>
      </c>
      <c r="K167" s="679">
        <f>IFERROR(IF(L158="","",IF(AND(G167="",J167=""),"",SUM(G167,J167))),"")</f>
        <v>70</v>
      </c>
      <c r="L167" s="26">
        <f>IFERROR(VLOOKUP(L158,'Statement of Marks'!$B$7:'Statement of Marks'!$IC$206,73,0),"")</f>
        <v>45</v>
      </c>
      <c r="M167" s="26"/>
      <c r="N167" s="347">
        <f>IF(L158="","",IF(AND(L167="",M167=""),"",SUM(L167,M167)))</f>
        <v>45</v>
      </c>
      <c r="O167" s="674">
        <f>IFERROR(VLOOKUP(L158,'Statement of Marks'!$B$7:'Statement of Marks'!$IC$206,74,0),"")</f>
        <v>115</v>
      </c>
      <c r="P167" s="680" t="str">
        <f>IFERROR(IF(O163="","",IF(VLOOKUP(L158,'Statement of Marks'!$B$7:'Statement of Marks'!$IC$206,212,0)="D","I",IF(VLOOKUP(L158,'Statement of Marks'!$B$7:'Statement of Marks'!$IC$206,212,0)="G1","G",IF(VLOOKUP(L158,'Statement of Marks'!$B$7:'Statement of Marks'!$IC$206,212,0)="G2","G",VLOOKUP(L158,'Statement of Marks'!$B$7:'Statement of Marks'!$IC$206,212,0))))),"")</f>
        <v>II</v>
      </c>
      <c r="Q167" s="1686"/>
      <c r="R167" s="1661" t="str">
        <f>'Statement of Marks'!$BP$3</f>
        <v>विज्ञान</v>
      </c>
      <c r="S167" s="1662"/>
      <c r="T167" s="26">
        <f>IFERROR(VLOOKUP(AB158,'Statement of Marks'!$B$7:'Statement of Marks'!$IC$206,67,0),"")</f>
        <v>8</v>
      </c>
      <c r="U167" s="26">
        <f>IFERROR(VLOOKUP(AB158,'Statement of Marks'!$B$7:'Statement of Marks'!$IC$206,68,0),"")</f>
        <v>9</v>
      </c>
      <c r="V167" s="26">
        <f>IFERROR(VLOOKUP(AB158,'Statement of Marks'!$B$7:'Statement of Marks'!$IC$206,69,0),"")</f>
        <v>7</v>
      </c>
      <c r="W167" s="26">
        <f>IFERROR(VLOOKUP(AB158,'Statement of Marks'!$B$7:'Statement of Marks'!$IC$206,70,0),"")</f>
        <v>24</v>
      </c>
      <c r="X167" s="26">
        <f>IFERROR(VLOOKUP(AB158,'Statement of Marks'!$B$7:'Statement of Marks'!$IC$206,71,0),"")</f>
        <v>46</v>
      </c>
      <c r="Y167" s="26"/>
      <c r="Z167" s="347">
        <f>IF(AB158="","",IF(AND(X167="",Y167=""),"",SUM(X167,Y167)))</f>
        <v>46</v>
      </c>
      <c r="AA167" s="679">
        <f>IFERROR(IF(AB158="","",IF(AND(W167="",Z167=""),"",SUM(W167,Z167))),"")</f>
        <v>70</v>
      </c>
      <c r="AB167" s="26">
        <f>IFERROR(VLOOKUP(AB158,'Statement of Marks'!$B$7:'Statement of Marks'!$IC$206,73,0),"")</f>
        <v>45</v>
      </c>
      <c r="AC167" s="26"/>
      <c r="AD167" s="347">
        <f>IF(AB158="","",IF(AND(AB167="",AC167=""),"",SUM(AB167,AC167)))</f>
        <v>45</v>
      </c>
      <c r="AE167" s="674">
        <f>IFERROR(VLOOKUP(AB158,'Statement of Marks'!$B$7:'Statement of Marks'!$IC$206,74,0),"")</f>
        <v>115</v>
      </c>
      <c r="AF167" s="680" t="str">
        <f>IFERROR(IF(AE163="","",IF(VLOOKUP(AB158,'Statement of Marks'!$B$7:'Statement of Marks'!$IC$206,212,0)="D","I",IF(VLOOKUP(AB158,'Statement of Marks'!$B$7:'Statement of Marks'!$IC$206,212,0)="G1","G",IF(VLOOKUP(AB158,'Statement of Marks'!$B$7:'Statement of Marks'!$IC$206,212,0)="G2","G",VLOOKUP(AB158,'Statement of Marks'!$B$7:'Statement of Marks'!$IC$206,212,0))))),"")</f>
        <v>II</v>
      </c>
      <c r="AV167"/>
      <c r="AW167"/>
      <c r="AX167"/>
      <c r="BA167"/>
      <c r="BB167"/>
      <c r="BC167"/>
    </row>
    <row r="168" spans="1:55" s="351" customFormat="1" ht="22.5" customHeight="1">
      <c r="A168" s="33">
        <f>IF(L158="","",A167+1)</f>
        <v>18</v>
      </c>
      <c r="B168" s="409" t="str">
        <f>'Statement of Marks'!$CE$3</f>
        <v>सामाजिक विज्ञान</v>
      </c>
      <c r="C168" s="412" t="str">
        <f>IF(OR(L158="",O168="",O170=""),"",IF(AND(O168&gt;=O170),"*",""))</f>
        <v/>
      </c>
      <c r="D168" s="26">
        <f>IFERROR(VLOOKUP(L158,'Statement of Marks'!$B$7:'Statement of Marks'!$IC$206,82,0),"")</f>
        <v>8</v>
      </c>
      <c r="E168" s="26">
        <f>IFERROR(VLOOKUP(L158,'Statement of Marks'!$B$7:'Statement of Marks'!$IC$206,83,0),"")</f>
        <v>8</v>
      </c>
      <c r="F168" s="26">
        <f>IFERROR(VLOOKUP(L158,'Statement of Marks'!$B$7:'Statement of Marks'!$IC$206,84,0),"")</f>
        <v>8</v>
      </c>
      <c r="G168" s="26">
        <f>IFERROR(VLOOKUP(L158,'Statement of Marks'!$B$7:'Statement of Marks'!$IC$206,85,0),"")</f>
        <v>24</v>
      </c>
      <c r="H168" s="26">
        <f>IFERROR(VLOOKUP(L158,'Statement of Marks'!$B$7:'Statement of Marks'!$IC$206,86,0),"")</f>
        <v>46</v>
      </c>
      <c r="I168" s="26"/>
      <c r="J168" s="347">
        <f>IF(L158="","",IF(AND(H168="",I168=""),"",SUM(H168,I168)))</f>
        <v>46</v>
      </c>
      <c r="K168" s="679">
        <f>IFERROR(IF(L158="","",IF(AND(G168="",J168=""),"",SUM(G168,J168))),"")</f>
        <v>70</v>
      </c>
      <c r="L168" s="26">
        <f>IFERROR(VLOOKUP(L158,'Statement of Marks'!$B$7:'Statement of Marks'!$IC$206,88,0),"")</f>
        <v>45</v>
      </c>
      <c r="M168" s="26"/>
      <c r="N168" s="347">
        <f>IF(L158="","",IF(AND(L168="",M168=""),"",SUM(L168,M168)))</f>
        <v>45</v>
      </c>
      <c r="O168" s="674">
        <f>IFERROR(VLOOKUP(L158,'Statement of Marks'!$B$7:'Statement of Marks'!$IC$206,89,0),"")</f>
        <v>115</v>
      </c>
      <c r="P168" s="680" t="str">
        <f>IFERROR(IF(O163="","",IF(VLOOKUP(L158,'Statement of Marks'!$B$7:'Statement of Marks'!$IC$206,215,0)="D","I",IF(VLOOKUP(L158,'Statement of Marks'!$B$7:'Statement of Marks'!$IC$206,215,0)="G1","G",IF(VLOOKUP(L158,'Statement of Marks'!$B$7:'Statement of Marks'!$IC$206,215,0)="G2","G",VLOOKUP(L158,'Statement of Marks'!$B$7:'Statement of Marks'!$IC$206,215,0))))),"")</f>
        <v>II</v>
      </c>
      <c r="Q168" s="1686"/>
      <c r="R168" s="409" t="str">
        <f>'Statement of Marks'!$CE$3</f>
        <v>सामाजिक विज्ञान</v>
      </c>
      <c r="S168" s="412" t="str">
        <f>IF(OR(AB158="",AE168="",AE170=""),"",IF(AND(AE168&gt;=AE170),"*",""))</f>
        <v/>
      </c>
      <c r="T168" s="26">
        <f>IFERROR(VLOOKUP(AB158,'Statement of Marks'!$B$7:'Statement of Marks'!$IC$206,82,0),"")</f>
        <v>8</v>
      </c>
      <c r="U168" s="26">
        <f>IFERROR(VLOOKUP(AB158,'Statement of Marks'!$B$7:'Statement of Marks'!$IC$206,83,0),"")</f>
        <v>8</v>
      </c>
      <c r="V168" s="26">
        <f>IFERROR(VLOOKUP(AB158,'Statement of Marks'!$B$7:'Statement of Marks'!$IC$206,84,0),"")</f>
        <v>8</v>
      </c>
      <c r="W168" s="26">
        <f>IFERROR(VLOOKUP(AB158,'Statement of Marks'!$B$7:'Statement of Marks'!$IC$206,85,0),"")</f>
        <v>24</v>
      </c>
      <c r="X168" s="26">
        <f>IFERROR(VLOOKUP(AB158,'Statement of Marks'!$B$7:'Statement of Marks'!$IC$206,86,0),"")</f>
        <v>46</v>
      </c>
      <c r="Y168" s="26"/>
      <c r="Z168" s="347">
        <f>IF(AB158="","",IF(AND(X168="",Y168=""),"",SUM(X168,Y168)))</f>
        <v>46</v>
      </c>
      <c r="AA168" s="679">
        <f>IFERROR(IF(AB158="","",IF(AND(W168="",Z168=""),"",SUM(W168,Z168))),"")</f>
        <v>70</v>
      </c>
      <c r="AB168" s="26">
        <f>IFERROR(VLOOKUP(AB158,'Statement of Marks'!$B$7:'Statement of Marks'!$IC$206,88,0),"")</f>
        <v>45</v>
      </c>
      <c r="AC168" s="26"/>
      <c r="AD168" s="347">
        <f>IF(AB158="","",IF(AND(AB168="",AC168=""),"",SUM(AB168,AC168)))</f>
        <v>45</v>
      </c>
      <c r="AE168" s="674">
        <f>IFERROR(VLOOKUP(AB158,'Statement of Marks'!$B$7:'Statement of Marks'!$IC$206,89,0),"")</f>
        <v>115</v>
      </c>
      <c r="AF168" s="680" t="str">
        <f>IFERROR(IF(AE163="","",IF(VLOOKUP(AB158,'Statement of Marks'!$B$7:'Statement of Marks'!$IC$206,215,0)="D","I",IF(VLOOKUP(AB158,'Statement of Marks'!$B$7:'Statement of Marks'!$IC$206,215,0)="G1","G",IF(VLOOKUP(AB158,'Statement of Marks'!$B$7:'Statement of Marks'!$IC$206,215,0)="G2","G",VLOOKUP(AB158,'Statement of Marks'!$B$7:'Statement of Marks'!$IC$206,215,0))))),"")</f>
        <v>II</v>
      </c>
      <c r="AV168"/>
      <c r="AW168"/>
      <c r="AX168"/>
      <c r="BA168"/>
      <c r="BB168"/>
      <c r="BC168"/>
    </row>
    <row r="169" spans="1:55" s="351" customFormat="1">
      <c r="A169" s="33">
        <f>IF(L158="","",A168+1)</f>
        <v>19</v>
      </c>
      <c r="B169" s="1663" t="str">
        <f>IF('School Profile'!$D$12="Hindi","व्यावसायिक शिक्षा","Vocational Education")</f>
        <v>व्यावसायिक शिक्षा</v>
      </c>
      <c r="C169" s="1664"/>
      <c r="D169" s="1665"/>
      <c r="E169" s="1665"/>
      <c r="F169" s="1665"/>
      <c r="G169" s="1665"/>
      <c r="H169" s="1665"/>
      <c r="I169" s="1665"/>
      <c r="J169" s="1665"/>
      <c r="K169" s="1665"/>
      <c r="L169" s="1665"/>
      <c r="M169" s="1665"/>
      <c r="N169" s="1665"/>
      <c r="O169" s="1665"/>
      <c r="P169" s="1666"/>
      <c r="Q169" s="1686"/>
      <c r="R169" s="1663" t="str">
        <f>IF('School Profile'!$D$12="Hindi","व्यावसायिक शिक्षा","Vocational Education")</f>
        <v>व्यावसायिक शिक्षा</v>
      </c>
      <c r="S169" s="1664"/>
      <c r="T169" s="1665"/>
      <c r="U169" s="1665"/>
      <c r="V169" s="1665"/>
      <c r="W169" s="1665"/>
      <c r="X169" s="1665"/>
      <c r="Y169" s="1665"/>
      <c r="Z169" s="1665"/>
      <c r="AA169" s="1665"/>
      <c r="AB169" s="1665"/>
      <c r="AC169" s="1665"/>
      <c r="AD169" s="1665"/>
      <c r="AE169" s="1665"/>
      <c r="AF169" s="1666"/>
      <c r="AV169"/>
      <c r="AW169"/>
      <c r="AX169"/>
      <c r="BA169"/>
      <c r="BB169"/>
      <c r="BC169"/>
    </row>
    <row r="170" spans="1:55" s="351" customFormat="1" ht="22.5" customHeight="1">
      <c r="A170" s="33">
        <f>IF(L158="","",A169+1)</f>
        <v>20</v>
      </c>
      <c r="B170" s="411" t="str">
        <f>IFERROR(VLOOKUP(L158,'Statement of Marks'!$B$7:'Statement of Marks'!$IC$206,96,0),"")</f>
        <v/>
      </c>
      <c r="C170" s="410" t="str">
        <f>IF(OR(L158="",O168="",O170="",B170=""),"",IF(AND(O170&gt;=O168),"*",""))</f>
        <v/>
      </c>
      <c r="D170" s="397" t="str">
        <f>IFERROR(VLOOKUP(L158,'Statement of Marks'!$B$7:'Statement of Marks'!$IC$206,97,0),"")</f>
        <v/>
      </c>
      <c r="E170" s="26" t="str">
        <f>IFERROR(VLOOKUP(L158,'Statement of Marks'!$B$7:'Statement of Marks'!$IC$206,98,0),"")</f>
        <v/>
      </c>
      <c r="F170" s="26" t="str">
        <f>IFERROR(VLOOKUP(L158,'Statement of Marks'!$B$7:'Statement of Marks'!$IC$206,99,0),"")</f>
        <v/>
      </c>
      <c r="G170" s="26" t="str">
        <f>IFERROR(VLOOKUP(L158,'Statement of Marks'!$B$7:'Statement of Marks'!$IC$206,100,0),"")</f>
        <v/>
      </c>
      <c r="H170" s="27" t="str">
        <f>IFERROR(VLOOKUP(L158,'Statement of Marks'!$B$7:'Statement of Marks'!$IC$206,101,0),"")</f>
        <v/>
      </c>
      <c r="I170" s="27" t="str">
        <f>IFERROR(VLOOKUP(L158,'Statement of Marks'!$B$7:'Statement of Marks'!$IC$206,102,0),"")</f>
        <v/>
      </c>
      <c r="J170" s="347" t="str">
        <f>IFERROR(VLOOKUP(L158,'Statement of Marks'!$B$7:'Statement of Marks'!$IC$206,103,0),"")</f>
        <v/>
      </c>
      <c r="K170" s="679" t="str">
        <f>IFERROR(IF(L158="","",IF(AND(G170="",J170=""),"",SUM(G170,J170))),"")</f>
        <v/>
      </c>
      <c r="L170" s="26" t="str">
        <f>IFERROR(VLOOKUP(L158,'Statement of Marks'!$B$7:'Statement of Marks'!$IC$206,105,0),"")</f>
        <v/>
      </c>
      <c r="M170" s="26" t="str">
        <f>IFERROR(VLOOKUP(L158,'Statement of Marks'!$B$7:'Statement of Marks'!$IC$206,106,0),"")</f>
        <v/>
      </c>
      <c r="N170" s="347" t="str">
        <f>IF(L158="","",IF(AND(L170="",M170=""),"",SUM(L170,M170)))</f>
        <v/>
      </c>
      <c r="O170" s="672" t="str">
        <f>IFERROR(VLOOKUP(L158,'Statement of Marks'!$B$7:'Statement of Marks'!$IC$206,108,0),"")</f>
        <v/>
      </c>
      <c r="P170" s="680" t="str">
        <f>IFERROR(IF(O163="","",IF(VLOOKUP(L158,'Statement of Marks'!$B$7:'Statement of Marks'!$IC$206,218,0)="D","I",IF(VLOOKUP(L158,'Statement of Marks'!$B$7:'Statement of Marks'!$IC$206,218,0)="G1","G",IF(VLOOKUP(L158,'Statement of Marks'!$B$7:'Statement of Marks'!$IC$206,218,0)="G2","G",VLOOKUP(L158,'Statement of Marks'!$B$7:'Statement of Marks'!$IC$206,218,0))))),"")</f>
        <v/>
      </c>
      <c r="Q170" s="1686"/>
      <c r="R170" s="411" t="str">
        <f>IFERROR(VLOOKUP(AB158,'Statement of Marks'!$B$7:'Statement of Marks'!$IC$206,96,0),"")</f>
        <v/>
      </c>
      <c r="S170" s="410" t="str">
        <f>IF(OR(AB158="",AE168="",AE170="",R170=""),"",IF(AND(AE170&gt;=AE168),"*",""))</f>
        <v/>
      </c>
      <c r="T170" s="397" t="str">
        <f>IFERROR(VLOOKUP(AB158,'Statement of Marks'!$B$7:'Statement of Marks'!$IC$206,97,0),"")</f>
        <v/>
      </c>
      <c r="U170" s="26" t="str">
        <f>IFERROR(VLOOKUP(AB158,'Statement of Marks'!$B$7:'Statement of Marks'!$IC$206,98,0),"")</f>
        <v/>
      </c>
      <c r="V170" s="26" t="str">
        <f>IFERROR(VLOOKUP(AB158,'Statement of Marks'!$B$7:'Statement of Marks'!$IC$206,99,0),"")</f>
        <v/>
      </c>
      <c r="W170" s="26" t="str">
        <f>IFERROR(VLOOKUP(AB158,'Statement of Marks'!$B$7:'Statement of Marks'!$IC$206,100,0),"")</f>
        <v/>
      </c>
      <c r="X170" s="27" t="str">
        <f>IFERROR(VLOOKUP(AB158,'Statement of Marks'!$B$7:'Statement of Marks'!$IC$206,101,0),"")</f>
        <v/>
      </c>
      <c r="Y170" s="27" t="str">
        <f>IFERROR(VLOOKUP(AB158,'Statement of Marks'!$B$7:'Statement of Marks'!$IC$206,102,0),"")</f>
        <v/>
      </c>
      <c r="Z170" s="347" t="str">
        <f>IFERROR(VLOOKUP(AB158,'Statement of Marks'!$B$7:'Statement of Marks'!$IC$206,103,0),"")</f>
        <v/>
      </c>
      <c r="AA170" s="679" t="str">
        <f>IFERROR(IF(AB158="","",IF(AND(W170="",Z170=""),"",SUM(W170,Z170))),"")</f>
        <v/>
      </c>
      <c r="AB170" s="26" t="str">
        <f>IFERROR(VLOOKUP(AB158,'Statement of Marks'!$B$7:'Statement of Marks'!$IC$206,105,0),"")</f>
        <v/>
      </c>
      <c r="AC170" s="26" t="str">
        <f>IFERROR(VLOOKUP(AB158,'Statement of Marks'!$B$7:'Statement of Marks'!$IC$206,106,0),"")</f>
        <v/>
      </c>
      <c r="AD170" s="347" t="str">
        <f>IF(AB158="","",IF(AND(AB170="",AC170=""),"",SUM(AB170,AC170)))</f>
        <v/>
      </c>
      <c r="AE170" s="672" t="str">
        <f>IFERROR(VLOOKUP(AB158,'Statement of Marks'!$B$7:'Statement of Marks'!$IC$206,108,0),"")</f>
        <v/>
      </c>
      <c r="AF170" s="680" t="str">
        <f>IFERROR(IF(AE163="","",IF(VLOOKUP(AB158,'Statement of Marks'!$B$7:'Statement of Marks'!$IC$206,218,0)="D","I",IF(VLOOKUP(AB158,'Statement of Marks'!$B$7:'Statement of Marks'!$IC$206,218,0)="G1","G",IF(VLOOKUP(AB158,'Statement of Marks'!$B$7:'Statement of Marks'!$IC$206,218,0)="G2","G",VLOOKUP(AB158,'Statement of Marks'!$B$7:'Statement of Marks'!$IC$206,218,0))))),"")</f>
        <v/>
      </c>
      <c r="AV170"/>
      <c r="AW170"/>
      <c r="AX170"/>
      <c r="BA170"/>
      <c r="BB170"/>
      <c r="BC170"/>
    </row>
    <row r="171" spans="1:55" s="351" customFormat="1" ht="25.5" customHeight="1">
      <c r="A171" s="33">
        <f>IF(L158="","",A170+1)</f>
        <v>21</v>
      </c>
      <c r="B171" s="1667"/>
      <c r="C171" s="1668"/>
      <c r="D171" s="1669"/>
      <c r="E171" s="1669"/>
      <c r="F171" s="1669"/>
      <c r="G171" s="1669"/>
      <c r="H171" s="1669"/>
      <c r="I171" s="1669"/>
      <c r="J171" s="1669"/>
      <c r="K171" s="1669"/>
      <c r="L171" s="1670" t="str">
        <f>IF('School Profile'!$D$12="Hindi","महायोग :","Grand Total :")</f>
        <v>महायोग :</v>
      </c>
      <c r="M171" s="1671"/>
      <c r="N171" s="1671"/>
      <c r="O171" s="1672">
        <f>IF(OR(L158="",C156=""),"",IF(OR(B170="",O170=""),SUM(O163,O164,O165,O166,O167,O168),IF((O168/O162*100)&gt;=(O170/O162*100),SUM(O163:O168),SUM(O163,O164,O165,O166,O167,O170))))</f>
        <v>745</v>
      </c>
      <c r="P171" s="1673"/>
      <c r="Q171" s="1686"/>
      <c r="R171" s="1667"/>
      <c r="S171" s="1668"/>
      <c r="T171" s="1669"/>
      <c r="U171" s="1669"/>
      <c r="V171" s="1669"/>
      <c r="W171" s="1669"/>
      <c r="X171" s="1669"/>
      <c r="Y171" s="1669"/>
      <c r="Z171" s="1669"/>
      <c r="AA171" s="1669"/>
      <c r="AB171" s="1670" t="str">
        <f>IF('School Profile'!$D$12="Hindi","महायोग :","Grand Total :")</f>
        <v>महायोग :</v>
      </c>
      <c r="AC171" s="1671"/>
      <c r="AD171" s="1671"/>
      <c r="AE171" s="1672">
        <f>IF(OR(AB158="",S156=""),"",IF(OR(R170="",AE170=""),SUM(AE163,AE164,AE165,AE166,AE167,AE168),IF((AE168/AE162*100)&gt;=(AE170/AE162*100),SUM(AE163:AE168),SUM(AE163,AE164,AE165,AE166,AE167,AE170))))</f>
        <v>718</v>
      </c>
      <c r="AF171" s="1673"/>
      <c r="AV171"/>
      <c r="AW171"/>
      <c r="AX171"/>
      <c r="BA171"/>
      <c r="BB171"/>
      <c r="BC171"/>
    </row>
    <row r="172" spans="1:55" s="351" customFormat="1" ht="25.5" customHeight="1">
      <c r="A172" s="33">
        <f>IF(L158="","",A171+1)</f>
        <v>22</v>
      </c>
      <c r="B172" s="1647" t="str">
        <f>'Statement of Marks'!$DZ$208</f>
        <v>राजस्थान का स्वंत्रता आन्दोलन व शोर्य परम्परा</v>
      </c>
      <c r="C172" s="1648"/>
      <c r="D172" s="1649" t="s">
        <v>148</v>
      </c>
      <c r="E172" s="1650"/>
      <c r="F172" s="355">
        <f>IFERROR(VLOOKUP(L158,'Statement of Marks'!$B$7:'Statement of Marks'!$IC$206,136,0),"")</f>
        <v>184</v>
      </c>
      <c r="G172" s="356" t="s">
        <v>134</v>
      </c>
      <c r="H172" s="355" t="str">
        <f>IFERROR(VLOOKUP(L158,'Statement of Marks'!$B$7:'Statement of Marks'!$IC$206,137,0),"")</f>
        <v>A</v>
      </c>
      <c r="I172" s="1651" t="str">
        <f>'Statement of Marks'!$EL$208</f>
        <v>सूचना प्रोद्योगिकी की अवधारणा - I</v>
      </c>
      <c r="J172" s="1652"/>
      <c r="K172" s="1652"/>
      <c r="L172" s="1653"/>
      <c r="M172" s="354" t="s">
        <v>148</v>
      </c>
      <c r="N172" s="355">
        <f>IFERROR(VLOOKUP(L158,'Statement of Marks'!$B$7:'Statement of Marks'!$IC$206,152,0),"")</f>
        <v>169</v>
      </c>
      <c r="O172" s="356" t="s">
        <v>134</v>
      </c>
      <c r="P172" s="355" t="str">
        <f>IFERROR(VLOOKUP(L158,'Statement of Marks'!$B$7:'Statement of Marks'!$IC$206,153,0),"")</f>
        <v>A</v>
      </c>
      <c r="Q172" s="1686"/>
      <c r="R172" s="1647" t="str">
        <f>'Statement of Marks'!$DZ$208</f>
        <v>राजस्थान का स्वंत्रता आन्दोलन व शोर्य परम्परा</v>
      </c>
      <c r="S172" s="1648"/>
      <c r="T172" s="1649" t="s">
        <v>148</v>
      </c>
      <c r="U172" s="1650"/>
      <c r="V172" s="355">
        <f>IFERROR(VLOOKUP(AB158,'Statement of Marks'!$B$7:'Statement of Marks'!$IC$206,136,0),"")</f>
        <v>184</v>
      </c>
      <c r="W172" s="356" t="s">
        <v>134</v>
      </c>
      <c r="X172" s="355" t="str">
        <f>IFERROR(VLOOKUP(AB158,'Statement of Marks'!$B$7:'Statement of Marks'!$IC$206,137,0),"")</f>
        <v>A</v>
      </c>
      <c r="Y172" s="1651" t="str">
        <f>'Statement of Marks'!$EL$208</f>
        <v>सूचना प्रोद्योगिकी की अवधारणा - I</v>
      </c>
      <c r="Z172" s="1652"/>
      <c r="AA172" s="1652"/>
      <c r="AB172" s="1653"/>
      <c r="AC172" s="354" t="s">
        <v>148</v>
      </c>
      <c r="AD172" s="355">
        <f>IFERROR(VLOOKUP(AB158,'Statement of Marks'!$B$7:'Statement of Marks'!$IC$206,152,0),"")</f>
        <v>140</v>
      </c>
      <c r="AE172" s="356" t="s">
        <v>134</v>
      </c>
      <c r="AF172" s="355" t="str">
        <f>IFERROR(VLOOKUP(AB158,'Statement of Marks'!$B$7:'Statement of Marks'!$IC$206,153,0),"")</f>
        <v>B</v>
      </c>
      <c r="AV172"/>
      <c r="AW172"/>
      <c r="AX172"/>
      <c r="BA172"/>
      <c r="BB172"/>
      <c r="BC172"/>
    </row>
    <row r="173" spans="1:55" s="351" customFormat="1" ht="25.5" customHeight="1">
      <c r="A173" s="33">
        <f>IF(L158="","",A172+1)</f>
        <v>23</v>
      </c>
      <c r="B173" s="1654" t="str">
        <f>'Statement of Marks'!$FB$208</f>
        <v>स्वा. एवं शा. शिक्षा</v>
      </c>
      <c r="C173" s="1655"/>
      <c r="D173" s="1656" t="s">
        <v>148</v>
      </c>
      <c r="E173" s="1657"/>
      <c r="F173" s="355">
        <f>IFERROR(VLOOKUP(L158,'Statement of Marks'!$B$7:'Statement of Marks'!$IC$206,171,0),"")</f>
        <v>175</v>
      </c>
      <c r="G173" s="356" t="s">
        <v>134</v>
      </c>
      <c r="H173" s="355" t="str">
        <f>IFERROR(VLOOKUP(L158,'Statement of Marks'!$B$7:'Statement of Marks'!$IC$206,172,0),"")</f>
        <v>A</v>
      </c>
      <c r="I173" s="1658" t="str">
        <f>'Statement of Marks'!$FJ$208</f>
        <v>समाजोपयोगी उत्पादन कार्य एवं समाज सेवा</v>
      </c>
      <c r="J173" s="1659"/>
      <c r="K173" s="1659"/>
      <c r="L173" s="1660"/>
      <c r="M173" s="403" t="s">
        <v>148</v>
      </c>
      <c r="N173" s="404">
        <f>IFERROR(VLOOKUP(L158,'Statement of Marks'!$B$7:'Statement of Marks'!$IC$206,179,0),"")</f>
        <v>80</v>
      </c>
      <c r="O173" s="405" t="s">
        <v>134</v>
      </c>
      <c r="P173" s="404" t="str">
        <f>IFERROR(VLOOKUP(L158,'Statement of Marks'!$B$7:'Statement of Marks'!$IC$206,180,0),"")</f>
        <v>B</v>
      </c>
      <c r="Q173" s="1686"/>
      <c r="R173" s="1654" t="str">
        <f>'Statement of Marks'!$FB$208</f>
        <v>स्वा. एवं शा. शिक्षा</v>
      </c>
      <c r="S173" s="1655"/>
      <c r="T173" s="1656" t="s">
        <v>148</v>
      </c>
      <c r="U173" s="1657"/>
      <c r="V173" s="355">
        <f>IFERROR(VLOOKUP(AB158,'Statement of Marks'!$B$7:'Statement of Marks'!$IC$206,171,0),"")</f>
        <v>175</v>
      </c>
      <c r="W173" s="356" t="s">
        <v>134</v>
      </c>
      <c r="X173" s="355" t="str">
        <f>IFERROR(VLOOKUP(AB158,'Statement of Marks'!$B$7:'Statement of Marks'!$IC$206,172,0),"")</f>
        <v>A</v>
      </c>
      <c r="Y173" s="1658" t="str">
        <f>'Statement of Marks'!$FJ$208</f>
        <v>समाजोपयोगी उत्पादन कार्य एवं समाज सेवा</v>
      </c>
      <c r="Z173" s="1659"/>
      <c r="AA173" s="1659"/>
      <c r="AB173" s="1660"/>
      <c r="AC173" s="403" t="s">
        <v>148</v>
      </c>
      <c r="AD173" s="404">
        <f>IFERROR(VLOOKUP(AB158,'Statement of Marks'!$B$7:'Statement of Marks'!$IC$206,179,0),"")</f>
        <v>80</v>
      </c>
      <c r="AE173" s="405" t="s">
        <v>134</v>
      </c>
      <c r="AF173" s="404" t="str">
        <f>IFERROR(VLOOKUP(AB158,'Statement of Marks'!$B$7:'Statement of Marks'!$IC$206,180,0),"")</f>
        <v>B</v>
      </c>
      <c r="AV173"/>
      <c r="AW173"/>
      <c r="AX173"/>
      <c r="BA173"/>
      <c r="BB173"/>
      <c r="BC173"/>
    </row>
    <row r="174" spans="1:55" s="351" customFormat="1" ht="30" customHeight="1">
      <c r="A174" s="33">
        <f>IF(L158="","",A173+1)</f>
        <v>24</v>
      </c>
      <c r="B174" s="1626" t="str">
        <f>'Statement of Marks'!$FU$208</f>
        <v>कला शिक्षा</v>
      </c>
      <c r="C174" s="1627"/>
      <c r="D174" s="1628" t="s">
        <v>148</v>
      </c>
      <c r="E174" s="1629"/>
      <c r="F174" s="404">
        <f>IFERROR(VLOOKUP(L158,'Statement of Marks'!$B$7:'Statement of Marks'!$IC$206,187,0),"")</f>
        <v>79</v>
      </c>
      <c r="G174" s="405" t="s">
        <v>134</v>
      </c>
      <c r="H174" s="355" t="str">
        <f>IFERROR(VLOOKUP(L158,'Statement of Marks'!$B$7:'Statement of Marks'!$IC$206,188,0),"")</f>
        <v>B</v>
      </c>
      <c r="I174" s="1630" t="str">
        <f>IF('School Profile'!$D$12="Hindi","परीक्षा परिणाम घोषित दिनांक :-","Date of Result declaration :-")</f>
        <v>परीक्षा परिणाम घोषित दिनांक :-</v>
      </c>
      <c r="J174" s="1631"/>
      <c r="K174" s="1631"/>
      <c r="L174" s="1632"/>
      <c r="M174" s="1633">
        <f>IF(AND(L158=""),"",IF('School Profile'!$D$11="","",'School Profile'!$D$11))</f>
        <v>46106</v>
      </c>
      <c r="N174" s="1634"/>
      <c r="O174" s="690" t="str">
        <f>IF('School Profile'!$D$12="Hindi","श्रेणी","Division")</f>
        <v>श्रेणी</v>
      </c>
      <c r="P174" s="407" t="str">
        <f>IFERROR(VLOOKUP(L158,'Statement of Marks'!$B$7:'Statement of Marks'!$IC$206,229,0),"")</f>
        <v/>
      </c>
      <c r="Q174" s="1686"/>
      <c r="R174" s="1626" t="str">
        <f>'Statement of Marks'!$FU$208</f>
        <v>कला शिक्षा</v>
      </c>
      <c r="S174" s="1627"/>
      <c r="T174" s="1628" t="s">
        <v>148</v>
      </c>
      <c r="U174" s="1629"/>
      <c r="V174" s="404">
        <f>IFERROR(VLOOKUP(AB158,'Statement of Marks'!$B$7:'Statement of Marks'!$IC$206,187,0),"")</f>
        <v>65</v>
      </c>
      <c r="W174" s="405" t="s">
        <v>134</v>
      </c>
      <c r="X174" s="355" t="str">
        <f>IFERROR(VLOOKUP(AB158,'Statement of Marks'!$B$7:'Statement of Marks'!$IC$206,188,0),"")</f>
        <v>B</v>
      </c>
      <c r="Y174" s="1630" t="str">
        <f>IF('School Profile'!$D$12="Hindi","परीक्षा परिणाम घोषित दिनांक :-","Date of Result declaration :-")</f>
        <v>परीक्षा परिणाम घोषित दिनांक :-</v>
      </c>
      <c r="Z174" s="1631"/>
      <c r="AA174" s="1631"/>
      <c r="AB174" s="1632"/>
      <c r="AC174" s="1633">
        <f>IF(AND(AB158=""),"",IF('School Profile'!$D$11="","",'School Profile'!$D$11))</f>
        <v>46106</v>
      </c>
      <c r="AD174" s="1634"/>
      <c r="AE174" s="690" t="str">
        <f>IF('School Profile'!$D$12="Hindi","श्रेणी","Division")</f>
        <v>श्रेणी</v>
      </c>
      <c r="AF174" s="407" t="str">
        <f>IFERROR(VLOOKUP(AB158,'Statement of Marks'!$B$7:'Statement of Marks'!$IC$206,229,0),"")</f>
        <v>2nd</v>
      </c>
      <c r="AV174"/>
      <c r="AW174"/>
      <c r="AX174"/>
      <c r="BA174"/>
      <c r="BB174"/>
      <c r="BC174"/>
    </row>
    <row r="175" spans="1:55" s="351" customFormat="1" ht="29.25" customHeight="1">
      <c r="A175" s="33">
        <f>IF(L158="","",A174+1)</f>
        <v>25</v>
      </c>
      <c r="B175" s="1635" t="s">
        <v>143</v>
      </c>
      <c r="C175" s="1636"/>
      <c r="D175" s="1637" t="str">
        <f>IFERROR(VLOOKUP(L158,'Statement of Marks'!$B$7:'Statement of Marks'!$IC$206,192,0),"")</f>
        <v/>
      </c>
      <c r="E175" s="1638"/>
      <c r="F175" s="1639" t="s">
        <v>76</v>
      </c>
      <c r="G175" s="1640"/>
      <c r="H175" s="406" t="str">
        <f>IFERROR(VLOOKUP(L158,'Statement of Marks'!$B$7:'Statement of Marks'!$IC$206,193,0),"")</f>
        <v/>
      </c>
      <c r="I175" s="1641" t="s">
        <v>135</v>
      </c>
      <c r="J175" s="1642"/>
      <c r="K175" s="1643" t="str">
        <f>IFERROR(IF(OR(O171="",L158=""),"",VLOOKUP(L158,'Statement of Marks'!$B$7:'Statement of Marks'!$IC$206,230,0)),"")</f>
        <v/>
      </c>
      <c r="L175" s="1644"/>
      <c r="M175" s="1645" t="s">
        <v>144</v>
      </c>
      <c r="N175" s="1646"/>
      <c r="O175" s="1646"/>
      <c r="P175" s="408" t="str">
        <f>IFERROR(VLOOKUP(L158,'Statement of Marks'!$B$7:'Statement of Marks'!$IC$206,231,0),"")</f>
        <v/>
      </c>
      <c r="Q175" s="1686"/>
      <c r="R175" s="1635" t="s">
        <v>143</v>
      </c>
      <c r="S175" s="1636"/>
      <c r="T175" s="1637" t="str">
        <f>IFERROR(VLOOKUP(AB158,'Statement of Marks'!$B$7:'Statement of Marks'!$IC$206,192,0),"")</f>
        <v/>
      </c>
      <c r="U175" s="1638"/>
      <c r="V175" s="1639" t="s">
        <v>76</v>
      </c>
      <c r="W175" s="1640"/>
      <c r="X175" s="406" t="str">
        <f>IFERROR(VLOOKUP(AB158,'Statement of Marks'!$B$7:'Statement of Marks'!$IC$206,193,0),"")</f>
        <v/>
      </c>
      <c r="Y175" s="1641" t="s">
        <v>135</v>
      </c>
      <c r="Z175" s="1642"/>
      <c r="AA175" s="1643">
        <f>IFERROR(IF(OR(AE171="",AB158=""),"",VLOOKUP(AB158,'Statement of Marks'!$B$7:'Statement of Marks'!$IC$206,230,0)),"")</f>
        <v>59.833333333333336</v>
      </c>
      <c r="AB175" s="1644"/>
      <c r="AC175" s="1645" t="s">
        <v>144</v>
      </c>
      <c r="AD175" s="1646"/>
      <c r="AE175" s="1646"/>
      <c r="AF175" s="408">
        <f>IFERROR(VLOOKUP(AB158,'Statement of Marks'!$B$7:'Statement of Marks'!$IC$206,231,0),"")</f>
        <v>14.000000000000078</v>
      </c>
      <c r="AV175"/>
      <c r="AW175"/>
      <c r="AX175"/>
      <c r="BA175"/>
      <c r="BB175"/>
      <c r="BC175"/>
    </row>
    <row r="176" spans="1:55" s="351" customFormat="1" ht="27.75" customHeight="1">
      <c r="A176" s="33">
        <f>IF(L158="","",A175+1)</f>
        <v>26</v>
      </c>
      <c r="B176" s="1616" t="str">
        <f>IF('School Profile'!$D$12="Hindi","मुख्य परीक्षा परिणाम ","Main Exam Result")</f>
        <v xml:space="preserve">मुख्य परीक्षा परिणाम </v>
      </c>
      <c r="C176" s="1616"/>
      <c r="D176" s="1617"/>
      <c r="E176" s="1617"/>
      <c r="F176" s="1617"/>
      <c r="G176" s="1617" t="str">
        <f>IF('School Profile'!$D$12="Hindi","विशेष योग्यता प्राप्त विषय","Subjects Of Dictation Marks")</f>
        <v>विशेष योग्यता प्राप्त विषय</v>
      </c>
      <c r="H176" s="1617"/>
      <c r="I176" s="1617"/>
      <c r="J176" s="1617"/>
      <c r="K176" s="1617"/>
      <c r="L176" s="1618" t="str">
        <f>IF('School Profile'!$D$12="Hindi","पूरक विषय","Supplementary Subject")</f>
        <v>पूरक विषय</v>
      </c>
      <c r="M176" s="1619"/>
      <c r="N176" s="1619"/>
      <c r="O176" s="1619"/>
      <c r="P176" s="1620"/>
      <c r="Q176" s="1686"/>
      <c r="R176" s="1616" t="str">
        <f>IF('School Profile'!$D$12="Hindi","मुख्य परीक्षा परिणाम ","Main Exam Result")</f>
        <v xml:space="preserve">मुख्य परीक्षा परिणाम </v>
      </c>
      <c r="S176" s="1616"/>
      <c r="T176" s="1617"/>
      <c r="U176" s="1617"/>
      <c r="V176" s="1617"/>
      <c r="W176" s="1617" t="str">
        <f>IF('School Profile'!$D$12="Hindi","विशेष योग्यता प्राप्त विषय","Subjects Of Dictation Marks")</f>
        <v>विशेष योग्यता प्राप्त विषय</v>
      </c>
      <c r="X176" s="1617"/>
      <c r="Y176" s="1617"/>
      <c r="Z176" s="1617"/>
      <c r="AA176" s="1617"/>
      <c r="AB176" s="1618" t="str">
        <f>IF('School Profile'!$D$12="Hindi","पूरक विषय","Supplementary Subject")</f>
        <v>पूरक विषय</v>
      </c>
      <c r="AC176" s="1619"/>
      <c r="AD176" s="1619"/>
      <c r="AE176" s="1619"/>
      <c r="AF176" s="1620"/>
      <c r="AV176"/>
      <c r="AW176"/>
      <c r="AX176"/>
      <c r="BA176"/>
      <c r="BB176"/>
      <c r="BC176"/>
    </row>
    <row r="177" spans="1:55" s="351" customFormat="1" ht="42.75" customHeight="1">
      <c r="A177" s="33">
        <f>IF(L158="","",A176+1)</f>
        <v>27</v>
      </c>
      <c r="B177" s="1621" t="str">
        <f>IFERROR(IF(VLOOKUP(L158,'Statement of Marks'!$B$7:'Statement of Marks'!$IC$206,226,0)="By Grace Pass","By Grace Pass and Promoted to Class 10th",IF(VLOOKUP(L158,'Statement of Marks'!$B$7:'Statement of Marks'!$IC$206,226,0)="PASS","PASS  and Promoted to Class 10th",IF(VLOOKUP(L158,'Statement of Marks'!$B$7:'Statement of Marks'!$IC$206,226,0)="SUPPLEMENTARY","Supplementary",IF(VLOOKUP(L158,'Statement of Marks'!$B$7:'Statement of Marks'!$IC$206,226,0)="Re-Exam","RE-EXAM",IF(VLOOKUP(L158,'Statement of Marks'!$B$7:'Statement of Marks'!$IC$206,226,0)="FAIL","FAIL",""))))),"")</f>
        <v>FAIL</v>
      </c>
      <c r="C177" s="1621"/>
      <c r="D177" s="1621"/>
      <c r="E177" s="1621"/>
      <c r="F177" s="1621"/>
      <c r="G177" s="1622" t="str">
        <f>IFERROR(VLOOKUP(L158,'Statement of Marks'!$B$7:'Statement of Marks'!$IC$206,225,0),"")</f>
        <v xml:space="preserve"> अंग्रेजी     </v>
      </c>
      <c r="H177" s="1622"/>
      <c r="I177" s="1622"/>
      <c r="J177" s="1622"/>
      <c r="K177" s="1622"/>
      <c r="L177" s="1623" t="str">
        <f>IFERROR(VLOOKUP(L158,'Statement of Marks'!$B$7:'Statement of Marks'!$IC$206,222,0),"")</f>
        <v xml:space="preserve">      </v>
      </c>
      <c r="M177" s="1624"/>
      <c r="N177" s="1624"/>
      <c r="O177" s="1624"/>
      <c r="P177" s="1625"/>
      <c r="Q177" s="1686"/>
      <c r="R177" s="1621" t="str">
        <f>IFERROR(IF(VLOOKUP(AB158,'Statement of Marks'!$B$7:'Statement of Marks'!$IC$206,226,0)="By Grace Pass","By Grace Pass and Promoted to Class 10th",IF(VLOOKUP(AB158,'Statement of Marks'!$B$7:'Statement of Marks'!$IC$206,226,0)="PASS","PASS  and Promoted to Class 10th",IF(VLOOKUP(AB158,'Statement of Marks'!$B$7:'Statement of Marks'!$IC$206,226,0)="SUPPLEMENTARY","Supplementary",IF(VLOOKUP(AB158,'Statement of Marks'!$B$7:'Statement of Marks'!$IC$206,226,0)="Re-Exam","RE-EXAM",IF(VLOOKUP(AB158,'Statement of Marks'!$B$7:'Statement of Marks'!$IC$206,226,0)="FAIL","FAIL",""))))),"")</f>
        <v>By Grace Pass and Promoted to Class 10th</v>
      </c>
      <c r="S177" s="1621"/>
      <c r="T177" s="1621"/>
      <c r="U177" s="1621"/>
      <c r="V177" s="1621"/>
      <c r="W177" s="1622" t="str">
        <f>IFERROR(VLOOKUP(AB158,'Statement of Marks'!$B$7:'Statement of Marks'!$IC$206,225,0),"")</f>
        <v xml:space="preserve"> अंग्रेजी     </v>
      </c>
      <c r="X177" s="1622"/>
      <c r="Y177" s="1622"/>
      <c r="Z177" s="1622"/>
      <c r="AA177" s="1622"/>
      <c r="AB177" s="1623" t="str">
        <f>IFERROR(VLOOKUP(AB158,'Statement of Marks'!$B$7:'Statement of Marks'!$IC$206,222,0),"")</f>
        <v xml:space="preserve">      </v>
      </c>
      <c r="AC177" s="1624"/>
      <c r="AD177" s="1624"/>
      <c r="AE177" s="1624"/>
      <c r="AF177" s="1625"/>
      <c r="AV177"/>
      <c r="AW177"/>
      <c r="AX177"/>
      <c r="BA177"/>
      <c r="BB177"/>
      <c r="BC177"/>
    </row>
    <row r="178" spans="1:55" s="351" customFormat="1" ht="52.5" customHeight="1">
      <c r="A178" s="33">
        <f>IF(L158="","",A177+1)</f>
        <v>28</v>
      </c>
      <c r="B178" s="1612" t="str">
        <f>IF(AND(L158=""),"",CONCATENATE("(",'School Profile'!$D$18," )"))</f>
        <v>(Yogesh )</v>
      </c>
      <c r="C178" s="1612"/>
      <c r="D178" s="1612"/>
      <c r="E178" s="1612"/>
      <c r="F178" s="1612"/>
      <c r="G178" s="1613" t="str">
        <f>IF(AND(L158=""),"",CONCATENATE("( ",'School Profile'!$D$15," )"))</f>
        <v>( Heeralal Jat )</v>
      </c>
      <c r="H178" s="1613"/>
      <c r="I178" s="1613"/>
      <c r="J178" s="1613"/>
      <c r="K178" s="1614" t="str">
        <f>IF(AND(L158=""),"",CONCATENATE("( ",'School Profile'!$D$14," )"))</f>
        <v>( Dewanand )</v>
      </c>
      <c r="L178" s="1614"/>
      <c r="M178" s="1614"/>
      <c r="N178" s="1614"/>
      <c r="O178" s="1614"/>
      <c r="P178" s="1614"/>
      <c r="Q178" s="1686"/>
      <c r="R178" s="1612" t="str">
        <f>IF(AND(AB158=""),"",CONCATENATE("(",'School Profile'!$D$18," )"))</f>
        <v>(Yogesh )</v>
      </c>
      <c r="S178" s="1612"/>
      <c r="T178" s="1612"/>
      <c r="U178" s="1612"/>
      <c r="V178" s="1612"/>
      <c r="W178" s="1613" t="str">
        <f>IF(AND(AB158=""),"",CONCATENATE("( ",'School Profile'!$D$15," )"))</f>
        <v>( Heeralal Jat )</v>
      </c>
      <c r="X178" s="1613"/>
      <c r="Y178" s="1613"/>
      <c r="Z178" s="1613"/>
      <c r="AA178" s="1614" t="str">
        <f>IF(AND(AB158=""),"",CONCATENATE("( ",'School Profile'!$D$14," )"))</f>
        <v>( Dewanand )</v>
      </c>
      <c r="AB178" s="1614"/>
      <c r="AC178" s="1614"/>
      <c r="AD178" s="1614"/>
      <c r="AE178" s="1614"/>
      <c r="AF178" s="1614"/>
      <c r="AV178"/>
      <c r="AW178"/>
      <c r="AX178"/>
      <c r="BA178"/>
      <c r="BB178"/>
      <c r="BC178"/>
    </row>
    <row r="179" spans="1:55" s="351" customFormat="1" ht="24.75" customHeight="1">
      <c r="A179" s="33">
        <f>IF(L158="","",A178+1)</f>
        <v>29</v>
      </c>
      <c r="B179" s="1615" t="str">
        <f>IF('School Profile'!$D$12="Hindi","हस्ताक्षर कक्षाध्यापक","Signature of the class teacher")</f>
        <v>हस्ताक्षर कक्षाध्यापक</v>
      </c>
      <c r="C179" s="1615"/>
      <c r="D179" s="1615"/>
      <c r="E179" s="1615"/>
      <c r="F179" s="1615"/>
      <c r="G179" s="1615" t="str">
        <f>IF('School Profile'!$D$12="Hindi","हस्ताक्षर परीक्षा प्रभारी","Signature of the exam. Incharge")</f>
        <v>हस्ताक्षर परीक्षा प्रभारी</v>
      </c>
      <c r="H179" s="1615"/>
      <c r="I179" s="1615"/>
      <c r="J179" s="1615"/>
      <c r="K179" s="1615" t="str">
        <f>IF('School Profile'!$D$12="Hindi","हस्ताक्षर मय सील मोहर संस्था प्रधान","Signature &amp; Seal of the Head of the Institution")</f>
        <v>हस्ताक्षर मय सील मोहर संस्था प्रधान</v>
      </c>
      <c r="L179" s="1615"/>
      <c r="M179" s="1615"/>
      <c r="N179" s="1615"/>
      <c r="O179" s="1615"/>
      <c r="P179" s="1615"/>
      <c r="Q179" s="1686"/>
      <c r="R179" s="1615" t="str">
        <f>IF('School Profile'!$D$12="Hindi","हस्ताक्षर कक्षाध्यापक","Signature of the class teacher")</f>
        <v>हस्ताक्षर कक्षाध्यापक</v>
      </c>
      <c r="S179" s="1615"/>
      <c r="T179" s="1615"/>
      <c r="U179" s="1615"/>
      <c r="V179" s="1615"/>
      <c r="W179" s="1615" t="str">
        <f>IF('School Profile'!$D$12="Hindi","हस्ताक्षर परीक्षा प्रभारी","Signature of the exam. Incharge")</f>
        <v>हस्ताक्षर परीक्षा प्रभारी</v>
      </c>
      <c r="X179" s="1615"/>
      <c r="Y179" s="1615"/>
      <c r="Z179" s="1615"/>
      <c r="AA179" s="1615" t="str">
        <f>IF('School Profile'!$D$12="Hindi","हस्ताक्षर मय सील मोहर संस्था प्रधान","Signature &amp; Seal of the Head of the Institution")</f>
        <v>हस्ताक्षर मय सील मोहर संस्था प्रधान</v>
      </c>
      <c r="AB179" s="1615"/>
      <c r="AC179" s="1615"/>
      <c r="AD179" s="1615"/>
      <c r="AE179" s="1615"/>
      <c r="AF179" s="1615"/>
      <c r="AV179"/>
      <c r="AW179"/>
      <c r="AX179"/>
      <c r="BA179"/>
      <c r="BB179"/>
      <c r="BC179"/>
    </row>
    <row r="181" spans="1:55" s="6" customFormat="1" ht="22.5" customHeight="1">
      <c r="A181" s="33">
        <f>IF(L188="","",1)</f>
        <v>1</v>
      </c>
      <c r="B181" s="28"/>
      <c r="C181" s="28"/>
      <c r="D181" s="1557" t="str">
        <f>IF('School Profile'!$D$12="Hindi","वार्षिक रिपोर्ट कार्ड ","Report Card")</f>
        <v xml:space="preserve">वार्षिक रिपोर्ट कार्ड </v>
      </c>
      <c r="E181" s="1557"/>
      <c r="F181" s="1557"/>
      <c r="G181" s="1557"/>
      <c r="H181" s="1557"/>
      <c r="I181" s="1557"/>
      <c r="J181" s="1557"/>
      <c r="K181" s="1557"/>
      <c r="L181" s="1557"/>
      <c r="M181" s="1557"/>
      <c r="N181" s="1557"/>
      <c r="O181" s="349"/>
      <c r="P181" s="349"/>
      <c r="Q181" s="1686" t="s">
        <v>77</v>
      </c>
      <c r="R181" s="28"/>
      <c r="S181" s="28"/>
      <c r="T181" s="1557" t="str">
        <f>IF('School Profile'!$D$12="Hindi","वार्षिक रिपोर्ट कार्ड ","Report Card")</f>
        <v xml:space="preserve">वार्षिक रिपोर्ट कार्ड </v>
      </c>
      <c r="U181" s="1557"/>
      <c r="V181" s="1557"/>
      <c r="W181" s="1557"/>
      <c r="X181" s="1557"/>
      <c r="Y181" s="1557"/>
      <c r="Z181" s="1557"/>
      <c r="AA181" s="1557"/>
      <c r="AB181" s="1557"/>
      <c r="AC181" s="1557"/>
      <c r="AD181" s="1557"/>
      <c r="AE181" s="349"/>
      <c r="AF181" s="349"/>
      <c r="AV181"/>
      <c r="AW181"/>
      <c r="AX181"/>
      <c r="BA181"/>
      <c r="BB181"/>
      <c r="BC181"/>
    </row>
    <row r="182" spans="1:55" s="6" customFormat="1" ht="22.5" customHeight="1">
      <c r="A182" s="33">
        <f>IF(L188="","",A181+1)</f>
        <v>2</v>
      </c>
      <c r="B182" s="28"/>
      <c r="C182" s="28"/>
      <c r="D182" s="1687" t="str">
        <f>IF('School Profile'!$D$12="Hindi","शिक्षा विभाग, राजस्थान सरकार","Education Department, Rajasthan Government")</f>
        <v>शिक्षा विभाग, राजस्थान सरकार</v>
      </c>
      <c r="E182" s="1687"/>
      <c r="F182" s="1687"/>
      <c r="G182" s="1687"/>
      <c r="H182" s="1687"/>
      <c r="I182" s="1687"/>
      <c r="J182" s="1687"/>
      <c r="K182" s="1687"/>
      <c r="L182" s="1687"/>
      <c r="M182" s="1687"/>
      <c r="N182" s="1687"/>
      <c r="O182" s="349"/>
      <c r="P182" s="349"/>
      <c r="Q182" s="1686"/>
      <c r="R182" s="28"/>
      <c r="S182" s="28"/>
      <c r="T182" s="1687" t="str">
        <f>IF('School Profile'!$D$12="Hindi","शिक्षा विभाग, राजस्थान सरकार","Education Department, Rajasthan Government")</f>
        <v>शिक्षा विभाग, राजस्थान सरकार</v>
      </c>
      <c r="U182" s="1687"/>
      <c r="V182" s="1687"/>
      <c r="W182" s="1687"/>
      <c r="X182" s="1687"/>
      <c r="Y182" s="1687"/>
      <c r="Z182" s="1687"/>
      <c r="AA182" s="1687"/>
      <c r="AB182" s="1687"/>
      <c r="AC182" s="1687"/>
      <c r="AD182" s="1687"/>
      <c r="AE182" s="349"/>
      <c r="AF182" s="349"/>
      <c r="AV182"/>
      <c r="AW182"/>
      <c r="AX182"/>
      <c r="BA182"/>
      <c r="BB182"/>
      <c r="BC182"/>
    </row>
    <row r="183" spans="1:55" s="32" customFormat="1" ht="24.95" customHeight="1">
      <c r="A183" s="34">
        <f>IF(L188="","",A182+1)</f>
        <v>3</v>
      </c>
      <c r="B183" s="1560" t="str">
        <f>IF('School Profile'!$D$12="Hindi",CONCATENATE("विद्यालय का नाम :-","  ",'School Profile'!$D$9),CONCATENATE("School Name :-","  ",'School Profile'!$D$8))</f>
        <v xml:space="preserve">विद्यालय का नाम :-  महात्मा गाँधी राजकीय विद्यालय (अंग्रेजी माध्यम) बर, पाली </v>
      </c>
      <c r="C183" s="1560"/>
      <c r="D183" s="1560"/>
      <c r="E183" s="1560"/>
      <c r="F183" s="1560"/>
      <c r="G183" s="1560"/>
      <c r="H183" s="1560"/>
      <c r="I183" s="1560"/>
      <c r="J183" s="1560"/>
      <c r="K183" s="1560"/>
      <c r="L183" s="1560"/>
      <c r="M183" s="1560"/>
      <c r="N183" s="1560"/>
      <c r="O183" s="1560"/>
      <c r="P183" s="1560"/>
      <c r="Q183" s="1686"/>
      <c r="R183" s="1560" t="str">
        <f>IF('School Profile'!$D$12="Hindi",CONCATENATE("विद्यालय का नाम :-","  ",'School Profile'!$D$9),CONCATENATE("School Name :-","  ",'School Profile'!$D$8))</f>
        <v xml:space="preserve">विद्यालय का नाम :-  महात्मा गाँधी राजकीय विद्यालय (अंग्रेजी माध्यम) बर, पाली </v>
      </c>
      <c r="S183" s="1560"/>
      <c r="T183" s="1560"/>
      <c r="U183" s="1560"/>
      <c r="V183" s="1560"/>
      <c r="W183" s="1560"/>
      <c r="X183" s="1560"/>
      <c r="Y183" s="1560"/>
      <c r="Z183" s="1560"/>
      <c r="AA183" s="1560"/>
      <c r="AB183" s="1560"/>
      <c r="AC183" s="1560"/>
      <c r="AD183" s="1560"/>
      <c r="AE183" s="1560"/>
      <c r="AF183" s="1560"/>
      <c r="AV183"/>
      <c r="AW183"/>
      <c r="AX183"/>
      <c r="BA183"/>
      <c r="BB183"/>
      <c r="BC183"/>
    </row>
    <row r="184" spans="1:55" s="32" customFormat="1" ht="24.95" customHeight="1">
      <c r="A184" s="34">
        <f>IF(L188="","",A183+1)</f>
        <v>4</v>
      </c>
      <c r="B184" s="668"/>
      <c r="C184" s="668"/>
      <c r="D184" s="668"/>
      <c r="E184" s="668"/>
      <c r="F184" s="1688" t="str">
        <f>IF(AND(L188=""),"",IF(AND('School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184" s="1688"/>
      <c r="H184" s="1688"/>
      <c r="I184" s="1688"/>
      <c r="J184" s="1688"/>
      <c r="K184" s="1688"/>
      <c r="L184" s="1688"/>
      <c r="M184" s="1688"/>
      <c r="N184" s="1688"/>
      <c r="O184" s="1688"/>
      <c r="P184" s="668"/>
      <c r="Q184" s="1686"/>
      <c r="R184" s="668"/>
      <c r="S184" s="668"/>
      <c r="T184" s="668"/>
      <c r="U184" s="668"/>
      <c r="V184" s="1688" t="str">
        <f>IF(AND(AB188=""),"",IF(AND('School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184" s="1688"/>
      <c r="X184" s="1688"/>
      <c r="Y184" s="1688"/>
      <c r="Z184" s="1688"/>
      <c r="AA184" s="1688"/>
      <c r="AB184" s="1688"/>
      <c r="AC184" s="1688"/>
      <c r="AD184" s="1688"/>
      <c r="AE184" s="1688"/>
      <c r="AF184" s="668"/>
      <c r="AV184"/>
      <c r="AW184"/>
      <c r="AX184"/>
      <c r="AY184" s="6"/>
      <c r="AZ184" s="6"/>
      <c r="BA184"/>
      <c r="BB184"/>
      <c r="BC184"/>
    </row>
    <row r="185" spans="1:55" s="351" customFormat="1" ht="21" customHeight="1">
      <c r="A185" s="33">
        <f>IF(L188="","",A184+1)</f>
        <v>5</v>
      </c>
      <c r="B185" s="681" t="str">
        <f>IF('School Profile'!$D$12="Hindi","कक्षा  :-","CLASS :- ")</f>
        <v>कक्षा  :-</v>
      </c>
      <c r="C185" s="1691" t="str">
        <f>IF('Statement of Marks'!$E$3="","",'Statement of Marks'!$E$3)</f>
        <v>9th</v>
      </c>
      <c r="D185" s="1691"/>
      <c r="E185" s="820" t="str">
        <f>IFERROR(VLOOKUP(L188,'Statement of Marks'!$B$7:'Statement of Marks'!$IC$206,2,0),"")</f>
        <v>A</v>
      </c>
      <c r="F185" s="820"/>
      <c r="G185" s="820"/>
      <c r="H185" s="820"/>
      <c r="I185" s="1684" t="str">
        <f>IF('School Profile'!$D$12="Hindi","प्रवेशांक :","SR. NO. :")</f>
        <v>प्रवेशांक :</v>
      </c>
      <c r="J185" s="1684"/>
      <c r="K185" s="1684"/>
      <c r="L185" s="1689" t="str">
        <f>IFERROR(VLOOKUP(L188,'Statement of Marks'!$B$7:'Statement of Marks'!$IC$206,3,0),"")</f>
        <v/>
      </c>
      <c r="M185" s="1689"/>
      <c r="N185" s="1689"/>
      <c r="O185" s="1689"/>
      <c r="P185" s="414"/>
      <c r="Q185" s="1686"/>
      <c r="R185" s="681" t="str">
        <f>IF('School Profile'!$D$12="Hindi","कक्षा  :-","CLASS :- ")</f>
        <v>कक्षा  :-</v>
      </c>
      <c r="S185" s="1691" t="str">
        <f>IF('Statement of Marks'!$E$3="","",'Statement of Marks'!$E$3)</f>
        <v>9th</v>
      </c>
      <c r="T185" s="1691"/>
      <c r="U185" s="820" t="str">
        <f>IFERROR(VLOOKUP(AB188,'Statement of Marks'!$B$7:'Statement of Marks'!$IC$206,2,0),"")</f>
        <v>A</v>
      </c>
      <c r="V185" s="820"/>
      <c r="W185" s="820"/>
      <c r="X185" s="820"/>
      <c r="Y185" s="1684" t="str">
        <f>IF('School Profile'!$D$12="Hindi","प्रवेशांक :","SR. NO. :")</f>
        <v>प्रवेशांक :</v>
      </c>
      <c r="Z185" s="1684"/>
      <c r="AA185" s="1684"/>
      <c r="AB185" s="1689" t="str">
        <f>IFERROR(VLOOKUP(AB188,'Statement of Marks'!$B$7:'Statement of Marks'!$IC$206,3,0),"")</f>
        <v/>
      </c>
      <c r="AC185" s="1689"/>
      <c r="AD185" s="1689"/>
      <c r="AE185" s="1689"/>
      <c r="AF185" s="414"/>
      <c r="AV185"/>
      <c r="AW185" s="777" t="str">
        <f>L186</f>
        <v/>
      </c>
      <c r="AX185"/>
      <c r="BA185"/>
      <c r="BB185" s="777" t="str">
        <f>AB186</f>
        <v/>
      </c>
      <c r="BC185"/>
    </row>
    <row r="186" spans="1:55" s="351" customFormat="1" ht="21" customHeight="1">
      <c r="A186" s="33">
        <f>IF(L188="","",A185+1)</f>
        <v>6</v>
      </c>
      <c r="B186" s="683" t="str">
        <f>IF('School Profile'!$D$12="Hindi","विद्यार्थी का नाम :-","Student's Name :-")</f>
        <v>विद्यार्थी का नाम :-</v>
      </c>
      <c r="C186" s="1683" t="str">
        <f>IFERROR(VLOOKUP(L188,'Statement of Marks'!$B$7:'Statement of Marks'!$IC$206,5,0),"")</f>
        <v>VIRU</v>
      </c>
      <c r="D186" s="1683"/>
      <c r="E186" s="1683"/>
      <c r="F186" s="1683"/>
      <c r="G186" s="1683"/>
      <c r="H186" s="1683"/>
      <c r="I186" s="1684" t="str">
        <f>IF('School Profile'!$D$12="Hindi","जन्म तिथि :","Date of Birth :")</f>
        <v>जन्म तिथि :</v>
      </c>
      <c r="J186" s="1684"/>
      <c r="K186" s="1684"/>
      <c r="L186" s="1690" t="str">
        <f>IFERROR(VLOOKUP(L188,'Statement of Marks'!$B$7:'Statement of Marks'!$IC$206,4,0),"")</f>
        <v/>
      </c>
      <c r="M186" s="1690"/>
      <c r="N186" s="1690"/>
      <c r="O186" s="1690"/>
      <c r="P186" s="670"/>
      <c r="Q186" s="1686"/>
      <c r="R186" s="683" t="str">
        <f>IF('School Profile'!$D$12="Hindi","विद्यार्थी का नाम :-","Student's Name :-")</f>
        <v>विद्यार्थी का नाम :-</v>
      </c>
      <c r="S186" s="1683" t="str">
        <f>IFERROR(VLOOKUP(AB188,'Statement of Marks'!$B$7:'Statement of Marks'!$IC$206,5,0),"")</f>
        <v>ANIL</v>
      </c>
      <c r="T186" s="1683"/>
      <c r="U186" s="1683"/>
      <c r="V186" s="1683"/>
      <c r="W186" s="1683"/>
      <c r="X186" s="1683"/>
      <c r="Y186" s="1684" t="str">
        <f>IF('School Profile'!$D$12="Hindi","जन्म तिथि :","Date of Birth :")</f>
        <v>जन्म तिथि :</v>
      </c>
      <c r="Z186" s="1684"/>
      <c r="AA186" s="1684"/>
      <c r="AB186" s="1690" t="str">
        <f>IFERROR(VLOOKUP(AB188,'Statement of Marks'!$B$7:'Statement of Marks'!$IC$206,4,0),"")</f>
        <v/>
      </c>
      <c r="AC186" s="1690"/>
      <c r="AD186" s="1690"/>
      <c r="AE186" s="1690"/>
      <c r="AF186" s="670"/>
      <c r="AV186" t="e">
        <f>YEAR(AW185)</f>
        <v>#VALUE!</v>
      </c>
      <c r="AW186" t="e">
        <f>MONTH(AW185)</f>
        <v>#VALUE!</v>
      </c>
      <c r="AX186" t="e">
        <f>DAY(AW185)</f>
        <v>#VALUE!</v>
      </c>
      <c r="BA186" t="e">
        <f>YEAR(BB185)</f>
        <v>#VALUE!</v>
      </c>
      <c r="BB186" t="e">
        <f>MONTH(BB185)</f>
        <v>#VALUE!</v>
      </c>
      <c r="BC186" t="e">
        <f>DAY(BB185)</f>
        <v>#VALUE!</v>
      </c>
    </row>
    <row r="187" spans="1:55" s="351" customFormat="1" ht="21" customHeight="1">
      <c r="A187" s="33">
        <f>IF(L188="","",A186+1)</f>
        <v>7</v>
      </c>
      <c r="B187" s="683" t="str">
        <f>IF('School Profile'!$D$12="Hindi","पिता का नाम :-","Father's Name :-")</f>
        <v>पिता का नाम :-</v>
      </c>
      <c r="C187" s="1683" t="str">
        <f>IFERROR(VLOOKUP(L188,'Statement of Marks'!$B$7:'Statement of Marks'!$IC$206,6,0),"")</f>
        <v/>
      </c>
      <c r="D187" s="1683"/>
      <c r="E187" s="1683"/>
      <c r="F187" s="1683"/>
      <c r="G187" s="1683"/>
      <c r="H187" s="1683"/>
      <c r="I187" s="1684" t="str">
        <f>IF('School Profile'!$D$12="Hindi","जन्मतिथि शब्दों में :-","Date of Birth in Words :-")</f>
        <v>जन्मतिथि शब्दों में :-</v>
      </c>
      <c r="J187" s="1684"/>
      <c r="K187" s="1684"/>
      <c r="L187" s="1683" t="str">
        <f>IFERROR(IF('School Profile'!$D$12="Hindi",AW188,AW190),"")</f>
        <v/>
      </c>
      <c r="M187" s="1683"/>
      <c r="N187" s="1683"/>
      <c r="O187" s="1683"/>
      <c r="P187" s="670"/>
      <c r="Q187" s="1686"/>
      <c r="R187" s="683" t="str">
        <f>IF('School Profile'!$D$12="Hindi","पिता का नाम :-","Father's Name :-")</f>
        <v>पिता का नाम :-</v>
      </c>
      <c r="S187" s="1683" t="str">
        <f>IFERROR(VLOOKUP(AB188,'Statement of Marks'!$B$7:'Statement of Marks'!$IC$206,6,0),"")</f>
        <v/>
      </c>
      <c r="T187" s="1683"/>
      <c r="U187" s="1683"/>
      <c r="V187" s="1683"/>
      <c r="W187" s="1683"/>
      <c r="X187" s="1683"/>
      <c r="Y187" s="1684" t="str">
        <f>IF('School Profile'!$D$12="Hindi","जन्मतिथि शब्दों में :-","Date of Birth in Words :-")</f>
        <v>जन्मतिथि शब्दों में :-</v>
      </c>
      <c r="Z187" s="1684"/>
      <c r="AA187" s="1684"/>
      <c r="AB187" s="1683" t="str">
        <f>IFERROR(IF('School Profile'!$D$12="Hindi",BB188,BB190),"")</f>
        <v/>
      </c>
      <c r="AC187" s="1683"/>
      <c r="AD187" s="1683"/>
      <c r="AE187" s="1683"/>
      <c r="AF187" s="670"/>
      <c r="AV187" t="e">
        <f>IF(AV186=2000,"दो हजार",IF(AV186=2001,"दो हजार एक",IF(AV186=2002,"दो हजार दो",IF(AV186=2003,"दो हजार तीन",IF(AV186=2004,"दो हजार चार",IF(AV186=2005,"दो हजार पांच",IF(AV186=2006,"दो हजार छः",IF(AV186=2007,"दो हजार सात",IF(AV186=2008,"दो हजार आठ",IF(AV186=2009,"दो हजार नौ",IF(AV186=2010,"दो हजार दस",IF(AV186=2011,"दो हजार ग्यारह",IF(AV186=2012,"दो हजार बारह",IF(AV186=2013,"दो हजार तेरह",IF(AV186=2014,"दो हजार चौदह",IF(AV186=2015,"दो हजार पंद्रह",IF(AV186=2016,"दो हजार सोलह",IF(AV186=2017,"दो हजार सत्रह",IF(AV186=2018,"दो हजार अठारह",IF(AV186=2019,"दो हजार उन्नीस",IF(AV186=2020,"दो हजार बीस",IF(AV186=2021,"दो हजार इक्कीस",IF(AV186=2022,"दो हजार बाइस","")))))))))))))))))))))))</f>
        <v>#VALUE!</v>
      </c>
      <c r="AW187" t="e">
        <f>IF(AW186=1,"जनवरी",IF(AW186=2,"फरवरी",IF(AW186=3,"मार्च",IF(AW186=4,"अप्रैल",IF(AW186=5,"मई",IF(AW186=6,"जून",IF(AW186=7,"जुलाई",IF(AW186=8,"अगस्त",IF(AW186=9,"सितम्बर",IF(AW186=10,"अक्टूबर",IF(AW186=11,"नवम्बर",IF(AW186=12,"दिसम्बर",""))))))))))))</f>
        <v>#VALUE!</v>
      </c>
      <c r="AX187" t="e">
        <f>IF(AX186=1,"एक",IF(AX186=2,"दो",IF(AX186=3,"तीन",IF(AX186=4,"चार",IF(AX186=5,"पांच",IF(AX186=6,"छः",IF(AX186=7,"सात",IF(AX186=8,"आठ",IF(AX186=9,"नौ",IF(AX186=10,"दस",IF(AX186=11,"ग्यारह",IF(AX186=12,"बारह",IF(AX186=13,"तेरह",IF(AX186=14,"चौदह",IF(AX186=15,"पंद्रह",IF(AX186=16,"सोलह",IF(AX186=17,"सत्रह",IF(AX186=18,"अठारह",IF(AX186=19,"उन्नीस",IF(AX186=20,"बीस",IF(AX186=21,"इक्कीस",IF(AX186=22,"बाइस",IF(AX186=23,"तेईस",IF(AX186=24,"चौबीस",IF(AX186=25,"पचीस",IF(AX186=26,"छबीस",IF(AX186=27,"सताईस",IF(AX186=28,"अठाइस",IF(AX186=29,"उन्नतीस",IF(AX186=30,"तीस",IF(AX186=31,"इकतीस","")))))))))))))))))))))))))))))))</f>
        <v>#VALUE!</v>
      </c>
      <c r="BA187" t="e">
        <f>IF(BA186=2000,"दो हजार",IF(BA186=2001,"दो हजार एक",IF(BA186=2002,"दो हजार दो",IF(BA186=2003,"दो हजार तीन",IF(BA186=2004,"दो हजार चार",IF(BA186=2005,"दो हजार पांच",IF(BA186=2006,"दो हजार छः",IF(BA186=2007,"दो हजार सात",IF(BA186=2008,"दो हजार आठ",IF(BA186=2009,"दो हजार नौ",IF(BA186=2010,"दो हजार दस",IF(BA186=2011,"दो हजार ग्यारह",IF(BA186=2012,"दो हजार बारह",IF(BA186=2013,"दो हजार तेरह",IF(BA186=2014,"दो हजार चौदह",IF(BA186=2015,"दो हजार पंद्रह",IF(BA186=2016,"दो हजार सोलह",IF(BA186=2017,"दो हजार सत्रह",IF(BA186=2018,"दो हजार अठारह",IF(BA186=2019,"दो हजार उन्नीस",IF(BA186=2020,"दो हजार बीस",IF(BA186=2021,"दो हजार इक्कीस",IF(BA186=2022,"दो हजार बाइस","")))))))))))))))))))))))</f>
        <v>#VALUE!</v>
      </c>
      <c r="BB187" t="e">
        <f>IF(BB186=1,"जनवरी",IF(BB186=2,"फरवरी",IF(BB186=3,"मार्च",IF(BB186=4,"अप्रैल",IF(BB186=5,"मई",IF(BB186=6,"जून",IF(BB186=7,"जुलाई",IF(BB186=8,"अगस्त",IF(BB186=9,"सितम्बर",IF(BB186=10,"अक्टूबर",IF(BB186=11,"नवम्बर",IF(BB186=12,"दिसम्बर",""))))))))))))</f>
        <v>#VALUE!</v>
      </c>
      <c r="BC187" t="e">
        <f>IF(BC186=1,"एक",IF(BC186=2,"दो",IF(BC186=3,"तीन",IF(BC186=4,"चार",IF(BC186=5,"पांच",IF(BC186=6,"छः",IF(BC186=7,"सात",IF(BC186=8,"आठ",IF(BC186=9,"नौ",IF(BC186=10,"दस",IF(BC186=11,"ग्यारह",IF(BC186=12,"बारह",IF(BC186=13,"तेरह",IF(BC186=14,"चौदह",IF(BC186=15,"पंद्रह",IF(BC186=16,"सोलह",IF(BC186=17,"सत्रह",IF(BC186=18,"अठारह",IF(BC186=19,"उन्नीस",IF(BC186=20,"बीस",IF(BC186=21,"इक्कीस",IF(BC186=22,"बाइस",IF(BC186=23,"तेईस",IF(BC186=24,"चौबीस",IF(BC186=25,"पचीस",IF(BC186=26,"छबीस",IF(BC186=27,"सताईस",IF(BC186=28,"अठाइस",IF(BC186=29,"उन्नतीस",IF(BC186=30,"तीस",IF(BC186=31,"इकतीस","")))))))))))))))))))))))))))))))</f>
        <v>#VALUE!</v>
      </c>
    </row>
    <row r="188" spans="1:55" s="351" customFormat="1" ht="21" customHeight="1">
      <c r="A188" s="33">
        <f>IF(L188="","",A187+1)</f>
        <v>8</v>
      </c>
      <c r="B188" s="681" t="str">
        <f>IF('School Profile'!$D$12="Hindi","माता का नाम :-","Mother's Name :-")</f>
        <v>माता का नाम :-</v>
      </c>
      <c r="C188" s="1683" t="str">
        <f>IFERROR(VLOOKUP(L188,'Statement of Marks'!$B$7:'Statement of Marks'!$IC$206,7,0),"")</f>
        <v/>
      </c>
      <c r="D188" s="1683"/>
      <c r="E188" s="1683"/>
      <c r="F188" s="1683"/>
      <c r="G188" s="1683"/>
      <c r="H188" s="1683"/>
      <c r="I188" s="1684" t="str">
        <f>IF('School Profile'!$D$12="Hindi","रोल नंबर :-","Roll No. :")</f>
        <v>रोल नंबर :-</v>
      </c>
      <c r="J188" s="1684"/>
      <c r="K188" s="1684"/>
      <c r="L188" s="1685">
        <f>IF(AB158="","",IF(AND(AB158+1&gt;$AN$11),"",AB158+1))</f>
        <v>913</v>
      </c>
      <c r="M188" s="1685"/>
      <c r="N188" s="1685"/>
      <c r="Q188" s="1686"/>
      <c r="R188" s="681" t="str">
        <f>IF('School Profile'!$D$12="Hindi","माता का नाम :-","Mother's Name :-")</f>
        <v>माता का नाम :-</v>
      </c>
      <c r="S188" s="1683" t="str">
        <f>IFERROR(VLOOKUP(AB188,'Statement of Marks'!$B$7:'Statement of Marks'!$IC$206,7,0),"")</f>
        <v/>
      </c>
      <c r="T188" s="1683"/>
      <c r="U188" s="1683"/>
      <c r="V188" s="1683"/>
      <c r="W188" s="1683"/>
      <c r="X188" s="1683"/>
      <c r="Y188" s="1684" t="str">
        <f>IF('School Profile'!$D$12="Hindi","रोल नंबर :-","Roll No. :")</f>
        <v>रोल नंबर :-</v>
      </c>
      <c r="Z188" s="1684"/>
      <c r="AA188" s="1684"/>
      <c r="AB188" s="1685">
        <f>IF(L188="","",IF(AND(L188+1&gt;$AN$11),"",L188+1))</f>
        <v>914</v>
      </c>
      <c r="AC188" s="1685"/>
      <c r="AD188" s="1685"/>
      <c r="AV188"/>
      <c r="AW188" t="e">
        <f>CONCATENATE(AX187," ",AW187," ",AV187)</f>
        <v>#VALUE!</v>
      </c>
      <c r="AX188"/>
      <c r="BA188"/>
      <c r="BB188" t="e">
        <f>CONCATENATE(BC187," ",BB187," ",BA187)</f>
        <v>#VALUE!</v>
      </c>
      <c r="BC188"/>
    </row>
    <row r="189" spans="1:55" s="351" customFormat="1" ht="9.75" customHeight="1">
      <c r="A189" s="33">
        <f>IF(L188="","",A188+1)</f>
        <v>9</v>
      </c>
      <c r="B189" s="1676"/>
      <c r="C189" s="1676"/>
      <c r="D189" s="1676"/>
      <c r="E189" s="1676"/>
      <c r="F189" s="1676"/>
      <c r="G189" s="1676"/>
      <c r="H189" s="1676"/>
      <c r="I189" s="1676"/>
      <c r="J189" s="1676"/>
      <c r="K189" s="1676"/>
      <c r="L189" s="1676"/>
      <c r="M189" s="1676"/>
      <c r="N189" s="1676"/>
      <c r="O189" s="1676"/>
      <c r="P189" s="401"/>
      <c r="Q189" s="1686"/>
      <c r="R189" s="1676"/>
      <c r="S189" s="1676"/>
      <c r="T189" s="1676"/>
      <c r="U189" s="1676"/>
      <c r="V189" s="1676"/>
      <c r="W189" s="1676"/>
      <c r="X189" s="1676"/>
      <c r="Y189" s="1676"/>
      <c r="Z189" s="1676"/>
      <c r="AA189" s="1676"/>
      <c r="AB189" s="1676"/>
      <c r="AC189" s="1676"/>
      <c r="AD189" s="1676"/>
      <c r="AE189" s="1676"/>
      <c r="AF189" s="401"/>
      <c r="AV189" t="e">
        <f>IF(AV186=1961,"NINETEEN SIXTY ONE",IF(AV186=1962,"NINETEEN SIXTY TWO",IF(AV186=1963,"NINETEEN SIXTY THREE",IF(AV186=1964,"NINETEEN SIXTY FOUR",IF(AV186=1965,"NINETEEN SIXTY FIVE",IF(AV186=1966,"NINETEEN SIXTY SIX",IF(AV186=1967,"NINETEEN SIXTY SEVEN",IF(AV186=1968,"NINETEEN SIXTY EIGHT",IF(AV186=1969,"NINETEEN SIXTY NINE",IF(AV186=1970,"NINETEEN SEVENTY",IF(AV186=1971,"NINETEEN SEVENTY ONE",IF(AV186=1972,"NINETEEN SEVENTY TWO",IF(AV186=1973,"NINETEEN SEVENTY THREE",IF(AV186=1974,"NINETEEN SEVENTY FOUR",IF(AV186=1975,"NINETEEN SEVENTY FIVE",IF(AV186=1976,"NINETEEN SEVENTY SIX",IF(AV186=1977,"NINETEEN SEVENTY SEVEN",IF(AV186=1978,"NINETEEN SEVENTY EIGHT",IF(AV186=1979,"NINETEEN SEVENTY NINE",IF(AV186=1980,"NINETEEN EIGHTY",IF(AV186=1981,"NINETEEN EIGHTY ONE",IF(AV186=1982,"NINETEEN EIGHTY TWO",IF(AV186=1983,"NINETEEN EIGHTY THREE",IF(AV186=1984,"NINETEEN EIGHTY FOUR",IF(AV186=1985,"NINETEEN EIGHTY FIVE",IF(AV186=1986,"NINETEEN EIGHTY SIX",IF(AV186=1987,"NINETEEN EIGHTY SEVEN",IF(AV186=1988,"NINETEEN EIGHTY EIGHT",IF(AV186=1989,"NINETEEN EIGHTY NINE",IF(AV186=1990,"NINETEEN NINETY",IF(AV186=1991,"NINETEEN NINETY ONE",IF(AV186=1992,"NINETEEN NINETY TWO",IF(AV186=1993,"NINETEEN NINETY THREE",IF(AV186=1994,"NINETEEN NINETY FOUR",IF(AV186=1995,"NINETEEN NINETY FIVE",IF(AV186=1996,"NINETEEN NINETY SIX",IF(AV186=1997,"NINETEEN NINETY SEVEN",IF(AV186=1998,"NINETEEN NINETY EIGHT",IF(AV186=1999,"NINETEEN NINETY NINE",IF(AV186=2000,"TWO THOUSAND",IF(AV186=2001,"TWO THOUSAND ONE",IF(AV186=2002,"TWO THOUSAND TWO",IF(AV186=2003,"TWO THOUSAND THREE",IF(AV186=2004,"TWO THOUSAND FOUR",IF(AV186=2005,"TWO THOUSAND FIVE",IF(AV186=2006,"TWO THOUSAND SIX",IF(AV186=2007,"TWO THOUSAND SEVEN",IF(AV186=2008,"TWO THOUSAND EIGHT",IF(AV186=2009,"TWO THOUSAND NINE",IF(AV186=2010,"TWO THOUSAND TEN",IF(AV186=2011,"TWO THOUSAND ELEVEN",IF(AV186=2012,"TWO THOUSAND TWELVE",IF(AV186=2013,"TWO THOUSAND THIRTEEN",IF(AV186=2014,"TWO THOUSAND FOURTEEN",IF(AV186=2015,"TWO THOUSAND FIFTEEN",IF(AV186=2016,"TWO THOUSAND SIXTEEN",IF(AV186=2017,"TWO THOUSAND SEVENTEEN",IF(AV186=2018,"TWO THOUSAND EIGHTEEN",IF(AV186=2019,"TWO THOUSAND NINETEEN",IF(AV186=2020,"TWO THOUSAND TWENTY",IF(AV186=2021,"TWO THOUSAND TWENTY ONE",IF(AV186=2022,"TWO THOUSAND TWENTY TWO",IF(AV186=2023,"TWO THOUSAND TWENTY THREE",IF(AV186=2024,"TWO THOUSAND TWENTY FOUR",IF(AV186=2025,"TWO THOUSAND TWENTY FIVE","")))))))))))))))))))))))))))))))))))))))))))))))))))))))))))))))))</f>
        <v>#VALUE!</v>
      </c>
      <c r="AW189" t="e">
        <f>IF(AW186=1,"JANUARY",IF(AW186=2,"FEBUARY", IF(AW186=3,"MARCH",IF(AW186=4,"APRIL",IF(AW186=5,"MAY",IF(AW186=6,"JUNE",IF(AW186=7,"JULY",IF(AW186=8,"AUGUST",IF(AW186=9,"SEPTEMBER",IF(AW186=10,"OCTOBER",IF(AW186=11,"NOVEMBER",IF(AW186=12,"DECEMBER",""))))))))))))</f>
        <v>#VALUE!</v>
      </c>
      <c r="AX189" t="e">
        <f>IF(AX186=1,"1ST",IF(AX186=2,"2ND", IF(AX186=3,"3RD",IF(AX186=4,"FOURTH",IF(AX186=5,"FIFTH",IF(AX186=6,"SIXTH",IF(AX186=7,"7TH",IF(AX186=8,"8TH",IF(AX186=9,"9TH",IF(AX186=10,"10TH",IF(AX186=11,"11TH",IF(AX186=12,"12TH",IF(AX186=13,"13TH",IF(AX186=14,"14TH",IF(AX186=15,"FIFTEEN",IF(AX186=16,"SIXTEEN",IF(AX186=17,"SEVENTEEN",IF(AX186=18,"EIGHTEEN",IF(AX186=19,"NINETEEN",IF(AX186=20,"TWENTY",IF(AX186=21,"TWENTY FIRST",IF(AX186=22,"TWENTY SECOND",IF(AX186=23,"TWENTY THIRD",IF(AX186=24,"TWENTY FOURTH",IF(AX186=25,"TWENTY FIFTH",IF(AX186=26,"TWENTY SIX",IF(AX186=27,"TWENTY SEVEN",IF(AX186=28,"TWENTY EIGHT",IF(AX186=29,"TWENTY NINE",IF(AX186=30,"THIRTY",IF(AX186=31,"THIRTY FIRST","")))))))))))))))))))))))))))))))</f>
        <v>#VALUE!</v>
      </c>
      <c r="BA189" t="e">
        <f>IF(BA186=1961,"NINETEEN SIXTY ONE",IF(BA186=1962,"NINETEEN SIXTY TWO",IF(BA186=1963,"NINETEEN SIXTY THREE",IF(BA186=1964,"NINETEEN SIXTY FOUR",IF(BA186=1965,"NINETEEN SIXTY FIVE",IF(BA186=1966,"NINETEEN SIXTY SIX",IF(BA186=1967,"NINETEEN SIXTY SEVEN",IF(BA186=1968,"NINETEEN SIXTY EIGHT",IF(BA186=1969,"NINETEEN SIXTY NINE",IF(BA186=1970,"NINETEEN SEVENTY",IF(BA186=1971,"NINETEEN SEVENTY ONE",IF(BA186=1972,"NINETEEN SEVENTY TWO",IF(BA186=1973,"NINETEEN SEVENTY THREE",IF(BA186=1974,"NINETEEN SEVENTY FOUR",IF(BA186=1975,"NINETEEN SEVENTY FIVE",IF(BA186=1976,"NINETEEN SEVENTY SIX",IF(BA186=1977,"NINETEEN SEVENTY SEVEN",IF(BA186=1978,"NINETEEN SEVENTY EIGHT",IF(BA186=1979,"NINETEEN SEVENTY NINE",IF(BA186=1980,"NINETEEN EIGHTY",IF(BA186=1981,"NINETEEN EIGHTY ONE",IF(BA186=1982,"NINETEEN EIGHTY TWO",IF(BA186=1983,"NINETEEN EIGHTY THREE",IF(BA186=1984,"NINETEEN EIGHTY FOUR",IF(BA186=1985,"NINETEEN EIGHTY FIVE",IF(BA186=1986,"NINETEEN EIGHTY SIX",IF(BA186=1987,"NINETEEN EIGHTY SEVEN",IF(BA186=1988,"NINETEEN EIGHTY EIGHT",IF(BA186=1989,"NINETEEN EIGHTY NINE",IF(BA186=1990,"NINETEEN NINETY",IF(BA186=1991,"NINETEEN NINETY ONE",IF(BA186=1992,"NINETEEN NINETY TWO",IF(BA186=1993,"NINETEEN NINETY THREE",IF(BA186=1994,"NINETEEN NINETY FOUR",IF(BA186=1995,"NINETEEN NINETY FIVE",IF(BA186=1996,"NINETEEN NINETY SIX",IF(BA186=1997,"NINETEEN NINETY SEVEN",IF(BA186=1998,"NINETEEN NINETY EIGHT",IF(BA186=1999,"NINETEEN NINETY NINE",IF(BA186=2000,"TWO THOUSAND",IF(BA186=2001,"TWO THOUSAND ONE",IF(BA186=2002,"TWO THOUSAND TWO",IF(BA186=2003,"TWO THOUSAND THREE",IF(BA186=2004,"TWO THOUSAND FOUR",IF(BA186=2005,"TWO THOUSAND FIVE",IF(BA186=2006,"TWO THOUSAND SIX",IF(BA186=2007,"TWO THOUSAND SEVEN",IF(BA186=2008,"TWO THOUSAND EIGHT",IF(BA186=2009,"TWO THOUSAND NINE",IF(BA186=2010,"TWO THOUSAND TEN",IF(BA186=2011,"TWO THOUSAND ELEVEN",IF(BA186=2012,"TWO THOUSAND TWELVE",IF(BA186=2013,"TWO THOUSAND THIRTEEN",IF(BA186=2014,"TWO THOUSAND FOURTEEN",IF(BA186=2015,"TWO THOUSAND FIFTEEN",IF(BA186=2016,"TWO THOUSAND SIXTEEN",IF(BA186=2017,"TWO THOUSAND SEVENTEEN",IF(BA186=2018,"TWO THOUSAND EIGHTEEN",IF(BA186=2019,"TWO THOUSAND NINETEEN",IF(BA186=2020,"TWO THOUSAND TWENTY",IF(BA186=2021,"TWO THOUSAND TWENTY ONE",IF(BA186=2022,"TWO THOUSAND TWENTY TWO",IF(BA186=2023,"TWO THOUSAND TWENTY THREE",IF(BA186=2024,"TWO THOUSAND TWENTY FOUR",IF(BA186=2025,"TWO THOUSAND TWENTY FIVE","")))))))))))))))))))))))))))))))))))))))))))))))))))))))))))))))))</f>
        <v>#VALUE!</v>
      </c>
      <c r="BB189" t="e">
        <f>IF(BB186=1,"JANUARY",IF(BB186=2,"FEBUARY", IF(BB186=3,"MARCH",IF(BB186=4,"APRIL",IF(BB186=5,"MAY",IF(BB186=6,"JUNE",IF(BB186=7,"JULY",IF(BB186=8,"AUGUST",IF(BB186=9,"SEPTEMBER",IF(BB186=10,"OCTOBER",IF(BB186=11,"NOVEMBER",IF(BB186=12,"DECEMBER",""))))))))))))</f>
        <v>#VALUE!</v>
      </c>
      <c r="BC189" t="e">
        <f>IF(BC186=1,"1ST",IF(BC186=2,"2ND", IF(BC186=3,"3RD",IF(BC186=4,"FOURTH",IF(BC186=5,"FIFTH",IF(BC186=6,"SIXTH",IF(BC186=7,"7TH",IF(BC186=8,"8TH",IF(BC186=9,"9TH",IF(BC186=10,"10TH",IF(BC186=11,"11TH",IF(BC186=12,"12TH",IF(BC186=13,"13TH",IF(BC186=14,"14TH",IF(BC186=15,"FIFTEEN",IF(BC186=16,"SIXTEEN",IF(BC186=17,"SEVENTEEN",IF(BC186=18,"EIGHTEEN",IF(BC186=19,"NINETEEN",IF(BC186=20,"TWENTY",IF(BC186=21,"TWENTY FIRST",IF(BC186=22,"TWENTY SECOND",IF(BC186=23,"TWENTY THIRD",IF(BC186=24,"TWENTY FOURTH",IF(BC186=25,"TWENTY FIFTH",IF(BC186=26,"TWENTY SIX",IF(BC186=27,"TWENTY SEVEN",IF(BC186=28,"TWENTY EIGHT",IF(BC186=29,"TWENTY NINE",IF(BC186=30,"THIRTY",IF(BC186=31,"THIRTY FIRST","")))))))))))))))))))))))))))))))</f>
        <v>#VALUE!</v>
      </c>
    </row>
    <row r="190" spans="1:55" s="351" customFormat="1" ht="26.25" customHeight="1">
      <c r="A190" s="33">
        <f>IF(L188="","",A189+1)</f>
        <v>10</v>
      </c>
      <c r="B190" s="1661" t="str">
        <f>IF('School Profile'!$D$12="Hindi","विषय का नाम","Subject Name")</f>
        <v>विषय का नाम</v>
      </c>
      <c r="C190" s="1662"/>
      <c r="D190" s="1681" t="str">
        <f>IF('School Profile'!$D$12="Hindi","सामयिक परख","Seasonal Exam")</f>
        <v>सामयिक परख</v>
      </c>
      <c r="E190" s="1681"/>
      <c r="F190" s="1681"/>
      <c r="G190" s="1681"/>
      <c r="H190" s="1681" t="str">
        <f>IF('School Profile'!$D$12="Hindi","अर्द्धवार्षिक","Half Yearly")</f>
        <v>अर्द्धवार्षिक</v>
      </c>
      <c r="I190" s="1681"/>
      <c r="J190" s="1681"/>
      <c r="K190" s="1556" t="str">
        <f>IF('School Profile'!$D$12="Hindi","अर्द्ध वा. तक योग","Total Till H.Y.")</f>
        <v>अर्द्ध वा. तक योग</v>
      </c>
      <c r="L190" s="1681" t="str">
        <f>IF('School Profile'!$D$12="Hindi","वार्षिक","Yearly")</f>
        <v>वार्षिक</v>
      </c>
      <c r="M190" s="1681"/>
      <c r="N190" s="1681"/>
      <c r="O190" s="1550" t="str">
        <f>IF('School Profile'!$D$12="Hindi","विषय कुल योग ","Subject Total")</f>
        <v xml:space="preserve">विषय कुल योग </v>
      </c>
      <c r="P190" s="1682" t="str">
        <f>IF('School Profile'!$D$12="Hindi","विषय परिणाम / विषय श्रेणी","Sub. Result /  Sub. Div.")</f>
        <v>विषय परिणाम / विषय श्रेणी</v>
      </c>
      <c r="Q190" s="1686"/>
      <c r="R190" s="1661" t="str">
        <f>IF('School Profile'!$D$12="Hindi","विषय का नाम","Subject Name")</f>
        <v>विषय का नाम</v>
      </c>
      <c r="S190" s="1662"/>
      <c r="T190" s="1681" t="str">
        <f>IF('School Profile'!$D$12="Hindi","सामयिक परख","Seasonal Exam")</f>
        <v>सामयिक परख</v>
      </c>
      <c r="U190" s="1681"/>
      <c r="V190" s="1681"/>
      <c r="W190" s="1681"/>
      <c r="X190" s="1681" t="str">
        <f>IF('School Profile'!$D$12="Hindi","अर्द्धवार्षिक","Half Yearly")</f>
        <v>अर्द्धवार्षिक</v>
      </c>
      <c r="Y190" s="1681"/>
      <c r="Z190" s="1681"/>
      <c r="AA190" s="1556" t="str">
        <f>IF('School Profile'!$D$12="Hindi","अर्द्ध वा. तक योग","Total Till H.Y.")</f>
        <v>अर्द्ध वा. तक योग</v>
      </c>
      <c r="AB190" s="1681" t="str">
        <f>IF('School Profile'!$D$12="Hindi","वार्षिक","Yearly")</f>
        <v>वार्षिक</v>
      </c>
      <c r="AC190" s="1681"/>
      <c r="AD190" s="1681"/>
      <c r="AE190" s="1550" t="str">
        <f>IF('School Profile'!$D$12="Hindi","विषय कुल योग ","Subject Total")</f>
        <v xml:space="preserve">विषय कुल योग </v>
      </c>
      <c r="AF190" s="1682" t="str">
        <f>IF('School Profile'!$D$12="Hindi","विषय परिणाम / विषय श्रेणी","Sub. Result /  Sub. Div.")</f>
        <v>विषय परिणाम / विषय श्रेणी</v>
      </c>
      <c r="AV190"/>
      <c r="AW190" t="e">
        <f>CONCATENATE(AW189," ",AX189,", ",AV189)</f>
        <v>#VALUE!</v>
      </c>
      <c r="AX190"/>
      <c r="BA190"/>
      <c r="BB190" t="e">
        <f>CONCATENATE(BB189," ",BC189,", ",BA189)</f>
        <v>#VALUE!</v>
      </c>
      <c r="BC190"/>
    </row>
    <row r="191" spans="1:55" s="351" customFormat="1" ht="78.75" customHeight="1">
      <c r="A191" s="33">
        <f>IF(L188="","",A190+1)</f>
        <v>11</v>
      </c>
      <c r="B191" s="1677"/>
      <c r="C191" s="1678"/>
      <c r="D191" s="656" t="str">
        <f>IF('School Profile'!$D$12="Hindi","प्रथम परख ","First Test")</f>
        <v xml:space="preserve">प्रथम परख </v>
      </c>
      <c r="E191" s="656" t="str">
        <f>IF('School Profile'!$D$12="Hindi","द्वितीय परख","Second Test")</f>
        <v>द्वितीय परख</v>
      </c>
      <c r="F191" s="656" t="str">
        <f>IF('School Profile'!$D$12="Hindi","तृतीय परख","Third Test")</f>
        <v>तृतीय परख</v>
      </c>
      <c r="G191" s="657" t="str">
        <f>IF('School Profile'!$D$12="Hindi","सा. परख योग","Test Total")</f>
        <v>सा. परख योग</v>
      </c>
      <c r="H191" s="658" t="str">
        <f>IF('School Profile'!$D$12="Hindi","सैद्धान्तिक","Theoretical")</f>
        <v>सैद्धान्तिक</v>
      </c>
      <c r="I191" s="658" t="str">
        <f>IF('School Profile'!$D$12="Hindi","प्रायोगिक","Practical")</f>
        <v>प्रायोगिक</v>
      </c>
      <c r="J191" s="659" t="str">
        <f>IF('School Profile'!$D$12="Hindi","अर्द्धवार्षिक योग","H.Y.  Total")</f>
        <v>अर्द्धवार्षिक योग</v>
      </c>
      <c r="K191" s="1556"/>
      <c r="L191" s="658" t="str">
        <f>IF('School Profile'!$D$12="Hindi","सैद्धान्तिक","Theoretical")</f>
        <v>सैद्धान्तिक</v>
      </c>
      <c r="M191" s="658" t="str">
        <f>IF('School Profile'!$D$12="Hindi","प्रायोगिक","Practical")</f>
        <v>प्रायोगिक</v>
      </c>
      <c r="N191" s="659" t="str">
        <f>IF('School Profile'!$D$12="Hindi","वार्षिक योग","Yearly  Total")</f>
        <v>वार्षिक योग</v>
      </c>
      <c r="O191" s="1550"/>
      <c r="P191" s="1552"/>
      <c r="Q191" s="1686"/>
      <c r="R191" s="1677"/>
      <c r="S191" s="1678"/>
      <c r="T191" s="656" t="str">
        <f>IF('School Profile'!$D$12="Hindi","प्रथम परख ","First Test")</f>
        <v xml:space="preserve">प्रथम परख </v>
      </c>
      <c r="U191" s="656" t="str">
        <f>IF('School Profile'!$D$12="Hindi","द्वितीय परख","Second Test")</f>
        <v>द्वितीय परख</v>
      </c>
      <c r="V191" s="656" t="str">
        <f>IF('School Profile'!$D$12="Hindi","तृतीय परख","Third Test")</f>
        <v>तृतीय परख</v>
      </c>
      <c r="W191" s="657" t="str">
        <f>IF('School Profile'!$D$12="Hindi","सा. परख योग","Test Total")</f>
        <v>सा. परख योग</v>
      </c>
      <c r="X191" s="658" t="str">
        <f>IF('School Profile'!$D$12="Hindi","सैद्धान्तिक","Theoretical")</f>
        <v>सैद्धान्तिक</v>
      </c>
      <c r="Y191" s="658" t="str">
        <f>IF('School Profile'!$D$12="Hindi","प्रायोगिक","Practical")</f>
        <v>प्रायोगिक</v>
      </c>
      <c r="Z191" s="659" t="str">
        <f>IF('School Profile'!$D$12="Hindi","अर्द्धवार्षिक योग","H.Y.  Total")</f>
        <v>अर्द्धवार्षिक योग</v>
      </c>
      <c r="AA191" s="1556"/>
      <c r="AB191" s="658" t="str">
        <f>IF('School Profile'!$D$12="Hindi","सैद्धान्तिक","Theoretical")</f>
        <v>सैद्धान्तिक</v>
      </c>
      <c r="AC191" s="658" t="str">
        <f>IF('School Profile'!$D$12="Hindi","प्रायोगिक","Practical")</f>
        <v>प्रायोगिक</v>
      </c>
      <c r="AD191" s="659" t="str">
        <f>IF('School Profile'!$D$12="Hindi","वार्षिक योग","Yearly  Total")</f>
        <v>वार्षिक योग</v>
      </c>
      <c r="AE191" s="1550"/>
      <c r="AF191" s="1552"/>
      <c r="AV191"/>
      <c r="AW191"/>
      <c r="AX191"/>
      <c r="BA191"/>
      <c r="BB191"/>
      <c r="BC191"/>
    </row>
    <row r="192" spans="1:55" s="353" customFormat="1" ht="21" customHeight="1">
      <c r="A192" s="33">
        <f>IF(L188="","",A191+1)</f>
        <v>12</v>
      </c>
      <c r="B192" s="1679"/>
      <c r="C192" s="1680"/>
      <c r="D192" s="663">
        <v>10</v>
      </c>
      <c r="E192" s="663">
        <v>10</v>
      </c>
      <c r="F192" s="663">
        <v>10</v>
      </c>
      <c r="G192" s="663">
        <v>30</v>
      </c>
      <c r="H192" s="665" t="s">
        <v>251</v>
      </c>
      <c r="I192" s="661">
        <v>35</v>
      </c>
      <c r="J192" s="660">
        <v>70</v>
      </c>
      <c r="K192" s="661">
        <v>100</v>
      </c>
      <c r="L192" s="664" t="s">
        <v>252</v>
      </c>
      <c r="M192" s="663">
        <v>50</v>
      </c>
      <c r="N192" s="660">
        <v>100</v>
      </c>
      <c r="O192" s="662">
        <v>200</v>
      </c>
      <c r="P192" s="1553"/>
      <c r="Q192" s="1686"/>
      <c r="R192" s="1679"/>
      <c r="S192" s="1680"/>
      <c r="T192" s="663">
        <v>10</v>
      </c>
      <c r="U192" s="663">
        <v>10</v>
      </c>
      <c r="V192" s="663">
        <v>10</v>
      </c>
      <c r="W192" s="663">
        <v>30</v>
      </c>
      <c r="X192" s="665" t="s">
        <v>251</v>
      </c>
      <c r="Y192" s="661">
        <v>35</v>
      </c>
      <c r="Z192" s="660">
        <v>70</v>
      </c>
      <c r="AA192" s="661">
        <v>100</v>
      </c>
      <c r="AB192" s="664" t="s">
        <v>252</v>
      </c>
      <c r="AC192" s="663">
        <v>50</v>
      </c>
      <c r="AD192" s="660">
        <v>100</v>
      </c>
      <c r="AE192" s="662">
        <v>200</v>
      </c>
      <c r="AF192" s="1553"/>
      <c r="AV192"/>
      <c r="AW192"/>
      <c r="AX192"/>
      <c r="BA192"/>
      <c r="BB192"/>
      <c r="BC192"/>
    </row>
    <row r="193" spans="1:55" s="351" customFormat="1" ht="22.5" customHeight="1">
      <c r="A193" s="33">
        <f>IF(L188="","",A192+1)</f>
        <v>13</v>
      </c>
      <c r="B193" s="1674" t="str">
        <f>'Statement of Marks'!$K$3</f>
        <v>हिंदी</v>
      </c>
      <c r="C193" s="1675"/>
      <c r="D193" s="26">
        <f>IFERROR(VLOOKUP(L188,'Statement of Marks'!$B$7:'Statement of Marks'!$IC$206,10,0),"")</f>
        <v>8</v>
      </c>
      <c r="E193" s="26">
        <f>IFERROR(VLOOKUP(L188,'Statement of Marks'!$B$7:'Statement of Marks'!$IC$206,11,0),"")</f>
        <v>9</v>
      </c>
      <c r="F193" s="26">
        <f>IFERROR(VLOOKUP(L188,'Statement of Marks'!$B$7:'Statement of Marks'!$IC$206,12,0),"")</f>
        <v>5</v>
      </c>
      <c r="G193" s="26">
        <f>IFERROR(VLOOKUP(L188,'Statement of Marks'!$B$7:'Statement of Marks'!$IC$206,13,0),"")</f>
        <v>22</v>
      </c>
      <c r="H193" s="26" t="str">
        <f>IFERROR(VLOOKUP(L188,'Statement of Marks'!$B$7:'Statement of Marks'!$IC$206,14,0),"")</f>
        <v/>
      </c>
      <c r="I193" s="26"/>
      <c r="J193" s="347" t="str">
        <f>IF(L188="","",IF(AND(H193="",I193=""),"",SUM(H193,I193)))</f>
        <v/>
      </c>
      <c r="K193" s="679">
        <f>IFERROR(IF(L188="","",IF(AND(G193="",J193=""),"",SUM(G193,J193))),"")</f>
        <v>22</v>
      </c>
      <c r="L193" s="26">
        <f>IFERROR(VLOOKUP(L188,'Statement of Marks'!$B$7:'Statement of Marks'!$IC$206,16,0),"")</f>
        <v>65</v>
      </c>
      <c r="M193" s="26"/>
      <c r="N193" s="347">
        <f>IF(L188="","",IF(AND(L193="",M193=""),"",SUM(L193,M193)))</f>
        <v>65</v>
      </c>
      <c r="O193" s="674">
        <f>IFERROR(VLOOKUP(L188,'Statement of Marks'!$B$7:'Statement of Marks'!$IC$206,17,0),"")</f>
        <v>87</v>
      </c>
      <c r="P193" s="680" t="str">
        <f>IFERROR(IF(O193="","",IF(VLOOKUP(L188,'Statement of Marks'!$B$7:'Statement of Marks'!$IC$206,195,0)="D","I",IF(VLOOKUP(L188,'Statement of Marks'!$B$7:'Statement of Marks'!$IC$206,195,0)="G1","G",IF(VLOOKUP(L188,'Statement of Marks'!$B$7:'Statement of Marks'!$IC$206,195,0)="G2","G",VLOOKUP(L188,'Statement of Marks'!$B$7:'Statement of Marks'!$IC$206,195,0))))),"")</f>
        <v>I</v>
      </c>
      <c r="Q193" s="1686"/>
      <c r="R193" s="1674" t="str">
        <f>'Statement of Marks'!$K$3</f>
        <v>हिंदी</v>
      </c>
      <c r="S193" s="1675"/>
      <c r="T193" s="26">
        <f>IFERROR(VLOOKUP(AB188,'Statement of Marks'!$B$7:'Statement of Marks'!$IC$206,10,0),"")</f>
        <v>8</v>
      </c>
      <c r="U193" s="26">
        <f>IFERROR(VLOOKUP(AB188,'Statement of Marks'!$B$7:'Statement of Marks'!$IC$206,11,0),"")</f>
        <v>9</v>
      </c>
      <c r="V193" s="26">
        <f>IFERROR(VLOOKUP(AB188,'Statement of Marks'!$B$7:'Statement of Marks'!$IC$206,12,0),"")</f>
        <v>7</v>
      </c>
      <c r="W193" s="26">
        <f>IFERROR(VLOOKUP(AB188,'Statement of Marks'!$B$7:'Statement of Marks'!$IC$206,13,0),"")</f>
        <v>24</v>
      </c>
      <c r="X193" s="26">
        <f>IFERROR(VLOOKUP(AB188,'Statement of Marks'!$B$7:'Statement of Marks'!$IC$206,14,0),"")</f>
        <v>46</v>
      </c>
      <c r="Y193" s="26"/>
      <c r="Z193" s="347">
        <f>IF(AB188="","",IF(AND(X193="",Y193=""),"",SUM(X193,Y193)))</f>
        <v>46</v>
      </c>
      <c r="AA193" s="679">
        <f>IFERROR(IF(AB188="","",IF(AND(W193="",Z193=""),"",SUM(W193,Z193))),"")</f>
        <v>70</v>
      </c>
      <c r="AB193" s="26">
        <f>IFERROR(VLOOKUP(AB188,'Statement of Marks'!$B$7:'Statement of Marks'!$IC$206,16,0),"")</f>
        <v>65</v>
      </c>
      <c r="AC193" s="26"/>
      <c r="AD193" s="347">
        <f>IF(AB188="","",IF(AND(AB193="",AC193=""),"",SUM(AB193,AC193)))</f>
        <v>65</v>
      </c>
      <c r="AE193" s="674">
        <f>IFERROR(VLOOKUP(AB188,'Statement of Marks'!$B$7:'Statement of Marks'!$IC$206,17,0),"")</f>
        <v>135</v>
      </c>
      <c r="AF193" s="680" t="str">
        <f>IFERROR(IF(AE193="","",IF(VLOOKUP(AB188,'Statement of Marks'!$B$7:'Statement of Marks'!$IC$206,195,0)="D","I",IF(VLOOKUP(AB188,'Statement of Marks'!$B$7:'Statement of Marks'!$IC$206,195,0)="G1","G",IF(VLOOKUP(AB188,'Statement of Marks'!$B$7:'Statement of Marks'!$IC$206,195,0)="G2","G",VLOOKUP(AB188,'Statement of Marks'!$B$7:'Statement of Marks'!$IC$206,195,0))))),"")</f>
        <v>I</v>
      </c>
      <c r="AV193"/>
      <c r="AW193"/>
      <c r="AX193"/>
      <c r="BA193"/>
      <c r="BB193"/>
      <c r="BC193"/>
    </row>
    <row r="194" spans="1:55" s="351" customFormat="1" ht="22.5" customHeight="1">
      <c r="A194" s="33">
        <f>IF(L188="","",A193+1)</f>
        <v>14</v>
      </c>
      <c r="B194" s="1674" t="str">
        <f>'Statement of Marks'!$Y$3</f>
        <v>अंग्रेजी</v>
      </c>
      <c r="C194" s="1675"/>
      <c r="D194" s="26">
        <f>IFERROR(VLOOKUP(L188,'Statement of Marks'!$B$7:'Statement of Marks'!$IC$206,24,0),"")</f>
        <v>8</v>
      </c>
      <c r="E194" s="26">
        <f>IFERROR(VLOOKUP(L188,'Statement of Marks'!$B$7:'Statement of Marks'!$IC$206,25,0),"")</f>
        <v>9</v>
      </c>
      <c r="F194" s="26">
        <f>IFERROR(VLOOKUP(L188,'Statement of Marks'!$B$7:'Statement of Marks'!$IC$206,26,0),"")</f>
        <v>9</v>
      </c>
      <c r="G194" s="26">
        <f>IFERROR(VLOOKUP(L188,'Statement of Marks'!$B$7:'Statement of Marks'!$IC$206,27,0),"")</f>
        <v>26</v>
      </c>
      <c r="H194" s="26">
        <f>IFERROR(VLOOKUP(L188,'Statement of Marks'!$B$7:'Statement of Marks'!$IC$206,28,0),"")</f>
        <v>60</v>
      </c>
      <c r="I194" s="26"/>
      <c r="J194" s="347">
        <f>IF(L188="","",IF(AND(H194="",I194=""),"",SUM(H194,I194)))</f>
        <v>60</v>
      </c>
      <c r="K194" s="679">
        <f>IFERROR(IF(L188="","",IF(AND(G194="",J194=""),"",SUM(G194,J194))),"")</f>
        <v>86</v>
      </c>
      <c r="L194" s="26">
        <f>IFERROR(VLOOKUP(L188,'Statement of Marks'!$B$7:'Statement of Marks'!$IC$206,30,0),"")</f>
        <v>85</v>
      </c>
      <c r="M194" s="26"/>
      <c r="N194" s="347">
        <f>IF(L188="","",IF(AND(L194="",M194=""),"",SUM(L194,M194)))</f>
        <v>85</v>
      </c>
      <c r="O194" s="674">
        <f>IFERROR(VLOOKUP(L188,'Statement of Marks'!$B$7:'Statement of Marks'!$IC$206,31,0),"")</f>
        <v>171</v>
      </c>
      <c r="P194" s="680" t="str">
        <f>IFERROR(IF(O193="","",IF(VLOOKUP(L188,'Statement of Marks'!$B$7:'Statement of Marks'!$IC$206,198,0)="D","I",IF(VLOOKUP(L188,'Statement of Marks'!$B$7:'Statement of Marks'!$IC$206,198,0)="G1","G",IF(VLOOKUP(L188,'Statement of Marks'!$B$7:'Statement of Marks'!$IC$206,198,0)="G2","G",VLOOKUP(L188,'Statement of Marks'!$B$7:'Statement of Marks'!$IC$206,198,0))))),"")</f>
        <v>I</v>
      </c>
      <c r="Q194" s="1686"/>
      <c r="R194" s="1674" t="str">
        <f>'Statement of Marks'!$Y$3</f>
        <v>अंग्रेजी</v>
      </c>
      <c r="S194" s="1675"/>
      <c r="T194" s="26">
        <f>IFERROR(VLOOKUP(AB188,'Statement of Marks'!$B$7:'Statement of Marks'!$IC$206,24,0),"")</f>
        <v>8</v>
      </c>
      <c r="U194" s="26">
        <f>IFERROR(VLOOKUP(AB188,'Statement of Marks'!$B$7:'Statement of Marks'!$IC$206,25,0),"")</f>
        <v>9</v>
      </c>
      <c r="V194" s="26">
        <f>IFERROR(VLOOKUP(AB188,'Statement of Marks'!$B$7:'Statement of Marks'!$IC$206,26,0),"")</f>
        <v>8</v>
      </c>
      <c r="W194" s="26">
        <f>IFERROR(VLOOKUP(AB188,'Statement of Marks'!$B$7:'Statement of Marks'!$IC$206,27,0),"")</f>
        <v>25</v>
      </c>
      <c r="X194" s="26">
        <f>IFERROR(VLOOKUP(AB188,'Statement of Marks'!$B$7:'Statement of Marks'!$IC$206,28,0),"")</f>
        <v>60</v>
      </c>
      <c r="Y194" s="26"/>
      <c r="Z194" s="347">
        <f>IF(AB188="","",IF(AND(X194="",Y194=""),"",SUM(X194,Y194)))</f>
        <v>60</v>
      </c>
      <c r="AA194" s="679">
        <f>IFERROR(IF(AB188="","",IF(AND(W194="",Z194=""),"",SUM(W194,Z194))),"")</f>
        <v>85</v>
      </c>
      <c r="AB194" s="26">
        <f>IFERROR(VLOOKUP(AB188,'Statement of Marks'!$B$7:'Statement of Marks'!$IC$206,30,0),"")</f>
        <v>85</v>
      </c>
      <c r="AC194" s="26"/>
      <c r="AD194" s="347">
        <f>IF(AB188="","",IF(AND(AB194="",AC194=""),"",SUM(AB194,AC194)))</f>
        <v>85</v>
      </c>
      <c r="AE194" s="674">
        <f>IFERROR(VLOOKUP(AB188,'Statement of Marks'!$B$7:'Statement of Marks'!$IC$206,31,0),"")</f>
        <v>170</v>
      </c>
      <c r="AF194" s="680" t="str">
        <f>IFERROR(IF(AE193="","",IF(VLOOKUP(AB188,'Statement of Marks'!$B$7:'Statement of Marks'!$IC$206,198,0)="D","I",IF(VLOOKUP(AB188,'Statement of Marks'!$B$7:'Statement of Marks'!$IC$206,198,0)="G1","G",IF(VLOOKUP(AB188,'Statement of Marks'!$B$7:'Statement of Marks'!$IC$206,198,0)="G2","G",VLOOKUP(AB188,'Statement of Marks'!$B$7:'Statement of Marks'!$IC$206,198,0))))),"")</f>
        <v>I</v>
      </c>
      <c r="AV194"/>
      <c r="AW194"/>
      <c r="AX194"/>
      <c r="BA194"/>
      <c r="BB194"/>
      <c r="BC194"/>
    </row>
    <row r="195" spans="1:55" s="351" customFormat="1" ht="22.5" customHeight="1">
      <c r="A195" s="33">
        <f>IF(L188="","",A194+1)</f>
        <v>15</v>
      </c>
      <c r="B195" s="1674" t="str">
        <f>IFERROR(VLOOKUP(L188,'Statement of Marks'!$B$7:'Statement of Marks'!$IC$206,38,0),"")</f>
        <v xml:space="preserve">उर्दू (72) </v>
      </c>
      <c r="C195" s="1675"/>
      <c r="D195" s="26">
        <f>IFERROR(VLOOKUP(L188,'Statement of Marks'!$B$7:'Statement of Marks'!$IC$206,39,0),"")</f>
        <v>8</v>
      </c>
      <c r="E195" s="26">
        <f>IFERROR(VLOOKUP(L188,'Statement of Marks'!$B$7:'Statement of Marks'!$IC$206,40,0),"")</f>
        <v>9</v>
      </c>
      <c r="F195" s="26">
        <f>IFERROR(VLOOKUP(L188,'Statement of Marks'!$B$7:'Statement of Marks'!$IC$206,41,0),"")</f>
        <v>7</v>
      </c>
      <c r="G195" s="26">
        <f>IFERROR(VLOOKUP(L188,'Statement of Marks'!$B$7:'Statement of Marks'!$IC$206,42,0),"")</f>
        <v>24</v>
      </c>
      <c r="H195" s="26">
        <f>IFERROR(VLOOKUP(L188,'Statement of Marks'!$B$7:'Statement of Marks'!$IC$206,43,0),"")</f>
        <v>46</v>
      </c>
      <c r="I195" s="26"/>
      <c r="J195" s="347">
        <f>IF(L188="","",IF(AND(H195="",I195=""),"",SUM(H195,I195)))</f>
        <v>46</v>
      </c>
      <c r="K195" s="679">
        <f>IFERROR(IF(L188="","",IF(AND(G195="",J195=""),"",SUM(G195,J195))),"")</f>
        <v>70</v>
      </c>
      <c r="L195" s="26">
        <f>IFERROR(VLOOKUP(L188,'Statement of Marks'!$B$7:'Statement of Marks'!$IC$206,45,0),"")</f>
        <v>45</v>
      </c>
      <c r="M195" s="26"/>
      <c r="N195" s="347">
        <f>IF(L188="","",IF(AND(L195="",M195=""),"",SUM(L195,M195)))</f>
        <v>45</v>
      </c>
      <c r="O195" s="674">
        <f>IFERROR(VLOOKUP(L188,'Statement of Marks'!$B$7:'Statement of Marks'!$IC$206,46,0),"")</f>
        <v>115</v>
      </c>
      <c r="P195" s="680" t="str">
        <f>IFERROR(IF(O193="","",IF(VLOOKUP(L188,'Statement of Marks'!$B$7:'Statement of Marks'!$IC$206,201,0)="D","I",IF(VLOOKUP(L188,'Statement of Marks'!$B$7:'Statement of Marks'!$IC$206,201,0)="G1","G",IF(VLOOKUP(L188,'Statement of Marks'!$B$7:'Statement of Marks'!$IC$206,201,0)="G2","G",VLOOKUP(L188,'Statement of Marks'!$B$7:'Statement of Marks'!$IC$206,201,0))))),"")</f>
        <v>II</v>
      </c>
      <c r="Q195" s="1686"/>
      <c r="R195" s="1674" t="str">
        <f>IFERROR(VLOOKUP(AB188,'Statement of Marks'!$B$7:'Statement of Marks'!$IC$206,38,0),"")</f>
        <v xml:space="preserve">सिंधी (74) </v>
      </c>
      <c r="S195" s="1675"/>
      <c r="T195" s="26">
        <f>IFERROR(VLOOKUP(AB188,'Statement of Marks'!$B$7:'Statement of Marks'!$IC$206,39,0),"")</f>
        <v>8</v>
      </c>
      <c r="U195" s="26">
        <f>IFERROR(VLOOKUP(AB188,'Statement of Marks'!$B$7:'Statement of Marks'!$IC$206,40,0),"")</f>
        <v>9</v>
      </c>
      <c r="V195" s="26">
        <f>IFERROR(VLOOKUP(AB188,'Statement of Marks'!$B$7:'Statement of Marks'!$IC$206,41,0),"")</f>
        <v>8</v>
      </c>
      <c r="W195" s="26">
        <f>IFERROR(VLOOKUP(AB188,'Statement of Marks'!$B$7:'Statement of Marks'!$IC$206,42,0),"")</f>
        <v>25</v>
      </c>
      <c r="X195" s="26">
        <f>IFERROR(VLOOKUP(AB188,'Statement of Marks'!$B$7:'Statement of Marks'!$IC$206,43,0),"")</f>
        <v>46</v>
      </c>
      <c r="Y195" s="26"/>
      <c r="Z195" s="347">
        <f>IF(AB188="","",IF(AND(X195="",Y195=""),"",SUM(X195,Y195)))</f>
        <v>46</v>
      </c>
      <c r="AA195" s="679">
        <f>IFERROR(IF(AB188="","",IF(AND(W195="",Z195=""),"",SUM(W195,Z195))),"")</f>
        <v>71</v>
      </c>
      <c r="AB195" s="26">
        <f>IFERROR(VLOOKUP(AB188,'Statement of Marks'!$B$7:'Statement of Marks'!$IC$206,45,0),"")</f>
        <v>45</v>
      </c>
      <c r="AC195" s="26"/>
      <c r="AD195" s="347">
        <f>IF(AB188="","",IF(AND(AB195="",AC195=""),"",SUM(AB195,AC195)))</f>
        <v>45</v>
      </c>
      <c r="AE195" s="674">
        <f>IFERROR(VLOOKUP(AB188,'Statement of Marks'!$B$7:'Statement of Marks'!$IC$206,46,0),"")</f>
        <v>116</v>
      </c>
      <c r="AF195" s="680" t="str">
        <f>IFERROR(IF(AE193="","",IF(VLOOKUP(AB188,'Statement of Marks'!$B$7:'Statement of Marks'!$IC$206,201,0)="D","I",IF(VLOOKUP(AB188,'Statement of Marks'!$B$7:'Statement of Marks'!$IC$206,201,0)="G1","G",IF(VLOOKUP(AB188,'Statement of Marks'!$B$7:'Statement of Marks'!$IC$206,201,0)="G2","G",VLOOKUP(AB188,'Statement of Marks'!$B$7:'Statement of Marks'!$IC$206,201,0))))),"")</f>
        <v>II</v>
      </c>
      <c r="AV195"/>
      <c r="AW195"/>
      <c r="AX195"/>
      <c r="BA195"/>
      <c r="BB195"/>
      <c r="BC195"/>
    </row>
    <row r="196" spans="1:55" s="351" customFormat="1" ht="22.5" customHeight="1">
      <c r="A196" s="33">
        <f>IF(L188="","",A195+1)</f>
        <v>16</v>
      </c>
      <c r="B196" s="1674" t="str">
        <f>'Statement of Marks'!$BB$3</f>
        <v>गणित</v>
      </c>
      <c r="C196" s="1675"/>
      <c r="D196" s="26">
        <f>IFERROR(VLOOKUP(L188,'Statement of Marks'!$B$7:'Statement of Marks'!$IC$206,53,0),"")</f>
        <v>8</v>
      </c>
      <c r="E196" s="26">
        <f>IFERROR(VLOOKUP(L188,'Statement of Marks'!$B$7:'Statement of Marks'!$IC$206,54,0),"")</f>
        <v>9</v>
      </c>
      <c r="F196" s="26">
        <f>IFERROR(VLOOKUP(L188,'Statement of Marks'!$B$7:'Statement of Marks'!$IC$206,55,0),"")</f>
        <v>10</v>
      </c>
      <c r="G196" s="26">
        <f>IFERROR(VLOOKUP(L188,'Statement of Marks'!$B$7:'Statement of Marks'!$IC$206,56,0),"")</f>
        <v>27</v>
      </c>
      <c r="H196" s="26">
        <f>IFERROR(VLOOKUP(L188,'Statement of Marks'!$B$7:'Statement of Marks'!$IC$206,57,0),"")</f>
        <v>46</v>
      </c>
      <c r="I196" s="26"/>
      <c r="J196" s="347">
        <f>IF(L188="","",IF(AND(H196="",I196=""),"",SUM(H196,I196)))</f>
        <v>46</v>
      </c>
      <c r="K196" s="679">
        <f>IFERROR(IF(L188="","",IF(AND(G196="",J196=""),"",SUM(G196,J196))),"")</f>
        <v>73</v>
      </c>
      <c r="L196" s="26">
        <f>IFERROR(VLOOKUP(L188,'Statement of Marks'!$B$7:'Statement of Marks'!$IC$206,59,0),"")</f>
        <v>45</v>
      </c>
      <c r="M196" s="26"/>
      <c r="N196" s="347">
        <f>IF(L188="","",IF(AND(L196="",M196=""),"",SUM(L196,M196)))</f>
        <v>45</v>
      </c>
      <c r="O196" s="674">
        <f>IFERROR(VLOOKUP(L188,'Statement of Marks'!$B$7:'Statement of Marks'!$IC$206,60,0),"")</f>
        <v>118</v>
      </c>
      <c r="P196" s="680" t="str">
        <f>IFERROR(IF(O193="","",IF(VLOOKUP(L188,'Statement of Marks'!$B$7:'Statement of Marks'!$IC$206,209,0)="D","I",IF(VLOOKUP(L188,'Statement of Marks'!$B$7:'Statement of Marks'!$IC$206,209,0)="G1","G",IF(VLOOKUP(L188,'Statement of Marks'!$B$7:'Statement of Marks'!$IC$206,209,0)="G2","G",VLOOKUP(L188,'Statement of Marks'!$B$7:'Statement of Marks'!$IC$206,209,0))))),"")</f>
        <v>II</v>
      </c>
      <c r="Q196" s="1686"/>
      <c r="R196" s="1674" t="str">
        <f>'Statement of Marks'!$BB$3</f>
        <v>गणित</v>
      </c>
      <c r="S196" s="1675"/>
      <c r="T196" s="26">
        <f>IFERROR(VLOOKUP(AB188,'Statement of Marks'!$B$7:'Statement of Marks'!$IC$206,53,0),"")</f>
        <v>8</v>
      </c>
      <c r="U196" s="26">
        <f>IFERROR(VLOOKUP(AB188,'Statement of Marks'!$B$7:'Statement of Marks'!$IC$206,54,0),"")</f>
        <v>9</v>
      </c>
      <c r="V196" s="26">
        <f>IFERROR(VLOOKUP(AB188,'Statement of Marks'!$B$7:'Statement of Marks'!$IC$206,55,0),"")</f>
        <v>8</v>
      </c>
      <c r="W196" s="26">
        <f>IFERROR(VLOOKUP(AB188,'Statement of Marks'!$B$7:'Statement of Marks'!$IC$206,56,0),"")</f>
        <v>25</v>
      </c>
      <c r="X196" s="26">
        <f>IFERROR(VLOOKUP(AB188,'Statement of Marks'!$B$7:'Statement of Marks'!$IC$206,57,0),"")</f>
        <v>20</v>
      </c>
      <c r="Y196" s="26"/>
      <c r="Z196" s="347">
        <f>IF(AB188="","",IF(AND(X196="",Y196=""),"",SUM(X196,Y196)))</f>
        <v>20</v>
      </c>
      <c r="AA196" s="679">
        <f>IFERROR(IF(AB188="","",IF(AND(W196="",Z196=""),"",SUM(W196,Z196))),"")</f>
        <v>45</v>
      </c>
      <c r="AB196" s="26">
        <f>IFERROR(VLOOKUP(AB188,'Statement of Marks'!$B$7:'Statement of Marks'!$IC$206,59,0),"")</f>
        <v>26</v>
      </c>
      <c r="AC196" s="26"/>
      <c r="AD196" s="347">
        <f>IF(AB188="","",IF(AND(AB196="",AC196=""),"",SUM(AB196,AC196)))</f>
        <v>26</v>
      </c>
      <c r="AE196" s="674">
        <f>IFERROR(VLOOKUP(AB188,'Statement of Marks'!$B$7:'Statement of Marks'!$IC$206,60,0),"")</f>
        <v>71</v>
      </c>
      <c r="AF196" s="680" t="str">
        <f>IFERROR(IF(AE193="","",IF(VLOOKUP(AB188,'Statement of Marks'!$B$7:'Statement of Marks'!$IC$206,209,0)="D","I",IF(VLOOKUP(AB188,'Statement of Marks'!$B$7:'Statement of Marks'!$IC$206,209,0)="G1","G",IF(VLOOKUP(AB188,'Statement of Marks'!$B$7:'Statement of Marks'!$IC$206,209,0)="G2","G",VLOOKUP(AB188,'Statement of Marks'!$B$7:'Statement of Marks'!$IC$206,209,0))))),"")</f>
        <v>G</v>
      </c>
      <c r="AV196"/>
      <c r="AW196"/>
      <c r="AX196"/>
      <c r="BA196"/>
      <c r="BB196"/>
      <c r="BC196"/>
    </row>
    <row r="197" spans="1:55" s="351" customFormat="1" ht="22.5" customHeight="1">
      <c r="A197" s="33">
        <f>IF(L188="","",A196+1)</f>
        <v>17</v>
      </c>
      <c r="B197" s="1661" t="str">
        <f>'Statement of Marks'!$BP$3</f>
        <v>विज्ञान</v>
      </c>
      <c r="C197" s="1662"/>
      <c r="D197" s="26">
        <f>IFERROR(VLOOKUP(L188,'Statement of Marks'!$B$7:'Statement of Marks'!$IC$206,67,0),"")</f>
        <v>8</v>
      </c>
      <c r="E197" s="26">
        <f>IFERROR(VLOOKUP(L188,'Statement of Marks'!$B$7:'Statement of Marks'!$IC$206,68,0),"")</f>
        <v>9</v>
      </c>
      <c r="F197" s="26">
        <f>IFERROR(VLOOKUP(L188,'Statement of Marks'!$B$7:'Statement of Marks'!$IC$206,69,0),"")</f>
        <v>7</v>
      </c>
      <c r="G197" s="26">
        <f>IFERROR(VLOOKUP(L188,'Statement of Marks'!$B$7:'Statement of Marks'!$IC$206,70,0),"")</f>
        <v>24</v>
      </c>
      <c r="H197" s="26">
        <f>IFERROR(VLOOKUP(L188,'Statement of Marks'!$B$7:'Statement of Marks'!$IC$206,71,0),"")</f>
        <v>46</v>
      </c>
      <c r="I197" s="26"/>
      <c r="J197" s="347">
        <f>IF(L188="","",IF(AND(H197="",I197=""),"",SUM(H197,I197)))</f>
        <v>46</v>
      </c>
      <c r="K197" s="679">
        <f>IFERROR(IF(L188="","",IF(AND(G197="",J197=""),"",SUM(G197,J197))),"")</f>
        <v>70</v>
      </c>
      <c r="L197" s="26">
        <f>IFERROR(VLOOKUP(L188,'Statement of Marks'!$B$7:'Statement of Marks'!$IC$206,73,0),"")</f>
        <v>45</v>
      </c>
      <c r="M197" s="26"/>
      <c r="N197" s="347">
        <f>IF(L188="","",IF(AND(L197="",M197=""),"",SUM(L197,M197)))</f>
        <v>45</v>
      </c>
      <c r="O197" s="674">
        <f>IFERROR(VLOOKUP(L188,'Statement of Marks'!$B$7:'Statement of Marks'!$IC$206,74,0),"")</f>
        <v>115</v>
      </c>
      <c r="P197" s="680" t="str">
        <f>IFERROR(IF(O193="","",IF(VLOOKUP(L188,'Statement of Marks'!$B$7:'Statement of Marks'!$IC$206,212,0)="D","I",IF(VLOOKUP(L188,'Statement of Marks'!$B$7:'Statement of Marks'!$IC$206,212,0)="G1","G",IF(VLOOKUP(L188,'Statement of Marks'!$B$7:'Statement of Marks'!$IC$206,212,0)="G2","G",VLOOKUP(L188,'Statement of Marks'!$B$7:'Statement of Marks'!$IC$206,212,0))))),"")</f>
        <v>II</v>
      </c>
      <c r="Q197" s="1686"/>
      <c r="R197" s="1661" t="str">
        <f>'Statement of Marks'!$BP$3</f>
        <v>विज्ञान</v>
      </c>
      <c r="S197" s="1662"/>
      <c r="T197" s="26">
        <f>IFERROR(VLOOKUP(AB188,'Statement of Marks'!$B$7:'Statement of Marks'!$IC$206,67,0),"")</f>
        <v>8</v>
      </c>
      <c r="U197" s="26">
        <f>IFERROR(VLOOKUP(AB188,'Statement of Marks'!$B$7:'Statement of Marks'!$IC$206,68,0),"")</f>
        <v>9</v>
      </c>
      <c r="V197" s="26">
        <f>IFERROR(VLOOKUP(AB188,'Statement of Marks'!$B$7:'Statement of Marks'!$IC$206,69,0),"")</f>
        <v>7</v>
      </c>
      <c r="W197" s="26">
        <f>IFERROR(VLOOKUP(AB188,'Statement of Marks'!$B$7:'Statement of Marks'!$IC$206,70,0),"")</f>
        <v>24</v>
      </c>
      <c r="X197" s="26">
        <f>IFERROR(VLOOKUP(AB188,'Statement of Marks'!$B$7:'Statement of Marks'!$IC$206,71,0),"")</f>
        <v>20</v>
      </c>
      <c r="Y197" s="26"/>
      <c r="Z197" s="347">
        <f>IF(AB188="","",IF(AND(X197="",Y197=""),"",SUM(X197,Y197)))</f>
        <v>20</v>
      </c>
      <c r="AA197" s="679">
        <f>IFERROR(IF(AB188="","",IF(AND(W197="",Z197=""),"",SUM(W197,Z197))),"")</f>
        <v>44</v>
      </c>
      <c r="AB197" s="26">
        <f>IFERROR(VLOOKUP(AB188,'Statement of Marks'!$B$7:'Statement of Marks'!$IC$206,73,0),"")</f>
        <v>27</v>
      </c>
      <c r="AC197" s="26"/>
      <c r="AD197" s="347">
        <f>IF(AB188="","",IF(AND(AB197="",AC197=""),"",SUM(AB197,AC197)))</f>
        <v>27</v>
      </c>
      <c r="AE197" s="674">
        <f>IFERROR(VLOOKUP(AB188,'Statement of Marks'!$B$7:'Statement of Marks'!$IC$206,74,0),"")</f>
        <v>71</v>
      </c>
      <c r="AF197" s="680" t="str">
        <f>IFERROR(IF(AE193="","",IF(VLOOKUP(AB188,'Statement of Marks'!$B$7:'Statement of Marks'!$IC$206,212,0)="D","I",IF(VLOOKUP(AB188,'Statement of Marks'!$B$7:'Statement of Marks'!$IC$206,212,0)="G1","G",IF(VLOOKUP(AB188,'Statement of Marks'!$B$7:'Statement of Marks'!$IC$206,212,0)="G2","G",VLOOKUP(AB188,'Statement of Marks'!$B$7:'Statement of Marks'!$IC$206,212,0))))),"")</f>
        <v>G</v>
      </c>
      <c r="AV197"/>
      <c r="AW197"/>
      <c r="AX197"/>
      <c r="BA197"/>
      <c r="BB197"/>
      <c r="BC197"/>
    </row>
    <row r="198" spans="1:55" s="351" customFormat="1" ht="22.5" customHeight="1">
      <c r="A198" s="33">
        <f>IF(L188="","",A197+1)</f>
        <v>18</v>
      </c>
      <c r="B198" s="409" t="str">
        <f>'Statement of Marks'!$CE$3</f>
        <v>सामाजिक विज्ञान</v>
      </c>
      <c r="C198" s="412" t="str">
        <f>IF(OR(L188="",O198="",O200=""),"",IF(AND(O198&gt;=O200),"*",""))</f>
        <v/>
      </c>
      <c r="D198" s="26">
        <f>IFERROR(VLOOKUP(L188,'Statement of Marks'!$B$7:'Statement of Marks'!$IC$206,82,0),"")</f>
        <v>8</v>
      </c>
      <c r="E198" s="26">
        <f>IFERROR(VLOOKUP(L188,'Statement of Marks'!$B$7:'Statement of Marks'!$IC$206,83,0),"")</f>
        <v>8</v>
      </c>
      <c r="F198" s="26">
        <f>IFERROR(VLOOKUP(L188,'Statement of Marks'!$B$7:'Statement of Marks'!$IC$206,84,0),"")</f>
        <v>8</v>
      </c>
      <c r="G198" s="26">
        <f>IFERROR(VLOOKUP(L188,'Statement of Marks'!$B$7:'Statement of Marks'!$IC$206,85,0),"")</f>
        <v>24</v>
      </c>
      <c r="H198" s="26">
        <f>IFERROR(VLOOKUP(L188,'Statement of Marks'!$B$7:'Statement of Marks'!$IC$206,86,0),"")</f>
        <v>46</v>
      </c>
      <c r="I198" s="26"/>
      <c r="J198" s="347">
        <f>IF(L188="","",IF(AND(H198="",I198=""),"",SUM(H198,I198)))</f>
        <v>46</v>
      </c>
      <c r="K198" s="679">
        <f>IFERROR(IF(L188="","",IF(AND(G198="",J198=""),"",SUM(G198,J198))),"")</f>
        <v>70</v>
      </c>
      <c r="L198" s="26">
        <f>IFERROR(VLOOKUP(L188,'Statement of Marks'!$B$7:'Statement of Marks'!$IC$206,88,0),"")</f>
        <v>45</v>
      </c>
      <c r="M198" s="26"/>
      <c r="N198" s="347">
        <f>IF(L188="","",IF(AND(L198="",M198=""),"",SUM(L198,M198)))</f>
        <v>45</v>
      </c>
      <c r="O198" s="674">
        <f>IFERROR(VLOOKUP(L188,'Statement of Marks'!$B$7:'Statement of Marks'!$IC$206,89,0),"")</f>
        <v>115</v>
      </c>
      <c r="P198" s="680" t="str">
        <f>IFERROR(IF(O193="","",IF(VLOOKUP(L188,'Statement of Marks'!$B$7:'Statement of Marks'!$IC$206,215,0)="D","I",IF(VLOOKUP(L188,'Statement of Marks'!$B$7:'Statement of Marks'!$IC$206,215,0)="G1","G",IF(VLOOKUP(L188,'Statement of Marks'!$B$7:'Statement of Marks'!$IC$206,215,0)="G2","G",VLOOKUP(L188,'Statement of Marks'!$B$7:'Statement of Marks'!$IC$206,215,0))))),"")</f>
        <v>II</v>
      </c>
      <c r="Q198" s="1686"/>
      <c r="R198" s="409" t="str">
        <f>'Statement of Marks'!$CE$3</f>
        <v>सामाजिक विज्ञान</v>
      </c>
      <c r="S198" s="412" t="str">
        <f>IF(OR(AB188="",AE198="",AE200=""),"",IF(AND(AE198&gt;=AE200),"*",""))</f>
        <v/>
      </c>
      <c r="T198" s="26">
        <f>IFERROR(VLOOKUP(AB188,'Statement of Marks'!$B$7:'Statement of Marks'!$IC$206,82,0),"")</f>
        <v>8</v>
      </c>
      <c r="U198" s="26">
        <f>IFERROR(VLOOKUP(AB188,'Statement of Marks'!$B$7:'Statement of Marks'!$IC$206,83,0),"")</f>
        <v>8</v>
      </c>
      <c r="V198" s="26">
        <f>IFERROR(VLOOKUP(AB188,'Statement of Marks'!$B$7:'Statement of Marks'!$IC$206,84,0),"")</f>
        <v>8</v>
      </c>
      <c r="W198" s="26">
        <f>IFERROR(VLOOKUP(AB188,'Statement of Marks'!$B$7:'Statement of Marks'!$IC$206,85,0),"")</f>
        <v>24</v>
      </c>
      <c r="X198" s="26">
        <f>IFERROR(VLOOKUP(AB188,'Statement of Marks'!$B$7:'Statement of Marks'!$IC$206,86,0),"")</f>
        <v>46</v>
      </c>
      <c r="Y198" s="26"/>
      <c r="Z198" s="347">
        <f>IF(AB188="","",IF(AND(X198="",Y198=""),"",SUM(X198,Y198)))</f>
        <v>46</v>
      </c>
      <c r="AA198" s="679">
        <f>IFERROR(IF(AB188="","",IF(AND(W198="",Z198=""),"",SUM(W198,Z198))),"")</f>
        <v>70</v>
      </c>
      <c r="AB198" s="26">
        <f>IFERROR(VLOOKUP(AB188,'Statement of Marks'!$B$7:'Statement of Marks'!$IC$206,88,0),"")</f>
        <v>45</v>
      </c>
      <c r="AC198" s="26"/>
      <c r="AD198" s="347">
        <f>IF(AB188="","",IF(AND(AB198="",AC198=""),"",SUM(AB198,AC198)))</f>
        <v>45</v>
      </c>
      <c r="AE198" s="674">
        <f>IFERROR(VLOOKUP(AB188,'Statement of Marks'!$B$7:'Statement of Marks'!$IC$206,89,0),"")</f>
        <v>115</v>
      </c>
      <c r="AF198" s="680" t="str">
        <f>IFERROR(IF(AE193="","",IF(VLOOKUP(AB188,'Statement of Marks'!$B$7:'Statement of Marks'!$IC$206,215,0)="D","I",IF(VLOOKUP(AB188,'Statement of Marks'!$B$7:'Statement of Marks'!$IC$206,215,0)="G1","G",IF(VLOOKUP(AB188,'Statement of Marks'!$B$7:'Statement of Marks'!$IC$206,215,0)="G2","G",VLOOKUP(AB188,'Statement of Marks'!$B$7:'Statement of Marks'!$IC$206,215,0))))),"")</f>
        <v>II</v>
      </c>
      <c r="AV198"/>
      <c r="AW198"/>
      <c r="AX198"/>
      <c r="BA198"/>
      <c r="BB198"/>
      <c r="BC198"/>
    </row>
    <row r="199" spans="1:55" s="351" customFormat="1">
      <c r="A199" s="33">
        <f>IF(L188="","",A198+1)</f>
        <v>19</v>
      </c>
      <c r="B199" s="1663" t="str">
        <f>IF('School Profile'!$D$12="Hindi","व्यावसायिक शिक्षा","Vocational Education")</f>
        <v>व्यावसायिक शिक्षा</v>
      </c>
      <c r="C199" s="1664"/>
      <c r="D199" s="1665"/>
      <c r="E199" s="1665"/>
      <c r="F199" s="1665"/>
      <c r="G199" s="1665"/>
      <c r="H199" s="1665"/>
      <c r="I199" s="1665"/>
      <c r="J199" s="1665"/>
      <c r="K199" s="1665"/>
      <c r="L199" s="1665"/>
      <c r="M199" s="1665"/>
      <c r="N199" s="1665"/>
      <c r="O199" s="1665"/>
      <c r="P199" s="1666"/>
      <c r="Q199" s="1686"/>
      <c r="R199" s="1663" t="str">
        <f>IF('School Profile'!$D$12="Hindi","व्यावसायिक शिक्षा","Vocational Education")</f>
        <v>व्यावसायिक शिक्षा</v>
      </c>
      <c r="S199" s="1664"/>
      <c r="T199" s="1665"/>
      <c r="U199" s="1665"/>
      <c r="V199" s="1665"/>
      <c r="W199" s="1665"/>
      <c r="X199" s="1665"/>
      <c r="Y199" s="1665"/>
      <c r="Z199" s="1665"/>
      <c r="AA199" s="1665"/>
      <c r="AB199" s="1665"/>
      <c r="AC199" s="1665"/>
      <c r="AD199" s="1665"/>
      <c r="AE199" s="1665"/>
      <c r="AF199" s="1666"/>
      <c r="AV199"/>
      <c r="AW199"/>
      <c r="AX199"/>
      <c r="BA199"/>
      <c r="BB199"/>
      <c r="BC199"/>
    </row>
    <row r="200" spans="1:55" s="351" customFormat="1" ht="22.5" customHeight="1">
      <c r="A200" s="33">
        <f>IF(L188="","",A199+1)</f>
        <v>20</v>
      </c>
      <c r="B200" s="411" t="str">
        <f>IFERROR(VLOOKUP(L188,'Statement of Marks'!$B$7:'Statement of Marks'!$IC$206,96,0),"")</f>
        <v/>
      </c>
      <c r="C200" s="410" t="str">
        <f>IF(OR(L188="",O198="",O200="",B200=""),"",IF(AND(O200&gt;=O198),"*",""))</f>
        <v/>
      </c>
      <c r="D200" s="397" t="str">
        <f>IFERROR(VLOOKUP(L188,'Statement of Marks'!$B$7:'Statement of Marks'!$IC$206,97,0),"")</f>
        <v/>
      </c>
      <c r="E200" s="26" t="str">
        <f>IFERROR(VLOOKUP(L188,'Statement of Marks'!$B$7:'Statement of Marks'!$IC$206,98,0),"")</f>
        <v/>
      </c>
      <c r="F200" s="26" t="str">
        <f>IFERROR(VLOOKUP(L188,'Statement of Marks'!$B$7:'Statement of Marks'!$IC$206,99,0),"")</f>
        <v/>
      </c>
      <c r="G200" s="26" t="str">
        <f>IFERROR(VLOOKUP(L188,'Statement of Marks'!$B$7:'Statement of Marks'!$IC$206,100,0),"")</f>
        <v/>
      </c>
      <c r="H200" s="27" t="str">
        <f>IFERROR(VLOOKUP(L188,'Statement of Marks'!$B$7:'Statement of Marks'!$IC$206,101,0),"")</f>
        <v/>
      </c>
      <c r="I200" s="27" t="str">
        <f>IFERROR(VLOOKUP(L188,'Statement of Marks'!$B$7:'Statement of Marks'!$IC$206,102,0),"")</f>
        <v/>
      </c>
      <c r="J200" s="347" t="str">
        <f>IFERROR(VLOOKUP(L188,'Statement of Marks'!$B$7:'Statement of Marks'!$IC$206,103,0),"")</f>
        <v/>
      </c>
      <c r="K200" s="679" t="str">
        <f>IFERROR(IF(L188="","",IF(AND(G200="",J200=""),"",SUM(G200,J200))),"")</f>
        <v/>
      </c>
      <c r="L200" s="26" t="str">
        <f>IFERROR(VLOOKUP(L188,'Statement of Marks'!$B$7:'Statement of Marks'!$IC$206,105,0),"")</f>
        <v/>
      </c>
      <c r="M200" s="26" t="str">
        <f>IFERROR(VLOOKUP(L188,'Statement of Marks'!$B$7:'Statement of Marks'!$IC$206,106,0),"")</f>
        <v/>
      </c>
      <c r="N200" s="347" t="str">
        <f>IF(L188="","",IF(AND(L200="",M200=""),"",SUM(L200,M200)))</f>
        <v/>
      </c>
      <c r="O200" s="672" t="str">
        <f>IFERROR(VLOOKUP(L188,'Statement of Marks'!$B$7:'Statement of Marks'!$IC$206,108,0),"")</f>
        <v/>
      </c>
      <c r="P200" s="680" t="str">
        <f>IFERROR(IF(O193="","",IF(VLOOKUP(L188,'Statement of Marks'!$B$7:'Statement of Marks'!$IC$206,218,0)="D","I",IF(VLOOKUP(L188,'Statement of Marks'!$B$7:'Statement of Marks'!$IC$206,218,0)="G1","G",IF(VLOOKUP(L188,'Statement of Marks'!$B$7:'Statement of Marks'!$IC$206,218,0)="G2","G",VLOOKUP(L188,'Statement of Marks'!$B$7:'Statement of Marks'!$IC$206,218,0))))),"")</f>
        <v/>
      </c>
      <c r="Q200" s="1686"/>
      <c r="R200" s="411" t="str">
        <f>IFERROR(VLOOKUP(AB188,'Statement of Marks'!$B$7:'Statement of Marks'!$IC$206,96,0),"")</f>
        <v/>
      </c>
      <c r="S200" s="410" t="str">
        <f>IF(OR(AB188="",AE198="",AE200="",R200=""),"",IF(AND(AE200&gt;=AE198),"*",""))</f>
        <v/>
      </c>
      <c r="T200" s="397" t="str">
        <f>IFERROR(VLOOKUP(AB188,'Statement of Marks'!$B$7:'Statement of Marks'!$IC$206,97,0),"")</f>
        <v/>
      </c>
      <c r="U200" s="26" t="str">
        <f>IFERROR(VLOOKUP(AB188,'Statement of Marks'!$B$7:'Statement of Marks'!$IC$206,98,0),"")</f>
        <v/>
      </c>
      <c r="V200" s="26" t="str">
        <f>IFERROR(VLOOKUP(AB188,'Statement of Marks'!$B$7:'Statement of Marks'!$IC$206,99,0),"")</f>
        <v/>
      </c>
      <c r="W200" s="26" t="str">
        <f>IFERROR(VLOOKUP(AB188,'Statement of Marks'!$B$7:'Statement of Marks'!$IC$206,100,0),"")</f>
        <v/>
      </c>
      <c r="X200" s="27" t="str">
        <f>IFERROR(VLOOKUP(AB188,'Statement of Marks'!$B$7:'Statement of Marks'!$IC$206,101,0),"")</f>
        <v/>
      </c>
      <c r="Y200" s="27" t="str">
        <f>IFERROR(VLOOKUP(AB188,'Statement of Marks'!$B$7:'Statement of Marks'!$IC$206,102,0),"")</f>
        <v/>
      </c>
      <c r="Z200" s="347" t="str">
        <f>IFERROR(VLOOKUP(AB188,'Statement of Marks'!$B$7:'Statement of Marks'!$IC$206,103,0),"")</f>
        <v/>
      </c>
      <c r="AA200" s="679" t="str">
        <f>IFERROR(IF(AB188="","",IF(AND(W200="",Z200=""),"",SUM(W200,Z200))),"")</f>
        <v/>
      </c>
      <c r="AB200" s="26" t="str">
        <f>IFERROR(VLOOKUP(AB188,'Statement of Marks'!$B$7:'Statement of Marks'!$IC$206,105,0),"")</f>
        <v/>
      </c>
      <c r="AC200" s="26" t="str">
        <f>IFERROR(VLOOKUP(AB188,'Statement of Marks'!$B$7:'Statement of Marks'!$IC$206,106,0),"")</f>
        <v/>
      </c>
      <c r="AD200" s="347" t="str">
        <f>IF(AB188="","",IF(AND(AB200="",AC200=""),"",SUM(AB200,AC200)))</f>
        <v/>
      </c>
      <c r="AE200" s="672" t="str">
        <f>IFERROR(VLOOKUP(AB188,'Statement of Marks'!$B$7:'Statement of Marks'!$IC$206,108,0),"")</f>
        <v/>
      </c>
      <c r="AF200" s="680" t="str">
        <f>IFERROR(IF(AE193="","",IF(VLOOKUP(AB188,'Statement of Marks'!$B$7:'Statement of Marks'!$IC$206,218,0)="D","I",IF(VLOOKUP(AB188,'Statement of Marks'!$B$7:'Statement of Marks'!$IC$206,218,0)="G1","G",IF(VLOOKUP(AB188,'Statement of Marks'!$B$7:'Statement of Marks'!$IC$206,218,0)="G2","G",VLOOKUP(AB188,'Statement of Marks'!$B$7:'Statement of Marks'!$IC$206,218,0))))),"")</f>
        <v/>
      </c>
      <c r="AV200"/>
      <c r="AW200"/>
      <c r="AX200"/>
      <c r="BA200"/>
      <c r="BB200"/>
      <c r="BC200"/>
    </row>
    <row r="201" spans="1:55" s="351" customFormat="1" ht="25.5" customHeight="1">
      <c r="A201" s="33">
        <f>IF(L188="","",A200+1)</f>
        <v>21</v>
      </c>
      <c r="B201" s="1667"/>
      <c r="C201" s="1668"/>
      <c r="D201" s="1669"/>
      <c r="E201" s="1669"/>
      <c r="F201" s="1669"/>
      <c r="G201" s="1669"/>
      <c r="H201" s="1669"/>
      <c r="I201" s="1669"/>
      <c r="J201" s="1669"/>
      <c r="K201" s="1669"/>
      <c r="L201" s="1670" t="str">
        <f>IF('School Profile'!$D$12="Hindi","महायोग :","Grand Total :")</f>
        <v>महायोग :</v>
      </c>
      <c r="M201" s="1671"/>
      <c r="N201" s="1671"/>
      <c r="O201" s="1672">
        <f>IF(OR(L188="",C186=""),"",IF(OR(B200="",O200=""),SUM(O193,O194,O195,O196,O197,O198),IF((O198/O192*100)&gt;=(O200/O192*100),SUM(O193:O198),SUM(O193,O194,O195,O196,O197,O200))))</f>
        <v>721</v>
      </c>
      <c r="P201" s="1673"/>
      <c r="Q201" s="1686"/>
      <c r="R201" s="1667"/>
      <c r="S201" s="1668"/>
      <c r="T201" s="1669"/>
      <c r="U201" s="1669"/>
      <c r="V201" s="1669"/>
      <c r="W201" s="1669"/>
      <c r="X201" s="1669"/>
      <c r="Y201" s="1669"/>
      <c r="Z201" s="1669"/>
      <c r="AA201" s="1669"/>
      <c r="AB201" s="1670" t="str">
        <f>IF('School Profile'!$D$12="Hindi","महायोग :","Grand Total :")</f>
        <v>महायोग :</v>
      </c>
      <c r="AC201" s="1671"/>
      <c r="AD201" s="1671"/>
      <c r="AE201" s="1672">
        <f>IF(OR(AB188="",S186=""),"",IF(OR(R200="",AE200=""),SUM(AE193,AE194,AE195,AE196,AE197,AE198),IF((AE198/AE192*100)&gt;=(AE200/AE192*100),SUM(AE193:AE198),SUM(AE193,AE194,AE195,AE196,AE197,AE200))))</f>
        <v>678</v>
      </c>
      <c r="AF201" s="1673"/>
      <c r="AV201"/>
      <c r="AW201"/>
      <c r="AX201"/>
      <c r="BA201"/>
      <c r="BB201"/>
      <c r="BC201"/>
    </row>
    <row r="202" spans="1:55" s="351" customFormat="1" ht="25.5" customHeight="1">
      <c r="A202" s="33">
        <f>IF(L188="","",A201+1)</f>
        <v>22</v>
      </c>
      <c r="B202" s="1647" t="str">
        <f>'Statement of Marks'!$DZ$208</f>
        <v>राजस्थान का स्वंत्रता आन्दोलन व शोर्य परम्परा</v>
      </c>
      <c r="C202" s="1648"/>
      <c r="D202" s="1649" t="s">
        <v>148</v>
      </c>
      <c r="E202" s="1650"/>
      <c r="F202" s="355">
        <f>IFERROR(VLOOKUP(L188,'Statement of Marks'!$B$7:'Statement of Marks'!$IC$206,136,0),"")</f>
        <v>184</v>
      </c>
      <c r="G202" s="356" t="s">
        <v>134</v>
      </c>
      <c r="H202" s="355" t="str">
        <f>IFERROR(VLOOKUP(L188,'Statement of Marks'!$B$7:'Statement of Marks'!$IC$206,137,0),"")</f>
        <v>A</v>
      </c>
      <c r="I202" s="1651" t="str">
        <f>'Statement of Marks'!$EL$208</f>
        <v>सूचना प्रोद्योगिकी की अवधारणा - I</v>
      </c>
      <c r="J202" s="1652"/>
      <c r="K202" s="1652"/>
      <c r="L202" s="1653"/>
      <c r="M202" s="354" t="s">
        <v>148</v>
      </c>
      <c r="N202" s="355">
        <f>IFERROR(VLOOKUP(L188,'Statement of Marks'!$B$7:'Statement of Marks'!$IC$206,152,0),"")</f>
        <v>150</v>
      </c>
      <c r="O202" s="356" t="s">
        <v>134</v>
      </c>
      <c r="P202" s="355" t="str">
        <f>IFERROR(VLOOKUP(L188,'Statement of Marks'!$B$7:'Statement of Marks'!$IC$206,153,0),"")</f>
        <v>B</v>
      </c>
      <c r="Q202" s="1686"/>
      <c r="R202" s="1647" t="str">
        <f>'Statement of Marks'!$DZ$208</f>
        <v>राजस्थान का स्वंत्रता आन्दोलन व शोर्य परम्परा</v>
      </c>
      <c r="S202" s="1648"/>
      <c r="T202" s="1649" t="s">
        <v>148</v>
      </c>
      <c r="U202" s="1650"/>
      <c r="V202" s="355">
        <f>IFERROR(VLOOKUP(AB188,'Statement of Marks'!$B$7:'Statement of Marks'!$IC$206,136,0),"")</f>
        <v>184</v>
      </c>
      <c r="W202" s="356" t="s">
        <v>134</v>
      </c>
      <c r="X202" s="355" t="str">
        <f>IFERROR(VLOOKUP(AB188,'Statement of Marks'!$B$7:'Statement of Marks'!$IC$206,137,0),"")</f>
        <v>A</v>
      </c>
      <c r="Y202" s="1651" t="str">
        <f>'Statement of Marks'!$EL$208</f>
        <v>सूचना प्रोद्योगिकी की अवधारणा - I</v>
      </c>
      <c r="Z202" s="1652"/>
      <c r="AA202" s="1652"/>
      <c r="AB202" s="1653"/>
      <c r="AC202" s="354" t="s">
        <v>148</v>
      </c>
      <c r="AD202" s="355">
        <f>IFERROR(VLOOKUP(AB188,'Statement of Marks'!$B$7:'Statement of Marks'!$IC$206,152,0),"")</f>
        <v>173</v>
      </c>
      <c r="AE202" s="356" t="s">
        <v>134</v>
      </c>
      <c r="AF202" s="355" t="str">
        <f>IFERROR(VLOOKUP(AB188,'Statement of Marks'!$B$7:'Statement of Marks'!$IC$206,153,0),"")</f>
        <v>A</v>
      </c>
      <c r="AV202"/>
      <c r="AW202"/>
      <c r="AX202"/>
      <c r="BA202"/>
      <c r="BB202"/>
      <c r="BC202"/>
    </row>
    <row r="203" spans="1:55" s="351" customFormat="1" ht="25.5" customHeight="1">
      <c r="A203" s="33">
        <f>IF(L188="","",A202+1)</f>
        <v>23</v>
      </c>
      <c r="B203" s="1654" t="str">
        <f>'Statement of Marks'!$FB$208</f>
        <v>स्वा. एवं शा. शिक्षा</v>
      </c>
      <c r="C203" s="1655"/>
      <c r="D203" s="1656" t="s">
        <v>148</v>
      </c>
      <c r="E203" s="1657"/>
      <c r="F203" s="355">
        <f>IFERROR(VLOOKUP(L188,'Statement of Marks'!$B$7:'Statement of Marks'!$IC$206,171,0),"")</f>
        <v>177</v>
      </c>
      <c r="G203" s="356" t="s">
        <v>134</v>
      </c>
      <c r="H203" s="355" t="str">
        <f>IFERROR(VLOOKUP(L188,'Statement of Marks'!$B$7:'Statement of Marks'!$IC$206,172,0),"")</f>
        <v>A</v>
      </c>
      <c r="I203" s="1658" t="str">
        <f>'Statement of Marks'!$FJ$208</f>
        <v>समाजोपयोगी उत्पादन कार्य एवं समाज सेवा</v>
      </c>
      <c r="J203" s="1659"/>
      <c r="K203" s="1659"/>
      <c r="L203" s="1660"/>
      <c r="M203" s="403" t="s">
        <v>148</v>
      </c>
      <c r="N203" s="404">
        <f>IFERROR(VLOOKUP(L188,'Statement of Marks'!$B$7:'Statement of Marks'!$IC$206,179,0),"")</f>
        <v>80</v>
      </c>
      <c r="O203" s="405" t="s">
        <v>134</v>
      </c>
      <c r="P203" s="404" t="str">
        <f>IFERROR(VLOOKUP(L188,'Statement of Marks'!$B$7:'Statement of Marks'!$IC$206,180,0),"")</f>
        <v>B</v>
      </c>
      <c r="Q203" s="1686"/>
      <c r="R203" s="1654" t="str">
        <f>'Statement of Marks'!$FB$208</f>
        <v>स्वा. एवं शा. शिक्षा</v>
      </c>
      <c r="S203" s="1655"/>
      <c r="T203" s="1656" t="s">
        <v>148</v>
      </c>
      <c r="U203" s="1657"/>
      <c r="V203" s="355">
        <f>IFERROR(VLOOKUP(AB188,'Statement of Marks'!$B$7:'Statement of Marks'!$IC$206,171,0),"")</f>
        <v>174</v>
      </c>
      <c r="W203" s="356" t="s">
        <v>134</v>
      </c>
      <c r="X203" s="355" t="str">
        <f>IFERROR(VLOOKUP(AB188,'Statement of Marks'!$B$7:'Statement of Marks'!$IC$206,172,0),"")</f>
        <v>A</v>
      </c>
      <c r="Y203" s="1658" t="str">
        <f>'Statement of Marks'!$FJ$208</f>
        <v>समाजोपयोगी उत्पादन कार्य एवं समाज सेवा</v>
      </c>
      <c r="Z203" s="1659"/>
      <c r="AA203" s="1659"/>
      <c r="AB203" s="1660"/>
      <c r="AC203" s="403" t="s">
        <v>148</v>
      </c>
      <c r="AD203" s="404">
        <f>IFERROR(VLOOKUP(AB188,'Statement of Marks'!$B$7:'Statement of Marks'!$IC$206,179,0),"")</f>
        <v>80</v>
      </c>
      <c r="AE203" s="405" t="s">
        <v>134</v>
      </c>
      <c r="AF203" s="404" t="str">
        <f>IFERROR(VLOOKUP(AB188,'Statement of Marks'!$B$7:'Statement of Marks'!$IC$206,180,0),"")</f>
        <v>B</v>
      </c>
      <c r="AV203"/>
      <c r="AW203"/>
      <c r="AX203"/>
      <c r="BA203"/>
      <c r="BB203"/>
      <c r="BC203"/>
    </row>
    <row r="204" spans="1:55" s="351" customFormat="1" ht="30" customHeight="1">
      <c r="A204" s="33">
        <f>IF(L188="","",A203+1)</f>
        <v>24</v>
      </c>
      <c r="B204" s="1626" t="str">
        <f>'Statement of Marks'!$FU$208</f>
        <v>कला शिक्षा</v>
      </c>
      <c r="C204" s="1627"/>
      <c r="D204" s="1628" t="s">
        <v>148</v>
      </c>
      <c r="E204" s="1629"/>
      <c r="F204" s="404">
        <f>IFERROR(VLOOKUP(L188,'Statement of Marks'!$B$7:'Statement of Marks'!$IC$206,187,0),"")</f>
        <v>66</v>
      </c>
      <c r="G204" s="405" t="s">
        <v>134</v>
      </c>
      <c r="H204" s="355" t="str">
        <f>IFERROR(VLOOKUP(L188,'Statement of Marks'!$B$7:'Statement of Marks'!$IC$206,188,0),"")</f>
        <v>B</v>
      </c>
      <c r="I204" s="1630" t="str">
        <f>IF('School Profile'!$D$12="Hindi","परीक्षा परिणाम घोषित दिनांक :-","Date of Result declaration :-")</f>
        <v>परीक्षा परिणाम घोषित दिनांक :-</v>
      </c>
      <c r="J204" s="1631"/>
      <c r="K204" s="1631"/>
      <c r="L204" s="1632"/>
      <c r="M204" s="1633">
        <f>IF(AND(L188=""),"",IF('School Profile'!$D$11="","",'School Profile'!$D$11))</f>
        <v>46106</v>
      </c>
      <c r="N204" s="1634"/>
      <c r="O204" s="690" t="str">
        <f>IF('School Profile'!$D$12="Hindi","श्रेणी","Division")</f>
        <v>श्रेणी</v>
      </c>
      <c r="P204" s="407" t="str">
        <f>IFERROR(VLOOKUP(L188,'Statement of Marks'!$B$7:'Statement of Marks'!$IC$206,229,0),"")</f>
        <v>1st</v>
      </c>
      <c r="Q204" s="1686"/>
      <c r="R204" s="1626" t="str">
        <f>'Statement of Marks'!$FU$208</f>
        <v>कला शिक्षा</v>
      </c>
      <c r="S204" s="1627"/>
      <c r="T204" s="1628" t="s">
        <v>148</v>
      </c>
      <c r="U204" s="1629"/>
      <c r="V204" s="404">
        <f>IFERROR(VLOOKUP(AB188,'Statement of Marks'!$B$7:'Statement of Marks'!$IC$206,187,0),"")</f>
        <v>69</v>
      </c>
      <c r="W204" s="405" t="s">
        <v>134</v>
      </c>
      <c r="X204" s="355" t="str">
        <f>IFERROR(VLOOKUP(AB188,'Statement of Marks'!$B$7:'Statement of Marks'!$IC$206,188,0),"")</f>
        <v>B</v>
      </c>
      <c r="Y204" s="1630" t="str">
        <f>IF('School Profile'!$D$12="Hindi","परीक्षा परिणाम घोषित दिनांक :-","Date of Result declaration :-")</f>
        <v>परीक्षा परिणाम घोषित दिनांक :-</v>
      </c>
      <c r="Z204" s="1631"/>
      <c r="AA204" s="1631"/>
      <c r="AB204" s="1632"/>
      <c r="AC204" s="1633">
        <f>IF(AND(AB188=""),"",IF('School Profile'!$D$11="","",'School Profile'!$D$11))</f>
        <v>46106</v>
      </c>
      <c r="AD204" s="1634"/>
      <c r="AE204" s="690" t="str">
        <f>IF('School Profile'!$D$12="Hindi","श्रेणी","Division")</f>
        <v>श्रेणी</v>
      </c>
      <c r="AF204" s="407" t="str">
        <f>IFERROR(VLOOKUP(AB188,'Statement of Marks'!$B$7:'Statement of Marks'!$IC$206,229,0),"")</f>
        <v>2nd</v>
      </c>
      <c r="AV204"/>
      <c r="AW204"/>
      <c r="AX204"/>
      <c r="BA204"/>
      <c r="BB204"/>
      <c r="BC204"/>
    </row>
    <row r="205" spans="1:55" s="351" customFormat="1" ht="29.25" customHeight="1">
      <c r="A205" s="33">
        <f>IF(L188="","",A204+1)</f>
        <v>25</v>
      </c>
      <c r="B205" s="1635" t="s">
        <v>143</v>
      </c>
      <c r="C205" s="1636"/>
      <c r="D205" s="1637" t="str">
        <f>IFERROR(VLOOKUP(L188,'Statement of Marks'!$B$7:'Statement of Marks'!$IC$206,192,0),"")</f>
        <v/>
      </c>
      <c r="E205" s="1638"/>
      <c r="F205" s="1639" t="s">
        <v>76</v>
      </c>
      <c r="G205" s="1640"/>
      <c r="H205" s="406" t="str">
        <f>IFERROR(VLOOKUP(L188,'Statement of Marks'!$B$7:'Statement of Marks'!$IC$206,193,0),"")</f>
        <v/>
      </c>
      <c r="I205" s="1641" t="s">
        <v>135</v>
      </c>
      <c r="J205" s="1642"/>
      <c r="K205" s="1643">
        <f>IFERROR(IF(OR(O201="",L188=""),"",VLOOKUP(L188,'Statement of Marks'!$B$7:'Statement of Marks'!$IC$206,230,0)),"")</f>
        <v>60.083333333333336</v>
      </c>
      <c r="L205" s="1644"/>
      <c r="M205" s="1645" t="s">
        <v>144</v>
      </c>
      <c r="N205" s="1646"/>
      <c r="O205" s="1646"/>
      <c r="P205" s="408">
        <f>IFERROR(VLOOKUP(L188,'Statement of Marks'!$B$7:'Statement of Marks'!$IC$206,231,0),"")</f>
        <v>13.000000000000078</v>
      </c>
      <c r="Q205" s="1686"/>
      <c r="R205" s="1635" t="s">
        <v>143</v>
      </c>
      <c r="S205" s="1636"/>
      <c r="T205" s="1637" t="str">
        <f>IFERROR(VLOOKUP(AB188,'Statement of Marks'!$B$7:'Statement of Marks'!$IC$206,192,0),"")</f>
        <v/>
      </c>
      <c r="U205" s="1638"/>
      <c r="V205" s="1639" t="s">
        <v>76</v>
      </c>
      <c r="W205" s="1640"/>
      <c r="X205" s="406" t="str">
        <f>IFERROR(VLOOKUP(AB188,'Statement of Marks'!$B$7:'Statement of Marks'!$IC$206,193,0),"")</f>
        <v/>
      </c>
      <c r="Y205" s="1641" t="s">
        <v>135</v>
      </c>
      <c r="Z205" s="1642"/>
      <c r="AA205" s="1643">
        <f>IFERROR(IF(OR(AE201="",AB188=""),"",VLOOKUP(AB188,'Statement of Marks'!$B$7:'Statement of Marks'!$IC$206,230,0)),"")</f>
        <v>56.5</v>
      </c>
      <c r="AB205" s="1644"/>
      <c r="AC205" s="1645" t="s">
        <v>144</v>
      </c>
      <c r="AD205" s="1646"/>
      <c r="AE205" s="1646"/>
      <c r="AF205" s="408">
        <f>IFERROR(VLOOKUP(AB188,'Statement of Marks'!$B$7:'Statement of Marks'!$IC$206,231,0),"")</f>
        <v>16.999999999999773</v>
      </c>
      <c r="AV205"/>
      <c r="AW205"/>
      <c r="AX205"/>
      <c r="BA205"/>
      <c r="BB205"/>
      <c r="BC205"/>
    </row>
    <row r="206" spans="1:55" s="351" customFormat="1" ht="27.75" customHeight="1">
      <c r="A206" s="33">
        <f>IF(L188="","",A205+1)</f>
        <v>26</v>
      </c>
      <c r="B206" s="1616" t="str">
        <f>IF('School Profile'!$D$12="Hindi","मुख्य परीक्षा परिणाम ","Main Exam Result")</f>
        <v xml:space="preserve">मुख्य परीक्षा परिणाम </v>
      </c>
      <c r="C206" s="1616"/>
      <c r="D206" s="1617"/>
      <c r="E206" s="1617"/>
      <c r="F206" s="1617"/>
      <c r="G206" s="1617" t="str">
        <f>IF('School Profile'!$D$12="Hindi","विशेष योग्यता प्राप्त विषय","Subjects Of Dictation Marks")</f>
        <v>विशेष योग्यता प्राप्त विषय</v>
      </c>
      <c r="H206" s="1617"/>
      <c r="I206" s="1617"/>
      <c r="J206" s="1617"/>
      <c r="K206" s="1617"/>
      <c r="L206" s="1618" t="str">
        <f>IF('School Profile'!$D$12="Hindi","पूरक विषय","Supplementary Subject")</f>
        <v>पूरक विषय</v>
      </c>
      <c r="M206" s="1619"/>
      <c r="N206" s="1619"/>
      <c r="O206" s="1619"/>
      <c r="P206" s="1620"/>
      <c r="Q206" s="1686"/>
      <c r="R206" s="1616" t="str">
        <f>IF('School Profile'!$D$12="Hindi","मुख्य परीक्षा परिणाम ","Main Exam Result")</f>
        <v xml:space="preserve">मुख्य परीक्षा परिणाम </v>
      </c>
      <c r="S206" s="1616"/>
      <c r="T206" s="1617"/>
      <c r="U206" s="1617"/>
      <c r="V206" s="1617"/>
      <c r="W206" s="1617" t="str">
        <f>IF('School Profile'!$D$12="Hindi","विशेष योग्यता प्राप्त विषय","Subjects Of Dictation Marks")</f>
        <v>विशेष योग्यता प्राप्त विषय</v>
      </c>
      <c r="X206" s="1617"/>
      <c r="Y206" s="1617"/>
      <c r="Z206" s="1617"/>
      <c r="AA206" s="1617"/>
      <c r="AB206" s="1618" t="str">
        <f>IF('School Profile'!$D$12="Hindi","पूरक विषय","Supplementary Subject")</f>
        <v>पूरक विषय</v>
      </c>
      <c r="AC206" s="1619"/>
      <c r="AD206" s="1619"/>
      <c r="AE206" s="1619"/>
      <c r="AF206" s="1620"/>
      <c r="AV206"/>
      <c r="AW206"/>
      <c r="AX206"/>
      <c r="BA206"/>
      <c r="BB206"/>
      <c r="BC206"/>
    </row>
    <row r="207" spans="1:55" s="351" customFormat="1" ht="42.75" customHeight="1">
      <c r="A207" s="33">
        <f>IF(L188="","",A206+1)</f>
        <v>27</v>
      </c>
      <c r="B207" s="1621" t="str">
        <f>IFERROR(IF(VLOOKUP(L188,'Statement of Marks'!$B$7:'Statement of Marks'!$IC$206,226,0)="By Grace Pass","By Grace Pass and Promoted to Class 10th",IF(VLOOKUP(L188,'Statement of Marks'!$B$7:'Statement of Marks'!$IC$206,226,0)="PASS","PASS  and Promoted to Class 10th",IF(VLOOKUP(L188,'Statement of Marks'!$B$7:'Statement of Marks'!$IC$206,226,0)="SUPPLEMENTARY","Supplementary",IF(VLOOKUP(L188,'Statement of Marks'!$B$7:'Statement of Marks'!$IC$206,226,0)="Re-Exam","RE-EXAM",IF(VLOOKUP(L188,'Statement of Marks'!$B$7:'Statement of Marks'!$IC$206,226,0)="FAIL","FAIL",""))))),"")</f>
        <v>PASS  and Promoted to Class 10th</v>
      </c>
      <c r="C207" s="1621"/>
      <c r="D207" s="1621"/>
      <c r="E207" s="1621"/>
      <c r="F207" s="1621"/>
      <c r="G207" s="1622" t="str">
        <f>IFERROR(VLOOKUP(L188,'Statement of Marks'!$B$7:'Statement of Marks'!$IC$206,225,0),"")</f>
        <v xml:space="preserve"> अंग्रेजी     </v>
      </c>
      <c r="H207" s="1622"/>
      <c r="I207" s="1622"/>
      <c r="J207" s="1622"/>
      <c r="K207" s="1622"/>
      <c r="L207" s="1623" t="str">
        <f>IFERROR(VLOOKUP(L188,'Statement of Marks'!$B$7:'Statement of Marks'!$IC$206,222,0),"")</f>
        <v xml:space="preserve">      </v>
      </c>
      <c r="M207" s="1624"/>
      <c r="N207" s="1624"/>
      <c r="O207" s="1624"/>
      <c r="P207" s="1625"/>
      <c r="Q207" s="1686"/>
      <c r="R207" s="1621" t="str">
        <f>IFERROR(IF(VLOOKUP(AB188,'Statement of Marks'!$B$7:'Statement of Marks'!$IC$206,226,0)="By Grace Pass","By Grace Pass and Promoted to Class 10th",IF(VLOOKUP(AB188,'Statement of Marks'!$B$7:'Statement of Marks'!$IC$206,226,0)="PASS","PASS  and Promoted to Class 10th",IF(VLOOKUP(AB188,'Statement of Marks'!$B$7:'Statement of Marks'!$IC$206,226,0)="SUPPLEMENTARY","Supplementary",IF(VLOOKUP(AB188,'Statement of Marks'!$B$7:'Statement of Marks'!$IC$206,226,0)="Re-Exam","RE-EXAM",IF(VLOOKUP(AB188,'Statement of Marks'!$B$7:'Statement of Marks'!$IC$206,226,0)="FAIL","FAIL",""))))),"")</f>
        <v>By Grace Pass and Promoted to Class 10th</v>
      </c>
      <c r="S207" s="1621"/>
      <c r="T207" s="1621"/>
      <c r="U207" s="1621"/>
      <c r="V207" s="1621"/>
      <c r="W207" s="1622" t="str">
        <f>IFERROR(VLOOKUP(AB188,'Statement of Marks'!$B$7:'Statement of Marks'!$IC$206,225,0),"")</f>
        <v xml:space="preserve"> अंग्रेजी     </v>
      </c>
      <c r="X207" s="1622"/>
      <c r="Y207" s="1622"/>
      <c r="Z207" s="1622"/>
      <c r="AA207" s="1622"/>
      <c r="AB207" s="1623" t="str">
        <f>IFERROR(VLOOKUP(AB188,'Statement of Marks'!$B$7:'Statement of Marks'!$IC$206,222,0),"")</f>
        <v xml:space="preserve">      </v>
      </c>
      <c r="AC207" s="1624"/>
      <c r="AD207" s="1624"/>
      <c r="AE207" s="1624"/>
      <c r="AF207" s="1625"/>
      <c r="AV207"/>
      <c r="AW207"/>
      <c r="AX207"/>
      <c r="BA207"/>
      <c r="BB207"/>
      <c r="BC207"/>
    </row>
    <row r="208" spans="1:55" s="351" customFormat="1" ht="52.5" customHeight="1">
      <c r="A208" s="33">
        <f>IF(L188="","",A207+1)</f>
        <v>28</v>
      </c>
      <c r="B208" s="1612" t="str">
        <f>IF(AND(L188=""),"",CONCATENATE("(",'School Profile'!$D$18," )"))</f>
        <v>(Yogesh )</v>
      </c>
      <c r="C208" s="1612"/>
      <c r="D208" s="1612"/>
      <c r="E208" s="1612"/>
      <c r="F208" s="1612"/>
      <c r="G208" s="1613" t="str">
        <f>IF(AND(L188=""),"",CONCATENATE("( ",'School Profile'!$D$15," )"))</f>
        <v>( Heeralal Jat )</v>
      </c>
      <c r="H208" s="1613"/>
      <c r="I208" s="1613"/>
      <c r="J208" s="1613"/>
      <c r="K208" s="1614" t="str">
        <f>IF(AND(L188=""),"",CONCATENATE("( ",'School Profile'!$D$14," )"))</f>
        <v>( Dewanand )</v>
      </c>
      <c r="L208" s="1614"/>
      <c r="M208" s="1614"/>
      <c r="N208" s="1614"/>
      <c r="O208" s="1614"/>
      <c r="P208" s="1614"/>
      <c r="Q208" s="1686"/>
      <c r="R208" s="1612" t="str">
        <f>IF(AND(AB188=""),"",CONCATENATE("(",'School Profile'!$D$18," )"))</f>
        <v>(Yogesh )</v>
      </c>
      <c r="S208" s="1612"/>
      <c r="T208" s="1612"/>
      <c r="U208" s="1612"/>
      <c r="V208" s="1612"/>
      <c r="W208" s="1613" t="str">
        <f>IF(AND(AB188=""),"",CONCATENATE("( ",'School Profile'!$D$15," )"))</f>
        <v>( Heeralal Jat )</v>
      </c>
      <c r="X208" s="1613"/>
      <c r="Y208" s="1613"/>
      <c r="Z208" s="1613"/>
      <c r="AA208" s="1614" t="str">
        <f>IF(AND(AB188=""),"",CONCATENATE("( ",'School Profile'!$D$14," )"))</f>
        <v>( Dewanand )</v>
      </c>
      <c r="AB208" s="1614"/>
      <c r="AC208" s="1614"/>
      <c r="AD208" s="1614"/>
      <c r="AE208" s="1614"/>
      <c r="AF208" s="1614"/>
      <c r="AV208"/>
      <c r="AW208"/>
      <c r="AX208"/>
      <c r="BA208"/>
      <c r="BB208"/>
      <c r="BC208"/>
    </row>
    <row r="209" spans="1:55" s="351" customFormat="1" ht="24.75" customHeight="1">
      <c r="A209" s="33">
        <f>IF(L188="","",A208+1)</f>
        <v>29</v>
      </c>
      <c r="B209" s="1615" t="str">
        <f>IF('School Profile'!$D$12="Hindi","हस्ताक्षर कक्षाध्यापक","Signature of the class teacher")</f>
        <v>हस्ताक्षर कक्षाध्यापक</v>
      </c>
      <c r="C209" s="1615"/>
      <c r="D209" s="1615"/>
      <c r="E209" s="1615"/>
      <c r="F209" s="1615"/>
      <c r="G209" s="1615" t="str">
        <f>IF('School Profile'!$D$12="Hindi","हस्ताक्षर परीक्षा प्रभारी","Signature of the exam. Incharge")</f>
        <v>हस्ताक्षर परीक्षा प्रभारी</v>
      </c>
      <c r="H209" s="1615"/>
      <c r="I209" s="1615"/>
      <c r="J209" s="1615"/>
      <c r="K209" s="1615" t="str">
        <f>IF('School Profile'!$D$12="Hindi","हस्ताक्षर मय सील मोहर संस्था प्रधान","Signature &amp; Seal of the Head of the Institution")</f>
        <v>हस्ताक्षर मय सील मोहर संस्था प्रधान</v>
      </c>
      <c r="L209" s="1615"/>
      <c r="M209" s="1615"/>
      <c r="N209" s="1615"/>
      <c r="O209" s="1615"/>
      <c r="P209" s="1615"/>
      <c r="Q209" s="1686"/>
      <c r="R209" s="1615" t="str">
        <f>IF('School Profile'!$D$12="Hindi","हस्ताक्षर कक्षाध्यापक","Signature of the class teacher")</f>
        <v>हस्ताक्षर कक्षाध्यापक</v>
      </c>
      <c r="S209" s="1615"/>
      <c r="T209" s="1615"/>
      <c r="U209" s="1615"/>
      <c r="V209" s="1615"/>
      <c r="W209" s="1615" t="str">
        <f>IF('School Profile'!$D$12="Hindi","हस्ताक्षर परीक्षा प्रभारी","Signature of the exam. Incharge")</f>
        <v>हस्ताक्षर परीक्षा प्रभारी</v>
      </c>
      <c r="X209" s="1615"/>
      <c r="Y209" s="1615"/>
      <c r="Z209" s="1615"/>
      <c r="AA209" s="1615" t="str">
        <f>IF('School Profile'!$D$12="Hindi","हस्ताक्षर मय सील मोहर संस्था प्रधान","Signature &amp; Seal of the Head of the Institution")</f>
        <v>हस्ताक्षर मय सील मोहर संस्था प्रधान</v>
      </c>
      <c r="AB209" s="1615"/>
      <c r="AC209" s="1615"/>
      <c r="AD209" s="1615"/>
      <c r="AE209" s="1615"/>
      <c r="AF209" s="1615"/>
      <c r="AV209"/>
      <c r="AW209"/>
      <c r="AX209"/>
      <c r="BA209"/>
      <c r="BB209"/>
      <c r="BC209"/>
    </row>
    <row r="211" spans="1:55" s="6" customFormat="1" ht="22.5" customHeight="1">
      <c r="A211" s="33">
        <f>IF(L218="","",1)</f>
        <v>1</v>
      </c>
      <c r="B211" s="28"/>
      <c r="C211" s="28"/>
      <c r="D211" s="1557" t="str">
        <f>IF('School Profile'!$D$12="Hindi","वार्षिक रिपोर्ट कार्ड ","Report Card")</f>
        <v xml:space="preserve">वार्षिक रिपोर्ट कार्ड </v>
      </c>
      <c r="E211" s="1557"/>
      <c r="F211" s="1557"/>
      <c r="G211" s="1557"/>
      <c r="H211" s="1557"/>
      <c r="I211" s="1557"/>
      <c r="J211" s="1557"/>
      <c r="K211" s="1557"/>
      <c r="L211" s="1557"/>
      <c r="M211" s="1557"/>
      <c r="N211" s="1557"/>
      <c r="O211" s="349"/>
      <c r="P211" s="349"/>
      <c r="Q211" s="1686" t="s">
        <v>77</v>
      </c>
      <c r="R211" s="28"/>
      <c r="S211" s="28"/>
      <c r="T211" s="1557" t="str">
        <f>IF('School Profile'!$D$12="Hindi","वार्षिक रिपोर्ट कार्ड ","Report Card")</f>
        <v xml:space="preserve">वार्षिक रिपोर्ट कार्ड </v>
      </c>
      <c r="U211" s="1557"/>
      <c r="V211" s="1557"/>
      <c r="W211" s="1557"/>
      <c r="X211" s="1557"/>
      <c r="Y211" s="1557"/>
      <c r="Z211" s="1557"/>
      <c r="AA211" s="1557"/>
      <c r="AB211" s="1557"/>
      <c r="AC211" s="1557"/>
      <c r="AD211" s="1557"/>
      <c r="AE211" s="349"/>
      <c r="AF211" s="349"/>
      <c r="AV211"/>
      <c r="AW211"/>
      <c r="AX211"/>
      <c r="BA211"/>
      <c r="BB211"/>
      <c r="BC211"/>
    </row>
    <row r="212" spans="1:55" s="6" customFormat="1" ht="22.5" customHeight="1">
      <c r="A212" s="33">
        <f>IF(L218="","",A211+1)</f>
        <v>2</v>
      </c>
      <c r="B212" s="28"/>
      <c r="C212" s="28"/>
      <c r="D212" s="1687" t="str">
        <f>IF('School Profile'!$D$12="Hindi","शिक्षा विभाग, राजस्थान सरकार","Education Department, Rajasthan Government")</f>
        <v>शिक्षा विभाग, राजस्थान सरकार</v>
      </c>
      <c r="E212" s="1687"/>
      <c r="F212" s="1687"/>
      <c r="G212" s="1687"/>
      <c r="H212" s="1687"/>
      <c r="I212" s="1687"/>
      <c r="J212" s="1687"/>
      <c r="K212" s="1687"/>
      <c r="L212" s="1687"/>
      <c r="M212" s="1687"/>
      <c r="N212" s="1687"/>
      <c r="O212" s="349"/>
      <c r="P212" s="349"/>
      <c r="Q212" s="1686"/>
      <c r="R212" s="28"/>
      <c r="S212" s="28"/>
      <c r="T212" s="1687" t="str">
        <f>IF('School Profile'!$D$12="Hindi","शिक्षा विभाग, राजस्थान सरकार","Education Department, Rajasthan Government")</f>
        <v>शिक्षा विभाग, राजस्थान सरकार</v>
      </c>
      <c r="U212" s="1687"/>
      <c r="V212" s="1687"/>
      <c r="W212" s="1687"/>
      <c r="X212" s="1687"/>
      <c r="Y212" s="1687"/>
      <c r="Z212" s="1687"/>
      <c r="AA212" s="1687"/>
      <c r="AB212" s="1687"/>
      <c r="AC212" s="1687"/>
      <c r="AD212" s="1687"/>
      <c r="AE212" s="349"/>
      <c r="AF212" s="349"/>
      <c r="AV212"/>
      <c r="AW212"/>
      <c r="AX212"/>
      <c r="BA212"/>
      <c r="BB212"/>
      <c r="BC212"/>
    </row>
    <row r="213" spans="1:55" s="32" customFormat="1" ht="24.95" customHeight="1">
      <c r="A213" s="34">
        <f>IF(L218="","",A212+1)</f>
        <v>3</v>
      </c>
      <c r="B213" s="1560" t="str">
        <f>IF('School Profile'!$D$12="Hindi",CONCATENATE("विद्यालय का नाम :-","  ",'School Profile'!$D$9),CONCATENATE("School Name :-","  ",'School Profile'!$D$8))</f>
        <v xml:space="preserve">विद्यालय का नाम :-  महात्मा गाँधी राजकीय विद्यालय (अंग्रेजी माध्यम) बर, पाली </v>
      </c>
      <c r="C213" s="1560"/>
      <c r="D213" s="1560"/>
      <c r="E213" s="1560"/>
      <c r="F213" s="1560"/>
      <c r="G213" s="1560"/>
      <c r="H213" s="1560"/>
      <c r="I213" s="1560"/>
      <c r="J213" s="1560"/>
      <c r="K213" s="1560"/>
      <c r="L213" s="1560"/>
      <c r="M213" s="1560"/>
      <c r="N213" s="1560"/>
      <c r="O213" s="1560"/>
      <c r="P213" s="1560"/>
      <c r="Q213" s="1686"/>
      <c r="R213" s="1560" t="str">
        <f>IF('School Profile'!$D$12="Hindi",CONCATENATE("विद्यालय का नाम :-","  ",'School Profile'!$D$9),CONCATENATE("School Name :-","  ",'School Profile'!$D$8))</f>
        <v xml:space="preserve">विद्यालय का नाम :-  महात्मा गाँधी राजकीय विद्यालय (अंग्रेजी माध्यम) बर, पाली </v>
      </c>
      <c r="S213" s="1560"/>
      <c r="T213" s="1560"/>
      <c r="U213" s="1560"/>
      <c r="V213" s="1560"/>
      <c r="W213" s="1560"/>
      <c r="X213" s="1560"/>
      <c r="Y213" s="1560"/>
      <c r="Z213" s="1560"/>
      <c r="AA213" s="1560"/>
      <c r="AB213" s="1560"/>
      <c r="AC213" s="1560"/>
      <c r="AD213" s="1560"/>
      <c r="AE213" s="1560"/>
      <c r="AF213" s="1560"/>
      <c r="AV213"/>
      <c r="AW213"/>
      <c r="AX213"/>
      <c r="BA213"/>
      <c r="BB213"/>
      <c r="BC213"/>
    </row>
    <row r="214" spans="1:55" s="32" customFormat="1" ht="24.95" customHeight="1">
      <c r="A214" s="34">
        <f>IF(L218="","",A213+1)</f>
        <v>4</v>
      </c>
      <c r="B214" s="686"/>
      <c r="C214" s="686"/>
      <c r="D214" s="686"/>
      <c r="E214" s="686"/>
      <c r="F214" s="1688" t="str">
        <f>IF(AND(L218=""),"",IF(AND('School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14" s="1688"/>
      <c r="H214" s="1688"/>
      <c r="I214" s="1688"/>
      <c r="J214" s="1688"/>
      <c r="K214" s="1688"/>
      <c r="L214" s="1688"/>
      <c r="M214" s="1688"/>
      <c r="N214" s="1688"/>
      <c r="O214" s="1688"/>
      <c r="P214" s="686"/>
      <c r="Q214" s="1686"/>
      <c r="R214" s="686"/>
      <c r="S214" s="686"/>
      <c r="T214" s="686"/>
      <c r="U214" s="686"/>
      <c r="V214" s="1688" t="str">
        <f>IF(AND(AB218=""),"",IF(AND('School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14" s="1688"/>
      <c r="X214" s="1688"/>
      <c r="Y214" s="1688"/>
      <c r="Z214" s="1688"/>
      <c r="AA214" s="1688"/>
      <c r="AB214" s="1688"/>
      <c r="AC214" s="1688"/>
      <c r="AD214" s="1688"/>
      <c r="AE214" s="1688"/>
      <c r="AF214" s="686"/>
      <c r="AV214"/>
      <c r="AW214"/>
      <c r="AX214"/>
      <c r="AY214" s="6"/>
      <c r="AZ214" s="6"/>
      <c r="BA214"/>
      <c r="BB214"/>
      <c r="BC214"/>
    </row>
    <row r="215" spans="1:55" s="351" customFormat="1" ht="21" customHeight="1">
      <c r="A215" s="33">
        <f>IF(L218="","",A214+1)</f>
        <v>5</v>
      </c>
      <c r="B215" s="681" t="str">
        <f>IF('School Profile'!$D$12="Hindi","कक्षा  :-","CLASS :- ")</f>
        <v>कक्षा  :-</v>
      </c>
      <c r="C215" s="1691" t="str">
        <f>IF('Statement of Marks'!$E$3="","",'Statement of Marks'!$E$3)</f>
        <v>9th</v>
      </c>
      <c r="D215" s="1691"/>
      <c r="E215" s="820" t="str">
        <f>IFERROR(VLOOKUP(L218,'Statement of Marks'!$B$7:'Statement of Marks'!$IC$206,2,0),"")</f>
        <v>A</v>
      </c>
      <c r="F215" s="820"/>
      <c r="G215" s="820"/>
      <c r="H215" s="820"/>
      <c r="I215" s="1684" t="str">
        <f>IF('School Profile'!$D$12="Hindi","प्रवेशांक :","SR. NO. :")</f>
        <v>प्रवेशांक :</v>
      </c>
      <c r="J215" s="1684"/>
      <c r="K215" s="1684"/>
      <c r="L215" s="1689" t="str">
        <f>IFERROR(VLOOKUP(L218,'Statement of Marks'!$B$7:'Statement of Marks'!$IC$206,3,0),"")</f>
        <v/>
      </c>
      <c r="M215" s="1689"/>
      <c r="N215" s="1689"/>
      <c r="O215" s="1689"/>
      <c r="P215" s="414"/>
      <c r="Q215" s="1686"/>
      <c r="R215" s="681" t="str">
        <f>IF('School Profile'!$D$12="Hindi","कक्षा  :-","CLASS :- ")</f>
        <v>कक्षा  :-</v>
      </c>
      <c r="S215" s="1691" t="str">
        <f>IF('Statement of Marks'!$E$3="","",'Statement of Marks'!$E$3)</f>
        <v>9th</v>
      </c>
      <c r="T215" s="1691"/>
      <c r="U215" s="820" t="str">
        <f>IFERROR(VLOOKUP(AB218,'Statement of Marks'!$B$7:'Statement of Marks'!$IC$206,2,0),"")</f>
        <v>A</v>
      </c>
      <c r="V215" s="820"/>
      <c r="W215" s="820"/>
      <c r="X215" s="820"/>
      <c r="Y215" s="1684" t="str">
        <f>IF('School Profile'!$D$12="Hindi","प्रवेशांक :","SR. NO. :")</f>
        <v>प्रवेशांक :</v>
      </c>
      <c r="Z215" s="1684"/>
      <c r="AA215" s="1684"/>
      <c r="AB215" s="1689" t="str">
        <f>IFERROR(VLOOKUP(AB218,'Statement of Marks'!$B$7:'Statement of Marks'!$IC$206,3,0),"")</f>
        <v/>
      </c>
      <c r="AC215" s="1689"/>
      <c r="AD215" s="1689"/>
      <c r="AE215" s="1689"/>
      <c r="AF215" s="414"/>
      <c r="AV215"/>
      <c r="AW215" s="777" t="str">
        <f>L216</f>
        <v/>
      </c>
      <c r="AX215"/>
      <c r="BA215"/>
      <c r="BB215" s="777" t="str">
        <f>AB216</f>
        <v/>
      </c>
      <c r="BC215"/>
    </row>
    <row r="216" spans="1:55" s="351" customFormat="1" ht="21" customHeight="1">
      <c r="A216" s="33">
        <f>IF(L218="","",A215+1)</f>
        <v>6</v>
      </c>
      <c r="B216" s="687" t="str">
        <f>IF('School Profile'!$D$12="Hindi","विद्यार्थी का नाम :-","Student's Name :-")</f>
        <v>विद्यार्थी का नाम :-</v>
      </c>
      <c r="C216" s="1683" t="str">
        <f>IFERROR(VLOOKUP(L218,'Statement of Marks'!$B$7:'Statement of Marks'!$IC$206,5,0),"")</f>
        <v>RAHIM</v>
      </c>
      <c r="D216" s="1683"/>
      <c r="E216" s="1683"/>
      <c r="F216" s="1683"/>
      <c r="G216" s="1683"/>
      <c r="H216" s="1683"/>
      <c r="I216" s="1684" t="str">
        <f>IF('School Profile'!$D$12="Hindi","जन्म तिथि :","Date of Birth :")</f>
        <v>जन्म तिथि :</v>
      </c>
      <c r="J216" s="1684"/>
      <c r="K216" s="1684"/>
      <c r="L216" s="1690" t="str">
        <f>IFERROR(VLOOKUP(L218,'Statement of Marks'!$B$7:'Statement of Marks'!$IC$206,4,0),"")</f>
        <v/>
      </c>
      <c r="M216" s="1690"/>
      <c r="N216" s="1690"/>
      <c r="O216" s="1690"/>
      <c r="P216" s="688"/>
      <c r="Q216" s="1686"/>
      <c r="R216" s="687" t="str">
        <f>IF('School Profile'!$D$12="Hindi","विद्यार्थी का नाम :-","Student's Name :-")</f>
        <v>विद्यार्थी का नाम :-</v>
      </c>
      <c r="S216" s="1683" t="str">
        <f>IFERROR(VLOOKUP(AB218,'Statement of Marks'!$B$7:'Statement of Marks'!$IC$206,5,0),"")</f>
        <v>KARIM</v>
      </c>
      <c r="T216" s="1683"/>
      <c r="U216" s="1683"/>
      <c r="V216" s="1683"/>
      <c r="W216" s="1683"/>
      <c r="X216" s="1683"/>
      <c r="Y216" s="1684" t="str">
        <f>IF('School Profile'!$D$12="Hindi","जन्म तिथि :","Date of Birth :")</f>
        <v>जन्म तिथि :</v>
      </c>
      <c r="Z216" s="1684"/>
      <c r="AA216" s="1684"/>
      <c r="AB216" s="1690" t="str">
        <f>IFERROR(VLOOKUP(AB218,'Statement of Marks'!$B$7:'Statement of Marks'!$IC$206,4,0),"")</f>
        <v/>
      </c>
      <c r="AC216" s="1690"/>
      <c r="AD216" s="1690"/>
      <c r="AE216" s="1690"/>
      <c r="AF216" s="688"/>
      <c r="AV216" t="e">
        <f>YEAR(AW215)</f>
        <v>#VALUE!</v>
      </c>
      <c r="AW216" t="e">
        <f>MONTH(AW215)</f>
        <v>#VALUE!</v>
      </c>
      <c r="AX216" t="e">
        <f>DAY(AW215)</f>
        <v>#VALUE!</v>
      </c>
      <c r="BA216" t="e">
        <f>YEAR(BB215)</f>
        <v>#VALUE!</v>
      </c>
      <c r="BB216" t="e">
        <f>MONTH(BB215)</f>
        <v>#VALUE!</v>
      </c>
      <c r="BC216" t="e">
        <f>DAY(BB215)</f>
        <v>#VALUE!</v>
      </c>
    </row>
    <row r="217" spans="1:55" s="351" customFormat="1" ht="21" customHeight="1">
      <c r="A217" s="33">
        <f>IF(L218="","",A216+1)</f>
        <v>7</v>
      </c>
      <c r="B217" s="687" t="str">
        <f>IF('School Profile'!$D$12="Hindi","पिता का नाम :-","Father's Name :-")</f>
        <v>पिता का नाम :-</v>
      </c>
      <c r="C217" s="1683" t="str">
        <f>IFERROR(VLOOKUP(L218,'Statement of Marks'!$B$7:'Statement of Marks'!$IC$206,6,0),"")</f>
        <v/>
      </c>
      <c r="D217" s="1683"/>
      <c r="E217" s="1683"/>
      <c r="F217" s="1683"/>
      <c r="G217" s="1683"/>
      <c r="H217" s="1683"/>
      <c r="I217" s="1684" t="str">
        <f>IF('School Profile'!$D$12="Hindi","जन्मतिथि शब्दों में :-","Date of Birth in Words :-")</f>
        <v>जन्मतिथि शब्दों में :-</v>
      </c>
      <c r="J217" s="1684"/>
      <c r="K217" s="1684"/>
      <c r="L217" s="1683" t="str">
        <f>IFERROR(IF('School Profile'!$D$12="Hindi",AW218,AW220),"")</f>
        <v/>
      </c>
      <c r="M217" s="1683"/>
      <c r="N217" s="1683"/>
      <c r="O217" s="1683"/>
      <c r="P217" s="688"/>
      <c r="Q217" s="1686"/>
      <c r="R217" s="687" t="str">
        <f>IF('School Profile'!$D$12="Hindi","पिता का नाम :-","Father's Name :-")</f>
        <v>पिता का नाम :-</v>
      </c>
      <c r="S217" s="1683" t="str">
        <f>IFERROR(VLOOKUP(AB218,'Statement of Marks'!$B$7:'Statement of Marks'!$IC$206,6,0),"")</f>
        <v/>
      </c>
      <c r="T217" s="1683"/>
      <c r="U217" s="1683"/>
      <c r="V217" s="1683"/>
      <c r="W217" s="1683"/>
      <c r="X217" s="1683"/>
      <c r="Y217" s="1684" t="str">
        <f>IF('School Profile'!$D$12="Hindi","जन्मतिथि शब्दों में :-","Date of Birth in Words :-")</f>
        <v>जन्मतिथि शब्दों में :-</v>
      </c>
      <c r="Z217" s="1684"/>
      <c r="AA217" s="1684"/>
      <c r="AB217" s="1683" t="str">
        <f>IFERROR(IF('School Profile'!$D$12="Hindi",BB218,BB220),"")</f>
        <v/>
      </c>
      <c r="AC217" s="1683"/>
      <c r="AD217" s="1683"/>
      <c r="AE217" s="1683"/>
      <c r="AF217" s="688"/>
      <c r="AV217" t="e">
        <f>IF(AV216=2000,"दो हजार",IF(AV216=2001,"दो हजार एक",IF(AV216=2002,"दो हजार दो",IF(AV216=2003,"दो हजार तीन",IF(AV216=2004,"दो हजार चार",IF(AV216=2005,"दो हजार पांच",IF(AV216=2006,"दो हजार छः",IF(AV216=2007,"दो हजार सात",IF(AV216=2008,"दो हजार आठ",IF(AV216=2009,"दो हजार नौ",IF(AV216=2010,"दो हजार दस",IF(AV216=2011,"दो हजार ग्यारह",IF(AV216=2012,"दो हजार बारह",IF(AV216=2013,"दो हजार तेरह",IF(AV216=2014,"दो हजार चौदह",IF(AV216=2015,"दो हजार पंद्रह",IF(AV216=2016,"दो हजार सोलह",IF(AV216=2017,"दो हजार सत्रह",IF(AV216=2018,"दो हजार अठारह",IF(AV216=2019,"दो हजार उन्नीस",IF(AV216=2020,"दो हजार बीस",IF(AV216=2021,"दो हजार इक्कीस",IF(AV216=2022,"दो हजार बाइस","")))))))))))))))))))))))</f>
        <v>#VALUE!</v>
      </c>
      <c r="AW217" t="e">
        <f>IF(AW216=1,"जनवरी",IF(AW216=2,"फरवरी",IF(AW216=3,"मार्च",IF(AW216=4,"अप्रैल",IF(AW216=5,"मई",IF(AW216=6,"जून",IF(AW216=7,"जुलाई",IF(AW216=8,"अगस्त",IF(AW216=9,"सितम्बर",IF(AW216=10,"अक्टूबर",IF(AW216=11,"नवम्बर",IF(AW216=12,"दिसम्बर",""))))))))))))</f>
        <v>#VALUE!</v>
      </c>
      <c r="AX217" t="e">
        <f>IF(AX216=1,"एक",IF(AX216=2,"दो",IF(AX216=3,"तीन",IF(AX216=4,"चार",IF(AX216=5,"पांच",IF(AX216=6,"छः",IF(AX216=7,"सात",IF(AX216=8,"आठ",IF(AX216=9,"नौ",IF(AX216=10,"दस",IF(AX216=11,"ग्यारह",IF(AX216=12,"बारह",IF(AX216=13,"तेरह",IF(AX216=14,"चौदह",IF(AX216=15,"पंद्रह",IF(AX216=16,"सोलह",IF(AX216=17,"सत्रह",IF(AX216=18,"अठारह",IF(AX216=19,"उन्नीस",IF(AX216=20,"बीस",IF(AX216=21,"इक्कीस",IF(AX216=22,"बाइस",IF(AX216=23,"तेईस",IF(AX216=24,"चौबीस",IF(AX216=25,"पचीस",IF(AX216=26,"छबीस",IF(AX216=27,"सताईस",IF(AX216=28,"अठाइस",IF(AX216=29,"उन्नतीस",IF(AX216=30,"तीस",IF(AX216=31,"इकतीस","")))))))))))))))))))))))))))))))</f>
        <v>#VALUE!</v>
      </c>
      <c r="BA217" t="e">
        <f>IF(BA216=2000,"दो हजार",IF(BA216=2001,"दो हजार एक",IF(BA216=2002,"दो हजार दो",IF(BA216=2003,"दो हजार तीन",IF(BA216=2004,"दो हजार चार",IF(BA216=2005,"दो हजार पांच",IF(BA216=2006,"दो हजार छः",IF(BA216=2007,"दो हजार सात",IF(BA216=2008,"दो हजार आठ",IF(BA216=2009,"दो हजार नौ",IF(BA216=2010,"दो हजार दस",IF(BA216=2011,"दो हजार ग्यारह",IF(BA216=2012,"दो हजार बारह",IF(BA216=2013,"दो हजार तेरह",IF(BA216=2014,"दो हजार चौदह",IF(BA216=2015,"दो हजार पंद्रह",IF(BA216=2016,"दो हजार सोलह",IF(BA216=2017,"दो हजार सत्रह",IF(BA216=2018,"दो हजार अठारह",IF(BA216=2019,"दो हजार उन्नीस",IF(BA216=2020,"दो हजार बीस",IF(BA216=2021,"दो हजार इक्कीस",IF(BA216=2022,"दो हजार बाइस","")))))))))))))))))))))))</f>
        <v>#VALUE!</v>
      </c>
      <c r="BB217" t="e">
        <f>IF(BB216=1,"जनवरी",IF(BB216=2,"फरवरी",IF(BB216=3,"मार्च",IF(BB216=4,"अप्रैल",IF(BB216=5,"मई",IF(BB216=6,"जून",IF(BB216=7,"जुलाई",IF(BB216=8,"अगस्त",IF(BB216=9,"सितम्बर",IF(BB216=10,"अक्टूबर",IF(BB216=11,"नवम्बर",IF(BB216=12,"दिसम्बर",""))))))))))))</f>
        <v>#VALUE!</v>
      </c>
      <c r="BC217" t="e">
        <f>IF(BC216=1,"एक",IF(BC216=2,"दो",IF(BC216=3,"तीन",IF(BC216=4,"चार",IF(BC216=5,"पांच",IF(BC216=6,"छः",IF(BC216=7,"सात",IF(BC216=8,"आठ",IF(BC216=9,"नौ",IF(BC216=10,"दस",IF(BC216=11,"ग्यारह",IF(BC216=12,"बारह",IF(BC216=13,"तेरह",IF(BC216=14,"चौदह",IF(BC216=15,"पंद्रह",IF(BC216=16,"सोलह",IF(BC216=17,"सत्रह",IF(BC216=18,"अठारह",IF(BC216=19,"उन्नीस",IF(BC216=20,"बीस",IF(BC216=21,"इक्कीस",IF(BC216=22,"बाइस",IF(BC216=23,"तेईस",IF(BC216=24,"चौबीस",IF(BC216=25,"पचीस",IF(BC216=26,"छबीस",IF(BC216=27,"सताईस",IF(BC216=28,"अठाइस",IF(BC216=29,"उन्नतीस",IF(BC216=30,"तीस",IF(BC216=31,"इकतीस","")))))))))))))))))))))))))))))))</f>
        <v>#VALUE!</v>
      </c>
    </row>
    <row r="218" spans="1:55" s="351" customFormat="1" ht="21" customHeight="1">
      <c r="A218" s="33">
        <f>IF(L218="","",A217+1)</f>
        <v>8</v>
      </c>
      <c r="B218" s="681" t="str">
        <f>IF('School Profile'!$D$12="Hindi","माता का नाम :-","Mother's Name :-")</f>
        <v>माता का नाम :-</v>
      </c>
      <c r="C218" s="1683" t="str">
        <f>IFERROR(VLOOKUP(L218,'Statement of Marks'!$B$7:'Statement of Marks'!$IC$206,7,0),"")</f>
        <v/>
      </c>
      <c r="D218" s="1683"/>
      <c r="E218" s="1683"/>
      <c r="F218" s="1683"/>
      <c r="G218" s="1683"/>
      <c r="H218" s="1683"/>
      <c r="I218" s="1684" t="str">
        <f>IF('School Profile'!$D$12="Hindi","रोल नंबर :-","Roll No. :")</f>
        <v>रोल नंबर :-</v>
      </c>
      <c r="J218" s="1684"/>
      <c r="K218" s="1684"/>
      <c r="L218" s="1685">
        <f>IF(AB188="","",IF(AND(AB188+1&gt;$AN$11),"",AB188+1))</f>
        <v>915</v>
      </c>
      <c r="M218" s="1685"/>
      <c r="N218" s="1685"/>
      <c r="Q218" s="1686"/>
      <c r="R218" s="681" t="str">
        <f>IF('School Profile'!$D$12="Hindi","माता का नाम :-","Mother's Name :-")</f>
        <v>माता का नाम :-</v>
      </c>
      <c r="S218" s="1683" t="str">
        <f>IFERROR(VLOOKUP(AB218,'Statement of Marks'!$B$7:'Statement of Marks'!$IC$206,7,0),"")</f>
        <v/>
      </c>
      <c r="T218" s="1683"/>
      <c r="U218" s="1683"/>
      <c r="V218" s="1683"/>
      <c r="W218" s="1683"/>
      <c r="X218" s="1683"/>
      <c r="Y218" s="1684" t="str">
        <f>IF('School Profile'!$D$12="Hindi","रोल नंबर :-","Roll No. :")</f>
        <v>रोल नंबर :-</v>
      </c>
      <c r="Z218" s="1684"/>
      <c r="AA218" s="1684"/>
      <c r="AB218" s="1685">
        <f>IF(L218="","",IF(AND(L218+1&gt;$AN$11),"",L218+1))</f>
        <v>916</v>
      </c>
      <c r="AC218" s="1685"/>
      <c r="AD218" s="1685"/>
      <c r="AV218"/>
      <c r="AW218" t="e">
        <f>CONCATENATE(AX217," ",AW217," ",AV217)</f>
        <v>#VALUE!</v>
      </c>
      <c r="AX218"/>
      <c r="BA218"/>
      <c r="BB218" t="e">
        <f>CONCATENATE(BC217," ",BB217," ",BA217)</f>
        <v>#VALUE!</v>
      </c>
      <c r="BC218"/>
    </row>
    <row r="219" spans="1:55" s="351" customFormat="1" ht="9.75" customHeight="1">
      <c r="A219" s="33">
        <f>IF(L218="","",A218+1)</f>
        <v>9</v>
      </c>
      <c r="B219" s="1676"/>
      <c r="C219" s="1676"/>
      <c r="D219" s="1676"/>
      <c r="E219" s="1676"/>
      <c r="F219" s="1676"/>
      <c r="G219" s="1676"/>
      <c r="H219" s="1676"/>
      <c r="I219" s="1676"/>
      <c r="J219" s="1676"/>
      <c r="K219" s="1676"/>
      <c r="L219" s="1676"/>
      <c r="M219" s="1676"/>
      <c r="N219" s="1676"/>
      <c r="O219" s="1676"/>
      <c r="P219" s="401"/>
      <c r="Q219" s="1686"/>
      <c r="R219" s="1676"/>
      <c r="S219" s="1676"/>
      <c r="T219" s="1676"/>
      <c r="U219" s="1676"/>
      <c r="V219" s="1676"/>
      <c r="W219" s="1676"/>
      <c r="X219" s="1676"/>
      <c r="Y219" s="1676"/>
      <c r="Z219" s="1676"/>
      <c r="AA219" s="1676"/>
      <c r="AB219" s="1676"/>
      <c r="AC219" s="1676"/>
      <c r="AD219" s="1676"/>
      <c r="AE219" s="1676"/>
      <c r="AF219" s="401"/>
      <c r="AV219" t="e">
        <f>IF(AV216=1961,"NINETEEN SIXTY ONE",IF(AV216=1962,"NINETEEN SIXTY TWO",IF(AV216=1963,"NINETEEN SIXTY THREE",IF(AV216=1964,"NINETEEN SIXTY FOUR",IF(AV216=1965,"NINETEEN SIXTY FIVE",IF(AV216=1966,"NINETEEN SIXTY SIX",IF(AV216=1967,"NINETEEN SIXTY SEVEN",IF(AV216=1968,"NINETEEN SIXTY EIGHT",IF(AV216=1969,"NINETEEN SIXTY NINE",IF(AV216=1970,"NINETEEN SEVENTY",IF(AV216=1971,"NINETEEN SEVENTY ONE",IF(AV216=1972,"NINETEEN SEVENTY TWO",IF(AV216=1973,"NINETEEN SEVENTY THREE",IF(AV216=1974,"NINETEEN SEVENTY FOUR",IF(AV216=1975,"NINETEEN SEVENTY FIVE",IF(AV216=1976,"NINETEEN SEVENTY SIX",IF(AV216=1977,"NINETEEN SEVENTY SEVEN",IF(AV216=1978,"NINETEEN SEVENTY EIGHT",IF(AV216=1979,"NINETEEN SEVENTY NINE",IF(AV216=1980,"NINETEEN EIGHTY",IF(AV216=1981,"NINETEEN EIGHTY ONE",IF(AV216=1982,"NINETEEN EIGHTY TWO",IF(AV216=1983,"NINETEEN EIGHTY THREE",IF(AV216=1984,"NINETEEN EIGHTY FOUR",IF(AV216=1985,"NINETEEN EIGHTY FIVE",IF(AV216=1986,"NINETEEN EIGHTY SIX",IF(AV216=1987,"NINETEEN EIGHTY SEVEN",IF(AV216=1988,"NINETEEN EIGHTY EIGHT",IF(AV216=1989,"NINETEEN EIGHTY NINE",IF(AV216=1990,"NINETEEN NINETY",IF(AV216=1991,"NINETEEN NINETY ONE",IF(AV216=1992,"NINETEEN NINETY TWO",IF(AV216=1993,"NINETEEN NINETY THREE",IF(AV216=1994,"NINETEEN NINETY FOUR",IF(AV216=1995,"NINETEEN NINETY FIVE",IF(AV216=1996,"NINETEEN NINETY SIX",IF(AV216=1997,"NINETEEN NINETY SEVEN",IF(AV216=1998,"NINETEEN NINETY EIGHT",IF(AV216=1999,"NINETEEN NINETY NINE",IF(AV216=2000,"TWO THOUSAND",IF(AV216=2001,"TWO THOUSAND ONE",IF(AV216=2002,"TWO THOUSAND TWO",IF(AV216=2003,"TWO THOUSAND THREE",IF(AV216=2004,"TWO THOUSAND FOUR",IF(AV216=2005,"TWO THOUSAND FIVE",IF(AV216=2006,"TWO THOUSAND SIX",IF(AV216=2007,"TWO THOUSAND SEVEN",IF(AV216=2008,"TWO THOUSAND EIGHT",IF(AV216=2009,"TWO THOUSAND NINE",IF(AV216=2010,"TWO THOUSAND TEN",IF(AV216=2011,"TWO THOUSAND ELEVEN",IF(AV216=2012,"TWO THOUSAND TWELVE",IF(AV216=2013,"TWO THOUSAND THIRTEEN",IF(AV216=2014,"TWO THOUSAND FOURTEEN",IF(AV216=2015,"TWO THOUSAND FIFTEEN",IF(AV216=2016,"TWO THOUSAND SIXTEEN",IF(AV216=2017,"TWO THOUSAND SEVENTEEN",IF(AV216=2018,"TWO THOUSAND EIGHTEEN",IF(AV216=2019,"TWO THOUSAND NINETEEN",IF(AV216=2020,"TWO THOUSAND TWENTY",IF(AV216=2021,"TWO THOUSAND TWENTY ONE",IF(AV216=2022,"TWO THOUSAND TWENTY TWO",IF(AV216=2023,"TWO THOUSAND TWENTY THREE",IF(AV216=2024,"TWO THOUSAND TWENTY FOUR",IF(AV216=2025,"TWO THOUSAND TWENTY FIVE","")))))))))))))))))))))))))))))))))))))))))))))))))))))))))))))))))</f>
        <v>#VALUE!</v>
      </c>
      <c r="AW219" t="e">
        <f>IF(AW216=1,"JANUARY",IF(AW216=2,"FEBUARY", IF(AW216=3,"MARCH",IF(AW216=4,"APRIL",IF(AW216=5,"MAY",IF(AW216=6,"JUNE",IF(AW216=7,"JULY",IF(AW216=8,"AUGUST",IF(AW216=9,"SEPTEMBER",IF(AW216=10,"OCTOBER",IF(AW216=11,"NOVEMBER",IF(AW216=12,"DECEMBER",""))))))))))))</f>
        <v>#VALUE!</v>
      </c>
      <c r="AX219" t="e">
        <f>IF(AX216=1,"1ST",IF(AX216=2,"2ND", IF(AX216=3,"3RD",IF(AX216=4,"FOURTH",IF(AX216=5,"FIFTH",IF(AX216=6,"SIXTH",IF(AX216=7,"7TH",IF(AX216=8,"8TH",IF(AX216=9,"9TH",IF(AX216=10,"10TH",IF(AX216=11,"11TH",IF(AX216=12,"12TH",IF(AX216=13,"13TH",IF(AX216=14,"14TH",IF(AX216=15,"FIFTEEN",IF(AX216=16,"SIXTEEN",IF(AX216=17,"SEVENTEEN",IF(AX216=18,"EIGHTEEN",IF(AX216=19,"NINETEEN",IF(AX216=20,"TWENTY",IF(AX216=21,"TWENTY FIRST",IF(AX216=22,"TWENTY SECOND",IF(AX216=23,"TWENTY THIRD",IF(AX216=24,"TWENTY FOURTH",IF(AX216=25,"TWENTY FIFTH",IF(AX216=26,"TWENTY SIX",IF(AX216=27,"TWENTY SEVEN",IF(AX216=28,"TWENTY EIGHT",IF(AX216=29,"TWENTY NINE",IF(AX216=30,"THIRTY",IF(AX216=31,"THIRTY FIRST","")))))))))))))))))))))))))))))))</f>
        <v>#VALUE!</v>
      </c>
      <c r="BA219" t="e">
        <f>IF(BA216=1961,"NINETEEN SIXTY ONE",IF(BA216=1962,"NINETEEN SIXTY TWO",IF(BA216=1963,"NINETEEN SIXTY THREE",IF(BA216=1964,"NINETEEN SIXTY FOUR",IF(BA216=1965,"NINETEEN SIXTY FIVE",IF(BA216=1966,"NINETEEN SIXTY SIX",IF(BA216=1967,"NINETEEN SIXTY SEVEN",IF(BA216=1968,"NINETEEN SIXTY EIGHT",IF(BA216=1969,"NINETEEN SIXTY NINE",IF(BA216=1970,"NINETEEN SEVENTY",IF(BA216=1971,"NINETEEN SEVENTY ONE",IF(BA216=1972,"NINETEEN SEVENTY TWO",IF(BA216=1973,"NINETEEN SEVENTY THREE",IF(BA216=1974,"NINETEEN SEVENTY FOUR",IF(BA216=1975,"NINETEEN SEVENTY FIVE",IF(BA216=1976,"NINETEEN SEVENTY SIX",IF(BA216=1977,"NINETEEN SEVENTY SEVEN",IF(BA216=1978,"NINETEEN SEVENTY EIGHT",IF(BA216=1979,"NINETEEN SEVENTY NINE",IF(BA216=1980,"NINETEEN EIGHTY",IF(BA216=1981,"NINETEEN EIGHTY ONE",IF(BA216=1982,"NINETEEN EIGHTY TWO",IF(BA216=1983,"NINETEEN EIGHTY THREE",IF(BA216=1984,"NINETEEN EIGHTY FOUR",IF(BA216=1985,"NINETEEN EIGHTY FIVE",IF(BA216=1986,"NINETEEN EIGHTY SIX",IF(BA216=1987,"NINETEEN EIGHTY SEVEN",IF(BA216=1988,"NINETEEN EIGHTY EIGHT",IF(BA216=1989,"NINETEEN EIGHTY NINE",IF(BA216=1990,"NINETEEN NINETY",IF(BA216=1991,"NINETEEN NINETY ONE",IF(BA216=1992,"NINETEEN NINETY TWO",IF(BA216=1993,"NINETEEN NINETY THREE",IF(BA216=1994,"NINETEEN NINETY FOUR",IF(BA216=1995,"NINETEEN NINETY FIVE",IF(BA216=1996,"NINETEEN NINETY SIX",IF(BA216=1997,"NINETEEN NINETY SEVEN",IF(BA216=1998,"NINETEEN NINETY EIGHT",IF(BA216=1999,"NINETEEN NINETY NINE",IF(BA216=2000,"TWO THOUSAND",IF(BA216=2001,"TWO THOUSAND ONE",IF(BA216=2002,"TWO THOUSAND TWO",IF(BA216=2003,"TWO THOUSAND THREE",IF(BA216=2004,"TWO THOUSAND FOUR",IF(BA216=2005,"TWO THOUSAND FIVE",IF(BA216=2006,"TWO THOUSAND SIX",IF(BA216=2007,"TWO THOUSAND SEVEN",IF(BA216=2008,"TWO THOUSAND EIGHT",IF(BA216=2009,"TWO THOUSAND NINE",IF(BA216=2010,"TWO THOUSAND TEN",IF(BA216=2011,"TWO THOUSAND ELEVEN",IF(BA216=2012,"TWO THOUSAND TWELVE",IF(BA216=2013,"TWO THOUSAND THIRTEEN",IF(BA216=2014,"TWO THOUSAND FOURTEEN",IF(BA216=2015,"TWO THOUSAND FIFTEEN",IF(BA216=2016,"TWO THOUSAND SIXTEEN",IF(BA216=2017,"TWO THOUSAND SEVENTEEN",IF(BA216=2018,"TWO THOUSAND EIGHTEEN",IF(BA216=2019,"TWO THOUSAND NINETEEN",IF(BA216=2020,"TWO THOUSAND TWENTY",IF(BA216=2021,"TWO THOUSAND TWENTY ONE",IF(BA216=2022,"TWO THOUSAND TWENTY TWO",IF(BA216=2023,"TWO THOUSAND TWENTY THREE",IF(BA216=2024,"TWO THOUSAND TWENTY FOUR",IF(BA216=2025,"TWO THOUSAND TWENTY FIVE","")))))))))))))))))))))))))))))))))))))))))))))))))))))))))))))))))</f>
        <v>#VALUE!</v>
      </c>
      <c r="BB219" t="e">
        <f>IF(BB216=1,"JANUARY",IF(BB216=2,"FEBUARY", IF(BB216=3,"MARCH",IF(BB216=4,"APRIL",IF(BB216=5,"MAY",IF(BB216=6,"JUNE",IF(BB216=7,"JULY",IF(BB216=8,"AUGUST",IF(BB216=9,"SEPTEMBER",IF(BB216=10,"OCTOBER",IF(BB216=11,"NOVEMBER",IF(BB216=12,"DECEMBER",""))))))))))))</f>
        <v>#VALUE!</v>
      </c>
      <c r="BC219" t="e">
        <f>IF(BC216=1,"1ST",IF(BC216=2,"2ND", IF(BC216=3,"3RD",IF(BC216=4,"FOURTH",IF(BC216=5,"FIFTH",IF(BC216=6,"SIXTH",IF(BC216=7,"7TH",IF(BC216=8,"8TH",IF(BC216=9,"9TH",IF(BC216=10,"10TH",IF(BC216=11,"11TH",IF(BC216=12,"12TH",IF(BC216=13,"13TH",IF(BC216=14,"14TH",IF(BC216=15,"FIFTEEN",IF(BC216=16,"SIXTEEN",IF(BC216=17,"SEVENTEEN",IF(BC216=18,"EIGHTEEN",IF(BC216=19,"NINETEEN",IF(BC216=20,"TWENTY",IF(BC216=21,"TWENTY FIRST",IF(BC216=22,"TWENTY SECOND",IF(BC216=23,"TWENTY THIRD",IF(BC216=24,"TWENTY FOURTH",IF(BC216=25,"TWENTY FIFTH",IF(BC216=26,"TWENTY SIX",IF(BC216=27,"TWENTY SEVEN",IF(BC216=28,"TWENTY EIGHT",IF(BC216=29,"TWENTY NINE",IF(BC216=30,"THIRTY",IF(BC216=31,"THIRTY FIRST","")))))))))))))))))))))))))))))))</f>
        <v>#VALUE!</v>
      </c>
    </row>
    <row r="220" spans="1:55" s="351" customFormat="1" ht="26.25" customHeight="1">
      <c r="A220" s="33">
        <f>IF(L218="","",A219+1)</f>
        <v>10</v>
      </c>
      <c r="B220" s="1661" t="str">
        <f>IF('School Profile'!$D$12="Hindi","विषय का नाम","Subject Name")</f>
        <v>विषय का नाम</v>
      </c>
      <c r="C220" s="1662"/>
      <c r="D220" s="1681" t="str">
        <f>IF('School Profile'!$D$12="Hindi","सामयिक परख","Seasonal Exam")</f>
        <v>सामयिक परख</v>
      </c>
      <c r="E220" s="1681"/>
      <c r="F220" s="1681"/>
      <c r="G220" s="1681"/>
      <c r="H220" s="1681" t="str">
        <f>IF('School Profile'!$D$12="Hindi","अर्द्धवार्षिक","Half Yearly")</f>
        <v>अर्द्धवार्षिक</v>
      </c>
      <c r="I220" s="1681"/>
      <c r="J220" s="1681"/>
      <c r="K220" s="1556" t="str">
        <f>IF('School Profile'!$D$12="Hindi","अर्द्ध वा. तक योग","Total Till H.Y.")</f>
        <v>अर्द्ध वा. तक योग</v>
      </c>
      <c r="L220" s="1681" t="str">
        <f>IF('School Profile'!$D$12="Hindi","वार्षिक","Yearly")</f>
        <v>वार्षिक</v>
      </c>
      <c r="M220" s="1681"/>
      <c r="N220" s="1681"/>
      <c r="O220" s="1550" t="str">
        <f>IF('School Profile'!$D$12="Hindi","विषय कुल योग ","Subject Total")</f>
        <v xml:space="preserve">विषय कुल योग </v>
      </c>
      <c r="P220" s="1682" t="str">
        <f>IF('School Profile'!$D$12="Hindi","विषय परिणाम / विषय श्रेणी","Sub. Result /  Sub. Div.")</f>
        <v>विषय परिणाम / विषय श्रेणी</v>
      </c>
      <c r="Q220" s="1686"/>
      <c r="R220" s="1661" t="str">
        <f>IF('School Profile'!$D$12="Hindi","विषय का नाम","Subject Name")</f>
        <v>विषय का नाम</v>
      </c>
      <c r="S220" s="1662"/>
      <c r="T220" s="1681" t="str">
        <f>IF('School Profile'!$D$12="Hindi","सामयिक परख","Seasonal Exam")</f>
        <v>सामयिक परख</v>
      </c>
      <c r="U220" s="1681"/>
      <c r="V220" s="1681"/>
      <c r="W220" s="1681"/>
      <c r="X220" s="1681" t="str">
        <f>IF('School Profile'!$D$12="Hindi","अर्द्धवार्षिक","Half Yearly")</f>
        <v>अर्द्धवार्षिक</v>
      </c>
      <c r="Y220" s="1681"/>
      <c r="Z220" s="1681"/>
      <c r="AA220" s="1556" t="str">
        <f>IF('School Profile'!$D$12="Hindi","अर्द्ध वा. तक योग","Total Till H.Y.")</f>
        <v>अर्द्ध वा. तक योग</v>
      </c>
      <c r="AB220" s="1681" t="str">
        <f>IF('School Profile'!$D$12="Hindi","वार्षिक","Yearly")</f>
        <v>वार्षिक</v>
      </c>
      <c r="AC220" s="1681"/>
      <c r="AD220" s="1681"/>
      <c r="AE220" s="1550" t="str">
        <f>IF('School Profile'!$D$12="Hindi","विषय कुल योग ","Subject Total")</f>
        <v xml:space="preserve">विषय कुल योग </v>
      </c>
      <c r="AF220" s="1682" t="str">
        <f>IF('School Profile'!$D$12="Hindi","विषय परिणाम / विषय श्रेणी","Sub. Result /  Sub. Div.")</f>
        <v>विषय परिणाम / विषय श्रेणी</v>
      </c>
      <c r="AV220"/>
      <c r="AW220" t="e">
        <f>CONCATENATE(AW219," ",AX219,", ",AV219)</f>
        <v>#VALUE!</v>
      </c>
      <c r="AX220"/>
      <c r="BA220"/>
      <c r="BB220" t="e">
        <f>CONCATENATE(BB219," ",BC219,", ",BA219)</f>
        <v>#VALUE!</v>
      </c>
      <c r="BC220"/>
    </row>
    <row r="221" spans="1:55" s="351" customFormat="1" ht="78.75" customHeight="1">
      <c r="A221" s="33">
        <f>IF(L218="","",A220+1)</f>
        <v>11</v>
      </c>
      <c r="B221" s="1677"/>
      <c r="C221" s="1678"/>
      <c r="D221" s="656" t="str">
        <f>IF('School Profile'!$D$12="Hindi","प्रथम परख ","First Test")</f>
        <v xml:space="preserve">प्रथम परख </v>
      </c>
      <c r="E221" s="656" t="str">
        <f>IF('School Profile'!$D$12="Hindi","द्वितीय परख","Second Test")</f>
        <v>द्वितीय परख</v>
      </c>
      <c r="F221" s="656" t="str">
        <f>IF('School Profile'!$D$12="Hindi","तृतीय परख","Third Test")</f>
        <v>तृतीय परख</v>
      </c>
      <c r="G221" s="657" t="str">
        <f>IF('School Profile'!$D$12="Hindi","सा. परख योग","Test Total")</f>
        <v>सा. परख योग</v>
      </c>
      <c r="H221" s="658" t="str">
        <f>IF('School Profile'!$D$12="Hindi","सैद्धान्तिक","Theoretical")</f>
        <v>सैद्धान्तिक</v>
      </c>
      <c r="I221" s="658" t="str">
        <f>IF('School Profile'!$D$12="Hindi","प्रायोगिक","Practical")</f>
        <v>प्रायोगिक</v>
      </c>
      <c r="J221" s="659" t="str">
        <f>IF('School Profile'!$D$12="Hindi","अर्द्धवार्षिक योग","H.Y.  Total")</f>
        <v>अर्द्धवार्षिक योग</v>
      </c>
      <c r="K221" s="1556"/>
      <c r="L221" s="658" t="str">
        <f>IF('School Profile'!$D$12="Hindi","सैद्धान्तिक","Theoretical")</f>
        <v>सैद्धान्तिक</v>
      </c>
      <c r="M221" s="658" t="str">
        <f>IF('School Profile'!$D$12="Hindi","प्रायोगिक","Practical")</f>
        <v>प्रायोगिक</v>
      </c>
      <c r="N221" s="659" t="str">
        <f>IF('School Profile'!$D$12="Hindi","वार्षिक योग","Yearly  Total")</f>
        <v>वार्षिक योग</v>
      </c>
      <c r="O221" s="1550"/>
      <c r="P221" s="1552"/>
      <c r="Q221" s="1686"/>
      <c r="R221" s="1677"/>
      <c r="S221" s="1678"/>
      <c r="T221" s="656" t="str">
        <f>IF('School Profile'!$D$12="Hindi","प्रथम परख ","First Test")</f>
        <v xml:space="preserve">प्रथम परख </v>
      </c>
      <c r="U221" s="656" t="str">
        <f>IF('School Profile'!$D$12="Hindi","द्वितीय परख","Second Test")</f>
        <v>द्वितीय परख</v>
      </c>
      <c r="V221" s="656" t="str">
        <f>IF('School Profile'!$D$12="Hindi","तृतीय परख","Third Test")</f>
        <v>तृतीय परख</v>
      </c>
      <c r="W221" s="657" t="str">
        <f>IF('School Profile'!$D$12="Hindi","सा. परख योग","Test Total")</f>
        <v>सा. परख योग</v>
      </c>
      <c r="X221" s="658" t="str">
        <f>IF('School Profile'!$D$12="Hindi","सैद्धान्तिक","Theoretical")</f>
        <v>सैद्धान्तिक</v>
      </c>
      <c r="Y221" s="658" t="str">
        <f>IF('School Profile'!$D$12="Hindi","प्रायोगिक","Practical")</f>
        <v>प्रायोगिक</v>
      </c>
      <c r="Z221" s="659" t="str">
        <f>IF('School Profile'!$D$12="Hindi","अर्द्धवार्षिक योग","H.Y.  Total")</f>
        <v>अर्द्धवार्षिक योग</v>
      </c>
      <c r="AA221" s="1556"/>
      <c r="AB221" s="658" t="str">
        <f>IF('School Profile'!$D$12="Hindi","सैद्धान्तिक","Theoretical")</f>
        <v>सैद्धान्तिक</v>
      </c>
      <c r="AC221" s="658" t="str">
        <f>IF('School Profile'!$D$12="Hindi","प्रायोगिक","Practical")</f>
        <v>प्रायोगिक</v>
      </c>
      <c r="AD221" s="659" t="str">
        <f>IF('School Profile'!$D$12="Hindi","वार्षिक योग","Yearly  Total")</f>
        <v>वार्षिक योग</v>
      </c>
      <c r="AE221" s="1550"/>
      <c r="AF221" s="1552"/>
      <c r="AV221"/>
      <c r="AW221"/>
      <c r="AX221"/>
      <c r="BA221"/>
      <c r="BB221"/>
      <c r="BC221"/>
    </row>
    <row r="222" spans="1:55" s="353" customFormat="1" ht="21" customHeight="1">
      <c r="A222" s="33">
        <f>IF(L218="","",A221+1)</f>
        <v>12</v>
      </c>
      <c r="B222" s="1679"/>
      <c r="C222" s="1680"/>
      <c r="D222" s="663">
        <v>10</v>
      </c>
      <c r="E222" s="663">
        <v>10</v>
      </c>
      <c r="F222" s="663">
        <v>10</v>
      </c>
      <c r="G222" s="663">
        <v>30</v>
      </c>
      <c r="H222" s="665" t="s">
        <v>251</v>
      </c>
      <c r="I222" s="661">
        <v>35</v>
      </c>
      <c r="J222" s="660">
        <v>70</v>
      </c>
      <c r="K222" s="661">
        <v>100</v>
      </c>
      <c r="L222" s="664" t="s">
        <v>252</v>
      </c>
      <c r="M222" s="663">
        <v>50</v>
      </c>
      <c r="N222" s="660">
        <v>100</v>
      </c>
      <c r="O222" s="662">
        <v>200</v>
      </c>
      <c r="P222" s="1553"/>
      <c r="Q222" s="1686"/>
      <c r="R222" s="1679"/>
      <c r="S222" s="1680"/>
      <c r="T222" s="663">
        <v>10</v>
      </c>
      <c r="U222" s="663">
        <v>10</v>
      </c>
      <c r="V222" s="663">
        <v>10</v>
      </c>
      <c r="W222" s="663">
        <v>30</v>
      </c>
      <c r="X222" s="665" t="s">
        <v>251</v>
      </c>
      <c r="Y222" s="661">
        <v>35</v>
      </c>
      <c r="Z222" s="660">
        <v>70</v>
      </c>
      <c r="AA222" s="661">
        <v>100</v>
      </c>
      <c r="AB222" s="664" t="s">
        <v>252</v>
      </c>
      <c r="AC222" s="663">
        <v>50</v>
      </c>
      <c r="AD222" s="660">
        <v>100</v>
      </c>
      <c r="AE222" s="662">
        <v>200</v>
      </c>
      <c r="AF222" s="1553"/>
      <c r="AV222"/>
      <c r="AW222"/>
      <c r="AX222"/>
      <c r="BA222"/>
      <c r="BB222"/>
      <c r="BC222"/>
    </row>
    <row r="223" spans="1:55" s="351" customFormat="1" ht="22.5" customHeight="1">
      <c r="A223" s="33">
        <f>IF(L218="","",A222+1)</f>
        <v>13</v>
      </c>
      <c r="B223" s="1674" t="str">
        <f>'Statement of Marks'!$K$3</f>
        <v>हिंदी</v>
      </c>
      <c r="C223" s="1675"/>
      <c r="D223" s="26">
        <f>IFERROR(VLOOKUP(L218,'Statement of Marks'!$B$7:'Statement of Marks'!$IC$206,10,0),"")</f>
        <v>8</v>
      </c>
      <c r="E223" s="26">
        <f>IFERROR(VLOOKUP(L218,'Statement of Marks'!$B$7:'Statement of Marks'!$IC$206,11,0),"")</f>
        <v>9</v>
      </c>
      <c r="F223" s="26">
        <f>IFERROR(VLOOKUP(L218,'Statement of Marks'!$B$7:'Statement of Marks'!$IC$206,12,0),"")</f>
        <v>8</v>
      </c>
      <c r="G223" s="26">
        <f>IFERROR(VLOOKUP(L218,'Statement of Marks'!$B$7:'Statement of Marks'!$IC$206,13,0),"")</f>
        <v>25</v>
      </c>
      <c r="H223" s="26">
        <f>IFERROR(VLOOKUP(L218,'Statement of Marks'!$B$7:'Statement of Marks'!$IC$206,14,0),"")</f>
        <v>46</v>
      </c>
      <c r="I223" s="26"/>
      <c r="J223" s="347">
        <f>IF(L218="","",IF(AND(H223="",I223=""),"",SUM(H223,I223)))</f>
        <v>46</v>
      </c>
      <c r="K223" s="679">
        <f>IFERROR(IF(L218="","",IF(AND(G223="",J223=""),"",SUM(G223,J223))),"")</f>
        <v>71</v>
      </c>
      <c r="L223" s="26">
        <f>IFERROR(VLOOKUP(L218,'Statement of Marks'!$B$7:'Statement of Marks'!$IC$206,16,0),"")</f>
        <v>25</v>
      </c>
      <c r="M223" s="26"/>
      <c r="N223" s="347">
        <f>IF(L218="","",IF(AND(L223="",M223=""),"",SUM(L223,M223)))</f>
        <v>25</v>
      </c>
      <c r="O223" s="674">
        <f>IFERROR(VLOOKUP(L218,'Statement of Marks'!$B$7:'Statement of Marks'!$IC$206,17,0),"")</f>
        <v>96</v>
      </c>
      <c r="P223" s="680" t="str">
        <f>IFERROR(IF(O223="","",IF(VLOOKUP(L218,'Statement of Marks'!$B$7:'Statement of Marks'!$IC$206,195,0)="D","I",IF(VLOOKUP(L218,'Statement of Marks'!$B$7:'Statement of Marks'!$IC$206,195,0)="G1","G",IF(VLOOKUP(L218,'Statement of Marks'!$B$7:'Statement of Marks'!$IC$206,195,0)="G2","G",VLOOKUP(L218,'Statement of Marks'!$B$7:'Statement of Marks'!$IC$206,195,0))))),"")</f>
        <v>II</v>
      </c>
      <c r="Q223" s="1686"/>
      <c r="R223" s="1674" t="str">
        <f>'Statement of Marks'!$K$3</f>
        <v>हिंदी</v>
      </c>
      <c r="S223" s="1675"/>
      <c r="T223" s="26">
        <f>IFERROR(VLOOKUP(AB218,'Statement of Marks'!$B$7:'Statement of Marks'!$IC$206,10,0),"")</f>
        <v>8</v>
      </c>
      <c r="U223" s="26">
        <f>IFERROR(VLOOKUP(AB218,'Statement of Marks'!$B$7:'Statement of Marks'!$IC$206,11,0),"")</f>
        <v>9</v>
      </c>
      <c r="V223" s="26">
        <f>IFERROR(VLOOKUP(AB218,'Statement of Marks'!$B$7:'Statement of Marks'!$IC$206,12,0),"")</f>
        <v>8</v>
      </c>
      <c r="W223" s="26">
        <f>IFERROR(VLOOKUP(AB218,'Statement of Marks'!$B$7:'Statement of Marks'!$IC$206,13,0),"")</f>
        <v>25</v>
      </c>
      <c r="X223" s="26">
        <f>IFERROR(VLOOKUP(AB218,'Statement of Marks'!$B$7:'Statement of Marks'!$IC$206,14,0),"")</f>
        <v>46</v>
      </c>
      <c r="Y223" s="26"/>
      <c r="Z223" s="347">
        <f>IF(AB218="","",IF(AND(X223="",Y223=""),"",SUM(X223,Y223)))</f>
        <v>46</v>
      </c>
      <c r="AA223" s="679">
        <f>IFERROR(IF(AB218="","",IF(AND(W223="",Z223=""),"",SUM(W223,Z223))),"")</f>
        <v>71</v>
      </c>
      <c r="AB223" s="26">
        <f>IFERROR(VLOOKUP(AB218,'Statement of Marks'!$B$7:'Statement of Marks'!$IC$206,16,0),"")</f>
        <v>65</v>
      </c>
      <c r="AC223" s="26"/>
      <c r="AD223" s="347">
        <f>IF(AB218="","",IF(AND(AB223="",AC223=""),"",SUM(AB223,AC223)))</f>
        <v>65</v>
      </c>
      <c r="AE223" s="674">
        <f>IFERROR(VLOOKUP(AB218,'Statement of Marks'!$B$7:'Statement of Marks'!$IC$206,17,0),"")</f>
        <v>136</v>
      </c>
      <c r="AF223" s="680" t="str">
        <f>IFERROR(IF(AE223="","",IF(VLOOKUP(AB218,'Statement of Marks'!$B$7:'Statement of Marks'!$IC$206,195,0)="D","I",IF(VLOOKUP(AB218,'Statement of Marks'!$B$7:'Statement of Marks'!$IC$206,195,0)="G1","G",IF(VLOOKUP(AB218,'Statement of Marks'!$B$7:'Statement of Marks'!$IC$206,195,0)="G2","G",VLOOKUP(AB218,'Statement of Marks'!$B$7:'Statement of Marks'!$IC$206,195,0))))),"")</f>
        <v>I</v>
      </c>
      <c r="AV223"/>
      <c r="AW223"/>
      <c r="AX223"/>
      <c r="BA223"/>
      <c r="BB223"/>
      <c r="BC223"/>
    </row>
    <row r="224" spans="1:55" s="351" customFormat="1" ht="22.5" customHeight="1">
      <c r="A224" s="33">
        <f>IF(L218="","",A223+1)</f>
        <v>14</v>
      </c>
      <c r="B224" s="1674" t="str">
        <f>'Statement of Marks'!$Y$3</f>
        <v>अंग्रेजी</v>
      </c>
      <c r="C224" s="1675"/>
      <c r="D224" s="26">
        <f>IFERROR(VLOOKUP(L218,'Statement of Marks'!$B$7:'Statement of Marks'!$IC$206,24,0),"")</f>
        <v>8</v>
      </c>
      <c r="E224" s="26">
        <f>IFERROR(VLOOKUP(L218,'Statement of Marks'!$B$7:'Statement of Marks'!$IC$206,25,0),"")</f>
        <v>9</v>
      </c>
      <c r="F224" s="26">
        <f>IFERROR(VLOOKUP(L218,'Statement of Marks'!$B$7:'Statement of Marks'!$IC$206,26,0),"")</f>
        <v>8</v>
      </c>
      <c r="G224" s="26">
        <f>IFERROR(VLOOKUP(L218,'Statement of Marks'!$B$7:'Statement of Marks'!$IC$206,27,0),"")</f>
        <v>25</v>
      </c>
      <c r="H224" s="26">
        <f>IFERROR(VLOOKUP(L218,'Statement of Marks'!$B$7:'Statement of Marks'!$IC$206,28,0),"")</f>
        <v>60</v>
      </c>
      <c r="I224" s="26"/>
      <c r="J224" s="347">
        <f>IF(L218="","",IF(AND(H224="",I224=""),"",SUM(H224,I224)))</f>
        <v>60</v>
      </c>
      <c r="K224" s="679">
        <f>IFERROR(IF(L218="","",IF(AND(G224="",J224=""),"",SUM(G224,J224))),"")</f>
        <v>85</v>
      </c>
      <c r="L224" s="26">
        <f>IFERROR(VLOOKUP(L218,'Statement of Marks'!$B$7:'Statement of Marks'!$IC$206,30,0),"")</f>
        <v>85</v>
      </c>
      <c r="M224" s="26"/>
      <c r="N224" s="347">
        <f>IF(L218="","",IF(AND(L224="",M224=""),"",SUM(L224,M224)))</f>
        <v>85</v>
      </c>
      <c r="O224" s="674">
        <f>IFERROR(VLOOKUP(L218,'Statement of Marks'!$B$7:'Statement of Marks'!$IC$206,31,0),"")</f>
        <v>170</v>
      </c>
      <c r="P224" s="680" t="str">
        <f>IFERROR(IF(O223="","",IF(VLOOKUP(L218,'Statement of Marks'!$B$7:'Statement of Marks'!$IC$206,198,0)="D","I",IF(VLOOKUP(L218,'Statement of Marks'!$B$7:'Statement of Marks'!$IC$206,198,0)="G1","G",IF(VLOOKUP(L218,'Statement of Marks'!$B$7:'Statement of Marks'!$IC$206,198,0)="G2","G",VLOOKUP(L218,'Statement of Marks'!$B$7:'Statement of Marks'!$IC$206,198,0))))),"")</f>
        <v>I</v>
      </c>
      <c r="Q224" s="1686"/>
      <c r="R224" s="1674" t="str">
        <f>'Statement of Marks'!$Y$3</f>
        <v>अंग्रेजी</v>
      </c>
      <c r="S224" s="1675"/>
      <c r="T224" s="26">
        <f>IFERROR(VLOOKUP(AB218,'Statement of Marks'!$B$7:'Statement of Marks'!$IC$206,24,0),"")</f>
        <v>8</v>
      </c>
      <c r="U224" s="26">
        <f>IFERROR(VLOOKUP(AB218,'Statement of Marks'!$B$7:'Statement of Marks'!$IC$206,25,0),"")</f>
        <v>9</v>
      </c>
      <c r="V224" s="26">
        <f>IFERROR(VLOOKUP(AB218,'Statement of Marks'!$B$7:'Statement of Marks'!$IC$206,26,0),"")</f>
        <v>8</v>
      </c>
      <c r="W224" s="26">
        <f>IFERROR(VLOOKUP(AB218,'Statement of Marks'!$B$7:'Statement of Marks'!$IC$206,27,0),"")</f>
        <v>25</v>
      </c>
      <c r="X224" s="26">
        <f>IFERROR(VLOOKUP(AB218,'Statement of Marks'!$B$7:'Statement of Marks'!$IC$206,28,0),"")</f>
        <v>60</v>
      </c>
      <c r="Y224" s="26"/>
      <c r="Z224" s="347">
        <f>IF(AB218="","",IF(AND(X224="",Y224=""),"",SUM(X224,Y224)))</f>
        <v>60</v>
      </c>
      <c r="AA224" s="679">
        <f>IFERROR(IF(AB218="","",IF(AND(W224="",Z224=""),"",SUM(W224,Z224))),"")</f>
        <v>85</v>
      </c>
      <c r="AB224" s="26">
        <f>IFERROR(VLOOKUP(AB218,'Statement of Marks'!$B$7:'Statement of Marks'!$IC$206,30,0),"")</f>
        <v>85</v>
      </c>
      <c r="AC224" s="26"/>
      <c r="AD224" s="347">
        <f>IF(AB218="","",IF(AND(AB224="",AC224=""),"",SUM(AB224,AC224)))</f>
        <v>85</v>
      </c>
      <c r="AE224" s="674">
        <f>IFERROR(VLOOKUP(AB218,'Statement of Marks'!$B$7:'Statement of Marks'!$IC$206,31,0),"")</f>
        <v>170</v>
      </c>
      <c r="AF224" s="680" t="str">
        <f>IFERROR(IF(AE223="","",IF(VLOOKUP(AB218,'Statement of Marks'!$B$7:'Statement of Marks'!$IC$206,198,0)="D","I",IF(VLOOKUP(AB218,'Statement of Marks'!$B$7:'Statement of Marks'!$IC$206,198,0)="G1","G",IF(VLOOKUP(AB218,'Statement of Marks'!$B$7:'Statement of Marks'!$IC$206,198,0)="G2","G",VLOOKUP(AB218,'Statement of Marks'!$B$7:'Statement of Marks'!$IC$206,198,0))))),"")</f>
        <v>I</v>
      </c>
      <c r="AV224"/>
      <c r="AW224"/>
      <c r="AX224"/>
      <c r="BA224"/>
      <c r="BB224"/>
      <c r="BC224"/>
    </row>
    <row r="225" spans="1:55" s="351" customFormat="1" ht="22.5" customHeight="1">
      <c r="A225" s="33">
        <f>IF(L218="","",A224+1)</f>
        <v>15</v>
      </c>
      <c r="B225" s="1674" t="str">
        <f>IFERROR(VLOOKUP(L218,'Statement of Marks'!$B$7:'Statement of Marks'!$IC$206,38,0),"")</f>
        <v xml:space="preserve">सिंधी (74) </v>
      </c>
      <c r="C225" s="1675"/>
      <c r="D225" s="26">
        <f>IFERROR(VLOOKUP(L218,'Statement of Marks'!$B$7:'Statement of Marks'!$IC$206,39,0),"")</f>
        <v>8</v>
      </c>
      <c r="E225" s="26">
        <f>IFERROR(VLOOKUP(L218,'Statement of Marks'!$B$7:'Statement of Marks'!$IC$206,40,0),"")</f>
        <v>9</v>
      </c>
      <c r="F225" s="26">
        <f>IFERROR(VLOOKUP(L218,'Statement of Marks'!$B$7:'Statement of Marks'!$IC$206,41,0),"")</f>
        <v>8</v>
      </c>
      <c r="G225" s="26">
        <f>IFERROR(VLOOKUP(L218,'Statement of Marks'!$B$7:'Statement of Marks'!$IC$206,42,0),"")</f>
        <v>25</v>
      </c>
      <c r="H225" s="26">
        <f>IFERROR(VLOOKUP(L218,'Statement of Marks'!$B$7:'Statement of Marks'!$IC$206,43,0),"")</f>
        <v>46</v>
      </c>
      <c r="I225" s="26"/>
      <c r="J225" s="347">
        <f>IF(L218="","",IF(AND(H225="",I225=""),"",SUM(H225,I225)))</f>
        <v>46</v>
      </c>
      <c r="K225" s="679">
        <f>IFERROR(IF(L218="","",IF(AND(G225="",J225=""),"",SUM(G225,J225))),"")</f>
        <v>71</v>
      </c>
      <c r="L225" s="26">
        <f>IFERROR(VLOOKUP(L218,'Statement of Marks'!$B$7:'Statement of Marks'!$IC$206,45,0),"")</f>
        <v>45</v>
      </c>
      <c r="M225" s="26"/>
      <c r="N225" s="347">
        <f>IF(L218="","",IF(AND(L225="",M225=""),"",SUM(L225,M225)))</f>
        <v>45</v>
      </c>
      <c r="O225" s="674">
        <f>IFERROR(VLOOKUP(L218,'Statement of Marks'!$B$7:'Statement of Marks'!$IC$206,46,0),"")</f>
        <v>116</v>
      </c>
      <c r="P225" s="680" t="str">
        <f>IFERROR(IF(O223="","",IF(VLOOKUP(L218,'Statement of Marks'!$B$7:'Statement of Marks'!$IC$206,201,0)="D","I",IF(VLOOKUP(L218,'Statement of Marks'!$B$7:'Statement of Marks'!$IC$206,201,0)="G1","G",IF(VLOOKUP(L218,'Statement of Marks'!$B$7:'Statement of Marks'!$IC$206,201,0)="G2","G",VLOOKUP(L218,'Statement of Marks'!$B$7:'Statement of Marks'!$IC$206,201,0))))),"")</f>
        <v>II</v>
      </c>
      <c r="Q225" s="1686"/>
      <c r="R225" s="1674" t="str">
        <f>IFERROR(VLOOKUP(AB218,'Statement of Marks'!$B$7:'Statement of Marks'!$IC$206,38,0),"")</f>
        <v>पंजाबी (75)</v>
      </c>
      <c r="S225" s="1675"/>
      <c r="T225" s="26">
        <f>IFERROR(VLOOKUP(AB218,'Statement of Marks'!$B$7:'Statement of Marks'!$IC$206,39,0),"")</f>
        <v>8</v>
      </c>
      <c r="U225" s="26">
        <f>IFERROR(VLOOKUP(AB218,'Statement of Marks'!$B$7:'Statement of Marks'!$IC$206,40,0),"")</f>
        <v>9</v>
      </c>
      <c r="V225" s="26">
        <f>IFERROR(VLOOKUP(AB218,'Statement of Marks'!$B$7:'Statement of Marks'!$IC$206,41,0),"")</f>
        <v>8</v>
      </c>
      <c r="W225" s="26">
        <f>IFERROR(VLOOKUP(AB218,'Statement of Marks'!$B$7:'Statement of Marks'!$IC$206,42,0),"")</f>
        <v>25</v>
      </c>
      <c r="X225" s="26">
        <f>IFERROR(VLOOKUP(AB218,'Statement of Marks'!$B$7:'Statement of Marks'!$IC$206,43,0),"")</f>
        <v>46</v>
      </c>
      <c r="Y225" s="26"/>
      <c r="Z225" s="347">
        <f>IF(AB218="","",IF(AND(X225="",Y225=""),"",SUM(X225,Y225)))</f>
        <v>46</v>
      </c>
      <c r="AA225" s="679">
        <f>IFERROR(IF(AB218="","",IF(AND(W225="",Z225=""),"",SUM(W225,Z225))),"")</f>
        <v>71</v>
      </c>
      <c r="AB225" s="26">
        <f>IFERROR(VLOOKUP(AB218,'Statement of Marks'!$B$7:'Statement of Marks'!$IC$206,45,0),"")</f>
        <v>45</v>
      </c>
      <c r="AC225" s="26"/>
      <c r="AD225" s="347">
        <f>IF(AB218="","",IF(AND(AB225="",AC225=""),"",SUM(AB225,AC225)))</f>
        <v>45</v>
      </c>
      <c r="AE225" s="674">
        <f>IFERROR(VLOOKUP(AB218,'Statement of Marks'!$B$7:'Statement of Marks'!$IC$206,46,0),"")</f>
        <v>116</v>
      </c>
      <c r="AF225" s="680" t="str">
        <f>IFERROR(IF(AE223="","",IF(VLOOKUP(AB218,'Statement of Marks'!$B$7:'Statement of Marks'!$IC$206,201,0)="D","I",IF(VLOOKUP(AB218,'Statement of Marks'!$B$7:'Statement of Marks'!$IC$206,201,0)="G1","G",IF(VLOOKUP(AB218,'Statement of Marks'!$B$7:'Statement of Marks'!$IC$206,201,0)="G2","G",VLOOKUP(AB218,'Statement of Marks'!$B$7:'Statement of Marks'!$IC$206,201,0))))),"")</f>
        <v>II</v>
      </c>
      <c r="AV225"/>
      <c r="AW225"/>
      <c r="AX225"/>
      <c r="BA225"/>
      <c r="BB225"/>
      <c r="BC225"/>
    </row>
    <row r="226" spans="1:55" s="351" customFormat="1" ht="22.5" customHeight="1">
      <c r="A226" s="33">
        <f>IF(L218="","",A225+1)</f>
        <v>16</v>
      </c>
      <c r="B226" s="1674" t="str">
        <f>'Statement of Marks'!$BB$3</f>
        <v>गणित</v>
      </c>
      <c r="C226" s="1675"/>
      <c r="D226" s="26">
        <f>IFERROR(VLOOKUP(L218,'Statement of Marks'!$B$7:'Statement of Marks'!$IC$206,53,0),"")</f>
        <v>8</v>
      </c>
      <c r="E226" s="26">
        <f>IFERROR(VLOOKUP(L218,'Statement of Marks'!$B$7:'Statement of Marks'!$IC$206,54,0),"")</f>
        <v>9</v>
      </c>
      <c r="F226" s="26">
        <f>IFERROR(VLOOKUP(L218,'Statement of Marks'!$B$7:'Statement of Marks'!$IC$206,55,0),"")</f>
        <v>8</v>
      </c>
      <c r="G226" s="26">
        <f>IFERROR(VLOOKUP(L218,'Statement of Marks'!$B$7:'Statement of Marks'!$IC$206,56,0),"")</f>
        <v>25</v>
      </c>
      <c r="H226" s="26">
        <f>IFERROR(VLOOKUP(L218,'Statement of Marks'!$B$7:'Statement of Marks'!$IC$206,57,0),"")</f>
        <v>20</v>
      </c>
      <c r="I226" s="26"/>
      <c r="J226" s="347">
        <f>IF(L218="","",IF(AND(H226="",I226=""),"",SUM(H226,I226)))</f>
        <v>20</v>
      </c>
      <c r="K226" s="679">
        <f>IFERROR(IF(L218="","",IF(AND(G226="",J226=""),"",SUM(G226,J226))),"")</f>
        <v>45</v>
      </c>
      <c r="L226" s="26">
        <f>IFERROR(VLOOKUP(L218,'Statement of Marks'!$B$7:'Statement of Marks'!$IC$206,59,0),"")</f>
        <v>30</v>
      </c>
      <c r="M226" s="26"/>
      <c r="N226" s="347">
        <f>IF(L218="","",IF(AND(L226="",M226=""),"",SUM(L226,M226)))</f>
        <v>30</v>
      </c>
      <c r="O226" s="674">
        <f>IFERROR(VLOOKUP(L218,'Statement of Marks'!$B$7:'Statement of Marks'!$IC$206,60,0),"")</f>
        <v>75</v>
      </c>
      <c r="P226" s="680" t="str">
        <f>IFERROR(IF(O223="","",IF(VLOOKUP(L218,'Statement of Marks'!$B$7:'Statement of Marks'!$IC$206,209,0)="D","I",IF(VLOOKUP(L218,'Statement of Marks'!$B$7:'Statement of Marks'!$IC$206,209,0)="G1","G",IF(VLOOKUP(L218,'Statement of Marks'!$B$7:'Statement of Marks'!$IC$206,209,0)="G2","G",VLOOKUP(L218,'Statement of Marks'!$B$7:'Statement of Marks'!$IC$206,209,0))))),"")</f>
        <v>III</v>
      </c>
      <c r="Q226" s="1686"/>
      <c r="R226" s="1674" t="str">
        <f>'Statement of Marks'!$BB$3</f>
        <v>गणित</v>
      </c>
      <c r="S226" s="1675"/>
      <c r="T226" s="26">
        <f>IFERROR(VLOOKUP(AB218,'Statement of Marks'!$B$7:'Statement of Marks'!$IC$206,53,0),"")</f>
        <v>8</v>
      </c>
      <c r="U226" s="26">
        <f>IFERROR(VLOOKUP(AB218,'Statement of Marks'!$B$7:'Statement of Marks'!$IC$206,54,0),"")</f>
        <v>9</v>
      </c>
      <c r="V226" s="26">
        <f>IFERROR(VLOOKUP(AB218,'Statement of Marks'!$B$7:'Statement of Marks'!$IC$206,55,0),"")</f>
        <v>8</v>
      </c>
      <c r="W226" s="26">
        <f>IFERROR(VLOOKUP(AB218,'Statement of Marks'!$B$7:'Statement of Marks'!$IC$206,56,0),"")</f>
        <v>25</v>
      </c>
      <c r="X226" s="26">
        <f>IFERROR(VLOOKUP(AB218,'Statement of Marks'!$B$7:'Statement of Marks'!$IC$206,57,0),"")</f>
        <v>46</v>
      </c>
      <c r="Y226" s="26"/>
      <c r="Z226" s="347">
        <f>IF(AB218="","",IF(AND(X226="",Y226=""),"",SUM(X226,Y226)))</f>
        <v>46</v>
      </c>
      <c r="AA226" s="679">
        <f>IFERROR(IF(AB218="","",IF(AND(W226="",Z226=""),"",SUM(W226,Z226))),"")</f>
        <v>71</v>
      </c>
      <c r="AB226" s="26">
        <f>IFERROR(VLOOKUP(AB218,'Statement of Marks'!$B$7:'Statement of Marks'!$IC$206,59,0),"")</f>
        <v>45</v>
      </c>
      <c r="AC226" s="26"/>
      <c r="AD226" s="347">
        <f>IF(AB218="","",IF(AND(AB226="",AC226=""),"",SUM(AB226,AC226)))</f>
        <v>45</v>
      </c>
      <c r="AE226" s="674">
        <f>IFERROR(VLOOKUP(AB218,'Statement of Marks'!$B$7:'Statement of Marks'!$IC$206,60,0),"")</f>
        <v>116</v>
      </c>
      <c r="AF226" s="680" t="str">
        <f>IFERROR(IF(AE223="","",IF(VLOOKUP(AB218,'Statement of Marks'!$B$7:'Statement of Marks'!$IC$206,209,0)="D","I",IF(VLOOKUP(AB218,'Statement of Marks'!$B$7:'Statement of Marks'!$IC$206,209,0)="G1","G",IF(VLOOKUP(AB218,'Statement of Marks'!$B$7:'Statement of Marks'!$IC$206,209,0)="G2","G",VLOOKUP(AB218,'Statement of Marks'!$B$7:'Statement of Marks'!$IC$206,209,0))))),"")</f>
        <v>II</v>
      </c>
      <c r="AV226"/>
      <c r="AW226"/>
      <c r="AX226"/>
      <c r="BA226"/>
      <c r="BB226"/>
      <c r="BC226"/>
    </row>
    <row r="227" spans="1:55" s="351" customFormat="1" ht="22.5" customHeight="1">
      <c r="A227" s="33">
        <f>IF(L218="","",A226+1)</f>
        <v>17</v>
      </c>
      <c r="B227" s="1661" t="str">
        <f>'Statement of Marks'!$BP$3</f>
        <v>विज्ञान</v>
      </c>
      <c r="C227" s="1662"/>
      <c r="D227" s="26">
        <f>IFERROR(VLOOKUP(L218,'Statement of Marks'!$B$7:'Statement of Marks'!$IC$206,67,0),"")</f>
        <v>8</v>
      </c>
      <c r="E227" s="26">
        <f>IFERROR(VLOOKUP(L218,'Statement of Marks'!$B$7:'Statement of Marks'!$IC$206,68,0),"")</f>
        <v>9</v>
      </c>
      <c r="F227" s="26">
        <f>IFERROR(VLOOKUP(L218,'Statement of Marks'!$B$7:'Statement of Marks'!$IC$206,69,0),"")</f>
        <v>7</v>
      </c>
      <c r="G227" s="26">
        <f>IFERROR(VLOOKUP(L218,'Statement of Marks'!$B$7:'Statement of Marks'!$IC$206,70,0),"")</f>
        <v>24</v>
      </c>
      <c r="H227" s="26">
        <f>IFERROR(VLOOKUP(L218,'Statement of Marks'!$B$7:'Statement of Marks'!$IC$206,71,0),"")</f>
        <v>46</v>
      </c>
      <c r="I227" s="26"/>
      <c r="J227" s="347">
        <f>IF(L218="","",IF(AND(H227="",I227=""),"",SUM(H227,I227)))</f>
        <v>46</v>
      </c>
      <c r="K227" s="679">
        <f>IFERROR(IF(L218="","",IF(AND(G227="",J227=""),"",SUM(G227,J227))),"")</f>
        <v>70</v>
      </c>
      <c r="L227" s="26">
        <f>IFERROR(VLOOKUP(L218,'Statement of Marks'!$B$7:'Statement of Marks'!$IC$206,73,0),"")</f>
        <v>45</v>
      </c>
      <c r="M227" s="26"/>
      <c r="N227" s="347">
        <f>IF(L218="","",IF(AND(L227="",M227=""),"",SUM(L227,M227)))</f>
        <v>45</v>
      </c>
      <c r="O227" s="674">
        <f>IFERROR(VLOOKUP(L218,'Statement of Marks'!$B$7:'Statement of Marks'!$IC$206,74,0),"")</f>
        <v>115</v>
      </c>
      <c r="P227" s="680" t="str">
        <f>IFERROR(IF(O223="","",IF(VLOOKUP(L218,'Statement of Marks'!$B$7:'Statement of Marks'!$IC$206,212,0)="D","I",IF(VLOOKUP(L218,'Statement of Marks'!$B$7:'Statement of Marks'!$IC$206,212,0)="G1","G",IF(VLOOKUP(L218,'Statement of Marks'!$B$7:'Statement of Marks'!$IC$206,212,0)="G2","G",VLOOKUP(L218,'Statement of Marks'!$B$7:'Statement of Marks'!$IC$206,212,0))))),"")</f>
        <v>II</v>
      </c>
      <c r="Q227" s="1686"/>
      <c r="R227" s="1661" t="str">
        <f>'Statement of Marks'!$BP$3</f>
        <v>विज्ञान</v>
      </c>
      <c r="S227" s="1662"/>
      <c r="T227" s="26">
        <f>IFERROR(VLOOKUP(AB218,'Statement of Marks'!$B$7:'Statement of Marks'!$IC$206,67,0),"")</f>
        <v>8</v>
      </c>
      <c r="U227" s="26">
        <f>IFERROR(VLOOKUP(AB218,'Statement of Marks'!$B$7:'Statement of Marks'!$IC$206,68,0),"")</f>
        <v>9</v>
      </c>
      <c r="V227" s="26">
        <f>IFERROR(VLOOKUP(AB218,'Statement of Marks'!$B$7:'Statement of Marks'!$IC$206,69,0),"")</f>
        <v>7</v>
      </c>
      <c r="W227" s="26">
        <f>IFERROR(VLOOKUP(AB218,'Statement of Marks'!$B$7:'Statement of Marks'!$IC$206,70,0),"")</f>
        <v>24</v>
      </c>
      <c r="X227" s="26">
        <f>IFERROR(VLOOKUP(AB218,'Statement of Marks'!$B$7:'Statement of Marks'!$IC$206,71,0),"")</f>
        <v>46</v>
      </c>
      <c r="Y227" s="26"/>
      <c r="Z227" s="347">
        <f>IF(AB218="","",IF(AND(X227="",Y227=""),"",SUM(X227,Y227)))</f>
        <v>46</v>
      </c>
      <c r="AA227" s="679">
        <f>IFERROR(IF(AB218="","",IF(AND(W227="",Z227=""),"",SUM(W227,Z227))),"")</f>
        <v>70</v>
      </c>
      <c r="AB227" s="26">
        <f>IFERROR(VLOOKUP(AB218,'Statement of Marks'!$B$7:'Statement of Marks'!$IC$206,73,0),"")</f>
        <v>45</v>
      </c>
      <c r="AC227" s="26"/>
      <c r="AD227" s="347">
        <f>IF(AB218="","",IF(AND(AB227="",AC227=""),"",SUM(AB227,AC227)))</f>
        <v>45</v>
      </c>
      <c r="AE227" s="674">
        <f>IFERROR(VLOOKUP(AB218,'Statement of Marks'!$B$7:'Statement of Marks'!$IC$206,74,0),"")</f>
        <v>115</v>
      </c>
      <c r="AF227" s="680" t="str">
        <f>IFERROR(IF(AE223="","",IF(VLOOKUP(AB218,'Statement of Marks'!$B$7:'Statement of Marks'!$IC$206,212,0)="D","I",IF(VLOOKUP(AB218,'Statement of Marks'!$B$7:'Statement of Marks'!$IC$206,212,0)="G1","G",IF(VLOOKUP(AB218,'Statement of Marks'!$B$7:'Statement of Marks'!$IC$206,212,0)="G2","G",VLOOKUP(AB218,'Statement of Marks'!$B$7:'Statement of Marks'!$IC$206,212,0))))),"")</f>
        <v>II</v>
      </c>
      <c r="AV227"/>
      <c r="AW227"/>
      <c r="AX227"/>
      <c r="BA227"/>
      <c r="BB227"/>
      <c r="BC227"/>
    </row>
    <row r="228" spans="1:55" s="351" customFormat="1" ht="22.5" customHeight="1">
      <c r="A228" s="33">
        <f>IF(L218="","",A227+1)</f>
        <v>18</v>
      </c>
      <c r="B228" s="409" t="str">
        <f>'Statement of Marks'!$CE$3</f>
        <v>सामाजिक विज्ञान</v>
      </c>
      <c r="C228" s="412" t="str">
        <f>IF(OR(L218="",O228="",O230=""),"",IF(AND(O228&gt;=O230),"*",""))</f>
        <v/>
      </c>
      <c r="D228" s="26">
        <f>IFERROR(VLOOKUP(L218,'Statement of Marks'!$B$7:'Statement of Marks'!$IC$206,82,0),"")</f>
        <v>8</v>
      </c>
      <c r="E228" s="26">
        <f>IFERROR(VLOOKUP(L218,'Statement of Marks'!$B$7:'Statement of Marks'!$IC$206,83,0),"")</f>
        <v>8</v>
      </c>
      <c r="F228" s="26">
        <f>IFERROR(VLOOKUP(L218,'Statement of Marks'!$B$7:'Statement of Marks'!$IC$206,84,0),"")</f>
        <v>8</v>
      </c>
      <c r="G228" s="26">
        <f>IFERROR(VLOOKUP(L218,'Statement of Marks'!$B$7:'Statement of Marks'!$IC$206,85,0),"")</f>
        <v>24</v>
      </c>
      <c r="H228" s="26">
        <f>IFERROR(VLOOKUP(L218,'Statement of Marks'!$B$7:'Statement of Marks'!$IC$206,86,0),"")</f>
        <v>46</v>
      </c>
      <c r="I228" s="26"/>
      <c r="J228" s="347">
        <f>IF(L218="","",IF(AND(H228="",I228=""),"",SUM(H228,I228)))</f>
        <v>46</v>
      </c>
      <c r="K228" s="679">
        <f>IFERROR(IF(L218="","",IF(AND(G228="",J228=""),"",SUM(G228,J228))),"")</f>
        <v>70</v>
      </c>
      <c r="L228" s="26">
        <f>IFERROR(VLOOKUP(L218,'Statement of Marks'!$B$7:'Statement of Marks'!$IC$206,88,0),"")</f>
        <v>45</v>
      </c>
      <c r="M228" s="26"/>
      <c r="N228" s="347">
        <f>IF(L218="","",IF(AND(L228="",M228=""),"",SUM(L228,M228)))</f>
        <v>45</v>
      </c>
      <c r="O228" s="674">
        <f>IFERROR(VLOOKUP(L218,'Statement of Marks'!$B$7:'Statement of Marks'!$IC$206,89,0),"")</f>
        <v>115</v>
      </c>
      <c r="P228" s="680" t="str">
        <f>IFERROR(IF(O223="","",IF(VLOOKUP(L218,'Statement of Marks'!$B$7:'Statement of Marks'!$IC$206,215,0)="D","I",IF(VLOOKUP(L218,'Statement of Marks'!$B$7:'Statement of Marks'!$IC$206,215,0)="G1","G",IF(VLOOKUP(L218,'Statement of Marks'!$B$7:'Statement of Marks'!$IC$206,215,0)="G2","G",VLOOKUP(L218,'Statement of Marks'!$B$7:'Statement of Marks'!$IC$206,215,0))))),"")</f>
        <v>II</v>
      </c>
      <c r="Q228" s="1686"/>
      <c r="R228" s="409" t="str">
        <f>'Statement of Marks'!$CE$3</f>
        <v>सामाजिक विज्ञान</v>
      </c>
      <c r="S228" s="412" t="str">
        <f>IF(OR(AB218="",AE228="",AE230=""),"",IF(AND(AE228&gt;=AE230),"*",""))</f>
        <v/>
      </c>
      <c r="T228" s="26">
        <f>IFERROR(VLOOKUP(AB218,'Statement of Marks'!$B$7:'Statement of Marks'!$IC$206,82,0),"")</f>
        <v>8</v>
      </c>
      <c r="U228" s="26">
        <f>IFERROR(VLOOKUP(AB218,'Statement of Marks'!$B$7:'Statement of Marks'!$IC$206,83,0),"")</f>
        <v>8</v>
      </c>
      <c r="V228" s="26">
        <f>IFERROR(VLOOKUP(AB218,'Statement of Marks'!$B$7:'Statement of Marks'!$IC$206,84,0),"")</f>
        <v>8</v>
      </c>
      <c r="W228" s="26">
        <f>IFERROR(VLOOKUP(AB218,'Statement of Marks'!$B$7:'Statement of Marks'!$IC$206,85,0),"")</f>
        <v>24</v>
      </c>
      <c r="X228" s="26">
        <f>IFERROR(VLOOKUP(AB218,'Statement of Marks'!$B$7:'Statement of Marks'!$IC$206,86,0),"")</f>
        <v>46</v>
      </c>
      <c r="Y228" s="26"/>
      <c r="Z228" s="347">
        <f>IF(AB218="","",IF(AND(X228="",Y228=""),"",SUM(X228,Y228)))</f>
        <v>46</v>
      </c>
      <c r="AA228" s="679">
        <f>IFERROR(IF(AB218="","",IF(AND(W228="",Z228=""),"",SUM(W228,Z228))),"")</f>
        <v>70</v>
      </c>
      <c r="AB228" s="26">
        <f>IFERROR(VLOOKUP(AB218,'Statement of Marks'!$B$7:'Statement of Marks'!$IC$206,88,0),"")</f>
        <v>45</v>
      </c>
      <c r="AC228" s="26"/>
      <c r="AD228" s="347">
        <f>IF(AB218="","",IF(AND(AB228="",AC228=""),"",SUM(AB228,AC228)))</f>
        <v>45</v>
      </c>
      <c r="AE228" s="674">
        <f>IFERROR(VLOOKUP(AB218,'Statement of Marks'!$B$7:'Statement of Marks'!$IC$206,89,0),"")</f>
        <v>115</v>
      </c>
      <c r="AF228" s="680" t="str">
        <f>IFERROR(IF(AE223="","",IF(VLOOKUP(AB218,'Statement of Marks'!$B$7:'Statement of Marks'!$IC$206,215,0)="D","I",IF(VLOOKUP(AB218,'Statement of Marks'!$B$7:'Statement of Marks'!$IC$206,215,0)="G1","G",IF(VLOOKUP(AB218,'Statement of Marks'!$B$7:'Statement of Marks'!$IC$206,215,0)="G2","G",VLOOKUP(AB218,'Statement of Marks'!$B$7:'Statement of Marks'!$IC$206,215,0))))),"")</f>
        <v>II</v>
      </c>
      <c r="AV228"/>
      <c r="AW228"/>
      <c r="AX228"/>
      <c r="BA228"/>
      <c r="BB228"/>
      <c r="BC228"/>
    </row>
    <row r="229" spans="1:55" s="351" customFormat="1">
      <c r="A229" s="33">
        <f>IF(L218="","",A228+1)</f>
        <v>19</v>
      </c>
      <c r="B229" s="1663" t="str">
        <f>IF('School Profile'!$D$12="Hindi","व्यावसायिक शिक्षा","Vocational Education")</f>
        <v>व्यावसायिक शिक्षा</v>
      </c>
      <c r="C229" s="1664"/>
      <c r="D229" s="1665"/>
      <c r="E229" s="1665"/>
      <c r="F229" s="1665"/>
      <c r="G229" s="1665"/>
      <c r="H229" s="1665"/>
      <c r="I229" s="1665"/>
      <c r="J229" s="1665"/>
      <c r="K229" s="1665"/>
      <c r="L229" s="1665"/>
      <c r="M229" s="1665"/>
      <c r="N229" s="1665"/>
      <c r="O229" s="1665"/>
      <c r="P229" s="1666"/>
      <c r="Q229" s="1686"/>
      <c r="R229" s="1663" t="str">
        <f>IF('School Profile'!$D$12="Hindi","व्यावसायिक शिक्षा","Vocational Education")</f>
        <v>व्यावसायिक शिक्षा</v>
      </c>
      <c r="S229" s="1664"/>
      <c r="T229" s="1665"/>
      <c r="U229" s="1665"/>
      <c r="V229" s="1665"/>
      <c r="W229" s="1665"/>
      <c r="X229" s="1665"/>
      <c r="Y229" s="1665"/>
      <c r="Z229" s="1665"/>
      <c r="AA229" s="1665"/>
      <c r="AB229" s="1665"/>
      <c r="AC229" s="1665"/>
      <c r="AD229" s="1665"/>
      <c r="AE229" s="1665"/>
      <c r="AF229" s="1666"/>
      <c r="AV229"/>
      <c r="AW229"/>
      <c r="AX229"/>
      <c r="BA229"/>
      <c r="BB229"/>
      <c r="BC229"/>
    </row>
    <row r="230" spans="1:55" s="351" customFormat="1" ht="22.5" customHeight="1">
      <c r="A230" s="33">
        <f>IF(L218="","",A229+1)</f>
        <v>20</v>
      </c>
      <c r="B230" s="411" t="str">
        <f>IFERROR(VLOOKUP(L218,'Statement of Marks'!$B$7:'Statement of Marks'!$IC$206,96,0),"")</f>
        <v/>
      </c>
      <c r="C230" s="410" t="str">
        <f>IF(OR(L218="",O228="",O230="",B230=""),"",IF(AND(O230&gt;=O228),"*",""))</f>
        <v/>
      </c>
      <c r="D230" s="397" t="str">
        <f>IFERROR(VLOOKUP(L218,'Statement of Marks'!$B$7:'Statement of Marks'!$IC$206,97,0),"")</f>
        <v/>
      </c>
      <c r="E230" s="26" t="str">
        <f>IFERROR(VLOOKUP(L218,'Statement of Marks'!$B$7:'Statement of Marks'!$IC$206,98,0),"")</f>
        <v/>
      </c>
      <c r="F230" s="26" t="str">
        <f>IFERROR(VLOOKUP(L218,'Statement of Marks'!$B$7:'Statement of Marks'!$IC$206,99,0),"")</f>
        <v/>
      </c>
      <c r="G230" s="26" t="str">
        <f>IFERROR(VLOOKUP(L218,'Statement of Marks'!$B$7:'Statement of Marks'!$IC$206,100,0),"")</f>
        <v/>
      </c>
      <c r="H230" s="27" t="str">
        <f>IFERROR(VLOOKUP(L218,'Statement of Marks'!$B$7:'Statement of Marks'!$IC$206,101,0),"")</f>
        <v/>
      </c>
      <c r="I230" s="27" t="str">
        <f>IFERROR(VLOOKUP(L218,'Statement of Marks'!$B$7:'Statement of Marks'!$IC$206,102,0),"")</f>
        <v/>
      </c>
      <c r="J230" s="347" t="str">
        <f>IFERROR(VLOOKUP(L218,'Statement of Marks'!$B$7:'Statement of Marks'!$IC$206,103,0),"")</f>
        <v/>
      </c>
      <c r="K230" s="679" t="str">
        <f>IFERROR(IF(L218="","",IF(AND(G230="",J230=""),"",SUM(G230,J230))),"")</f>
        <v/>
      </c>
      <c r="L230" s="26" t="str">
        <f>IFERROR(VLOOKUP(L218,'Statement of Marks'!$B$7:'Statement of Marks'!$IC$206,105,0),"")</f>
        <v/>
      </c>
      <c r="M230" s="26" t="str">
        <f>IFERROR(VLOOKUP(L218,'Statement of Marks'!$B$7:'Statement of Marks'!$IC$206,106,0),"")</f>
        <v/>
      </c>
      <c r="N230" s="347" t="str">
        <f>IF(L218="","",IF(AND(L230="",M230=""),"",SUM(L230,M230)))</f>
        <v/>
      </c>
      <c r="O230" s="672" t="str">
        <f>IFERROR(VLOOKUP(L218,'Statement of Marks'!$B$7:'Statement of Marks'!$IC$206,108,0),"")</f>
        <v/>
      </c>
      <c r="P230" s="680" t="str">
        <f>IFERROR(IF(O223="","",IF(VLOOKUP(L218,'Statement of Marks'!$B$7:'Statement of Marks'!$IC$206,218,0)="D","I",IF(VLOOKUP(L218,'Statement of Marks'!$B$7:'Statement of Marks'!$IC$206,218,0)="G1","G",IF(VLOOKUP(L218,'Statement of Marks'!$B$7:'Statement of Marks'!$IC$206,218,0)="G2","G",VLOOKUP(L218,'Statement of Marks'!$B$7:'Statement of Marks'!$IC$206,218,0))))),"")</f>
        <v/>
      </c>
      <c r="Q230" s="1686"/>
      <c r="R230" s="411" t="str">
        <f>IFERROR(VLOOKUP(AB218,'Statement of Marks'!$B$7:'Statement of Marks'!$IC$206,96,0),"")</f>
        <v/>
      </c>
      <c r="S230" s="410" t="str">
        <f>IF(OR(AB218="",AE228="",AE230="",R230=""),"",IF(AND(AE230&gt;=AE228),"*",""))</f>
        <v/>
      </c>
      <c r="T230" s="397" t="str">
        <f>IFERROR(VLOOKUP(AB218,'Statement of Marks'!$B$7:'Statement of Marks'!$IC$206,97,0),"")</f>
        <v/>
      </c>
      <c r="U230" s="26" t="str">
        <f>IFERROR(VLOOKUP(AB218,'Statement of Marks'!$B$7:'Statement of Marks'!$IC$206,98,0),"")</f>
        <v/>
      </c>
      <c r="V230" s="26" t="str">
        <f>IFERROR(VLOOKUP(AB218,'Statement of Marks'!$B$7:'Statement of Marks'!$IC$206,99,0),"")</f>
        <v/>
      </c>
      <c r="W230" s="26" t="str">
        <f>IFERROR(VLOOKUP(AB218,'Statement of Marks'!$B$7:'Statement of Marks'!$IC$206,100,0),"")</f>
        <v/>
      </c>
      <c r="X230" s="27" t="str">
        <f>IFERROR(VLOOKUP(AB218,'Statement of Marks'!$B$7:'Statement of Marks'!$IC$206,101,0),"")</f>
        <v/>
      </c>
      <c r="Y230" s="27" t="str">
        <f>IFERROR(VLOOKUP(AB218,'Statement of Marks'!$B$7:'Statement of Marks'!$IC$206,102,0),"")</f>
        <v/>
      </c>
      <c r="Z230" s="347" t="str">
        <f>IFERROR(VLOOKUP(AB218,'Statement of Marks'!$B$7:'Statement of Marks'!$IC$206,103,0),"")</f>
        <v/>
      </c>
      <c r="AA230" s="679" t="str">
        <f>IFERROR(IF(AB218="","",IF(AND(W230="",Z230=""),"",SUM(W230,Z230))),"")</f>
        <v/>
      </c>
      <c r="AB230" s="26" t="str">
        <f>IFERROR(VLOOKUP(AB218,'Statement of Marks'!$B$7:'Statement of Marks'!$IC$206,105,0),"")</f>
        <v/>
      </c>
      <c r="AC230" s="26" t="str">
        <f>IFERROR(VLOOKUP(AB218,'Statement of Marks'!$B$7:'Statement of Marks'!$IC$206,106,0),"")</f>
        <v/>
      </c>
      <c r="AD230" s="347" t="str">
        <f>IF(AB218="","",IF(AND(AB230="",AC230=""),"",SUM(AB230,AC230)))</f>
        <v/>
      </c>
      <c r="AE230" s="672" t="str">
        <f>IFERROR(VLOOKUP(AB218,'Statement of Marks'!$B$7:'Statement of Marks'!$IC$206,108,0),"")</f>
        <v/>
      </c>
      <c r="AF230" s="680" t="str">
        <f>IFERROR(IF(AE223="","",IF(VLOOKUP(AB218,'Statement of Marks'!$B$7:'Statement of Marks'!$IC$206,218,0)="D","I",IF(VLOOKUP(AB218,'Statement of Marks'!$B$7:'Statement of Marks'!$IC$206,218,0)="G1","G",IF(VLOOKUP(AB218,'Statement of Marks'!$B$7:'Statement of Marks'!$IC$206,218,0)="G2","G",VLOOKUP(AB218,'Statement of Marks'!$B$7:'Statement of Marks'!$IC$206,218,0))))),"")</f>
        <v/>
      </c>
      <c r="AV230"/>
      <c r="AW230"/>
      <c r="AX230"/>
      <c r="BA230"/>
      <c r="BB230"/>
      <c r="BC230"/>
    </row>
    <row r="231" spans="1:55" s="351" customFormat="1" ht="25.5" customHeight="1">
      <c r="A231" s="33">
        <f>IF(L218="","",A230+1)</f>
        <v>21</v>
      </c>
      <c r="B231" s="1667"/>
      <c r="C231" s="1668"/>
      <c r="D231" s="1669"/>
      <c r="E231" s="1669"/>
      <c r="F231" s="1669"/>
      <c r="G231" s="1669"/>
      <c r="H231" s="1669"/>
      <c r="I231" s="1669"/>
      <c r="J231" s="1669"/>
      <c r="K231" s="1669"/>
      <c r="L231" s="1670" t="str">
        <f>IF('School Profile'!$D$12="Hindi","महायोग :","Grand Total :")</f>
        <v>महायोग :</v>
      </c>
      <c r="M231" s="1671"/>
      <c r="N231" s="1671"/>
      <c r="O231" s="1672">
        <f>IF(OR(L218="",C216=""),"",IF(OR(B230="",O230=""),SUM(O223,O224,O225,O226,O227,O228),IF((O228/O222*100)&gt;=(O230/O222*100),SUM(O223:O228),SUM(O223,O224,O225,O226,O227,O230))))</f>
        <v>687</v>
      </c>
      <c r="P231" s="1673"/>
      <c r="Q231" s="1686"/>
      <c r="R231" s="1667"/>
      <c r="S231" s="1668"/>
      <c r="T231" s="1669"/>
      <c r="U231" s="1669"/>
      <c r="V231" s="1669"/>
      <c r="W231" s="1669"/>
      <c r="X231" s="1669"/>
      <c r="Y231" s="1669"/>
      <c r="Z231" s="1669"/>
      <c r="AA231" s="1669"/>
      <c r="AB231" s="1670" t="str">
        <f>IF('School Profile'!$D$12="Hindi","महायोग :","Grand Total :")</f>
        <v>महायोग :</v>
      </c>
      <c r="AC231" s="1671"/>
      <c r="AD231" s="1671"/>
      <c r="AE231" s="1672">
        <f>IF(OR(AB218="",S216=""),"",IF(OR(R230="",AE230=""),SUM(AE223,AE224,AE225,AE226,AE227,AE228),IF((AE228/AE222*100)&gt;=(AE230/AE222*100),SUM(AE223:AE228),SUM(AE223,AE224,AE225,AE226,AE227,AE230))))</f>
        <v>768</v>
      </c>
      <c r="AF231" s="1673"/>
      <c r="AV231"/>
      <c r="AW231"/>
      <c r="AX231"/>
      <c r="BA231"/>
      <c r="BB231"/>
      <c r="BC231"/>
    </row>
    <row r="232" spans="1:55" s="351" customFormat="1" ht="25.5" customHeight="1">
      <c r="A232" s="33">
        <f>IF(L218="","",A231+1)</f>
        <v>22</v>
      </c>
      <c r="B232" s="1647" t="str">
        <f>'Statement of Marks'!$DZ$208</f>
        <v>राजस्थान का स्वंत्रता आन्दोलन व शोर्य परम्परा</v>
      </c>
      <c r="C232" s="1648"/>
      <c r="D232" s="1649" t="s">
        <v>148</v>
      </c>
      <c r="E232" s="1650"/>
      <c r="F232" s="355">
        <f>IFERROR(VLOOKUP(L218,'Statement of Marks'!$B$7:'Statement of Marks'!$IC$206,136,0),"")</f>
        <v>184</v>
      </c>
      <c r="G232" s="356" t="s">
        <v>134</v>
      </c>
      <c r="H232" s="355" t="str">
        <f>IFERROR(VLOOKUP(L218,'Statement of Marks'!$B$7:'Statement of Marks'!$IC$206,137,0),"")</f>
        <v>A</v>
      </c>
      <c r="I232" s="1651" t="str">
        <f>'Statement of Marks'!$EL$208</f>
        <v>सूचना प्रोद्योगिकी की अवधारणा - I</v>
      </c>
      <c r="J232" s="1652"/>
      <c r="K232" s="1652"/>
      <c r="L232" s="1653"/>
      <c r="M232" s="354" t="s">
        <v>148</v>
      </c>
      <c r="N232" s="355">
        <f>IFERROR(VLOOKUP(L218,'Statement of Marks'!$B$7:'Statement of Marks'!$IC$206,152,0),"")</f>
        <v>164</v>
      </c>
      <c r="O232" s="356" t="s">
        <v>134</v>
      </c>
      <c r="P232" s="355" t="str">
        <f>IFERROR(VLOOKUP(L218,'Statement of Marks'!$B$7:'Statement of Marks'!$IC$206,153,0),"")</f>
        <v>A</v>
      </c>
      <c r="Q232" s="1686"/>
      <c r="R232" s="1647" t="str">
        <f>'Statement of Marks'!$DZ$208</f>
        <v>राजस्थान का स्वंत्रता आन्दोलन व शोर्य परम्परा</v>
      </c>
      <c r="S232" s="1648"/>
      <c r="T232" s="1649" t="s">
        <v>148</v>
      </c>
      <c r="U232" s="1650"/>
      <c r="V232" s="355" t="str">
        <f>IFERROR(VLOOKUP(AB218,'Statement of Marks'!$B$7:'Statement of Marks'!$IC$206,136,0),"")</f>
        <v/>
      </c>
      <c r="W232" s="356" t="s">
        <v>134</v>
      </c>
      <c r="X232" s="355" t="str">
        <f>IFERROR(VLOOKUP(AB218,'Statement of Marks'!$B$7:'Statement of Marks'!$IC$206,137,0),"")</f>
        <v/>
      </c>
      <c r="Y232" s="1651" t="str">
        <f>'Statement of Marks'!$EL$208</f>
        <v>सूचना प्रोद्योगिकी की अवधारणा - I</v>
      </c>
      <c r="Z232" s="1652"/>
      <c r="AA232" s="1652"/>
      <c r="AB232" s="1653"/>
      <c r="AC232" s="354" t="s">
        <v>148</v>
      </c>
      <c r="AD232" s="355" t="str">
        <f>IFERROR(VLOOKUP(AB218,'Statement of Marks'!$B$7:'Statement of Marks'!$IC$206,152,0),"")</f>
        <v/>
      </c>
      <c r="AE232" s="356" t="s">
        <v>134</v>
      </c>
      <c r="AF232" s="355" t="str">
        <f>IFERROR(VLOOKUP(AB218,'Statement of Marks'!$B$7:'Statement of Marks'!$IC$206,153,0),"")</f>
        <v/>
      </c>
      <c r="AV232"/>
      <c r="AW232"/>
      <c r="AX232"/>
      <c r="BA232"/>
      <c r="BB232"/>
      <c r="BC232"/>
    </row>
    <row r="233" spans="1:55" s="351" customFormat="1" ht="25.5" customHeight="1">
      <c r="A233" s="33">
        <f>IF(L218="","",A232+1)</f>
        <v>23</v>
      </c>
      <c r="B233" s="1654" t="str">
        <f>'Statement of Marks'!$FB$208</f>
        <v>स्वा. एवं शा. शिक्षा</v>
      </c>
      <c r="C233" s="1655"/>
      <c r="D233" s="1656" t="s">
        <v>148</v>
      </c>
      <c r="E233" s="1657"/>
      <c r="F233" s="355">
        <f>IFERROR(VLOOKUP(L218,'Statement of Marks'!$B$7:'Statement of Marks'!$IC$206,171,0),"")</f>
        <v>138</v>
      </c>
      <c r="G233" s="356" t="s">
        <v>134</v>
      </c>
      <c r="H233" s="355" t="str">
        <f>IFERROR(VLOOKUP(L218,'Statement of Marks'!$B$7:'Statement of Marks'!$IC$206,172,0),"")</f>
        <v>B</v>
      </c>
      <c r="I233" s="1658" t="str">
        <f>'Statement of Marks'!$FJ$208</f>
        <v>समाजोपयोगी उत्पादन कार्य एवं समाज सेवा</v>
      </c>
      <c r="J233" s="1659"/>
      <c r="K233" s="1659"/>
      <c r="L233" s="1660"/>
      <c r="M233" s="403" t="s">
        <v>148</v>
      </c>
      <c r="N233" s="404">
        <f>IFERROR(VLOOKUP(L218,'Statement of Marks'!$B$7:'Statement of Marks'!$IC$206,179,0),"")</f>
        <v>80</v>
      </c>
      <c r="O233" s="405" t="s">
        <v>134</v>
      </c>
      <c r="P233" s="404" t="str">
        <f>IFERROR(VLOOKUP(L218,'Statement of Marks'!$B$7:'Statement of Marks'!$IC$206,180,0),"")</f>
        <v>B</v>
      </c>
      <c r="Q233" s="1686"/>
      <c r="R233" s="1654" t="str">
        <f>'Statement of Marks'!$FB$208</f>
        <v>स्वा. एवं शा. शिक्षा</v>
      </c>
      <c r="S233" s="1655"/>
      <c r="T233" s="1656" t="s">
        <v>148</v>
      </c>
      <c r="U233" s="1657"/>
      <c r="V233" s="355" t="str">
        <f>IFERROR(VLOOKUP(AB218,'Statement of Marks'!$B$7:'Statement of Marks'!$IC$206,171,0),"")</f>
        <v/>
      </c>
      <c r="W233" s="356" t="s">
        <v>134</v>
      </c>
      <c r="X233" s="355" t="str">
        <f>IFERROR(VLOOKUP(AB218,'Statement of Marks'!$B$7:'Statement of Marks'!$IC$206,172,0),"")</f>
        <v/>
      </c>
      <c r="Y233" s="1658" t="str">
        <f>'Statement of Marks'!$FJ$208</f>
        <v>समाजोपयोगी उत्पादन कार्य एवं समाज सेवा</v>
      </c>
      <c r="Z233" s="1659"/>
      <c r="AA233" s="1659"/>
      <c r="AB233" s="1660"/>
      <c r="AC233" s="403" t="s">
        <v>148</v>
      </c>
      <c r="AD233" s="404" t="str">
        <f>IFERROR(VLOOKUP(AB218,'Statement of Marks'!$B$7:'Statement of Marks'!$IC$206,179,0),"")</f>
        <v/>
      </c>
      <c r="AE233" s="405" t="s">
        <v>134</v>
      </c>
      <c r="AF233" s="404" t="str">
        <f>IFERROR(VLOOKUP(AB218,'Statement of Marks'!$B$7:'Statement of Marks'!$IC$206,180,0),"")</f>
        <v/>
      </c>
      <c r="AV233"/>
      <c r="AW233"/>
      <c r="AX233"/>
      <c r="BA233"/>
      <c r="BB233"/>
      <c r="BC233"/>
    </row>
    <row r="234" spans="1:55" s="351" customFormat="1" ht="30" customHeight="1">
      <c r="A234" s="33">
        <f>IF(L218="","",A233+1)</f>
        <v>24</v>
      </c>
      <c r="B234" s="1626" t="str">
        <f>'Statement of Marks'!$FU$208</f>
        <v>कला शिक्षा</v>
      </c>
      <c r="C234" s="1627"/>
      <c r="D234" s="1628" t="s">
        <v>148</v>
      </c>
      <c r="E234" s="1629"/>
      <c r="F234" s="404">
        <f>IFERROR(VLOOKUP(L218,'Statement of Marks'!$B$7:'Statement of Marks'!$IC$206,187,0),"")</f>
        <v>68</v>
      </c>
      <c r="G234" s="405" t="s">
        <v>134</v>
      </c>
      <c r="H234" s="355" t="str">
        <f>IFERROR(VLOOKUP(L218,'Statement of Marks'!$B$7:'Statement of Marks'!$IC$206,188,0),"")</f>
        <v>B</v>
      </c>
      <c r="I234" s="1630" t="str">
        <f>IF('School Profile'!$D$12="Hindi","परीक्षा परिणाम घोषित दिनांक :-","Date of Result declaration :-")</f>
        <v>परीक्षा परिणाम घोषित दिनांक :-</v>
      </c>
      <c r="J234" s="1631"/>
      <c r="K234" s="1631"/>
      <c r="L234" s="1632"/>
      <c r="M234" s="1633">
        <f>IF(AND(L218=""),"",IF('School Profile'!$D$11="","",'School Profile'!$D$11))</f>
        <v>46106</v>
      </c>
      <c r="N234" s="1634"/>
      <c r="O234" s="690" t="str">
        <f>IF('School Profile'!$D$12="Hindi","श्रेणी","Division")</f>
        <v>श्रेणी</v>
      </c>
      <c r="P234" s="407" t="str">
        <f>IFERROR(VLOOKUP(L218,'Statement of Marks'!$B$7:'Statement of Marks'!$IC$206,229,0),"")</f>
        <v>2nd</v>
      </c>
      <c r="Q234" s="1686"/>
      <c r="R234" s="1626" t="str">
        <f>'Statement of Marks'!$FU$208</f>
        <v>कला शिक्षा</v>
      </c>
      <c r="S234" s="1627"/>
      <c r="T234" s="1628" t="s">
        <v>148</v>
      </c>
      <c r="U234" s="1629"/>
      <c r="V234" s="404" t="str">
        <f>IFERROR(VLOOKUP(AB218,'Statement of Marks'!$B$7:'Statement of Marks'!$IC$206,187,0),"")</f>
        <v/>
      </c>
      <c r="W234" s="405" t="s">
        <v>134</v>
      </c>
      <c r="X234" s="355" t="str">
        <f>IFERROR(VLOOKUP(AB218,'Statement of Marks'!$B$7:'Statement of Marks'!$IC$206,188,0),"")</f>
        <v/>
      </c>
      <c r="Y234" s="1630" t="str">
        <f>IF('School Profile'!$D$12="Hindi","परीक्षा परिणाम घोषित दिनांक :-","Date of Result declaration :-")</f>
        <v>परीक्षा परिणाम घोषित दिनांक :-</v>
      </c>
      <c r="Z234" s="1631"/>
      <c r="AA234" s="1631"/>
      <c r="AB234" s="1632"/>
      <c r="AC234" s="1633">
        <f>IF(AND(AB218=""),"",IF('School Profile'!$D$11="","",'School Profile'!$D$11))</f>
        <v>46106</v>
      </c>
      <c r="AD234" s="1634"/>
      <c r="AE234" s="690" t="str">
        <f>IF('School Profile'!$D$12="Hindi","श्रेणी","Division")</f>
        <v>श्रेणी</v>
      </c>
      <c r="AF234" s="407" t="str">
        <f>IFERROR(VLOOKUP(AB218,'Statement of Marks'!$B$7:'Statement of Marks'!$IC$206,229,0),"")</f>
        <v>1st</v>
      </c>
      <c r="AV234"/>
      <c r="AW234"/>
      <c r="AX234"/>
      <c r="BA234"/>
      <c r="BB234"/>
      <c r="BC234"/>
    </row>
    <row r="235" spans="1:55" s="351" customFormat="1" ht="29.25" customHeight="1">
      <c r="A235" s="33">
        <f>IF(L218="","",A234+1)</f>
        <v>25</v>
      </c>
      <c r="B235" s="1635" t="s">
        <v>143</v>
      </c>
      <c r="C235" s="1636"/>
      <c r="D235" s="1637" t="str">
        <f>IFERROR(VLOOKUP(L218,'Statement of Marks'!$B$7:'Statement of Marks'!$IC$206,192,0),"")</f>
        <v/>
      </c>
      <c r="E235" s="1638"/>
      <c r="F235" s="1639" t="s">
        <v>76</v>
      </c>
      <c r="G235" s="1640"/>
      <c r="H235" s="406" t="str">
        <f>IFERROR(VLOOKUP(L218,'Statement of Marks'!$B$7:'Statement of Marks'!$IC$206,193,0),"")</f>
        <v/>
      </c>
      <c r="I235" s="1641" t="s">
        <v>135</v>
      </c>
      <c r="J235" s="1642"/>
      <c r="K235" s="1643">
        <f>IFERROR(IF(OR(O231="",L218=""),"",VLOOKUP(L218,'Statement of Marks'!$B$7:'Statement of Marks'!$IC$206,230,0)),"")</f>
        <v>57.25</v>
      </c>
      <c r="L235" s="1644"/>
      <c r="M235" s="1645" t="s">
        <v>144</v>
      </c>
      <c r="N235" s="1646"/>
      <c r="O235" s="1646"/>
      <c r="P235" s="408">
        <f>IFERROR(VLOOKUP(L218,'Statement of Marks'!$B$7:'Statement of Marks'!$IC$206,231,0),"")</f>
        <v>16.000000000000075</v>
      </c>
      <c r="Q235" s="1686"/>
      <c r="R235" s="1635" t="s">
        <v>143</v>
      </c>
      <c r="S235" s="1636"/>
      <c r="T235" s="1637" t="str">
        <f>IFERROR(VLOOKUP(AB218,'Statement of Marks'!$B$7:'Statement of Marks'!$IC$206,192,0),"")</f>
        <v/>
      </c>
      <c r="U235" s="1638"/>
      <c r="V235" s="1639" t="s">
        <v>76</v>
      </c>
      <c r="W235" s="1640"/>
      <c r="X235" s="406" t="str">
        <f>IFERROR(VLOOKUP(AB218,'Statement of Marks'!$B$7:'Statement of Marks'!$IC$206,193,0),"")</f>
        <v/>
      </c>
      <c r="Y235" s="1641" t="s">
        <v>135</v>
      </c>
      <c r="Z235" s="1642"/>
      <c r="AA235" s="1643">
        <f>IFERROR(IF(OR(AE231="",AB218=""),"",VLOOKUP(AB218,'Statement of Marks'!$B$7:'Statement of Marks'!$IC$206,230,0)),"")</f>
        <v>64</v>
      </c>
      <c r="AB235" s="1644"/>
      <c r="AC235" s="1645" t="s">
        <v>144</v>
      </c>
      <c r="AD235" s="1646"/>
      <c r="AE235" s="1646"/>
      <c r="AF235" s="408">
        <f>IFERROR(VLOOKUP(AB218,'Statement of Marks'!$B$7:'Statement of Marks'!$IC$206,231,0),"")</f>
        <v>6.9999999999999263</v>
      </c>
      <c r="AV235"/>
      <c r="AW235"/>
      <c r="AX235"/>
      <c r="BA235"/>
      <c r="BB235"/>
      <c r="BC235"/>
    </row>
    <row r="236" spans="1:55" s="351" customFormat="1" ht="27.75" customHeight="1">
      <c r="A236" s="33">
        <f>IF(L218="","",A235+1)</f>
        <v>26</v>
      </c>
      <c r="B236" s="1616" t="str">
        <f>IF('School Profile'!$D$12="Hindi","मुख्य परीक्षा परिणाम ","Main Exam Result")</f>
        <v xml:space="preserve">मुख्य परीक्षा परिणाम </v>
      </c>
      <c r="C236" s="1616"/>
      <c r="D236" s="1617"/>
      <c r="E236" s="1617"/>
      <c r="F236" s="1617"/>
      <c r="G236" s="1617" t="str">
        <f>IF('School Profile'!$D$12="Hindi","विशेष योग्यता प्राप्त विषय","Subjects Of Dictation Marks")</f>
        <v>विशेष योग्यता प्राप्त विषय</v>
      </c>
      <c r="H236" s="1617"/>
      <c r="I236" s="1617"/>
      <c r="J236" s="1617"/>
      <c r="K236" s="1617"/>
      <c r="L236" s="1618" t="str">
        <f>IF('School Profile'!$D$12="Hindi","पूरक विषय","Supplementary Subject")</f>
        <v>पूरक विषय</v>
      </c>
      <c r="M236" s="1619"/>
      <c r="N236" s="1619"/>
      <c r="O236" s="1619"/>
      <c r="P236" s="1620"/>
      <c r="Q236" s="1686"/>
      <c r="R236" s="1616" t="str">
        <f>IF('School Profile'!$D$12="Hindi","मुख्य परीक्षा परिणाम ","Main Exam Result")</f>
        <v xml:space="preserve">मुख्य परीक्षा परिणाम </v>
      </c>
      <c r="S236" s="1616"/>
      <c r="T236" s="1617"/>
      <c r="U236" s="1617"/>
      <c r="V236" s="1617"/>
      <c r="W236" s="1617" t="str">
        <f>IF('School Profile'!$D$12="Hindi","विशेष योग्यता प्राप्त विषय","Subjects Of Dictation Marks")</f>
        <v>विशेष योग्यता प्राप्त विषय</v>
      </c>
      <c r="X236" s="1617"/>
      <c r="Y236" s="1617"/>
      <c r="Z236" s="1617"/>
      <c r="AA236" s="1617"/>
      <c r="AB236" s="1618" t="str">
        <f>IF('School Profile'!$D$12="Hindi","पूरक विषय","Supplementary Subject")</f>
        <v>पूरक विषय</v>
      </c>
      <c r="AC236" s="1619"/>
      <c r="AD236" s="1619"/>
      <c r="AE236" s="1619"/>
      <c r="AF236" s="1620"/>
      <c r="AV236"/>
      <c r="AW236"/>
      <c r="AX236"/>
      <c r="BA236"/>
      <c r="BB236"/>
      <c r="BC236"/>
    </row>
    <row r="237" spans="1:55" s="351" customFormat="1" ht="42.75" customHeight="1">
      <c r="A237" s="33">
        <f>IF(L218="","",A236+1)</f>
        <v>27</v>
      </c>
      <c r="B237" s="1621" t="str">
        <f>IFERROR(IF(VLOOKUP(L218,'Statement of Marks'!$B$7:'Statement of Marks'!$IC$206,226,0)="By Grace Pass","By Grace Pass and Promoted to Class 10th",IF(VLOOKUP(L218,'Statement of Marks'!$B$7:'Statement of Marks'!$IC$206,226,0)="PASS","PASS  and Promoted to Class 10th",IF(VLOOKUP(L218,'Statement of Marks'!$B$7:'Statement of Marks'!$IC$206,226,0)="SUPPLEMENTARY","Supplementary",IF(VLOOKUP(L218,'Statement of Marks'!$B$7:'Statement of Marks'!$IC$206,226,0)="Re-Exam","RE-EXAM",IF(VLOOKUP(L218,'Statement of Marks'!$B$7:'Statement of Marks'!$IC$206,226,0)="FAIL","FAIL",""))))),"")</f>
        <v>PASS  and Promoted to Class 10th</v>
      </c>
      <c r="C237" s="1621"/>
      <c r="D237" s="1621"/>
      <c r="E237" s="1621"/>
      <c r="F237" s="1621"/>
      <c r="G237" s="1622" t="str">
        <f>IFERROR(VLOOKUP(L218,'Statement of Marks'!$B$7:'Statement of Marks'!$IC$206,225,0),"")</f>
        <v xml:space="preserve"> अंग्रेजी     </v>
      </c>
      <c r="H237" s="1622"/>
      <c r="I237" s="1622"/>
      <c r="J237" s="1622"/>
      <c r="K237" s="1622"/>
      <c r="L237" s="1623" t="str">
        <f>IFERROR(VLOOKUP(L218,'Statement of Marks'!$B$7:'Statement of Marks'!$IC$206,222,0),"")</f>
        <v xml:space="preserve">      </v>
      </c>
      <c r="M237" s="1624"/>
      <c r="N237" s="1624"/>
      <c r="O237" s="1624"/>
      <c r="P237" s="1625"/>
      <c r="Q237" s="1686"/>
      <c r="R237" s="1621" t="str">
        <f>IFERROR(IF(VLOOKUP(AB218,'Statement of Marks'!$B$7:'Statement of Marks'!$IC$206,226,0)="By Grace Pass","By Grace Pass and Promoted to Class 10th",IF(VLOOKUP(AB218,'Statement of Marks'!$B$7:'Statement of Marks'!$IC$206,226,0)="PASS","PASS  and Promoted to Class 10th",IF(VLOOKUP(AB218,'Statement of Marks'!$B$7:'Statement of Marks'!$IC$206,226,0)="SUPPLEMENTARY","Supplementary",IF(VLOOKUP(AB218,'Statement of Marks'!$B$7:'Statement of Marks'!$IC$206,226,0)="Re-Exam","RE-EXAM",IF(VLOOKUP(AB218,'Statement of Marks'!$B$7:'Statement of Marks'!$IC$206,226,0)="FAIL","FAIL",""))))),"")</f>
        <v>PASS  and Promoted to Class 10th</v>
      </c>
      <c r="S237" s="1621"/>
      <c r="T237" s="1621"/>
      <c r="U237" s="1621"/>
      <c r="V237" s="1621"/>
      <c r="W237" s="1622" t="str">
        <f>IFERROR(VLOOKUP(AB218,'Statement of Marks'!$B$7:'Statement of Marks'!$IC$206,225,0),"")</f>
        <v xml:space="preserve"> अंग्रेजी     </v>
      </c>
      <c r="X237" s="1622"/>
      <c r="Y237" s="1622"/>
      <c r="Z237" s="1622"/>
      <c r="AA237" s="1622"/>
      <c r="AB237" s="1623" t="str">
        <f>IFERROR(VLOOKUP(AB218,'Statement of Marks'!$B$7:'Statement of Marks'!$IC$206,222,0),"")</f>
        <v xml:space="preserve">      </v>
      </c>
      <c r="AC237" s="1624"/>
      <c r="AD237" s="1624"/>
      <c r="AE237" s="1624"/>
      <c r="AF237" s="1625"/>
      <c r="AV237"/>
      <c r="AW237"/>
      <c r="AX237"/>
      <c r="BA237"/>
      <c r="BB237"/>
      <c r="BC237"/>
    </row>
    <row r="238" spans="1:55" s="351" customFormat="1" ht="52.5" customHeight="1">
      <c r="A238" s="33">
        <f>IF(L218="","",A237+1)</f>
        <v>28</v>
      </c>
      <c r="B238" s="1612" t="str">
        <f>IF(AND(L218=""),"",CONCATENATE("(",'School Profile'!$D$18," )"))</f>
        <v>(Yogesh )</v>
      </c>
      <c r="C238" s="1612"/>
      <c r="D238" s="1612"/>
      <c r="E238" s="1612"/>
      <c r="F238" s="1612"/>
      <c r="G238" s="1613" t="str">
        <f>IF(AND(L218=""),"",CONCATENATE("( ",'School Profile'!$D$15," )"))</f>
        <v>( Heeralal Jat )</v>
      </c>
      <c r="H238" s="1613"/>
      <c r="I238" s="1613"/>
      <c r="J238" s="1613"/>
      <c r="K238" s="1614" t="str">
        <f>IF(AND(L218=""),"",CONCATENATE("( ",'School Profile'!$D$14," )"))</f>
        <v>( Dewanand )</v>
      </c>
      <c r="L238" s="1614"/>
      <c r="M238" s="1614"/>
      <c r="N238" s="1614"/>
      <c r="O238" s="1614"/>
      <c r="P238" s="1614"/>
      <c r="Q238" s="1686"/>
      <c r="R238" s="1612" t="str">
        <f>IF(AND(AB218=""),"",CONCATENATE("(",'School Profile'!$D$18," )"))</f>
        <v>(Yogesh )</v>
      </c>
      <c r="S238" s="1612"/>
      <c r="T238" s="1612"/>
      <c r="U238" s="1612"/>
      <c r="V238" s="1612"/>
      <c r="W238" s="1613" t="str">
        <f>IF(AND(AB218=""),"",CONCATENATE("( ",'School Profile'!$D$15," )"))</f>
        <v>( Heeralal Jat )</v>
      </c>
      <c r="X238" s="1613"/>
      <c r="Y238" s="1613"/>
      <c r="Z238" s="1613"/>
      <c r="AA238" s="1614" t="str">
        <f>IF(AND(AB218=""),"",CONCATENATE("( ",'School Profile'!$D$14," )"))</f>
        <v>( Dewanand )</v>
      </c>
      <c r="AB238" s="1614"/>
      <c r="AC238" s="1614"/>
      <c r="AD238" s="1614"/>
      <c r="AE238" s="1614"/>
      <c r="AF238" s="1614"/>
      <c r="AV238"/>
      <c r="AW238"/>
      <c r="AX238"/>
      <c r="BA238"/>
      <c r="BB238"/>
      <c r="BC238"/>
    </row>
    <row r="239" spans="1:55" s="351" customFormat="1" ht="24.75" customHeight="1">
      <c r="A239" s="33">
        <f>IF(L218="","",A238+1)</f>
        <v>29</v>
      </c>
      <c r="B239" s="1615" t="str">
        <f>IF('School Profile'!$D$12="Hindi","हस्ताक्षर कक्षाध्यापक","Signature of the class teacher")</f>
        <v>हस्ताक्षर कक्षाध्यापक</v>
      </c>
      <c r="C239" s="1615"/>
      <c r="D239" s="1615"/>
      <c r="E239" s="1615"/>
      <c r="F239" s="1615"/>
      <c r="G239" s="1615" t="str">
        <f>IF('School Profile'!$D$12="Hindi","हस्ताक्षर परीक्षा प्रभारी","Signature of the exam. Incharge")</f>
        <v>हस्ताक्षर परीक्षा प्रभारी</v>
      </c>
      <c r="H239" s="1615"/>
      <c r="I239" s="1615"/>
      <c r="J239" s="1615"/>
      <c r="K239" s="1615" t="str">
        <f>IF('School Profile'!$D$12="Hindi","हस्ताक्षर मय सील मोहर संस्था प्रधान","Signature &amp; Seal of the Head of the Institution")</f>
        <v>हस्ताक्षर मय सील मोहर संस्था प्रधान</v>
      </c>
      <c r="L239" s="1615"/>
      <c r="M239" s="1615"/>
      <c r="N239" s="1615"/>
      <c r="O239" s="1615"/>
      <c r="P239" s="1615"/>
      <c r="Q239" s="1686"/>
      <c r="R239" s="1615" t="str">
        <f>IF('School Profile'!$D$12="Hindi","हस्ताक्षर कक्षाध्यापक","Signature of the class teacher")</f>
        <v>हस्ताक्षर कक्षाध्यापक</v>
      </c>
      <c r="S239" s="1615"/>
      <c r="T239" s="1615"/>
      <c r="U239" s="1615"/>
      <c r="V239" s="1615"/>
      <c r="W239" s="1615" t="str">
        <f>IF('School Profile'!$D$12="Hindi","हस्ताक्षर परीक्षा प्रभारी","Signature of the exam. Incharge")</f>
        <v>हस्ताक्षर परीक्षा प्रभारी</v>
      </c>
      <c r="X239" s="1615"/>
      <c r="Y239" s="1615"/>
      <c r="Z239" s="1615"/>
      <c r="AA239" s="1615" t="str">
        <f>IF('School Profile'!$D$12="Hindi","हस्ताक्षर मय सील मोहर संस्था प्रधान","Signature &amp; Seal of the Head of the Institution")</f>
        <v>हस्ताक्षर मय सील मोहर संस्था प्रधान</v>
      </c>
      <c r="AB239" s="1615"/>
      <c r="AC239" s="1615"/>
      <c r="AD239" s="1615"/>
      <c r="AE239" s="1615"/>
      <c r="AF239" s="1615"/>
      <c r="AV239"/>
      <c r="AW239"/>
      <c r="AX239"/>
      <c r="BA239"/>
      <c r="BB239"/>
      <c r="BC239"/>
    </row>
    <row r="241" spans="1:55" s="6" customFormat="1" ht="22.5" customHeight="1">
      <c r="A241" s="33">
        <f>IF(L248="","",1)</f>
        <v>1</v>
      </c>
      <c r="B241" s="28"/>
      <c r="C241" s="28"/>
      <c r="D241" s="1557" t="str">
        <f>IF('School Profile'!$D$12="Hindi","वार्षिक रिपोर्ट कार्ड ","Report Card")</f>
        <v xml:space="preserve">वार्षिक रिपोर्ट कार्ड </v>
      </c>
      <c r="E241" s="1557"/>
      <c r="F241" s="1557"/>
      <c r="G241" s="1557"/>
      <c r="H241" s="1557"/>
      <c r="I241" s="1557"/>
      <c r="J241" s="1557"/>
      <c r="K241" s="1557"/>
      <c r="L241" s="1557"/>
      <c r="M241" s="1557"/>
      <c r="N241" s="1557"/>
      <c r="O241" s="349"/>
      <c r="P241" s="349"/>
      <c r="Q241" s="1686" t="s">
        <v>77</v>
      </c>
      <c r="R241" s="28"/>
      <c r="S241" s="28"/>
      <c r="T241" s="1557" t="str">
        <f>IF('School Profile'!$D$12="Hindi","वार्षिक रिपोर्ट कार्ड ","Report Card")</f>
        <v xml:space="preserve">वार्षिक रिपोर्ट कार्ड </v>
      </c>
      <c r="U241" s="1557"/>
      <c r="V241" s="1557"/>
      <c r="W241" s="1557"/>
      <c r="X241" s="1557"/>
      <c r="Y241" s="1557"/>
      <c r="Z241" s="1557"/>
      <c r="AA241" s="1557"/>
      <c r="AB241" s="1557"/>
      <c r="AC241" s="1557"/>
      <c r="AD241" s="1557"/>
      <c r="AE241" s="349"/>
      <c r="AF241" s="349"/>
      <c r="AV241"/>
      <c r="AW241"/>
      <c r="AX241"/>
      <c r="BA241"/>
      <c r="BB241"/>
      <c r="BC241"/>
    </row>
    <row r="242" spans="1:55" s="6" customFormat="1" ht="22.5" customHeight="1">
      <c r="A242" s="33">
        <f>IF(L248="","",A241+1)</f>
        <v>2</v>
      </c>
      <c r="B242" s="28"/>
      <c r="C242" s="28"/>
      <c r="D242" s="1687" t="str">
        <f>IF('School Profile'!$D$12="Hindi","शिक्षा विभाग, राजस्थान सरकार","Education Department, Rajasthan Government")</f>
        <v>शिक्षा विभाग, राजस्थान सरकार</v>
      </c>
      <c r="E242" s="1687"/>
      <c r="F242" s="1687"/>
      <c r="G242" s="1687"/>
      <c r="H242" s="1687"/>
      <c r="I242" s="1687"/>
      <c r="J242" s="1687"/>
      <c r="K242" s="1687"/>
      <c r="L242" s="1687"/>
      <c r="M242" s="1687"/>
      <c r="N242" s="1687"/>
      <c r="O242" s="349"/>
      <c r="P242" s="349"/>
      <c r="Q242" s="1686"/>
      <c r="R242" s="28"/>
      <c r="S242" s="28"/>
      <c r="T242" s="1687" t="str">
        <f>IF('School Profile'!$D$12="Hindi","शिक्षा विभाग, राजस्थान सरकार","Education Department, Rajasthan Government")</f>
        <v>शिक्षा विभाग, राजस्थान सरकार</v>
      </c>
      <c r="U242" s="1687"/>
      <c r="V242" s="1687"/>
      <c r="W242" s="1687"/>
      <c r="X242" s="1687"/>
      <c r="Y242" s="1687"/>
      <c r="Z242" s="1687"/>
      <c r="AA242" s="1687"/>
      <c r="AB242" s="1687"/>
      <c r="AC242" s="1687"/>
      <c r="AD242" s="1687"/>
      <c r="AE242" s="349"/>
      <c r="AF242" s="349"/>
      <c r="AV242"/>
      <c r="AW242"/>
      <c r="AX242"/>
      <c r="BA242"/>
      <c r="BB242"/>
      <c r="BC242"/>
    </row>
    <row r="243" spans="1:55" s="32" customFormat="1" ht="24.95" customHeight="1">
      <c r="A243" s="34">
        <f>IF(L248="","",A242+1)</f>
        <v>3</v>
      </c>
      <c r="B243" s="1560" t="str">
        <f>IF('School Profile'!$D$12="Hindi",CONCATENATE("विद्यालय का नाम :-","  ",'School Profile'!$D$9),CONCATENATE("School Name :-","  ",'School Profile'!$D$8))</f>
        <v xml:space="preserve">विद्यालय का नाम :-  महात्मा गाँधी राजकीय विद्यालय (अंग्रेजी माध्यम) बर, पाली </v>
      </c>
      <c r="C243" s="1560"/>
      <c r="D243" s="1560"/>
      <c r="E243" s="1560"/>
      <c r="F243" s="1560"/>
      <c r="G243" s="1560"/>
      <c r="H243" s="1560"/>
      <c r="I243" s="1560"/>
      <c r="J243" s="1560"/>
      <c r="K243" s="1560"/>
      <c r="L243" s="1560"/>
      <c r="M243" s="1560"/>
      <c r="N243" s="1560"/>
      <c r="O243" s="1560"/>
      <c r="P243" s="1560"/>
      <c r="Q243" s="1686"/>
      <c r="R243" s="1560" t="str">
        <f>IF('School Profile'!$D$12="Hindi",CONCATENATE("विद्यालय का नाम :-","  ",'School Profile'!$D$9),CONCATENATE("School Name :-","  ",'School Profile'!$D$8))</f>
        <v xml:space="preserve">विद्यालय का नाम :-  महात्मा गाँधी राजकीय विद्यालय (अंग्रेजी माध्यम) बर, पाली </v>
      </c>
      <c r="S243" s="1560"/>
      <c r="T243" s="1560"/>
      <c r="U243" s="1560"/>
      <c r="V243" s="1560"/>
      <c r="W243" s="1560"/>
      <c r="X243" s="1560"/>
      <c r="Y243" s="1560"/>
      <c r="Z243" s="1560"/>
      <c r="AA243" s="1560"/>
      <c r="AB243" s="1560"/>
      <c r="AC243" s="1560"/>
      <c r="AD243" s="1560"/>
      <c r="AE243" s="1560"/>
      <c r="AF243" s="1560"/>
      <c r="AV243"/>
      <c r="AW243"/>
      <c r="AX243"/>
      <c r="BA243"/>
      <c r="BB243"/>
      <c r="BC243"/>
    </row>
    <row r="244" spans="1:55" s="32" customFormat="1" ht="24.95" customHeight="1">
      <c r="A244" s="34">
        <f>IF(L248="","",A243+1)</f>
        <v>4</v>
      </c>
      <c r="B244" s="686"/>
      <c r="C244" s="686"/>
      <c r="D244" s="686"/>
      <c r="E244" s="686"/>
      <c r="F244" s="1688" t="str">
        <f>IF(AND(L248=""),"",IF(AND('School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44" s="1688"/>
      <c r="H244" s="1688"/>
      <c r="I244" s="1688"/>
      <c r="J244" s="1688"/>
      <c r="K244" s="1688"/>
      <c r="L244" s="1688"/>
      <c r="M244" s="1688"/>
      <c r="N244" s="1688"/>
      <c r="O244" s="1688"/>
      <c r="P244" s="686"/>
      <c r="Q244" s="1686"/>
      <c r="R244" s="686"/>
      <c r="S244" s="686"/>
      <c r="T244" s="686"/>
      <c r="U244" s="686"/>
      <c r="V244" s="1688" t="str">
        <f>IF(AND(AB248=""),"",IF(AND('School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44" s="1688"/>
      <c r="X244" s="1688"/>
      <c r="Y244" s="1688"/>
      <c r="Z244" s="1688"/>
      <c r="AA244" s="1688"/>
      <c r="AB244" s="1688"/>
      <c r="AC244" s="1688"/>
      <c r="AD244" s="1688"/>
      <c r="AE244" s="1688"/>
      <c r="AF244" s="686"/>
      <c r="AV244"/>
      <c r="AW244"/>
      <c r="AX244"/>
      <c r="AY244" s="6"/>
      <c r="AZ244" s="6"/>
      <c r="BA244"/>
      <c r="BB244"/>
      <c r="BC244"/>
    </row>
    <row r="245" spans="1:55" s="351" customFormat="1" ht="21" customHeight="1">
      <c r="A245" s="33">
        <f>IF(L248="","",A244+1)</f>
        <v>5</v>
      </c>
      <c r="B245" s="681" t="str">
        <f>IF('School Profile'!$D$12="Hindi","कक्षा  :-","CLASS :- ")</f>
        <v>कक्षा  :-</v>
      </c>
      <c r="C245" s="1691" t="str">
        <f>IF('Statement of Marks'!$E$3="","",'Statement of Marks'!$E$3)</f>
        <v>9th</v>
      </c>
      <c r="D245" s="1691"/>
      <c r="E245" s="820" t="str">
        <f>IFERROR(VLOOKUP(L248,'Statement of Marks'!$B$7:'Statement of Marks'!$IC$206,2,0),"")</f>
        <v>A</v>
      </c>
      <c r="F245" s="820"/>
      <c r="G245" s="820"/>
      <c r="H245" s="820"/>
      <c r="I245" s="1684" t="str">
        <f>IF('School Profile'!$D$12="Hindi","प्रवेशांक :","SR. NO. :")</f>
        <v>प्रवेशांक :</v>
      </c>
      <c r="J245" s="1684"/>
      <c r="K245" s="1684"/>
      <c r="L245" s="1689" t="str">
        <f>IFERROR(VLOOKUP(L248,'Statement of Marks'!$B$7:'Statement of Marks'!$IC$206,3,0),"")</f>
        <v/>
      </c>
      <c r="M245" s="1689"/>
      <c r="N245" s="1689"/>
      <c r="O245" s="1689"/>
      <c r="P245" s="414"/>
      <c r="Q245" s="1686"/>
      <c r="R245" s="681" t="str">
        <f>IF('School Profile'!$D$12="Hindi","कक्षा  :-","CLASS :- ")</f>
        <v>कक्षा  :-</v>
      </c>
      <c r="S245" s="1691" t="str">
        <f>IF('Statement of Marks'!$E$3="","",'Statement of Marks'!$E$3)</f>
        <v>9th</v>
      </c>
      <c r="T245" s="1691"/>
      <c r="U245" s="820" t="str">
        <f>IFERROR(VLOOKUP(AB248,'Statement of Marks'!$B$7:'Statement of Marks'!$IC$206,2,0),"")</f>
        <v>A</v>
      </c>
      <c r="V245" s="820"/>
      <c r="W245" s="820"/>
      <c r="X245" s="820"/>
      <c r="Y245" s="1684" t="str">
        <f>IF('School Profile'!$D$12="Hindi","प्रवेशांक :","SR. NO. :")</f>
        <v>प्रवेशांक :</v>
      </c>
      <c r="Z245" s="1684"/>
      <c r="AA245" s="1684"/>
      <c r="AB245" s="1689" t="str">
        <f>IFERROR(VLOOKUP(AB248,'Statement of Marks'!$B$7:'Statement of Marks'!$IC$206,3,0),"")</f>
        <v/>
      </c>
      <c r="AC245" s="1689"/>
      <c r="AD245" s="1689"/>
      <c r="AE245" s="1689"/>
      <c r="AF245" s="414"/>
      <c r="AV245"/>
      <c r="AW245" s="777" t="str">
        <f>L246</f>
        <v/>
      </c>
      <c r="AX245"/>
      <c r="BA245"/>
      <c r="BB245" s="777" t="str">
        <f>AB246</f>
        <v/>
      </c>
      <c r="BC245"/>
    </row>
    <row r="246" spans="1:55" s="351" customFormat="1" ht="21" customHeight="1">
      <c r="A246" s="33">
        <f>IF(L248="","",A245+1)</f>
        <v>6</v>
      </c>
      <c r="B246" s="687" t="str">
        <f>IF('School Profile'!$D$12="Hindi","विद्यार्थी का नाम :-","Student's Name :-")</f>
        <v>विद्यार्थी का नाम :-</v>
      </c>
      <c r="C246" s="1683" t="str">
        <f>IFERROR(VLOOKUP(L248,'Statement of Marks'!$B$7:'Statement of Marks'!$IC$206,5,0),"")</f>
        <v>FATIMA</v>
      </c>
      <c r="D246" s="1683"/>
      <c r="E246" s="1683"/>
      <c r="F246" s="1683"/>
      <c r="G246" s="1683"/>
      <c r="H246" s="1683"/>
      <c r="I246" s="1684" t="str">
        <f>IF('School Profile'!$D$12="Hindi","जन्म तिथि :","Date of Birth :")</f>
        <v>जन्म तिथि :</v>
      </c>
      <c r="J246" s="1684"/>
      <c r="K246" s="1684"/>
      <c r="L246" s="1690" t="str">
        <f>IFERROR(VLOOKUP(L248,'Statement of Marks'!$B$7:'Statement of Marks'!$IC$206,4,0),"")</f>
        <v/>
      </c>
      <c r="M246" s="1690"/>
      <c r="N246" s="1690"/>
      <c r="O246" s="1690"/>
      <c r="P246" s="688"/>
      <c r="Q246" s="1686"/>
      <c r="R246" s="687" t="str">
        <f>IF('School Profile'!$D$12="Hindi","विद्यार्थी का नाम :-","Student's Name :-")</f>
        <v>विद्यार्थी का नाम :-</v>
      </c>
      <c r="S246" s="1683" t="str">
        <f>IFERROR(VLOOKUP(AB248,'Statement of Marks'!$B$7:'Statement of Marks'!$IC$206,5,0),"")</f>
        <v>LAXMI</v>
      </c>
      <c r="T246" s="1683"/>
      <c r="U246" s="1683"/>
      <c r="V246" s="1683"/>
      <c r="W246" s="1683"/>
      <c r="X246" s="1683"/>
      <c r="Y246" s="1684" t="str">
        <f>IF('School Profile'!$D$12="Hindi","जन्म तिथि :","Date of Birth :")</f>
        <v>जन्म तिथि :</v>
      </c>
      <c r="Z246" s="1684"/>
      <c r="AA246" s="1684"/>
      <c r="AB246" s="1690" t="str">
        <f>IFERROR(VLOOKUP(AB248,'Statement of Marks'!$B$7:'Statement of Marks'!$IC$206,4,0),"")</f>
        <v/>
      </c>
      <c r="AC246" s="1690"/>
      <c r="AD246" s="1690"/>
      <c r="AE246" s="1690"/>
      <c r="AF246" s="688"/>
      <c r="AV246" t="e">
        <f>YEAR(AW245)</f>
        <v>#VALUE!</v>
      </c>
      <c r="AW246" t="e">
        <f>MONTH(AW245)</f>
        <v>#VALUE!</v>
      </c>
      <c r="AX246" t="e">
        <f>DAY(AW245)</f>
        <v>#VALUE!</v>
      </c>
      <c r="BA246" t="e">
        <f>YEAR(BB245)</f>
        <v>#VALUE!</v>
      </c>
      <c r="BB246" t="e">
        <f>MONTH(BB245)</f>
        <v>#VALUE!</v>
      </c>
      <c r="BC246" t="e">
        <f>DAY(BB245)</f>
        <v>#VALUE!</v>
      </c>
    </row>
    <row r="247" spans="1:55" s="351" customFormat="1" ht="21" customHeight="1">
      <c r="A247" s="33">
        <f>IF(L248="","",A246+1)</f>
        <v>7</v>
      </c>
      <c r="B247" s="687" t="str">
        <f>IF('School Profile'!$D$12="Hindi","पिता का नाम :-","Father's Name :-")</f>
        <v>पिता का नाम :-</v>
      </c>
      <c r="C247" s="1683" t="str">
        <f>IFERROR(VLOOKUP(L248,'Statement of Marks'!$B$7:'Statement of Marks'!$IC$206,6,0),"")</f>
        <v/>
      </c>
      <c r="D247" s="1683"/>
      <c r="E247" s="1683"/>
      <c r="F247" s="1683"/>
      <c r="G247" s="1683"/>
      <c r="H247" s="1683"/>
      <c r="I247" s="1684" t="str">
        <f>IF('School Profile'!$D$12="Hindi","जन्मतिथि शब्दों में :-","Date of Birth in Words :-")</f>
        <v>जन्मतिथि शब्दों में :-</v>
      </c>
      <c r="J247" s="1684"/>
      <c r="K247" s="1684"/>
      <c r="L247" s="1683" t="str">
        <f>IFERROR(IF('School Profile'!$D$12="Hindi",AW248,AW250),"")</f>
        <v/>
      </c>
      <c r="M247" s="1683"/>
      <c r="N247" s="1683"/>
      <c r="O247" s="1683"/>
      <c r="P247" s="688"/>
      <c r="Q247" s="1686"/>
      <c r="R247" s="687" t="str">
        <f>IF('School Profile'!$D$12="Hindi","पिता का नाम :-","Father's Name :-")</f>
        <v>पिता का नाम :-</v>
      </c>
      <c r="S247" s="1683" t="str">
        <f>IFERROR(VLOOKUP(AB248,'Statement of Marks'!$B$7:'Statement of Marks'!$IC$206,6,0),"")</f>
        <v/>
      </c>
      <c r="T247" s="1683"/>
      <c r="U247" s="1683"/>
      <c r="V247" s="1683"/>
      <c r="W247" s="1683"/>
      <c r="X247" s="1683"/>
      <c r="Y247" s="1684" t="str">
        <f>IF('School Profile'!$D$12="Hindi","जन्मतिथि शब्दों में :-","Date of Birth in Words :-")</f>
        <v>जन्मतिथि शब्दों में :-</v>
      </c>
      <c r="Z247" s="1684"/>
      <c r="AA247" s="1684"/>
      <c r="AB247" s="1683" t="str">
        <f>IFERROR(IF('School Profile'!$D$12="Hindi",BB248,BB250),"")</f>
        <v/>
      </c>
      <c r="AC247" s="1683"/>
      <c r="AD247" s="1683"/>
      <c r="AE247" s="1683"/>
      <c r="AF247" s="688"/>
      <c r="AV247" t="e">
        <f>IF(AV246=2000,"दो हजार",IF(AV246=2001,"दो हजार एक",IF(AV246=2002,"दो हजार दो",IF(AV246=2003,"दो हजार तीन",IF(AV246=2004,"दो हजार चार",IF(AV246=2005,"दो हजार पांच",IF(AV246=2006,"दो हजार छः",IF(AV246=2007,"दो हजार सात",IF(AV246=2008,"दो हजार आठ",IF(AV246=2009,"दो हजार नौ",IF(AV246=2010,"दो हजार दस",IF(AV246=2011,"दो हजार ग्यारह",IF(AV246=2012,"दो हजार बारह",IF(AV246=2013,"दो हजार तेरह",IF(AV246=2014,"दो हजार चौदह",IF(AV246=2015,"दो हजार पंद्रह",IF(AV246=2016,"दो हजार सोलह",IF(AV246=2017,"दो हजार सत्रह",IF(AV246=2018,"दो हजार अठारह",IF(AV246=2019,"दो हजार उन्नीस",IF(AV246=2020,"दो हजार बीस",IF(AV246=2021,"दो हजार इक्कीस",IF(AV246=2022,"दो हजार बाइस","")))))))))))))))))))))))</f>
        <v>#VALUE!</v>
      </c>
      <c r="AW247" t="e">
        <f>IF(AW246=1,"जनवरी",IF(AW246=2,"फरवरी",IF(AW246=3,"मार्च",IF(AW246=4,"अप्रैल",IF(AW246=5,"मई",IF(AW246=6,"जून",IF(AW246=7,"जुलाई",IF(AW246=8,"अगस्त",IF(AW246=9,"सितम्बर",IF(AW246=10,"अक्टूबर",IF(AW246=11,"नवम्बर",IF(AW246=12,"दिसम्बर",""))))))))))))</f>
        <v>#VALUE!</v>
      </c>
      <c r="AX247" t="e">
        <f>IF(AX246=1,"एक",IF(AX246=2,"दो",IF(AX246=3,"तीन",IF(AX246=4,"चार",IF(AX246=5,"पांच",IF(AX246=6,"छः",IF(AX246=7,"सात",IF(AX246=8,"आठ",IF(AX246=9,"नौ",IF(AX246=10,"दस",IF(AX246=11,"ग्यारह",IF(AX246=12,"बारह",IF(AX246=13,"तेरह",IF(AX246=14,"चौदह",IF(AX246=15,"पंद्रह",IF(AX246=16,"सोलह",IF(AX246=17,"सत्रह",IF(AX246=18,"अठारह",IF(AX246=19,"उन्नीस",IF(AX246=20,"बीस",IF(AX246=21,"इक्कीस",IF(AX246=22,"बाइस",IF(AX246=23,"तेईस",IF(AX246=24,"चौबीस",IF(AX246=25,"पचीस",IF(AX246=26,"छबीस",IF(AX246=27,"सताईस",IF(AX246=28,"अठाइस",IF(AX246=29,"उन्नतीस",IF(AX246=30,"तीस",IF(AX246=31,"इकतीस","")))))))))))))))))))))))))))))))</f>
        <v>#VALUE!</v>
      </c>
      <c r="BA247" t="e">
        <f>IF(BA246=2000,"दो हजार",IF(BA246=2001,"दो हजार एक",IF(BA246=2002,"दो हजार दो",IF(BA246=2003,"दो हजार तीन",IF(BA246=2004,"दो हजार चार",IF(BA246=2005,"दो हजार पांच",IF(BA246=2006,"दो हजार छः",IF(BA246=2007,"दो हजार सात",IF(BA246=2008,"दो हजार आठ",IF(BA246=2009,"दो हजार नौ",IF(BA246=2010,"दो हजार दस",IF(BA246=2011,"दो हजार ग्यारह",IF(BA246=2012,"दो हजार बारह",IF(BA246=2013,"दो हजार तेरह",IF(BA246=2014,"दो हजार चौदह",IF(BA246=2015,"दो हजार पंद्रह",IF(BA246=2016,"दो हजार सोलह",IF(BA246=2017,"दो हजार सत्रह",IF(BA246=2018,"दो हजार अठारह",IF(BA246=2019,"दो हजार उन्नीस",IF(BA246=2020,"दो हजार बीस",IF(BA246=2021,"दो हजार इक्कीस",IF(BA246=2022,"दो हजार बाइस","")))))))))))))))))))))))</f>
        <v>#VALUE!</v>
      </c>
      <c r="BB247" t="e">
        <f>IF(BB246=1,"जनवरी",IF(BB246=2,"फरवरी",IF(BB246=3,"मार्च",IF(BB246=4,"अप्रैल",IF(BB246=5,"मई",IF(BB246=6,"जून",IF(BB246=7,"जुलाई",IF(BB246=8,"अगस्त",IF(BB246=9,"सितम्बर",IF(BB246=10,"अक्टूबर",IF(BB246=11,"नवम्बर",IF(BB246=12,"दिसम्बर",""))))))))))))</f>
        <v>#VALUE!</v>
      </c>
      <c r="BC247" t="e">
        <f>IF(BC246=1,"एक",IF(BC246=2,"दो",IF(BC246=3,"तीन",IF(BC246=4,"चार",IF(BC246=5,"पांच",IF(BC246=6,"छः",IF(BC246=7,"सात",IF(BC246=8,"आठ",IF(BC246=9,"नौ",IF(BC246=10,"दस",IF(BC246=11,"ग्यारह",IF(BC246=12,"बारह",IF(BC246=13,"तेरह",IF(BC246=14,"चौदह",IF(BC246=15,"पंद्रह",IF(BC246=16,"सोलह",IF(BC246=17,"सत्रह",IF(BC246=18,"अठारह",IF(BC246=19,"उन्नीस",IF(BC246=20,"बीस",IF(BC246=21,"इक्कीस",IF(BC246=22,"बाइस",IF(BC246=23,"तेईस",IF(BC246=24,"चौबीस",IF(BC246=25,"पचीस",IF(BC246=26,"छबीस",IF(BC246=27,"सताईस",IF(BC246=28,"अठाइस",IF(BC246=29,"उन्नतीस",IF(BC246=30,"तीस",IF(BC246=31,"इकतीस","")))))))))))))))))))))))))))))))</f>
        <v>#VALUE!</v>
      </c>
    </row>
    <row r="248" spans="1:55" s="351" customFormat="1" ht="21" customHeight="1">
      <c r="A248" s="33">
        <f>IF(L248="","",A247+1)</f>
        <v>8</v>
      </c>
      <c r="B248" s="681" t="str">
        <f>IF('School Profile'!$D$12="Hindi","माता का नाम :-","Mother's Name :-")</f>
        <v>माता का नाम :-</v>
      </c>
      <c r="C248" s="1683" t="str">
        <f>IFERROR(VLOOKUP(L248,'Statement of Marks'!$B$7:'Statement of Marks'!$IC$206,7,0),"")</f>
        <v/>
      </c>
      <c r="D248" s="1683"/>
      <c r="E248" s="1683"/>
      <c r="F248" s="1683"/>
      <c r="G248" s="1683"/>
      <c r="H248" s="1683"/>
      <c r="I248" s="1684" t="str">
        <f>IF('School Profile'!$D$12="Hindi","रोल नंबर :-","Roll No. :")</f>
        <v>रोल नंबर :-</v>
      </c>
      <c r="J248" s="1684"/>
      <c r="K248" s="1684"/>
      <c r="L248" s="1685">
        <f>IF(AB218="","",IF(AND(AB218+1&gt;$AN$11),"",AB218+1))</f>
        <v>917</v>
      </c>
      <c r="M248" s="1685"/>
      <c r="N248" s="1685"/>
      <c r="Q248" s="1686"/>
      <c r="R248" s="681" t="str">
        <f>IF('School Profile'!$D$12="Hindi","माता का नाम :-","Mother's Name :-")</f>
        <v>माता का नाम :-</v>
      </c>
      <c r="S248" s="1683" t="str">
        <f>IFERROR(VLOOKUP(AB248,'Statement of Marks'!$B$7:'Statement of Marks'!$IC$206,7,0),"")</f>
        <v/>
      </c>
      <c r="T248" s="1683"/>
      <c r="U248" s="1683"/>
      <c r="V248" s="1683"/>
      <c r="W248" s="1683"/>
      <c r="X248" s="1683"/>
      <c r="Y248" s="1684" t="str">
        <f>IF('School Profile'!$D$12="Hindi","रोल नंबर :-","Roll No. :")</f>
        <v>रोल नंबर :-</v>
      </c>
      <c r="Z248" s="1684"/>
      <c r="AA248" s="1684"/>
      <c r="AB248" s="1685">
        <f>IF(L248="","",IF(AND(L248+1&gt;$AN$11),"",L248+1))</f>
        <v>918</v>
      </c>
      <c r="AC248" s="1685"/>
      <c r="AD248" s="1685"/>
      <c r="AV248"/>
      <c r="AW248" t="e">
        <f>CONCATENATE(AX247," ",AW247," ",AV247)</f>
        <v>#VALUE!</v>
      </c>
      <c r="AX248"/>
      <c r="BA248"/>
      <c r="BB248" t="e">
        <f>CONCATENATE(BC247," ",BB247," ",BA247)</f>
        <v>#VALUE!</v>
      </c>
      <c r="BC248"/>
    </row>
    <row r="249" spans="1:55" s="351" customFormat="1" ht="9.75" customHeight="1">
      <c r="A249" s="33">
        <f>IF(L248="","",A248+1)</f>
        <v>9</v>
      </c>
      <c r="B249" s="1676"/>
      <c r="C249" s="1676"/>
      <c r="D249" s="1676"/>
      <c r="E249" s="1676"/>
      <c r="F249" s="1676"/>
      <c r="G249" s="1676"/>
      <c r="H249" s="1676"/>
      <c r="I249" s="1676"/>
      <c r="J249" s="1676"/>
      <c r="K249" s="1676"/>
      <c r="L249" s="1676"/>
      <c r="M249" s="1676"/>
      <c r="N249" s="1676"/>
      <c r="O249" s="1676"/>
      <c r="P249" s="401"/>
      <c r="Q249" s="1686"/>
      <c r="R249" s="1676"/>
      <c r="S249" s="1676"/>
      <c r="T249" s="1676"/>
      <c r="U249" s="1676"/>
      <c r="V249" s="1676"/>
      <c r="W249" s="1676"/>
      <c r="X249" s="1676"/>
      <c r="Y249" s="1676"/>
      <c r="Z249" s="1676"/>
      <c r="AA249" s="1676"/>
      <c r="AB249" s="1676"/>
      <c r="AC249" s="1676"/>
      <c r="AD249" s="1676"/>
      <c r="AE249" s="1676"/>
      <c r="AF249" s="401"/>
      <c r="AV249" t="e">
        <f>IF(AV246=1961,"NINETEEN SIXTY ONE",IF(AV246=1962,"NINETEEN SIXTY TWO",IF(AV246=1963,"NINETEEN SIXTY THREE",IF(AV246=1964,"NINETEEN SIXTY FOUR",IF(AV246=1965,"NINETEEN SIXTY FIVE",IF(AV246=1966,"NINETEEN SIXTY SIX",IF(AV246=1967,"NINETEEN SIXTY SEVEN",IF(AV246=1968,"NINETEEN SIXTY EIGHT",IF(AV246=1969,"NINETEEN SIXTY NINE",IF(AV246=1970,"NINETEEN SEVENTY",IF(AV246=1971,"NINETEEN SEVENTY ONE",IF(AV246=1972,"NINETEEN SEVENTY TWO",IF(AV246=1973,"NINETEEN SEVENTY THREE",IF(AV246=1974,"NINETEEN SEVENTY FOUR",IF(AV246=1975,"NINETEEN SEVENTY FIVE",IF(AV246=1976,"NINETEEN SEVENTY SIX",IF(AV246=1977,"NINETEEN SEVENTY SEVEN",IF(AV246=1978,"NINETEEN SEVENTY EIGHT",IF(AV246=1979,"NINETEEN SEVENTY NINE",IF(AV246=1980,"NINETEEN EIGHTY",IF(AV246=1981,"NINETEEN EIGHTY ONE",IF(AV246=1982,"NINETEEN EIGHTY TWO",IF(AV246=1983,"NINETEEN EIGHTY THREE",IF(AV246=1984,"NINETEEN EIGHTY FOUR",IF(AV246=1985,"NINETEEN EIGHTY FIVE",IF(AV246=1986,"NINETEEN EIGHTY SIX",IF(AV246=1987,"NINETEEN EIGHTY SEVEN",IF(AV246=1988,"NINETEEN EIGHTY EIGHT",IF(AV246=1989,"NINETEEN EIGHTY NINE",IF(AV246=1990,"NINETEEN NINETY",IF(AV246=1991,"NINETEEN NINETY ONE",IF(AV246=1992,"NINETEEN NINETY TWO",IF(AV246=1993,"NINETEEN NINETY THREE",IF(AV246=1994,"NINETEEN NINETY FOUR",IF(AV246=1995,"NINETEEN NINETY FIVE",IF(AV246=1996,"NINETEEN NINETY SIX",IF(AV246=1997,"NINETEEN NINETY SEVEN",IF(AV246=1998,"NINETEEN NINETY EIGHT",IF(AV246=1999,"NINETEEN NINETY NINE",IF(AV246=2000,"TWO THOUSAND",IF(AV246=2001,"TWO THOUSAND ONE",IF(AV246=2002,"TWO THOUSAND TWO",IF(AV246=2003,"TWO THOUSAND THREE",IF(AV246=2004,"TWO THOUSAND FOUR",IF(AV246=2005,"TWO THOUSAND FIVE",IF(AV246=2006,"TWO THOUSAND SIX",IF(AV246=2007,"TWO THOUSAND SEVEN",IF(AV246=2008,"TWO THOUSAND EIGHT",IF(AV246=2009,"TWO THOUSAND NINE",IF(AV246=2010,"TWO THOUSAND TEN",IF(AV246=2011,"TWO THOUSAND ELEVEN",IF(AV246=2012,"TWO THOUSAND TWELVE",IF(AV246=2013,"TWO THOUSAND THIRTEEN",IF(AV246=2014,"TWO THOUSAND FOURTEEN",IF(AV246=2015,"TWO THOUSAND FIFTEEN",IF(AV246=2016,"TWO THOUSAND SIXTEEN",IF(AV246=2017,"TWO THOUSAND SEVENTEEN",IF(AV246=2018,"TWO THOUSAND EIGHTEEN",IF(AV246=2019,"TWO THOUSAND NINETEEN",IF(AV246=2020,"TWO THOUSAND TWENTY",IF(AV246=2021,"TWO THOUSAND TWENTY ONE",IF(AV246=2022,"TWO THOUSAND TWENTY TWO",IF(AV246=2023,"TWO THOUSAND TWENTY THREE",IF(AV246=2024,"TWO THOUSAND TWENTY FOUR",IF(AV246=2025,"TWO THOUSAND TWENTY FIVE","")))))))))))))))))))))))))))))))))))))))))))))))))))))))))))))))))</f>
        <v>#VALUE!</v>
      </c>
      <c r="AW249" t="e">
        <f>IF(AW246=1,"JANUARY",IF(AW246=2,"FEBUARY", IF(AW246=3,"MARCH",IF(AW246=4,"APRIL",IF(AW246=5,"MAY",IF(AW246=6,"JUNE",IF(AW246=7,"JULY",IF(AW246=8,"AUGUST",IF(AW246=9,"SEPTEMBER",IF(AW246=10,"OCTOBER",IF(AW246=11,"NOVEMBER",IF(AW246=12,"DECEMBER",""))))))))))))</f>
        <v>#VALUE!</v>
      </c>
      <c r="AX249" t="e">
        <f>IF(AX246=1,"1ST",IF(AX246=2,"2ND", IF(AX246=3,"3RD",IF(AX246=4,"FOURTH",IF(AX246=5,"FIFTH",IF(AX246=6,"SIXTH",IF(AX246=7,"7TH",IF(AX246=8,"8TH",IF(AX246=9,"9TH",IF(AX246=10,"10TH",IF(AX246=11,"11TH",IF(AX246=12,"12TH",IF(AX246=13,"13TH",IF(AX246=14,"14TH",IF(AX246=15,"FIFTEEN",IF(AX246=16,"SIXTEEN",IF(AX246=17,"SEVENTEEN",IF(AX246=18,"EIGHTEEN",IF(AX246=19,"NINETEEN",IF(AX246=20,"TWENTY",IF(AX246=21,"TWENTY FIRST",IF(AX246=22,"TWENTY SECOND",IF(AX246=23,"TWENTY THIRD",IF(AX246=24,"TWENTY FOURTH",IF(AX246=25,"TWENTY FIFTH",IF(AX246=26,"TWENTY SIX",IF(AX246=27,"TWENTY SEVEN",IF(AX246=28,"TWENTY EIGHT",IF(AX246=29,"TWENTY NINE",IF(AX246=30,"THIRTY",IF(AX246=31,"THIRTY FIRST","")))))))))))))))))))))))))))))))</f>
        <v>#VALUE!</v>
      </c>
      <c r="BA249" t="e">
        <f>IF(BA246=1961,"NINETEEN SIXTY ONE",IF(BA246=1962,"NINETEEN SIXTY TWO",IF(BA246=1963,"NINETEEN SIXTY THREE",IF(BA246=1964,"NINETEEN SIXTY FOUR",IF(BA246=1965,"NINETEEN SIXTY FIVE",IF(BA246=1966,"NINETEEN SIXTY SIX",IF(BA246=1967,"NINETEEN SIXTY SEVEN",IF(BA246=1968,"NINETEEN SIXTY EIGHT",IF(BA246=1969,"NINETEEN SIXTY NINE",IF(BA246=1970,"NINETEEN SEVENTY",IF(BA246=1971,"NINETEEN SEVENTY ONE",IF(BA246=1972,"NINETEEN SEVENTY TWO",IF(BA246=1973,"NINETEEN SEVENTY THREE",IF(BA246=1974,"NINETEEN SEVENTY FOUR",IF(BA246=1975,"NINETEEN SEVENTY FIVE",IF(BA246=1976,"NINETEEN SEVENTY SIX",IF(BA246=1977,"NINETEEN SEVENTY SEVEN",IF(BA246=1978,"NINETEEN SEVENTY EIGHT",IF(BA246=1979,"NINETEEN SEVENTY NINE",IF(BA246=1980,"NINETEEN EIGHTY",IF(BA246=1981,"NINETEEN EIGHTY ONE",IF(BA246=1982,"NINETEEN EIGHTY TWO",IF(BA246=1983,"NINETEEN EIGHTY THREE",IF(BA246=1984,"NINETEEN EIGHTY FOUR",IF(BA246=1985,"NINETEEN EIGHTY FIVE",IF(BA246=1986,"NINETEEN EIGHTY SIX",IF(BA246=1987,"NINETEEN EIGHTY SEVEN",IF(BA246=1988,"NINETEEN EIGHTY EIGHT",IF(BA246=1989,"NINETEEN EIGHTY NINE",IF(BA246=1990,"NINETEEN NINETY",IF(BA246=1991,"NINETEEN NINETY ONE",IF(BA246=1992,"NINETEEN NINETY TWO",IF(BA246=1993,"NINETEEN NINETY THREE",IF(BA246=1994,"NINETEEN NINETY FOUR",IF(BA246=1995,"NINETEEN NINETY FIVE",IF(BA246=1996,"NINETEEN NINETY SIX",IF(BA246=1997,"NINETEEN NINETY SEVEN",IF(BA246=1998,"NINETEEN NINETY EIGHT",IF(BA246=1999,"NINETEEN NINETY NINE",IF(BA246=2000,"TWO THOUSAND",IF(BA246=2001,"TWO THOUSAND ONE",IF(BA246=2002,"TWO THOUSAND TWO",IF(BA246=2003,"TWO THOUSAND THREE",IF(BA246=2004,"TWO THOUSAND FOUR",IF(BA246=2005,"TWO THOUSAND FIVE",IF(BA246=2006,"TWO THOUSAND SIX",IF(BA246=2007,"TWO THOUSAND SEVEN",IF(BA246=2008,"TWO THOUSAND EIGHT",IF(BA246=2009,"TWO THOUSAND NINE",IF(BA246=2010,"TWO THOUSAND TEN",IF(BA246=2011,"TWO THOUSAND ELEVEN",IF(BA246=2012,"TWO THOUSAND TWELVE",IF(BA246=2013,"TWO THOUSAND THIRTEEN",IF(BA246=2014,"TWO THOUSAND FOURTEEN",IF(BA246=2015,"TWO THOUSAND FIFTEEN",IF(BA246=2016,"TWO THOUSAND SIXTEEN",IF(BA246=2017,"TWO THOUSAND SEVENTEEN",IF(BA246=2018,"TWO THOUSAND EIGHTEEN",IF(BA246=2019,"TWO THOUSAND NINETEEN",IF(BA246=2020,"TWO THOUSAND TWENTY",IF(BA246=2021,"TWO THOUSAND TWENTY ONE",IF(BA246=2022,"TWO THOUSAND TWENTY TWO",IF(BA246=2023,"TWO THOUSAND TWENTY THREE",IF(BA246=2024,"TWO THOUSAND TWENTY FOUR",IF(BA246=2025,"TWO THOUSAND TWENTY FIVE","")))))))))))))))))))))))))))))))))))))))))))))))))))))))))))))))))</f>
        <v>#VALUE!</v>
      </c>
      <c r="BB249" t="e">
        <f>IF(BB246=1,"JANUARY",IF(BB246=2,"FEBUARY", IF(BB246=3,"MARCH",IF(BB246=4,"APRIL",IF(BB246=5,"MAY",IF(BB246=6,"JUNE",IF(BB246=7,"JULY",IF(BB246=8,"AUGUST",IF(BB246=9,"SEPTEMBER",IF(BB246=10,"OCTOBER",IF(BB246=11,"NOVEMBER",IF(BB246=12,"DECEMBER",""))))))))))))</f>
        <v>#VALUE!</v>
      </c>
      <c r="BC249" t="e">
        <f>IF(BC246=1,"1ST",IF(BC246=2,"2ND", IF(BC246=3,"3RD",IF(BC246=4,"FOURTH",IF(BC246=5,"FIFTH",IF(BC246=6,"SIXTH",IF(BC246=7,"7TH",IF(BC246=8,"8TH",IF(BC246=9,"9TH",IF(BC246=10,"10TH",IF(BC246=11,"11TH",IF(BC246=12,"12TH",IF(BC246=13,"13TH",IF(BC246=14,"14TH",IF(BC246=15,"FIFTEEN",IF(BC246=16,"SIXTEEN",IF(BC246=17,"SEVENTEEN",IF(BC246=18,"EIGHTEEN",IF(BC246=19,"NINETEEN",IF(BC246=20,"TWENTY",IF(BC246=21,"TWENTY FIRST",IF(BC246=22,"TWENTY SECOND",IF(BC246=23,"TWENTY THIRD",IF(BC246=24,"TWENTY FOURTH",IF(BC246=25,"TWENTY FIFTH",IF(BC246=26,"TWENTY SIX",IF(BC246=27,"TWENTY SEVEN",IF(BC246=28,"TWENTY EIGHT",IF(BC246=29,"TWENTY NINE",IF(BC246=30,"THIRTY",IF(BC246=31,"THIRTY FIRST","")))))))))))))))))))))))))))))))</f>
        <v>#VALUE!</v>
      </c>
    </row>
    <row r="250" spans="1:55" s="351" customFormat="1" ht="26.25" customHeight="1">
      <c r="A250" s="33">
        <f>IF(L248="","",A249+1)</f>
        <v>10</v>
      </c>
      <c r="B250" s="1661" t="str">
        <f>IF('School Profile'!$D$12="Hindi","विषय का नाम","Subject Name")</f>
        <v>विषय का नाम</v>
      </c>
      <c r="C250" s="1662"/>
      <c r="D250" s="1681" t="str">
        <f>IF('School Profile'!$D$12="Hindi","सामयिक परख","Seasonal Exam")</f>
        <v>सामयिक परख</v>
      </c>
      <c r="E250" s="1681"/>
      <c r="F250" s="1681"/>
      <c r="G250" s="1681"/>
      <c r="H250" s="1681" t="str">
        <f>IF('School Profile'!$D$12="Hindi","अर्द्धवार्षिक","Half Yearly")</f>
        <v>अर्द्धवार्षिक</v>
      </c>
      <c r="I250" s="1681"/>
      <c r="J250" s="1681"/>
      <c r="K250" s="1556" t="str">
        <f>IF('School Profile'!$D$12="Hindi","अर्द्ध वा. तक योग","Total Till H.Y.")</f>
        <v>अर्द्ध वा. तक योग</v>
      </c>
      <c r="L250" s="1681" t="str">
        <f>IF('School Profile'!$D$12="Hindi","वार्षिक","Yearly")</f>
        <v>वार्षिक</v>
      </c>
      <c r="M250" s="1681"/>
      <c r="N250" s="1681"/>
      <c r="O250" s="1550" t="str">
        <f>IF('School Profile'!$D$12="Hindi","विषय कुल योग ","Subject Total")</f>
        <v xml:space="preserve">विषय कुल योग </v>
      </c>
      <c r="P250" s="1682" t="str">
        <f>IF('School Profile'!$D$12="Hindi","विषय परिणाम / विषय श्रेणी","Sub. Result /  Sub. Div.")</f>
        <v>विषय परिणाम / विषय श्रेणी</v>
      </c>
      <c r="Q250" s="1686"/>
      <c r="R250" s="1661" t="str">
        <f>IF('School Profile'!$D$12="Hindi","विषय का नाम","Subject Name")</f>
        <v>विषय का नाम</v>
      </c>
      <c r="S250" s="1662"/>
      <c r="T250" s="1681" t="str">
        <f>IF('School Profile'!$D$12="Hindi","सामयिक परख","Seasonal Exam")</f>
        <v>सामयिक परख</v>
      </c>
      <c r="U250" s="1681"/>
      <c r="V250" s="1681"/>
      <c r="W250" s="1681"/>
      <c r="X250" s="1681" t="str">
        <f>IF('School Profile'!$D$12="Hindi","अर्द्धवार्षिक","Half Yearly")</f>
        <v>अर्द्धवार्षिक</v>
      </c>
      <c r="Y250" s="1681"/>
      <c r="Z250" s="1681"/>
      <c r="AA250" s="1556" t="str">
        <f>IF('School Profile'!$D$12="Hindi","अर्द्ध वा. तक योग","Total Till H.Y.")</f>
        <v>अर्द्ध वा. तक योग</v>
      </c>
      <c r="AB250" s="1681" t="str">
        <f>IF('School Profile'!$D$12="Hindi","वार्षिक","Yearly")</f>
        <v>वार्षिक</v>
      </c>
      <c r="AC250" s="1681"/>
      <c r="AD250" s="1681"/>
      <c r="AE250" s="1550" t="str">
        <f>IF('School Profile'!$D$12="Hindi","विषय कुल योग ","Subject Total")</f>
        <v xml:space="preserve">विषय कुल योग </v>
      </c>
      <c r="AF250" s="1682" t="str">
        <f>IF('School Profile'!$D$12="Hindi","विषय परिणाम / विषय श्रेणी","Sub. Result /  Sub. Div.")</f>
        <v>विषय परिणाम / विषय श्रेणी</v>
      </c>
      <c r="AV250"/>
      <c r="AW250" t="e">
        <f>CONCATENATE(AW249," ",AX249,", ",AV249)</f>
        <v>#VALUE!</v>
      </c>
      <c r="AX250"/>
      <c r="BA250"/>
      <c r="BB250" t="e">
        <f>CONCATENATE(BB249," ",BC249,", ",BA249)</f>
        <v>#VALUE!</v>
      </c>
      <c r="BC250"/>
    </row>
    <row r="251" spans="1:55" s="351" customFormat="1" ht="78.75" customHeight="1">
      <c r="A251" s="33">
        <f>IF(L248="","",A250+1)</f>
        <v>11</v>
      </c>
      <c r="B251" s="1677"/>
      <c r="C251" s="1678"/>
      <c r="D251" s="656" t="str">
        <f>IF('School Profile'!$D$12="Hindi","प्रथम परख ","First Test")</f>
        <v xml:space="preserve">प्रथम परख </v>
      </c>
      <c r="E251" s="656" t="str">
        <f>IF('School Profile'!$D$12="Hindi","द्वितीय परख","Second Test")</f>
        <v>द्वितीय परख</v>
      </c>
      <c r="F251" s="656" t="str">
        <f>IF('School Profile'!$D$12="Hindi","तृतीय परख","Third Test")</f>
        <v>तृतीय परख</v>
      </c>
      <c r="G251" s="657" t="str">
        <f>IF('School Profile'!$D$12="Hindi","सा. परख योग","Test Total")</f>
        <v>सा. परख योग</v>
      </c>
      <c r="H251" s="658" t="str">
        <f>IF('School Profile'!$D$12="Hindi","सैद्धान्तिक","Theoretical")</f>
        <v>सैद्धान्तिक</v>
      </c>
      <c r="I251" s="658" t="str">
        <f>IF('School Profile'!$D$12="Hindi","प्रायोगिक","Practical")</f>
        <v>प्रायोगिक</v>
      </c>
      <c r="J251" s="659" t="str">
        <f>IF('School Profile'!$D$12="Hindi","अर्द्धवार्षिक योग","H.Y.  Total")</f>
        <v>अर्द्धवार्षिक योग</v>
      </c>
      <c r="K251" s="1556"/>
      <c r="L251" s="658" t="str">
        <f>IF('School Profile'!$D$12="Hindi","सैद्धान्तिक","Theoretical")</f>
        <v>सैद्धान्तिक</v>
      </c>
      <c r="M251" s="658" t="str">
        <f>IF('School Profile'!$D$12="Hindi","प्रायोगिक","Practical")</f>
        <v>प्रायोगिक</v>
      </c>
      <c r="N251" s="659" t="str">
        <f>IF('School Profile'!$D$12="Hindi","वार्षिक योग","Yearly  Total")</f>
        <v>वार्षिक योग</v>
      </c>
      <c r="O251" s="1550"/>
      <c r="P251" s="1552"/>
      <c r="Q251" s="1686"/>
      <c r="R251" s="1677"/>
      <c r="S251" s="1678"/>
      <c r="T251" s="656" t="str">
        <f>IF('School Profile'!$D$12="Hindi","प्रथम परख ","First Test")</f>
        <v xml:space="preserve">प्रथम परख </v>
      </c>
      <c r="U251" s="656" t="str">
        <f>IF('School Profile'!$D$12="Hindi","द्वितीय परख","Second Test")</f>
        <v>द्वितीय परख</v>
      </c>
      <c r="V251" s="656" t="str">
        <f>IF('School Profile'!$D$12="Hindi","तृतीय परख","Third Test")</f>
        <v>तृतीय परख</v>
      </c>
      <c r="W251" s="657" t="str">
        <f>IF('School Profile'!$D$12="Hindi","सा. परख योग","Test Total")</f>
        <v>सा. परख योग</v>
      </c>
      <c r="X251" s="658" t="str">
        <f>IF('School Profile'!$D$12="Hindi","सैद्धान्तिक","Theoretical")</f>
        <v>सैद्धान्तिक</v>
      </c>
      <c r="Y251" s="658" t="str">
        <f>IF('School Profile'!$D$12="Hindi","प्रायोगिक","Practical")</f>
        <v>प्रायोगिक</v>
      </c>
      <c r="Z251" s="659" t="str">
        <f>IF('School Profile'!$D$12="Hindi","अर्द्धवार्षिक योग","H.Y.  Total")</f>
        <v>अर्द्धवार्षिक योग</v>
      </c>
      <c r="AA251" s="1556"/>
      <c r="AB251" s="658" t="str">
        <f>IF('School Profile'!$D$12="Hindi","सैद्धान्तिक","Theoretical")</f>
        <v>सैद्धान्तिक</v>
      </c>
      <c r="AC251" s="658" t="str">
        <f>IF('School Profile'!$D$12="Hindi","प्रायोगिक","Practical")</f>
        <v>प्रायोगिक</v>
      </c>
      <c r="AD251" s="659" t="str">
        <f>IF('School Profile'!$D$12="Hindi","वार्षिक योग","Yearly  Total")</f>
        <v>वार्षिक योग</v>
      </c>
      <c r="AE251" s="1550"/>
      <c r="AF251" s="1552"/>
      <c r="AV251"/>
      <c r="AW251"/>
      <c r="AX251"/>
      <c r="BA251"/>
      <c r="BB251"/>
      <c r="BC251"/>
    </row>
    <row r="252" spans="1:55" s="353" customFormat="1" ht="21" customHeight="1">
      <c r="A252" s="33">
        <f>IF(L248="","",A251+1)</f>
        <v>12</v>
      </c>
      <c r="B252" s="1679"/>
      <c r="C252" s="1680"/>
      <c r="D252" s="663">
        <v>10</v>
      </c>
      <c r="E252" s="663">
        <v>10</v>
      </c>
      <c r="F252" s="663">
        <v>10</v>
      </c>
      <c r="G252" s="663">
        <v>30</v>
      </c>
      <c r="H252" s="665" t="s">
        <v>251</v>
      </c>
      <c r="I252" s="661">
        <v>35</v>
      </c>
      <c r="J252" s="660">
        <v>70</v>
      </c>
      <c r="K252" s="661">
        <v>100</v>
      </c>
      <c r="L252" s="664" t="s">
        <v>252</v>
      </c>
      <c r="M252" s="663">
        <v>50</v>
      </c>
      <c r="N252" s="660">
        <v>100</v>
      </c>
      <c r="O252" s="662">
        <v>200</v>
      </c>
      <c r="P252" s="1553"/>
      <c r="Q252" s="1686"/>
      <c r="R252" s="1679"/>
      <c r="S252" s="1680"/>
      <c r="T252" s="663">
        <v>10</v>
      </c>
      <c r="U252" s="663">
        <v>10</v>
      </c>
      <c r="V252" s="663">
        <v>10</v>
      </c>
      <c r="W252" s="663">
        <v>30</v>
      </c>
      <c r="X252" s="665" t="s">
        <v>251</v>
      </c>
      <c r="Y252" s="661">
        <v>35</v>
      </c>
      <c r="Z252" s="660">
        <v>70</v>
      </c>
      <c r="AA252" s="661">
        <v>100</v>
      </c>
      <c r="AB252" s="664" t="s">
        <v>252</v>
      </c>
      <c r="AC252" s="663">
        <v>50</v>
      </c>
      <c r="AD252" s="660">
        <v>100</v>
      </c>
      <c r="AE252" s="662">
        <v>200</v>
      </c>
      <c r="AF252" s="1553"/>
      <c r="AV252"/>
      <c r="AW252"/>
      <c r="AX252"/>
      <c r="BA252"/>
      <c r="BB252"/>
      <c r="BC252"/>
    </row>
    <row r="253" spans="1:55" s="351" customFormat="1" ht="22.5" customHeight="1">
      <c r="A253" s="33">
        <f>IF(L248="","",A252+1)</f>
        <v>13</v>
      </c>
      <c r="B253" s="1674" t="str">
        <f>'Statement of Marks'!$K$3</f>
        <v>हिंदी</v>
      </c>
      <c r="C253" s="1675"/>
      <c r="D253" s="26">
        <f>IFERROR(VLOOKUP(L248,'Statement of Marks'!$B$7:'Statement of Marks'!$IC$206,10,0),"")</f>
        <v>8</v>
      </c>
      <c r="E253" s="26">
        <f>IFERROR(VLOOKUP(L248,'Statement of Marks'!$B$7:'Statement of Marks'!$IC$206,11,0),"")</f>
        <v>9</v>
      </c>
      <c r="F253" s="26">
        <f>IFERROR(VLOOKUP(L248,'Statement of Marks'!$B$7:'Statement of Marks'!$IC$206,12,0),"")</f>
        <v>8</v>
      </c>
      <c r="G253" s="26">
        <f>IFERROR(VLOOKUP(L248,'Statement of Marks'!$B$7:'Statement of Marks'!$IC$206,13,0),"")</f>
        <v>25</v>
      </c>
      <c r="H253" s="26">
        <f>IFERROR(VLOOKUP(L248,'Statement of Marks'!$B$7:'Statement of Marks'!$IC$206,14,0),"")</f>
        <v>46</v>
      </c>
      <c r="I253" s="26"/>
      <c r="J253" s="347">
        <f>IF(L248="","",IF(AND(H253="",I253=""),"",SUM(H253,I253)))</f>
        <v>46</v>
      </c>
      <c r="K253" s="679">
        <f>IFERROR(IF(L248="","",IF(AND(G253="",J253=""),"",SUM(G253,J253))),"")</f>
        <v>71</v>
      </c>
      <c r="L253" s="26">
        <f>IFERROR(VLOOKUP(L248,'Statement of Marks'!$B$7:'Statement of Marks'!$IC$206,16,0),"")</f>
        <v>65</v>
      </c>
      <c r="M253" s="26"/>
      <c r="N253" s="347">
        <f>IF(L248="","",IF(AND(L253="",M253=""),"",SUM(L253,M253)))</f>
        <v>65</v>
      </c>
      <c r="O253" s="674">
        <f>IFERROR(VLOOKUP(L248,'Statement of Marks'!$B$7:'Statement of Marks'!$IC$206,17,0),"")</f>
        <v>136</v>
      </c>
      <c r="P253" s="680" t="str">
        <f>IFERROR(IF(O253="","",IF(VLOOKUP(L248,'Statement of Marks'!$B$7:'Statement of Marks'!$IC$206,195,0)="D","I",IF(VLOOKUP(L248,'Statement of Marks'!$B$7:'Statement of Marks'!$IC$206,195,0)="G1","G",IF(VLOOKUP(L248,'Statement of Marks'!$B$7:'Statement of Marks'!$IC$206,195,0)="G2","G",VLOOKUP(L248,'Statement of Marks'!$B$7:'Statement of Marks'!$IC$206,195,0))))),"")</f>
        <v>I</v>
      </c>
      <c r="Q253" s="1686"/>
      <c r="R253" s="1674" t="str">
        <f>'Statement of Marks'!$K$3</f>
        <v>हिंदी</v>
      </c>
      <c r="S253" s="1675"/>
      <c r="T253" s="26">
        <f>IFERROR(VLOOKUP(AB248,'Statement of Marks'!$B$7:'Statement of Marks'!$IC$206,10,0),"")</f>
        <v>8</v>
      </c>
      <c r="U253" s="26">
        <f>IFERROR(VLOOKUP(AB248,'Statement of Marks'!$B$7:'Statement of Marks'!$IC$206,11,0),"")</f>
        <v>9</v>
      </c>
      <c r="V253" s="26">
        <f>IFERROR(VLOOKUP(AB248,'Statement of Marks'!$B$7:'Statement of Marks'!$IC$206,12,0),"")</f>
        <v>8</v>
      </c>
      <c r="W253" s="26">
        <f>IFERROR(VLOOKUP(AB248,'Statement of Marks'!$B$7:'Statement of Marks'!$IC$206,13,0),"")</f>
        <v>25</v>
      </c>
      <c r="X253" s="26">
        <f>IFERROR(VLOOKUP(AB248,'Statement of Marks'!$B$7:'Statement of Marks'!$IC$206,14,0),"")</f>
        <v>46</v>
      </c>
      <c r="Y253" s="26"/>
      <c r="Z253" s="347">
        <f>IF(AB248="","",IF(AND(X253="",Y253=""),"",SUM(X253,Y253)))</f>
        <v>46</v>
      </c>
      <c r="AA253" s="679">
        <f>IFERROR(IF(AB248="","",IF(AND(W253="",Z253=""),"",SUM(W253,Z253))),"")</f>
        <v>71</v>
      </c>
      <c r="AB253" s="26">
        <f>IFERROR(VLOOKUP(AB248,'Statement of Marks'!$B$7:'Statement of Marks'!$IC$206,16,0),"")</f>
        <v>65</v>
      </c>
      <c r="AC253" s="26"/>
      <c r="AD253" s="347">
        <f>IF(AB248="","",IF(AND(AB253="",AC253=""),"",SUM(AB253,AC253)))</f>
        <v>65</v>
      </c>
      <c r="AE253" s="674">
        <f>IFERROR(VLOOKUP(AB248,'Statement of Marks'!$B$7:'Statement of Marks'!$IC$206,17,0),"")</f>
        <v>136</v>
      </c>
      <c r="AF253" s="680" t="str">
        <f>IFERROR(IF(AE253="","",IF(VLOOKUP(AB248,'Statement of Marks'!$B$7:'Statement of Marks'!$IC$206,195,0)="D","I",IF(VLOOKUP(AB248,'Statement of Marks'!$B$7:'Statement of Marks'!$IC$206,195,0)="G1","G",IF(VLOOKUP(AB248,'Statement of Marks'!$B$7:'Statement of Marks'!$IC$206,195,0)="G2","G",VLOOKUP(AB248,'Statement of Marks'!$B$7:'Statement of Marks'!$IC$206,195,0))))),"")</f>
        <v>I</v>
      </c>
      <c r="AV253"/>
      <c r="AW253"/>
      <c r="AX253"/>
      <c r="BA253"/>
      <c r="BB253"/>
      <c r="BC253"/>
    </row>
    <row r="254" spans="1:55" s="351" customFormat="1" ht="22.5" customHeight="1">
      <c r="A254" s="33">
        <f>IF(L248="","",A253+1)</f>
        <v>14</v>
      </c>
      <c r="B254" s="1674" t="str">
        <f>'Statement of Marks'!$Y$3</f>
        <v>अंग्रेजी</v>
      </c>
      <c r="C254" s="1675"/>
      <c r="D254" s="26">
        <f>IFERROR(VLOOKUP(L248,'Statement of Marks'!$B$7:'Statement of Marks'!$IC$206,24,0),"")</f>
        <v>8</v>
      </c>
      <c r="E254" s="26">
        <f>IFERROR(VLOOKUP(L248,'Statement of Marks'!$B$7:'Statement of Marks'!$IC$206,25,0),"")</f>
        <v>9</v>
      </c>
      <c r="F254" s="26">
        <f>IFERROR(VLOOKUP(L248,'Statement of Marks'!$B$7:'Statement of Marks'!$IC$206,26,0),"")</f>
        <v>8</v>
      </c>
      <c r="G254" s="26">
        <f>IFERROR(VLOOKUP(L248,'Statement of Marks'!$B$7:'Statement of Marks'!$IC$206,27,0),"")</f>
        <v>25</v>
      </c>
      <c r="H254" s="26">
        <f>IFERROR(VLOOKUP(L248,'Statement of Marks'!$B$7:'Statement of Marks'!$IC$206,28,0),"")</f>
        <v>60</v>
      </c>
      <c r="I254" s="26"/>
      <c r="J254" s="347">
        <f>IF(L248="","",IF(AND(H254="",I254=""),"",SUM(H254,I254)))</f>
        <v>60</v>
      </c>
      <c r="K254" s="679">
        <f>IFERROR(IF(L248="","",IF(AND(G254="",J254=""),"",SUM(G254,J254))),"")</f>
        <v>85</v>
      </c>
      <c r="L254" s="26">
        <f>IFERROR(VLOOKUP(L248,'Statement of Marks'!$B$7:'Statement of Marks'!$IC$206,30,0),"")</f>
        <v>85</v>
      </c>
      <c r="M254" s="26"/>
      <c r="N254" s="347">
        <f>IF(L248="","",IF(AND(L254="",M254=""),"",SUM(L254,M254)))</f>
        <v>85</v>
      </c>
      <c r="O254" s="674">
        <f>IFERROR(VLOOKUP(L248,'Statement of Marks'!$B$7:'Statement of Marks'!$IC$206,31,0),"")</f>
        <v>170</v>
      </c>
      <c r="P254" s="680" t="str">
        <f>IFERROR(IF(O253="","",IF(VLOOKUP(L248,'Statement of Marks'!$B$7:'Statement of Marks'!$IC$206,198,0)="D","I",IF(VLOOKUP(L248,'Statement of Marks'!$B$7:'Statement of Marks'!$IC$206,198,0)="G1","G",IF(VLOOKUP(L248,'Statement of Marks'!$B$7:'Statement of Marks'!$IC$206,198,0)="G2","G",VLOOKUP(L248,'Statement of Marks'!$B$7:'Statement of Marks'!$IC$206,198,0))))),"")</f>
        <v>I</v>
      </c>
      <c r="Q254" s="1686"/>
      <c r="R254" s="1674" t="str">
        <f>'Statement of Marks'!$Y$3</f>
        <v>अंग्रेजी</v>
      </c>
      <c r="S254" s="1675"/>
      <c r="T254" s="26">
        <f>IFERROR(VLOOKUP(AB248,'Statement of Marks'!$B$7:'Statement of Marks'!$IC$206,24,0),"")</f>
        <v>8</v>
      </c>
      <c r="U254" s="26">
        <f>IFERROR(VLOOKUP(AB248,'Statement of Marks'!$B$7:'Statement of Marks'!$IC$206,25,0),"")</f>
        <v>9</v>
      </c>
      <c r="V254" s="26">
        <f>IFERROR(VLOOKUP(AB248,'Statement of Marks'!$B$7:'Statement of Marks'!$IC$206,26,0),"")</f>
        <v>8</v>
      </c>
      <c r="W254" s="26">
        <f>IFERROR(VLOOKUP(AB248,'Statement of Marks'!$B$7:'Statement of Marks'!$IC$206,27,0),"")</f>
        <v>25</v>
      </c>
      <c r="X254" s="26">
        <f>IFERROR(VLOOKUP(AB248,'Statement of Marks'!$B$7:'Statement of Marks'!$IC$206,28,0),"")</f>
        <v>60</v>
      </c>
      <c r="Y254" s="26"/>
      <c r="Z254" s="347">
        <f>IF(AB248="","",IF(AND(X254="",Y254=""),"",SUM(X254,Y254)))</f>
        <v>60</v>
      </c>
      <c r="AA254" s="679">
        <f>IFERROR(IF(AB248="","",IF(AND(W254="",Z254=""),"",SUM(W254,Z254))),"")</f>
        <v>85</v>
      </c>
      <c r="AB254" s="26">
        <f>IFERROR(VLOOKUP(AB248,'Statement of Marks'!$B$7:'Statement of Marks'!$IC$206,30,0),"")</f>
        <v>85</v>
      </c>
      <c r="AC254" s="26"/>
      <c r="AD254" s="347">
        <f>IF(AB248="","",IF(AND(AB254="",AC254=""),"",SUM(AB254,AC254)))</f>
        <v>85</v>
      </c>
      <c r="AE254" s="674">
        <f>IFERROR(VLOOKUP(AB248,'Statement of Marks'!$B$7:'Statement of Marks'!$IC$206,31,0),"")</f>
        <v>170</v>
      </c>
      <c r="AF254" s="680" t="str">
        <f>IFERROR(IF(AE253="","",IF(VLOOKUP(AB248,'Statement of Marks'!$B$7:'Statement of Marks'!$IC$206,198,0)="D","I",IF(VLOOKUP(AB248,'Statement of Marks'!$B$7:'Statement of Marks'!$IC$206,198,0)="G1","G",IF(VLOOKUP(AB248,'Statement of Marks'!$B$7:'Statement of Marks'!$IC$206,198,0)="G2","G",VLOOKUP(AB248,'Statement of Marks'!$B$7:'Statement of Marks'!$IC$206,198,0))))),"")</f>
        <v>I</v>
      </c>
      <c r="AV254"/>
      <c r="AW254"/>
      <c r="AX254"/>
      <c r="BA254"/>
      <c r="BB254"/>
      <c r="BC254"/>
    </row>
    <row r="255" spans="1:55" s="351" customFormat="1" ht="22.5" customHeight="1">
      <c r="A255" s="33">
        <f>IF(L248="","",A254+1)</f>
        <v>15</v>
      </c>
      <c r="B255" s="1674" t="str">
        <f>IFERROR(VLOOKUP(L248,'Statement of Marks'!$B$7:'Statement of Marks'!$IC$206,38,0),"")</f>
        <v>पंजाबी (75)</v>
      </c>
      <c r="C255" s="1675"/>
      <c r="D255" s="26">
        <f>IFERROR(VLOOKUP(L248,'Statement of Marks'!$B$7:'Statement of Marks'!$IC$206,39,0),"")</f>
        <v>8</v>
      </c>
      <c r="E255" s="26">
        <f>IFERROR(VLOOKUP(L248,'Statement of Marks'!$B$7:'Statement of Marks'!$IC$206,40,0),"")</f>
        <v>9</v>
      </c>
      <c r="F255" s="26">
        <f>IFERROR(VLOOKUP(L248,'Statement of Marks'!$B$7:'Statement of Marks'!$IC$206,41,0),"")</f>
        <v>9</v>
      </c>
      <c r="G255" s="26">
        <f>IFERROR(VLOOKUP(L248,'Statement of Marks'!$B$7:'Statement of Marks'!$IC$206,42,0),"")</f>
        <v>26</v>
      </c>
      <c r="H255" s="26">
        <f>IFERROR(VLOOKUP(L248,'Statement of Marks'!$B$7:'Statement of Marks'!$IC$206,43,0),"")</f>
        <v>46</v>
      </c>
      <c r="I255" s="26"/>
      <c r="J255" s="347">
        <f>IF(L248="","",IF(AND(H255="",I255=""),"",SUM(H255,I255)))</f>
        <v>46</v>
      </c>
      <c r="K255" s="679">
        <f>IFERROR(IF(L248="","",IF(AND(G255="",J255=""),"",SUM(G255,J255))),"")</f>
        <v>72</v>
      </c>
      <c r="L255" s="26">
        <f>IFERROR(VLOOKUP(L248,'Statement of Marks'!$B$7:'Statement of Marks'!$IC$206,45,0),"")</f>
        <v>45</v>
      </c>
      <c r="M255" s="26"/>
      <c r="N255" s="347">
        <f>IF(L248="","",IF(AND(L255="",M255=""),"",SUM(L255,M255)))</f>
        <v>45</v>
      </c>
      <c r="O255" s="674">
        <f>IFERROR(VLOOKUP(L248,'Statement of Marks'!$B$7:'Statement of Marks'!$IC$206,46,0),"")</f>
        <v>117</v>
      </c>
      <c r="P255" s="680" t="str">
        <f>IFERROR(IF(O253="","",IF(VLOOKUP(L248,'Statement of Marks'!$B$7:'Statement of Marks'!$IC$206,201,0)="D","I",IF(VLOOKUP(L248,'Statement of Marks'!$B$7:'Statement of Marks'!$IC$206,201,0)="G1","G",IF(VLOOKUP(L248,'Statement of Marks'!$B$7:'Statement of Marks'!$IC$206,201,0)="G2","G",VLOOKUP(L248,'Statement of Marks'!$B$7:'Statement of Marks'!$IC$206,201,0))))),"")</f>
        <v>II</v>
      </c>
      <c r="Q255" s="1686"/>
      <c r="R255" s="1674" t="str">
        <f>IFERROR(VLOOKUP(AB248,'Statement of Marks'!$B$7:'Statement of Marks'!$IC$206,38,0),"")</f>
        <v xml:space="preserve">उर्दू (72) </v>
      </c>
      <c r="S255" s="1675"/>
      <c r="T255" s="26">
        <f>IFERROR(VLOOKUP(AB248,'Statement of Marks'!$B$7:'Statement of Marks'!$IC$206,39,0),"")</f>
        <v>8</v>
      </c>
      <c r="U255" s="26">
        <f>IFERROR(VLOOKUP(AB248,'Statement of Marks'!$B$7:'Statement of Marks'!$IC$206,40,0),"")</f>
        <v>9</v>
      </c>
      <c r="V255" s="26">
        <f>IFERROR(VLOOKUP(AB248,'Statement of Marks'!$B$7:'Statement of Marks'!$IC$206,41,0),"")</f>
        <v>9</v>
      </c>
      <c r="W255" s="26">
        <f>IFERROR(VLOOKUP(AB248,'Statement of Marks'!$B$7:'Statement of Marks'!$IC$206,42,0),"")</f>
        <v>26</v>
      </c>
      <c r="X255" s="26">
        <f>IFERROR(VLOOKUP(AB248,'Statement of Marks'!$B$7:'Statement of Marks'!$IC$206,43,0),"")</f>
        <v>46</v>
      </c>
      <c r="Y255" s="26"/>
      <c r="Z255" s="347">
        <f>IF(AB248="","",IF(AND(X255="",Y255=""),"",SUM(X255,Y255)))</f>
        <v>46</v>
      </c>
      <c r="AA255" s="679">
        <f>IFERROR(IF(AB248="","",IF(AND(W255="",Z255=""),"",SUM(W255,Z255))),"")</f>
        <v>72</v>
      </c>
      <c r="AB255" s="26">
        <f>IFERROR(VLOOKUP(AB248,'Statement of Marks'!$B$7:'Statement of Marks'!$IC$206,45,0),"")</f>
        <v>45</v>
      </c>
      <c r="AC255" s="26"/>
      <c r="AD255" s="347">
        <f>IF(AB248="","",IF(AND(AB255="",AC255=""),"",SUM(AB255,AC255)))</f>
        <v>45</v>
      </c>
      <c r="AE255" s="674">
        <f>IFERROR(VLOOKUP(AB248,'Statement of Marks'!$B$7:'Statement of Marks'!$IC$206,46,0),"")</f>
        <v>117</v>
      </c>
      <c r="AF255" s="680" t="str">
        <f>IFERROR(IF(AE253="","",IF(VLOOKUP(AB248,'Statement of Marks'!$B$7:'Statement of Marks'!$IC$206,201,0)="D","I",IF(VLOOKUP(AB248,'Statement of Marks'!$B$7:'Statement of Marks'!$IC$206,201,0)="G1","G",IF(VLOOKUP(AB248,'Statement of Marks'!$B$7:'Statement of Marks'!$IC$206,201,0)="G2","G",VLOOKUP(AB248,'Statement of Marks'!$B$7:'Statement of Marks'!$IC$206,201,0))))),"")</f>
        <v>II</v>
      </c>
      <c r="AV255"/>
      <c r="AW255"/>
      <c r="AX255"/>
      <c r="BA255"/>
      <c r="BB255"/>
      <c r="BC255"/>
    </row>
    <row r="256" spans="1:55" s="351" customFormat="1" ht="22.5" customHeight="1">
      <c r="A256" s="33">
        <f>IF(L248="","",A255+1)</f>
        <v>16</v>
      </c>
      <c r="B256" s="1674" t="str">
        <f>'Statement of Marks'!$BB$3</f>
        <v>गणित</v>
      </c>
      <c r="C256" s="1675"/>
      <c r="D256" s="26">
        <f>IFERROR(VLOOKUP(L248,'Statement of Marks'!$B$7:'Statement of Marks'!$IC$206,53,0),"")</f>
        <v>8</v>
      </c>
      <c r="E256" s="26">
        <f>IFERROR(VLOOKUP(L248,'Statement of Marks'!$B$7:'Statement of Marks'!$IC$206,54,0),"")</f>
        <v>9</v>
      </c>
      <c r="F256" s="26">
        <f>IFERROR(VLOOKUP(L248,'Statement of Marks'!$B$7:'Statement of Marks'!$IC$206,55,0),"")</f>
        <v>8</v>
      </c>
      <c r="G256" s="26">
        <f>IFERROR(VLOOKUP(L248,'Statement of Marks'!$B$7:'Statement of Marks'!$IC$206,56,0),"")</f>
        <v>25</v>
      </c>
      <c r="H256" s="26">
        <f>IFERROR(VLOOKUP(L248,'Statement of Marks'!$B$7:'Statement of Marks'!$IC$206,57,0),"")</f>
        <v>46</v>
      </c>
      <c r="I256" s="26"/>
      <c r="J256" s="347">
        <f>IF(L248="","",IF(AND(H256="",I256=""),"",SUM(H256,I256)))</f>
        <v>46</v>
      </c>
      <c r="K256" s="679">
        <f>IFERROR(IF(L248="","",IF(AND(G256="",J256=""),"",SUM(G256,J256))),"")</f>
        <v>71</v>
      </c>
      <c r="L256" s="26">
        <f>IFERROR(VLOOKUP(L248,'Statement of Marks'!$B$7:'Statement of Marks'!$IC$206,59,0),"")</f>
        <v>45</v>
      </c>
      <c r="M256" s="26"/>
      <c r="N256" s="347">
        <f>IF(L248="","",IF(AND(L256="",M256=""),"",SUM(L256,M256)))</f>
        <v>45</v>
      </c>
      <c r="O256" s="674">
        <f>IFERROR(VLOOKUP(L248,'Statement of Marks'!$B$7:'Statement of Marks'!$IC$206,60,0),"")</f>
        <v>116</v>
      </c>
      <c r="P256" s="680" t="str">
        <f>IFERROR(IF(O253="","",IF(VLOOKUP(L248,'Statement of Marks'!$B$7:'Statement of Marks'!$IC$206,209,0)="D","I",IF(VLOOKUP(L248,'Statement of Marks'!$B$7:'Statement of Marks'!$IC$206,209,0)="G1","G",IF(VLOOKUP(L248,'Statement of Marks'!$B$7:'Statement of Marks'!$IC$206,209,0)="G2","G",VLOOKUP(L248,'Statement of Marks'!$B$7:'Statement of Marks'!$IC$206,209,0))))),"")</f>
        <v>II</v>
      </c>
      <c r="Q256" s="1686"/>
      <c r="R256" s="1674" t="str">
        <f>'Statement of Marks'!$BB$3</f>
        <v>गणित</v>
      </c>
      <c r="S256" s="1675"/>
      <c r="T256" s="26">
        <f>IFERROR(VLOOKUP(AB248,'Statement of Marks'!$B$7:'Statement of Marks'!$IC$206,53,0),"")</f>
        <v>8</v>
      </c>
      <c r="U256" s="26">
        <f>IFERROR(VLOOKUP(AB248,'Statement of Marks'!$B$7:'Statement of Marks'!$IC$206,54,0),"")</f>
        <v>9</v>
      </c>
      <c r="V256" s="26">
        <f>IFERROR(VLOOKUP(AB248,'Statement of Marks'!$B$7:'Statement of Marks'!$IC$206,55,0),"")</f>
        <v>7</v>
      </c>
      <c r="W256" s="26">
        <f>IFERROR(VLOOKUP(AB248,'Statement of Marks'!$B$7:'Statement of Marks'!$IC$206,56,0),"")</f>
        <v>24</v>
      </c>
      <c r="X256" s="26">
        <f>IFERROR(VLOOKUP(AB248,'Statement of Marks'!$B$7:'Statement of Marks'!$IC$206,57,0),"")</f>
        <v>46</v>
      </c>
      <c r="Y256" s="26"/>
      <c r="Z256" s="347">
        <f>IF(AB248="","",IF(AND(X256="",Y256=""),"",SUM(X256,Y256)))</f>
        <v>46</v>
      </c>
      <c r="AA256" s="679">
        <f>IFERROR(IF(AB248="","",IF(AND(W256="",Z256=""),"",SUM(W256,Z256))),"")</f>
        <v>70</v>
      </c>
      <c r="AB256" s="26">
        <f>IFERROR(VLOOKUP(AB248,'Statement of Marks'!$B$7:'Statement of Marks'!$IC$206,59,0),"")</f>
        <v>45</v>
      </c>
      <c r="AC256" s="26"/>
      <c r="AD256" s="347">
        <f>IF(AB248="","",IF(AND(AB256="",AC256=""),"",SUM(AB256,AC256)))</f>
        <v>45</v>
      </c>
      <c r="AE256" s="674">
        <f>IFERROR(VLOOKUP(AB248,'Statement of Marks'!$B$7:'Statement of Marks'!$IC$206,60,0),"")</f>
        <v>115</v>
      </c>
      <c r="AF256" s="680" t="str">
        <f>IFERROR(IF(AE253="","",IF(VLOOKUP(AB248,'Statement of Marks'!$B$7:'Statement of Marks'!$IC$206,209,0)="D","I",IF(VLOOKUP(AB248,'Statement of Marks'!$B$7:'Statement of Marks'!$IC$206,209,0)="G1","G",IF(VLOOKUP(AB248,'Statement of Marks'!$B$7:'Statement of Marks'!$IC$206,209,0)="G2","G",VLOOKUP(AB248,'Statement of Marks'!$B$7:'Statement of Marks'!$IC$206,209,0))))),"")</f>
        <v>II</v>
      </c>
      <c r="AV256"/>
      <c r="AW256"/>
      <c r="AX256"/>
      <c r="BA256"/>
      <c r="BB256"/>
      <c r="BC256"/>
    </row>
    <row r="257" spans="1:55" s="351" customFormat="1" ht="22.5" customHeight="1">
      <c r="A257" s="33">
        <f>IF(L248="","",A256+1)</f>
        <v>17</v>
      </c>
      <c r="B257" s="1661" t="str">
        <f>'Statement of Marks'!$BP$3</f>
        <v>विज्ञान</v>
      </c>
      <c r="C257" s="1662"/>
      <c r="D257" s="26">
        <f>IFERROR(VLOOKUP(L248,'Statement of Marks'!$B$7:'Statement of Marks'!$IC$206,67,0),"")</f>
        <v>8</v>
      </c>
      <c r="E257" s="26">
        <f>IFERROR(VLOOKUP(L248,'Statement of Marks'!$B$7:'Statement of Marks'!$IC$206,68,0),"")</f>
        <v>9</v>
      </c>
      <c r="F257" s="26">
        <f>IFERROR(VLOOKUP(L248,'Statement of Marks'!$B$7:'Statement of Marks'!$IC$206,69,0),"")</f>
        <v>7</v>
      </c>
      <c r="G257" s="26">
        <f>IFERROR(VLOOKUP(L248,'Statement of Marks'!$B$7:'Statement of Marks'!$IC$206,70,0),"")</f>
        <v>24</v>
      </c>
      <c r="H257" s="26">
        <f>IFERROR(VLOOKUP(L248,'Statement of Marks'!$B$7:'Statement of Marks'!$IC$206,71,0),"")</f>
        <v>46</v>
      </c>
      <c r="I257" s="26"/>
      <c r="J257" s="347">
        <f>IF(L248="","",IF(AND(H257="",I257=""),"",SUM(H257,I257)))</f>
        <v>46</v>
      </c>
      <c r="K257" s="679">
        <f>IFERROR(IF(L248="","",IF(AND(G257="",J257=""),"",SUM(G257,J257))),"")</f>
        <v>70</v>
      </c>
      <c r="L257" s="26">
        <f>IFERROR(VLOOKUP(L248,'Statement of Marks'!$B$7:'Statement of Marks'!$IC$206,73,0),"")</f>
        <v>45</v>
      </c>
      <c r="M257" s="26"/>
      <c r="N257" s="347">
        <f>IF(L248="","",IF(AND(L257="",M257=""),"",SUM(L257,M257)))</f>
        <v>45</v>
      </c>
      <c r="O257" s="674">
        <f>IFERROR(VLOOKUP(L248,'Statement of Marks'!$B$7:'Statement of Marks'!$IC$206,74,0),"")</f>
        <v>115</v>
      </c>
      <c r="P257" s="680" t="str">
        <f>IFERROR(IF(O253="","",IF(VLOOKUP(L248,'Statement of Marks'!$B$7:'Statement of Marks'!$IC$206,212,0)="D","I",IF(VLOOKUP(L248,'Statement of Marks'!$B$7:'Statement of Marks'!$IC$206,212,0)="G1","G",IF(VLOOKUP(L248,'Statement of Marks'!$B$7:'Statement of Marks'!$IC$206,212,0)="G2","G",VLOOKUP(L248,'Statement of Marks'!$B$7:'Statement of Marks'!$IC$206,212,0))))),"")</f>
        <v>II</v>
      </c>
      <c r="Q257" s="1686"/>
      <c r="R257" s="1661" t="str">
        <f>'Statement of Marks'!$BP$3</f>
        <v>विज्ञान</v>
      </c>
      <c r="S257" s="1662"/>
      <c r="T257" s="26">
        <f>IFERROR(VLOOKUP(AB248,'Statement of Marks'!$B$7:'Statement of Marks'!$IC$206,67,0),"")</f>
        <v>8</v>
      </c>
      <c r="U257" s="26">
        <f>IFERROR(VLOOKUP(AB248,'Statement of Marks'!$B$7:'Statement of Marks'!$IC$206,68,0),"")</f>
        <v>9</v>
      </c>
      <c r="V257" s="26">
        <f>IFERROR(VLOOKUP(AB248,'Statement of Marks'!$B$7:'Statement of Marks'!$IC$206,69,0),"")</f>
        <v>7</v>
      </c>
      <c r="W257" s="26">
        <f>IFERROR(VLOOKUP(AB248,'Statement of Marks'!$B$7:'Statement of Marks'!$IC$206,70,0),"")</f>
        <v>24</v>
      </c>
      <c r="X257" s="26">
        <f>IFERROR(VLOOKUP(AB248,'Statement of Marks'!$B$7:'Statement of Marks'!$IC$206,71,0),"")</f>
        <v>46</v>
      </c>
      <c r="Y257" s="26"/>
      <c r="Z257" s="347">
        <f>IF(AB248="","",IF(AND(X257="",Y257=""),"",SUM(X257,Y257)))</f>
        <v>46</v>
      </c>
      <c r="AA257" s="679">
        <f>IFERROR(IF(AB248="","",IF(AND(W257="",Z257=""),"",SUM(W257,Z257))),"")</f>
        <v>70</v>
      </c>
      <c r="AB257" s="26">
        <f>IFERROR(VLOOKUP(AB248,'Statement of Marks'!$B$7:'Statement of Marks'!$IC$206,73,0),"")</f>
        <v>45</v>
      </c>
      <c r="AC257" s="26"/>
      <c r="AD257" s="347">
        <f>IF(AB248="","",IF(AND(AB257="",AC257=""),"",SUM(AB257,AC257)))</f>
        <v>45</v>
      </c>
      <c r="AE257" s="674">
        <f>IFERROR(VLOOKUP(AB248,'Statement of Marks'!$B$7:'Statement of Marks'!$IC$206,74,0),"")</f>
        <v>115</v>
      </c>
      <c r="AF257" s="680" t="str">
        <f>IFERROR(IF(AE253="","",IF(VLOOKUP(AB248,'Statement of Marks'!$B$7:'Statement of Marks'!$IC$206,212,0)="D","I",IF(VLOOKUP(AB248,'Statement of Marks'!$B$7:'Statement of Marks'!$IC$206,212,0)="G1","G",IF(VLOOKUP(AB248,'Statement of Marks'!$B$7:'Statement of Marks'!$IC$206,212,0)="G2","G",VLOOKUP(AB248,'Statement of Marks'!$B$7:'Statement of Marks'!$IC$206,212,0))))),"")</f>
        <v>II</v>
      </c>
      <c r="AV257"/>
      <c r="AW257"/>
      <c r="AX257"/>
      <c r="BA257"/>
      <c r="BB257"/>
      <c r="BC257"/>
    </row>
    <row r="258" spans="1:55" s="351" customFormat="1" ht="22.5" customHeight="1">
      <c r="A258" s="33">
        <f>IF(L248="","",A257+1)</f>
        <v>18</v>
      </c>
      <c r="B258" s="409" t="str">
        <f>'Statement of Marks'!$CE$3</f>
        <v>सामाजिक विज्ञान</v>
      </c>
      <c r="C258" s="412" t="str">
        <f>IF(OR(L248="",O258="",O260=""),"",IF(AND(O258&gt;=O260),"*",""))</f>
        <v/>
      </c>
      <c r="D258" s="26">
        <f>IFERROR(VLOOKUP(L248,'Statement of Marks'!$B$7:'Statement of Marks'!$IC$206,82,0),"")</f>
        <v>8</v>
      </c>
      <c r="E258" s="26">
        <f>IFERROR(VLOOKUP(L248,'Statement of Marks'!$B$7:'Statement of Marks'!$IC$206,83,0),"")</f>
        <v>8</v>
      </c>
      <c r="F258" s="26">
        <f>IFERROR(VLOOKUP(L248,'Statement of Marks'!$B$7:'Statement of Marks'!$IC$206,84,0),"")</f>
        <v>8</v>
      </c>
      <c r="G258" s="26">
        <f>IFERROR(VLOOKUP(L248,'Statement of Marks'!$B$7:'Statement of Marks'!$IC$206,85,0),"")</f>
        <v>24</v>
      </c>
      <c r="H258" s="26">
        <f>IFERROR(VLOOKUP(L248,'Statement of Marks'!$B$7:'Statement of Marks'!$IC$206,86,0),"")</f>
        <v>46</v>
      </c>
      <c r="I258" s="26"/>
      <c r="J258" s="347">
        <f>IF(L248="","",IF(AND(H258="",I258=""),"",SUM(H258,I258)))</f>
        <v>46</v>
      </c>
      <c r="K258" s="679">
        <f>IFERROR(IF(L248="","",IF(AND(G258="",J258=""),"",SUM(G258,J258))),"")</f>
        <v>70</v>
      </c>
      <c r="L258" s="26">
        <f>IFERROR(VLOOKUP(L248,'Statement of Marks'!$B$7:'Statement of Marks'!$IC$206,88,0),"")</f>
        <v>45</v>
      </c>
      <c r="M258" s="26"/>
      <c r="N258" s="347">
        <f>IF(L248="","",IF(AND(L258="",M258=""),"",SUM(L258,M258)))</f>
        <v>45</v>
      </c>
      <c r="O258" s="674">
        <f>IFERROR(VLOOKUP(L248,'Statement of Marks'!$B$7:'Statement of Marks'!$IC$206,89,0),"")</f>
        <v>115</v>
      </c>
      <c r="P258" s="680" t="str">
        <f>IFERROR(IF(O253="","",IF(VLOOKUP(L248,'Statement of Marks'!$B$7:'Statement of Marks'!$IC$206,215,0)="D","I",IF(VLOOKUP(L248,'Statement of Marks'!$B$7:'Statement of Marks'!$IC$206,215,0)="G1","G",IF(VLOOKUP(L248,'Statement of Marks'!$B$7:'Statement of Marks'!$IC$206,215,0)="G2","G",VLOOKUP(L248,'Statement of Marks'!$B$7:'Statement of Marks'!$IC$206,215,0))))),"")</f>
        <v>II</v>
      </c>
      <c r="Q258" s="1686"/>
      <c r="R258" s="409" t="str">
        <f>'Statement of Marks'!$CE$3</f>
        <v>सामाजिक विज्ञान</v>
      </c>
      <c r="S258" s="412" t="str">
        <f>IF(OR(AB248="",AE258="",AE260=""),"",IF(AND(AE258&gt;=AE260),"*",""))</f>
        <v/>
      </c>
      <c r="T258" s="26">
        <f>IFERROR(VLOOKUP(AB248,'Statement of Marks'!$B$7:'Statement of Marks'!$IC$206,82,0),"")</f>
        <v>8</v>
      </c>
      <c r="U258" s="26">
        <f>IFERROR(VLOOKUP(AB248,'Statement of Marks'!$B$7:'Statement of Marks'!$IC$206,83,0),"")</f>
        <v>8</v>
      </c>
      <c r="V258" s="26">
        <f>IFERROR(VLOOKUP(AB248,'Statement of Marks'!$B$7:'Statement of Marks'!$IC$206,84,0),"")</f>
        <v>8</v>
      </c>
      <c r="W258" s="26">
        <f>IFERROR(VLOOKUP(AB248,'Statement of Marks'!$B$7:'Statement of Marks'!$IC$206,85,0),"")</f>
        <v>24</v>
      </c>
      <c r="X258" s="26">
        <f>IFERROR(VLOOKUP(AB248,'Statement of Marks'!$B$7:'Statement of Marks'!$IC$206,86,0),"")</f>
        <v>46</v>
      </c>
      <c r="Y258" s="26"/>
      <c r="Z258" s="347">
        <f>IF(AB248="","",IF(AND(X258="",Y258=""),"",SUM(X258,Y258)))</f>
        <v>46</v>
      </c>
      <c r="AA258" s="679">
        <f>IFERROR(IF(AB248="","",IF(AND(W258="",Z258=""),"",SUM(W258,Z258))),"")</f>
        <v>70</v>
      </c>
      <c r="AB258" s="26">
        <f>IFERROR(VLOOKUP(AB248,'Statement of Marks'!$B$7:'Statement of Marks'!$IC$206,88,0),"")</f>
        <v>45</v>
      </c>
      <c r="AC258" s="26"/>
      <c r="AD258" s="347">
        <f>IF(AB248="","",IF(AND(AB258="",AC258=""),"",SUM(AB258,AC258)))</f>
        <v>45</v>
      </c>
      <c r="AE258" s="674">
        <f>IFERROR(VLOOKUP(AB248,'Statement of Marks'!$B$7:'Statement of Marks'!$IC$206,89,0),"")</f>
        <v>115</v>
      </c>
      <c r="AF258" s="680" t="str">
        <f>IFERROR(IF(AE253="","",IF(VLOOKUP(AB248,'Statement of Marks'!$B$7:'Statement of Marks'!$IC$206,215,0)="D","I",IF(VLOOKUP(AB248,'Statement of Marks'!$B$7:'Statement of Marks'!$IC$206,215,0)="G1","G",IF(VLOOKUP(AB248,'Statement of Marks'!$B$7:'Statement of Marks'!$IC$206,215,0)="G2","G",VLOOKUP(AB248,'Statement of Marks'!$B$7:'Statement of Marks'!$IC$206,215,0))))),"")</f>
        <v>II</v>
      </c>
      <c r="AV258"/>
      <c r="AW258"/>
      <c r="AX258"/>
      <c r="BA258"/>
      <c r="BB258"/>
      <c r="BC258"/>
    </row>
    <row r="259" spans="1:55" s="351" customFormat="1">
      <c r="A259" s="33">
        <f>IF(L248="","",A258+1)</f>
        <v>19</v>
      </c>
      <c r="B259" s="1663" t="str">
        <f>IF('School Profile'!$D$12="Hindi","व्यावसायिक शिक्षा","Vocational Education")</f>
        <v>व्यावसायिक शिक्षा</v>
      </c>
      <c r="C259" s="1664"/>
      <c r="D259" s="1665"/>
      <c r="E259" s="1665"/>
      <c r="F259" s="1665"/>
      <c r="G259" s="1665"/>
      <c r="H259" s="1665"/>
      <c r="I259" s="1665"/>
      <c r="J259" s="1665"/>
      <c r="K259" s="1665"/>
      <c r="L259" s="1665"/>
      <c r="M259" s="1665"/>
      <c r="N259" s="1665"/>
      <c r="O259" s="1665"/>
      <c r="P259" s="1666"/>
      <c r="Q259" s="1686"/>
      <c r="R259" s="1663" t="str">
        <f>IF('School Profile'!$D$12="Hindi","व्यावसायिक शिक्षा","Vocational Education")</f>
        <v>व्यावसायिक शिक्षा</v>
      </c>
      <c r="S259" s="1664"/>
      <c r="T259" s="1665"/>
      <c r="U259" s="1665"/>
      <c r="V259" s="1665"/>
      <c r="W259" s="1665"/>
      <c r="X259" s="1665"/>
      <c r="Y259" s="1665"/>
      <c r="Z259" s="1665"/>
      <c r="AA259" s="1665"/>
      <c r="AB259" s="1665"/>
      <c r="AC259" s="1665"/>
      <c r="AD259" s="1665"/>
      <c r="AE259" s="1665"/>
      <c r="AF259" s="1666"/>
      <c r="AV259"/>
      <c r="AW259"/>
      <c r="AX259"/>
      <c r="BA259"/>
      <c r="BB259"/>
      <c r="BC259"/>
    </row>
    <row r="260" spans="1:55" s="351" customFormat="1" ht="22.5" customHeight="1">
      <c r="A260" s="33">
        <f>IF(L248="","",A259+1)</f>
        <v>20</v>
      </c>
      <c r="B260" s="411" t="str">
        <f>IFERROR(VLOOKUP(L248,'Statement of Marks'!$B$7:'Statement of Marks'!$IC$206,96,0),"")</f>
        <v/>
      </c>
      <c r="C260" s="410" t="str">
        <f>IF(OR(L248="",O258="",O260="",B260=""),"",IF(AND(O260&gt;=O258),"*",""))</f>
        <v/>
      </c>
      <c r="D260" s="397" t="str">
        <f>IFERROR(VLOOKUP(L248,'Statement of Marks'!$B$7:'Statement of Marks'!$IC$206,97,0),"")</f>
        <v/>
      </c>
      <c r="E260" s="26" t="str">
        <f>IFERROR(VLOOKUP(L248,'Statement of Marks'!$B$7:'Statement of Marks'!$IC$206,98,0),"")</f>
        <v/>
      </c>
      <c r="F260" s="26" t="str">
        <f>IFERROR(VLOOKUP(L248,'Statement of Marks'!$B$7:'Statement of Marks'!$IC$206,99,0),"")</f>
        <v/>
      </c>
      <c r="G260" s="26" t="str">
        <f>IFERROR(VLOOKUP(L248,'Statement of Marks'!$B$7:'Statement of Marks'!$IC$206,100,0),"")</f>
        <v/>
      </c>
      <c r="H260" s="27" t="str">
        <f>IFERROR(VLOOKUP(L248,'Statement of Marks'!$B$7:'Statement of Marks'!$IC$206,101,0),"")</f>
        <v/>
      </c>
      <c r="I260" s="27" t="str">
        <f>IFERROR(VLOOKUP(L248,'Statement of Marks'!$B$7:'Statement of Marks'!$IC$206,102,0),"")</f>
        <v/>
      </c>
      <c r="J260" s="347" t="str">
        <f>IFERROR(VLOOKUP(L248,'Statement of Marks'!$B$7:'Statement of Marks'!$IC$206,103,0),"")</f>
        <v/>
      </c>
      <c r="K260" s="679" t="str">
        <f>IFERROR(IF(L248="","",IF(AND(G260="",J260=""),"",SUM(G260,J260))),"")</f>
        <v/>
      </c>
      <c r="L260" s="26" t="str">
        <f>IFERROR(VLOOKUP(L248,'Statement of Marks'!$B$7:'Statement of Marks'!$IC$206,105,0),"")</f>
        <v/>
      </c>
      <c r="M260" s="26" t="str">
        <f>IFERROR(VLOOKUP(L248,'Statement of Marks'!$B$7:'Statement of Marks'!$IC$206,106,0),"")</f>
        <v/>
      </c>
      <c r="N260" s="347" t="str">
        <f>IF(L248="","",IF(AND(L260="",M260=""),"",SUM(L260,M260)))</f>
        <v/>
      </c>
      <c r="O260" s="672" t="str">
        <f>IFERROR(VLOOKUP(L248,'Statement of Marks'!$B$7:'Statement of Marks'!$IC$206,108,0),"")</f>
        <v/>
      </c>
      <c r="P260" s="680" t="str">
        <f>IFERROR(IF(O253="","",IF(VLOOKUP(L248,'Statement of Marks'!$B$7:'Statement of Marks'!$IC$206,218,0)="D","I",IF(VLOOKUP(L248,'Statement of Marks'!$B$7:'Statement of Marks'!$IC$206,218,0)="G1","G",IF(VLOOKUP(L248,'Statement of Marks'!$B$7:'Statement of Marks'!$IC$206,218,0)="G2","G",VLOOKUP(L248,'Statement of Marks'!$B$7:'Statement of Marks'!$IC$206,218,0))))),"")</f>
        <v/>
      </c>
      <c r="Q260" s="1686"/>
      <c r="R260" s="411" t="str">
        <f>IFERROR(VLOOKUP(AB248,'Statement of Marks'!$B$7:'Statement of Marks'!$IC$206,96,0),"")</f>
        <v/>
      </c>
      <c r="S260" s="410" t="str">
        <f>IF(OR(AB248="",AE258="",AE260="",R260=""),"",IF(AND(AE260&gt;=AE258),"*",""))</f>
        <v/>
      </c>
      <c r="T260" s="397" t="str">
        <f>IFERROR(VLOOKUP(AB248,'Statement of Marks'!$B$7:'Statement of Marks'!$IC$206,97,0),"")</f>
        <v/>
      </c>
      <c r="U260" s="26" t="str">
        <f>IFERROR(VLOOKUP(AB248,'Statement of Marks'!$B$7:'Statement of Marks'!$IC$206,98,0),"")</f>
        <v/>
      </c>
      <c r="V260" s="26" t="str">
        <f>IFERROR(VLOOKUP(AB248,'Statement of Marks'!$B$7:'Statement of Marks'!$IC$206,99,0),"")</f>
        <v/>
      </c>
      <c r="W260" s="26" t="str">
        <f>IFERROR(VLOOKUP(AB248,'Statement of Marks'!$B$7:'Statement of Marks'!$IC$206,100,0),"")</f>
        <v/>
      </c>
      <c r="X260" s="27" t="str">
        <f>IFERROR(VLOOKUP(AB248,'Statement of Marks'!$B$7:'Statement of Marks'!$IC$206,101,0),"")</f>
        <v/>
      </c>
      <c r="Y260" s="27" t="str">
        <f>IFERROR(VLOOKUP(AB248,'Statement of Marks'!$B$7:'Statement of Marks'!$IC$206,102,0),"")</f>
        <v/>
      </c>
      <c r="Z260" s="347" t="str">
        <f>IFERROR(VLOOKUP(AB248,'Statement of Marks'!$B$7:'Statement of Marks'!$IC$206,103,0),"")</f>
        <v/>
      </c>
      <c r="AA260" s="679" t="str">
        <f>IFERROR(IF(AB248="","",IF(AND(W260="",Z260=""),"",SUM(W260,Z260))),"")</f>
        <v/>
      </c>
      <c r="AB260" s="26" t="str">
        <f>IFERROR(VLOOKUP(AB248,'Statement of Marks'!$B$7:'Statement of Marks'!$IC$206,105,0),"")</f>
        <v/>
      </c>
      <c r="AC260" s="26" t="str">
        <f>IFERROR(VLOOKUP(AB248,'Statement of Marks'!$B$7:'Statement of Marks'!$IC$206,106,0),"")</f>
        <v/>
      </c>
      <c r="AD260" s="347" t="str">
        <f>IF(AB248="","",IF(AND(AB260="",AC260=""),"",SUM(AB260,AC260)))</f>
        <v/>
      </c>
      <c r="AE260" s="672" t="str">
        <f>IFERROR(VLOOKUP(AB248,'Statement of Marks'!$B$7:'Statement of Marks'!$IC$206,108,0),"")</f>
        <v/>
      </c>
      <c r="AF260" s="680" t="str">
        <f>IFERROR(IF(AE253="","",IF(VLOOKUP(AB248,'Statement of Marks'!$B$7:'Statement of Marks'!$IC$206,218,0)="D","I",IF(VLOOKUP(AB248,'Statement of Marks'!$B$7:'Statement of Marks'!$IC$206,218,0)="G1","G",IF(VLOOKUP(AB248,'Statement of Marks'!$B$7:'Statement of Marks'!$IC$206,218,0)="G2","G",VLOOKUP(AB248,'Statement of Marks'!$B$7:'Statement of Marks'!$IC$206,218,0))))),"")</f>
        <v/>
      </c>
      <c r="AV260"/>
      <c r="AW260"/>
      <c r="AX260"/>
      <c r="BA260"/>
      <c r="BB260"/>
      <c r="BC260"/>
    </row>
    <row r="261" spans="1:55" s="351" customFormat="1" ht="25.5" customHeight="1">
      <c r="A261" s="33">
        <f>IF(L248="","",A260+1)</f>
        <v>21</v>
      </c>
      <c r="B261" s="1667"/>
      <c r="C261" s="1668"/>
      <c r="D261" s="1669"/>
      <c r="E261" s="1669"/>
      <c r="F261" s="1669"/>
      <c r="G261" s="1669"/>
      <c r="H261" s="1669"/>
      <c r="I261" s="1669"/>
      <c r="J261" s="1669"/>
      <c r="K261" s="1669"/>
      <c r="L261" s="1670" t="str">
        <f>IF('School Profile'!$D$12="Hindi","महायोग :","Grand Total :")</f>
        <v>महायोग :</v>
      </c>
      <c r="M261" s="1671"/>
      <c r="N261" s="1671"/>
      <c r="O261" s="1672">
        <f>IF(OR(L248="",C246=""),"",IF(OR(B260="",O260=""),SUM(O253,O254,O255,O256,O257,O258),IF((O258/O252*100)&gt;=(O260/O252*100),SUM(O253:O258),SUM(O253,O254,O255,O256,O257,O260))))</f>
        <v>769</v>
      </c>
      <c r="P261" s="1673"/>
      <c r="Q261" s="1686"/>
      <c r="R261" s="1667"/>
      <c r="S261" s="1668"/>
      <c r="T261" s="1669"/>
      <c r="U261" s="1669"/>
      <c r="V261" s="1669"/>
      <c r="W261" s="1669"/>
      <c r="X261" s="1669"/>
      <c r="Y261" s="1669"/>
      <c r="Z261" s="1669"/>
      <c r="AA261" s="1669"/>
      <c r="AB261" s="1670" t="str">
        <f>IF('School Profile'!$D$12="Hindi","महायोग :","Grand Total :")</f>
        <v>महायोग :</v>
      </c>
      <c r="AC261" s="1671"/>
      <c r="AD261" s="1671"/>
      <c r="AE261" s="1672">
        <f>IF(OR(AB248="",S246=""),"",IF(OR(R260="",AE260=""),SUM(AE253,AE254,AE255,AE256,AE257,AE258),IF((AE258/AE252*100)&gt;=(AE260/AE252*100),SUM(AE253:AE258),SUM(AE253,AE254,AE255,AE256,AE257,AE260))))</f>
        <v>768</v>
      </c>
      <c r="AF261" s="1673"/>
      <c r="AV261"/>
      <c r="AW261"/>
      <c r="AX261"/>
      <c r="BA261"/>
      <c r="BB261"/>
      <c r="BC261"/>
    </row>
    <row r="262" spans="1:55" s="351" customFormat="1" ht="25.5" customHeight="1">
      <c r="A262" s="33">
        <f>IF(L248="","",A261+1)</f>
        <v>22</v>
      </c>
      <c r="B262" s="1647" t="str">
        <f>'Statement of Marks'!$DZ$208</f>
        <v>राजस्थान का स्वंत्रता आन्दोलन व शोर्य परम्परा</v>
      </c>
      <c r="C262" s="1648"/>
      <c r="D262" s="1649" t="s">
        <v>148</v>
      </c>
      <c r="E262" s="1650"/>
      <c r="F262" s="355" t="str">
        <f>IFERROR(VLOOKUP(L248,'Statement of Marks'!$B$7:'Statement of Marks'!$IC$206,136,0),"")</f>
        <v/>
      </c>
      <c r="G262" s="356" t="s">
        <v>134</v>
      </c>
      <c r="H262" s="355" t="str">
        <f>IFERROR(VLOOKUP(L248,'Statement of Marks'!$B$7:'Statement of Marks'!$IC$206,137,0),"")</f>
        <v/>
      </c>
      <c r="I262" s="1651" t="str">
        <f>'Statement of Marks'!$EL$208</f>
        <v>सूचना प्रोद्योगिकी की अवधारणा - I</v>
      </c>
      <c r="J262" s="1652"/>
      <c r="K262" s="1652"/>
      <c r="L262" s="1653"/>
      <c r="M262" s="354" t="s">
        <v>148</v>
      </c>
      <c r="N262" s="355" t="str">
        <f>IFERROR(VLOOKUP(L248,'Statement of Marks'!$B$7:'Statement of Marks'!$IC$206,152,0),"")</f>
        <v/>
      </c>
      <c r="O262" s="356" t="s">
        <v>134</v>
      </c>
      <c r="P262" s="355" t="str">
        <f>IFERROR(VLOOKUP(L248,'Statement of Marks'!$B$7:'Statement of Marks'!$IC$206,153,0),"")</f>
        <v/>
      </c>
      <c r="Q262" s="1686"/>
      <c r="R262" s="1647" t="str">
        <f>'Statement of Marks'!$DZ$208</f>
        <v>राजस्थान का स्वंत्रता आन्दोलन व शोर्य परम्परा</v>
      </c>
      <c r="S262" s="1648"/>
      <c r="T262" s="1649" t="s">
        <v>148</v>
      </c>
      <c r="U262" s="1650"/>
      <c r="V262" s="355" t="str">
        <f>IFERROR(VLOOKUP(AB248,'Statement of Marks'!$B$7:'Statement of Marks'!$IC$206,136,0),"")</f>
        <v/>
      </c>
      <c r="W262" s="356" t="s">
        <v>134</v>
      </c>
      <c r="X262" s="355" t="str">
        <f>IFERROR(VLOOKUP(AB248,'Statement of Marks'!$B$7:'Statement of Marks'!$IC$206,137,0),"")</f>
        <v/>
      </c>
      <c r="Y262" s="1651" t="str">
        <f>'Statement of Marks'!$EL$208</f>
        <v>सूचना प्रोद्योगिकी की अवधारणा - I</v>
      </c>
      <c r="Z262" s="1652"/>
      <c r="AA262" s="1652"/>
      <c r="AB262" s="1653"/>
      <c r="AC262" s="354" t="s">
        <v>148</v>
      </c>
      <c r="AD262" s="355" t="str">
        <f>IFERROR(VLOOKUP(AB248,'Statement of Marks'!$B$7:'Statement of Marks'!$IC$206,152,0),"")</f>
        <v/>
      </c>
      <c r="AE262" s="356" t="s">
        <v>134</v>
      </c>
      <c r="AF262" s="355" t="str">
        <f>IFERROR(VLOOKUP(AB248,'Statement of Marks'!$B$7:'Statement of Marks'!$IC$206,153,0),"")</f>
        <v/>
      </c>
      <c r="AV262"/>
      <c r="AW262"/>
      <c r="AX262"/>
      <c r="BA262"/>
      <c r="BB262"/>
      <c r="BC262"/>
    </row>
    <row r="263" spans="1:55" s="351" customFormat="1" ht="25.5" customHeight="1">
      <c r="A263" s="33">
        <f>IF(L248="","",A262+1)</f>
        <v>23</v>
      </c>
      <c r="B263" s="1654" t="str">
        <f>'Statement of Marks'!$FB$208</f>
        <v>स्वा. एवं शा. शिक्षा</v>
      </c>
      <c r="C263" s="1655"/>
      <c r="D263" s="1656" t="s">
        <v>148</v>
      </c>
      <c r="E263" s="1657"/>
      <c r="F263" s="355" t="str">
        <f>IFERROR(VLOOKUP(L248,'Statement of Marks'!$B$7:'Statement of Marks'!$IC$206,171,0),"")</f>
        <v/>
      </c>
      <c r="G263" s="356" t="s">
        <v>134</v>
      </c>
      <c r="H263" s="355" t="str">
        <f>IFERROR(VLOOKUP(L248,'Statement of Marks'!$B$7:'Statement of Marks'!$IC$206,172,0),"")</f>
        <v/>
      </c>
      <c r="I263" s="1658" t="str">
        <f>'Statement of Marks'!$FJ$208</f>
        <v>समाजोपयोगी उत्पादन कार्य एवं समाज सेवा</v>
      </c>
      <c r="J263" s="1659"/>
      <c r="K263" s="1659"/>
      <c r="L263" s="1660"/>
      <c r="M263" s="403" t="s">
        <v>148</v>
      </c>
      <c r="N263" s="404" t="str">
        <f>IFERROR(VLOOKUP(L248,'Statement of Marks'!$B$7:'Statement of Marks'!$IC$206,179,0),"")</f>
        <v/>
      </c>
      <c r="O263" s="405" t="s">
        <v>134</v>
      </c>
      <c r="P263" s="404" t="str">
        <f>IFERROR(VLOOKUP(L248,'Statement of Marks'!$B$7:'Statement of Marks'!$IC$206,180,0),"")</f>
        <v/>
      </c>
      <c r="Q263" s="1686"/>
      <c r="R263" s="1654" t="str">
        <f>'Statement of Marks'!$FB$208</f>
        <v>स्वा. एवं शा. शिक्षा</v>
      </c>
      <c r="S263" s="1655"/>
      <c r="T263" s="1656" t="s">
        <v>148</v>
      </c>
      <c r="U263" s="1657"/>
      <c r="V263" s="355" t="str">
        <f>IFERROR(VLOOKUP(AB248,'Statement of Marks'!$B$7:'Statement of Marks'!$IC$206,171,0),"")</f>
        <v/>
      </c>
      <c r="W263" s="356" t="s">
        <v>134</v>
      </c>
      <c r="X263" s="355" t="str">
        <f>IFERROR(VLOOKUP(AB248,'Statement of Marks'!$B$7:'Statement of Marks'!$IC$206,172,0),"")</f>
        <v/>
      </c>
      <c r="Y263" s="1658" t="str">
        <f>'Statement of Marks'!$FJ$208</f>
        <v>समाजोपयोगी उत्पादन कार्य एवं समाज सेवा</v>
      </c>
      <c r="Z263" s="1659"/>
      <c r="AA263" s="1659"/>
      <c r="AB263" s="1660"/>
      <c r="AC263" s="403" t="s">
        <v>148</v>
      </c>
      <c r="AD263" s="404" t="str">
        <f>IFERROR(VLOOKUP(AB248,'Statement of Marks'!$B$7:'Statement of Marks'!$IC$206,179,0),"")</f>
        <v/>
      </c>
      <c r="AE263" s="405" t="s">
        <v>134</v>
      </c>
      <c r="AF263" s="404" t="str">
        <f>IFERROR(VLOOKUP(AB248,'Statement of Marks'!$B$7:'Statement of Marks'!$IC$206,180,0),"")</f>
        <v/>
      </c>
      <c r="AV263"/>
      <c r="AW263"/>
      <c r="AX263"/>
      <c r="BA263"/>
      <c r="BB263"/>
      <c r="BC263"/>
    </row>
    <row r="264" spans="1:55" s="351" customFormat="1" ht="30" customHeight="1">
      <c r="A264" s="33">
        <f>IF(L248="","",A263+1)</f>
        <v>24</v>
      </c>
      <c r="B264" s="1626" t="str">
        <f>'Statement of Marks'!$FU$208</f>
        <v>कला शिक्षा</v>
      </c>
      <c r="C264" s="1627"/>
      <c r="D264" s="1628" t="s">
        <v>148</v>
      </c>
      <c r="E264" s="1629"/>
      <c r="F264" s="404" t="str">
        <f>IFERROR(VLOOKUP(L248,'Statement of Marks'!$B$7:'Statement of Marks'!$IC$206,187,0),"")</f>
        <v/>
      </c>
      <c r="G264" s="405" t="s">
        <v>134</v>
      </c>
      <c r="H264" s="355" t="str">
        <f>IFERROR(VLOOKUP(L248,'Statement of Marks'!$B$7:'Statement of Marks'!$IC$206,188,0),"")</f>
        <v/>
      </c>
      <c r="I264" s="1630" t="str">
        <f>IF('School Profile'!$D$12="Hindi","परीक्षा परिणाम घोषित दिनांक :-","Date of Result declaration :-")</f>
        <v>परीक्षा परिणाम घोषित दिनांक :-</v>
      </c>
      <c r="J264" s="1631"/>
      <c r="K264" s="1631"/>
      <c r="L264" s="1632"/>
      <c r="M264" s="1633">
        <f>IF(AND(L248=""),"",IF('School Profile'!$D$11="","",'School Profile'!$D$11))</f>
        <v>46106</v>
      </c>
      <c r="N264" s="1634"/>
      <c r="O264" s="690" t="str">
        <f>IF('School Profile'!$D$12="Hindi","श्रेणी","Division")</f>
        <v>श्रेणी</v>
      </c>
      <c r="P264" s="407" t="str">
        <f>IFERROR(VLOOKUP(L248,'Statement of Marks'!$B$7:'Statement of Marks'!$IC$206,229,0),"")</f>
        <v>1st</v>
      </c>
      <c r="Q264" s="1686"/>
      <c r="R264" s="1626" t="str">
        <f>'Statement of Marks'!$FU$208</f>
        <v>कला शिक्षा</v>
      </c>
      <c r="S264" s="1627"/>
      <c r="T264" s="1628" t="s">
        <v>148</v>
      </c>
      <c r="U264" s="1629"/>
      <c r="V264" s="404" t="str">
        <f>IFERROR(VLOOKUP(AB248,'Statement of Marks'!$B$7:'Statement of Marks'!$IC$206,187,0),"")</f>
        <v/>
      </c>
      <c r="W264" s="405" t="s">
        <v>134</v>
      </c>
      <c r="X264" s="355" t="str">
        <f>IFERROR(VLOOKUP(AB248,'Statement of Marks'!$B$7:'Statement of Marks'!$IC$206,188,0),"")</f>
        <v/>
      </c>
      <c r="Y264" s="1630" t="str">
        <f>IF('School Profile'!$D$12="Hindi","परीक्षा परिणाम घोषित दिनांक :-","Date of Result declaration :-")</f>
        <v>परीक्षा परिणाम घोषित दिनांक :-</v>
      </c>
      <c r="Z264" s="1631"/>
      <c r="AA264" s="1631"/>
      <c r="AB264" s="1632"/>
      <c r="AC264" s="1633">
        <f>IF(AND(AB248=""),"",IF('School Profile'!$D$11="","",'School Profile'!$D$11))</f>
        <v>46106</v>
      </c>
      <c r="AD264" s="1634"/>
      <c r="AE264" s="690" t="str">
        <f>IF('School Profile'!$D$12="Hindi","श्रेणी","Division")</f>
        <v>श्रेणी</v>
      </c>
      <c r="AF264" s="407" t="str">
        <f>IFERROR(VLOOKUP(AB248,'Statement of Marks'!$B$7:'Statement of Marks'!$IC$206,229,0),"")</f>
        <v>1st</v>
      </c>
      <c r="AV264"/>
      <c r="AW264"/>
      <c r="AX264"/>
      <c r="BA264"/>
      <c r="BB264"/>
      <c r="BC264"/>
    </row>
    <row r="265" spans="1:55" s="351" customFormat="1" ht="29.25" customHeight="1">
      <c r="A265" s="33">
        <f>IF(L248="","",A264+1)</f>
        <v>25</v>
      </c>
      <c r="B265" s="1635" t="s">
        <v>143</v>
      </c>
      <c r="C265" s="1636"/>
      <c r="D265" s="1637" t="str">
        <f>IFERROR(VLOOKUP(L248,'Statement of Marks'!$B$7:'Statement of Marks'!$IC$206,192,0),"")</f>
        <v/>
      </c>
      <c r="E265" s="1638"/>
      <c r="F265" s="1639" t="s">
        <v>76</v>
      </c>
      <c r="G265" s="1640"/>
      <c r="H265" s="406" t="str">
        <f>IFERROR(VLOOKUP(L248,'Statement of Marks'!$B$7:'Statement of Marks'!$IC$206,193,0),"")</f>
        <v/>
      </c>
      <c r="I265" s="1641" t="s">
        <v>135</v>
      </c>
      <c r="J265" s="1642"/>
      <c r="K265" s="1643">
        <f>IFERROR(IF(OR(O261="",L248=""),"",VLOOKUP(L248,'Statement of Marks'!$B$7:'Statement of Marks'!$IC$206,230,0)),"")</f>
        <v>64.083333333333329</v>
      </c>
      <c r="L265" s="1644"/>
      <c r="M265" s="1645" t="s">
        <v>144</v>
      </c>
      <c r="N265" s="1646"/>
      <c r="O265" s="1646"/>
      <c r="P265" s="408">
        <f>IFERROR(VLOOKUP(L248,'Statement of Marks'!$B$7:'Statement of Marks'!$IC$206,231,0),"")</f>
        <v>5.9999999999999263</v>
      </c>
      <c r="Q265" s="1686"/>
      <c r="R265" s="1635" t="s">
        <v>143</v>
      </c>
      <c r="S265" s="1636"/>
      <c r="T265" s="1637" t="str">
        <f>IFERROR(VLOOKUP(AB248,'Statement of Marks'!$B$7:'Statement of Marks'!$IC$206,192,0),"")</f>
        <v/>
      </c>
      <c r="U265" s="1638"/>
      <c r="V265" s="1639" t="s">
        <v>76</v>
      </c>
      <c r="W265" s="1640"/>
      <c r="X265" s="406" t="str">
        <f>IFERROR(VLOOKUP(AB248,'Statement of Marks'!$B$7:'Statement of Marks'!$IC$206,193,0),"")</f>
        <v/>
      </c>
      <c r="Y265" s="1641" t="s">
        <v>135</v>
      </c>
      <c r="Z265" s="1642"/>
      <c r="AA265" s="1643">
        <f>IFERROR(IF(OR(AE261="",AB248=""),"",VLOOKUP(AB248,'Statement of Marks'!$B$7:'Statement of Marks'!$IC$206,230,0)),"")</f>
        <v>64</v>
      </c>
      <c r="AB265" s="1644"/>
      <c r="AC265" s="1645" t="s">
        <v>144</v>
      </c>
      <c r="AD265" s="1646"/>
      <c r="AE265" s="1646"/>
      <c r="AF265" s="408">
        <f>IFERROR(VLOOKUP(AB248,'Statement of Marks'!$B$7:'Statement of Marks'!$IC$206,231,0),"")</f>
        <v>6.9999999999999263</v>
      </c>
      <c r="AV265"/>
      <c r="AW265"/>
      <c r="AX265"/>
      <c r="BA265"/>
      <c r="BB265"/>
      <c r="BC265"/>
    </row>
    <row r="266" spans="1:55" s="351" customFormat="1" ht="27.75" customHeight="1">
      <c r="A266" s="33">
        <f>IF(L248="","",A265+1)</f>
        <v>26</v>
      </c>
      <c r="B266" s="1616" t="str">
        <f>IF('School Profile'!$D$12="Hindi","मुख्य परीक्षा परिणाम ","Main Exam Result")</f>
        <v xml:space="preserve">मुख्य परीक्षा परिणाम </v>
      </c>
      <c r="C266" s="1616"/>
      <c r="D266" s="1617"/>
      <c r="E266" s="1617"/>
      <c r="F266" s="1617"/>
      <c r="G266" s="1617" t="str">
        <f>IF('School Profile'!$D$12="Hindi","विशेष योग्यता प्राप्त विषय","Subjects Of Dictation Marks")</f>
        <v>विशेष योग्यता प्राप्त विषय</v>
      </c>
      <c r="H266" s="1617"/>
      <c r="I266" s="1617"/>
      <c r="J266" s="1617"/>
      <c r="K266" s="1617"/>
      <c r="L266" s="1618" t="str">
        <f>IF('School Profile'!$D$12="Hindi","पूरक विषय","Supplementary Subject")</f>
        <v>पूरक विषय</v>
      </c>
      <c r="M266" s="1619"/>
      <c r="N266" s="1619"/>
      <c r="O266" s="1619"/>
      <c r="P266" s="1620"/>
      <c r="Q266" s="1686"/>
      <c r="R266" s="1616" t="str">
        <f>IF('School Profile'!$D$12="Hindi","मुख्य परीक्षा परिणाम ","Main Exam Result")</f>
        <v xml:space="preserve">मुख्य परीक्षा परिणाम </v>
      </c>
      <c r="S266" s="1616"/>
      <c r="T266" s="1617"/>
      <c r="U266" s="1617"/>
      <c r="V266" s="1617"/>
      <c r="W266" s="1617" t="str">
        <f>IF('School Profile'!$D$12="Hindi","विशेष योग्यता प्राप्त विषय","Subjects Of Dictation Marks")</f>
        <v>विशेष योग्यता प्राप्त विषय</v>
      </c>
      <c r="X266" s="1617"/>
      <c r="Y266" s="1617"/>
      <c r="Z266" s="1617"/>
      <c r="AA266" s="1617"/>
      <c r="AB266" s="1618" t="str">
        <f>IF('School Profile'!$D$12="Hindi","पूरक विषय","Supplementary Subject")</f>
        <v>पूरक विषय</v>
      </c>
      <c r="AC266" s="1619"/>
      <c r="AD266" s="1619"/>
      <c r="AE266" s="1619"/>
      <c r="AF266" s="1620"/>
      <c r="AV266"/>
      <c r="AW266"/>
      <c r="AX266"/>
      <c r="BA266"/>
      <c r="BB266"/>
      <c r="BC266"/>
    </row>
    <row r="267" spans="1:55" s="351" customFormat="1" ht="42.75" customHeight="1">
      <c r="A267" s="33">
        <f>IF(L248="","",A266+1)</f>
        <v>27</v>
      </c>
      <c r="B267" s="1621" t="str">
        <f>IFERROR(IF(VLOOKUP(L248,'Statement of Marks'!$B$7:'Statement of Marks'!$IC$206,226,0)="By Grace Pass","By Grace Pass and Promoted to Class 10th",IF(VLOOKUP(L248,'Statement of Marks'!$B$7:'Statement of Marks'!$IC$206,226,0)="PASS","PASS  and Promoted to Class 10th",IF(VLOOKUP(L248,'Statement of Marks'!$B$7:'Statement of Marks'!$IC$206,226,0)="SUPPLEMENTARY","Supplementary",IF(VLOOKUP(L248,'Statement of Marks'!$B$7:'Statement of Marks'!$IC$206,226,0)="Re-Exam","RE-EXAM",IF(VLOOKUP(L248,'Statement of Marks'!$B$7:'Statement of Marks'!$IC$206,226,0)="FAIL","FAIL",""))))),"")</f>
        <v>PASS  and Promoted to Class 10th</v>
      </c>
      <c r="C267" s="1621"/>
      <c r="D267" s="1621"/>
      <c r="E267" s="1621"/>
      <c r="F267" s="1621"/>
      <c r="G267" s="1622" t="str">
        <f>IFERROR(VLOOKUP(L248,'Statement of Marks'!$B$7:'Statement of Marks'!$IC$206,225,0),"")</f>
        <v xml:space="preserve"> अंग्रेजी     </v>
      </c>
      <c r="H267" s="1622"/>
      <c r="I267" s="1622"/>
      <c r="J267" s="1622"/>
      <c r="K267" s="1622"/>
      <c r="L267" s="1623" t="str">
        <f>IFERROR(VLOOKUP(L248,'Statement of Marks'!$B$7:'Statement of Marks'!$IC$206,222,0),"")</f>
        <v xml:space="preserve">      </v>
      </c>
      <c r="M267" s="1624"/>
      <c r="N267" s="1624"/>
      <c r="O267" s="1624"/>
      <c r="P267" s="1625"/>
      <c r="Q267" s="1686"/>
      <c r="R267" s="1621" t="str">
        <f>IFERROR(IF(VLOOKUP(AB248,'Statement of Marks'!$B$7:'Statement of Marks'!$IC$206,226,0)="By Grace Pass","By Grace Pass and Promoted to Class 10th",IF(VLOOKUP(AB248,'Statement of Marks'!$B$7:'Statement of Marks'!$IC$206,226,0)="PASS","PASS  and Promoted to Class 10th",IF(VLOOKUP(AB248,'Statement of Marks'!$B$7:'Statement of Marks'!$IC$206,226,0)="SUPPLEMENTARY","Supplementary",IF(VLOOKUP(AB248,'Statement of Marks'!$B$7:'Statement of Marks'!$IC$206,226,0)="Re-Exam","RE-EXAM",IF(VLOOKUP(AB248,'Statement of Marks'!$B$7:'Statement of Marks'!$IC$206,226,0)="FAIL","FAIL",""))))),"")</f>
        <v>PASS  and Promoted to Class 10th</v>
      </c>
      <c r="S267" s="1621"/>
      <c r="T267" s="1621"/>
      <c r="U267" s="1621"/>
      <c r="V267" s="1621"/>
      <c r="W267" s="1622" t="str">
        <f>IFERROR(VLOOKUP(AB248,'Statement of Marks'!$B$7:'Statement of Marks'!$IC$206,225,0),"")</f>
        <v xml:space="preserve"> अंग्रेजी     </v>
      </c>
      <c r="X267" s="1622"/>
      <c r="Y267" s="1622"/>
      <c r="Z267" s="1622"/>
      <c r="AA267" s="1622"/>
      <c r="AB267" s="1623" t="str">
        <f>IFERROR(VLOOKUP(AB248,'Statement of Marks'!$B$7:'Statement of Marks'!$IC$206,222,0),"")</f>
        <v xml:space="preserve">      </v>
      </c>
      <c r="AC267" s="1624"/>
      <c r="AD267" s="1624"/>
      <c r="AE267" s="1624"/>
      <c r="AF267" s="1625"/>
      <c r="AV267"/>
      <c r="AW267"/>
      <c r="AX267"/>
      <c r="BA267"/>
      <c r="BB267"/>
      <c r="BC267"/>
    </row>
    <row r="268" spans="1:55" s="351" customFormat="1" ht="52.5" customHeight="1">
      <c r="A268" s="33">
        <f>IF(L248="","",A267+1)</f>
        <v>28</v>
      </c>
      <c r="B268" s="1612" t="str">
        <f>IF(AND(L248=""),"",CONCATENATE("(",'School Profile'!$D$18," )"))</f>
        <v>(Yogesh )</v>
      </c>
      <c r="C268" s="1612"/>
      <c r="D268" s="1612"/>
      <c r="E268" s="1612"/>
      <c r="F268" s="1612"/>
      <c r="G268" s="1613" t="str">
        <f>IF(AND(L248=""),"",CONCATENATE("( ",'School Profile'!$D$15," )"))</f>
        <v>( Heeralal Jat )</v>
      </c>
      <c r="H268" s="1613"/>
      <c r="I268" s="1613"/>
      <c r="J268" s="1613"/>
      <c r="K268" s="1614" t="str">
        <f>IF(AND(L248=""),"",CONCATENATE("( ",'School Profile'!$D$14," )"))</f>
        <v>( Dewanand )</v>
      </c>
      <c r="L268" s="1614"/>
      <c r="M268" s="1614"/>
      <c r="N268" s="1614"/>
      <c r="O268" s="1614"/>
      <c r="P268" s="1614"/>
      <c r="Q268" s="1686"/>
      <c r="R268" s="1612" t="str">
        <f>IF(AND(AB248=""),"",CONCATENATE("(",'School Profile'!$D$18," )"))</f>
        <v>(Yogesh )</v>
      </c>
      <c r="S268" s="1612"/>
      <c r="T268" s="1612"/>
      <c r="U268" s="1612"/>
      <c r="V268" s="1612"/>
      <c r="W268" s="1613" t="str">
        <f>IF(AND(AB248=""),"",CONCATENATE("( ",'School Profile'!$D$15," )"))</f>
        <v>( Heeralal Jat )</v>
      </c>
      <c r="X268" s="1613"/>
      <c r="Y268" s="1613"/>
      <c r="Z268" s="1613"/>
      <c r="AA268" s="1614" t="str">
        <f>IF(AND(AB248=""),"",CONCATENATE("( ",'School Profile'!$D$14," )"))</f>
        <v>( Dewanand )</v>
      </c>
      <c r="AB268" s="1614"/>
      <c r="AC268" s="1614"/>
      <c r="AD268" s="1614"/>
      <c r="AE268" s="1614"/>
      <c r="AF268" s="1614"/>
      <c r="AV268"/>
      <c r="AW268"/>
      <c r="AX268"/>
      <c r="BA268"/>
      <c r="BB268"/>
      <c r="BC268"/>
    </row>
    <row r="269" spans="1:55" s="351" customFormat="1" ht="24.75" customHeight="1">
      <c r="A269" s="33">
        <f>IF(L248="","",A268+1)</f>
        <v>29</v>
      </c>
      <c r="B269" s="1615" t="str">
        <f>IF('School Profile'!$D$12="Hindi","हस्ताक्षर कक्षाध्यापक","Signature of the class teacher")</f>
        <v>हस्ताक्षर कक्षाध्यापक</v>
      </c>
      <c r="C269" s="1615"/>
      <c r="D269" s="1615"/>
      <c r="E269" s="1615"/>
      <c r="F269" s="1615"/>
      <c r="G269" s="1615" t="str">
        <f>IF('School Profile'!$D$12="Hindi","हस्ताक्षर परीक्षा प्रभारी","Signature of the exam. Incharge")</f>
        <v>हस्ताक्षर परीक्षा प्रभारी</v>
      </c>
      <c r="H269" s="1615"/>
      <c r="I269" s="1615"/>
      <c r="J269" s="1615"/>
      <c r="K269" s="1615" t="str">
        <f>IF('School Profile'!$D$12="Hindi","हस्ताक्षर मय सील मोहर संस्था प्रधान","Signature &amp; Seal of the Head of the Institution")</f>
        <v>हस्ताक्षर मय सील मोहर संस्था प्रधान</v>
      </c>
      <c r="L269" s="1615"/>
      <c r="M269" s="1615"/>
      <c r="N269" s="1615"/>
      <c r="O269" s="1615"/>
      <c r="P269" s="1615"/>
      <c r="Q269" s="1686"/>
      <c r="R269" s="1615" t="str">
        <f>IF('School Profile'!$D$12="Hindi","हस्ताक्षर कक्षाध्यापक","Signature of the class teacher")</f>
        <v>हस्ताक्षर कक्षाध्यापक</v>
      </c>
      <c r="S269" s="1615"/>
      <c r="T269" s="1615"/>
      <c r="U269" s="1615"/>
      <c r="V269" s="1615"/>
      <c r="W269" s="1615" t="str">
        <f>IF('School Profile'!$D$12="Hindi","हस्ताक्षर परीक्षा प्रभारी","Signature of the exam. Incharge")</f>
        <v>हस्ताक्षर परीक्षा प्रभारी</v>
      </c>
      <c r="X269" s="1615"/>
      <c r="Y269" s="1615"/>
      <c r="Z269" s="1615"/>
      <c r="AA269" s="1615" t="str">
        <f>IF('School Profile'!$D$12="Hindi","हस्ताक्षर मय सील मोहर संस्था प्रधान","Signature &amp; Seal of the Head of the Institution")</f>
        <v>हस्ताक्षर मय सील मोहर संस्था प्रधान</v>
      </c>
      <c r="AB269" s="1615"/>
      <c r="AC269" s="1615"/>
      <c r="AD269" s="1615"/>
      <c r="AE269" s="1615"/>
      <c r="AF269" s="1615"/>
      <c r="AV269"/>
      <c r="AW269"/>
      <c r="AX269"/>
      <c r="BA269"/>
      <c r="BB269"/>
      <c r="BC269"/>
    </row>
    <row r="271" spans="1:55" s="6" customFormat="1" ht="22.5" customHeight="1">
      <c r="A271" s="33">
        <f>IF(L278="","",1)</f>
        <v>1</v>
      </c>
      <c r="B271" s="28"/>
      <c r="C271" s="28"/>
      <c r="D271" s="1557" t="str">
        <f>IF('School Profile'!$D$12="Hindi","वार्षिक रिपोर्ट कार्ड ","Report Card")</f>
        <v xml:space="preserve">वार्षिक रिपोर्ट कार्ड </v>
      </c>
      <c r="E271" s="1557"/>
      <c r="F271" s="1557"/>
      <c r="G271" s="1557"/>
      <c r="H271" s="1557"/>
      <c r="I271" s="1557"/>
      <c r="J271" s="1557"/>
      <c r="K271" s="1557"/>
      <c r="L271" s="1557"/>
      <c r="M271" s="1557"/>
      <c r="N271" s="1557"/>
      <c r="O271" s="349"/>
      <c r="P271" s="349"/>
      <c r="Q271" s="1686" t="s">
        <v>77</v>
      </c>
      <c r="R271" s="28"/>
      <c r="S271" s="28"/>
      <c r="T271" s="1557" t="str">
        <f>IF('School Profile'!$D$12="Hindi","वार्षिक रिपोर्ट कार्ड ","Report Card")</f>
        <v xml:space="preserve">वार्षिक रिपोर्ट कार्ड </v>
      </c>
      <c r="U271" s="1557"/>
      <c r="V271" s="1557"/>
      <c r="W271" s="1557"/>
      <c r="X271" s="1557"/>
      <c r="Y271" s="1557"/>
      <c r="Z271" s="1557"/>
      <c r="AA271" s="1557"/>
      <c r="AB271" s="1557"/>
      <c r="AC271" s="1557"/>
      <c r="AD271" s="1557"/>
      <c r="AE271" s="349"/>
      <c r="AF271" s="349"/>
      <c r="AV271"/>
      <c r="AW271"/>
      <c r="AX271"/>
      <c r="BA271"/>
      <c r="BB271"/>
      <c r="BC271"/>
    </row>
    <row r="272" spans="1:55" s="6" customFormat="1" ht="22.5" customHeight="1">
      <c r="A272" s="33">
        <f>IF(L278="","",A271+1)</f>
        <v>2</v>
      </c>
      <c r="B272" s="28"/>
      <c r="C272" s="28"/>
      <c r="D272" s="1687" t="str">
        <f>IF('School Profile'!$D$12="Hindi","शिक्षा विभाग, राजस्थान सरकार","Education Department, Rajasthan Government")</f>
        <v>शिक्षा विभाग, राजस्थान सरकार</v>
      </c>
      <c r="E272" s="1687"/>
      <c r="F272" s="1687"/>
      <c r="G272" s="1687"/>
      <c r="H272" s="1687"/>
      <c r="I272" s="1687"/>
      <c r="J272" s="1687"/>
      <c r="K272" s="1687"/>
      <c r="L272" s="1687"/>
      <c r="M272" s="1687"/>
      <c r="N272" s="1687"/>
      <c r="O272" s="349"/>
      <c r="P272" s="349"/>
      <c r="Q272" s="1686"/>
      <c r="R272" s="28"/>
      <c r="S272" s="28"/>
      <c r="T272" s="1687" t="str">
        <f>IF('School Profile'!$D$12="Hindi","शिक्षा विभाग, राजस्थान सरकार","Education Department, Rajasthan Government")</f>
        <v>शिक्षा विभाग, राजस्थान सरकार</v>
      </c>
      <c r="U272" s="1687"/>
      <c r="V272" s="1687"/>
      <c r="W272" s="1687"/>
      <c r="X272" s="1687"/>
      <c r="Y272" s="1687"/>
      <c r="Z272" s="1687"/>
      <c r="AA272" s="1687"/>
      <c r="AB272" s="1687"/>
      <c r="AC272" s="1687"/>
      <c r="AD272" s="1687"/>
      <c r="AE272" s="349"/>
      <c r="AF272" s="349"/>
      <c r="AV272"/>
      <c r="AW272"/>
      <c r="AX272"/>
      <c r="BA272"/>
      <c r="BB272"/>
      <c r="BC272"/>
    </row>
    <row r="273" spans="1:55" s="32" customFormat="1" ht="24.95" customHeight="1">
      <c r="A273" s="34">
        <f>IF(L278="","",A272+1)</f>
        <v>3</v>
      </c>
      <c r="B273" s="1560" t="str">
        <f>IF('School Profile'!$D$12="Hindi",CONCATENATE("विद्यालय का नाम :-","  ",'School Profile'!$D$9),CONCATENATE("School Name :-","  ",'School Profile'!$D$8))</f>
        <v xml:space="preserve">विद्यालय का नाम :-  महात्मा गाँधी राजकीय विद्यालय (अंग्रेजी माध्यम) बर, पाली </v>
      </c>
      <c r="C273" s="1560"/>
      <c r="D273" s="1560"/>
      <c r="E273" s="1560"/>
      <c r="F273" s="1560"/>
      <c r="G273" s="1560"/>
      <c r="H273" s="1560"/>
      <c r="I273" s="1560"/>
      <c r="J273" s="1560"/>
      <c r="K273" s="1560"/>
      <c r="L273" s="1560"/>
      <c r="M273" s="1560"/>
      <c r="N273" s="1560"/>
      <c r="O273" s="1560"/>
      <c r="P273" s="1560"/>
      <c r="Q273" s="1686"/>
      <c r="R273" s="1560" t="str">
        <f>IF('School Profile'!$D$12="Hindi",CONCATENATE("विद्यालय का नाम :-","  ",'School Profile'!$D$9),CONCATENATE("School Name :-","  ",'School Profile'!$D$8))</f>
        <v xml:space="preserve">विद्यालय का नाम :-  महात्मा गाँधी राजकीय विद्यालय (अंग्रेजी माध्यम) बर, पाली </v>
      </c>
      <c r="S273" s="1560"/>
      <c r="T273" s="1560"/>
      <c r="U273" s="1560"/>
      <c r="V273" s="1560"/>
      <c r="W273" s="1560"/>
      <c r="X273" s="1560"/>
      <c r="Y273" s="1560"/>
      <c r="Z273" s="1560"/>
      <c r="AA273" s="1560"/>
      <c r="AB273" s="1560"/>
      <c r="AC273" s="1560"/>
      <c r="AD273" s="1560"/>
      <c r="AE273" s="1560"/>
      <c r="AF273" s="1560"/>
      <c r="AV273"/>
      <c r="AW273"/>
      <c r="AX273"/>
      <c r="BA273"/>
      <c r="BB273"/>
      <c r="BC273"/>
    </row>
    <row r="274" spans="1:55" s="32" customFormat="1" ht="24.95" customHeight="1">
      <c r="A274" s="34">
        <f>IF(L278="","",A273+1)</f>
        <v>4</v>
      </c>
      <c r="B274" s="686"/>
      <c r="C274" s="686"/>
      <c r="D274" s="686"/>
      <c r="E274" s="686"/>
      <c r="F274" s="1688" t="str">
        <f>IF(AND(L278=""),"",IF(AND('School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G274" s="1688"/>
      <c r="H274" s="1688"/>
      <c r="I274" s="1688"/>
      <c r="J274" s="1688"/>
      <c r="K274" s="1688"/>
      <c r="L274" s="1688"/>
      <c r="M274" s="1688"/>
      <c r="N274" s="1688"/>
      <c r="O274" s="1688"/>
      <c r="P274" s="686"/>
      <c r="Q274" s="1686"/>
      <c r="R274" s="686"/>
      <c r="S274" s="686"/>
      <c r="T274" s="686"/>
      <c r="U274" s="686"/>
      <c r="V274" s="1688" t="str">
        <f>IF(AND(AB278=""),"",IF(AND('School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W274" s="1688"/>
      <c r="X274" s="1688"/>
      <c r="Y274" s="1688"/>
      <c r="Z274" s="1688"/>
      <c r="AA274" s="1688"/>
      <c r="AB274" s="1688"/>
      <c r="AC274" s="1688"/>
      <c r="AD274" s="1688"/>
      <c r="AE274" s="1688"/>
      <c r="AF274" s="686"/>
      <c r="AV274"/>
      <c r="AW274"/>
      <c r="AX274"/>
      <c r="AY274" s="6"/>
      <c r="AZ274" s="6"/>
      <c r="BA274"/>
      <c r="BB274"/>
      <c r="BC274"/>
    </row>
    <row r="275" spans="1:55" s="351" customFormat="1" ht="21" customHeight="1">
      <c r="A275" s="33">
        <f>IF(L278="","",A274+1)</f>
        <v>5</v>
      </c>
      <c r="B275" s="681" t="str">
        <f>IF('School Profile'!$D$12="Hindi","कक्षा  :-","CLASS :- ")</f>
        <v>कक्षा  :-</v>
      </c>
      <c r="C275" s="1691" t="str">
        <f>IF('Statement of Marks'!$E$3="","",'Statement of Marks'!$E$3)</f>
        <v>9th</v>
      </c>
      <c r="D275" s="1691"/>
      <c r="E275" s="820" t="str">
        <f>IFERROR(VLOOKUP(L278,'Statement of Marks'!$B$7:'Statement of Marks'!$IC$206,2,0),"")</f>
        <v>A</v>
      </c>
      <c r="F275" s="820"/>
      <c r="G275" s="820"/>
      <c r="H275" s="820"/>
      <c r="I275" s="1684" t="str">
        <f>IF('School Profile'!$D$12="Hindi","प्रवेशांक :","SR. NO. :")</f>
        <v>प्रवेशांक :</v>
      </c>
      <c r="J275" s="1684"/>
      <c r="K275" s="1684"/>
      <c r="L275" s="1689" t="str">
        <f>IFERROR(VLOOKUP(L278,'Statement of Marks'!$B$7:'Statement of Marks'!$IC$206,3,0),"")</f>
        <v/>
      </c>
      <c r="M275" s="1689"/>
      <c r="N275" s="1689"/>
      <c r="O275" s="1689"/>
      <c r="P275" s="414"/>
      <c r="Q275" s="1686"/>
      <c r="R275" s="681" t="str">
        <f>IF('School Profile'!$D$12="Hindi","कक्षा  :-","CLASS :- ")</f>
        <v>कक्षा  :-</v>
      </c>
      <c r="S275" s="1691" t="str">
        <f>IF('Statement of Marks'!$E$3="","",'Statement of Marks'!$E$3)</f>
        <v>9th</v>
      </c>
      <c r="T275" s="1691"/>
      <c r="U275" s="820" t="str">
        <f>IFERROR(VLOOKUP(AB278,'Statement of Marks'!$B$7:'Statement of Marks'!$IC$206,2,0),"")</f>
        <v>A</v>
      </c>
      <c r="V275" s="820"/>
      <c r="W275" s="820"/>
      <c r="X275" s="820"/>
      <c r="Y275" s="1684" t="str">
        <f>IF('School Profile'!$D$12="Hindi","प्रवेशांक :","SR. NO. :")</f>
        <v>प्रवेशांक :</v>
      </c>
      <c r="Z275" s="1684"/>
      <c r="AA275" s="1684"/>
      <c r="AB275" s="1689" t="str">
        <f>IFERROR(VLOOKUP(AB278,'Statement of Marks'!$B$7:'Statement of Marks'!$IC$206,3,0),"")</f>
        <v/>
      </c>
      <c r="AC275" s="1689"/>
      <c r="AD275" s="1689"/>
      <c r="AE275" s="1689"/>
      <c r="AF275" s="414"/>
      <c r="AV275"/>
      <c r="AW275" s="777" t="str">
        <f>L276</f>
        <v/>
      </c>
      <c r="AX275"/>
      <c r="BA275"/>
      <c r="BB275" s="777" t="str">
        <f>AB276</f>
        <v/>
      </c>
      <c r="BC275"/>
    </row>
    <row r="276" spans="1:55" s="351" customFormat="1" ht="21" customHeight="1">
      <c r="A276" s="33">
        <f>IF(L278="","",A275+1)</f>
        <v>6</v>
      </c>
      <c r="B276" s="687" t="str">
        <f>IF('School Profile'!$D$12="Hindi","विद्यार्थी का नाम :-","Student's Name :-")</f>
        <v>विद्यार्थी का नाम :-</v>
      </c>
      <c r="C276" s="1683" t="str">
        <f>IFERROR(VLOOKUP(L278,'Statement of Marks'!$B$7:'Statement of Marks'!$IC$206,5,0),"")</f>
        <v>RAZA</v>
      </c>
      <c r="D276" s="1683"/>
      <c r="E276" s="1683"/>
      <c r="F276" s="1683"/>
      <c r="G276" s="1683"/>
      <c r="H276" s="1683"/>
      <c r="I276" s="1684" t="str">
        <f>IF('School Profile'!$D$12="Hindi","जन्म तिथि :","Date of Birth :")</f>
        <v>जन्म तिथि :</v>
      </c>
      <c r="J276" s="1684"/>
      <c r="K276" s="1684"/>
      <c r="L276" s="1690" t="str">
        <f>IFERROR(VLOOKUP(L278,'Statement of Marks'!$B$7:'Statement of Marks'!$IC$206,4,0),"")</f>
        <v/>
      </c>
      <c r="M276" s="1690"/>
      <c r="N276" s="1690"/>
      <c r="O276" s="1690"/>
      <c r="P276" s="688"/>
      <c r="Q276" s="1686"/>
      <c r="R276" s="687" t="str">
        <f>IF('School Profile'!$D$12="Hindi","विद्यार्थी का नाम :-","Student's Name :-")</f>
        <v>विद्यार्थी का नाम :-</v>
      </c>
      <c r="S276" s="1683" t="str">
        <f>IFERROR(VLOOKUP(AB278,'Statement of Marks'!$B$7:'Statement of Marks'!$IC$206,5,0),"")</f>
        <v>ROZA</v>
      </c>
      <c r="T276" s="1683"/>
      <c r="U276" s="1683"/>
      <c r="V276" s="1683"/>
      <c r="W276" s="1683"/>
      <c r="X276" s="1683"/>
      <c r="Y276" s="1684" t="str">
        <f>IF('School Profile'!$D$12="Hindi","जन्म तिथि :","Date of Birth :")</f>
        <v>जन्म तिथि :</v>
      </c>
      <c r="Z276" s="1684"/>
      <c r="AA276" s="1684"/>
      <c r="AB276" s="1690" t="str">
        <f>IFERROR(VLOOKUP(AB278,'Statement of Marks'!$B$7:'Statement of Marks'!$IC$206,4,0),"")</f>
        <v/>
      </c>
      <c r="AC276" s="1690"/>
      <c r="AD276" s="1690"/>
      <c r="AE276" s="1690"/>
      <c r="AF276" s="688"/>
      <c r="AV276" t="e">
        <f>YEAR(AW275)</f>
        <v>#VALUE!</v>
      </c>
      <c r="AW276" t="e">
        <f>MONTH(AW275)</f>
        <v>#VALUE!</v>
      </c>
      <c r="AX276" t="e">
        <f>DAY(AW275)</f>
        <v>#VALUE!</v>
      </c>
      <c r="BA276" t="e">
        <f>YEAR(BB275)</f>
        <v>#VALUE!</v>
      </c>
      <c r="BB276" t="e">
        <f>MONTH(BB275)</f>
        <v>#VALUE!</v>
      </c>
      <c r="BC276" t="e">
        <f>DAY(BB275)</f>
        <v>#VALUE!</v>
      </c>
    </row>
    <row r="277" spans="1:55" s="351" customFormat="1" ht="21" customHeight="1">
      <c r="A277" s="33">
        <f>IF(L278="","",A276+1)</f>
        <v>7</v>
      </c>
      <c r="B277" s="687" t="str">
        <f>IF('School Profile'!$D$12="Hindi","पिता का नाम :-","Father's Name :-")</f>
        <v>पिता का नाम :-</v>
      </c>
      <c r="C277" s="1683" t="str">
        <f>IFERROR(VLOOKUP(L278,'Statement of Marks'!$B$7:'Statement of Marks'!$IC$206,6,0),"")</f>
        <v/>
      </c>
      <c r="D277" s="1683"/>
      <c r="E277" s="1683"/>
      <c r="F277" s="1683"/>
      <c r="G277" s="1683"/>
      <c r="H277" s="1683"/>
      <c r="I277" s="1684" t="str">
        <f>IF('School Profile'!$D$12="Hindi","जन्मतिथि शब्दों में :-","Date of Birth in Words :-")</f>
        <v>जन्मतिथि शब्दों में :-</v>
      </c>
      <c r="J277" s="1684"/>
      <c r="K277" s="1684"/>
      <c r="L277" s="1683" t="str">
        <f>IFERROR(IF('School Profile'!$D$12="Hindi",AW278,AW280),"")</f>
        <v/>
      </c>
      <c r="M277" s="1683"/>
      <c r="N277" s="1683"/>
      <c r="O277" s="1683"/>
      <c r="P277" s="688"/>
      <c r="Q277" s="1686"/>
      <c r="R277" s="687" t="str">
        <f>IF('School Profile'!$D$12="Hindi","पिता का नाम :-","Father's Name :-")</f>
        <v>पिता का नाम :-</v>
      </c>
      <c r="S277" s="1683" t="str">
        <f>IFERROR(VLOOKUP(AB278,'Statement of Marks'!$B$7:'Statement of Marks'!$IC$206,6,0),"")</f>
        <v/>
      </c>
      <c r="T277" s="1683"/>
      <c r="U277" s="1683"/>
      <c r="V277" s="1683"/>
      <c r="W277" s="1683"/>
      <c r="X277" s="1683"/>
      <c r="Y277" s="1684" t="str">
        <f>IF('School Profile'!$D$12="Hindi","जन्मतिथि शब्दों में :-","Date of Birth in Words :-")</f>
        <v>जन्मतिथि शब्दों में :-</v>
      </c>
      <c r="Z277" s="1684"/>
      <c r="AA277" s="1684"/>
      <c r="AB277" s="1683" t="str">
        <f>IFERROR(IF('School Profile'!$D$12="Hindi",BB278,BB280),"")</f>
        <v/>
      </c>
      <c r="AC277" s="1683"/>
      <c r="AD277" s="1683"/>
      <c r="AE277" s="1683"/>
      <c r="AF277" s="688"/>
      <c r="AV277" t="e">
        <f>IF(AV276=2000,"दो हजार",IF(AV276=2001,"दो हजार एक",IF(AV276=2002,"दो हजार दो",IF(AV276=2003,"दो हजार तीन",IF(AV276=2004,"दो हजार चार",IF(AV276=2005,"दो हजार पांच",IF(AV276=2006,"दो हजार छः",IF(AV276=2007,"दो हजार सात",IF(AV276=2008,"दो हजार आठ",IF(AV276=2009,"दो हजार नौ",IF(AV276=2010,"दो हजार दस",IF(AV276=2011,"दो हजार ग्यारह",IF(AV276=2012,"दो हजार बारह",IF(AV276=2013,"दो हजार तेरह",IF(AV276=2014,"दो हजार चौदह",IF(AV276=2015,"दो हजार पंद्रह",IF(AV276=2016,"दो हजार सोलह",IF(AV276=2017,"दो हजार सत्रह",IF(AV276=2018,"दो हजार अठारह",IF(AV276=2019,"दो हजार उन्नीस",IF(AV276=2020,"दो हजार बीस",IF(AV276=2021,"दो हजार इक्कीस",IF(AV276=2022,"दो हजार बाइस","")))))))))))))))))))))))</f>
        <v>#VALUE!</v>
      </c>
      <c r="AW277" t="e">
        <f>IF(AW276=1,"जनवरी",IF(AW276=2,"फरवरी",IF(AW276=3,"मार्च",IF(AW276=4,"अप्रैल",IF(AW276=5,"मई",IF(AW276=6,"जून",IF(AW276=7,"जुलाई",IF(AW276=8,"अगस्त",IF(AW276=9,"सितम्बर",IF(AW276=10,"अक्टूबर",IF(AW276=11,"नवम्बर",IF(AW276=12,"दिसम्बर",""))))))))))))</f>
        <v>#VALUE!</v>
      </c>
      <c r="AX277" t="e">
        <f>IF(AX276=1,"एक",IF(AX276=2,"दो",IF(AX276=3,"तीन",IF(AX276=4,"चार",IF(AX276=5,"पांच",IF(AX276=6,"छः",IF(AX276=7,"सात",IF(AX276=8,"आठ",IF(AX276=9,"नौ",IF(AX276=10,"दस",IF(AX276=11,"ग्यारह",IF(AX276=12,"बारह",IF(AX276=13,"तेरह",IF(AX276=14,"चौदह",IF(AX276=15,"पंद्रह",IF(AX276=16,"सोलह",IF(AX276=17,"सत्रह",IF(AX276=18,"अठारह",IF(AX276=19,"उन्नीस",IF(AX276=20,"बीस",IF(AX276=21,"इक्कीस",IF(AX276=22,"बाइस",IF(AX276=23,"तेईस",IF(AX276=24,"चौबीस",IF(AX276=25,"पचीस",IF(AX276=26,"छबीस",IF(AX276=27,"सताईस",IF(AX276=28,"अठाइस",IF(AX276=29,"उन्नतीस",IF(AX276=30,"तीस",IF(AX276=31,"इकतीस","")))))))))))))))))))))))))))))))</f>
        <v>#VALUE!</v>
      </c>
      <c r="BA277" t="e">
        <f>IF(BA276=2000,"दो हजार",IF(BA276=2001,"दो हजार एक",IF(BA276=2002,"दो हजार दो",IF(BA276=2003,"दो हजार तीन",IF(BA276=2004,"दो हजार चार",IF(BA276=2005,"दो हजार पांच",IF(BA276=2006,"दो हजार छः",IF(BA276=2007,"दो हजार सात",IF(BA276=2008,"दो हजार आठ",IF(BA276=2009,"दो हजार नौ",IF(BA276=2010,"दो हजार दस",IF(BA276=2011,"दो हजार ग्यारह",IF(BA276=2012,"दो हजार बारह",IF(BA276=2013,"दो हजार तेरह",IF(BA276=2014,"दो हजार चौदह",IF(BA276=2015,"दो हजार पंद्रह",IF(BA276=2016,"दो हजार सोलह",IF(BA276=2017,"दो हजार सत्रह",IF(BA276=2018,"दो हजार अठारह",IF(BA276=2019,"दो हजार उन्नीस",IF(BA276=2020,"दो हजार बीस",IF(BA276=2021,"दो हजार इक्कीस",IF(BA276=2022,"दो हजार बाइस","")))))))))))))))))))))))</f>
        <v>#VALUE!</v>
      </c>
      <c r="BB277" t="e">
        <f>IF(BB276=1,"जनवरी",IF(BB276=2,"फरवरी",IF(BB276=3,"मार्च",IF(BB276=4,"अप्रैल",IF(BB276=5,"मई",IF(BB276=6,"जून",IF(BB276=7,"जुलाई",IF(BB276=8,"अगस्त",IF(BB276=9,"सितम्बर",IF(BB276=10,"अक्टूबर",IF(BB276=11,"नवम्बर",IF(BB276=12,"दिसम्बर",""))))))))))))</f>
        <v>#VALUE!</v>
      </c>
      <c r="BC277" t="e">
        <f>IF(BC276=1,"एक",IF(BC276=2,"दो",IF(BC276=3,"तीन",IF(BC276=4,"चार",IF(BC276=5,"पांच",IF(BC276=6,"छः",IF(BC276=7,"सात",IF(BC276=8,"आठ",IF(BC276=9,"नौ",IF(BC276=10,"दस",IF(BC276=11,"ग्यारह",IF(BC276=12,"बारह",IF(BC276=13,"तेरह",IF(BC276=14,"चौदह",IF(BC276=15,"पंद्रह",IF(BC276=16,"सोलह",IF(BC276=17,"सत्रह",IF(BC276=18,"अठारह",IF(BC276=19,"उन्नीस",IF(BC276=20,"बीस",IF(BC276=21,"इक्कीस",IF(BC276=22,"बाइस",IF(BC276=23,"तेईस",IF(BC276=24,"चौबीस",IF(BC276=25,"पचीस",IF(BC276=26,"छबीस",IF(BC276=27,"सताईस",IF(BC276=28,"अठाइस",IF(BC276=29,"उन्नतीस",IF(BC276=30,"तीस",IF(BC276=31,"इकतीस","")))))))))))))))))))))))))))))))</f>
        <v>#VALUE!</v>
      </c>
    </row>
    <row r="278" spans="1:55" s="351" customFormat="1" ht="21" customHeight="1">
      <c r="A278" s="33">
        <f>IF(L278="","",A277+1)</f>
        <v>8</v>
      </c>
      <c r="B278" s="681" t="str">
        <f>IF('School Profile'!$D$12="Hindi","माता का नाम :-","Mother's Name :-")</f>
        <v>माता का नाम :-</v>
      </c>
      <c r="C278" s="1683" t="str">
        <f>IFERROR(VLOOKUP(L278,'Statement of Marks'!$B$7:'Statement of Marks'!$IC$206,7,0),"")</f>
        <v/>
      </c>
      <c r="D278" s="1683"/>
      <c r="E278" s="1683"/>
      <c r="F278" s="1683"/>
      <c r="G278" s="1683"/>
      <c r="H278" s="1683"/>
      <c r="I278" s="1684" t="str">
        <f>IF('School Profile'!$D$12="Hindi","रोल नंबर :-","Roll No. :")</f>
        <v>रोल नंबर :-</v>
      </c>
      <c r="J278" s="1684"/>
      <c r="K278" s="1684"/>
      <c r="L278" s="1685">
        <f>IF(AB248="","",IF(AND(AB248+1&gt;$AN$11),"",AB248+1))</f>
        <v>919</v>
      </c>
      <c r="M278" s="1685"/>
      <c r="N278" s="1685"/>
      <c r="Q278" s="1686"/>
      <c r="R278" s="681" t="str">
        <f>IF('School Profile'!$D$12="Hindi","माता का नाम :-","Mother's Name :-")</f>
        <v>माता का नाम :-</v>
      </c>
      <c r="S278" s="1683" t="str">
        <f>IFERROR(VLOOKUP(AB278,'Statement of Marks'!$B$7:'Statement of Marks'!$IC$206,7,0),"")</f>
        <v/>
      </c>
      <c r="T278" s="1683"/>
      <c r="U278" s="1683"/>
      <c r="V278" s="1683"/>
      <c r="W278" s="1683"/>
      <c r="X278" s="1683"/>
      <c r="Y278" s="1684" t="str">
        <f>IF('School Profile'!$D$12="Hindi","रोल नंबर :-","Roll No. :")</f>
        <v>रोल नंबर :-</v>
      </c>
      <c r="Z278" s="1684"/>
      <c r="AA278" s="1684"/>
      <c r="AB278" s="1685">
        <f>IF(L278="","",IF(AND(L278+1&gt;$AN$11),"",L278+1))</f>
        <v>920</v>
      </c>
      <c r="AC278" s="1685"/>
      <c r="AD278" s="1685"/>
      <c r="AV278"/>
      <c r="AW278" t="e">
        <f>CONCATENATE(AX277," ",AW277," ",AV277)</f>
        <v>#VALUE!</v>
      </c>
      <c r="AX278"/>
      <c r="BA278"/>
      <c r="BB278" t="e">
        <f>CONCATENATE(BC277," ",BB277," ",BA277)</f>
        <v>#VALUE!</v>
      </c>
      <c r="BC278"/>
    </row>
    <row r="279" spans="1:55" s="351" customFormat="1" ht="9.75" customHeight="1">
      <c r="A279" s="33">
        <f>IF(L278="","",A278+1)</f>
        <v>9</v>
      </c>
      <c r="B279" s="1676"/>
      <c r="C279" s="1676"/>
      <c r="D279" s="1676"/>
      <c r="E279" s="1676"/>
      <c r="F279" s="1676"/>
      <c r="G279" s="1676"/>
      <c r="H279" s="1676"/>
      <c r="I279" s="1676"/>
      <c r="J279" s="1676"/>
      <c r="K279" s="1676"/>
      <c r="L279" s="1676"/>
      <c r="M279" s="1676"/>
      <c r="N279" s="1676"/>
      <c r="O279" s="1676"/>
      <c r="P279" s="401"/>
      <c r="Q279" s="1686"/>
      <c r="R279" s="1676"/>
      <c r="S279" s="1676"/>
      <c r="T279" s="1676"/>
      <c r="U279" s="1676"/>
      <c r="V279" s="1676"/>
      <c r="W279" s="1676"/>
      <c r="X279" s="1676"/>
      <c r="Y279" s="1676"/>
      <c r="Z279" s="1676"/>
      <c r="AA279" s="1676"/>
      <c r="AB279" s="1676"/>
      <c r="AC279" s="1676"/>
      <c r="AD279" s="1676"/>
      <c r="AE279" s="1676"/>
      <c r="AF279" s="401"/>
      <c r="AV279" t="e">
        <f>IF(AV276=1961,"NINETEEN SIXTY ONE",IF(AV276=1962,"NINETEEN SIXTY TWO",IF(AV276=1963,"NINETEEN SIXTY THREE",IF(AV276=1964,"NINETEEN SIXTY FOUR",IF(AV276=1965,"NINETEEN SIXTY FIVE",IF(AV276=1966,"NINETEEN SIXTY SIX",IF(AV276=1967,"NINETEEN SIXTY SEVEN",IF(AV276=1968,"NINETEEN SIXTY EIGHT",IF(AV276=1969,"NINETEEN SIXTY NINE",IF(AV276=1970,"NINETEEN SEVENTY",IF(AV276=1971,"NINETEEN SEVENTY ONE",IF(AV276=1972,"NINETEEN SEVENTY TWO",IF(AV276=1973,"NINETEEN SEVENTY THREE",IF(AV276=1974,"NINETEEN SEVENTY FOUR",IF(AV276=1975,"NINETEEN SEVENTY FIVE",IF(AV276=1976,"NINETEEN SEVENTY SIX",IF(AV276=1977,"NINETEEN SEVENTY SEVEN",IF(AV276=1978,"NINETEEN SEVENTY EIGHT",IF(AV276=1979,"NINETEEN SEVENTY NINE",IF(AV276=1980,"NINETEEN EIGHTY",IF(AV276=1981,"NINETEEN EIGHTY ONE",IF(AV276=1982,"NINETEEN EIGHTY TWO",IF(AV276=1983,"NINETEEN EIGHTY THREE",IF(AV276=1984,"NINETEEN EIGHTY FOUR",IF(AV276=1985,"NINETEEN EIGHTY FIVE",IF(AV276=1986,"NINETEEN EIGHTY SIX",IF(AV276=1987,"NINETEEN EIGHTY SEVEN",IF(AV276=1988,"NINETEEN EIGHTY EIGHT",IF(AV276=1989,"NINETEEN EIGHTY NINE",IF(AV276=1990,"NINETEEN NINETY",IF(AV276=1991,"NINETEEN NINETY ONE",IF(AV276=1992,"NINETEEN NINETY TWO",IF(AV276=1993,"NINETEEN NINETY THREE",IF(AV276=1994,"NINETEEN NINETY FOUR",IF(AV276=1995,"NINETEEN NINETY FIVE",IF(AV276=1996,"NINETEEN NINETY SIX",IF(AV276=1997,"NINETEEN NINETY SEVEN",IF(AV276=1998,"NINETEEN NINETY EIGHT",IF(AV276=1999,"NINETEEN NINETY NINE",IF(AV276=2000,"TWO THOUSAND",IF(AV276=2001,"TWO THOUSAND ONE",IF(AV276=2002,"TWO THOUSAND TWO",IF(AV276=2003,"TWO THOUSAND THREE",IF(AV276=2004,"TWO THOUSAND FOUR",IF(AV276=2005,"TWO THOUSAND FIVE",IF(AV276=2006,"TWO THOUSAND SIX",IF(AV276=2007,"TWO THOUSAND SEVEN",IF(AV276=2008,"TWO THOUSAND EIGHT",IF(AV276=2009,"TWO THOUSAND NINE",IF(AV276=2010,"TWO THOUSAND TEN",IF(AV276=2011,"TWO THOUSAND ELEVEN",IF(AV276=2012,"TWO THOUSAND TWELVE",IF(AV276=2013,"TWO THOUSAND THIRTEEN",IF(AV276=2014,"TWO THOUSAND FOURTEEN",IF(AV276=2015,"TWO THOUSAND FIFTEEN",IF(AV276=2016,"TWO THOUSAND SIXTEEN",IF(AV276=2017,"TWO THOUSAND SEVENTEEN",IF(AV276=2018,"TWO THOUSAND EIGHTEEN",IF(AV276=2019,"TWO THOUSAND NINETEEN",IF(AV276=2020,"TWO THOUSAND TWENTY",IF(AV276=2021,"TWO THOUSAND TWENTY ONE",IF(AV276=2022,"TWO THOUSAND TWENTY TWO",IF(AV276=2023,"TWO THOUSAND TWENTY THREE",IF(AV276=2024,"TWO THOUSAND TWENTY FOUR",IF(AV276=2025,"TWO THOUSAND TWENTY FIVE","")))))))))))))))))))))))))))))))))))))))))))))))))))))))))))))))))</f>
        <v>#VALUE!</v>
      </c>
      <c r="AW279" t="e">
        <f>IF(AW276=1,"JANUARY",IF(AW276=2,"FEBUARY", IF(AW276=3,"MARCH",IF(AW276=4,"APRIL",IF(AW276=5,"MAY",IF(AW276=6,"JUNE",IF(AW276=7,"JULY",IF(AW276=8,"AUGUST",IF(AW276=9,"SEPTEMBER",IF(AW276=10,"OCTOBER",IF(AW276=11,"NOVEMBER",IF(AW276=12,"DECEMBER",""))))))))))))</f>
        <v>#VALUE!</v>
      </c>
      <c r="AX279" t="e">
        <f>IF(AX276=1,"1ST",IF(AX276=2,"2ND", IF(AX276=3,"3RD",IF(AX276=4,"FOURTH",IF(AX276=5,"FIFTH",IF(AX276=6,"SIXTH",IF(AX276=7,"7TH",IF(AX276=8,"8TH",IF(AX276=9,"9TH",IF(AX276=10,"10TH",IF(AX276=11,"11TH",IF(AX276=12,"12TH",IF(AX276=13,"13TH",IF(AX276=14,"14TH",IF(AX276=15,"FIFTEEN",IF(AX276=16,"SIXTEEN",IF(AX276=17,"SEVENTEEN",IF(AX276=18,"EIGHTEEN",IF(AX276=19,"NINETEEN",IF(AX276=20,"TWENTY",IF(AX276=21,"TWENTY FIRST",IF(AX276=22,"TWENTY SECOND",IF(AX276=23,"TWENTY THIRD",IF(AX276=24,"TWENTY FOURTH",IF(AX276=25,"TWENTY FIFTH",IF(AX276=26,"TWENTY SIX",IF(AX276=27,"TWENTY SEVEN",IF(AX276=28,"TWENTY EIGHT",IF(AX276=29,"TWENTY NINE",IF(AX276=30,"THIRTY",IF(AX276=31,"THIRTY FIRST","")))))))))))))))))))))))))))))))</f>
        <v>#VALUE!</v>
      </c>
      <c r="BA279" t="e">
        <f>IF(BA276=1961,"NINETEEN SIXTY ONE",IF(BA276=1962,"NINETEEN SIXTY TWO",IF(BA276=1963,"NINETEEN SIXTY THREE",IF(BA276=1964,"NINETEEN SIXTY FOUR",IF(BA276=1965,"NINETEEN SIXTY FIVE",IF(BA276=1966,"NINETEEN SIXTY SIX",IF(BA276=1967,"NINETEEN SIXTY SEVEN",IF(BA276=1968,"NINETEEN SIXTY EIGHT",IF(BA276=1969,"NINETEEN SIXTY NINE",IF(BA276=1970,"NINETEEN SEVENTY",IF(BA276=1971,"NINETEEN SEVENTY ONE",IF(BA276=1972,"NINETEEN SEVENTY TWO",IF(BA276=1973,"NINETEEN SEVENTY THREE",IF(BA276=1974,"NINETEEN SEVENTY FOUR",IF(BA276=1975,"NINETEEN SEVENTY FIVE",IF(BA276=1976,"NINETEEN SEVENTY SIX",IF(BA276=1977,"NINETEEN SEVENTY SEVEN",IF(BA276=1978,"NINETEEN SEVENTY EIGHT",IF(BA276=1979,"NINETEEN SEVENTY NINE",IF(BA276=1980,"NINETEEN EIGHTY",IF(BA276=1981,"NINETEEN EIGHTY ONE",IF(BA276=1982,"NINETEEN EIGHTY TWO",IF(BA276=1983,"NINETEEN EIGHTY THREE",IF(BA276=1984,"NINETEEN EIGHTY FOUR",IF(BA276=1985,"NINETEEN EIGHTY FIVE",IF(BA276=1986,"NINETEEN EIGHTY SIX",IF(BA276=1987,"NINETEEN EIGHTY SEVEN",IF(BA276=1988,"NINETEEN EIGHTY EIGHT",IF(BA276=1989,"NINETEEN EIGHTY NINE",IF(BA276=1990,"NINETEEN NINETY",IF(BA276=1991,"NINETEEN NINETY ONE",IF(BA276=1992,"NINETEEN NINETY TWO",IF(BA276=1993,"NINETEEN NINETY THREE",IF(BA276=1994,"NINETEEN NINETY FOUR",IF(BA276=1995,"NINETEEN NINETY FIVE",IF(BA276=1996,"NINETEEN NINETY SIX",IF(BA276=1997,"NINETEEN NINETY SEVEN",IF(BA276=1998,"NINETEEN NINETY EIGHT",IF(BA276=1999,"NINETEEN NINETY NINE",IF(BA276=2000,"TWO THOUSAND",IF(BA276=2001,"TWO THOUSAND ONE",IF(BA276=2002,"TWO THOUSAND TWO",IF(BA276=2003,"TWO THOUSAND THREE",IF(BA276=2004,"TWO THOUSAND FOUR",IF(BA276=2005,"TWO THOUSAND FIVE",IF(BA276=2006,"TWO THOUSAND SIX",IF(BA276=2007,"TWO THOUSAND SEVEN",IF(BA276=2008,"TWO THOUSAND EIGHT",IF(BA276=2009,"TWO THOUSAND NINE",IF(BA276=2010,"TWO THOUSAND TEN",IF(BA276=2011,"TWO THOUSAND ELEVEN",IF(BA276=2012,"TWO THOUSAND TWELVE",IF(BA276=2013,"TWO THOUSAND THIRTEEN",IF(BA276=2014,"TWO THOUSAND FOURTEEN",IF(BA276=2015,"TWO THOUSAND FIFTEEN",IF(BA276=2016,"TWO THOUSAND SIXTEEN",IF(BA276=2017,"TWO THOUSAND SEVENTEEN",IF(BA276=2018,"TWO THOUSAND EIGHTEEN",IF(BA276=2019,"TWO THOUSAND NINETEEN",IF(BA276=2020,"TWO THOUSAND TWENTY",IF(BA276=2021,"TWO THOUSAND TWENTY ONE",IF(BA276=2022,"TWO THOUSAND TWENTY TWO",IF(BA276=2023,"TWO THOUSAND TWENTY THREE",IF(BA276=2024,"TWO THOUSAND TWENTY FOUR",IF(BA276=2025,"TWO THOUSAND TWENTY FIVE","")))))))))))))))))))))))))))))))))))))))))))))))))))))))))))))))))</f>
        <v>#VALUE!</v>
      </c>
      <c r="BB279" t="e">
        <f>IF(BB276=1,"JANUARY",IF(BB276=2,"FEBUARY", IF(BB276=3,"MARCH",IF(BB276=4,"APRIL",IF(BB276=5,"MAY",IF(BB276=6,"JUNE",IF(BB276=7,"JULY",IF(BB276=8,"AUGUST",IF(BB276=9,"SEPTEMBER",IF(BB276=10,"OCTOBER",IF(BB276=11,"NOVEMBER",IF(BB276=12,"DECEMBER",""))))))))))))</f>
        <v>#VALUE!</v>
      </c>
      <c r="BC279" t="e">
        <f>IF(BC276=1,"1ST",IF(BC276=2,"2ND", IF(BC276=3,"3RD",IF(BC276=4,"FOURTH",IF(BC276=5,"FIFTH",IF(BC276=6,"SIXTH",IF(BC276=7,"7TH",IF(BC276=8,"8TH",IF(BC276=9,"9TH",IF(BC276=10,"10TH",IF(BC276=11,"11TH",IF(BC276=12,"12TH",IF(BC276=13,"13TH",IF(BC276=14,"14TH",IF(BC276=15,"FIFTEEN",IF(BC276=16,"SIXTEEN",IF(BC276=17,"SEVENTEEN",IF(BC276=18,"EIGHTEEN",IF(BC276=19,"NINETEEN",IF(BC276=20,"TWENTY",IF(BC276=21,"TWENTY FIRST",IF(BC276=22,"TWENTY SECOND",IF(BC276=23,"TWENTY THIRD",IF(BC276=24,"TWENTY FOURTH",IF(BC276=25,"TWENTY FIFTH",IF(BC276=26,"TWENTY SIX",IF(BC276=27,"TWENTY SEVEN",IF(BC276=28,"TWENTY EIGHT",IF(BC276=29,"TWENTY NINE",IF(BC276=30,"THIRTY",IF(BC276=31,"THIRTY FIRST","")))))))))))))))))))))))))))))))</f>
        <v>#VALUE!</v>
      </c>
    </row>
    <row r="280" spans="1:55" s="351" customFormat="1" ht="26.25" customHeight="1">
      <c r="A280" s="33">
        <f>IF(L278="","",A279+1)</f>
        <v>10</v>
      </c>
      <c r="B280" s="1661" t="str">
        <f>IF('School Profile'!$D$12="Hindi","विषय का नाम","Subject Name")</f>
        <v>विषय का नाम</v>
      </c>
      <c r="C280" s="1662"/>
      <c r="D280" s="1681" t="str">
        <f>IF('School Profile'!$D$12="Hindi","सामयिक परख","Seasonal Exam")</f>
        <v>सामयिक परख</v>
      </c>
      <c r="E280" s="1681"/>
      <c r="F280" s="1681"/>
      <c r="G280" s="1681"/>
      <c r="H280" s="1681" t="str">
        <f>IF('School Profile'!$D$12="Hindi","अर्द्धवार्षिक","Half Yearly")</f>
        <v>अर्द्धवार्षिक</v>
      </c>
      <c r="I280" s="1681"/>
      <c r="J280" s="1681"/>
      <c r="K280" s="1556" t="str">
        <f>IF('School Profile'!$D$12="Hindi","अर्द्ध वा. तक योग","Total Till H.Y.")</f>
        <v>अर्द्ध वा. तक योग</v>
      </c>
      <c r="L280" s="1681" t="str">
        <f>IF('School Profile'!$D$12="Hindi","वार्षिक","Yearly")</f>
        <v>वार्षिक</v>
      </c>
      <c r="M280" s="1681"/>
      <c r="N280" s="1681"/>
      <c r="O280" s="1550" t="str">
        <f>IF('School Profile'!$D$12="Hindi","विषय कुल योग ","Subject Total")</f>
        <v xml:space="preserve">विषय कुल योग </v>
      </c>
      <c r="P280" s="1682" t="str">
        <f>IF('School Profile'!$D$12="Hindi","विषय परिणाम / विषय श्रेणी","Sub. Result /  Sub. Div.")</f>
        <v>विषय परिणाम / विषय श्रेणी</v>
      </c>
      <c r="Q280" s="1686"/>
      <c r="R280" s="1661" t="str">
        <f>IF('School Profile'!$D$12="Hindi","विषय का नाम","Subject Name")</f>
        <v>विषय का नाम</v>
      </c>
      <c r="S280" s="1662"/>
      <c r="T280" s="1681" t="str">
        <f>IF('School Profile'!$D$12="Hindi","सामयिक परख","Seasonal Exam")</f>
        <v>सामयिक परख</v>
      </c>
      <c r="U280" s="1681"/>
      <c r="V280" s="1681"/>
      <c r="W280" s="1681"/>
      <c r="X280" s="1681" t="str">
        <f>IF('School Profile'!$D$12="Hindi","अर्द्धवार्षिक","Half Yearly")</f>
        <v>अर्द्धवार्षिक</v>
      </c>
      <c r="Y280" s="1681"/>
      <c r="Z280" s="1681"/>
      <c r="AA280" s="1556" t="str">
        <f>IF('School Profile'!$D$12="Hindi","अर्द्ध वा. तक योग","Total Till H.Y.")</f>
        <v>अर्द्ध वा. तक योग</v>
      </c>
      <c r="AB280" s="1681" t="str">
        <f>IF('School Profile'!$D$12="Hindi","वार्षिक","Yearly")</f>
        <v>वार्षिक</v>
      </c>
      <c r="AC280" s="1681"/>
      <c r="AD280" s="1681"/>
      <c r="AE280" s="1550" t="str">
        <f>IF('School Profile'!$D$12="Hindi","विषय कुल योग ","Subject Total")</f>
        <v xml:space="preserve">विषय कुल योग </v>
      </c>
      <c r="AF280" s="1682" t="str">
        <f>IF('School Profile'!$D$12="Hindi","विषय परिणाम / विषय श्रेणी","Sub. Result /  Sub. Div.")</f>
        <v>विषय परिणाम / विषय श्रेणी</v>
      </c>
      <c r="AV280"/>
      <c r="AW280" t="e">
        <f>CONCATENATE(AW279," ",AX279,", ",AV279)</f>
        <v>#VALUE!</v>
      </c>
      <c r="AX280"/>
      <c r="BA280"/>
      <c r="BB280" t="e">
        <f>CONCATENATE(BB279," ",BC279,", ",BA279)</f>
        <v>#VALUE!</v>
      </c>
      <c r="BC280"/>
    </row>
    <row r="281" spans="1:55" s="351" customFormat="1" ht="78.75" customHeight="1">
      <c r="A281" s="33">
        <f>IF(L278="","",A280+1)</f>
        <v>11</v>
      </c>
      <c r="B281" s="1677"/>
      <c r="C281" s="1678"/>
      <c r="D281" s="656" t="str">
        <f>IF('School Profile'!$D$12="Hindi","प्रथम परख ","First Test")</f>
        <v xml:space="preserve">प्रथम परख </v>
      </c>
      <c r="E281" s="656" t="str">
        <f>IF('School Profile'!$D$12="Hindi","द्वितीय परख","Second Test")</f>
        <v>द्वितीय परख</v>
      </c>
      <c r="F281" s="656" t="str">
        <f>IF('School Profile'!$D$12="Hindi","तृतीय परख","Third Test")</f>
        <v>तृतीय परख</v>
      </c>
      <c r="G281" s="657" t="str">
        <f>IF('School Profile'!$D$12="Hindi","सा. परख योग","Test Total")</f>
        <v>सा. परख योग</v>
      </c>
      <c r="H281" s="658" t="str">
        <f>IF('School Profile'!$D$12="Hindi","सैद्धान्तिक","Theoretical")</f>
        <v>सैद्धान्तिक</v>
      </c>
      <c r="I281" s="658" t="str">
        <f>IF('School Profile'!$D$12="Hindi","प्रायोगिक","Practical")</f>
        <v>प्रायोगिक</v>
      </c>
      <c r="J281" s="659" t="str">
        <f>IF('School Profile'!$D$12="Hindi","अर्द्धवार्षिक योग","H.Y.  Total")</f>
        <v>अर्द्धवार्षिक योग</v>
      </c>
      <c r="K281" s="1556"/>
      <c r="L281" s="658" t="str">
        <f>IF('School Profile'!$D$12="Hindi","सैद्धान्तिक","Theoretical")</f>
        <v>सैद्धान्तिक</v>
      </c>
      <c r="M281" s="658" t="str">
        <f>IF('School Profile'!$D$12="Hindi","प्रायोगिक","Practical")</f>
        <v>प्रायोगिक</v>
      </c>
      <c r="N281" s="659" t="str">
        <f>IF('School Profile'!$D$12="Hindi","वार्षिक योग","Yearly  Total")</f>
        <v>वार्षिक योग</v>
      </c>
      <c r="O281" s="1550"/>
      <c r="P281" s="1552"/>
      <c r="Q281" s="1686"/>
      <c r="R281" s="1677"/>
      <c r="S281" s="1678"/>
      <c r="T281" s="656" t="str">
        <f>IF('School Profile'!$D$12="Hindi","प्रथम परख ","First Test")</f>
        <v xml:space="preserve">प्रथम परख </v>
      </c>
      <c r="U281" s="656" t="str">
        <f>IF('School Profile'!$D$12="Hindi","द्वितीय परख","Second Test")</f>
        <v>द्वितीय परख</v>
      </c>
      <c r="V281" s="656" t="str">
        <f>IF('School Profile'!$D$12="Hindi","तृतीय परख","Third Test")</f>
        <v>तृतीय परख</v>
      </c>
      <c r="W281" s="657" t="str">
        <f>IF('School Profile'!$D$12="Hindi","सा. परख योग","Test Total")</f>
        <v>सा. परख योग</v>
      </c>
      <c r="X281" s="658" t="str">
        <f>IF('School Profile'!$D$12="Hindi","सैद्धान्तिक","Theoretical")</f>
        <v>सैद्धान्तिक</v>
      </c>
      <c r="Y281" s="658" t="str">
        <f>IF('School Profile'!$D$12="Hindi","प्रायोगिक","Practical")</f>
        <v>प्रायोगिक</v>
      </c>
      <c r="Z281" s="659" t="str">
        <f>IF('School Profile'!$D$12="Hindi","अर्द्धवार्षिक योग","H.Y.  Total")</f>
        <v>अर्द्धवार्षिक योग</v>
      </c>
      <c r="AA281" s="1556"/>
      <c r="AB281" s="658" t="str">
        <f>IF('School Profile'!$D$12="Hindi","सैद्धान्तिक","Theoretical")</f>
        <v>सैद्धान्तिक</v>
      </c>
      <c r="AC281" s="658" t="str">
        <f>IF('School Profile'!$D$12="Hindi","प्रायोगिक","Practical")</f>
        <v>प्रायोगिक</v>
      </c>
      <c r="AD281" s="659" t="str">
        <f>IF('School Profile'!$D$12="Hindi","वार्षिक योग","Yearly  Total")</f>
        <v>वार्षिक योग</v>
      </c>
      <c r="AE281" s="1550"/>
      <c r="AF281" s="1552"/>
      <c r="AV281"/>
      <c r="AW281"/>
      <c r="AX281"/>
      <c r="BA281"/>
      <c r="BB281"/>
      <c r="BC281"/>
    </row>
    <row r="282" spans="1:55" s="353" customFormat="1" ht="21" customHeight="1">
      <c r="A282" s="33">
        <f>IF(L278="","",A281+1)</f>
        <v>12</v>
      </c>
      <c r="B282" s="1679"/>
      <c r="C282" s="1680"/>
      <c r="D282" s="663">
        <v>10</v>
      </c>
      <c r="E282" s="663">
        <v>10</v>
      </c>
      <c r="F282" s="663">
        <v>10</v>
      </c>
      <c r="G282" s="663">
        <v>30</v>
      </c>
      <c r="H282" s="665" t="s">
        <v>251</v>
      </c>
      <c r="I282" s="661">
        <v>35</v>
      </c>
      <c r="J282" s="660">
        <v>70</v>
      </c>
      <c r="K282" s="661">
        <v>100</v>
      </c>
      <c r="L282" s="664" t="s">
        <v>252</v>
      </c>
      <c r="M282" s="663">
        <v>50</v>
      </c>
      <c r="N282" s="660">
        <v>100</v>
      </c>
      <c r="O282" s="662">
        <v>200</v>
      </c>
      <c r="P282" s="1553"/>
      <c r="Q282" s="1686"/>
      <c r="R282" s="1679"/>
      <c r="S282" s="1680"/>
      <c r="T282" s="663">
        <v>10</v>
      </c>
      <c r="U282" s="663">
        <v>10</v>
      </c>
      <c r="V282" s="663">
        <v>10</v>
      </c>
      <c r="W282" s="663">
        <v>30</v>
      </c>
      <c r="X282" s="665" t="s">
        <v>251</v>
      </c>
      <c r="Y282" s="661">
        <v>35</v>
      </c>
      <c r="Z282" s="660">
        <v>70</v>
      </c>
      <c r="AA282" s="661">
        <v>100</v>
      </c>
      <c r="AB282" s="664" t="s">
        <v>252</v>
      </c>
      <c r="AC282" s="663">
        <v>50</v>
      </c>
      <c r="AD282" s="660">
        <v>100</v>
      </c>
      <c r="AE282" s="662">
        <v>200</v>
      </c>
      <c r="AF282" s="1553"/>
      <c r="AV282"/>
      <c r="AW282"/>
      <c r="AX282"/>
      <c r="BA282"/>
      <c r="BB282"/>
      <c r="BC282"/>
    </row>
    <row r="283" spans="1:55" s="351" customFormat="1" ht="22.5" customHeight="1">
      <c r="A283" s="33">
        <f>IF(L278="","",A282+1)</f>
        <v>13</v>
      </c>
      <c r="B283" s="1674" t="str">
        <f>'Statement of Marks'!$K$3</f>
        <v>हिंदी</v>
      </c>
      <c r="C283" s="1675"/>
      <c r="D283" s="26">
        <f>IFERROR(VLOOKUP(L278,'Statement of Marks'!$B$7:'Statement of Marks'!$IC$206,10,0),"")</f>
        <v>8</v>
      </c>
      <c r="E283" s="26">
        <f>IFERROR(VLOOKUP(L278,'Statement of Marks'!$B$7:'Statement of Marks'!$IC$206,11,0),"")</f>
        <v>9</v>
      </c>
      <c r="F283" s="26">
        <f>IFERROR(VLOOKUP(L278,'Statement of Marks'!$B$7:'Statement of Marks'!$IC$206,12,0),"")</f>
        <v>8</v>
      </c>
      <c r="G283" s="26">
        <f>IFERROR(VLOOKUP(L278,'Statement of Marks'!$B$7:'Statement of Marks'!$IC$206,13,0),"")</f>
        <v>25</v>
      </c>
      <c r="H283" s="26">
        <f>IFERROR(VLOOKUP(L278,'Statement of Marks'!$B$7:'Statement of Marks'!$IC$206,14,0),"")</f>
        <v>46</v>
      </c>
      <c r="I283" s="26"/>
      <c r="J283" s="347">
        <f>IF(L278="","",IF(AND(H283="",I283=""),"",SUM(H283,I283)))</f>
        <v>46</v>
      </c>
      <c r="K283" s="679">
        <f>IFERROR(IF(L278="","",IF(AND(G283="",J283=""),"",SUM(G283,J283))),"")</f>
        <v>71</v>
      </c>
      <c r="L283" s="26">
        <f>IFERROR(VLOOKUP(L278,'Statement of Marks'!$B$7:'Statement of Marks'!$IC$206,16,0),"")</f>
        <v>65</v>
      </c>
      <c r="M283" s="26"/>
      <c r="N283" s="347">
        <f>IF(L278="","",IF(AND(L283="",M283=""),"",SUM(L283,M283)))</f>
        <v>65</v>
      </c>
      <c r="O283" s="674">
        <f>IFERROR(VLOOKUP(L278,'Statement of Marks'!$B$7:'Statement of Marks'!$IC$206,17,0),"")</f>
        <v>136</v>
      </c>
      <c r="P283" s="680" t="str">
        <f>IFERROR(IF(O283="","",IF(VLOOKUP(L278,'Statement of Marks'!$B$7:'Statement of Marks'!$IC$206,195,0)="D","I",IF(VLOOKUP(L278,'Statement of Marks'!$B$7:'Statement of Marks'!$IC$206,195,0)="G1","G",IF(VLOOKUP(L278,'Statement of Marks'!$B$7:'Statement of Marks'!$IC$206,195,0)="G2","G",VLOOKUP(L278,'Statement of Marks'!$B$7:'Statement of Marks'!$IC$206,195,0))))),"")</f>
        <v>I</v>
      </c>
      <c r="Q283" s="1686"/>
      <c r="R283" s="1674" t="str">
        <f>'Statement of Marks'!$K$3</f>
        <v>हिंदी</v>
      </c>
      <c r="S283" s="1675"/>
      <c r="T283" s="26">
        <f>IFERROR(VLOOKUP(AB278,'Statement of Marks'!$B$7:'Statement of Marks'!$IC$206,10,0),"")</f>
        <v>8</v>
      </c>
      <c r="U283" s="26">
        <f>IFERROR(VLOOKUP(AB278,'Statement of Marks'!$B$7:'Statement of Marks'!$IC$206,11,0),"")</f>
        <v>9</v>
      </c>
      <c r="V283" s="26">
        <f>IFERROR(VLOOKUP(AB278,'Statement of Marks'!$B$7:'Statement of Marks'!$IC$206,12,0),"")</f>
        <v>8</v>
      </c>
      <c r="W283" s="26">
        <f>IFERROR(VLOOKUP(AB278,'Statement of Marks'!$B$7:'Statement of Marks'!$IC$206,13,0),"")</f>
        <v>25</v>
      </c>
      <c r="X283" s="26">
        <f>IFERROR(VLOOKUP(AB278,'Statement of Marks'!$B$7:'Statement of Marks'!$IC$206,14,0),"")</f>
        <v>46</v>
      </c>
      <c r="Y283" s="26"/>
      <c r="Z283" s="347">
        <f>IF(AB278="","",IF(AND(X283="",Y283=""),"",SUM(X283,Y283)))</f>
        <v>46</v>
      </c>
      <c r="AA283" s="679">
        <f>IFERROR(IF(AB278="","",IF(AND(W283="",Z283=""),"",SUM(W283,Z283))),"")</f>
        <v>71</v>
      </c>
      <c r="AB283" s="26">
        <f>IFERROR(VLOOKUP(AB278,'Statement of Marks'!$B$7:'Statement of Marks'!$IC$206,16,0),"")</f>
        <v>65</v>
      </c>
      <c r="AC283" s="26"/>
      <c r="AD283" s="347">
        <f>IF(AB278="","",IF(AND(AB283="",AC283=""),"",SUM(AB283,AC283)))</f>
        <v>65</v>
      </c>
      <c r="AE283" s="674">
        <f>IFERROR(VLOOKUP(AB278,'Statement of Marks'!$B$7:'Statement of Marks'!$IC$206,17,0),"")</f>
        <v>136</v>
      </c>
      <c r="AF283" s="680" t="str">
        <f>IFERROR(IF(AE283="","",IF(VLOOKUP(AB278,'Statement of Marks'!$B$7:'Statement of Marks'!$IC$206,195,0)="D","I",IF(VLOOKUP(AB278,'Statement of Marks'!$B$7:'Statement of Marks'!$IC$206,195,0)="G1","G",IF(VLOOKUP(AB278,'Statement of Marks'!$B$7:'Statement of Marks'!$IC$206,195,0)="G2","G",VLOOKUP(AB278,'Statement of Marks'!$B$7:'Statement of Marks'!$IC$206,195,0))))),"")</f>
        <v>I</v>
      </c>
      <c r="AV283"/>
      <c r="AW283"/>
      <c r="AX283"/>
      <c r="BA283"/>
      <c r="BB283"/>
      <c r="BC283"/>
    </row>
    <row r="284" spans="1:55" s="351" customFormat="1" ht="22.5" customHeight="1">
      <c r="A284" s="33">
        <f>IF(L278="","",A283+1)</f>
        <v>14</v>
      </c>
      <c r="B284" s="1674" t="str">
        <f>'Statement of Marks'!$Y$3</f>
        <v>अंग्रेजी</v>
      </c>
      <c r="C284" s="1675"/>
      <c r="D284" s="26">
        <f>IFERROR(VLOOKUP(L278,'Statement of Marks'!$B$7:'Statement of Marks'!$IC$206,24,0),"")</f>
        <v>8</v>
      </c>
      <c r="E284" s="26">
        <f>IFERROR(VLOOKUP(L278,'Statement of Marks'!$B$7:'Statement of Marks'!$IC$206,25,0),"")</f>
        <v>9</v>
      </c>
      <c r="F284" s="26">
        <f>IFERROR(VLOOKUP(L278,'Statement of Marks'!$B$7:'Statement of Marks'!$IC$206,26,0),"")</f>
        <v>8</v>
      </c>
      <c r="G284" s="26">
        <f>IFERROR(VLOOKUP(L278,'Statement of Marks'!$B$7:'Statement of Marks'!$IC$206,27,0),"")</f>
        <v>25</v>
      </c>
      <c r="H284" s="26">
        <f>IFERROR(VLOOKUP(L278,'Statement of Marks'!$B$7:'Statement of Marks'!$IC$206,28,0),"")</f>
        <v>60</v>
      </c>
      <c r="I284" s="26"/>
      <c r="J284" s="347">
        <f>IF(L278="","",IF(AND(H284="",I284=""),"",SUM(H284,I284)))</f>
        <v>60</v>
      </c>
      <c r="K284" s="679">
        <f>IFERROR(IF(L278="","",IF(AND(G284="",J284=""),"",SUM(G284,J284))),"")</f>
        <v>85</v>
      </c>
      <c r="L284" s="26">
        <f>IFERROR(VLOOKUP(L278,'Statement of Marks'!$B$7:'Statement of Marks'!$IC$206,30,0),"")</f>
        <v>85</v>
      </c>
      <c r="M284" s="26"/>
      <c r="N284" s="347">
        <f>IF(L278="","",IF(AND(L284="",M284=""),"",SUM(L284,M284)))</f>
        <v>85</v>
      </c>
      <c r="O284" s="674">
        <f>IFERROR(VLOOKUP(L278,'Statement of Marks'!$B$7:'Statement of Marks'!$IC$206,31,0),"")</f>
        <v>170</v>
      </c>
      <c r="P284" s="680" t="str">
        <f>IFERROR(IF(O283="","",IF(VLOOKUP(L278,'Statement of Marks'!$B$7:'Statement of Marks'!$IC$206,198,0)="D","I",IF(VLOOKUP(L278,'Statement of Marks'!$B$7:'Statement of Marks'!$IC$206,198,0)="G1","G",IF(VLOOKUP(L278,'Statement of Marks'!$B$7:'Statement of Marks'!$IC$206,198,0)="G2","G",VLOOKUP(L278,'Statement of Marks'!$B$7:'Statement of Marks'!$IC$206,198,0))))),"")</f>
        <v>I</v>
      </c>
      <c r="Q284" s="1686"/>
      <c r="R284" s="1674" t="str">
        <f>'Statement of Marks'!$Y$3</f>
        <v>अंग्रेजी</v>
      </c>
      <c r="S284" s="1675"/>
      <c r="T284" s="26">
        <f>IFERROR(VLOOKUP(AB278,'Statement of Marks'!$B$7:'Statement of Marks'!$IC$206,24,0),"")</f>
        <v>8</v>
      </c>
      <c r="U284" s="26">
        <f>IFERROR(VLOOKUP(AB278,'Statement of Marks'!$B$7:'Statement of Marks'!$IC$206,25,0),"")</f>
        <v>9</v>
      </c>
      <c r="V284" s="26">
        <f>IFERROR(VLOOKUP(AB278,'Statement of Marks'!$B$7:'Statement of Marks'!$IC$206,26,0),"")</f>
        <v>8</v>
      </c>
      <c r="W284" s="26">
        <f>IFERROR(VLOOKUP(AB278,'Statement of Marks'!$B$7:'Statement of Marks'!$IC$206,27,0),"")</f>
        <v>25</v>
      </c>
      <c r="X284" s="26">
        <f>IFERROR(VLOOKUP(AB278,'Statement of Marks'!$B$7:'Statement of Marks'!$IC$206,28,0),"")</f>
        <v>60</v>
      </c>
      <c r="Y284" s="26"/>
      <c r="Z284" s="347">
        <f>IF(AB278="","",IF(AND(X284="",Y284=""),"",SUM(X284,Y284)))</f>
        <v>60</v>
      </c>
      <c r="AA284" s="679">
        <f>IFERROR(IF(AB278="","",IF(AND(W284="",Z284=""),"",SUM(W284,Z284))),"")</f>
        <v>85</v>
      </c>
      <c r="AB284" s="26">
        <f>IFERROR(VLOOKUP(AB278,'Statement of Marks'!$B$7:'Statement of Marks'!$IC$206,30,0),"")</f>
        <v>85</v>
      </c>
      <c r="AC284" s="26"/>
      <c r="AD284" s="347">
        <f>IF(AB278="","",IF(AND(AB284="",AC284=""),"",SUM(AB284,AC284)))</f>
        <v>85</v>
      </c>
      <c r="AE284" s="674">
        <f>IFERROR(VLOOKUP(AB278,'Statement of Marks'!$B$7:'Statement of Marks'!$IC$206,31,0),"")</f>
        <v>170</v>
      </c>
      <c r="AF284" s="680" t="str">
        <f>IFERROR(IF(AE283="","",IF(VLOOKUP(AB278,'Statement of Marks'!$B$7:'Statement of Marks'!$IC$206,198,0)="D","I",IF(VLOOKUP(AB278,'Statement of Marks'!$B$7:'Statement of Marks'!$IC$206,198,0)="G1","G",IF(VLOOKUP(AB278,'Statement of Marks'!$B$7:'Statement of Marks'!$IC$206,198,0)="G2","G",VLOOKUP(AB278,'Statement of Marks'!$B$7:'Statement of Marks'!$IC$206,198,0))))),"")</f>
        <v>I</v>
      </c>
      <c r="AV284"/>
      <c r="AW284"/>
      <c r="AX284"/>
      <c r="BA284"/>
      <c r="BB284"/>
      <c r="BC284"/>
    </row>
    <row r="285" spans="1:55" s="351" customFormat="1" ht="22.5" customHeight="1">
      <c r="A285" s="33">
        <f>IF(L278="","",A284+1)</f>
        <v>15</v>
      </c>
      <c r="B285" s="1674" t="str">
        <f>IFERROR(VLOOKUP(L278,'Statement of Marks'!$B$7:'Statement of Marks'!$IC$206,38,0),"")</f>
        <v xml:space="preserve">उर्दू (72) </v>
      </c>
      <c r="C285" s="1675"/>
      <c r="D285" s="26">
        <f>IFERROR(VLOOKUP(L278,'Statement of Marks'!$B$7:'Statement of Marks'!$IC$206,39,0),"")</f>
        <v>8</v>
      </c>
      <c r="E285" s="26">
        <f>IFERROR(VLOOKUP(L278,'Statement of Marks'!$B$7:'Statement of Marks'!$IC$206,40,0),"")</f>
        <v>9</v>
      </c>
      <c r="F285" s="26">
        <f>IFERROR(VLOOKUP(L278,'Statement of Marks'!$B$7:'Statement of Marks'!$IC$206,41,0),"")</f>
        <v>9</v>
      </c>
      <c r="G285" s="26">
        <f>IFERROR(VLOOKUP(L278,'Statement of Marks'!$B$7:'Statement of Marks'!$IC$206,42,0),"")</f>
        <v>26</v>
      </c>
      <c r="H285" s="26">
        <f>IFERROR(VLOOKUP(L278,'Statement of Marks'!$B$7:'Statement of Marks'!$IC$206,43,0),"")</f>
        <v>46</v>
      </c>
      <c r="I285" s="26"/>
      <c r="J285" s="347">
        <f>IF(L278="","",IF(AND(H285="",I285=""),"",SUM(H285,I285)))</f>
        <v>46</v>
      </c>
      <c r="K285" s="679">
        <f>IFERROR(IF(L278="","",IF(AND(G285="",J285=""),"",SUM(G285,J285))),"")</f>
        <v>72</v>
      </c>
      <c r="L285" s="26">
        <f>IFERROR(VLOOKUP(L278,'Statement of Marks'!$B$7:'Statement of Marks'!$IC$206,45,0),"")</f>
        <v>45</v>
      </c>
      <c r="M285" s="26"/>
      <c r="N285" s="347">
        <f>IF(L278="","",IF(AND(L285="",M285=""),"",SUM(L285,M285)))</f>
        <v>45</v>
      </c>
      <c r="O285" s="674">
        <f>IFERROR(VLOOKUP(L278,'Statement of Marks'!$B$7:'Statement of Marks'!$IC$206,46,0),"")</f>
        <v>117</v>
      </c>
      <c r="P285" s="680" t="str">
        <f>IFERROR(IF(O283="","",IF(VLOOKUP(L278,'Statement of Marks'!$B$7:'Statement of Marks'!$IC$206,201,0)="D","I",IF(VLOOKUP(L278,'Statement of Marks'!$B$7:'Statement of Marks'!$IC$206,201,0)="G1","G",IF(VLOOKUP(L278,'Statement of Marks'!$B$7:'Statement of Marks'!$IC$206,201,0)="G2","G",VLOOKUP(L278,'Statement of Marks'!$B$7:'Statement of Marks'!$IC$206,201,0))))),"")</f>
        <v>II</v>
      </c>
      <c r="Q285" s="1686"/>
      <c r="R285" s="1674" t="str">
        <f>IFERROR(VLOOKUP(AB278,'Statement of Marks'!$B$7:'Statement of Marks'!$IC$206,38,0),"")</f>
        <v xml:space="preserve">सिंधी (74) </v>
      </c>
      <c r="S285" s="1675"/>
      <c r="T285" s="26">
        <f>IFERROR(VLOOKUP(AB278,'Statement of Marks'!$B$7:'Statement of Marks'!$IC$206,39,0),"")</f>
        <v>8</v>
      </c>
      <c r="U285" s="26">
        <f>IFERROR(VLOOKUP(AB278,'Statement of Marks'!$B$7:'Statement of Marks'!$IC$206,40,0),"")</f>
        <v>9</v>
      </c>
      <c r="V285" s="26">
        <f>IFERROR(VLOOKUP(AB278,'Statement of Marks'!$B$7:'Statement of Marks'!$IC$206,41,0),"")</f>
        <v>9</v>
      </c>
      <c r="W285" s="26">
        <f>IFERROR(VLOOKUP(AB278,'Statement of Marks'!$B$7:'Statement of Marks'!$IC$206,42,0),"")</f>
        <v>26</v>
      </c>
      <c r="X285" s="26">
        <f>IFERROR(VLOOKUP(AB278,'Statement of Marks'!$B$7:'Statement of Marks'!$IC$206,43,0),"")</f>
        <v>46</v>
      </c>
      <c r="Y285" s="26"/>
      <c r="Z285" s="347">
        <f>IF(AB278="","",IF(AND(X285="",Y285=""),"",SUM(X285,Y285)))</f>
        <v>46</v>
      </c>
      <c r="AA285" s="679">
        <f>IFERROR(IF(AB278="","",IF(AND(W285="",Z285=""),"",SUM(W285,Z285))),"")</f>
        <v>72</v>
      </c>
      <c r="AB285" s="26">
        <f>IFERROR(VLOOKUP(AB278,'Statement of Marks'!$B$7:'Statement of Marks'!$IC$206,45,0),"")</f>
        <v>45</v>
      </c>
      <c r="AC285" s="26"/>
      <c r="AD285" s="347">
        <f>IF(AB278="","",IF(AND(AB285="",AC285=""),"",SUM(AB285,AC285)))</f>
        <v>45</v>
      </c>
      <c r="AE285" s="674">
        <f>IFERROR(VLOOKUP(AB278,'Statement of Marks'!$B$7:'Statement of Marks'!$IC$206,46,0),"")</f>
        <v>117</v>
      </c>
      <c r="AF285" s="680" t="str">
        <f>IFERROR(IF(AE283="","",IF(VLOOKUP(AB278,'Statement of Marks'!$B$7:'Statement of Marks'!$IC$206,201,0)="D","I",IF(VLOOKUP(AB278,'Statement of Marks'!$B$7:'Statement of Marks'!$IC$206,201,0)="G1","G",IF(VLOOKUP(AB278,'Statement of Marks'!$B$7:'Statement of Marks'!$IC$206,201,0)="G2","G",VLOOKUP(AB278,'Statement of Marks'!$B$7:'Statement of Marks'!$IC$206,201,0))))),"")</f>
        <v>II</v>
      </c>
      <c r="AV285"/>
      <c r="AW285"/>
      <c r="AX285"/>
      <c r="BA285"/>
      <c r="BB285"/>
      <c r="BC285"/>
    </row>
    <row r="286" spans="1:55" s="351" customFormat="1" ht="22.5" customHeight="1">
      <c r="A286" s="33">
        <f>IF(L278="","",A285+1)</f>
        <v>16</v>
      </c>
      <c r="B286" s="1674" t="str">
        <f>'Statement of Marks'!$BB$3</f>
        <v>गणित</v>
      </c>
      <c r="C286" s="1675"/>
      <c r="D286" s="26">
        <f>IFERROR(VLOOKUP(L278,'Statement of Marks'!$B$7:'Statement of Marks'!$IC$206,53,0),"")</f>
        <v>8</v>
      </c>
      <c r="E286" s="26">
        <f>IFERROR(VLOOKUP(L278,'Statement of Marks'!$B$7:'Statement of Marks'!$IC$206,54,0),"")</f>
        <v>9</v>
      </c>
      <c r="F286" s="26">
        <f>IFERROR(VLOOKUP(L278,'Statement of Marks'!$B$7:'Statement of Marks'!$IC$206,55,0),"")</f>
        <v>7</v>
      </c>
      <c r="G286" s="26">
        <f>IFERROR(VLOOKUP(L278,'Statement of Marks'!$B$7:'Statement of Marks'!$IC$206,56,0),"")</f>
        <v>24</v>
      </c>
      <c r="H286" s="26">
        <f>IFERROR(VLOOKUP(L278,'Statement of Marks'!$B$7:'Statement of Marks'!$IC$206,57,0),"")</f>
        <v>46</v>
      </c>
      <c r="I286" s="26"/>
      <c r="J286" s="347">
        <f>IF(L278="","",IF(AND(H286="",I286=""),"",SUM(H286,I286)))</f>
        <v>46</v>
      </c>
      <c r="K286" s="679">
        <f>IFERROR(IF(L278="","",IF(AND(G286="",J286=""),"",SUM(G286,J286))),"")</f>
        <v>70</v>
      </c>
      <c r="L286" s="26">
        <f>IFERROR(VLOOKUP(L278,'Statement of Marks'!$B$7:'Statement of Marks'!$IC$206,59,0),"")</f>
        <v>45</v>
      </c>
      <c r="M286" s="26"/>
      <c r="N286" s="347">
        <f>IF(L278="","",IF(AND(L286="",M286=""),"",SUM(L286,M286)))</f>
        <v>45</v>
      </c>
      <c r="O286" s="674">
        <f>IFERROR(VLOOKUP(L278,'Statement of Marks'!$B$7:'Statement of Marks'!$IC$206,60,0),"")</f>
        <v>115</v>
      </c>
      <c r="P286" s="680" t="str">
        <f>IFERROR(IF(O283="","",IF(VLOOKUP(L278,'Statement of Marks'!$B$7:'Statement of Marks'!$IC$206,209,0)="D","I",IF(VLOOKUP(L278,'Statement of Marks'!$B$7:'Statement of Marks'!$IC$206,209,0)="G1","G",IF(VLOOKUP(L278,'Statement of Marks'!$B$7:'Statement of Marks'!$IC$206,209,0)="G2","G",VLOOKUP(L278,'Statement of Marks'!$B$7:'Statement of Marks'!$IC$206,209,0))))),"")</f>
        <v>II</v>
      </c>
      <c r="Q286" s="1686"/>
      <c r="R286" s="1674" t="str">
        <f>'Statement of Marks'!$BB$3</f>
        <v>गणित</v>
      </c>
      <c r="S286" s="1675"/>
      <c r="T286" s="26">
        <f>IFERROR(VLOOKUP(AB278,'Statement of Marks'!$B$7:'Statement of Marks'!$IC$206,53,0),"")</f>
        <v>8</v>
      </c>
      <c r="U286" s="26">
        <f>IFERROR(VLOOKUP(AB278,'Statement of Marks'!$B$7:'Statement of Marks'!$IC$206,54,0),"")</f>
        <v>9</v>
      </c>
      <c r="V286" s="26">
        <f>IFERROR(VLOOKUP(AB278,'Statement of Marks'!$B$7:'Statement of Marks'!$IC$206,55,0),"")</f>
        <v>7</v>
      </c>
      <c r="W286" s="26">
        <f>IFERROR(VLOOKUP(AB278,'Statement of Marks'!$B$7:'Statement of Marks'!$IC$206,56,0),"")</f>
        <v>24</v>
      </c>
      <c r="X286" s="26">
        <f>IFERROR(VLOOKUP(AB278,'Statement of Marks'!$B$7:'Statement of Marks'!$IC$206,57,0),"")</f>
        <v>46</v>
      </c>
      <c r="Y286" s="26"/>
      <c r="Z286" s="347">
        <f>IF(AB278="","",IF(AND(X286="",Y286=""),"",SUM(X286,Y286)))</f>
        <v>46</v>
      </c>
      <c r="AA286" s="679">
        <f>IFERROR(IF(AB278="","",IF(AND(W286="",Z286=""),"",SUM(W286,Z286))),"")</f>
        <v>70</v>
      </c>
      <c r="AB286" s="26">
        <f>IFERROR(VLOOKUP(AB278,'Statement of Marks'!$B$7:'Statement of Marks'!$IC$206,59,0),"")</f>
        <v>45</v>
      </c>
      <c r="AC286" s="26"/>
      <c r="AD286" s="347">
        <f>IF(AB278="","",IF(AND(AB286="",AC286=""),"",SUM(AB286,AC286)))</f>
        <v>45</v>
      </c>
      <c r="AE286" s="674">
        <f>IFERROR(VLOOKUP(AB278,'Statement of Marks'!$B$7:'Statement of Marks'!$IC$206,60,0),"")</f>
        <v>115</v>
      </c>
      <c r="AF286" s="680" t="str">
        <f>IFERROR(IF(AE283="","",IF(VLOOKUP(AB278,'Statement of Marks'!$B$7:'Statement of Marks'!$IC$206,209,0)="D","I",IF(VLOOKUP(AB278,'Statement of Marks'!$B$7:'Statement of Marks'!$IC$206,209,0)="G1","G",IF(VLOOKUP(AB278,'Statement of Marks'!$B$7:'Statement of Marks'!$IC$206,209,0)="G2","G",VLOOKUP(AB278,'Statement of Marks'!$B$7:'Statement of Marks'!$IC$206,209,0))))),"")</f>
        <v>II</v>
      </c>
      <c r="AV286"/>
      <c r="AW286"/>
      <c r="AX286"/>
      <c r="BA286"/>
      <c r="BB286"/>
      <c r="BC286"/>
    </row>
    <row r="287" spans="1:55" s="351" customFormat="1" ht="22.5" customHeight="1">
      <c r="A287" s="33">
        <f>IF(L278="","",A286+1)</f>
        <v>17</v>
      </c>
      <c r="B287" s="1661" t="str">
        <f>'Statement of Marks'!$BP$3</f>
        <v>विज्ञान</v>
      </c>
      <c r="C287" s="1662"/>
      <c r="D287" s="26">
        <f>IFERROR(VLOOKUP(L278,'Statement of Marks'!$B$7:'Statement of Marks'!$IC$206,67,0),"")</f>
        <v>8</v>
      </c>
      <c r="E287" s="26">
        <f>IFERROR(VLOOKUP(L278,'Statement of Marks'!$B$7:'Statement of Marks'!$IC$206,68,0),"")</f>
        <v>9</v>
      </c>
      <c r="F287" s="26">
        <f>IFERROR(VLOOKUP(L278,'Statement of Marks'!$B$7:'Statement of Marks'!$IC$206,69,0),"")</f>
        <v>7</v>
      </c>
      <c r="G287" s="26">
        <f>IFERROR(VLOOKUP(L278,'Statement of Marks'!$B$7:'Statement of Marks'!$IC$206,70,0),"")</f>
        <v>24</v>
      </c>
      <c r="H287" s="26">
        <f>IFERROR(VLOOKUP(L278,'Statement of Marks'!$B$7:'Statement of Marks'!$IC$206,71,0),"")</f>
        <v>46</v>
      </c>
      <c r="I287" s="26"/>
      <c r="J287" s="347">
        <f>IF(L278="","",IF(AND(H287="",I287=""),"",SUM(H287,I287)))</f>
        <v>46</v>
      </c>
      <c r="K287" s="679">
        <f>IFERROR(IF(L278="","",IF(AND(G287="",J287=""),"",SUM(G287,J287))),"")</f>
        <v>70</v>
      </c>
      <c r="L287" s="26">
        <f>IFERROR(VLOOKUP(L278,'Statement of Marks'!$B$7:'Statement of Marks'!$IC$206,73,0),"")</f>
        <v>45</v>
      </c>
      <c r="M287" s="26"/>
      <c r="N287" s="347">
        <f>IF(L278="","",IF(AND(L287="",M287=""),"",SUM(L287,M287)))</f>
        <v>45</v>
      </c>
      <c r="O287" s="674">
        <f>IFERROR(VLOOKUP(L278,'Statement of Marks'!$B$7:'Statement of Marks'!$IC$206,74,0),"")</f>
        <v>115</v>
      </c>
      <c r="P287" s="680" t="str">
        <f>IFERROR(IF(O283="","",IF(VLOOKUP(L278,'Statement of Marks'!$B$7:'Statement of Marks'!$IC$206,212,0)="D","I",IF(VLOOKUP(L278,'Statement of Marks'!$B$7:'Statement of Marks'!$IC$206,212,0)="G1","G",IF(VLOOKUP(L278,'Statement of Marks'!$B$7:'Statement of Marks'!$IC$206,212,0)="G2","G",VLOOKUP(L278,'Statement of Marks'!$B$7:'Statement of Marks'!$IC$206,212,0))))),"")</f>
        <v>II</v>
      </c>
      <c r="Q287" s="1686"/>
      <c r="R287" s="1661" t="str">
        <f>'Statement of Marks'!$BP$3</f>
        <v>विज्ञान</v>
      </c>
      <c r="S287" s="1662"/>
      <c r="T287" s="26">
        <f>IFERROR(VLOOKUP(AB278,'Statement of Marks'!$B$7:'Statement of Marks'!$IC$206,67,0),"")</f>
        <v>8</v>
      </c>
      <c r="U287" s="26">
        <f>IFERROR(VLOOKUP(AB278,'Statement of Marks'!$B$7:'Statement of Marks'!$IC$206,68,0),"")</f>
        <v>9</v>
      </c>
      <c r="V287" s="26">
        <f>IFERROR(VLOOKUP(AB278,'Statement of Marks'!$B$7:'Statement of Marks'!$IC$206,69,0),"")</f>
        <v>7</v>
      </c>
      <c r="W287" s="26">
        <f>IFERROR(VLOOKUP(AB278,'Statement of Marks'!$B$7:'Statement of Marks'!$IC$206,70,0),"")</f>
        <v>24</v>
      </c>
      <c r="X287" s="26">
        <f>IFERROR(VLOOKUP(AB278,'Statement of Marks'!$B$7:'Statement of Marks'!$IC$206,71,0),"")</f>
        <v>46</v>
      </c>
      <c r="Y287" s="26"/>
      <c r="Z287" s="347">
        <f>IF(AB278="","",IF(AND(X287="",Y287=""),"",SUM(X287,Y287)))</f>
        <v>46</v>
      </c>
      <c r="AA287" s="679">
        <f>IFERROR(IF(AB278="","",IF(AND(W287="",Z287=""),"",SUM(W287,Z287))),"")</f>
        <v>70</v>
      </c>
      <c r="AB287" s="26">
        <f>IFERROR(VLOOKUP(AB278,'Statement of Marks'!$B$7:'Statement of Marks'!$IC$206,73,0),"")</f>
        <v>45</v>
      </c>
      <c r="AC287" s="26"/>
      <c r="AD287" s="347">
        <f>IF(AB278="","",IF(AND(AB287="",AC287=""),"",SUM(AB287,AC287)))</f>
        <v>45</v>
      </c>
      <c r="AE287" s="674">
        <f>IFERROR(VLOOKUP(AB278,'Statement of Marks'!$B$7:'Statement of Marks'!$IC$206,74,0),"")</f>
        <v>115</v>
      </c>
      <c r="AF287" s="680" t="str">
        <f>IFERROR(IF(AE283="","",IF(VLOOKUP(AB278,'Statement of Marks'!$B$7:'Statement of Marks'!$IC$206,212,0)="D","I",IF(VLOOKUP(AB278,'Statement of Marks'!$B$7:'Statement of Marks'!$IC$206,212,0)="G1","G",IF(VLOOKUP(AB278,'Statement of Marks'!$B$7:'Statement of Marks'!$IC$206,212,0)="G2","G",VLOOKUP(AB278,'Statement of Marks'!$B$7:'Statement of Marks'!$IC$206,212,0))))),"")</f>
        <v>II</v>
      </c>
      <c r="AV287"/>
      <c r="AW287"/>
      <c r="AX287"/>
      <c r="BA287"/>
      <c r="BB287"/>
      <c r="BC287"/>
    </row>
    <row r="288" spans="1:55" s="351" customFormat="1" ht="22.5" customHeight="1">
      <c r="A288" s="33">
        <f>IF(L278="","",A287+1)</f>
        <v>18</v>
      </c>
      <c r="B288" s="409" t="str">
        <f>'Statement of Marks'!$CE$3</f>
        <v>सामाजिक विज्ञान</v>
      </c>
      <c r="C288" s="412" t="str">
        <f>IF(OR(L278="",O288="",O290=""),"",IF(AND(O288&gt;=O290),"*",""))</f>
        <v/>
      </c>
      <c r="D288" s="26">
        <f>IFERROR(VLOOKUP(L278,'Statement of Marks'!$B$7:'Statement of Marks'!$IC$206,82,0),"")</f>
        <v>8</v>
      </c>
      <c r="E288" s="26">
        <f>IFERROR(VLOOKUP(L278,'Statement of Marks'!$B$7:'Statement of Marks'!$IC$206,83,0),"")</f>
        <v>8</v>
      </c>
      <c r="F288" s="26">
        <f>IFERROR(VLOOKUP(L278,'Statement of Marks'!$B$7:'Statement of Marks'!$IC$206,84,0),"")</f>
        <v>8</v>
      </c>
      <c r="G288" s="26">
        <f>IFERROR(VLOOKUP(L278,'Statement of Marks'!$B$7:'Statement of Marks'!$IC$206,85,0),"")</f>
        <v>24</v>
      </c>
      <c r="H288" s="26">
        <f>IFERROR(VLOOKUP(L278,'Statement of Marks'!$B$7:'Statement of Marks'!$IC$206,86,0),"")</f>
        <v>46</v>
      </c>
      <c r="I288" s="26"/>
      <c r="J288" s="347">
        <f>IF(L278="","",IF(AND(H288="",I288=""),"",SUM(H288,I288)))</f>
        <v>46</v>
      </c>
      <c r="K288" s="679">
        <f>IFERROR(IF(L278="","",IF(AND(G288="",J288=""),"",SUM(G288,J288))),"")</f>
        <v>70</v>
      </c>
      <c r="L288" s="26">
        <f>IFERROR(VLOOKUP(L278,'Statement of Marks'!$B$7:'Statement of Marks'!$IC$206,88,0),"")</f>
        <v>45</v>
      </c>
      <c r="M288" s="26"/>
      <c r="N288" s="347">
        <f>IF(L278="","",IF(AND(L288="",M288=""),"",SUM(L288,M288)))</f>
        <v>45</v>
      </c>
      <c r="O288" s="674">
        <f>IFERROR(VLOOKUP(L278,'Statement of Marks'!$B$7:'Statement of Marks'!$IC$206,89,0),"")</f>
        <v>115</v>
      </c>
      <c r="P288" s="680" t="str">
        <f>IFERROR(IF(O283="","",IF(VLOOKUP(L278,'Statement of Marks'!$B$7:'Statement of Marks'!$IC$206,215,0)="D","I",IF(VLOOKUP(L278,'Statement of Marks'!$B$7:'Statement of Marks'!$IC$206,215,0)="G1","G",IF(VLOOKUP(L278,'Statement of Marks'!$B$7:'Statement of Marks'!$IC$206,215,0)="G2","G",VLOOKUP(L278,'Statement of Marks'!$B$7:'Statement of Marks'!$IC$206,215,0))))),"")</f>
        <v>II</v>
      </c>
      <c r="Q288" s="1686"/>
      <c r="R288" s="409" t="str">
        <f>'Statement of Marks'!$CE$3</f>
        <v>सामाजिक विज्ञान</v>
      </c>
      <c r="S288" s="412" t="str">
        <f>IF(OR(AB278="",AE288="",AE290=""),"",IF(AND(AE288&gt;=AE290),"*",""))</f>
        <v/>
      </c>
      <c r="T288" s="26">
        <f>IFERROR(VLOOKUP(AB278,'Statement of Marks'!$B$7:'Statement of Marks'!$IC$206,82,0),"")</f>
        <v>8</v>
      </c>
      <c r="U288" s="26">
        <f>IFERROR(VLOOKUP(AB278,'Statement of Marks'!$B$7:'Statement of Marks'!$IC$206,83,0),"")</f>
        <v>8</v>
      </c>
      <c r="V288" s="26">
        <f>IFERROR(VLOOKUP(AB278,'Statement of Marks'!$B$7:'Statement of Marks'!$IC$206,84,0),"")</f>
        <v>8</v>
      </c>
      <c r="W288" s="26">
        <f>IFERROR(VLOOKUP(AB278,'Statement of Marks'!$B$7:'Statement of Marks'!$IC$206,85,0),"")</f>
        <v>24</v>
      </c>
      <c r="X288" s="26">
        <f>IFERROR(VLOOKUP(AB278,'Statement of Marks'!$B$7:'Statement of Marks'!$IC$206,86,0),"")</f>
        <v>46</v>
      </c>
      <c r="Y288" s="26"/>
      <c r="Z288" s="347">
        <f>IF(AB278="","",IF(AND(X288="",Y288=""),"",SUM(X288,Y288)))</f>
        <v>46</v>
      </c>
      <c r="AA288" s="679">
        <f>IFERROR(IF(AB278="","",IF(AND(W288="",Z288=""),"",SUM(W288,Z288))),"")</f>
        <v>70</v>
      </c>
      <c r="AB288" s="26">
        <f>IFERROR(VLOOKUP(AB278,'Statement of Marks'!$B$7:'Statement of Marks'!$IC$206,88,0),"")</f>
        <v>45</v>
      </c>
      <c r="AC288" s="26"/>
      <c r="AD288" s="347">
        <f>IF(AB278="","",IF(AND(AB288="",AC288=""),"",SUM(AB288,AC288)))</f>
        <v>45</v>
      </c>
      <c r="AE288" s="674">
        <f>IFERROR(VLOOKUP(AB278,'Statement of Marks'!$B$7:'Statement of Marks'!$IC$206,89,0),"")</f>
        <v>115</v>
      </c>
      <c r="AF288" s="680" t="str">
        <f>IFERROR(IF(AE283="","",IF(VLOOKUP(AB278,'Statement of Marks'!$B$7:'Statement of Marks'!$IC$206,215,0)="D","I",IF(VLOOKUP(AB278,'Statement of Marks'!$B$7:'Statement of Marks'!$IC$206,215,0)="G1","G",IF(VLOOKUP(AB278,'Statement of Marks'!$B$7:'Statement of Marks'!$IC$206,215,0)="G2","G",VLOOKUP(AB278,'Statement of Marks'!$B$7:'Statement of Marks'!$IC$206,215,0))))),"")</f>
        <v>II</v>
      </c>
      <c r="AV288"/>
      <c r="AW288"/>
      <c r="AX288"/>
      <c r="BA288"/>
      <c r="BB288"/>
      <c r="BC288"/>
    </row>
    <row r="289" spans="1:55" s="351" customFormat="1">
      <c r="A289" s="33">
        <f>IF(L278="","",A288+1)</f>
        <v>19</v>
      </c>
      <c r="B289" s="1663" t="str">
        <f>IF('School Profile'!$D$12="Hindi","व्यावसायिक शिक्षा","Vocational Education")</f>
        <v>व्यावसायिक शिक्षा</v>
      </c>
      <c r="C289" s="1664"/>
      <c r="D289" s="1665"/>
      <c r="E289" s="1665"/>
      <c r="F289" s="1665"/>
      <c r="G289" s="1665"/>
      <c r="H289" s="1665"/>
      <c r="I289" s="1665"/>
      <c r="J289" s="1665"/>
      <c r="K289" s="1665"/>
      <c r="L289" s="1665"/>
      <c r="M289" s="1665"/>
      <c r="N289" s="1665"/>
      <c r="O289" s="1665"/>
      <c r="P289" s="1666"/>
      <c r="Q289" s="1686"/>
      <c r="R289" s="1663" t="str">
        <f>IF('School Profile'!$D$12="Hindi","व्यावसायिक शिक्षा","Vocational Education")</f>
        <v>व्यावसायिक शिक्षा</v>
      </c>
      <c r="S289" s="1664"/>
      <c r="T289" s="1665"/>
      <c r="U289" s="1665"/>
      <c r="V289" s="1665"/>
      <c r="W289" s="1665"/>
      <c r="X289" s="1665"/>
      <c r="Y289" s="1665"/>
      <c r="Z289" s="1665"/>
      <c r="AA289" s="1665"/>
      <c r="AB289" s="1665"/>
      <c r="AC289" s="1665"/>
      <c r="AD289" s="1665"/>
      <c r="AE289" s="1665"/>
      <c r="AF289" s="1666"/>
      <c r="AV289"/>
      <c r="AW289"/>
      <c r="AX289"/>
      <c r="BA289"/>
      <c r="BB289"/>
      <c r="BC289"/>
    </row>
    <row r="290" spans="1:55" s="351" customFormat="1" ht="22.5" customHeight="1">
      <c r="A290" s="33">
        <f>IF(L278="","",A289+1)</f>
        <v>20</v>
      </c>
      <c r="B290" s="411" t="str">
        <f>IFERROR(VLOOKUP(L278,'Statement of Marks'!$B$7:'Statement of Marks'!$IC$206,96,0),"")</f>
        <v/>
      </c>
      <c r="C290" s="410" t="str">
        <f>IF(OR(L278="",O288="",O290="",B290=""),"",IF(AND(O290&gt;=O288),"*",""))</f>
        <v/>
      </c>
      <c r="D290" s="397" t="str">
        <f>IFERROR(VLOOKUP(L278,'Statement of Marks'!$B$7:'Statement of Marks'!$IC$206,97,0),"")</f>
        <v/>
      </c>
      <c r="E290" s="26" t="str">
        <f>IFERROR(VLOOKUP(L278,'Statement of Marks'!$B$7:'Statement of Marks'!$IC$206,98,0),"")</f>
        <v/>
      </c>
      <c r="F290" s="26" t="str">
        <f>IFERROR(VLOOKUP(L278,'Statement of Marks'!$B$7:'Statement of Marks'!$IC$206,99,0),"")</f>
        <v/>
      </c>
      <c r="G290" s="26" t="str">
        <f>IFERROR(VLOOKUP(L278,'Statement of Marks'!$B$7:'Statement of Marks'!$IC$206,100,0),"")</f>
        <v/>
      </c>
      <c r="H290" s="27" t="str">
        <f>IFERROR(VLOOKUP(L278,'Statement of Marks'!$B$7:'Statement of Marks'!$IC$206,101,0),"")</f>
        <v/>
      </c>
      <c r="I290" s="27" t="str">
        <f>IFERROR(VLOOKUP(L278,'Statement of Marks'!$B$7:'Statement of Marks'!$IC$206,102,0),"")</f>
        <v/>
      </c>
      <c r="J290" s="347" t="str">
        <f>IFERROR(VLOOKUP(L278,'Statement of Marks'!$B$7:'Statement of Marks'!$IC$206,103,0),"")</f>
        <v/>
      </c>
      <c r="K290" s="679" t="str">
        <f>IFERROR(IF(L278="","",IF(AND(G290="",J290=""),"",SUM(G290,J290))),"")</f>
        <v/>
      </c>
      <c r="L290" s="26" t="str">
        <f>IFERROR(VLOOKUP(L278,'Statement of Marks'!$B$7:'Statement of Marks'!$IC$206,105,0),"")</f>
        <v/>
      </c>
      <c r="M290" s="26" t="str">
        <f>IFERROR(VLOOKUP(L278,'Statement of Marks'!$B$7:'Statement of Marks'!$IC$206,106,0),"")</f>
        <v/>
      </c>
      <c r="N290" s="347" t="str">
        <f>IF(L278="","",IF(AND(L290="",M290=""),"",SUM(L290,M290)))</f>
        <v/>
      </c>
      <c r="O290" s="672" t="str">
        <f>IFERROR(VLOOKUP(L278,'Statement of Marks'!$B$7:'Statement of Marks'!$IC$206,108,0),"")</f>
        <v/>
      </c>
      <c r="P290" s="680" t="str">
        <f>IFERROR(IF(O283="","",IF(VLOOKUP(L278,'Statement of Marks'!$B$7:'Statement of Marks'!$IC$206,218,0)="D","I",IF(VLOOKUP(L278,'Statement of Marks'!$B$7:'Statement of Marks'!$IC$206,218,0)="G1","G",IF(VLOOKUP(L278,'Statement of Marks'!$B$7:'Statement of Marks'!$IC$206,218,0)="G2","G",VLOOKUP(L278,'Statement of Marks'!$B$7:'Statement of Marks'!$IC$206,218,0))))),"")</f>
        <v/>
      </c>
      <c r="Q290" s="1686"/>
      <c r="R290" s="411" t="str">
        <f>IFERROR(VLOOKUP(AB278,'Statement of Marks'!$B$7:'Statement of Marks'!$IC$206,96,0),"")</f>
        <v/>
      </c>
      <c r="S290" s="410" t="str">
        <f>IF(OR(AB278="",AE288="",AE290="",R290=""),"",IF(AND(AE290&gt;=AE288),"*",""))</f>
        <v/>
      </c>
      <c r="T290" s="397" t="str">
        <f>IFERROR(VLOOKUP(AB278,'Statement of Marks'!$B$7:'Statement of Marks'!$IC$206,97,0),"")</f>
        <v/>
      </c>
      <c r="U290" s="26" t="str">
        <f>IFERROR(VLOOKUP(AB278,'Statement of Marks'!$B$7:'Statement of Marks'!$IC$206,98,0),"")</f>
        <v/>
      </c>
      <c r="V290" s="26" t="str">
        <f>IFERROR(VLOOKUP(AB278,'Statement of Marks'!$B$7:'Statement of Marks'!$IC$206,99,0),"")</f>
        <v/>
      </c>
      <c r="W290" s="26" t="str">
        <f>IFERROR(VLOOKUP(AB278,'Statement of Marks'!$B$7:'Statement of Marks'!$IC$206,100,0),"")</f>
        <v/>
      </c>
      <c r="X290" s="27" t="str">
        <f>IFERROR(VLOOKUP(AB278,'Statement of Marks'!$B$7:'Statement of Marks'!$IC$206,101,0),"")</f>
        <v/>
      </c>
      <c r="Y290" s="27" t="str">
        <f>IFERROR(VLOOKUP(AB278,'Statement of Marks'!$B$7:'Statement of Marks'!$IC$206,102,0),"")</f>
        <v/>
      </c>
      <c r="Z290" s="347" t="str">
        <f>IFERROR(VLOOKUP(AB278,'Statement of Marks'!$B$7:'Statement of Marks'!$IC$206,103,0),"")</f>
        <v/>
      </c>
      <c r="AA290" s="679" t="str">
        <f>IFERROR(IF(AB278="","",IF(AND(W290="",Z290=""),"",SUM(W290,Z290))),"")</f>
        <v/>
      </c>
      <c r="AB290" s="26" t="str">
        <f>IFERROR(VLOOKUP(AB278,'Statement of Marks'!$B$7:'Statement of Marks'!$IC$206,105,0),"")</f>
        <v/>
      </c>
      <c r="AC290" s="26" t="str">
        <f>IFERROR(VLOOKUP(AB278,'Statement of Marks'!$B$7:'Statement of Marks'!$IC$206,106,0),"")</f>
        <v/>
      </c>
      <c r="AD290" s="347" t="str">
        <f>IF(AB278="","",IF(AND(AB290="",AC290=""),"",SUM(AB290,AC290)))</f>
        <v/>
      </c>
      <c r="AE290" s="672" t="str">
        <f>IFERROR(VLOOKUP(AB278,'Statement of Marks'!$B$7:'Statement of Marks'!$IC$206,108,0),"")</f>
        <v/>
      </c>
      <c r="AF290" s="680" t="str">
        <f>IFERROR(IF(AE283="","",IF(VLOOKUP(AB278,'Statement of Marks'!$B$7:'Statement of Marks'!$IC$206,218,0)="D","I",IF(VLOOKUP(AB278,'Statement of Marks'!$B$7:'Statement of Marks'!$IC$206,218,0)="G1","G",IF(VLOOKUP(AB278,'Statement of Marks'!$B$7:'Statement of Marks'!$IC$206,218,0)="G2","G",VLOOKUP(AB278,'Statement of Marks'!$B$7:'Statement of Marks'!$IC$206,218,0))))),"")</f>
        <v/>
      </c>
      <c r="AV290"/>
      <c r="AW290"/>
      <c r="AX290"/>
      <c r="BA290"/>
      <c r="BB290"/>
      <c r="BC290"/>
    </row>
    <row r="291" spans="1:55" s="351" customFormat="1" ht="25.5" customHeight="1">
      <c r="A291" s="33">
        <f>IF(L278="","",A290+1)</f>
        <v>21</v>
      </c>
      <c r="B291" s="1667"/>
      <c r="C291" s="1668"/>
      <c r="D291" s="1669"/>
      <c r="E291" s="1669"/>
      <c r="F291" s="1669"/>
      <c r="G291" s="1669"/>
      <c r="H291" s="1669"/>
      <c r="I291" s="1669"/>
      <c r="J291" s="1669"/>
      <c r="K291" s="1669"/>
      <c r="L291" s="1670" t="str">
        <f>IF('School Profile'!$D$12="Hindi","महायोग :","Grand Total :")</f>
        <v>महायोग :</v>
      </c>
      <c r="M291" s="1671"/>
      <c r="N291" s="1671"/>
      <c r="O291" s="1672">
        <f>IF(OR(L278="",C276=""),"",IF(OR(B290="",O290=""),SUM(O283,O284,O285,O286,O287,O288),IF((O288/O282*100)&gt;=(O290/O282*100),SUM(O283:O288),SUM(O283,O284,O285,O286,O287,O290))))</f>
        <v>768</v>
      </c>
      <c r="P291" s="1673"/>
      <c r="Q291" s="1686"/>
      <c r="R291" s="1667"/>
      <c r="S291" s="1668"/>
      <c r="T291" s="1669"/>
      <c r="U291" s="1669"/>
      <c r="V291" s="1669"/>
      <c r="W291" s="1669"/>
      <c r="X291" s="1669"/>
      <c r="Y291" s="1669"/>
      <c r="Z291" s="1669"/>
      <c r="AA291" s="1669"/>
      <c r="AB291" s="1670" t="str">
        <f>IF('School Profile'!$D$12="Hindi","महायोग :","Grand Total :")</f>
        <v>महायोग :</v>
      </c>
      <c r="AC291" s="1671"/>
      <c r="AD291" s="1671"/>
      <c r="AE291" s="1672">
        <f>IF(OR(AB278="",S276=""),"",IF(OR(R290="",AE290=""),SUM(AE283,AE284,AE285,AE286,AE287,AE288),IF((AE288/AE282*100)&gt;=(AE290/AE282*100),SUM(AE283:AE288),SUM(AE283,AE284,AE285,AE286,AE287,AE290))))</f>
        <v>768</v>
      </c>
      <c r="AF291" s="1673"/>
      <c r="AV291"/>
      <c r="AW291"/>
      <c r="AX291"/>
      <c r="BA291"/>
      <c r="BB291"/>
      <c r="BC291"/>
    </row>
    <row r="292" spans="1:55" s="351" customFormat="1" ht="25.5" customHeight="1">
      <c r="A292" s="33">
        <f>IF(L278="","",A291+1)</f>
        <v>22</v>
      </c>
      <c r="B292" s="1647" t="str">
        <f>'Statement of Marks'!$DZ$208</f>
        <v>राजस्थान का स्वंत्रता आन्दोलन व शोर्य परम्परा</v>
      </c>
      <c r="C292" s="1648"/>
      <c r="D292" s="1649" t="s">
        <v>148</v>
      </c>
      <c r="E292" s="1650"/>
      <c r="F292" s="355" t="str">
        <f>IFERROR(VLOOKUP(L278,'Statement of Marks'!$B$7:'Statement of Marks'!$IC$206,136,0),"")</f>
        <v/>
      </c>
      <c r="G292" s="356" t="s">
        <v>134</v>
      </c>
      <c r="H292" s="355" t="str">
        <f>IFERROR(VLOOKUP(L278,'Statement of Marks'!$B$7:'Statement of Marks'!$IC$206,137,0),"")</f>
        <v/>
      </c>
      <c r="I292" s="1651" t="str">
        <f>'Statement of Marks'!$EL$208</f>
        <v>सूचना प्रोद्योगिकी की अवधारणा - I</v>
      </c>
      <c r="J292" s="1652"/>
      <c r="K292" s="1652"/>
      <c r="L292" s="1653"/>
      <c r="M292" s="354" t="s">
        <v>148</v>
      </c>
      <c r="N292" s="355" t="str">
        <f>IFERROR(VLOOKUP(L278,'Statement of Marks'!$B$7:'Statement of Marks'!$IC$206,152,0),"")</f>
        <v/>
      </c>
      <c r="O292" s="356" t="s">
        <v>134</v>
      </c>
      <c r="P292" s="355" t="str">
        <f>IFERROR(VLOOKUP(L278,'Statement of Marks'!$B$7:'Statement of Marks'!$IC$206,153,0),"")</f>
        <v/>
      </c>
      <c r="Q292" s="1686"/>
      <c r="R292" s="1647" t="str">
        <f>'Statement of Marks'!$DZ$208</f>
        <v>राजस्थान का स्वंत्रता आन्दोलन व शोर्य परम्परा</v>
      </c>
      <c r="S292" s="1648"/>
      <c r="T292" s="1649" t="s">
        <v>148</v>
      </c>
      <c r="U292" s="1650"/>
      <c r="V292" s="355" t="str">
        <f>IFERROR(VLOOKUP(AB278,'Statement of Marks'!$B$7:'Statement of Marks'!$IC$206,136,0),"")</f>
        <v/>
      </c>
      <c r="W292" s="356" t="s">
        <v>134</v>
      </c>
      <c r="X292" s="355" t="str">
        <f>IFERROR(VLOOKUP(AB278,'Statement of Marks'!$B$7:'Statement of Marks'!$IC$206,137,0),"")</f>
        <v/>
      </c>
      <c r="Y292" s="1651" t="str">
        <f>'Statement of Marks'!$EL$208</f>
        <v>सूचना प्रोद्योगिकी की अवधारणा - I</v>
      </c>
      <c r="Z292" s="1652"/>
      <c r="AA292" s="1652"/>
      <c r="AB292" s="1653"/>
      <c r="AC292" s="354" t="s">
        <v>148</v>
      </c>
      <c r="AD292" s="355" t="str">
        <f>IFERROR(VLOOKUP(AB278,'Statement of Marks'!$B$7:'Statement of Marks'!$IC$206,152,0),"")</f>
        <v/>
      </c>
      <c r="AE292" s="356" t="s">
        <v>134</v>
      </c>
      <c r="AF292" s="355" t="str">
        <f>IFERROR(VLOOKUP(AB278,'Statement of Marks'!$B$7:'Statement of Marks'!$IC$206,153,0),"")</f>
        <v/>
      </c>
      <c r="AV292"/>
      <c r="AW292"/>
      <c r="AX292"/>
      <c r="BA292"/>
      <c r="BB292"/>
      <c r="BC292"/>
    </row>
    <row r="293" spans="1:55" s="351" customFormat="1" ht="25.5" customHeight="1">
      <c r="A293" s="33">
        <f>IF(L278="","",A292+1)</f>
        <v>23</v>
      </c>
      <c r="B293" s="1654" t="str">
        <f>'Statement of Marks'!$FB$208</f>
        <v>स्वा. एवं शा. शिक्षा</v>
      </c>
      <c r="C293" s="1655"/>
      <c r="D293" s="1656" t="s">
        <v>148</v>
      </c>
      <c r="E293" s="1657"/>
      <c r="F293" s="355" t="str">
        <f>IFERROR(VLOOKUP(L278,'Statement of Marks'!$B$7:'Statement of Marks'!$IC$206,171,0),"")</f>
        <v/>
      </c>
      <c r="G293" s="356" t="s">
        <v>134</v>
      </c>
      <c r="H293" s="355" t="str">
        <f>IFERROR(VLOOKUP(L278,'Statement of Marks'!$B$7:'Statement of Marks'!$IC$206,172,0),"")</f>
        <v/>
      </c>
      <c r="I293" s="1658" t="str">
        <f>'Statement of Marks'!$FJ$208</f>
        <v>समाजोपयोगी उत्पादन कार्य एवं समाज सेवा</v>
      </c>
      <c r="J293" s="1659"/>
      <c r="K293" s="1659"/>
      <c r="L293" s="1660"/>
      <c r="M293" s="403" t="s">
        <v>148</v>
      </c>
      <c r="N293" s="404" t="str">
        <f>IFERROR(VLOOKUP(L278,'Statement of Marks'!$B$7:'Statement of Marks'!$IC$206,179,0),"")</f>
        <v/>
      </c>
      <c r="O293" s="405" t="s">
        <v>134</v>
      </c>
      <c r="P293" s="404" t="str">
        <f>IFERROR(VLOOKUP(L278,'Statement of Marks'!$B$7:'Statement of Marks'!$IC$206,180,0),"")</f>
        <v/>
      </c>
      <c r="Q293" s="1686"/>
      <c r="R293" s="1654" t="str">
        <f>'Statement of Marks'!$FB$208</f>
        <v>स्वा. एवं शा. शिक्षा</v>
      </c>
      <c r="S293" s="1655"/>
      <c r="T293" s="1656" t="s">
        <v>148</v>
      </c>
      <c r="U293" s="1657"/>
      <c r="V293" s="355" t="str">
        <f>IFERROR(VLOOKUP(AB278,'Statement of Marks'!$B$7:'Statement of Marks'!$IC$206,171,0),"")</f>
        <v/>
      </c>
      <c r="W293" s="356" t="s">
        <v>134</v>
      </c>
      <c r="X293" s="355" t="str">
        <f>IFERROR(VLOOKUP(AB278,'Statement of Marks'!$B$7:'Statement of Marks'!$IC$206,172,0),"")</f>
        <v/>
      </c>
      <c r="Y293" s="1658" t="str">
        <f>'Statement of Marks'!$FJ$208</f>
        <v>समाजोपयोगी उत्पादन कार्य एवं समाज सेवा</v>
      </c>
      <c r="Z293" s="1659"/>
      <c r="AA293" s="1659"/>
      <c r="AB293" s="1660"/>
      <c r="AC293" s="403" t="s">
        <v>148</v>
      </c>
      <c r="AD293" s="404" t="str">
        <f>IFERROR(VLOOKUP(AB278,'Statement of Marks'!$B$7:'Statement of Marks'!$IC$206,179,0),"")</f>
        <v/>
      </c>
      <c r="AE293" s="405" t="s">
        <v>134</v>
      </c>
      <c r="AF293" s="404" t="str">
        <f>IFERROR(VLOOKUP(AB278,'Statement of Marks'!$B$7:'Statement of Marks'!$IC$206,180,0),"")</f>
        <v/>
      </c>
      <c r="AV293"/>
      <c r="AW293"/>
      <c r="AX293"/>
      <c r="BA293"/>
      <c r="BB293"/>
      <c r="BC293"/>
    </row>
    <row r="294" spans="1:55" s="351" customFormat="1" ht="30" customHeight="1">
      <c r="A294" s="33">
        <f>IF(L278="","",A293+1)</f>
        <v>24</v>
      </c>
      <c r="B294" s="1626" t="str">
        <f>'Statement of Marks'!$FU$208</f>
        <v>कला शिक्षा</v>
      </c>
      <c r="C294" s="1627"/>
      <c r="D294" s="1628" t="s">
        <v>148</v>
      </c>
      <c r="E294" s="1629"/>
      <c r="F294" s="404" t="str">
        <f>IFERROR(VLOOKUP(L278,'Statement of Marks'!$B$7:'Statement of Marks'!$IC$206,187,0),"")</f>
        <v/>
      </c>
      <c r="G294" s="405" t="s">
        <v>134</v>
      </c>
      <c r="H294" s="355" t="str">
        <f>IFERROR(VLOOKUP(L278,'Statement of Marks'!$B$7:'Statement of Marks'!$IC$206,188,0),"")</f>
        <v/>
      </c>
      <c r="I294" s="1630" t="str">
        <f>IF('School Profile'!$D$12="Hindi","परीक्षा परिणाम घोषित दिनांक :-","Date of Result declaration :-")</f>
        <v>परीक्षा परिणाम घोषित दिनांक :-</v>
      </c>
      <c r="J294" s="1631"/>
      <c r="K294" s="1631"/>
      <c r="L294" s="1632"/>
      <c r="M294" s="1633">
        <f>IF(AND(L278=""),"",IF('School Profile'!$D$11="","",'School Profile'!$D$11))</f>
        <v>46106</v>
      </c>
      <c r="N294" s="1634"/>
      <c r="O294" s="690" t="str">
        <f>IF('School Profile'!$D$12="Hindi","श्रेणी","Division")</f>
        <v>श्रेणी</v>
      </c>
      <c r="P294" s="407" t="str">
        <f>IFERROR(VLOOKUP(L278,'Statement of Marks'!$B$7:'Statement of Marks'!$IC$206,229,0),"")</f>
        <v>1st</v>
      </c>
      <c r="Q294" s="1686"/>
      <c r="R294" s="1626" t="str">
        <f>'Statement of Marks'!$FU$208</f>
        <v>कला शिक्षा</v>
      </c>
      <c r="S294" s="1627"/>
      <c r="T294" s="1628" t="s">
        <v>148</v>
      </c>
      <c r="U294" s="1629"/>
      <c r="V294" s="404" t="str">
        <f>IFERROR(VLOOKUP(AB278,'Statement of Marks'!$B$7:'Statement of Marks'!$IC$206,187,0),"")</f>
        <v/>
      </c>
      <c r="W294" s="405" t="s">
        <v>134</v>
      </c>
      <c r="X294" s="355" t="str">
        <f>IFERROR(VLOOKUP(AB278,'Statement of Marks'!$B$7:'Statement of Marks'!$IC$206,188,0),"")</f>
        <v/>
      </c>
      <c r="Y294" s="1630" t="str">
        <f>IF('School Profile'!$D$12="Hindi","परीक्षा परिणाम घोषित दिनांक :-","Date of Result declaration :-")</f>
        <v>परीक्षा परिणाम घोषित दिनांक :-</v>
      </c>
      <c r="Z294" s="1631"/>
      <c r="AA294" s="1631"/>
      <c r="AB294" s="1632"/>
      <c r="AC294" s="1633">
        <f>IF(AND(AB278=""),"",IF('School Profile'!$D$11="","",'School Profile'!$D$11))</f>
        <v>46106</v>
      </c>
      <c r="AD294" s="1634"/>
      <c r="AE294" s="690" t="str">
        <f>IF('School Profile'!$D$12="Hindi","श्रेणी","Division")</f>
        <v>श्रेणी</v>
      </c>
      <c r="AF294" s="407" t="str">
        <f>IFERROR(VLOOKUP(AB278,'Statement of Marks'!$B$7:'Statement of Marks'!$IC$206,229,0),"")</f>
        <v>1st</v>
      </c>
      <c r="AV294"/>
      <c r="AW294"/>
      <c r="AX294"/>
      <c r="BA294"/>
      <c r="BB294"/>
      <c r="BC294"/>
    </row>
    <row r="295" spans="1:55" s="351" customFormat="1" ht="29.25" customHeight="1">
      <c r="A295" s="33">
        <f>IF(L278="","",A294+1)</f>
        <v>25</v>
      </c>
      <c r="B295" s="1635" t="s">
        <v>143</v>
      </c>
      <c r="C295" s="1636"/>
      <c r="D295" s="1637" t="str">
        <f>IFERROR(VLOOKUP(L278,'Statement of Marks'!$B$7:'Statement of Marks'!$IC$206,192,0),"")</f>
        <v/>
      </c>
      <c r="E295" s="1638"/>
      <c r="F295" s="1639" t="s">
        <v>76</v>
      </c>
      <c r="G295" s="1640"/>
      <c r="H295" s="406" t="str">
        <f>IFERROR(VLOOKUP(L278,'Statement of Marks'!$B$7:'Statement of Marks'!$IC$206,193,0),"")</f>
        <v/>
      </c>
      <c r="I295" s="1641" t="s">
        <v>135</v>
      </c>
      <c r="J295" s="1642"/>
      <c r="K295" s="1643">
        <f>IFERROR(IF(OR(O291="",L278=""),"",VLOOKUP(L278,'Statement of Marks'!$B$7:'Statement of Marks'!$IC$206,230,0)),"")</f>
        <v>64</v>
      </c>
      <c r="L295" s="1644"/>
      <c r="M295" s="1645" t="s">
        <v>144</v>
      </c>
      <c r="N295" s="1646"/>
      <c r="O295" s="1646"/>
      <c r="P295" s="408">
        <f>IFERROR(VLOOKUP(L278,'Statement of Marks'!$B$7:'Statement of Marks'!$IC$206,231,0),"")</f>
        <v>6.9999999999999263</v>
      </c>
      <c r="Q295" s="1686"/>
      <c r="R295" s="1635" t="s">
        <v>143</v>
      </c>
      <c r="S295" s="1636"/>
      <c r="T295" s="1637" t="str">
        <f>IFERROR(VLOOKUP(AB278,'Statement of Marks'!$B$7:'Statement of Marks'!$IC$206,192,0),"")</f>
        <v/>
      </c>
      <c r="U295" s="1638"/>
      <c r="V295" s="1639" t="s">
        <v>76</v>
      </c>
      <c r="W295" s="1640"/>
      <c r="X295" s="406" t="str">
        <f>IFERROR(VLOOKUP(AB278,'Statement of Marks'!$B$7:'Statement of Marks'!$IC$206,193,0),"")</f>
        <v/>
      </c>
      <c r="Y295" s="1641" t="s">
        <v>135</v>
      </c>
      <c r="Z295" s="1642"/>
      <c r="AA295" s="1643">
        <f>IFERROR(IF(OR(AE291="",AB278=""),"",VLOOKUP(AB278,'Statement of Marks'!$B$7:'Statement of Marks'!$IC$206,230,0)),"")</f>
        <v>64</v>
      </c>
      <c r="AB295" s="1644"/>
      <c r="AC295" s="1645" t="s">
        <v>144</v>
      </c>
      <c r="AD295" s="1646"/>
      <c r="AE295" s="1646"/>
      <c r="AF295" s="408">
        <f>IFERROR(VLOOKUP(AB278,'Statement of Marks'!$B$7:'Statement of Marks'!$IC$206,231,0),"")</f>
        <v>6.9999999999999263</v>
      </c>
      <c r="AV295"/>
      <c r="AW295"/>
      <c r="AX295"/>
      <c r="BA295"/>
      <c r="BB295"/>
      <c r="BC295"/>
    </row>
    <row r="296" spans="1:55" s="351" customFormat="1" ht="27.75" customHeight="1">
      <c r="A296" s="33">
        <f>IF(L278="","",A295+1)</f>
        <v>26</v>
      </c>
      <c r="B296" s="1616" t="str">
        <f>IF('School Profile'!$D$12="Hindi","मुख्य परीक्षा परिणाम ","Main Exam Result")</f>
        <v xml:space="preserve">मुख्य परीक्षा परिणाम </v>
      </c>
      <c r="C296" s="1616"/>
      <c r="D296" s="1617"/>
      <c r="E296" s="1617"/>
      <c r="F296" s="1617"/>
      <c r="G296" s="1617" t="str">
        <f>IF('School Profile'!$D$12="Hindi","विशेष योग्यता प्राप्त विषय","Subjects Of Dictation Marks")</f>
        <v>विशेष योग्यता प्राप्त विषय</v>
      </c>
      <c r="H296" s="1617"/>
      <c r="I296" s="1617"/>
      <c r="J296" s="1617"/>
      <c r="K296" s="1617"/>
      <c r="L296" s="1618" t="str">
        <f>IF('School Profile'!$D$12="Hindi","पूरक विषय","Supplementary Subject")</f>
        <v>पूरक विषय</v>
      </c>
      <c r="M296" s="1619"/>
      <c r="N296" s="1619"/>
      <c r="O296" s="1619"/>
      <c r="P296" s="1620"/>
      <c r="Q296" s="1686"/>
      <c r="R296" s="1616" t="str">
        <f>IF('School Profile'!$D$12="Hindi","मुख्य परीक्षा परिणाम ","Main Exam Result")</f>
        <v xml:space="preserve">मुख्य परीक्षा परिणाम </v>
      </c>
      <c r="S296" s="1616"/>
      <c r="T296" s="1617"/>
      <c r="U296" s="1617"/>
      <c r="V296" s="1617"/>
      <c r="W296" s="1617" t="str">
        <f>IF('School Profile'!$D$12="Hindi","विशेष योग्यता प्राप्त विषय","Subjects Of Dictation Marks")</f>
        <v>विशेष योग्यता प्राप्त विषय</v>
      </c>
      <c r="X296" s="1617"/>
      <c r="Y296" s="1617"/>
      <c r="Z296" s="1617"/>
      <c r="AA296" s="1617"/>
      <c r="AB296" s="1618" t="str">
        <f>IF('School Profile'!$D$12="Hindi","पूरक विषय","Supplementary Subject")</f>
        <v>पूरक विषय</v>
      </c>
      <c r="AC296" s="1619"/>
      <c r="AD296" s="1619"/>
      <c r="AE296" s="1619"/>
      <c r="AF296" s="1620"/>
      <c r="AV296"/>
      <c r="AW296"/>
      <c r="AX296"/>
      <c r="BA296"/>
      <c r="BB296"/>
      <c r="BC296"/>
    </row>
    <row r="297" spans="1:55" s="351" customFormat="1" ht="42.75" customHeight="1">
      <c r="A297" s="33">
        <f>IF(L278="","",A296+1)</f>
        <v>27</v>
      </c>
      <c r="B297" s="1621" t="str">
        <f>IFERROR(IF(VLOOKUP(L278,'Statement of Marks'!$B$7:'Statement of Marks'!$IC$206,226,0)="By Grace Pass","By Grace Pass and Promoted to Class 10th",IF(VLOOKUP(L278,'Statement of Marks'!$B$7:'Statement of Marks'!$IC$206,226,0)="PASS","PASS  and Promoted to Class 10th",IF(VLOOKUP(L278,'Statement of Marks'!$B$7:'Statement of Marks'!$IC$206,226,0)="SUPPLEMENTARY","Supplementary",IF(VLOOKUP(L278,'Statement of Marks'!$B$7:'Statement of Marks'!$IC$206,226,0)="Re-Exam","RE-EXAM",IF(VLOOKUP(L278,'Statement of Marks'!$B$7:'Statement of Marks'!$IC$206,226,0)="FAIL","FAIL",""))))),"")</f>
        <v>PASS  and Promoted to Class 10th</v>
      </c>
      <c r="C297" s="1621"/>
      <c r="D297" s="1621"/>
      <c r="E297" s="1621"/>
      <c r="F297" s="1621"/>
      <c r="G297" s="1622" t="str">
        <f>IFERROR(VLOOKUP(L278,'Statement of Marks'!$B$7:'Statement of Marks'!$IC$206,225,0),"")</f>
        <v xml:space="preserve"> अंग्रेजी     </v>
      </c>
      <c r="H297" s="1622"/>
      <c r="I297" s="1622"/>
      <c r="J297" s="1622"/>
      <c r="K297" s="1622"/>
      <c r="L297" s="1623" t="str">
        <f>IFERROR(VLOOKUP(L278,'Statement of Marks'!$B$7:'Statement of Marks'!$IC$206,222,0),"")</f>
        <v xml:space="preserve">      </v>
      </c>
      <c r="M297" s="1624"/>
      <c r="N297" s="1624"/>
      <c r="O297" s="1624"/>
      <c r="P297" s="1625"/>
      <c r="Q297" s="1686"/>
      <c r="R297" s="1621" t="str">
        <f>IFERROR(IF(VLOOKUP(AB278,'Statement of Marks'!$B$7:'Statement of Marks'!$IC$206,226,0)="By Grace Pass","By Grace Pass and Promoted to Class 10th",IF(VLOOKUP(AB278,'Statement of Marks'!$B$7:'Statement of Marks'!$IC$206,226,0)="PASS","PASS  and Promoted to Class 10th",IF(VLOOKUP(AB278,'Statement of Marks'!$B$7:'Statement of Marks'!$IC$206,226,0)="SUPPLEMENTARY","Supplementary",IF(VLOOKUP(AB278,'Statement of Marks'!$B$7:'Statement of Marks'!$IC$206,226,0)="Re-Exam","RE-EXAM",IF(VLOOKUP(AB278,'Statement of Marks'!$B$7:'Statement of Marks'!$IC$206,226,0)="FAIL","FAIL",""))))),"")</f>
        <v>PASS  and Promoted to Class 10th</v>
      </c>
      <c r="S297" s="1621"/>
      <c r="T297" s="1621"/>
      <c r="U297" s="1621"/>
      <c r="V297" s="1621"/>
      <c r="W297" s="1622" t="str">
        <f>IFERROR(VLOOKUP(AB278,'Statement of Marks'!$B$7:'Statement of Marks'!$IC$206,225,0),"")</f>
        <v xml:space="preserve"> अंग्रेजी     </v>
      </c>
      <c r="X297" s="1622"/>
      <c r="Y297" s="1622"/>
      <c r="Z297" s="1622"/>
      <c r="AA297" s="1622"/>
      <c r="AB297" s="1623" t="str">
        <f>IFERROR(VLOOKUP(AB278,'Statement of Marks'!$B$7:'Statement of Marks'!$IC$206,222,0),"")</f>
        <v xml:space="preserve">      </v>
      </c>
      <c r="AC297" s="1624"/>
      <c r="AD297" s="1624"/>
      <c r="AE297" s="1624"/>
      <c r="AF297" s="1625"/>
      <c r="AV297"/>
      <c r="AW297"/>
      <c r="AX297"/>
      <c r="BA297"/>
      <c r="BB297"/>
      <c r="BC297"/>
    </row>
    <row r="298" spans="1:55" s="351" customFormat="1" ht="52.5" customHeight="1">
      <c r="A298" s="33">
        <f>IF(L278="","",A297+1)</f>
        <v>28</v>
      </c>
      <c r="B298" s="1612" t="str">
        <f>IF(AND(L278=""),"",CONCATENATE("(",'School Profile'!$D$18," )"))</f>
        <v>(Yogesh )</v>
      </c>
      <c r="C298" s="1612"/>
      <c r="D298" s="1612"/>
      <c r="E298" s="1612"/>
      <c r="F298" s="1612"/>
      <c r="G298" s="1613" t="str">
        <f>IF(AND(L278=""),"",CONCATENATE("( ",'School Profile'!$D$15," )"))</f>
        <v>( Heeralal Jat )</v>
      </c>
      <c r="H298" s="1613"/>
      <c r="I298" s="1613"/>
      <c r="J298" s="1613"/>
      <c r="K298" s="1614" t="str">
        <f>IF(AND(L278=""),"",CONCATENATE("( ",'School Profile'!$D$14," )"))</f>
        <v>( Dewanand )</v>
      </c>
      <c r="L298" s="1614"/>
      <c r="M298" s="1614"/>
      <c r="N298" s="1614"/>
      <c r="O298" s="1614"/>
      <c r="P298" s="1614"/>
      <c r="Q298" s="1686"/>
      <c r="R298" s="1612" t="str">
        <f>IF(AND(AB278=""),"",CONCATENATE("(",'School Profile'!$D$18," )"))</f>
        <v>(Yogesh )</v>
      </c>
      <c r="S298" s="1612"/>
      <c r="T298" s="1612"/>
      <c r="U298" s="1612"/>
      <c r="V298" s="1612"/>
      <c r="W298" s="1613" t="str">
        <f>IF(AND(AB278=""),"",CONCATENATE("( ",'School Profile'!$D$15," )"))</f>
        <v>( Heeralal Jat )</v>
      </c>
      <c r="X298" s="1613"/>
      <c r="Y298" s="1613"/>
      <c r="Z298" s="1613"/>
      <c r="AA298" s="1614" t="str">
        <f>IF(AND(AB278=""),"",CONCATENATE("( ",'School Profile'!$D$14," )"))</f>
        <v>( Dewanand )</v>
      </c>
      <c r="AB298" s="1614"/>
      <c r="AC298" s="1614"/>
      <c r="AD298" s="1614"/>
      <c r="AE298" s="1614"/>
      <c r="AF298" s="1614"/>
      <c r="AV298"/>
      <c r="AW298"/>
      <c r="AX298"/>
      <c r="BA298"/>
      <c r="BB298"/>
      <c r="BC298"/>
    </row>
    <row r="299" spans="1:55" s="351" customFormat="1" ht="24.75" customHeight="1">
      <c r="A299" s="33">
        <f>IF(L278="","",A298+1)</f>
        <v>29</v>
      </c>
      <c r="B299" s="1615" t="str">
        <f>IF('School Profile'!$D$12="Hindi","हस्ताक्षर कक्षाध्यापक","Signature of the class teacher")</f>
        <v>हस्ताक्षर कक्षाध्यापक</v>
      </c>
      <c r="C299" s="1615"/>
      <c r="D299" s="1615"/>
      <c r="E299" s="1615"/>
      <c r="F299" s="1615"/>
      <c r="G299" s="1615" t="str">
        <f>IF('School Profile'!$D$12="Hindi","हस्ताक्षर परीक्षा प्रभारी","Signature of the exam. Incharge")</f>
        <v>हस्ताक्षर परीक्षा प्रभारी</v>
      </c>
      <c r="H299" s="1615"/>
      <c r="I299" s="1615"/>
      <c r="J299" s="1615"/>
      <c r="K299" s="1615" t="str">
        <f>IF('School Profile'!$D$12="Hindi","हस्ताक्षर मय सील मोहर संस्था प्रधान","Signature &amp; Seal of the Head of the Institution")</f>
        <v>हस्ताक्षर मय सील मोहर संस्था प्रधान</v>
      </c>
      <c r="L299" s="1615"/>
      <c r="M299" s="1615"/>
      <c r="N299" s="1615"/>
      <c r="O299" s="1615"/>
      <c r="P299" s="1615"/>
      <c r="Q299" s="1686"/>
      <c r="R299" s="1615" t="str">
        <f>IF('School Profile'!$D$12="Hindi","हस्ताक्षर कक्षाध्यापक","Signature of the class teacher")</f>
        <v>हस्ताक्षर कक्षाध्यापक</v>
      </c>
      <c r="S299" s="1615"/>
      <c r="T299" s="1615"/>
      <c r="U299" s="1615"/>
      <c r="V299" s="1615"/>
      <c r="W299" s="1615" t="str">
        <f>IF('School Profile'!$D$12="Hindi","हस्ताक्षर परीक्षा प्रभारी","Signature of the exam. Incharge")</f>
        <v>हस्ताक्षर परीक्षा प्रभारी</v>
      </c>
      <c r="X299" s="1615"/>
      <c r="Y299" s="1615"/>
      <c r="Z299" s="1615"/>
      <c r="AA299" s="1615" t="str">
        <f>IF('School Profile'!$D$12="Hindi","हस्ताक्षर मय सील मोहर संस्था प्रधान","Signature &amp; Seal of the Head of the Institution")</f>
        <v>हस्ताक्षर मय सील मोहर संस्था प्रधान</v>
      </c>
      <c r="AB299" s="1615"/>
      <c r="AC299" s="1615"/>
      <c r="AD299" s="1615"/>
      <c r="AE299" s="1615"/>
      <c r="AF299" s="1615"/>
      <c r="AV299"/>
      <c r="AW299"/>
      <c r="AX299"/>
      <c r="BA299"/>
      <c r="BB299"/>
      <c r="BC299"/>
    </row>
  </sheetData>
  <sheetProtection password="B18A" sheet="1" objects="1" scenarios="1" formatCells="0" formatColumns="0" formatRows="0"/>
  <mergeCells count="1232">
    <mergeCell ref="C5:D5"/>
    <mergeCell ref="S5:T5"/>
    <mergeCell ref="C35:D35"/>
    <mergeCell ref="S35:T35"/>
    <mergeCell ref="C65:D65"/>
    <mergeCell ref="S65:T65"/>
    <mergeCell ref="C95:D95"/>
    <mergeCell ref="S95:T95"/>
    <mergeCell ref="C125:D125"/>
    <mergeCell ref="S125:T125"/>
    <mergeCell ref="C155:D155"/>
    <mergeCell ref="S155:T155"/>
    <mergeCell ref="C185:D185"/>
    <mergeCell ref="S185:T185"/>
    <mergeCell ref="C215:D215"/>
    <mergeCell ref="S215:T215"/>
    <mergeCell ref="C245:D245"/>
    <mergeCell ref="S245:T245"/>
    <mergeCell ref="B207:F207"/>
    <mergeCell ref="G207:K207"/>
    <mergeCell ref="L207:P207"/>
    <mergeCell ref="R207:V207"/>
    <mergeCell ref="B193:C193"/>
    <mergeCell ref="R193:S193"/>
    <mergeCell ref="B194:C194"/>
    <mergeCell ref="R194:S194"/>
    <mergeCell ref="B195:C195"/>
    <mergeCell ref="R195:S195"/>
    <mergeCell ref="B196:C196"/>
    <mergeCell ref="R196:S196"/>
    <mergeCell ref="B197:C197"/>
    <mergeCell ref="R197:S197"/>
    <mergeCell ref="W207:AA207"/>
    <mergeCell ref="AB207:AF207"/>
    <mergeCell ref="B208:F208"/>
    <mergeCell ref="G208:J208"/>
    <mergeCell ref="K208:P208"/>
    <mergeCell ref="R208:V208"/>
    <mergeCell ref="W208:Z208"/>
    <mergeCell ref="AA208:AF208"/>
    <mergeCell ref="B209:F209"/>
    <mergeCell ref="G209:J209"/>
    <mergeCell ref="K209:P209"/>
    <mergeCell ref="R209:V209"/>
    <mergeCell ref="W209:Z209"/>
    <mergeCell ref="AA209:AF209"/>
    <mergeCell ref="AC204:AD204"/>
    <mergeCell ref="B205:C205"/>
    <mergeCell ref="D205:E205"/>
    <mergeCell ref="F205:G205"/>
    <mergeCell ref="I205:J205"/>
    <mergeCell ref="K205:L205"/>
    <mergeCell ref="M205:O205"/>
    <mergeCell ref="R205:S205"/>
    <mergeCell ref="T205:U205"/>
    <mergeCell ref="V205:W205"/>
    <mergeCell ref="Y205:Z205"/>
    <mergeCell ref="AA205:AB205"/>
    <mergeCell ref="AC205:AE205"/>
    <mergeCell ref="B206:F206"/>
    <mergeCell ref="G206:K206"/>
    <mergeCell ref="L206:P206"/>
    <mergeCell ref="R206:V206"/>
    <mergeCell ref="W206:AA206"/>
    <mergeCell ref="AB206:AF206"/>
    <mergeCell ref="B202:C202"/>
    <mergeCell ref="D202:E202"/>
    <mergeCell ref="I202:L202"/>
    <mergeCell ref="R202:S202"/>
    <mergeCell ref="T202:U202"/>
    <mergeCell ref="Y202:AB202"/>
    <mergeCell ref="B203:C203"/>
    <mergeCell ref="D203:E203"/>
    <mergeCell ref="I203:L203"/>
    <mergeCell ref="R203:S203"/>
    <mergeCell ref="T203:U203"/>
    <mergeCell ref="Y203:AB203"/>
    <mergeCell ref="B204:C204"/>
    <mergeCell ref="D204:E204"/>
    <mergeCell ref="I204:L204"/>
    <mergeCell ref="M204:N204"/>
    <mergeCell ref="R204:S204"/>
    <mergeCell ref="T204:U204"/>
    <mergeCell ref="Y204:AB204"/>
    <mergeCell ref="B201:K201"/>
    <mergeCell ref="L201:N201"/>
    <mergeCell ref="O201:P201"/>
    <mergeCell ref="R201:AA201"/>
    <mergeCell ref="AB201:AD201"/>
    <mergeCell ref="AE201:AF201"/>
    <mergeCell ref="AB188:AD188"/>
    <mergeCell ref="B189:O189"/>
    <mergeCell ref="R189:AE189"/>
    <mergeCell ref="B190:C192"/>
    <mergeCell ref="D190:G190"/>
    <mergeCell ref="H190:J190"/>
    <mergeCell ref="K190:K191"/>
    <mergeCell ref="L190:N190"/>
    <mergeCell ref="O190:O191"/>
    <mergeCell ref="P190:P192"/>
    <mergeCell ref="R190:S192"/>
    <mergeCell ref="T190:W190"/>
    <mergeCell ref="X190:Z190"/>
    <mergeCell ref="AA190:AA191"/>
    <mergeCell ref="AB190:AD190"/>
    <mergeCell ref="AE190:AE191"/>
    <mergeCell ref="AF190:AF192"/>
    <mergeCell ref="D181:N181"/>
    <mergeCell ref="Q181:Q209"/>
    <mergeCell ref="T181:AD181"/>
    <mergeCell ref="D182:N182"/>
    <mergeCell ref="T182:AD182"/>
    <mergeCell ref="B183:P183"/>
    <mergeCell ref="R183:AF183"/>
    <mergeCell ref="F184:O184"/>
    <mergeCell ref="V184:AE184"/>
    <mergeCell ref="I185:K185"/>
    <mergeCell ref="L185:O185"/>
    <mergeCell ref="Y185:AA185"/>
    <mergeCell ref="AB185:AE185"/>
    <mergeCell ref="C186:H186"/>
    <mergeCell ref="I186:K186"/>
    <mergeCell ref="L186:O186"/>
    <mergeCell ref="S186:X186"/>
    <mergeCell ref="Y186:AA186"/>
    <mergeCell ref="AB186:AE186"/>
    <mergeCell ref="C187:H187"/>
    <mergeCell ref="I187:K187"/>
    <mergeCell ref="L187:O187"/>
    <mergeCell ref="S187:X187"/>
    <mergeCell ref="Y187:AA187"/>
    <mergeCell ref="AB187:AE187"/>
    <mergeCell ref="C188:H188"/>
    <mergeCell ref="I188:K188"/>
    <mergeCell ref="L188:N188"/>
    <mergeCell ref="S188:X188"/>
    <mergeCell ref="Y188:AA188"/>
    <mergeCell ref="B199:P199"/>
    <mergeCell ref="R199:AF199"/>
    <mergeCell ref="B177:F177"/>
    <mergeCell ref="G177:K177"/>
    <mergeCell ref="L177:P177"/>
    <mergeCell ref="R177:V177"/>
    <mergeCell ref="W177:AA177"/>
    <mergeCell ref="AB177:AF177"/>
    <mergeCell ref="B178:F178"/>
    <mergeCell ref="G178:J178"/>
    <mergeCell ref="K178:P178"/>
    <mergeCell ref="R178:V178"/>
    <mergeCell ref="W178:Z178"/>
    <mergeCell ref="AA178:AF178"/>
    <mergeCell ref="B179:F179"/>
    <mergeCell ref="G179:J179"/>
    <mergeCell ref="K179:P179"/>
    <mergeCell ref="R179:V179"/>
    <mergeCell ref="W179:Z179"/>
    <mergeCell ref="AA179:AF179"/>
    <mergeCell ref="AC174:AD174"/>
    <mergeCell ref="B175:C175"/>
    <mergeCell ref="D175:E175"/>
    <mergeCell ref="F175:G175"/>
    <mergeCell ref="I175:J175"/>
    <mergeCell ref="K175:L175"/>
    <mergeCell ref="M175:O175"/>
    <mergeCell ref="R175:S175"/>
    <mergeCell ref="T175:U175"/>
    <mergeCell ref="V175:W175"/>
    <mergeCell ref="Y175:Z175"/>
    <mergeCell ref="AA175:AB175"/>
    <mergeCell ref="AC175:AE175"/>
    <mergeCell ref="B176:F176"/>
    <mergeCell ref="G176:K176"/>
    <mergeCell ref="L176:P176"/>
    <mergeCell ref="R176:V176"/>
    <mergeCell ref="W176:AA176"/>
    <mergeCell ref="AB176:AF176"/>
    <mergeCell ref="B172:C172"/>
    <mergeCell ref="D172:E172"/>
    <mergeCell ref="I172:L172"/>
    <mergeCell ref="R172:S172"/>
    <mergeCell ref="T172:U172"/>
    <mergeCell ref="Y172:AB172"/>
    <mergeCell ref="B173:C173"/>
    <mergeCell ref="D173:E173"/>
    <mergeCell ref="I173:L173"/>
    <mergeCell ref="R173:S173"/>
    <mergeCell ref="T173:U173"/>
    <mergeCell ref="Y173:AB173"/>
    <mergeCell ref="B174:C174"/>
    <mergeCell ref="D174:E174"/>
    <mergeCell ref="I174:L174"/>
    <mergeCell ref="M174:N174"/>
    <mergeCell ref="R174:S174"/>
    <mergeCell ref="T174:U174"/>
    <mergeCell ref="Y174:AB174"/>
    <mergeCell ref="AF160:AF162"/>
    <mergeCell ref="B163:C163"/>
    <mergeCell ref="R163:S163"/>
    <mergeCell ref="B164:C164"/>
    <mergeCell ref="R164:S164"/>
    <mergeCell ref="B165:C165"/>
    <mergeCell ref="R165:S165"/>
    <mergeCell ref="B166:C166"/>
    <mergeCell ref="R166:S166"/>
    <mergeCell ref="B167:C167"/>
    <mergeCell ref="R167:S167"/>
    <mergeCell ref="B169:P169"/>
    <mergeCell ref="R169:AF169"/>
    <mergeCell ref="B171:K171"/>
    <mergeCell ref="L171:N171"/>
    <mergeCell ref="O171:P171"/>
    <mergeCell ref="R171:AA171"/>
    <mergeCell ref="AB171:AD171"/>
    <mergeCell ref="AE171:AF171"/>
    <mergeCell ref="I158:K158"/>
    <mergeCell ref="L158:N158"/>
    <mergeCell ref="S158:X158"/>
    <mergeCell ref="Y158:AA158"/>
    <mergeCell ref="AB158:AD158"/>
    <mergeCell ref="B159:O159"/>
    <mergeCell ref="R159:AE159"/>
    <mergeCell ref="B160:C162"/>
    <mergeCell ref="D160:G160"/>
    <mergeCell ref="H160:J160"/>
    <mergeCell ref="K160:K161"/>
    <mergeCell ref="L160:N160"/>
    <mergeCell ref="O160:O161"/>
    <mergeCell ref="P160:P162"/>
    <mergeCell ref="R160:S162"/>
    <mergeCell ref="T160:W160"/>
    <mergeCell ref="X160:Z160"/>
    <mergeCell ref="AA160:AA161"/>
    <mergeCell ref="AB160:AD160"/>
    <mergeCell ref="AE160:AE161"/>
    <mergeCell ref="B149:F149"/>
    <mergeCell ref="G149:J149"/>
    <mergeCell ref="K149:P149"/>
    <mergeCell ref="R149:V149"/>
    <mergeCell ref="W149:Z149"/>
    <mergeCell ref="AA149:AF149"/>
    <mergeCell ref="D151:N151"/>
    <mergeCell ref="Q151:Q179"/>
    <mergeCell ref="T151:AD151"/>
    <mergeCell ref="D152:N152"/>
    <mergeCell ref="T152:AD152"/>
    <mergeCell ref="B153:P153"/>
    <mergeCell ref="R153:AF153"/>
    <mergeCell ref="F154:O154"/>
    <mergeCell ref="V154:AE154"/>
    <mergeCell ref="I155:K155"/>
    <mergeCell ref="L155:O155"/>
    <mergeCell ref="Y155:AA155"/>
    <mergeCell ref="AB155:AE155"/>
    <mergeCell ref="C156:H156"/>
    <mergeCell ref="I156:K156"/>
    <mergeCell ref="L156:O156"/>
    <mergeCell ref="S156:X156"/>
    <mergeCell ref="Y156:AA156"/>
    <mergeCell ref="AB156:AE156"/>
    <mergeCell ref="C157:H157"/>
    <mergeCell ref="I157:K157"/>
    <mergeCell ref="L157:O157"/>
    <mergeCell ref="S157:X157"/>
    <mergeCell ref="Y157:AA157"/>
    <mergeCell ref="AB157:AE157"/>
    <mergeCell ref="C158:H158"/>
    <mergeCell ref="B146:F146"/>
    <mergeCell ref="G146:K146"/>
    <mergeCell ref="L146:P146"/>
    <mergeCell ref="R146:V146"/>
    <mergeCell ref="W146:AA146"/>
    <mergeCell ref="AB146:AF146"/>
    <mergeCell ref="B147:F147"/>
    <mergeCell ref="G147:K147"/>
    <mergeCell ref="L147:P147"/>
    <mergeCell ref="R147:V147"/>
    <mergeCell ref="W147:AA147"/>
    <mergeCell ref="AB147:AF147"/>
    <mergeCell ref="B148:F148"/>
    <mergeCell ref="G148:J148"/>
    <mergeCell ref="K148:P148"/>
    <mergeCell ref="R148:V148"/>
    <mergeCell ref="W148:Z148"/>
    <mergeCell ref="AA148:AF148"/>
    <mergeCell ref="B143:C143"/>
    <mergeCell ref="D143:E143"/>
    <mergeCell ref="I143:L143"/>
    <mergeCell ref="R143:S143"/>
    <mergeCell ref="T143:U143"/>
    <mergeCell ref="Y143:AB143"/>
    <mergeCell ref="B144:C144"/>
    <mergeCell ref="D144:E144"/>
    <mergeCell ref="I144:L144"/>
    <mergeCell ref="M144:N144"/>
    <mergeCell ref="R144:S144"/>
    <mergeCell ref="T144:U144"/>
    <mergeCell ref="Y144:AB144"/>
    <mergeCell ref="AC144:AD144"/>
    <mergeCell ref="B145:C145"/>
    <mergeCell ref="D145:E145"/>
    <mergeCell ref="F145:G145"/>
    <mergeCell ref="I145:J145"/>
    <mergeCell ref="K145:L145"/>
    <mergeCell ref="M145:O145"/>
    <mergeCell ref="R145:S145"/>
    <mergeCell ref="T145:U145"/>
    <mergeCell ref="V145:W145"/>
    <mergeCell ref="Y145:Z145"/>
    <mergeCell ref="AA145:AB145"/>
    <mergeCell ref="AC145:AE145"/>
    <mergeCell ref="B134:C134"/>
    <mergeCell ref="R134:S134"/>
    <mergeCell ref="B135:C135"/>
    <mergeCell ref="R135:S135"/>
    <mergeCell ref="B136:C136"/>
    <mergeCell ref="R136:S136"/>
    <mergeCell ref="B137:C137"/>
    <mergeCell ref="R137:S137"/>
    <mergeCell ref="B139:P139"/>
    <mergeCell ref="R139:AF139"/>
    <mergeCell ref="B141:K141"/>
    <mergeCell ref="L141:N141"/>
    <mergeCell ref="O141:P141"/>
    <mergeCell ref="R141:AA141"/>
    <mergeCell ref="AB141:AD141"/>
    <mergeCell ref="AE141:AF141"/>
    <mergeCell ref="B142:C142"/>
    <mergeCell ref="D142:E142"/>
    <mergeCell ref="I142:L142"/>
    <mergeCell ref="R142:S142"/>
    <mergeCell ref="T142:U142"/>
    <mergeCell ref="Y142:AB142"/>
    <mergeCell ref="R129:AE129"/>
    <mergeCell ref="B130:C132"/>
    <mergeCell ref="D130:G130"/>
    <mergeCell ref="H130:J130"/>
    <mergeCell ref="K130:K131"/>
    <mergeCell ref="L130:N130"/>
    <mergeCell ref="O130:O131"/>
    <mergeCell ref="P130:P132"/>
    <mergeCell ref="R130:S132"/>
    <mergeCell ref="T130:W130"/>
    <mergeCell ref="X130:Z130"/>
    <mergeCell ref="AA130:AA131"/>
    <mergeCell ref="AB130:AD130"/>
    <mergeCell ref="AE130:AE131"/>
    <mergeCell ref="AF130:AF132"/>
    <mergeCell ref="B133:C133"/>
    <mergeCell ref="R133:S133"/>
    <mergeCell ref="D121:N121"/>
    <mergeCell ref="Q121:Q149"/>
    <mergeCell ref="T121:AD121"/>
    <mergeCell ref="D122:N122"/>
    <mergeCell ref="T122:AD122"/>
    <mergeCell ref="B123:P123"/>
    <mergeCell ref="R123:AF123"/>
    <mergeCell ref="F124:O124"/>
    <mergeCell ref="V124:AE124"/>
    <mergeCell ref="I125:K125"/>
    <mergeCell ref="L125:O125"/>
    <mergeCell ref="Y125:AA125"/>
    <mergeCell ref="AB125:AE125"/>
    <mergeCell ref="C126:H126"/>
    <mergeCell ref="I126:K126"/>
    <mergeCell ref="L126:O126"/>
    <mergeCell ref="S126:X126"/>
    <mergeCell ref="Y126:AA126"/>
    <mergeCell ref="AB126:AE126"/>
    <mergeCell ref="C127:H127"/>
    <mergeCell ref="I127:K127"/>
    <mergeCell ref="L127:O127"/>
    <mergeCell ref="S127:X127"/>
    <mergeCell ref="Y127:AA127"/>
    <mergeCell ref="AB127:AE127"/>
    <mergeCell ref="C128:H128"/>
    <mergeCell ref="I128:K128"/>
    <mergeCell ref="L128:N128"/>
    <mergeCell ref="S128:X128"/>
    <mergeCell ref="Y128:AA128"/>
    <mergeCell ref="AB128:AD128"/>
    <mergeCell ref="B129:O129"/>
    <mergeCell ref="B117:F117"/>
    <mergeCell ref="G117:K117"/>
    <mergeCell ref="L117:P117"/>
    <mergeCell ref="R117:V117"/>
    <mergeCell ref="W117:AA117"/>
    <mergeCell ref="AB117:AF117"/>
    <mergeCell ref="B118:F118"/>
    <mergeCell ref="G118:J118"/>
    <mergeCell ref="K118:P118"/>
    <mergeCell ref="R118:V118"/>
    <mergeCell ref="W118:Z118"/>
    <mergeCell ref="AA118:AF118"/>
    <mergeCell ref="B119:F119"/>
    <mergeCell ref="G119:J119"/>
    <mergeCell ref="K119:P119"/>
    <mergeCell ref="R119:V119"/>
    <mergeCell ref="W119:Z119"/>
    <mergeCell ref="AA119:AF119"/>
    <mergeCell ref="AC114:AD114"/>
    <mergeCell ref="B115:C115"/>
    <mergeCell ref="D115:E115"/>
    <mergeCell ref="F115:G115"/>
    <mergeCell ref="I115:J115"/>
    <mergeCell ref="K115:L115"/>
    <mergeCell ref="M115:O115"/>
    <mergeCell ref="R115:S115"/>
    <mergeCell ref="T115:U115"/>
    <mergeCell ref="V115:W115"/>
    <mergeCell ref="Y115:Z115"/>
    <mergeCell ref="AA115:AB115"/>
    <mergeCell ref="AC115:AE115"/>
    <mergeCell ref="B116:F116"/>
    <mergeCell ref="G116:K116"/>
    <mergeCell ref="L116:P116"/>
    <mergeCell ref="R116:V116"/>
    <mergeCell ref="W116:AA116"/>
    <mergeCell ref="AB116:AF116"/>
    <mergeCell ref="B112:C112"/>
    <mergeCell ref="D112:E112"/>
    <mergeCell ref="I112:L112"/>
    <mergeCell ref="R112:S112"/>
    <mergeCell ref="T112:U112"/>
    <mergeCell ref="Y112:AB112"/>
    <mergeCell ref="B113:C113"/>
    <mergeCell ref="D113:E113"/>
    <mergeCell ref="I113:L113"/>
    <mergeCell ref="R113:S113"/>
    <mergeCell ref="T113:U113"/>
    <mergeCell ref="Y113:AB113"/>
    <mergeCell ref="B114:C114"/>
    <mergeCell ref="D114:E114"/>
    <mergeCell ref="I114:L114"/>
    <mergeCell ref="M114:N114"/>
    <mergeCell ref="R114:S114"/>
    <mergeCell ref="T114:U114"/>
    <mergeCell ref="Y114:AB114"/>
    <mergeCell ref="AF100:AF102"/>
    <mergeCell ref="B103:C103"/>
    <mergeCell ref="R103:S103"/>
    <mergeCell ref="B104:C104"/>
    <mergeCell ref="R104:S104"/>
    <mergeCell ref="B105:C105"/>
    <mergeCell ref="R105:S105"/>
    <mergeCell ref="B106:C106"/>
    <mergeCell ref="R106:S106"/>
    <mergeCell ref="B107:C107"/>
    <mergeCell ref="R107:S107"/>
    <mergeCell ref="B109:P109"/>
    <mergeCell ref="R109:AF109"/>
    <mergeCell ref="B111:K111"/>
    <mergeCell ref="L111:N111"/>
    <mergeCell ref="O111:P111"/>
    <mergeCell ref="R111:AA111"/>
    <mergeCell ref="AB111:AD111"/>
    <mergeCell ref="AE111:AF111"/>
    <mergeCell ref="I98:K98"/>
    <mergeCell ref="L98:N98"/>
    <mergeCell ref="S98:X98"/>
    <mergeCell ref="Y98:AA98"/>
    <mergeCell ref="AB98:AD98"/>
    <mergeCell ref="B99:O99"/>
    <mergeCell ref="R99:AE99"/>
    <mergeCell ref="B100:C102"/>
    <mergeCell ref="D100:G100"/>
    <mergeCell ref="H100:J100"/>
    <mergeCell ref="K100:K101"/>
    <mergeCell ref="L100:N100"/>
    <mergeCell ref="O100:O101"/>
    <mergeCell ref="P100:P102"/>
    <mergeCell ref="R100:S102"/>
    <mergeCell ref="T100:W100"/>
    <mergeCell ref="X100:Z100"/>
    <mergeCell ref="AA100:AA101"/>
    <mergeCell ref="AB100:AD100"/>
    <mergeCell ref="AE100:AE101"/>
    <mergeCell ref="B89:F89"/>
    <mergeCell ref="G89:J89"/>
    <mergeCell ref="K89:P89"/>
    <mergeCell ref="R89:V89"/>
    <mergeCell ref="W89:Z89"/>
    <mergeCell ref="AA89:AF89"/>
    <mergeCell ref="D91:N91"/>
    <mergeCell ref="Q91:Q119"/>
    <mergeCell ref="T91:AD91"/>
    <mergeCell ref="D92:N92"/>
    <mergeCell ref="T92:AD92"/>
    <mergeCell ref="B93:P93"/>
    <mergeCell ref="R93:AF93"/>
    <mergeCell ref="F94:O94"/>
    <mergeCell ref="V94:AE94"/>
    <mergeCell ref="I95:K95"/>
    <mergeCell ref="L95:O95"/>
    <mergeCell ref="Y95:AA95"/>
    <mergeCell ref="AB95:AE95"/>
    <mergeCell ref="C96:H96"/>
    <mergeCell ref="I96:K96"/>
    <mergeCell ref="L96:O96"/>
    <mergeCell ref="S96:X96"/>
    <mergeCell ref="Y96:AA96"/>
    <mergeCell ref="AB96:AE96"/>
    <mergeCell ref="C97:H97"/>
    <mergeCell ref="I97:K97"/>
    <mergeCell ref="L97:O97"/>
    <mergeCell ref="S97:X97"/>
    <mergeCell ref="Y97:AA97"/>
    <mergeCell ref="AB97:AE97"/>
    <mergeCell ref="C98:H98"/>
    <mergeCell ref="B86:F86"/>
    <mergeCell ref="G86:K86"/>
    <mergeCell ref="L86:P86"/>
    <mergeCell ref="R86:V86"/>
    <mergeCell ref="W86:AA86"/>
    <mergeCell ref="AB86:AF86"/>
    <mergeCell ref="B87:F87"/>
    <mergeCell ref="G87:K87"/>
    <mergeCell ref="L87:P87"/>
    <mergeCell ref="R87:V87"/>
    <mergeCell ref="W87:AA87"/>
    <mergeCell ref="AB87:AF87"/>
    <mergeCell ref="B88:F88"/>
    <mergeCell ref="G88:J88"/>
    <mergeCell ref="K88:P88"/>
    <mergeCell ref="R88:V88"/>
    <mergeCell ref="W88:Z88"/>
    <mergeCell ref="AA88:AF88"/>
    <mergeCell ref="B83:C83"/>
    <mergeCell ref="D83:E83"/>
    <mergeCell ref="I83:L83"/>
    <mergeCell ref="R83:S83"/>
    <mergeCell ref="T83:U83"/>
    <mergeCell ref="Y83:AB83"/>
    <mergeCell ref="B84:C84"/>
    <mergeCell ref="D84:E84"/>
    <mergeCell ref="I84:L84"/>
    <mergeCell ref="M84:N84"/>
    <mergeCell ref="R84:S84"/>
    <mergeCell ref="T84:U84"/>
    <mergeCell ref="Y84:AB84"/>
    <mergeCell ref="AC84:AD84"/>
    <mergeCell ref="B85:C85"/>
    <mergeCell ref="D85:E85"/>
    <mergeCell ref="F85:G85"/>
    <mergeCell ref="I85:J85"/>
    <mergeCell ref="K85:L85"/>
    <mergeCell ref="M85:O85"/>
    <mergeCell ref="R85:S85"/>
    <mergeCell ref="T85:U85"/>
    <mergeCell ref="V85:W85"/>
    <mergeCell ref="Y85:Z85"/>
    <mergeCell ref="AA85:AB85"/>
    <mergeCell ref="AC85:AE85"/>
    <mergeCell ref="B74:C74"/>
    <mergeCell ref="R74:S74"/>
    <mergeCell ref="B75:C75"/>
    <mergeCell ref="R75:S75"/>
    <mergeCell ref="B76:C76"/>
    <mergeCell ref="R76:S76"/>
    <mergeCell ref="B77:C77"/>
    <mergeCell ref="R77:S77"/>
    <mergeCell ref="B79:P79"/>
    <mergeCell ref="R79:AF79"/>
    <mergeCell ref="B81:K81"/>
    <mergeCell ref="L81:N81"/>
    <mergeCell ref="O81:P81"/>
    <mergeCell ref="R81:AA81"/>
    <mergeCell ref="AB81:AD81"/>
    <mergeCell ref="AE81:AF81"/>
    <mergeCell ref="B82:C82"/>
    <mergeCell ref="D82:E82"/>
    <mergeCell ref="I82:L82"/>
    <mergeCell ref="R82:S82"/>
    <mergeCell ref="T82:U82"/>
    <mergeCell ref="Y82:AB82"/>
    <mergeCell ref="R69:AE69"/>
    <mergeCell ref="B70:C72"/>
    <mergeCell ref="D70:G70"/>
    <mergeCell ref="H70:J70"/>
    <mergeCell ref="K70:K71"/>
    <mergeCell ref="L70:N70"/>
    <mergeCell ref="O70:O71"/>
    <mergeCell ref="P70:P72"/>
    <mergeCell ref="R70:S72"/>
    <mergeCell ref="T70:W70"/>
    <mergeCell ref="X70:Z70"/>
    <mergeCell ref="AA70:AA71"/>
    <mergeCell ref="AB70:AD70"/>
    <mergeCell ref="AE70:AE71"/>
    <mergeCell ref="AF70:AF72"/>
    <mergeCell ref="B73:C73"/>
    <mergeCell ref="R73:S73"/>
    <mergeCell ref="D61:N61"/>
    <mergeCell ref="Q61:Q89"/>
    <mergeCell ref="T61:AD61"/>
    <mergeCell ref="D62:N62"/>
    <mergeCell ref="T62:AD62"/>
    <mergeCell ref="B63:P63"/>
    <mergeCell ref="R63:AF63"/>
    <mergeCell ref="F64:O64"/>
    <mergeCell ref="V64:AE64"/>
    <mergeCell ref="I65:K65"/>
    <mergeCell ref="L65:O65"/>
    <mergeCell ref="Y65:AA65"/>
    <mergeCell ref="AB65:AE65"/>
    <mergeCell ref="C66:H66"/>
    <mergeCell ref="I66:K66"/>
    <mergeCell ref="L66:O66"/>
    <mergeCell ref="S66:X66"/>
    <mergeCell ref="Y66:AA66"/>
    <mergeCell ref="AB66:AE66"/>
    <mergeCell ref="C67:H67"/>
    <mergeCell ref="I67:K67"/>
    <mergeCell ref="L67:O67"/>
    <mergeCell ref="S67:X67"/>
    <mergeCell ref="Y67:AA67"/>
    <mergeCell ref="AB67:AE67"/>
    <mergeCell ref="C68:H68"/>
    <mergeCell ref="I68:K68"/>
    <mergeCell ref="L68:N68"/>
    <mergeCell ref="S68:X68"/>
    <mergeCell ref="Y68:AA68"/>
    <mergeCell ref="AB68:AD68"/>
    <mergeCell ref="B69:O69"/>
    <mergeCell ref="K58:P58"/>
    <mergeCell ref="K59:P59"/>
    <mergeCell ref="AH7:AL12"/>
    <mergeCell ref="D32:N32"/>
    <mergeCell ref="B33:P33"/>
    <mergeCell ref="F34:O34"/>
    <mergeCell ref="T32:AD32"/>
    <mergeCell ref="R33:AF33"/>
    <mergeCell ref="V34:AE34"/>
    <mergeCell ref="D40:G40"/>
    <mergeCell ref="H40:J40"/>
    <mergeCell ref="K40:K41"/>
    <mergeCell ref="L40:N40"/>
    <mergeCell ref="T40:W40"/>
    <mergeCell ref="X40:Z40"/>
    <mergeCell ref="AA40:AA41"/>
    <mergeCell ref="AB40:AD40"/>
    <mergeCell ref="Y37:AA37"/>
    <mergeCell ref="AB37:AE37"/>
    <mergeCell ref="AE40:AE41"/>
    <mergeCell ref="AF40:AF42"/>
    <mergeCell ref="AB35:AE35"/>
    <mergeCell ref="C36:H36"/>
    <mergeCell ref="I36:K36"/>
    <mergeCell ref="L36:O36"/>
    <mergeCell ref="S36:X36"/>
    <mergeCell ref="D54:E54"/>
    <mergeCell ref="T52:U52"/>
    <mergeCell ref="T53:U53"/>
    <mergeCell ref="T54:U54"/>
    <mergeCell ref="AA58:AF58"/>
    <mergeCell ref="AA59:AF59"/>
    <mergeCell ref="B57:F57"/>
    <mergeCell ref="G57:K57"/>
    <mergeCell ref="L57:P57"/>
    <mergeCell ref="R57:V57"/>
    <mergeCell ref="W57:AA57"/>
    <mergeCell ref="AB57:AF57"/>
    <mergeCell ref="V55:W55"/>
    <mergeCell ref="Y55:Z55"/>
    <mergeCell ref="AA55:AB55"/>
    <mergeCell ref="AC55:AE55"/>
    <mergeCell ref="B56:F56"/>
    <mergeCell ref="G56:K56"/>
    <mergeCell ref="L56:P56"/>
    <mergeCell ref="R56:V56"/>
    <mergeCell ref="W56:AA56"/>
    <mergeCell ref="AB56:AF56"/>
    <mergeCell ref="B55:C55"/>
    <mergeCell ref="F55:G55"/>
    <mergeCell ref="I55:J55"/>
    <mergeCell ref="K55:L55"/>
    <mergeCell ref="M55:O55"/>
    <mergeCell ref="R55:S55"/>
    <mergeCell ref="B59:F59"/>
    <mergeCell ref="G59:J59"/>
    <mergeCell ref="R59:V59"/>
    <mergeCell ref="W59:Z59"/>
    <mergeCell ref="B58:F58"/>
    <mergeCell ref="G58:J58"/>
    <mergeCell ref="R58:V58"/>
    <mergeCell ref="W58:Z58"/>
    <mergeCell ref="P40:P42"/>
    <mergeCell ref="R40:S42"/>
    <mergeCell ref="B51:K51"/>
    <mergeCell ref="L51:N51"/>
    <mergeCell ref="O51:P51"/>
    <mergeCell ref="R51:AA51"/>
    <mergeCell ref="AB51:AD51"/>
    <mergeCell ref="AE51:AF51"/>
    <mergeCell ref="B46:C46"/>
    <mergeCell ref="R46:S46"/>
    <mergeCell ref="B47:C47"/>
    <mergeCell ref="R47:S47"/>
    <mergeCell ref="B49:P49"/>
    <mergeCell ref="R49:AF49"/>
    <mergeCell ref="D55:E55"/>
    <mergeCell ref="T55:U55"/>
    <mergeCell ref="B54:C54"/>
    <mergeCell ref="I54:L54"/>
    <mergeCell ref="M54:N54"/>
    <mergeCell ref="R54:S54"/>
    <mergeCell ref="Y54:AB54"/>
    <mergeCell ref="AC54:AD54"/>
    <mergeCell ref="B52:C52"/>
    <mergeCell ref="I52:L52"/>
    <mergeCell ref="R52:S52"/>
    <mergeCell ref="Y52:AB52"/>
    <mergeCell ref="B53:C53"/>
    <mergeCell ref="I53:L53"/>
    <mergeCell ref="R53:S53"/>
    <mergeCell ref="Y53:AB53"/>
    <mergeCell ref="D52:E52"/>
    <mergeCell ref="D53:E53"/>
    <mergeCell ref="R28:V28"/>
    <mergeCell ref="W28:Z28"/>
    <mergeCell ref="Y36:AA36"/>
    <mergeCell ref="AB36:AE36"/>
    <mergeCell ref="D31:N31"/>
    <mergeCell ref="Q31:Q59"/>
    <mergeCell ref="T31:AD31"/>
    <mergeCell ref="I35:K35"/>
    <mergeCell ref="L35:O35"/>
    <mergeCell ref="Y35:AA35"/>
    <mergeCell ref="C38:H38"/>
    <mergeCell ref="I38:K38"/>
    <mergeCell ref="L38:N38"/>
    <mergeCell ref="S38:X38"/>
    <mergeCell ref="Y38:AA38"/>
    <mergeCell ref="AB38:AD38"/>
    <mergeCell ref="C37:H37"/>
    <mergeCell ref="B43:C43"/>
    <mergeCell ref="R43:S43"/>
    <mergeCell ref="B44:C44"/>
    <mergeCell ref="R44:S44"/>
    <mergeCell ref="B45:C45"/>
    <mergeCell ref="R45:S45"/>
    <mergeCell ref="I37:K37"/>
    <mergeCell ref="L37:O37"/>
    <mergeCell ref="S37:X37"/>
    <mergeCell ref="B39:O39"/>
    <mergeCell ref="R39:AE39"/>
    <mergeCell ref="B40:C42"/>
    <mergeCell ref="O40:O41"/>
    <mergeCell ref="AA28:AF28"/>
    <mergeCell ref="AA29:AF29"/>
    <mergeCell ref="B27:F27"/>
    <mergeCell ref="G27:K27"/>
    <mergeCell ref="L27:P27"/>
    <mergeCell ref="R27:V27"/>
    <mergeCell ref="W27:AA27"/>
    <mergeCell ref="AB27:AF27"/>
    <mergeCell ref="V25:W25"/>
    <mergeCell ref="Y25:Z25"/>
    <mergeCell ref="AA25:AB25"/>
    <mergeCell ref="AC25:AE25"/>
    <mergeCell ref="B26:F26"/>
    <mergeCell ref="G26:K26"/>
    <mergeCell ref="L26:P26"/>
    <mergeCell ref="R26:V26"/>
    <mergeCell ref="W26:AA26"/>
    <mergeCell ref="AB26:AF26"/>
    <mergeCell ref="B25:C25"/>
    <mergeCell ref="F25:G25"/>
    <mergeCell ref="I25:J25"/>
    <mergeCell ref="K25:L25"/>
    <mergeCell ref="M25:O25"/>
    <mergeCell ref="R25:S25"/>
    <mergeCell ref="B29:F29"/>
    <mergeCell ref="G29:J29"/>
    <mergeCell ref="K29:P29"/>
    <mergeCell ref="R29:V29"/>
    <mergeCell ref="W29:Z29"/>
    <mergeCell ref="B28:F28"/>
    <mergeCell ref="G28:J28"/>
    <mergeCell ref="K28:P28"/>
    <mergeCell ref="D25:E25"/>
    <mergeCell ref="T25:U25"/>
    <mergeCell ref="B24:C24"/>
    <mergeCell ref="I24:L24"/>
    <mergeCell ref="M24:N24"/>
    <mergeCell ref="R24:S24"/>
    <mergeCell ref="Y24:AB24"/>
    <mergeCell ref="AC24:AD24"/>
    <mergeCell ref="B22:C22"/>
    <mergeCell ref="I22:L22"/>
    <mergeCell ref="R22:S22"/>
    <mergeCell ref="Y22:AB22"/>
    <mergeCell ref="B23:C23"/>
    <mergeCell ref="I23:L23"/>
    <mergeCell ref="R23:S23"/>
    <mergeCell ref="Y23:AB23"/>
    <mergeCell ref="D22:E22"/>
    <mergeCell ref="D23:E23"/>
    <mergeCell ref="D24:E24"/>
    <mergeCell ref="T22:U22"/>
    <mergeCell ref="T23:U23"/>
    <mergeCell ref="T24:U24"/>
    <mergeCell ref="B14:C14"/>
    <mergeCell ref="R14:S14"/>
    <mergeCell ref="B15:C15"/>
    <mergeCell ref="R15:S15"/>
    <mergeCell ref="D10:G10"/>
    <mergeCell ref="H10:J10"/>
    <mergeCell ref="K10:K11"/>
    <mergeCell ref="L10:N10"/>
    <mergeCell ref="B21:K21"/>
    <mergeCell ref="L21:N21"/>
    <mergeCell ref="O21:P21"/>
    <mergeCell ref="R21:AA21"/>
    <mergeCell ref="AB21:AD21"/>
    <mergeCell ref="AE21:AF21"/>
    <mergeCell ref="B16:C16"/>
    <mergeCell ref="R16:S16"/>
    <mergeCell ref="B17:C17"/>
    <mergeCell ref="R17:S17"/>
    <mergeCell ref="B19:P19"/>
    <mergeCell ref="R19:AF19"/>
    <mergeCell ref="S7:X7"/>
    <mergeCell ref="Y7:AA7"/>
    <mergeCell ref="AB7:AE7"/>
    <mergeCell ref="T10:W10"/>
    <mergeCell ref="X10:Z10"/>
    <mergeCell ref="AE10:AE11"/>
    <mergeCell ref="AF10:AF12"/>
    <mergeCell ref="B9:O9"/>
    <mergeCell ref="R9:AE9"/>
    <mergeCell ref="B10:C12"/>
    <mergeCell ref="O10:O11"/>
    <mergeCell ref="P10:P12"/>
    <mergeCell ref="R10:S12"/>
    <mergeCell ref="AA10:AA11"/>
    <mergeCell ref="AB10:AD10"/>
    <mergeCell ref="B13:C13"/>
    <mergeCell ref="R13:S13"/>
    <mergeCell ref="L217:O217"/>
    <mergeCell ref="C6:H6"/>
    <mergeCell ref="I6:K6"/>
    <mergeCell ref="L6:O6"/>
    <mergeCell ref="S6:X6"/>
    <mergeCell ref="Y6:AA6"/>
    <mergeCell ref="AB6:AE6"/>
    <mergeCell ref="D1:N1"/>
    <mergeCell ref="Q1:Q29"/>
    <mergeCell ref="T1:AD1"/>
    <mergeCell ref="C8:H8"/>
    <mergeCell ref="AI1:AK1"/>
    <mergeCell ref="I5:K5"/>
    <mergeCell ref="L5:O5"/>
    <mergeCell ref="B3:P3"/>
    <mergeCell ref="R3:AF3"/>
    <mergeCell ref="D2:N2"/>
    <mergeCell ref="T2:AD2"/>
    <mergeCell ref="F4:O4"/>
    <mergeCell ref="V4:AE4"/>
    <mergeCell ref="Y5:AA5"/>
    <mergeCell ref="AB5:AE5"/>
    <mergeCell ref="I8:K8"/>
    <mergeCell ref="L8:N8"/>
    <mergeCell ref="S8:X8"/>
    <mergeCell ref="Y8:AA8"/>
    <mergeCell ref="AB8:AD8"/>
    <mergeCell ref="C7:H7"/>
    <mergeCell ref="I7:K7"/>
    <mergeCell ref="L7:O7"/>
    <mergeCell ref="S217:X217"/>
    <mergeCell ref="Y217:AA217"/>
    <mergeCell ref="AB217:AE217"/>
    <mergeCell ref="C218:H218"/>
    <mergeCell ref="I218:K218"/>
    <mergeCell ref="L218:N218"/>
    <mergeCell ref="S218:X218"/>
    <mergeCell ref="Y218:AA218"/>
    <mergeCell ref="AB218:AD218"/>
    <mergeCell ref="D211:N211"/>
    <mergeCell ref="Q211:Q239"/>
    <mergeCell ref="T211:AD211"/>
    <mergeCell ref="D212:N212"/>
    <mergeCell ref="T212:AD212"/>
    <mergeCell ref="B213:P213"/>
    <mergeCell ref="R213:AF213"/>
    <mergeCell ref="F214:O214"/>
    <mergeCell ref="V214:AE214"/>
    <mergeCell ref="I215:K215"/>
    <mergeCell ref="L215:O215"/>
    <mergeCell ref="Y215:AA215"/>
    <mergeCell ref="AB215:AE215"/>
    <mergeCell ref="C216:H216"/>
    <mergeCell ref="I216:K216"/>
    <mergeCell ref="L216:O216"/>
    <mergeCell ref="S216:X216"/>
    <mergeCell ref="Y216:AA216"/>
    <mergeCell ref="AB216:AE216"/>
    <mergeCell ref="C217:H217"/>
    <mergeCell ref="I217:K217"/>
    <mergeCell ref="AF220:AF222"/>
    <mergeCell ref="B223:C223"/>
    <mergeCell ref="R223:S223"/>
    <mergeCell ref="B224:C224"/>
    <mergeCell ref="R224:S224"/>
    <mergeCell ref="B225:C225"/>
    <mergeCell ref="R225:S225"/>
    <mergeCell ref="B226:C226"/>
    <mergeCell ref="R226:S226"/>
    <mergeCell ref="B219:O219"/>
    <mergeCell ref="R219:AE219"/>
    <mergeCell ref="B220:C222"/>
    <mergeCell ref="D220:G220"/>
    <mergeCell ref="H220:J220"/>
    <mergeCell ref="K220:K221"/>
    <mergeCell ref="L220:N220"/>
    <mergeCell ref="O220:O221"/>
    <mergeCell ref="P220:P222"/>
    <mergeCell ref="R220:S222"/>
    <mergeCell ref="T220:W220"/>
    <mergeCell ref="X220:Z220"/>
    <mergeCell ref="AA220:AA221"/>
    <mergeCell ref="AB220:AD220"/>
    <mergeCell ref="AE220:AE221"/>
    <mergeCell ref="B232:C232"/>
    <mergeCell ref="D232:E232"/>
    <mergeCell ref="I232:L232"/>
    <mergeCell ref="R232:S232"/>
    <mergeCell ref="T232:U232"/>
    <mergeCell ref="Y232:AB232"/>
    <mergeCell ref="B233:C233"/>
    <mergeCell ref="D233:E233"/>
    <mergeCell ref="I233:L233"/>
    <mergeCell ref="R233:S233"/>
    <mergeCell ref="T233:U233"/>
    <mergeCell ref="Y233:AB233"/>
    <mergeCell ref="B227:C227"/>
    <mergeCell ref="R227:S227"/>
    <mergeCell ref="B229:P229"/>
    <mergeCell ref="R229:AF229"/>
    <mergeCell ref="B231:K231"/>
    <mergeCell ref="L231:N231"/>
    <mergeCell ref="O231:P231"/>
    <mergeCell ref="R231:AA231"/>
    <mergeCell ref="AB231:AD231"/>
    <mergeCell ref="AE231:AF231"/>
    <mergeCell ref="B234:C234"/>
    <mergeCell ref="D234:E234"/>
    <mergeCell ref="I234:L234"/>
    <mergeCell ref="M234:N234"/>
    <mergeCell ref="R234:S234"/>
    <mergeCell ref="T234:U234"/>
    <mergeCell ref="Y234:AB234"/>
    <mergeCell ref="AC234:AD234"/>
    <mergeCell ref="B235:C235"/>
    <mergeCell ref="D235:E235"/>
    <mergeCell ref="F235:G235"/>
    <mergeCell ref="I235:J235"/>
    <mergeCell ref="K235:L235"/>
    <mergeCell ref="M235:O235"/>
    <mergeCell ref="R235:S235"/>
    <mergeCell ref="T235:U235"/>
    <mergeCell ref="V235:W235"/>
    <mergeCell ref="Y235:Z235"/>
    <mergeCell ref="AA235:AB235"/>
    <mergeCell ref="AC235:AE235"/>
    <mergeCell ref="L247:O247"/>
    <mergeCell ref="B238:F238"/>
    <mergeCell ref="G238:J238"/>
    <mergeCell ref="K238:P238"/>
    <mergeCell ref="R238:V238"/>
    <mergeCell ref="W238:Z238"/>
    <mergeCell ref="AA238:AF238"/>
    <mergeCell ref="B239:F239"/>
    <mergeCell ref="G239:J239"/>
    <mergeCell ref="K239:P239"/>
    <mergeCell ref="R239:V239"/>
    <mergeCell ref="W239:Z239"/>
    <mergeCell ref="AA239:AF239"/>
    <mergeCell ref="B236:F236"/>
    <mergeCell ref="G236:K236"/>
    <mergeCell ref="L236:P236"/>
    <mergeCell ref="R236:V236"/>
    <mergeCell ref="W236:AA236"/>
    <mergeCell ref="AB236:AF236"/>
    <mergeCell ref="B237:F237"/>
    <mergeCell ref="G237:K237"/>
    <mergeCell ref="L237:P237"/>
    <mergeCell ref="R237:V237"/>
    <mergeCell ref="W237:AA237"/>
    <mergeCell ref="AB237:AF237"/>
    <mergeCell ref="S247:X247"/>
    <mergeCell ref="Y247:AA247"/>
    <mergeCell ref="AB247:AE247"/>
    <mergeCell ref="C248:H248"/>
    <mergeCell ref="I248:K248"/>
    <mergeCell ref="L248:N248"/>
    <mergeCell ref="S248:X248"/>
    <mergeCell ref="Y248:AA248"/>
    <mergeCell ref="AB248:AD248"/>
    <mergeCell ref="D241:N241"/>
    <mergeCell ref="Q241:Q269"/>
    <mergeCell ref="T241:AD241"/>
    <mergeCell ref="D242:N242"/>
    <mergeCell ref="T242:AD242"/>
    <mergeCell ref="B243:P243"/>
    <mergeCell ref="R243:AF243"/>
    <mergeCell ref="F244:O244"/>
    <mergeCell ref="V244:AE244"/>
    <mergeCell ref="I245:K245"/>
    <mergeCell ref="L245:O245"/>
    <mergeCell ref="Y245:AA245"/>
    <mergeCell ref="AB245:AE245"/>
    <mergeCell ref="C246:H246"/>
    <mergeCell ref="I246:K246"/>
    <mergeCell ref="L246:O246"/>
    <mergeCell ref="S246:X246"/>
    <mergeCell ref="Y246:AA246"/>
    <mergeCell ref="AB246:AE246"/>
    <mergeCell ref="C247:H247"/>
    <mergeCell ref="I247:K247"/>
    <mergeCell ref="AF250:AF252"/>
    <mergeCell ref="B253:C253"/>
    <mergeCell ref="R253:S253"/>
    <mergeCell ref="B254:C254"/>
    <mergeCell ref="R254:S254"/>
    <mergeCell ref="B255:C255"/>
    <mergeCell ref="R255:S255"/>
    <mergeCell ref="B256:C256"/>
    <mergeCell ref="R256:S256"/>
    <mergeCell ref="B249:O249"/>
    <mergeCell ref="R249:AE249"/>
    <mergeCell ref="B250:C252"/>
    <mergeCell ref="D250:G250"/>
    <mergeCell ref="H250:J250"/>
    <mergeCell ref="K250:K251"/>
    <mergeCell ref="L250:N250"/>
    <mergeCell ref="O250:O251"/>
    <mergeCell ref="P250:P252"/>
    <mergeCell ref="R250:S252"/>
    <mergeCell ref="T250:W250"/>
    <mergeCell ref="X250:Z250"/>
    <mergeCell ref="AA250:AA251"/>
    <mergeCell ref="AB250:AD250"/>
    <mergeCell ref="AE250:AE251"/>
    <mergeCell ref="B262:C262"/>
    <mergeCell ref="D262:E262"/>
    <mergeCell ref="I262:L262"/>
    <mergeCell ref="R262:S262"/>
    <mergeCell ref="T262:U262"/>
    <mergeCell ref="Y262:AB262"/>
    <mergeCell ref="B263:C263"/>
    <mergeCell ref="D263:E263"/>
    <mergeCell ref="I263:L263"/>
    <mergeCell ref="R263:S263"/>
    <mergeCell ref="T263:U263"/>
    <mergeCell ref="Y263:AB263"/>
    <mergeCell ref="B257:C257"/>
    <mergeCell ref="R257:S257"/>
    <mergeCell ref="B259:P259"/>
    <mergeCell ref="R259:AF259"/>
    <mergeCell ref="B261:K261"/>
    <mergeCell ref="L261:N261"/>
    <mergeCell ref="O261:P261"/>
    <mergeCell ref="R261:AA261"/>
    <mergeCell ref="AB261:AD261"/>
    <mergeCell ref="AE261:AF261"/>
    <mergeCell ref="B264:C264"/>
    <mergeCell ref="D264:E264"/>
    <mergeCell ref="I264:L264"/>
    <mergeCell ref="M264:N264"/>
    <mergeCell ref="R264:S264"/>
    <mergeCell ref="T264:U264"/>
    <mergeCell ref="Y264:AB264"/>
    <mergeCell ref="AC264:AD264"/>
    <mergeCell ref="B265:C265"/>
    <mergeCell ref="D265:E265"/>
    <mergeCell ref="F265:G265"/>
    <mergeCell ref="I265:J265"/>
    <mergeCell ref="K265:L265"/>
    <mergeCell ref="M265:O265"/>
    <mergeCell ref="R265:S265"/>
    <mergeCell ref="T265:U265"/>
    <mergeCell ref="V265:W265"/>
    <mergeCell ref="Y265:Z265"/>
    <mergeCell ref="AA265:AB265"/>
    <mergeCell ref="AC265:AE265"/>
    <mergeCell ref="L277:O277"/>
    <mergeCell ref="B268:F268"/>
    <mergeCell ref="G268:J268"/>
    <mergeCell ref="K268:P268"/>
    <mergeCell ref="R268:V268"/>
    <mergeCell ref="W268:Z268"/>
    <mergeCell ref="AA268:AF268"/>
    <mergeCell ref="B269:F269"/>
    <mergeCell ref="G269:J269"/>
    <mergeCell ref="K269:P269"/>
    <mergeCell ref="R269:V269"/>
    <mergeCell ref="W269:Z269"/>
    <mergeCell ref="AA269:AF269"/>
    <mergeCell ref="B266:F266"/>
    <mergeCell ref="G266:K266"/>
    <mergeCell ref="L266:P266"/>
    <mergeCell ref="R266:V266"/>
    <mergeCell ref="W266:AA266"/>
    <mergeCell ref="AB266:AF266"/>
    <mergeCell ref="B267:F267"/>
    <mergeCell ref="G267:K267"/>
    <mergeCell ref="L267:P267"/>
    <mergeCell ref="R267:V267"/>
    <mergeCell ref="W267:AA267"/>
    <mergeCell ref="AB267:AF267"/>
    <mergeCell ref="S277:X277"/>
    <mergeCell ref="Y277:AA277"/>
    <mergeCell ref="AB277:AE277"/>
    <mergeCell ref="C275:D275"/>
    <mergeCell ref="S275:T275"/>
    <mergeCell ref="C278:H278"/>
    <mergeCell ref="I278:K278"/>
    <mergeCell ref="L278:N278"/>
    <mergeCell ref="S278:X278"/>
    <mergeCell ref="Y278:AA278"/>
    <mergeCell ref="AB278:AD278"/>
    <mergeCell ref="D271:N271"/>
    <mergeCell ref="Q271:Q299"/>
    <mergeCell ref="T271:AD271"/>
    <mergeCell ref="D272:N272"/>
    <mergeCell ref="T272:AD272"/>
    <mergeCell ref="B273:P273"/>
    <mergeCell ref="R273:AF273"/>
    <mergeCell ref="F274:O274"/>
    <mergeCell ref="V274:AE274"/>
    <mergeCell ref="I275:K275"/>
    <mergeCell ref="L275:O275"/>
    <mergeCell ref="Y275:AA275"/>
    <mergeCell ref="AB275:AE275"/>
    <mergeCell ref="C276:H276"/>
    <mergeCell ref="I276:K276"/>
    <mergeCell ref="L276:O276"/>
    <mergeCell ref="S276:X276"/>
    <mergeCell ref="Y276:AA276"/>
    <mergeCell ref="AB276:AE276"/>
    <mergeCell ref="C277:H277"/>
    <mergeCell ref="I277:K277"/>
    <mergeCell ref="AF280:AF282"/>
    <mergeCell ref="B283:C283"/>
    <mergeCell ref="R283:S283"/>
    <mergeCell ref="B284:C284"/>
    <mergeCell ref="R284:S284"/>
    <mergeCell ref="B285:C285"/>
    <mergeCell ref="R285:S285"/>
    <mergeCell ref="B286:C286"/>
    <mergeCell ref="R286:S286"/>
    <mergeCell ref="B279:O279"/>
    <mergeCell ref="R279:AE279"/>
    <mergeCell ref="B280:C282"/>
    <mergeCell ref="D280:G280"/>
    <mergeCell ref="H280:J280"/>
    <mergeCell ref="K280:K281"/>
    <mergeCell ref="L280:N280"/>
    <mergeCell ref="O280:O281"/>
    <mergeCell ref="P280:P282"/>
    <mergeCell ref="R280:S282"/>
    <mergeCell ref="T280:W280"/>
    <mergeCell ref="X280:Z280"/>
    <mergeCell ref="AA280:AA281"/>
    <mergeCell ref="AB280:AD280"/>
    <mergeCell ref="AE280:AE281"/>
    <mergeCell ref="B292:C292"/>
    <mergeCell ref="D292:E292"/>
    <mergeCell ref="I292:L292"/>
    <mergeCell ref="R292:S292"/>
    <mergeCell ref="T292:U292"/>
    <mergeCell ref="Y292:AB292"/>
    <mergeCell ref="B293:C293"/>
    <mergeCell ref="D293:E293"/>
    <mergeCell ref="I293:L293"/>
    <mergeCell ref="R293:S293"/>
    <mergeCell ref="T293:U293"/>
    <mergeCell ref="Y293:AB293"/>
    <mergeCell ref="B287:C287"/>
    <mergeCell ref="R287:S287"/>
    <mergeCell ref="B289:P289"/>
    <mergeCell ref="R289:AF289"/>
    <mergeCell ref="B291:K291"/>
    <mergeCell ref="L291:N291"/>
    <mergeCell ref="O291:P291"/>
    <mergeCell ref="R291:AA291"/>
    <mergeCell ref="AB291:AD291"/>
    <mergeCell ref="AE291:AF291"/>
    <mergeCell ref="B294:C294"/>
    <mergeCell ref="D294:E294"/>
    <mergeCell ref="I294:L294"/>
    <mergeCell ref="M294:N294"/>
    <mergeCell ref="R294:S294"/>
    <mergeCell ref="T294:U294"/>
    <mergeCell ref="Y294:AB294"/>
    <mergeCell ref="AC294:AD294"/>
    <mergeCell ref="B295:C295"/>
    <mergeCell ref="D295:E295"/>
    <mergeCell ref="F295:G295"/>
    <mergeCell ref="I295:J295"/>
    <mergeCell ref="K295:L295"/>
    <mergeCell ref="M295:O295"/>
    <mergeCell ref="R295:S295"/>
    <mergeCell ref="T295:U295"/>
    <mergeCell ref="V295:W295"/>
    <mergeCell ref="Y295:Z295"/>
    <mergeCell ref="AA295:AB295"/>
    <mergeCell ref="AC295:AE295"/>
    <mergeCell ref="B298:F298"/>
    <mergeCell ref="G298:J298"/>
    <mergeCell ref="K298:P298"/>
    <mergeCell ref="R298:V298"/>
    <mergeCell ref="W298:Z298"/>
    <mergeCell ref="AA298:AF298"/>
    <mergeCell ref="B299:F299"/>
    <mergeCell ref="G299:J299"/>
    <mergeCell ref="K299:P299"/>
    <mergeCell ref="R299:V299"/>
    <mergeCell ref="W299:Z299"/>
    <mergeCell ref="AA299:AF299"/>
    <mergeCell ref="B296:F296"/>
    <mergeCell ref="G296:K296"/>
    <mergeCell ref="L296:P296"/>
    <mergeCell ref="R296:V296"/>
    <mergeCell ref="W296:AA296"/>
    <mergeCell ref="AB296:AF296"/>
    <mergeCell ref="B297:F297"/>
    <mergeCell ref="G297:K297"/>
    <mergeCell ref="L297:P297"/>
    <mergeCell ref="R297:V297"/>
    <mergeCell ref="W297:AA297"/>
    <mergeCell ref="AB297:AF297"/>
  </mergeCells>
  <conditionalFormatting sqref="D36:E55 D66:E85 T66:U85 T36:U55 D96:E115 T96:U115 D126:E145 T126:U145 D156:E175 T156:U175 D186:E205 T186:U205 D216:E235 T216:U235 D246:E265 T246:U265 D276:E295 T276:U295 B297:P299 B55:C55 Q31:Q299 R297:AF299 R55:S55 C36:C51 B85:C85 S36:S51 R85:S85 C66:C81 B115:C115 S66:S81 R115:S115 C96:C111 B145:C145 S96:S111 R145:S145 C126:C141 B175:C175 S126:S141 R175:S175 C156:C171 B205:C205 S156:S171 R205:S205 C186:C201 B235:C235 S186:S201 R235:S235 C216:C231 B265:C265 S216:S231 R265:S265 C246:C261 S246:S261 B295:C295 C276:C291 R295:S295 F31:P55 B31:B51 C31:E34 V31:AF55 R31:R51 S31:U34 F57:P85 B57:B81 C57:E64 V57:AF85 R57:R81 S57:U64 F87:P115 B87:B111 C87:E94 V87:AF115 R87:R111 S87:U94 F117:P145 B117:B141 C117:E124 V117:AF145 R117:R141 S117:U124 F147:P175 B147:B171 C147:E154 V147:AF175 R147:R171 S147:U154 F177:P205 B177:B201 C177:E184 V177:AF205 R177:R201 S177:U184 F207:P235 B207:B231 C207:E214 V207:AF235 R207:R231 S207:U214 F237:P265 B237:B261 C237:E244 V237:AF265 R237:R261 S237:U244 F267:P295 B267:B291 C267:E274 V267:AF295 R267:R291 S267:U274 S276:S291">
    <cfRule type="expression" dxfId="17" priority="205" stopIfTrue="1">
      <formula>$A31=""</formula>
    </cfRule>
  </conditionalFormatting>
  <conditionalFormatting sqref="B18:C18">
    <cfRule type="expression" dxfId="16" priority="204">
      <formula>O18&gt;O20</formula>
    </cfRule>
  </conditionalFormatting>
  <conditionalFormatting sqref="B20:C20">
    <cfRule type="expression" dxfId="15" priority="203" stopIfTrue="1">
      <formula>O20&gt;O18</formula>
    </cfRule>
  </conditionalFormatting>
  <conditionalFormatting sqref="R18:S18">
    <cfRule type="expression" dxfId="14" priority="202">
      <formula>AE18&gt;AE20</formula>
    </cfRule>
  </conditionalFormatting>
  <conditionalFormatting sqref="R20:S20">
    <cfRule type="expression" dxfId="13" priority="201" stopIfTrue="1">
      <formula>AE20&gt;AE18</formula>
    </cfRule>
  </conditionalFormatting>
  <conditionalFormatting sqref="P13:P18 P20 AF20 AF13:AF18 P267:P290 P43:P55 AF43:AF55 P57:P85 AF57:AF85 P87:P115 AF87:AF115 P117:P145 AF117:AF145 P147:P175 AF147:AF175 P177:P205 AF177:AF205 P207:P235 AF207:AF235 P237:P265 AF237:AF265 AF267:AF290">
    <cfRule type="cellIs" dxfId="12" priority="194" operator="equal">
      <formula>"F"</formula>
    </cfRule>
    <cfRule type="cellIs" dxfId="11" priority="195" operator="equal">
      <formula>"S"</formula>
    </cfRule>
    <cfRule type="cellIs" dxfId="10" priority="196" stopIfTrue="1" operator="equal">
      <formula>"G"</formula>
    </cfRule>
  </conditionalFormatting>
  <pageMargins left="0.4" right="0.3" top="0.25" bottom="0.25" header="0.3" footer="0.3"/>
  <pageSetup paperSize="9"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pageSetUpPr fitToPage="1"/>
  </sheetPr>
  <dimension ref="B1:AS307"/>
  <sheetViews>
    <sheetView showGridLines="0" view="pageBreakPreview" zoomScaleSheetLayoutView="100" workbookViewId="0">
      <selection activeCell="AO17" sqref="AO17"/>
    </sheetView>
  </sheetViews>
  <sheetFormatPr defaultRowHeight="15"/>
  <cols>
    <col min="1" max="1" width="4.125" style="6" customWidth="1"/>
    <col min="2" max="2" width="8.875" style="38" customWidth="1"/>
    <col min="3" max="3" width="8" style="38" customWidth="1"/>
    <col min="4" max="4" width="2" style="38" customWidth="1"/>
    <col min="5" max="14" width="6.625" style="38" customWidth="1"/>
    <col min="15" max="15" width="6.625" style="6" customWidth="1"/>
    <col min="16" max="16" width="9.5" style="38" customWidth="1"/>
    <col min="17" max="17" width="7.875" style="38" customWidth="1"/>
    <col min="18" max="18" width="6.75" style="38" customWidth="1"/>
    <col min="19" max="19" width="5.75" style="38" customWidth="1"/>
    <col min="20" max="21" width="7.5" style="38" customWidth="1"/>
    <col min="22" max="22" width="9" style="38" customWidth="1"/>
    <col min="23" max="30" width="6.75" style="6" customWidth="1"/>
    <col min="31" max="32" width="9" style="6"/>
    <col min="33" max="33" width="9" hidden="1" customWidth="1"/>
    <col min="34" max="34" width="10.125" hidden="1" customWidth="1"/>
    <col min="35" max="36" width="9" hidden="1" customWidth="1"/>
    <col min="37" max="37" width="9" style="6" hidden="1" customWidth="1"/>
    <col min="38" max="38" width="0" style="6" hidden="1" customWidth="1"/>
    <col min="39" max="16384" width="9" style="6"/>
  </cols>
  <sheetData>
    <row r="1" spans="2:37" ht="24.75" customHeight="1">
      <c r="B1" s="21"/>
      <c r="C1" s="21"/>
      <c r="D1" s="21"/>
      <c r="E1" s="701"/>
      <c r="F1" s="701"/>
      <c r="G1" s="701"/>
      <c r="H1" s="701"/>
      <c r="I1" s="1557" t="str">
        <f>IF('School Profile'!$D$12="Hindi","वार्षिक रिपोर्ट कार्ड ","Report Card")</f>
        <v xml:space="preserve">वार्षिक रिपोर्ट कार्ड </v>
      </c>
      <c r="J1" s="1557"/>
      <c r="K1" s="1557"/>
      <c r="L1" s="1557"/>
      <c r="M1" s="1557"/>
      <c r="N1" s="1557"/>
      <c r="O1" s="1557"/>
      <c r="P1" s="1557"/>
      <c r="Q1" s="701"/>
      <c r="R1" s="701"/>
      <c r="S1" s="701"/>
      <c r="T1" s="701"/>
      <c r="U1" s="21"/>
      <c r="V1" s="21"/>
    </row>
    <row r="2" spans="2:37" ht="18.75" customHeight="1" thickBot="1">
      <c r="B2" s="21"/>
      <c r="C2" s="702"/>
      <c r="D2" s="702"/>
      <c r="E2" s="1566" t="str">
        <f>IF('School Profile'!$D$12="Hindi","शिक्षा विभाग, राजस्थान सरकार","Education Department, Rajasthan Government")</f>
        <v>शिक्षा विभाग, राजस्थान सरकार</v>
      </c>
      <c r="F2" s="1566"/>
      <c r="G2" s="1566"/>
      <c r="H2" s="1566"/>
      <c r="I2" s="1566"/>
      <c r="J2" s="1566"/>
      <c r="K2" s="1566"/>
      <c r="L2" s="1566"/>
      <c r="M2" s="1566"/>
      <c r="N2" s="1566"/>
      <c r="O2" s="1566"/>
      <c r="P2" s="1566"/>
      <c r="Q2" s="1566"/>
      <c r="R2" s="1566"/>
      <c r="S2" s="1566"/>
      <c r="T2" s="1566"/>
      <c r="U2" s="702"/>
      <c r="V2" s="21"/>
    </row>
    <row r="3" spans="2:37" ht="21" customHeight="1">
      <c r="B3" s="703"/>
      <c r="C3" s="703"/>
      <c r="D3" s="1560" t="str">
        <f>IF('School Profile'!D12="Hindi",CONCATENATE("विद्यालय का नाम :-","  ",'School Profile'!D9),CONCATENATE("School Name :-","  ",'School Profile'!D8))</f>
        <v xml:space="preserve">विद्यालय का नाम :-  महात्मा गाँधी राजकीय विद्यालय (अंग्रेजी माध्यम) बर, पाली </v>
      </c>
      <c r="E3" s="1560"/>
      <c r="F3" s="1560"/>
      <c r="G3" s="1560"/>
      <c r="H3" s="1560"/>
      <c r="I3" s="1560"/>
      <c r="J3" s="1560"/>
      <c r="K3" s="1560"/>
      <c r="L3" s="1560"/>
      <c r="M3" s="1560"/>
      <c r="N3" s="1560"/>
      <c r="O3" s="1560"/>
      <c r="P3" s="1560"/>
      <c r="Q3" s="1560"/>
      <c r="R3" s="1560"/>
      <c r="S3" s="1560"/>
      <c r="T3" s="1560"/>
      <c r="U3" s="703"/>
      <c r="V3" s="703"/>
      <c r="AC3" s="1704" t="s">
        <v>65</v>
      </c>
      <c r="AD3" s="1705"/>
      <c r="AE3" s="1706"/>
      <c r="AG3" s="776"/>
      <c r="AH3" s="776"/>
      <c r="AI3" s="776"/>
      <c r="AJ3" s="776"/>
    </row>
    <row r="4" spans="2:37" ht="21" customHeight="1">
      <c r="B4" s="675"/>
      <c r="C4" s="675"/>
      <c r="D4" s="675"/>
      <c r="E4" s="675"/>
      <c r="F4" s="675"/>
      <c r="G4" s="675"/>
      <c r="H4" s="675"/>
      <c r="I4" s="1547" t="str">
        <f>IF(AND(O6=""),"",IF(AND('School Profile'!$D$7=""),"",IF('School Profile'!$D$12="Hindi",CONCATENATE("(विद्यालय मान्यता क्रमांक व वर्ष : ","  ",'School Profile'!$D$7),CONCATENATE("(School Recognition Number &amp; Years : ","  ",'School Profile'!$D$7))))</f>
        <v>(विद्यालय मान्यता क्रमांक व वर्ष :   शिक्षा/पाली/1995/2001</v>
      </c>
      <c r="J4" s="1547"/>
      <c r="K4" s="1547"/>
      <c r="L4" s="1547"/>
      <c r="M4" s="1547"/>
      <c r="N4" s="1547"/>
      <c r="O4" s="1547"/>
      <c r="P4" s="1547"/>
      <c r="Q4" s="675"/>
      <c r="R4" s="675"/>
      <c r="S4" s="675"/>
      <c r="T4" s="675"/>
      <c r="U4" s="675"/>
      <c r="V4" s="675"/>
      <c r="AC4" s="1707"/>
      <c r="AD4" s="1708"/>
      <c r="AE4" s="1709"/>
    </row>
    <row r="5" spans="2:37" ht="19.5" customHeight="1">
      <c r="B5" s="1561" t="str">
        <f>IF('School Profile'!D12="Hindi","सत्र  :-","Session :-")</f>
        <v>सत्र  :-</v>
      </c>
      <c r="C5" s="1561"/>
      <c r="D5" s="1561"/>
      <c r="E5" s="1561"/>
      <c r="F5" s="1562" t="str">
        <f>IF('Marks Entry'!I3="","",'Marks Entry'!I3)</f>
        <v>2025-2026</v>
      </c>
      <c r="G5" s="1562"/>
      <c r="H5" s="1562"/>
      <c r="I5" s="1563"/>
      <c r="J5" s="1563"/>
      <c r="K5" s="1563"/>
      <c r="L5" s="388"/>
      <c r="M5" s="1561" t="str">
        <f>IF('School Profile'!$D$12="Hindi","कक्षा  :-","CLASS :- ")</f>
        <v>कक्षा  :-</v>
      </c>
      <c r="N5" s="1561"/>
      <c r="O5" s="653" t="str">
        <f>IF('Statement of Marks'!E3="","",'Statement of Marks'!E3)</f>
        <v>9th</v>
      </c>
      <c r="P5" s="654" t="str">
        <f>IFERROR(VLOOKUP(O6,'Statement of Marks'!$B$7:'Statement of Marks'!$IC$206,2,0),"")</f>
        <v>A</v>
      </c>
      <c r="Q5" s="338"/>
      <c r="R5" s="338"/>
      <c r="S5" s="337"/>
      <c r="T5" s="337"/>
      <c r="U5" s="337"/>
      <c r="V5" s="337"/>
      <c r="AC5" s="1707"/>
      <c r="AD5" s="1708"/>
      <c r="AE5" s="1709"/>
      <c r="AH5" s="777">
        <f>O8</f>
        <v>41317</v>
      </c>
    </row>
    <row r="6" spans="2:37" ht="19.5" customHeight="1">
      <c r="B6" s="1559" t="str">
        <f>IF('School Profile'!$D$12="Hindi","विद्यार्थी का नाम :-","Student's Name :-")</f>
        <v>विद्यार्थी का नाम :-</v>
      </c>
      <c r="C6" s="1559"/>
      <c r="D6" s="1559"/>
      <c r="E6" s="1559"/>
      <c r="F6" s="1558" t="str">
        <f>IFERROR(VLOOKUP(O6,'Statement of Marks'!$B$7:'Statement of Marks'!$IC$206,5,0),"")</f>
        <v>MITA</v>
      </c>
      <c r="G6" s="1558"/>
      <c r="H6" s="1558"/>
      <c r="I6" s="1558"/>
      <c r="J6" s="1558"/>
      <c r="K6" s="1558"/>
      <c r="L6" s="1558"/>
      <c r="M6" s="1565" t="str">
        <f>IF('School Profile'!$D$12="Hindi","रोल नंबर :-","Roll No. :")</f>
        <v>रोल नंबर :-</v>
      </c>
      <c r="N6" s="1565"/>
      <c r="O6" s="1564">
        <v>907</v>
      </c>
      <c r="P6" s="1564"/>
      <c r="Q6" s="338"/>
      <c r="R6" s="338"/>
      <c r="S6" s="337"/>
      <c r="T6" s="337"/>
      <c r="U6" s="337"/>
      <c r="V6" s="337"/>
      <c r="AC6" s="1707"/>
      <c r="AD6" s="1708"/>
      <c r="AE6" s="1709"/>
      <c r="AG6">
        <f>YEAR(AH5)</f>
        <v>2013</v>
      </c>
      <c r="AH6">
        <f>MONTH(AH5)</f>
        <v>2</v>
      </c>
      <c r="AI6">
        <f>DAY(AH5)</f>
        <v>12</v>
      </c>
    </row>
    <row r="7" spans="2:37" ht="18.75" customHeight="1">
      <c r="B7" s="1559" t="str">
        <f>IF('School Profile'!$D$12="Hindi","पिता का नाम :-","Father's Name :-")</f>
        <v>पिता का नाम :-</v>
      </c>
      <c r="C7" s="1559"/>
      <c r="D7" s="1559"/>
      <c r="E7" s="1559"/>
      <c r="F7" s="1558" t="str">
        <f>IFERROR(VLOOKUP(O6,'Statement of Marks'!$B$7:'Statement of Marks'!$IC$206,6,0),"")</f>
        <v/>
      </c>
      <c r="G7" s="1558"/>
      <c r="H7" s="1558"/>
      <c r="I7" s="1558"/>
      <c r="J7" s="1558"/>
      <c r="K7" s="1558"/>
      <c r="L7" s="1558"/>
      <c r="M7" s="1565" t="str">
        <f>IF('School Profile'!$D$12="Hindi","प्रवेशांक :","SR. NO. :")</f>
        <v>प्रवेशांक :</v>
      </c>
      <c r="N7" s="1565"/>
      <c r="O7" s="1735" t="str">
        <f>IFERROR(VLOOKUP(O6,'Statement of Marks'!$B$7:'Statement of Marks'!$IC$206,3,0),"")</f>
        <v/>
      </c>
      <c r="P7" s="1735"/>
      <c r="Q7" s="341"/>
      <c r="R7" s="341"/>
      <c r="S7" s="337"/>
      <c r="T7" s="337"/>
      <c r="U7" s="337"/>
      <c r="V7" s="337"/>
      <c r="AC7" s="1707"/>
      <c r="AD7" s="1708"/>
      <c r="AE7" s="1709"/>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तेरह</v>
      </c>
      <c r="AH7" t="str">
        <f>IF(AH6=1,"जनवरी",IF(AH6=2,"फरवरी",IF(AH6=3,"मार्च",IF(AH6=4,"अप्रैल",IF(AH6=5,"मई",IF(AH6=6,"जून",IF(AH6=7,"जुलाई",IF(AH6=8,"अगस्त",IF(AH6=9,"सितम्बर",IF(AH6=10,"अक्टूबर",IF(AH6=11,"नवम्बर",IF(AH6=12,"दिसम्बर",""))))))))))))</f>
        <v>फरवरी</v>
      </c>
      <c r="AI7" t="str">
        <f>IF(AI6=1,"एक",IF(AI6=2,"दो",IF(AI6=3,"तीन",IF(AI6=4,"चार",IF(AI6=5,"पांच",IF(AI6=6,"छः",IF(AI6=7,"सात",IF(AI6=8,"आठ",IF(AI6=9,"नौ",IF(AI6=10,"दस",IF(AI6=11,"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बारह</v>
      </c>
    </row>
    <row r="8" spans="2:37" ht="18.75" customHeight="1">
      <c r="B8" s="1559" t="str">
        <f>IF('School Profile'!$D$12="Hindi","माता का नाम :-","Mother's Name :-")</f>
        <v>माता का नाम :-</v>
      </c>
      <c r="C8" s="1559"/>
      <c r="D8" s="1559"/>
      <c r="E8" s="1559"/>
      <c r="F8" s="1558" t="str">
        <f>IFERROR(VLOOKUP(O6,'Statement of Marks'!$B$7:'Statement of Marks'!$IC$206,7,0),"")</f>
        <v/>
      </c>
      <c r="G8" s="1558"/>
      <c r="H8" s="1558"/>
      <c r="I8" s="1558"/>
      <c r="J8" s="1558"/>
      <c r="K8" s="1558"/>
      <c r="L8" s="1558"/>
      <c r="M8" s="1565" t="str">
        <f>IF('School Profile'!$D$12="Hindi","जन्म तिथि :","Date of Birth :")</f>
        <v>जन्म तिथि :</v>
      </c>
      <c r="N8" s="1565"/>
      <c r="O8" s="1713">
        <f>IFERROR(VLOOKUP(O6,'Statement of Marks'!$B$7:'Statement of Marks'!$IC$206,4,0),"")</f>
        <v>41317</v>
      </c>
      <c r="P8" s="1713"/>
      <c r="Q8" s="1713"/>
      <c r="R8" s="1713"/>
      <c r="S8" s="337"/>
      <c r="T8" s="337"/>
      <c r="U8" s="337"/>
      <c r="V8" s="337"/>
      <c r="AC8" s="1707"/>
      <c r="AD8" s="1708"/>
      <c r="AE8" s="1709"/>
      <c r="AH8" t="str">
        <f>CONCATENATE(AI7," ",AH7," ",AG7)</f>
        <v>बारह फरवरी दो हजार तेरह</v>
      </c>
    </row>
    <row r="9" spans="2:37" ht="18.75" customHeight="1">
      <c r="B9" s="671"/>
      <c r="C9" s="671"/>
      <c r="D9" s="671"/>
      <c r="E9" s="671"/>
      <c r="F9" s="667"/>
      <c r="G9" s="667"/>
      <c r="H9" s="667"/>
      <c r="I9" s="667"/>
      <c r="J9" s="667"/>
      <c r="K9" s="667"/>
      <c r="L9" s="1734" t="str">
        <f>IF('School Profile'!$D$12="Hindi","जन्मतिथि शब्दों में :-","Date of Birth in Words :-")</f>
        <v>जन्मतिथि शब्दों में :-</v>
      </c>
      <c r="M9" s="1734"/>
      <c r="N9" s="1734"/>
      <c r="O9" s="1548" t="str">
        <f>IFERROR(IF('School Profile'!$D$12="Hindi",AH8,AH10),"")</f>
        <v>बारह फरवरी दो हजार तेरह</v>
      </c>
      <c r="P9" s="1548"/>
      <c r="Q9" s="1548"/>
      <c r="R9" s="1548"/>
      <c r="S9" s="1548"/>
      <c r="T9" s="1548"/>
      <c r="U9" s="337"/>
      <c r="V9" s="337"/>
      <c r="AC9" s="1707"/>
      <c r="AD9" s="1708"/>
      <c r="AE9" s="1709"/>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THIRTEEN</v>
      </c>
      <c r="AH9" t="str">
        <f>IF(AH6=1,"JANUARY",IF(AH6=2,"FEBUARY", IF(AH6=3,"MARCH",IF(AH6=4,"APRIL",IF(AH6=5,"MAY",IF(AH6=6,"JUNE",IF(AH6=7,"JULY",IF(AH6=8,"AUGUST",IF(AH6=9,"SEPTEMBER",IF(AH6=10,"OCTOBER",IF(AH6=11,"NOVEMBER",IF(AH6=12,"DECEMBER",""))))))))))))</f>
        <v>FEBUARY</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12TH</v>
      </c>
    </row>
    <row r="10" spans="2:37" ht="4.5" customHeight="1" thickBot="1">
      <c r="B10" s="344"/>
      <c r="C10" s="344"/>
      <c r="D10" s="344"/>
      <c r="E10" s="344"/>
      <c r="F10" s="417"/>
      <c r="G10" s="669"/>
      <c r="H10" s="417"/>
      <c r="I10" s="417"/>
      <c r="J10" s="417"/>
      <c r="K10" s="417"/>
      <c r="L10" s="417"/>
      <c r="M10" s="417"/>
      <c r="N10" s="345"/>
      <c r="O10" s="346"/>
      <c r="P10" s="346"/>
      <c r="Q10" s="346"/>
      <c r="R10" s="346"/>
      <c r="S10" s="337"/>
      <c r="T10" s="337"/>
      <c r="U10" s="337"/>
      <c r="V10" s="337"/>
      <c r="AC10" s="1707"/>
      <c r="AD10" s="1708"/>
      <c r="AE10" s="1709"/>
      <c r="AH10" t="str">
        <f>CONCATENATE(AH9," ",AI9,", ",AG9)</f>
        <v>FEBUARY 12TH, TWO THOUSAND THIRTEEN</v>
      </c>
    </row>
    <row r="11" spans="2:37" ht="24.75" customHeight="1">
      <c r="B11" s="1607" t="str">
        <f>IF('School Profile'!$D$12="Hindi","विषय का नाम","Subject Name")</f>
        <v>विषय का नाम</v>
      </c>
      <c r="C11" s="1544"/>
      <c r="D11" s="1544"/>
      <c r="E11" s="1554" t="str">
        <f>IF('School Profile'!$D$12="Hindi","सामयिक परख","Seasonal Exam")</f>
        <v>सामयिक परख</v>
      </c>
      <c r="F11" s="1554"/>
      <c r="G11" s="1554"/>
      <c r="H11" s="1554"/>
      <c r="I11" s="1554" t="str">
        <f>IF('School Profile'!$D$12="Hindi","अर्द्धवार्षिक","Half Yearly")</f>
        <v>अर्द्धवार्षिक</v>
      </c>
      <c r="J11" s="1554"/>
      <c r="K11" s="1554"/>
      <c r="L11" s="1555" t="str">
        <f>IF('School Profile'!$D$12="Hindi","अर्द्ध वा. तक योग","Total Till H.Y.")</f>
        <v>अर्द्ध वा. तक योग</v>
      </c>
      <c r="M11" s="1554" t="str">
        <f>IF('School Profile'!$D$12="Hindi","वार्षिक","Yearly")</f>
        <v>वार्षिक</v>
      </c>
      <c r="N11" s="1554"/>
      <c r="O11" s="1554"/>
      <c r="P11" s="1549" t="str">
        <f>IF('School Profile'!$D$12="Hindi","विषय कुल योग ","Subject Total")</f>
        <v xml:space="preserve">विषय कुल योग </v>
      </c>
      <c r="Q11" s="1551" t="str">
        <f>IF('School Profile'!$D$12="Hindi","विषय परिणाम / विषय श्रेणी","Sub. Result /  Sub. Div.")</f>
        <v>विषय परिणाम / विषय श्रेणी</v>
      </c>
      <c r="R11" s="1714" t="str">
        <f>IF('School Profile'!$D$12="Hindi","पूरक/पुनः परीक्षा का परिणाम","Supplementary / Re-exam Result")</f>
        <v>पूरक/पुनः परीक्षा का परिणाम</v>
      </c>
      <c r="S11" s="1714"/>
      <c r="T11" s="1714"/>
      <c r="U11" s="1714"/>
      <c r="V11" s="1715"/>
      <c r="AC11" s="1707"/>
      <c r="AD11" s="1708"/>
      <c r="AE11" s="1709"/>
    </row>
    <row r="12" spans="2:37" ht="66.75" customHeight="1">
      <c r="B12" s="1608"/>
      <c r="C12" s="1521"/>
      <c r="D12" s="1521"/>
      <c r="E12" s="658" t="str">
        <f>IF('School Profile'!$D$12="Hindi","प्रथम परख ","First Test")</f>
        <v xml:space="preserve">प्रथम परख </v>
      </c>
      <c r="F12" s="658" t="str">
        <f>IF('School Profile'!$D$12="Hindi","द्वितीय परख","Second Test")</f>
        <v>द्वितीय परख</v>
      </c>
      <c r="G12" s="658" t="str">
        <f>IF('School Profile'!$D$12="Hindi","तृतीय परख","Third Test")</f>
        <v>तृतीय परख</v>
      </c>
      <c r="H12" s="707" t="str">
        <f>IF('School Profile'!$D$12="Hindi","सा. परख योग","Test Total")</f>
        <v>सा. परख योग</v>
      </c>
      <c r="I12" s="658" t="str">
        <f>IF('School Profile'!$D$12="Hindi","सैद्धान्तिक","Theoretical")</f>
        <v>सैद्धान्तिक</v>
      </c>
      <c r="J12" s="658" t="str">
        <f>IF('School Profile'!$D$12="Hindi","प्रायोगिक","Practical")</f>
        <v>प्रायोगिक</v>
      </c>
      <c r="K12" s="659" t="str">
        <f>IF('School Profile'!$D$12="Hindi","अर्द्धवार्षिक योग","H.Y.  Total")</f>
        <v>अर्द्धवार्षिक योग</v>
      </c>
      <c r="L12" s="1556"/>
      <c r="M12" s="658" t="str">
        <f>IF('School Profile'!$D$12="Hindi","सैद्धान्तिक","Theoretical")</f>
        <v>सैद्धान्तिक</v>
      </c>
      <c r="N12" s="658" t="str">
        <f>IF('School Profile'!$D$12="Hindi","प्रायोगिक","Practical")</f>
        <v>प्रायोगिक</v>
      </c>
      <c r="O12" s="659" t="str">
        <f>IF('School Profile'!$D$12="Hindi","वार्षिक योग","Yearly  Total")</f>
        <v>वार्षिक योग</v>
      </c>
      <c r="P12" s="1550"/>
      <c r="Q12" s="1552"/>
      <c r="R12" s="1521" t="str">
        <f>IF('School Profile'!$D$12="Hindi","विषय","Subject")</f>
        <v>विषय</v>
      </c>
      <c r="S12" s="1521"/>
      <c r="T12" s="1521" t="str">
        <f>IF('School Profile'!$D$12="Hindi","प्राप्तांक","Marks Obt.")</f>
        <v>प्राप्तांक</v>
      </c>
      <c r="U12" s="1521" t="str">
        <f>IF('School Profile'!$D$12="Hindi","विषय परिणाम","Subject Result")</f>
        <v>विषय परिणाम</v>
      </c>
      <c r="V12" s="1546" t="str">
        <f>IF('School Profile'!$D$12="Hindi","अन्तिम परिणाम","Final Result")</f>
        <v>अन्तिम परिणाम</v>
      </c>
      <c r="AA12" s="21"/>
      <c r="AC12" s="1707"/>
      <c r="AD12" s="1708"/>
      <c r="AE12" s="1709"/>
      <c r="AK12" s="6" t="str">
        <f>IFERROR(VLOOKUP($O$6,'Supp. Result Entry'!$B$5:'Supp. Result Entry'!$AS$204,42,0),"")</f>
        <v>PASS</v>
      </c>
    </row>
    <row r="13" spans="2:37" ht="15.75" customHeight="1" thickBot="1">
      <c r="B13" s="1568" t="s">
        <v>253</v>
      </c>
      <c r="C13" s="1569"/>
      <c r="D13" s="1569"/>
      <c r="E13" s="708">
        <v>10</v>
      </c>
      <c r="F13" s="708">
        <v>10</v>
      </c>
      <c r="G13" s="708">
        <v>10</v>
      </c>
      <c r="H13" s="708">
        <v>30</v>
      </c>
      <c r="I13" s="664" t="s">
        <v>251</v>
      </c>
      <c r="J13" s="709">
        <v>35</v>
      </c>
      <c r="K13" s="710">
        <v>70</v>
      </c>
      <c r="L13" s="709">
        <v>100</v>
      </c>
      <c r="M13" s="664" t="s">
        <v>252</v>
      </c>
      <c r="N13" s="708">
        <v>50</v>
      </c>
      <c r="O13" s="710">
        <v>100</v>
      </c>
      <c r="P13" s="662">
        <v>200</v>
      </c>
      <c r="Q13" s="1553"/>
      <c r="R13" s="1521"/>
      <c r="S13" s="1521"/>
      <c r="T13" s="1521"/>
      <c r="U13" s="1521"/>
      <c r="V13" s="1546"/>
      <c r="AA13" s="21"/>
      <c r="AC13" s="1710"/>
      <c r="AD13" s="1711"/>
      <c r="AE13" s="1712"/>
      <c r="AK13" s="6" t="str">
        <f>IFERROR(IF(VLOOKUP($O$6,'Statement of Marks'!$B$7:'Statement of Marks'!$IC$206,226,0)="By Grace Pass","By Grace Pass and Promoted to Class 10th",IF(VLOOKUP($O$6,'Statement of Marks'!$B$7:'Statement of Marks'!$IC$206,226,0)="PASS","PASS  and Promoted to Class 10th",IF(VLOOKUP($O$6,'Statement of Marks'!$B$7:'Statement of Marks'!$IC$206,226,0)="SUPPLEMENTARY","Supplementary",IF(VLOOKUP($O$6,'Statement of Marks'!$B$7:'Statement of Marks'!$IC$206,226,0)="Re-Exam","RE-EXAM",IF(VLOOKUP($O$6,'Statement of Marks'!$B$7:'Statement of Marks'!$IC$206,226,0)="FAIL","FAIL",""))))),"")</f>
        <v>Supplementary</v>
      </c>
    </row>
    <row r="14" spans="2:37" ht="18.95" customHeight="1">
      <c r="B14" s="1570" t="str">
        <f>'Statement of Marks'!K3</f>
        <v>हिंदी</v>
      </c>
      <c r="C14" s="1571"/>
      <c r="D14" s="1571"/>
      <c r="E14" s="26">
        <f>IFERROR(VLOOKUP(O6,'Statement of Marks'!$B$7:'Statement of Marks'!$IC$206,10,0),"")</f>
        <v>8</v>
      </c>
      <c r="F14" s="26" t="str">
        <f>IFERROR(VLOOKUP(O6,'Statement of Marks'!$B$7:'Statement of Marks'!$IC$206,11,0),"")</f>
        <v>ML</v>
      </c>
      <c r="G14" s="26">
        <f>IFERROR(VLOOKUP(O6,'Statement of Marks'!$B$7:'Statement of Marks'!$IC$206,12,0),"")</f>
        <v>8</v>
      </c>
      <c r="H14" s="26">
        <f>IFERROR(VLOOKUP(O6,'Statement of Marks'!$B$7:'Statement of Marks'!$IC$206,13,0),"")</f>
        <v>16</v>
      </c>
      <c r="I14" s="26">
        <f>IFERROR(VLOOKUP(O6,'Statement of Marks'!$B$7:'Statement of Marks'!$IC$206,14,0),"")</f>
        <v>46</v>
      </c>
      <c r="J14" s="26"/>
      <c r="K14" s="347">
        <f>IF(O6="","",IF(AND(I14="",J14=""),"",SUM(I14,J14)))</f>
        <v>46</v>
      </c>
      <c r="L14" s="679">
        <f>IFERROR(IF(O6="","",IF(AND(H14="",K14=""),"",SUM(H14,K14))),"")</f>
        <v>62</v>
      </c>
      <c r="M14" s="26">
        <f>IFERROR(VLOOKUP(O6,'Statement of Marks'!$B$7:'Statement of Marks'!$IC$206,16,0),"")</f>
        <v>65</v>
      </c>
      <c r="N14" s="26"/>
      <c r="O14" s="347">
        <f>IF(O6="","",IF(AND(M14="",N14=""),"",SUM(M14,N14)))</f>
        <v>65</v>
      </c>
      <c r="P14" s="674">
        <f>IFERROR(VLOOKUP(O6,'Statement of Marks'!$B$7:'Statement of Marks'!$IC$206,17,0),"")</f>
        <v>127</v>
      </c>
      <c r="Q14" s="680" t="str">
        <f>IFERROR(IF(P14="","",IF(VLOOKUP(O6,'Statement of Marks'!$B$7:'Statement of Marks'!$IC$206,195,0)="D","I",IF(VLOOKUP(O6,'Statement of Marks'!$B$7:'Statement of Marks'!$IC$206,195,0)="G1","G",IF(VLOOKUP(O6,'Statement of Marks'!$B$7:'Statement of Marks'!$IC$206,195,0)="G2","G",VLOOKUP(O6,'Statement of Marks'!$B$7:'Statement of Marks'!$IC$206,195,0))))),"")</f>
        <v>I</v>
      </c>
      <c r="R14" s="1716" t="str">
        <f>IF(AND(Q14=""),"",IF(AND(Q14="S"),B14,""))</f>
        <v/>
      </c>
      <c r="S14" s="1716"/>
      <c r="T14" s="689" t="str">
        <f>IFERROR(IF(R14="","",VLOOKUP($O$6,'Supp. Result Entry'!$B$5:'Supp. Result Entry'!$AS$204,20,0)),"")</f>
        <v/>
      </c>
      <c r="U14" s="689" t="str">
        <f>IFERROR(IF(R14="","",VLOOKUP($O$6,'Supp. Result Entry'!$B$5:'Supp. Result Entry'!$AS$204,21,0)),"")</f>
        <v/>
      </c>
      <c r="V14" s="713" t="str">
        <f>IFERROR(IF(R14="","",VLOOKUP($O$6,'Supp. Result Entry'!$B$5:'Supp. Result Entry'!$AS$204,42,0)),"")</f>
        <v/>
      </c>
      <c r="AK14" s="6" t="str">
        <f>IF(AND(R14="",R15="",R16="",R17="",R18="",R19="",R21=""),AK13,AK12)</f>
        <v>PASS</v>
      </c>
    </row>
    <row r="15" spans="2:37" ht="18.95" customHeight="1">
      <c r="B15" s="1572" t="str">
        <f>'Statement of Marks'!Y3</f>
        <v>अंग्रेजी</v>
      </c>
      <c r="C15" s="1573"/>
      <c r="D15" s="1573"/>
      <c r="E15" s="26">
        <f>IFERROR(VLOOKUP(O6,'Statement of Marks'!$B$7:'Statement of Marks'!$IC$206,24,0),"")</f>
        <v>8</v>
      </c>
      <c r="F15" s="26">
        <f>IFERROR(VLOOKUP(O6,'Statement of Marks'!$B$7:'Statement of Marks'!$IC$206,25,0),"")</f>
        <v>9</v>
      </c>
      <c r="G15" s="26">
        <f>IFERROR(VLOOKUP(O6,'Statement of Marks'!$B$7:'Statement of Marks'!$IC$206,26,0),"")</f>
        <v>9</v>
      </c>
      <c r="H15" s="26">
        <f>IFERROR(VLOOKUP(O6,'Statement of Marks'!$B$7:'Statement of Marks'!$IC$206,27,0),"")</f>
        <v>26</v>
      </c>
      <c r="I15" s="26">
        <f>IFERROR(VLOOKUP(O6,'Statement of Marks'!$B$7:'Statement of Marks'!$IC$206,28,0),"")</f>
        <v>60</v>
      </c>
      <c r="J15" s="26"/>
      <c r="K15" s="347">
        <f>IF(O6="","",IF(AND(I15="",J15=""),"",SUM(I15,J15)))</f>
        <v>60</v>
      </c>
      <c r="L15" s="679">
        <f>IFERROR(IF(O6="","",IF(AND(H15="",K15=""),"",SUM(H15,K15))),"")</f>
        <v>86</v>
      </c>
      <c r="M15" s="26">
        <f>IFERROR(VLOOKUP(O6,'Statement of Marks'!$B$7:'Statement of Marks'!$IC$206,30,0),"")</f>
        <v>60</v>
      </c>
      <c r="N15" s="26"/>
      <c r="O15" s="347">
        <f>IF(O6="","",IF(AND(M15="",N15=""),"",SUM(M15,N15)))</f>
        <v>60</v>
      </c>
      <c r="P15" s="674">
        <f>IFERROR(VLOOKUP(O6,'Statement of Marks'!$B$7:'Statement of Marks'!$IC$206,31,0),"")</f>
        <v>146</v>
      </c>
      <c r="Q15" s="680" t="str">
        <f>IFERROR(IF(P14="","",IF(VLOOKUP(O6,'Statement of Marks'!$B$7:'Statement of Marks'!$IC$206,198,0)="D","I",IF(VLOOKUP(O6,'Statement of Marks'!$B$7:'Statement of Marks'!$IC$206,198,0)="G1","G",IF(VLOOKUP(O6,'Statement of Marks'!$B$7:'Statement of Marks'!$IC$206,198,0)="G2","G",VLOOKUP(O6,'Statement of Marks'!$B$7:'Statement of Marks'!$IC$206,198,0))))),"")</f>
        <v>I</v>
      </c>
      <c r="R15" s="1716" t="str">
        <f t="shared" ref="R15:R19" si="0">IF(AND(Q15=""),"",IF(AND(Q15="S"),B15,""))</f>
        <v/>
      </c>
      <c r="S15" s="1716"/>
      <c r="T15" s="689" t="str">
        <f>IFERROR(IF(R15="","",VLOOKUP($O$6,'Supp. Result Entry'!$B$5:'Supp. Result Entry'!$AS$204,23,0)),"")</f>
        <v/>
      </c>
      <c r="U15" s="689" t="str">
        <f>IFERROR(IF(R15="","",VLOOKUP($O$6,'Supp. Result Entry'!$B$5:'Supp. Result Entry'!$AS$204,24,0)),"")</f>
        <v/>
      </c>
      <c r="V15" s="713" t="str">
        <f>IFERROR(IF(R15="","",VLOOKUP($O$6,'Supp. Result Entry'!$B$5:'Supp. Result Entry'!$AS$204,42,0)),"")</f>
        <v/>
      </c>
      <c r="AK15" s="6" t="str">
        <f>IFERROR(IF(AK14="By Grace Pass","सानुग्रह उतीर्ण एवं कक्षा 10 में क्रमोन्नत",IF(AK14="PASS","उतीर्ण एवं कक्षा 10 में क्रमोन्नत",IF(AK14="SUPPLEMENTARY","पूरक",IF(AK14="Re-Exam","पुनः परीक्षा",IF(AK14="FAIL","अनुतीर्ण",""))))),"")</f>
        <v>उतीर्ण एवं कक्षा 10 में क्रमोन्नत</v>
      </c>
    </row>
    <row r="16" spans="2:37" ht="18.95" customHeight="1">
      <c r="B16" s="1572" t="str">
        <f>IFERROR(VLOOKUP($O$6,'Statement of Marks'!$B$7:'Statement of Marks'!$IC$206,38,0),"")</f>
        <v>गुजराती (73)</v>
      </c>
      <c r="C16" s="1573"/>
      <c r="D16" s="1573"/>
      <c r="E16" s="26">
        <f>IFERROR(VLOOKUP(O6,'Statement of Marks'!$B$7:'Statement of Marks'!$IC$206,39,0),"")</f>
        <v>8</v>
      </c>
      <c r="F16" s="26">
        <f>IFERROR(VLOOKUP(O6,'Statement of Marks'!$B$7:'Statement of Marks'!$IC$206,40,0),"")</f>
        <v>9</v>
      </c>
      <c r="G16" s="26">
        <f>IFERROR(VLOOKUP(O6,'Statement of Marks'!$B$7:'Statement of Marks'!$IC$206,41,0),"")</f>
        <v>8</v>
      </c>
      <c r="H16" s="26">
        <f>IFERROR(VLOOKUP(O6,'Statement of Marks'!$B$7:'Statement of Marks'!$IC$206,42,0),"")</f>
        <v>25</v>
      </c>
      <c r="I16" s="26">
        <f>IFERROR(VLOOKUP(O6,'Statement of Marks'!$B$7:'Statement of Marks'!$IC$206,43,0),"")</f>
        <v>46</v>
      </c>
      <c r="J16" s="26"/>
      <c r="K16" s="347">
        <f>IF(O6="","",IF(AND(I16="",J16=""),"",SUM(I16,J16)))</f>
        <v>46</v>
      </c>
      <c r="L16" s="679">
        <f>IFERROR(IF(O6="","",IF(AND(H16="",K16=""),"",SUM(H16,K16))),"")</f>
        <v>71</v>
      </c>
      <c r="M16" s="26">
        <f>IFERROR(VLOOKUP(O6,'Statement of Marks'!$B$7:'Statement of Marks'!$IC$206,45,0),"")</f>
        <v>45</v>
      </c>
      <c r="N16" s="26"/>
      <c r="O16" s="347">
        <f>IF(O6="","",IF(AND(M16="",N16=""),"",SUM(M16,N16)))</f>
        <v>45</v>
      </c>
      <c r="P16" s="674">
        <f>IFERROR(VLOOKUP(O6,'Statement of Marks'!$B$7:'Statement of Marks'!$IC$206,46,0),"")</f>
        <v>116</v>
      </c>
      <c r="Q16" s="680" t="str">
        <f>IFERROR(IF(P14="","",IF(VLOOKUP(O6,'Statement of Marks'!$B$7:'Statement of Marks'!$IC$206,201,0)="D","I",IF(VLOOKUP(O6,'Statement of Marks'!$B$7:'Statement of Marks'!$IC$206,201,0)="G1","G",IF(VLOOKUP(O6,'Statement of Marks'!$B$7:'Statement of Marks'!$IC$206,201,0)="G2","G",VLOOKUP(O6,'Statement of Marks'!$B$7:'Statement of Marks'!$IC$206,201,0))))),"")</f>
        <v>II</v>
      </c>
      <c r="R16" s="1716" t="str">
        <f t="shared" si="0"/>
        <v/>
      </c>
      <c r="S16" s="1716"/>
      <c r="T16" s="689" t="str">
        <f>IFERROR(IF(R16="","",VLOOKUP($O$6,'Supp. Result Entry'!$B$5:'Supp. Result Entry'!$AS$204,26,0)),"")</f>
        <v/>
      </c>
      <c r="U16" s="689" t="str">
        <f>IFERROR(IF(R16="","",VLOOKUP($O$6,'Supp. Result Entry'!$B$5:'Supp. Result Entry'!$AS$204,27,0)),"")</f>
        <v/>
      </c>
      <c r="V16" s="713" t="str">
        <f>IFERROR(IF(R16="","",VLOOKUP($O$6,'Supp. Result Entry'!$B$5:'Supp. Result Entry'!$AS$204,42,0)),"")</f>
        <v/>
      </c>
    </row>
    <row r="17" spans="2:45" ht="18.95" customHeight="1">
      <c r="B17" s="1572" t="str">
        <f>'Statement of Marks'!BB3</f>
        <v>गणित</v>
      </c>
      <c r="C17" s="1573"/>
      <c r="D17" s="1573"/>
      <c r="E17" s="26">
        <f>IFERROR(VLOOKUP(O6,'Statement of Marks'!$B$7:'Statement of Marks'!$IC$206,53,0),"")</f>
        <v>4</v>
      </c>
      <c r="F17" s="26">
        <f>IFERROR(VLOOKUP(O6,'Statement of Marks'!$B$7:'Statement of Marks'!$IC$206,54,0),"")</f>
        <v>4</v>
      </c>
      <c r="G17" s="26">
        <f>IFERROR(VLOOKUP(O6,'Statement of Marks'!$B$7:'Statement of Marks'!$IC$206,55,0),"")</f>
        <v>9</v>
      </c>
      <c r="H17" s="26">
        <f>IFERROR(VLOOKUP(O6,'Statement of Marks'!$B$7:'Statement of Marks'!$IC$206,56,0),"")</f>
        <v>17</v>
      </c>
      <c r="I17" s="26">
        <f>IFERROR(VLOOKUP(O6,'Statement of Marks'!$B$7:'Statement of Marks'!$IC$206,57,0),"")</f>
        <v>9</v>
      </c>
      <c r="J17" s="26"/>
      <c r="K17" s="347">
        <f>IF(O6="","",IF(AND(I17="",J17=""),"",SUM(I17,J17)))</f>
        <v>9</v>
      </c>
      <c r="L17" s="679">
        <f>IFERROR(IF(O6="","",IF(AND(H17="",K17=""),"",SUM(H17,K17))),"")</f>
        <v>26</v>
      </c>
      <c r="M17" s="26">
        <f>IFERROR(VLOOKUP(O6,'Statement of Marks'!$B$7:'Statement of Marks'!$IC$206,59,0),"")</f>
        <v>34</v>
      </c>
      <c r="N17" s="26"/>
      <c r="O17" s="347">
        <f>IF(O6="","",IF(AND(M17="",N17=""),"",SUM(M17,N17)))</f>
        <v>34</v>
      </c>
      <c r="P17" s="674">
        <f>IFERROR(VLOOKUP(O6,'Statement of Marks'!$B$7:'Statement of Marks'!$IC$206,60,0),"")</f>
        <v>60</v>
      </c>
      <c r="Q17" s="680" t="str">
        <f>IFERROR(IF(P14="","",IF(VLOOKUP(O6,'Statement of Marks'!$B$7:'Statement of Marks'!$IC$206,209,0)="D","I",IF(VLOOKUP(O6,'Statement of Marks'!$B$7:'Statement of Marks'!$IC$206,209,0)="G1","G",IF(VLOOKUP(O6,'Statement of Marks'!$B$7:'Statement of Marks'!$IC$206,209,0)="G2","G",VLOOKUP(O6,'Statement of Marks'!$B$7:'Statement of Marks'!$IC$206,209,0))))),"")</f>
        <v>S</v>
      </c>
      <c r="R17" s="1716" t="str">
        <f t="shared" si="0"/>
        <v>गणित</v>
      </c>
      <c r="S17" s="1716"/>
      <c r="T17" s="689">
        <f>IFERROR(IF(R17="","",VLOOKUP($O$6,'Supp. Result Entry'!$B$5:'Supp. Result Entry'!$AS$204,29,0)),"")</f>
        <v>36</v>
      </c>
      <c r="U17" s="689" t="str">
        <f>IFERROR(IF(R17="","",VLOOKUP($O$6,'Supp. Result Entry'!$B$5:'Supp. Result Entry'!$AS$204,30,0)),"")</f>
        <v>P</v>
      </c>
      <c r="V17" s="713" t="str">
        <f>IFERROR(IF(R17="","",VLOOKUP($O$6,'Supp. Result Entry'!$B$5:'Supp. Result Entry'!$AS$204,42,0)),"")</f>
        <v>PASS</v>
      </c>
    </row>
    <row r="18" spans="2:45" ht="18.95" customHeight="1">
      <c r="B18" s="1572" t="str">
        <f>'Statement of Marks'!BP3</f>
        <v>विज्ञान</v>
      </c>
      <c r="C18" s="1573"/>
      <c r="D18" s="1573"/>
      <c r="E18" s="26">
        <f>IFERROR(VLOOKUP(O6,'Statement of Marks'!$B$7:'Statement of Marks'!$IC$206,67,0),"")</f>
        <v>8</v>
      </c>
      <c r="F18" s="26">
        <f>IFERROR(VLOOKUP(O6,'Statement of Marks'!$B$7:'Statement of Marks'!$IC$206,68,0),"")</f>
        <v>9</v>
      </c>
      <c r="G18" s="26">
        <f>IFERROR(VLOOKUP(O6,'Statement of Marks'!$B$7:'Statement of Marks'!$IC$206,69,0),"")</f>
        <v>10</v>
      </c>
      <c r="H18" s="26">
        <f>IFERROR(VLOOKUP(O6,'Statement of Marks'!$B$7:'Statement of Marks'!$IC$206,70,0),"")</f>
        <v>27</v>
      </c>
      <c r="I18" s="26">
        <f>IFERROR(VLOOKUP(O6,'Statement of Marks'!$B$7:'Statement of Marks'!$IC$206,71,0),"")</f>
        <v>46</v>
      </c>
      <c r="J18" s="26"/>
      <c r="K18" s="347">
        <f>IF(O6="","",IF(AND(I18="",J18=""),"",SUM(I18,J18)))</f>
        <v>46</v>
      </c>
      <c r="L18" s="679">
        <f>IFERROR(IF(O6="","",IF(AND(H18="",K18=""),"",SUM(H18,K18))),"")</f>
        <v>73</v>
      </c>
      <c r="M18" s="26">
        <f>IFERROR(VLOOKUP(O6,'Statement of Marks'!$B$7:'Statement of Marks'!$IC$206,73,0),"")</f>
        <v>45</v>
      </c>
      <c r="N18" s="26"/>
      <c r="O18" s="347">
        <f>IF(O6="","",IF(AND(M18="",N18=""),"",SUM(M18,N18)))</f>
        <v>45</v>
      </c>
      <c r="P18" s="674">
        <f>IFERROR(VLOOKUP(O6,'Statement of Marks'!$B$7:'Statement of Marks'!$IC$206,74,0),"")</f>
        <v>118</v>
      </c>
      <c r="Q18" s="680" t="str">
        <f>IFERROR(IF(P14="","",IF(VLOOKUP(O6,'Statement of Marks'!$B$7:'Statement of Marks'!$IC$206,212,0)="D","I",IF(VLOOKUP(O6,'Statement of Marks'!$B$7:'Statement of Marks'!$IC$206,212,0)="G1","G",IF(VLOOKUP(O6,'Statement of Marks'!$B$7:'Statement of Marks'!$IC$206,212,0)="G2","G",VLOOKUP(O6,'Statement of Marks'!$B$7:'Statement of Marks'!$IC$206,212,0))))),"")</f>
        <v>II</v>
      </c>
      <c r="R18" s="1716" t="str">
        <f t="shared" si="0"/>
        <v/>
      </c>
      <c r="S18" s="1716"/>
      <c r="T18" s="689" t="str">
        <f>IFERROR(IF(R18="","",VLOOKUP($O$6,'Supp. Result Entry'!$B$5:'Supp. Result Entry'!$AS$204,32,0)),"")</f>
        <v/>
      </c>
      <c r="U18" s="689" t="str">
        <f>IFERROR(IF(R18="","",VLOOKUP($O$6,'Supp. Result Entry'!$B$5:'Supp. Result Entry'!$AS$204,33,0)),"")</f>
        <v/>
      </c>
      <c r="V18" s="713" t="str">
        <f>IFERROR(IF(R18="","",VLOOKUP($O$6,'Supp. Result Entry'!$B$5:'Supp. Result Entry'!$AS$204,42,0)),"")</f>
        <v/>
      </c>
    </row>
    <row r="19" spans="2:45" ht="18.95" customHeight="1">
      <c r="B19" s="1579" t="str">
        <f>'Statement of Marks'!CE3</f>
        <v>सामाजिक विज्ञान</v>
      </c>
      <c r="C19" s="1580"/>
      <c r="D19" s="402" t="str">
        <f>IF(AND(O6=""),"",IF(AND(P19&gt;=P21),"*",""))</f>
        <v/>
      </c>
      <c r="E19" s="26">
        <f>IFERROR(VLOOKUP(O6,'Statement of Marks'!$B$7:'Statement of Marks'!$IC$206,82,0),"")</f>
        <v>10</v>
      </c>
      <c r="F19" s="26">
        <f>IFERROR(VLOOKUP(O6,'Statement of Marks'!$B$7:'Statement of Marks'!$IC$206,83,0),"")</f>
        <v>10</v>
      </c>
      <c r="G19" s="26">
        <f>IFERROR(VLOOKUP(O6,'Statement of Marks'!$B$7:'Statement of Marks'!$IC$206,84,0),"")</f>
        <v>10</v>
      </c>
      <c r="H19" s="26">
        <f>IFERROR(VLOOKUP(O6,'Statement of Marks'!$B$7:'Statement of Marks'!$IC$206,85,0),"")</f>
        <v>30</v>
      </c>
      <c r="I19" s="26">
        <f>IFERROR(VLOOKUP(O6,'Statement of Marks'!$B$7:'Statement of Marks'!$IC$206,86,0),"")</f>
        <v>46</v>
      </c>
      <c r="J19" s="26"/>
      <c r="K19" s="347">
        <f>IF(O6="","",IF(AND(I19="",J19=""),"",SUM(I19,J19)))</f>
        <v>46</v>
      </c>
      <c r="L19" s="679">
        <f>IFERROR(IF(O6="","",IF(AND(H19="",K19=""),"",SUM(H19,K19))),"")</f>
        <v>76</v>
      </c>
      <c r="M19" s="26">
        <f>IFERROR(VLOOKUP(O6,'Statement of Marks'!$B$7:'Statement of Marks'!$IC$206,88,0),"")</f>
        <v>45</v>
      </c>
      <c r="N19" s="26"/>
      <c r="O19" s="347">
        <f>IF(O6="","",IF(AND(M19="",N19=""),"",SUM(M19,N19)))</f>
        <v>45</v>
      </c>
      <c r="P19" s="674">
        <f>IFERROR(VLOOKUP(O6,'Statement of Marks'!$B$7:'Statement of Marks'!$IC$206,89,0),"")</f>
        <v>121</v>
      </c>
      <c r="Q19" s="680" t="str">
        <f>IFERROR(IF(P14="","",IF(VLOOKUP(O6,'Statement of Marks'!$B$7:'Statement of Marks'!$IC$206,215,0)="D","I",IF(VLOOKUP(O6,'Statement of Marks'!$B$7:'Statement of Marks'!$IC$206,215,0)="G1","G",IF(VLOOKUP(O6,'Statement of Marks'!$B$7:'Statement of Marks'!$IC$206,215,0)="G2","G",VLOOKUP(O6,'Statement of Marks'!$B$7:'Statement of Marks'!$IC$206,215,0))))),"")</f>
        <v>I</v>
      </c>
      <c r="R19" s="1716" t="str">
        <f t="shared" si="0"/>
        <v/>
      </c>
      <c r="S19" s="1716"/>
      <c r="T19" s="689" t="str">
        <f>IFERROR(IF(R19="","",VLOOKUP($O$6,'Supp. Result Entry'!$B$5:'Supp. Result Entry'!$AS$204,35,0)),"")</f>
        <v/>
      </c>
      <c r="U19" s="689" t="str">
        <f>IFERROR(IF(R19="","",VLOOKUP($O$6,'Supp. Result Entry'!$B$5:'Supp. Result Entry'!$AS$204,36,0)),"")</f>
        <v/>
      </c>
      <c r="V19" s="713" t="str">
        <f>IFERROR(IF(R19="","",VLOOKUP($O$6,'Supp. Result Entry'!$B$5:'Supp. Result Entry'!$AS$204,42,0)),"")</f>
        <v/>
      </c>
    </row>
    <row r="20" spans="2:45" ht="15.75" customHeight="1">
      <c r="B20" s="1576" t="str">
        <f>IF('School Profile'!$D$12="Hindi","व्यावसायिक शिक्षा","Vocational Education")</f>
        <v>व्यावसायिक शिक्षा</v>
      </c>
      <c r="C20" s="1577"/>
      <c r="D20" s="1577"/>
      <c r="E20" s="1577"/>
      <c r="F20" s="1577"/>
      <c r="G20" s="1577"/>
      <c r="H20" s="1577"/>
      <c r="I20" s="1577"/>
      <c r="J20" s="1577"/>
      <c r="K20" s="1577"/>
      <c r="L20" s="1577"/>
      <c r="M20" s="1577"/>
      <c r="N20" s="1577"/>
      <c r="O20" s="1577"/>
      <c r="P20" s="1577"/>
      <c r="Q20" s="1577"/>
      <c r="R20" s="1577"/>
      <c r="S20" s="1578"/>
      <c r="T20" s="1508"/>
      <c r="U20" s="1729"/>
      <c r="V20" s="1509"/>
    </row>
    <row r="21" spans="2:45" ht="18.95" customHeight="1">
      <c r="B21" s="1574" t="str">
        <f>IFERROR(VLOOKUP(O6,'Statement of Marks'!$B$7:'Statement of Marks'!$IC$206,96,0),"")</f>
        <v/>
      </c>
      <c r="C21" s="1575"/>
      <c r="D21" s="398" t="str">
        <f>IF(AND(O6=""),"",IF(OR(B21="",P21=""),"",IF(AND(P21&gt;=P19),"*","")))</f>
        <v/>
      </c>
      <c r="E21" s="397" t="str">
        <f>IFERROR(VLOOKUP(O6,'Statement of Marks'!$B$7:'Statement of Marks'!$IC$206,97,0),"")</f>
        <v/>
      </c>
      <c r="F21" s="26" t="str">
        <f>IFERROR(VLOOKUP(O6,'Statement of Marks'!$B$7:'Statement of Marks'!$IC$206,98,0),"")</f>
        <v/>
      </c>
      <c r="G21" s="26" t="str">
        <f>IFERROR(VLOOKUP(O6,'Statement of Marks'!$B$7:'Statement of Marks'!$IC$206,99,0),"")</f>
        <v/>
      </c>
      <c r="H21" s="26" t="str">
        <f>IFERROR(VLOOKUP(O6,'Statement of Marks'!$B$7:'Statement of Marks'!$IC$206,100,0),"")</f>
        <v/>
      </c>
      <c r="I21" s="27" t="str">
        <f>IFERROR(VLOOKUP(O6,'Statement of Marks'!$B$7:'Statement of Marks'!$IC$206,101,0),"")</f>
        <v/>
      </c>
      <c r="J21" s="27" t="str">
        <f>IFERROR(VLOOKUP(O6,'Statement of Marks'!$B$7:'Statement of Marks'!$IC$206,102,0),"")</f>
        <v/>
      </c>
      <c r="K21" s="347" t="str">
        <f>IFERROR(VLOOKUP(O6,'Statement of Marks'!$B$7:'Statement of Marks'!$IC$206,103,0),"")</f>
        <v/>
      </c>
      <c r="L21" s="679" t="str">
        <f>IFERROR(IF(O6="","",IF(AND(H21="",K21=""),"",SUM(H21,K21))),"")</f>
        <v/>
      </c>
      <c r="M21" s="26" t="str">
        <f>IFERROR(VLOOKUP(O6,'Statement of Marks'!$B$7:'Statement of Marks'!$IC$206,105,0),"")</f>
        <v/>
      </c>
      <c r="N21" s="26" t="str">
        <f>IFERROR(VLOOKUP(O6,'Statement of Marks'!$B$7:'Statement of Marks'!$IC$206,106,0),"")</f>
        <v/>
      </c>
      <c r="O21" s="347" t="str">
        <f>IF(O6="","",IF(AND(M21="",N21=""),"",SUM(M21,N21)))</f>
        <v/>
      </c>
      <c r="P21" s="672" t="str">
        <f>IFERROR(VLOOKUP(O6,'Statement of Marks'!$B$7:'Statement of Marks'!$IC$206,108,0),"")</f>
        <v/>
      </c>
      <c r="Q21" s="348">
        <f>IFERROR(IF(P14="","",IF(VLOOKUP($O$6,'Statement of Marks'!$B$7:'Statement of Marks'!$IC$206,139,0)="G1","G",IF(VLOOKUP($O$6,'Statement of Marks'!$B$7:'Statement of Marks'!$IC$206,139,0)="G2","G",VLOOKUP($O$6,'Statement of Marks'!$B$7:'Statement of Marks'!$IC$206,139,0)))),"")</f>
        <v>0</v>
      </c>
      <c r="R21" s="1716" t="str">
        <f>IF(AND(Q21=""),"",IF(AND(Q21="S"),B21,""))</f>
        <v/>
      </c>
      <c r="S21" s="1716"/>
      <c r="T21" s="689" t="str">
        <f>IFERROR(IF(R21="","",VLOOKUP($O$6,'Supp. Result Entry'!$B$5:'Supp. Result Entry'!$AS$204,38,0)),"")</f>
        <v/>
      </c>
      <c r="U21" s="689" t="str">
        <f>IFERROR(IF(R21="","",VLOOKUP($O$6,'Supp. Result Entry'!$B$5:'Supp. Result Entry'!$AS$204,39,0)),"")</f>
        <v/>
      </c>
      <c r="V21" s="713" t="str">
        <f>IFERROR(IF(R21="","",VLOOKUP($O$6,'Supp. Result Entry'!$B$5:'Supp. Result Entry'!$AS$204,42,0)),"")</f>
        <v/>
      </c>
      <c r="AK21" s="18"/>
      <c r="AL21" s="18"/>
      <c r="AM21" s="18"/>
      <c r="AN21" s="18"/>
      <c r="AO21" s="18"/>
      <c r="AP21" s="18"/>
      <c r="AQ21" s="18"/>
      <c r="AR21" s="18"/>
      <c r="AS21" s="18"/>
    </row>
    <row r="22" spans="2:45" ht="18.95" customHeight="1">
      <c r="B22" s="1596" t="str">
        <f>IF('School Profile'!D12="Hindi","प्राप्तांक","Marks Obtained")</f>
        <v>प्राप्तांक</v>
      </c>
      <c r="C22" s="1597"/>
      <c r="D22" s="1598"/>
      <c r="E22" s="676">
        <f>IF(AND(O6=""),"",IF(AND(E14="",E15="",E16="",E17="",E18=""),"",IF(OR($B$21="",E21=""),SUM(E14:E19),IF(($P$19/$P$13*100)&gt;=($P$21/$P$13*100),SUM(E14:E19),SUM(E14,E15,E16,E17,E18,E21)))))</f>
        <v>46</v>
      </c>
      <c r="F22" s="676">
        <f>IF(AND(O6=""),"",IF(AND(F14="",F15="",F16="",F17="",F18=""),"",IF(OR($B$21="",F21=""),SUM(F14:F19),IF(($P$19/$P$13*100)&gt;=($P$21/$P$13*100),SUM(F14:F19),SUM(F14,F15,F16,F17,F18,F21)))))</f>
        <v>41</v>
      </c>
      <c r="G22" s="676">
        <f>IF(AND(O6=""),"",IF(AND(G14="",G15="",G16="",G17="",G18=""),"",IF(OR($B$21="",G21=""),SUM(G14:G19),IF(($P$19/$P$13*100)&gt;=($P$21/$P$13*100),SUM(G14:G19),SUM(G14,G15,G16,G17,G18,G21)))))</f>
        <v>54</v>
      </c>
      <c r="H22" s="676">
        <f>IF(AND(O6=""),"",IF(AND(H14="",H15="",H16="",H17="",H18=""),"",IF(OR($B$21="",H21=""),SUM(H14:H19),IF(($P$19/$P$13*100)&gt;=($P$21/$P$13*100),SUM(H14:H19),SUM(H14,H15,H16,H17,H18,H21)))))</f>
        <v>141</v>
      </c>
      <c r="I22" s="676">
        <f>IF(AND(O6=""),"",IF(AND(I14="",I15="",I16="",I17="",I18=""),"",IF(OR($B$21="",I21=""),SUM(I14:I19),IF(($P$19/$P$13*100)&gt;=($P$21/$P$13*100),SUM(I14:I19),SUM(I14,I15,I16,I17,I18,I21)))))</f>
        <v>253</v>
      </c>
      <c r="J22" s="676">
        <f>IF(AND(O6=""),"",IF(OR($B$21="",J21=""),SUM(J14:J19),IF(($P$19/$P$13*100)&gt;=($P$21/$P$13*100),SUM(J14:J19),SUM(J14,J15,J16,J17,J18,J21))))</f>
        <v>0</v>
      </c>
      <c r="K22" s="676">
        <f>IF(AND(O6=""),"",IF(AND(K14="",K15="",K16="",K17="",K18=""),"",IF(OR($B$21="",K21=""),SUM(K14:K19),IF(($P$19/$P$13*100)&gt;=($P$21/$P$13*100),SUM(K14:K19),SUM(K14,K15,K16,K17,K18,K21)))))</f>
        <v>253</v>
      </c>
      <c r="L22" s="676">
        <f>IF(AND(O6=""),"",IF(AND(L14="",L15="",L16="",L17="",L18=""),"",IF(OR($B$21="",L21=""),SUM(L14:L19),IF(($P$19/$P$13*100)&gt;=($P$21/$P$13*100),SUM(L14:L19),SUM(L14,L15,L16,L17,L18,L21)))))</f>
        <v>394</v>
      </c>
      <c r="M22" s="676">
        <f>IF(AND(O6=""),"",IF(AND(M14="",M15="",M16="",M17="",M18=""),"",IF(OR($B$21="",M21=""),SUM(M14:M19),IF(($P$19/$P$13*100)&gt;=($P$21/$P$13*100),SUM(M14:M19),SUM(M14,M15,M16,M17,M18,M21)))))</f>
        <v>294</v>
      </c>
      <c r="N22" s="676">
        <f>IF(AND(O6=""),"",IF(OR($B$21="",N21=""),SUM(N14:N19),IF(($P$19/$P$13*100)&gt;=($P$21/$P$13*100),SUM(N14:N19),SUM(N14,N15,N16,N17,N18,N21))))</f>
        <v>0</v>
      </c>
      <c r="O22" s="676">
        <f>IF(AND(O6=""),"",IF(AND(O14="",O15="",O16="",O17="",O18=""),"",IF(OR($B$21="",O21=""),SUM(O14:O19),IF(($P$19/$P$13*100)&gt;=($P$21/$P$13*100),SUM(O14:O19),SUM(O14,O15,O16,O17,O18,O21)))))</f>
        <v>294</v>
      </c>
      <c r="P22" s="677">
        <f>IF(AND(O6=""),"",IF(AND(P14="",P15="",P16="",P17="",P18=""),"",IF(OR(B21="",P21=""),SUM(P14,P15,P16,P17,P18,P19),IF((P19/$P$13*100)&gt;=(P21/$P$13*100),SUM(P14,P15,P16,P17,P18,P19),SUM(P14,P15,P16,P17,P18,P21)))))</f>
        <v>688</v>
      </c>
      <c r="Q22" s="1581" t="str">
        <f>IF('School Profile'!$D$12="Hindi","पूरक परीक्षा के बाद परिणाम","Result  after the Supplementary Exam")</f>
        <v>पूरक परीक्षा के बाद परिणाम</v>
      </c>
      <c r="R22" s="1582"/>
      <c r="S22" s="1582"/>
      <c r="T22" s="1582"/>
      <c r="U22" s="1582"/>
      <c r="V22" s="1583"/>
      <c r="Z22" s="20"/>
      <c r="AK22" s="19"/>
      <c r="AL22" s="19"/>
      <c r="AM22" s="19"/>
      <c r="AN22" s="19"/>
      <c r="AO22" s="19"/>
      <c r="AP22" s="19"/>
      <c r="AQ22" s="19"/>
      <c r="AR22" s="19"/>
    </row>
    <row r="23" spans="2:45" ht="18.95" customHeight="1">
      <c r="B23" s="1599" t="str">
        <f>IF('School Profile'!D12="Hindi","कुल पूर्णांक","Total MAX. Marks")</f>
        <v>कुल पूर्णांक</v>
      </c>
      <c r="C23" s="1600"/>
      <c r="D23" s="1601"/>
      <c r="E23" s="711">
        <f>IF($O6="","",COUNTA(E14:E19)*E13-(COUNTIF(E14:E19,"NA")*E13+COUNTIF(E14:E19,"ML")*E13))</f>
        <v>60</v>
      </c>
      <c r="F23" s="711">
        <f>IF($O6="","",COUNTA(F14:F19)*F13-(COUNTIF(F14:F19,"NA")*F13+COUNTIF(F14:F19,"ML")*F13))</f>
        <v>50</v>
      </c>
      <c r="G23" s="711">
        <f>IF($O6="","",COUNTA(G14:G19)*G13-(COUNTIF(G14:G19,"NA")*G13+COUNTIF(G14:G19,"ML")*G13))</f>
        <v>60</v>
      </c>
      <c r="H23" s="711">
        <f>IF($O6="","",COUNTA(H14:H19)*H13-(COUNTIF(H14:H19,"NA")*H13+COUNTIF(H14:H19,"ML")*H13))</f>
        <v>180</v>
      </c>
      <c r="I23" s="711">
        <f>IF(AND(O6=""),"",IF(OR(B21="",P21=""),COUNTA(I14:I19)*70,IF(($P$19/$P$13*100)&gt;=($P$21/$P$13*100),COUNTA(I14:I19)*70,COUNTA(I14:I18)*70)+35))</f>
        <v>420</v>
      </c>
      <c r="J23" s="711">
        <f>IF($O6="","",COUNTA(J14:J21)*J13-(COUNTIF(J14:J21,"NA")*J13+COUNTIF(J14:J21,"ML")*J13))</f>
        <v>35</v>
      </c>
      <c r="K23" s="711">
        <f>IF($O6="","",COUNTA(K14:K19)*K13-(COUNTIF(K14:K19,"NA")*K13+COUNTIF(K14:K19,"ML")*K13))</f>
        <v>420</v>
      </c>
      <c r="L23" s="711">
        <f>IF($O6="","",COUNTA(L14:L19)*L13-(COUNTIF(L14:L19,"NA")*L13+COUNTIF(L14:L19,"ML")*L13))</f>
        <v>600</v>
      </c>
      <c r="M23" s="711">
        <f>IF(AND(O6=""),"",IF(OR(B21="",P21=""),COUNTA(I14:I19)*100,IF(($P$19/$P$13*100)&gt;=($P$21/$P$13*100),COUNTA(I14:I19)*100,COUNTA(I14:I18)*100)+50))</f>
        <v>600</v>
      </c>
      <c r="N23" s="711">
        <f>IF($O6="","",COUNTA(N14:N21)*N13-(COUNTIF(N14:N21,"NA")*N13+COUNTIF(N14:N21,"ML")*N13))</f>
        <v>50</v>
      </c>
      <c r="O23" s="711">
        <f>IF($O6="","",COUNTA(O14:O19)*O13-(COUNTIF(O14:O19,"NA")*O13+COUNTIF(O14:O19,"ML")*O13))</f>
        <v>600</v>
      </c>
      <c r="P23" s="712">
        <f>IF(O6="","",COUNTA(P14:P19)*P13-(COUNTIF(P14:P19,"NA")*P13+COUNTIF(P14:P19,"ML")*P13))</f>
        <v>1200</v>
      </c>
      <c r="Q23" s="1717" t="str">
        <f>IF('School Profile'!$D$12="Hindi",AK15,AK14)</f>
        <v>उतीर्ण एवं कक्षा 10 में क्रमोन्नत</v>
      </c>
      <c r="R23" s="1718"/>
      <c r="S23" s="1718"/>
      <c r="T23" s="1718"/>
      <c r="U23" s="1718"/>
      <c r="V23" s="1719"/>
      <c r="X23" s="20"/>
      <c r="AK23" s="19"/>
      <c r="AL23" s="19"/>
      <c r="AM23" s="19"/>
      <c r="AN23" s="19"/>
      <c r="AO23" s="19"/>
      <c r="AP23" s="19"/>
      <c r="AQ23" s="19"/>
      <c r="AR23" s="19"/>
    </row>
    <row r="24" spans="2:45" ht="20.100000000000001" customHeight="1">
      <c r="B24" s="1602" t="str">
        <f>IF('School Profile'!D12="Hindi","प्रतिशत","Percentage")</f>
        <v>प्रतिशत</v>
      </c>
      <c r="C24" s="1603"/>
      <c r="D24" s="1604"/>
      <c r="E24" s="678">
        <f>IFERROR(IF(E22="","",E22/E23*100),"")</f>
        <v>76.666666666666671</v>
      </c>
      <c r="F24" s="678">
        <f t="shared" ref="F24:O24" si="1">IFERROR(IF(F22="","",F22/F23*100),"")</f>
        <v>82</v>
      </c>
      <c r="G24" s="678">
        <f t="shared" si="1"/>
        <v>90</v>
      </c>
      <c r="H24" s="678">
        <f t="shared" si="1"/>
        <v>78.333333333333329</v>
      </c>
      <c r="I24" s="678">
        <f t="shared" si="1"/>
        <v>60.238095238095234</v>
      </c>
      <c r="J24" s="678">
        <f t="shared" si="1"/>
        <v>0</v>
      </c>
      <c r="K24" s="678">
        <f t="shared" si="1"/>
        <v>60.238095238095234</v>
      </c>
      <c r="L24" s="678">
        <f t="shared" si="1"/>
        <v>65.666666666666657</v>
      </c>
      <c r="M24" s="678">
        <f t="shared" si="1"/>
        <v>49</v>
      </c>
      <c r="N24" s="678">
        <f t="shared" si="1"/>
        <v>0</v>
      </c>
      <c r="O24" s="678">
        <f t="shared" si="1"/>
        <v>49</v>
      </c>
      <c r="P24" s="673">
        <f>IFERROR(IF(OR(P22="",O6=""),"",VLOOKUP(O6,'Statement of Marks'!$B$7:'Statement of Marks'!$IC$206,233,0)),"")</f>
        <v>60.363636363636367</v>
      </c>
      <c r="Q24" s="1720"/>
      <c r="R24" s="1721"/>
      <c r="S24" s="1721"/>
      <c r="T24" s="1721"/>
      <c r="U24" s="1721"/>
      <c r="V24" s="1722"/>
      <c r="X24" s="20"/>
      <c r="AK24" s="19"/>
      <c r="AL24" s="19"/>
      <c r="AM24" s="19"/>
      <c r="AN24" s="19"/>
      <c r="AO24" s="19"/>
      <c r="AP24" s="19"/>
      <c r="AQ24" s="19"/>
      <c r="AR24" s="19"/>
    </row>
    <row r="25" spans="2:45" ht="18.95" customHeight="1">
      <c r="B25" s="1584" t="str">
        <f>'Statement of Marks'!DZ208</f>
        <v>राजस्थान का स्वंत्रता आन्दोलन व शोर्य परम्परा</v>
      </c>
      <c r="C25" s="1585"/>
      <c r="D25" s="1585"/>
      <c r="E25" s="1585"/>
      <c r="F25" s="1585"/>
      <c r="G25" s="1586" t="str">
        <f>'Statement of Marks'!EL208</f>
        <v>सूचना प्रोद्योगिकी की अवधारणा - I</v>
      </c>
      <c r="H25" s="1586"/>
      <c r="I25" s="1586"/>
      <c r="J25" s="1586"/>
      <c r="K25" s="1586" t="str">
        <f>'Statement of Marks'!FB208</f>
        <v>स्वा. एवं शा. शिक्षा</v>
      </c>
      <c r="L25" s="1586"/>
      <c r="M25" s="1586"/>
      <c r="N25" s="1586"/>
      <c r="O25" s="1586" t="str">
        <f>'Statement of Marks'!FJ208</f>
        <v>समाजोपयोगी उत्पादन कार्य एवं समाज सेवा</v>
      </c>
      <c r="P25" s="1586"/>
      <c r="Q25" s="1586"/>
      <c r="R25" s="1586"/>
      <c r="S25" s="1723" t="str">
        <f>'Statement of Marks'!FU208</f>
        <v>कला शिक्षा</v>
      </c>
      <c r="T25" s="1724"/>
      <c r="U25" s="1724"/>
      <c r="V25" s="1725"/>
      <c r="X25" s="20"/>
      <c r="AK25" s="19"/>
      <c r="AL25" s="19"/>
      <c r="AM25" s="19"/>
      <c r="AN25" s="19"/>
      <c r="AO25" s="19"/>
      <c r="AP25" s="19"/>
      <c r="AQ25" s="19"/>
      <c r="AR25" s="19"/>
    </row>
    <row r="26" spans="2:45" ht="18.95" customHeight="1">
      <c r="B26" s="1503" t="str">
        <f>IF('School Profile'!D12="Hindi","पूर्णांक","MAX. Marks")</f>
        <v>पूर्णांक</v>
      </c>
      <c r="C26" s="1504"/>
      <c r="D26" s="1502" t="str">
        <f>IF('School Profile'!D12="Hindi","प्राप्तांक","Marks Obt.")</f>
        <v>प्राप्तांक</v>
      </c>
      <c r="E26" s="1502"/>
      <c r="F26" s="717" t="str">
        <f>IF('School Profile'!$D$12="Hindi","ग्रेड","Grade")</f>
        <v>ग्रेड</v>
      </c>
      <c r="G26" s="1504" t="str">
        <f>IF('School Profile'!D12="Hindi","पूर्णांक","MAX. Marks")</f>
        <v>पूर्णांक</v>
      </c>
      <c r="H26" s="1504"/>
      <c r="I26" s="715" t="str">
        <f>IF('School Profile'!D12="Hindi","प्राप्तांक","Marks Obt.")</f>
        <v>प्राप्तांक</v>
      </c>
      <c r="J26" s="717" t="str">
        <f>IF('School Profile'!$D$12="Hindi","ग्रेड","Grade")</f>
        <v>ग्रेड</v>
      </c>
      <c r="K26" s="1504" t="str">
        <f>IF('School Profile'!D12="Hindi","पूर्णांक","MAX. Marks")</f>
        <v>पूर्णांक</v>
      </c>
      <c r="L26" s="1504"/>
      <c r="M26" s="715" t="str">
        <f>IF('School Profile'!D12="Hindi","प्राप्तांक","Marks Obt.")</f>
        <v>प्राप्तांक</v>
      </c>
      <c r="N26" s="717" t="str">
        <f>IF('School Profile'!$D$12="Hindi","ग्रेड","Grade")</f>
        <v>ग्रेड</v>
      </c>
      <c r="O26" s="1504" t="str">
        <f>IF('School Profile'!D12="Hindi","पूर्णांक","MAX. Marks")</f>
        <v>पूर्णांक</v>
      </c>
      <c r="P26" s="1504"/>
      <c r="Q26" s="715" t="str">
        <f>IF('School Profile'!D12="Hindi","प्राप्तांक","Marks Obt.")</f>
        <v>प्राप्तांक</v>
      </c>
      <c r="R26" s="717" t="str">
        <f>IF('School Profile'!$D$12="Hindi","ग्रेड","Grade")</f>
        <v>ग्रेड</v>
      </c>
      <c r="S26" s="1730" t="str">
        <f>IF('School Profile'!D12="Hindi","पूर्णांक","MAX. Marks")</f>
        <v>पूर्णांक</v>
      </c>
      <c r="T26" s="1731"/>
      <c r="U26" s="715" t="str">
        <f>IF('School Profile'!D12="Hindi","प्राप्तांक","Marks Obt.")</f>
        <v>प्राप्तांक</v>
      </c>
      <c r="V26" s="719" t="str">
        <f>IF('School Profile'!$D$12="Hindi","ग्रेड","Grade")</f>
        <v>ग्रेड</v>
      </c>
      <c r="X26" s="20"/>
      <c r="AK26" s="19"/>
      <c r="AL26" s="19"/>
      <c r="AM26" s="19"/>
      <c r="AN26" s="19"/>
      <c r="AO26" s="19"/>
      <c r="AP26" s="19"/>
      <c r="AQ26" s="19"/>
      <c r="AR26" s="19"/>
    </row>
    <row r="27" spans="2:45" ht="18.95" customHeight="1">
      <c r="B27" s="1505">
        <f>IFERROR(VLOOKUP(O6,'Statement of Marks'!$B$7:'Statement of Marks'!$IC$206,140,0),"")</f>
        <v>200</v>
      </c>
      <c r="C27" s="1506"/>
      <c r="D27" s="1507">
        <f>IFERROR(VLOOKUP(O6,'Statement of Marks'!$B$7:'Statement of Marks'!$IC$206,136,0),"")</f>
        <v>184</v>
      </c>
      <c r="E27" s="1507"/>
      <c r="F27" s="716" t="str">
        <f>IFERROR(VLOOKUP(O6,'Statement of Marks'!$B$7:'Statement of Marks'!$IC$206,137,0),"")</f>
        <v>A</v>
      </c>
      <c r="G27" s="1506">
        <f>IFERROR(VLOOKUP(O6,'Statement of Marks'!$B$7:'Statement of Marks'!$IC$206,156,0),"")</f>
        <v>200</v>
      </c>
      <c r="H27" s="1506"/>
      <c r="I27" s="684">
        <f>IFERROR(VLOOKUP(O6,'Statement of Marks'!$B$7:'Statement of Marks'!$IC$206,152,0),"")</f>
        <v>168</v>
      </c>
      <c r="J27" s="716" t="str">
        <f>IFERROR(VLOOKUP(O6,'Statement of Marks'!$B$7:'Statement of Marks'!$IC$206,153,0),"")</f>
        <v>A</v>
      </c>
      <c r="K27" s="1506">
        <f>IFERROR(VLOOKUP(O6,'Statement of Marks'!$B$7:'Statement of Marks'!$IC$206,175,0),"")</f>
        <v>200</v>
      </c>
      <c r="L27" s="1506"/>
      <c r="M27" s="684">
        <f>IFERROR(VLOOKUP(O6,'Statement of Marks'!$B$7:'Statement of Marks'!$IC$206,171,0),"")</f>
        <v>171</v>
      </c>
      <c r="N27" s="716" t="str">
        <f>IFERROR(VLOOKUP(O6,'Statement of Marks'!$B$7:'Statement of Marks'!$IC$206,172,0),"")</f>
        <v>A</v>
      </c>
      <c r="O27" s="1506">
        <f>IFERROR(VLOOKUP(O6,'Statement of Marks'!$B$7:'Statement of Marks'!$IC$206,183,0),"")</f>
        <v>100</v>
      </c>
      <c r="P27" s="1506"/>
      <c r="Q27" s="684">
        <f>IFERROR(VLOOKUP(O6,'Statement of Marks'!$B$7:'Statement of Marks'!$IC$206,179,0),"")</f>
        <v>80</v>
      </c>
      <c r="R27" s="716" t="str">
        <f>IFERROR(VLOOKUP(O6,'Statement of Marks'!$B$7:'Statement of Marks'!$IC$206,180,0),"")</f>
        <v>B</v>
      </c>
      <c r="S27" s="1732">
        <f>IFERROR(VLOOKUP(O6,'Statement of Marks'!$B$7:'Statement of Marks'!$IC$206,191,0),"")</f>
        <v>100</v>
      </c>
      <c r="T27" s="1733"/>
      <c r="U27" s="684">
        <f>IFERROR(VLOOKUP(O6,'Statement of Marks'!$B$7:'Statement of Marks'!$IC$206,187,0),"")</f>
        <v>88</v>
      </c>
      <c r="V27" s="720" t="str">
        <f>IFERROR(VLOOKUP(O6,'Statement of Marks'!$B$7:'Statement of Marks'!$IC$206,188,0),"")</f>
        <v>A</v>
      </c>
      <c r="X27" s="20"/>
      <c r="AK27" s="19"/>
      <c r="AL27" s="19"/>
      <c r="AM27" s="19"/>
      <c r="AN27" s="19"/>
      <c r="AO27" s="19"/>
      <c r="AP27" s="19"/>
      <c r="AQ27" s="19"/>
      <c r="AR27" s="19"/>
    </row>
    <row r="28" spans="2:45" ht="18.95" customHeight="1">
      <c r="B28" s="1726" t="str">
        <f>IF('School Profile'!$D$12="Hindi","पूरक परीक्षा परिणाम घोषणा दिनांक :-","Date of Supplementary result declaration :-")</f>
        <v>पूरक परीक्षा परिणाम घोषणा दिनांक :-</v>
      </c>
      <c r="C28" s="1727"/>
      <c r="D28" s="1727"/>
      <c r="E28" s="1727"/>
      <c r="F28" s="1727"/>
      <c r="G28" s="1594">
        <f>IF(AND(O6=""),"",IF('School Profile'!D19="","",'School Profile'!D19))</f>
        <v>45845</v>
      </c>
      <c r="H28" s="1595"/>
      <c r="I28" s="1521" t="str">
        <f>IF('School Profile'!$D$12="Hindi","कुल कार्य दिवस","Total Working Days")</f>
        <v>कुल कार्य दिवस</v>
      </c>
      <c r="J28" s="1521"/>
      <c r="K28" s="1521"/>
      <c r="L28" s="1567" t="str">
        <f>IFERROR(VLOOKUP($O$6,'Statement of Marks'!$B$7:'Statement of Marks'!$IC$206,192,0),"")</f>
        <v/>
      </c>
      <c r="M28" s="1567"/>
      <c r="N28" s="1724" t="str">
        <f>IF('School Profile'!$D$12="Hindi","कुल उपस्थिति","Total  Attendance")</f>
        <v>कुल उपस्थिति</v>
      </c>
      <c r="O28" s="1728"/>
      <c r="P28" s="685" t="str">
        <f>IFERROR(VLOOKUP($O$6,'Statement of Marks'!$B$7:'Statement of Marks'!$IC$206,193,0),"")</f>
        <v/>
      </c>
      <c r="Q28" s="655" t="str">
        <f>IF('School Profile'!$D$12="Hindi","श्रेणी","Division")</f>
        <v>श्रेणी</v>
      </c>
      <c r="R28" s="400" t="str">
        <f>IFERROR(VLOOKUP($O$6,'Statement of Marks'!$B$7:'Statement of Marks'!$IC$206,234,0),"")</f>
        <v>I</v>
      </c>
      <c r="S28" s="1723" t="str">
        <f>IF('School Profile'!D12="Hindi","कक्षा में स्थान","Position in the Class")</f>
        <v>कक्षा में स्थान</v>
      </c>
      <c r="T28" s="1724"/>
      <c r="U28" s="1728"/>
      <c r="V28" s="714"/>
      <c r="W28" s="21"/>
      <c r="X28" s="20"/>
    </row>
    <row r="29" spans="2:45" ht="27.75" customHeight="1">
      <c r="B29" s="1609" t="str">
        <f>IF('School Profile'!D12="Hindi","हस्ताक्षर कक्षाध्यापक","Signature of the class teacher")</f>
        <v>हस्ताक्षर कक्षाध्यापक</v>
      </c>
      <c r="C29" s="1610"/>
      <c r="D29" s="1610"/>
      <c r="E29" s="1610"/>
      <c r="F29" s="1610"/>
      <c r="G29" s="1611"/>
      <c r="H29" s="1606" t="str">
        <f>IF(AND(O6=""),"",CONCATENATE("( ",UPPER('School Profile'!D18)," )"))</f>
        <v>( YOGESH )</v>
      </c>
      <c r="I29" s="1606"/>
      <c r="J29" s="1606"/>
      <c r="K29" s="1606"/>
      <c r="L29" s="1606"/>
      <c r="M29" s="1606"/>
      <c r="N29" s="1606"/>
      <c r="O29" s="1518" t="str">
        <f>IF(AND(O6=""),"",CONCATENATE("( ",UPPER('School Profile'!D14)," )"))</f>
        <v>( DEWANAND )</v>
      </c>
      <c r="P29" s="1519"/>
      <c r="Q29" s="1519"/>
      <c r="R29" s="1519"/>
      <c r="S29" s="1519"/>
      <c r="T29" s="1519"/>
      <c r="U29" s="1519"/>
      <c r="V29" s="1520"/>
      <c r="X29" s="20"/>
    </row>
    <row r="30" spans="2:45" ht="24.75" customHeight="1" thickBot="1">
      <c r="B30" s="1587" t="str">
        <f>IF('School Profile'!D12="Hindi","हस्ताक्षर परीक्षा प्रभारी","Signature of the exam. Incharge")</f>
        <v>हस्ताक्षर परीक्षा प्रभारी</v>
      </c>
      <c r="C30" s="1588"/>
      <c r="D30" s="1588"/>
      <c r="E30" s="1588"/>
      <c r="F30" s="1588"/>
      <c r="G30" s="1589"/>
      <c r="H30" s="1605" t="str">
        <f>IF(AND(O6=""),"",CONCATENATE("( ",UPPER('School Profile'!D15)," )"))</f>
        <v>( HEERALAL JAT )</v>
      </c>
      <c r="I30" s="1605"/>
      <c r="J30" s="1605"/>
      <c r="K30" s="1605"/>
      <c r="L30" s="1605"/>
      <c r="M30" s="1605"/>
      <c r="N30" s="1605"/>
      <c r="O30" s="1515" t="str">
        <f>IF('School Profile'!D12="Hindi","हस्ताक्षर मय सील मोहर संस्था प्रधान","Signature &amp; Seal of the Head of the Institution")</f>
        <v>हस्ताक्षर मय सील मोहर संस्था प्रधान</v>
      </c>
      <c r="P30" s="1516"/>
      <c r="Q30" s="1516"/>
      <c r="R30" s="1516"/>
      <c r="S30" s="1516"/>
      <c r="T30" s="1516"/>
      <c r="U30" s="1516"/>
      <c r="V30" s="1517"/>
    </row>
    <row r="36" spans="33:36">
      <c r="AG36" s="776"/>
      <c r="AH36" s="776"/>
      <c r="AI36" s="776"/>
      <c r="AJ36" s="776"/>
    </row>
    <row r="38" spans="33:36">
      <c r="AH38" s="777">
        <f>N40</f>
        <v>0</v>
      </c>
    </row>
    <row r="39" spans="33:36">
      <c r="AG39">
        <f>YEAR(AH38)</f>
        <v>1900</v>
      </c>
      <c r="AH39">
        <f>MONTH(AH38)</f>
        <v>1</v>
      </c>
      <c r="AI39">
        <f>DAY(AH38)</f>
        <v>0</v>
      </c>
    </row>
    <row r="40" spans="33:36">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
      </c>
    </row>
    <row r="41" spans="33:36">
      <c r="AH41" t="str">
        <f>CONCATENATE(AI40," ",AH40," ",AG40)</f>
        <v xml:space="preserve"> जनवरी </v>
      </c>
    </row>
    <row r="42" spans="33:36">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
      </c>
    </row>
    <row r="43" spans="33:36">
      <c r="AH43" t="str">
        <f>CONCATENATE(AH42," ",AI42,", ",AG42)</f>
        <v xml:space="preserve">JANUARY , </v>
      </c>
    </row>
    <row r="69" spans="33:36">
      <c r="AG69" s="776"/>
      <c r="AH69" s="776"/>
      <c r="AI69" s="776"/>
      <c r="AJ69" s="776"/>
    </row>
    <row r="71" spans="33:36">
      <c r="AH71" s="777">
        <f>N73</f>
        <v>0</v>
      </c>
    </row>
    <row r="72" spans="33:36">
      <c r="AG72">
        <f>YEAR(AH71)</f>
        <v>1900</v>
      </c>
      <c r="AH72">
        <f>MONTH(AH71)</f>
        <v>1</v>
      </c>
      <c r="AI72">
        <f>DAY(AH71)</f>
        <v>0</v>
      </c>
    </row>
    <row r="73" spans="33:36">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
      </c>
      <c r="AH73" t="str">
        <f>IF(AH72=1,"जनवरी",IF(AH72=2,"फरवरी",IF(AH72=3,"मार्च",IF(AH72=4,"अप्रैल",IF(AH72=5,"मई",IF(AH72=6,"जून",IF(AH72=7,"जुलाई",IF(AH72=8,"अगस्त",IF(AH72=9,"सितम्बर",IF(AH72=10,"अक्टूबर",IF(AH72=11,"नवम्बर",IF(AH72=12,"दिसम्बर",""))))))))))))</f>
        <v>जनवरी</v>
      </c>
      <c r="AI73" t="str">
        <f>IF(AI72=1,"एक",IF(AI72=2,"दो",IF(AI72=3,"तीन",IF(AI72=4,"चार",IF(AI72=5,"पांच",IF(AI72=6,"छः",IF(AI72=7,"सात",IF(AI72=8,"आठ",IF(AI72=9,"नौ",IF(AI72=10,"दस",IF(AI72=11,"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
      </c>
    </row>
    <row r="74" spans="33:36">
      <c r="AH74" t="str">
        <f>CONCATENATE(AI73," ",AH73," ",AG73)</f>
        <v xml:space="preserve"> जनवरी </v>
      </c>
    </row>
    <row r="75" spans="33:36">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
      </c>
      <c r="AH75" t="str">
        <f>IF(AH72=1,"JANUARY",IF(AH72=2,"FEBUARY", IF(AH72=3,"MARCH",IF(AH72=4,"APRIL",IF(AH72=5,"MAY",IF(AH72=6,"JUNE",IF(AH72=7,"JULY",IF(AH72=8,"AUGUST",IF(AH72=9,"SEPTEMBER",IF(AH72=10,"OCTOBER",IF(AH72=11,"NOVEMBER",IF(AH72=12,"DECEMBER",""))))))))))))</f>
        <v>JANUARY</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
      </c>
    </row>
    <row r="76" spans="33:36">
      <c r="AH76" t="str">
        <f>CONCATENATE(AH75," ",AI75,", ",AG75)</f>
        <v xml:space="preserve">JANUARY , </v>
      </c>
    </row>
    <row r="102" spans="33:36">
      <c r="AG102" s="776"/>
      <c r="AH102" s="776"/>
      <c r="AI102" s="776"/>
      <c r="AJ102" s="776"/>
    </row>
    <row r="104" spans="33:36">
      <c r="AH104" s="777">
        <f>N106</f>
        <v>0</v>
      </c>
    </row>
    <row r="105" spans="33:36">
      <c r="AG105">
        <f>YEAR(AH104)</f>
        <v>1900</v>
      </c>
      <c r="AH105">
        <f>MONTH(AH104)</f>
        <v>1</v>
      </c>
      <c r="AI105">
        <f>DAY(AH104)</f>
        <v>0</v>
      </c>
    </row>
    <row r="106" spans="33:36">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
      </c>
      <c r="AH106" t="str">
        <f>IF(AH105=1,"जनवरी",IF(AH105=2,"फरवरी",IF(AH105=3,"मार्च",IF(AH105=4,"अप्रैल",IF(AH105=5,"मई",IF(AH105=6,"जून",IF(AH105=7,"जुलाई",IF(AH105=8,"अगस्त",IF(AH105=9,"सितम्बर",IF(AH105=10,"अक्टूबर",IF(AH105=11,"नवम्बर",IF(AH105=12,"दिसम्बर",""))))))))))))</f>
        <v>जनवरी</v>
      </c>
      <c r="AI106" t="str">
        <f>IF(AI105=1,"एक",IF(AI105=2,"दो",IF(AI105=3,"तीन",IF(AI105=4,"चार",IF(AI105=5,"पांच",IF(AI105=6,"छः",IF(AI105=7,"सात",IF(AI105=8,"आठ",IF(AI105=9,"नौ",IF(AI105=10,"दस",IF(AI105=11,"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
      </c>
    </row>
    <row r="107" spans="33:36">
      <c r="AH107" t="str">
        <f>CONCATENATE(AI106," ",AH106," ",AG106)</f>
        <v xml:space="preserve"> जनवरी </v>
      </c>
    </row>
    <row r="108" spans="33:36">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
      </c>
      <c r="AH108" t="str">
        <f>IF(AH105=1,"JANUARY",IF(AH105=2,"FEBUARY", IF(AH105=3,"MARCH",IF(AH105=4,"APRIL",IF(AH105=5,"MAY",IF(AH105=6,"JUNE",IF(AH105=7,"JULY",IF(AH105=8,"AUGUST",IF(AH105=9,"SEPTEMBER",IF(AH105=10,"OCTOBER",IF(AH105=11,"NOVEMBER",IF(AH105=12,"DECEMBER",""))))))))))))</f>
        <v>JANUARY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
      </c>
    </row>
    <row r="109" spans="33:36">
      <c r="AH109" t="str">
        <f>CONCATENATE(AH108," ",AI108,", ",AG108)</f>
        <v xml:space="preserve">JANUARY , </v>
      </c>
    </row>
    <row r="135" spans="33:36">
      <c r="AG135" s="776"/>
      <c r="AH135" s="776"/>
      <c r="AI135" s="776"/>
      <c r="AJ135" s="776"/>
    </row>
    <row r="137" spans="33:36">
      <c r="AH137" s="777">
        <f>N139</f>
        <v>0</v>
      </c>
    </row>
    <row r="138" spans="33:36">
      <c r="AG138">
        <f>YEAR(AH137)</f>
        <v>1900</v>
      </c>
      <c r="AH138">
        <f>MONTH(AH137)</f>
        <v>1</v>
      </c>
      <c r="AI138">
        <f>DAY(AH137)</f>
        <v>0</v>
      </c>
    </row>
    <row r="139" spans="33:36">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
      </c>
      <c r="AH139" t="str">
        <f>IF(AH138=1,"जनवरी",IF(AH138=2,"फरवरी",IF(AH138=3,"मार्च",IF(AH138=4,"अप्रैल",IF(AH138=5,"मई",IF(AH138=6,"जून",IF(AH138=7,"जुलाई",IF(AH138=8,"अगस्त",IF(AH138=9,"सितम्बर",IF(AH138=10,"अक्टूबर",IF(AH138=11,"नवम्बर",IF(AH138=12,"दिसम्बर",""))))))))))))</f>
        <v>जनवरी</v>
      </c>
      <c r="AI139" t="str">
        <f>IF(AI138=1,"एक",IF(AI138=2,"दो",IF(AI138=3,"तीन",IF(AI138=4,"चार",IF(AI138=5,"पांच",IF(AI138=6,"छः",IF(AI138=7,"सात",IF(AI138=8,"आठ",IF(AI138=9,"नौ",IF(AI138=10,"दस",IF(AI138=11,"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
      </c>
    </row>
    <row r="140" spans="33:36">
      <c r="AH140" t="str">
        <f>CONCATENATE(AI139," ",AH139," ",AG139)</f>
        <v xml:space="preserve"> जनवरी </v>
      </c>
    </row>
    <row r="141" spans="33:36">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
      </c>
      <c r="AH141" t="str">
        <f>IF(AH138=1,"JANUARY",IF(AH138=2,"FEBUARY", IF(AH138=3,"MARCH",IF(AH138=4,"APRIL",IF(AH138=5,"MAY",IF(AH138=6,"JUNE",IF(AH138=7,"JULY",IF(AH138=8,"AUGUST",IF(AH138=9,"SEPTEMBER",IF(AH138=10,"OCTOBER",IF(AH138=11,"NOVEMBER",IF(AH138=12,"DECEMBER",""))))))))))))</f>
        <v>JANUARY</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
      </c>
    </row>
    <row r="142" spans="33:36">
      <c r="AH142" t="str">
        <f>CONCATENATE(AH141," ",AI141,", ",AG141)</f>
        <v xml:space="preserve">JANUARY , </v>
      </c>
    </row>
    <row r="168" spans="33:36">
      <c r="AG168" s="776"/>
      <c r="AH168" s="776"/>
      <c r="AI168" s="776"/>
      <c r="AJ168" s="776"/>
    </row>
    <row r="170" spans="33:36">
      <c r="AH170" s="777">
        <f>N172</f>
        <v>0</v>
      </c>
    </row>
    <row r="171" spans="33:36">
      <c r="AG171">
        <f>YEAR(AH170)</f>
        <v>1900</v>
      </c>
      <c r="AH171">
        <f>MONTH(AH170)</f>
        <v>1</v>
      </c>
      <c r="AI171">
        <f>DAY(AH170)</f>
        <v>0</v>
      </c>
    </row>
    <row r="172" spans="33:36">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
      </c>
      <c r="AH172" t="str">
        <f>IF(AH171=1,"जनवरी",IF(AH171=2,"फरवरी",IF(AH171=3,"मार्च",IF(AH171=4,"अप्रैल",IF(AH171=5,"मई",IF(AH171=6,"जून",IF(AH171=7,"जुलाई",IF(AH171=8,"अगस्त",IF(AH171=9,"सितम्बर",IF(AH171=10,"अक्टूबर",IF(AH171=11,"नवम्बर",IF(AH171=12,"दिसम्बर",""))))))))))))</f>
        <v>जनवरी</v>
      </c>
      <c r="AI172" t="str">
        <f>IF(AI171=1,"एक",IF(AI171=2,"दो",IF(AI171=3,"तीन",IF(AI171=4,"चार",IF(AI171=5,"पांच",IF(AI171=6,"छः",IF(AI171=7,"सात",IF(AI171=8,"आठ",IF(AI171=9,"नौ",IF(AI171=10,"दस",IF(AI171=11,"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
      </c>
    </row>
    <row r="173" spans="33:36">
      <c r="AH173" t="str">
        <f>CONCATENATE(AI172," ",AH172," ",AG172)</f>
        <v xml:space="preserve"> जनवरी </v>
      </c>
    </row>
    <row r="174" spans="33:36">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
      </c>
      <c r="AH174" t="str">
        <f>IF(AH171=1,"JANUARY",IF(AH171=2,"FEBUARY", IF(AH171=3,"MARCH",IF(AH171=4,"APRIL",IF(AH171=5,"MAY",IF(AH171=6,"JUNE",IF(AH171=7,"JULY",IF(AH171=8,"AUGUST",IF(AH171=9,"SEPTEMBER",IF(AH171=10,"OCTOBER",IF(AH171=11,"NOVEMBER",IF(AH171=12,"DECEMBER",""))))))))))))</f>
        <v>JANUARY</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
      </c>
    </row>
    <row r="175" spans="33:36">
      <c r="AH175" t="str">
        <f>CONCATENATE(AH174," ",AI174,", ",AG174)</f>
        <v xml:space="preserve">JANUARY , </v>
      </c>
    </row>
    <row r="201" spans="33:36">
      <c r="AG201" s="776"/>
      <c r="AH201" s="776"/>
      <c r="AI201" s="776"/>
      <c r="AJ201" s="776"/>
    </row>
    <row r="203" spans="33:36">
      <c r="AH203" s="777">
        <f>N205</f>
        <v>0</v>
      </c>
    </row>
    <row r="204" spans="33:36">
      <c r="AG204">
        <f>YEAR(AH203)</f>
        <v>1900</v>
      </c>
      <c r="AH204">
        <f>MONTH(AH203)</f>
        <v>1</v>
      </c>
      <c r="AI204">
        <f>DAY(AH203)</f>
        <v>0</v>
      </c>
    </row>
    <row r="205" spans="33:36">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
      </c>
      <c r="AH205" t="str">
        <f>IF(AH204=1,"जनवरी",IF(AH204=2,"फरवरी",IF(AH204=3,"मार्च",IF(AH204=4,"अप्रैल",IF(AH204=5,"मई",IF(AH204=6,"जून",IF(AH204=7,"जुलाई",IF(AH204=8,"अगस्त",IF(AH204=9,"सितम्बर",IF(AH204=10,"अक्टूबर",IF(AH204=11,"नवम्बर",IF(AH204=12,"दिसम्बर",""))))))))))))</f>
        <v>जनवरी</v>
      </c>
      <c r="AI205" t="str">
        <f>IF(AI204=1,"एक",IF(AI204=2,"दो",IF(AI204=3,"तीन",IF(AI204=4,"चार",IF(AI204=5,"पांच",IF(AI204=6,"छः",IF(AI204=7,"सात",IF(AI204=8,"आठ",IF(AI204=9,"नौ",IF(AI204=10,"दस",IF(AI204=11,"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
      </c>
    </row>
    <row r="206" spans="33:36">
      <c r="AH206" t="str">
        <f>CONCATENATE(AI205," ",AH205," ",AG205)</f>
        <v xml:space="preserve"> जनवरी </v>
      </c>
    </row>
    <row r="207" spans="33:36">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
      </c>
      <c r="AH207" t="str">
        <f>IF(AH204=1,"JANUARY",IF(AH204=2,"FEBUARY", IF(AH204=3,"MARCH",IF(AH204=4,"APRIL",IF(AH204=5,"MAY",IF(AH204=6,"JUNE",IF(AH204=7,"JULY",IF(AH204=8,"AUGUST",IF(AH204=9,"SEPTEMBER",IF(AH204=10,"OCTOBER",IF(AH204=11,"NOVEMBER",IF(AH204=12,"DECEMBER",""))))))))))))</f>
        <v>JANUARY</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
      </c>
    </row>
    <row r="208" spans="33:36">
      <c r="AH208" t="str">
        <f>CONCATENATE(AH207," ",AI207,", ",AG207)</f>
        <v xml:space="preserve">JANUARY , </v>
      </c>
    </row>
    <row r="234" spans="33:36">
      <c r="AG234" s="776"/>
      <c r="AH234" s="776"/>
      <c r="AI234" s="776"/>
      <c r="AJ234" s="776"/>
    </row>
    <row r="236" spans="33:36">
      <c r="AH236" s="777">
        <f>N238</f>
        <v>0</v>
      </c>
    </row>
    <row r="237" spans="33:36">
      <c r="AG237">
        <f>YEAR(AH236)</f>
        <v>1900</v>
      </c>
      <c r="AH237">
        <f>MONTH(AH236)</f>
        <v>1</v>
      </c>
      <c r="AI237">
        <f>DAY(AH236)</f>
        <v>0</v>
      </c>
    </row>
    <row r="238" spans="33:36">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
      </c>
      <c r="AH238" t="str">
        <f>IF(AH237=1,"जनवरी",IF(AH237=2,"फरवरी",IF(AH237=3,"मार्च",IF(AH237=4,"अप्रैल",IF(AH237=5,"मई",IF(AH237=6,"जून",IF(AH237=7,"जुलाई",IF(AH237=8,"अगस्त",IF(AH237=9,"सितम्बर",IF(AH237=10,"अक्टूबर",IF(AH237=11,"नवम्बर",IF(AH237=12,"दिसम्बर",""))))))))))))</f>
        <v>जनवरी</v>
      </c>
      <c r="AI238" t="str">
        <f>IF(AI237=1,"एक",IF(AI237=2,"दो",IF(AI237=3,"तीन",IF(AI237=4,"चार",IF(AI237=5,"पांच",IF(AI237=6,"छः",IF(AI237=7,"सात",IF(AI237=8,"आठ",IF(AI237=9,"नौ",IF(AI237=10,"दस",IF(AI237=11,"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
      </c>
    </row>
    <row r="239" spans="33:36">
      <c r="AH239" t="str">
        <f>CONCATENATE(AI238," ",AH238," ",AG238)</f>
        <v xml:space="preserve"> जनवरी </v>
      </c>
    </row>
    <row r="240" spans="33:36">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
      </c>
      <c r="AH240" t="str">
        <f>IF(AH237=1,"JANUARY",IF(AH237=2,"FEBUARY", IF(AH237=3,"MARCH",IF(AH237=4,"APRIL",IF(AH237=5,"MAY",IF(AH237=6,"JUNE",IF(AH237=7,"JULY",IF(AH237=8,"AUGUST",IF(AH237=9,"SEPTEMBER",IF(AH237=10,"OCTOBER",IF(AH237=11,"NOVEMBER",IF(AH237=12,"DECEMBER",""))))))))))))</f>
        <v>JANUARY</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
      </c>
    </row>
    <row r="241" spans="34:34">
      <c r="AH241" t="str">
        <f>CONCATENATE(AH240," ",AI240,", ",AG240)</f>
        <v xml:space="preserve">JANUARY , </v>
      </c>
    </row>
    <row r="267" spans="33:36">
      <c r="AG267" s="776"/>
      <c r="AH267" s="776"/>
      <c r="AI267" s="776"/>
      <c r="AJ267" s="776"/>
    </row>
    <row r="269" spans="33:36">
      <c r="AH269" s="777">
        <f>N271</f>
        <v>0</v>
      </c>
    </row>
    <row r="270" spans="33:36">
      <c r="AG270">
        <f>YEAR(AH269)</f>
        <v>1900</v>
      </c>
      <c r="AH270">
        <f>MONTH(AH269)</f>
        <v>1</v>
      </c>
      <c r="AI270">
        <f>DAY(AH269)</f>
        <v>0</v>
      </c>
    </row>
    <row r="271" spans="33:36">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
      </c>
      <c r="AH271" t="str">
        <f>IF(AH270=1,"जनवरी",IF(AH270=2,"फरवरी",IF(AH270=3,"मार्च",IF(AH270=4,"अप्रैल",IF(AH270=5,"मई",IF(AH270=6,"जून",IF(AH270=7,"जुलाई",IF(AH270=8,"अगस्त",IF(AH270=9,"सितम्बर",IF(AH270=10,"अक्टूबर",IF(AH270=11,"नवम्बर",IF(AH270=12,"दिसम्बर",""))))))))))))</f>
        <v>जनवरी</v>
      </c>
      <c r="AI271" t="str">
        <f>IF(AI270=1,"एक",IF(AI270=2,"दो",IF(AI270=3,"तीन",IF(AI270=4,"चार",IF(AI270=5,"पांच",IF(AI270=6,"छः",IF(AI270=7,"सात",IF(AI270=8,"आठ",IF(AI270=9,"नौ",IF(AI270=10,"दस",IF(AI270=11,"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
      </c>
    </row>
    <row r="272" spans="33:36">
      <c r="AH272" t="str">
        <f>CONCATENATE(AI271," ",AH271," ",AG271)</f>
        <v xml:space="preserve"> जनवरी </v>
      </c>
    </row>
    <row r="273" spans="33:35">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
      </c>
      <c r="AH273" t="str">
        <f>IF(AH270=1,"JANUARY",IF(AH270=2,"FEBUARY", IF(AH270=3,"MARCH",IF(AH270=4,"APRIL",IF(AH270=5,"MAY",IF(AH270=6,"JUNE",IF(AH270=7,"JULY",IF(AH270=8,"AUGUST",IF(AH270=9,"SEPTEMBER",IF(AH270=10,"OCTOBER",IF(AH270=11,"NOVEMBER",IF(AH270=12,"DECEMBER",""))))))))))))</f>
        <v>JANUARY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
      </c>
    </row>
    <row r="274" spans="33:35">
      <c r="AH274" t="str">
        <f>CONCATENATE(AH273," ",AI273,", ",AG273)</f>
        <v xml:space="preserve">JANUARY , </v>
      </c>
    </row>
    <row r="300" spans="33:36">
      <c r="AG300" s="776"/>
      <c r="AH300" s="776"/>
      <c r="AI300" s="776"/>
      <c r="AJ300" s="776"/>
    </row>
    <row r="302" spans="33:36">
      <c r="AH302" s="777">
        <f>N304</f>
        <v>0</v>
      </c>
    </row>
    <row r="303" spans="33:36">
      <c r="AG303">
        <f>YEAR(AH302)</f>
        <v>1900</v>
      </c>
      <c r="AH303">
        <f>MONTH(AH302)</f>
        <v>1</v>
      </c>
      <c r="AI303">
        <f>DAY(AH302)</f>
        <v>0</v>
      </c>
    </row>
    <row r="304" spans="33:36">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
      </c>
      <c r="AH304" t="str">
        <f>IF(AH303=1,"जनवरी",IF(AH303=2,"फरवरी",IF(AH303=3,"मार्च",IF(AH303=4,"अप्रैल",IF(AH303=5,"मई",IF(AH303=6,"जून",IF(AH303=7,"जुलाई",IF(AH303=8,"अगस्त",IF(AH303=9,"सितम्बर",IF(AH303=10,"अक्टूबर",IF(AH303=11,"नवम्बर",IF(AH303=12,"दिसम्बर",""))))))))))))</f>
        <v>जनवरी</v>
      </c>
      <c r="AI304" t="str">
        <f>IF(AI303=1,"एक",IF(AI303=2,"दो",IF(AI303=3,"तीन",IF(AI303=4,"चार",IF(AI303=5,"पांच",IF(AI303=6,"छः",IF(AI303=7,"सात",IF(AI303=8,"आठ",IF(AI303=9,"नौ",IF(AI303=10,"दस",IF(AI303=11,"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
      </c>
    </row>
    <row r="305" spans="33:35">
      <c r="AH305" t="str">
        <f>CONCATENATE(AI304," ",AH304," ",AG304)</f>
        <v xml:space="preserve"> जनवरी </v>
      </c>
    </row>
    <row r="306" spans="33:35">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
      </c>
      <c r="AH306" t="str">
        <f>IF(AH303=1,"JANUARY",IF(AH303=2,"FEBUARY", IF(AH303=3,"MARCH",IF(AH303=4,"APRIL",IF(AH303=5,"MAY",IF(AH303=6,"JUNE",IF(AH303=7,"JULY",IF(AH303=8,"AUGUST",IF(AH303=9,"SEPTEMBER",IF(AH303=10,"OCTOBER",IF(AH303=11,"NOVEMBER",IF(AH303=12,"DECEMBER",""))))))))))))</f>
        <v>JANUARY</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
      </c>
    </row>
    <row r="307" spans="33:35">
      <c r="AH307" t="str">
        <f>CONCATENATE(AH306," ",AI306,", ",AG306)</f>
        <v xml:space="preserve">JANUARY , </v>
      </c>
    </row>
  </sheetData>
  <sheetProtection password="B18A" sheet="1" objects="1" scenarios="1" formatCells="0" formatColumns="0" formatRows="0"/>
  <mergeCells count="86">
    <mergeCell ref="B11:D12"/>
    <mergeCell ref="E11:H11"/>
    <mergeCell ref="I11:K11"/>
    <mergeCell ref="L11:L12"/>
    <mergeCell ref="M11:O11"/>
    <mergeCell ref="B7:E7"/>
    <mergeCell ref="F7:L7"/>
    <mergeCell ref="D3:T3"/>
    <mergeCell ref="I4:P4"/>
    <mergeCell ref="E2:T2"/>
    <mergeCell ref="M5:N5"/>
    <mergeCell ref="M6:N6"/>
    <mergeCell ref="M7:N7"/>
    <mergeCell ref="O7:P7"/>
    <mergeCell ref="I1:P1"/>
    <mergeCell ref="S28:U28"/>
    <mergeCell ref="T20:V20"/>
    <mergeCell ref="S26:T26"/>
    <mergeCell ref="S27:T27"/>
    <mergeCell ref="V12:V13"/>
    <mergeCell ref="O9:T9"/>
    <mergeCell ref="P11:P12"/>
    <mergeCell ref="L9:N9"/>
    <mergeCell ref="M8:N8"/>
    <mergeCell ref="B20:S20"/>
    <mergeCell ref="B21:C21"/>
    <mergeCell ref="R21:S21"/>
    <mergeCell ref="B22:D22"/>
    <mergeCell ref="Q22:V22"/>
    <mergeCell ref="B18:D18"/>
    <mergeCell ref="B29:G29"/>
    <mergeCell ref="B30:G30"/>
    <mergeCell ref="H29:N29"/>
    <mergeCell ref="O29:V29"/>
    <mergeCell ref="B28:F28"/>
    <mergeCell ref="G28:H28"/>
    <mergeCell ref="H30:N30"/>
    <mergeCell ref="O30:V30"/>
    <mergeCell ref="I28:K28"/>
    <mergeCell ref="L28:M28"/>
    <mergeCell ref="N28:O28"/>
    <mergeCell ref="B23:D23"/>
    <mergeCell ref="Q23:V24"/>
    <mergeCell ref="B24:D24"/>
    <mergeCell ref="S25:V25"/>
    <mergeCell ref="B25:F25"/>
    <mergeCell ref="G25:J25"/>
    <mergeCell ref="K25:N25"/>
    <mergeCell ref="O25:R25"/>
    <mergeCell ref="R18:S18"/>
    <mergeCell ref="B16:D16"/>
    <mergeCell ref="R16:S16"/>
    <mergeCell ref="B19:C19"/>
    <mergeCell ref="R19:S19"/>
    <mergeCell ref="B14:D14"/>
    <mergeCell ref="R14:S14"/>
    <mergeCell ref="B15:D15"/>
    <mergeCell ref="R15:S15"/>
    <mergeCell ref="B17:D17"/>
    <mergeCell ref="R17:S17"/>
    <mergeCell ref="AC3:AE13"/>
    <mergeCell ref="B5:E5"/>
    <mergeCell ref="F5:H5"/>
    <mergeCell ref="I5:K5"/>
    <mergeCell ref="B6:E6"/>
    <mergeCell ref="F6:L6"/>
    <mergeCell ref="B8:E8"/>
    <mergeCell ref="F8:L8"/>
    <mergeCell ref="O8:R8"/>
    <mergeCell ref="O6:P6"/>
    <mergeCell ref="Q11:Q13"/>
    <mergeCell ref="R11:V11"/>
    <mergeCell ref="R12:S13"/>
    <mergeCell ref="T12:T13"/>
    <mergeCell ref="U12:U13"/>
    <mergeCell ref="B13:D13"/>
    <mergeCell ref="D26:E26"/>
    <mergeCell ref="G26:H26"/>
    <mergeCell ref="K26:L26"/>
    <mergeCell ref="O26:P26"/>
    <mergeCell ref="B27:C27"/>
    <mergeCell ref="D27:E27"/>
    <mergeCell ref="G27:H27"/>
    <mergeCell ref="K27:L27"/>
    <mergeCell ref="O27:P27"/>
    <mergeCell ref="B26:C26"/>
  </mergeCells>
  <conditionalFormatting sqref="I5:J5 B22:B25">
    <cfRule type="expression" dxfId="9" priority="16">
      <formula>ISERROR(B5)</formula>
    </cfRule>
  </conditionalFormatting>
  <conditionalFormatting sqref="B19:B20">
    <cfRule type="expression" dxfId="8" priority="14" stopIfTrue="1">
      <formula>P19&gt;P21</formula>
    </cfRule>
    <cfRule type="cellIs" dxfId="7" priority="15" operator="greaterThan">
      <formula>$P$19&gt;$P$21</formula>
    </cfRule>
  </conditionalFormatting>
  <conditionalFormatting sqref="B21">
    <cfRule type="expression" dxfId="6" priority="13" stopIfTrue="1">
      <formula>$P21&gt;$P19</formula>
    </cfRule>
  </conditionalFormatting>
  <conditionalFormatting sqref="Q21 Q14:Q19">
    <cfRule type="cellIs" dxfId="5" priority="10" operator="equal">
      <formula>"F"</formula>
    </cfRule>
    <cfRule type="cellIs" dxfId="4" priority="11" operator="equal">
      <formula>"S"</formula>
    </cfRule>
    <cfRule type="cellIs" dxfId="3" priority="12" stopIfTrue="1" operator="equal">
      <formula>"G"</formula>
    </cfRule>
  </conditionalFormatting>
  <conditionalFormatting sqref="B20">
    <cfRule type="expression" dxfId="2" priority="4" stopIfTrue="1">
      <formula>P20&gt;P22</formula>
    </cfRule>
    <cfRule type="cellIs" dxfId="1" priority="5" operator="greaterThan">
      <formula>$P$19&gt;$P$21</formula>
    </cfRule>
  </conditionalFormatting>
  <conditionalFormatting sqref="B21">
    <cfRule type="expression" dxfId="0" priority="2" stopIfTrue="1">
      <formula>$P21&gt;$P19</formula>
    </cfRule>
  </conditionalFormatting>
  <pageMargins left="0.7" right="0.45" top="0.25" bottom="0.25" header="0" footer="0.05"/>
  <pageSetup paperSize="9" scale="92"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U76"/>
  <sheetViews>
    <sheetView showGridLines="0" showRowColHeaders="0" workbookViewId="0">
      <selection activeCell="J10" sqref="J10"/>
    </sheetView>
  </sheetViews>
  <sheetFormatPr defaultColWidth="0" defaultRowHeight="15" zeroHeight="1"/>
  <cols>
    <col min="1" max="2" width="4.25" style="6" customWidth="1"/>
    <col min="3" max="3" width="45.625" style="6" customWidth="1"/>
    <col min="4" max="4" width="68.625" style="6" customWidth="1"/>
    <col min="5" max="5" width="3.75" style="6" customWidth="1"/>
    <col min="6" max="6" width="5.5" style="6" customWidth="1"/>
    <col min="7" max="7" width="13.25" style="6" customWidth="1"/>
    <col min="8" max="8" width="4.625" style="6" customWidth="1"/>
    <col min="9" max="9" width="17.25" style="6" customWidth="1"/>
    <col min="10" max="10" width="27.375" style="6" customWidth="1"/>
    <col min="11" max="11" width="5.25" style="6" customWidth="1"/>
    <col min="12" max="12" width="18.25" style="6" customWidth="1"/>
    <col min="13" max="13" width="20" style="6" customWidth="1"/>
    <col min="14" max="14" width="12.75" style="6" customWidth="1"/>
    <col min="15" max="15" width="16.25" style="6" hidden="1" customWidth="1"/>
    <col min="16" max="16" width="13.25" style="6" hidden="1" customWidth="1"/>
    <col min="17" max="17" width="18.625" style="6" hidden="1" customWidth="1"/>
    <col min="18" max="18" width="16.25" style="6" hidden="1" customWidth="1"/>
    <col min="19" max="19" width="9" style="6" hidden="1" customWidth="1"/>
    <col min="20" max="20" width="10" style="6" hidden="1" customWidth="1"/>
    <col min="21" max="21" width="14.75" style="6" hidden="1" customWidth="1"/>
    <col min="22" max="22" width="23.625" style="6" hidden="1" customWidth="1"/>
    <col min="23" max="23" width="20" style="6" hidden="1" customWidth="1"/>
    <col min="24" max="24" width="20.125" style="6" hidden="1" customWidth="1"/>
    <col min="25" max="25" width="15.75" style="6" hidden="1" customWidth="1"/>
    <col min="26" max="26" width="19.125" style="6" hidden="1" customWidth="1"/>
    <col min="27" max="27" width="23.875" style="6" hidden="1" customWidth="1"/>
    <col min="28" max="32" width="24.375" style="6" hidden="1" customWidth="1"/>
    <col min="33" max="33" width="9" style="6" hidden="1" customWidth="1"/>
    <col min="34" max="34" width="10" style="6" hidden="1" customWidth="1"/>
    <col min="35" max="35" width="14.75" style="6" hidden="1" customWidth="1"/>
    <col min="36" max="36" width="23.625" style="6" hidden="1" customWidth="1"/>
    <col min="37" max="37" width="20" style="6" hidden="1" customWidth="1"/>
    <col min="38" max="38" width="20.125" style="6" hidden="1" customWidth="1"/>
    <col min="39" max="39" width="15.75" style="6" hidden="1" customWidth="1"/>
    <col min="40" max="40" width="19.125" style="6" hidden="1" customWidth="1"/>
    <col min="41" max="41" width="23.875" style="6" hidden="1" customWidth="1"/>
    <col min="42" max="47" width="24.375" style="6" hidden="1" customWidth="1"/>
    <col min="48" max="16384" width="9.125" style="6" hidden="1"/>
  </cols>
  <sheetData>
    <row r="1" spans="1:14">
      <c r="A1" s="1"/>
      <c r="B1" s="1"/>
      <c r="C1" s="1"/>
      <c r="D1" s="1"/>
      <c r="E1" s="1"/>
      <c r="F1" s="1"/>
      <c r="G1" s="1"/>
      <c r="H1" s="1"/>
      <c r="I1" s="1"/>
      <c r="J1" s="1"/>
      <c r="K1" s="1"/>
      <c r="L1" s="1"/>
      <c r="M1" s="1"/>
      <c r="N1" s="1"/>
    </row>
    <row r="2" spans="1:14" ht="24" customHeight="1">
      <c r="A2" s="1"/>
      <c r="B2" s="10"/>
      <c r="C2" s="10"/>
      <c r="D2" s="831" t="s">
        <v>274</v>
      </c>
      <c r="E2" s="10"/>
      <c r="F2" s="10"/>
      <c r="G2" s="10"/>
      <c r="H2" s="10"/>
      <c r="I2" s="10"/>
      <c r="J2" s="10"/>
      <c r="K2" s="10"/>
      <c r="L2" s="10"/>
      <c r="M2" s="10"/>
      <c r="N2" s="1"/>
    </row>
    <row r="3" spans="1:14" ht="30" customHeight="1">
      <c r="A3" s="1"/>
      <c r="B3" s="10"/>
      <c r="C3" s="778" t="s">
        <v>258</v>
      </c>
      <c r="D3" s="11"/>
      <c r="E3" s="11"/>
      <c r="F3" s="10"/>
      <c r="G3" s="10"/>
      <c r="H3" s="10"/>
      <c r="I3" s="10"/>
      <c r="J3" s="10"/>
      <c r="K3" s="10"/>
      <c r="L3" s="10"/>
      <c r="M3" s="10"/>
      <c r="N3" s="1"/>
    </row>
    <row r="4" spans="1:14" ht="20.25">
      <c r="A4" s="2"/>
      <c r="B4" s="12"/>
      <c r="C4" s="823">
        <v>46074</v>
      </c>
      <c r="D4" s="14"/>
      <c r="E4" s="14"/>
      <c r="F4" s="14"/>
      <c r="G4" s="14"/>
      <c r="H4" s="14"/>
      <c r="I4" s="14"/>
      <c r="J4" s="14"/>
      <c r="K4" s="10"/>
      <c r="L4" s="10"/>
      <c r="M4" s="10"/>
      <c r="N4" s="1"/>
    </row>
    <row r="5" spans="1:14" ht="32.25" customHeight="1" thickBot="1">
      <c r="A5" s="3"/>
      <c r="B5" s="16"/>
      <c r="C5" s="16"/>
      <c r="D5" s="14"/>
      <c r="E5" s="14"/>
      <c r="F5" s="14"/>
      <c r="G5" s="957" t="str">
        <f>IF($D$12="Hindi","विषय","Subject")</f>
        <v>विषय</v>
      </c>
      <c r="H5" s="957"/>
      <c r="I5" s="957"/>
      <c r="J5" s="957" t="str">
        <f>IF($D$12="Hindi","विषयाध्यापक का नाम","Subject Teacher's Name")</f>
        <v>विषयाध्यापक का नाम</v>
      </c>
      <c r="K5" s="10"/>
      <c r="L5" s="10"/>
      <c r="M5" s="10"/>
      <c r="N5" s="1"/>
    </row>
    <row r="6" spans="1:14" ht="25.5" customHeight="1" thickBot="1">
      <c r="A6" s="3"/>
      <c r="B6" s="427"/>
      <c r="C6" s="428"/>
      <c r="D6" s="429"/>
      <c r="E6" s="430"/>
      <c r="F6" s="14"/>
      <c r="G6" s="957"/>
      <c r="H6" s="957"/>
      <c r="I6" s="957"/>
      <c r="J6" s="957"/>
      <c r="K6" s="10"/>
      <c r="L6" s="10"/>
      <c r="M6" s="10"/>
      <c r="N6" s="1"/>
    </row>
    <row r="7" spans="1:14" ht="24.95" customHeight="1">
      <c r="A7" s="4"/>
      <c r="B7" s="431"/>
      <c r="C7" s="421" t="s">
        <v>179</v>
      </c>
      <c r="D7" s="440" t="s">
        <v>183</v>
      </c>
      <c r="E7" s="432"/>
      <c r="F7" s="15">
        <v>1</v>
      </c>
      <c r="G7" s="448" t="str">
        <f>IF($D$12="Hindi","हिंदी","Hindi")</f>
        <v>हिंदी</v>
      </c>
      <c r="H7" s="35"/>
      <c r="I7" s="35"/>
      <c r="J7" s="23" t="s">
        <v>112</v>
      </c>
      <c r="K7" s="10"/>
      <c r="L7" s="10"/>
      <c r="M7" s="10"/>
      <c r="N7" s="1"/>
    </row>
    <row r="8" spans="1:14" ht="24.95" customHeight="1">
      <c r="A8" s="1"/>
      <c r="B8" s="433"/>
      <c r="C8" s="422" t="s">
        <v>180</v>
      </c>
      <c r="D8" s="441" t="s">
        <v>184</v>
      </c>
      <c r="E8" s="434"/>
      <c r="F8" s="15">
        <v>2</v>
      </c>
      <c r="G8" s="448" t="str">
        <f>IF($D$12="Hindi","अंग्रेजी","English")</f>
        <v>अंग्रेजी</v>
      </c>
      <c r="H8" s="35"/>
      <c r="I8" s="35"/>
      <c r="J8" s="24" t="s">
        <v>115</v>
      </c>
      <c r="K8" s="10"/>
      <c r="L8" s="10"/>
      <c r="M8" s="10"/>
      <c r="N8" s="1"/>
    </row>
    <row r="9" spans="1:14" ht="24.95" customHeight="1">
      <c r="A9" s="1"/>
      <c r="B9" s="433"/>
      <c r="C9" s="422" t="s">
        <v>181</v>
      </c>
      <c r="D9" s="442" t="s">
        <v>185</v>
      </c>
      <c r="E9" s="434"/>
      <c r="F9" s="15">
        <v>3</v>
      </c>
      <c r="G9" s="448" t="str">
        <f>IF($D$12="Hindi","तृतीय भाषा","Third Language")</f>
        <v>तृतीय भाषा</v>
      </c>
      <c r="H9" s="358">
        <v>1</v>
      </c>
      <c r="I9" s="416" t="s">
        <v>191</v>
      </c>
      <c r="J9" s="25" t="s">
        <v>168</v>
      </c>
      <c r="K9" s="10"/>
      <c r="L9" s="10"/>
      <c r="M9" s="10"/>
      <c r="N9" s="1"/>
    </row>
    <row r="10" spans="1:14" ht="24.95" customHeight="1">
      <c r="A10" s="1"/>
      <c r="B10" s="433"/>
      <c r="C10" s="422" t="s">
        <v>104</v>
      </c>
      <c r="D10" s="443" t="s">
        <v>110</v>
      </c>
      <c r="E10" s="434"/>
      <c r="F10" s="15"/>
      <c r="G10" s="448"/>
      <c r="H10" s="358">
        <v>2</v>
      </c>
      <c r="I10" s="416" t="s">
        <v>193</v>
      </c>
      <c r="J10" s="25"/>
      <c r="K10" s="937" t="s">
        <v>116</v>
      </c>
      <c r="L10" s="938"/>
      <c r="M10" s="939"/>
      <c r="N10" s="1"/>
    </row>
    <row r="11" spans="1:14" ht="24.95" customHeight="1">
      <c r="A11" s="1"/>
      <c r="B11" s="433"/>
      <c r="C11" s="422" t="s">
        <v>105</v>
      </c>
      <c r="D11" s="444">
        <v>46106</v>
      </c>
      <c r="E11" s="434"/>
      <c r="F11" s="15"/>
      <c r="G11" s="448"/>
      <c r="H11" s="358">
        <v>3</v>
      </c>
      <c r="I11" s="416" t="s">
        <v>195</v>
      </c>
      <c r="J11" s="25"/>
      <c r="K11" s="10"/>
      <c r="L11" s="10"/>
      <c r="M11" s="10"/>
      <c r="N11" s="1"/>
    </row>
    <row r="12" spans="1:14" ht="24.95" customHeight="1">
      <c r="A12" s="1"/>
      <c r="B12" s="935"/>
      <c r="C12" s="423" t="s">
        <v>106</v>
      </c>
      <c r="D12" s="445" t="s">
        <v>186</v>
      </c>
      <c r="E12" s="936"/>
      <c r="F12" s="15"/>
      <c r="G12" s="448"/>
      <c r="H12" s="358">
        <v>4</v>
      </c>
      <c r="I12" s="416" t="s">
        <v>197</v>
      </c>
      <c r="J12" s="25"/>
      <c r="K12" s="10"/>
      <c r="L12" s="10"/>
      <c r="M12" s="10"/>
      <c r="N12" s="1"/>
    </row>
    <row r="13" spans="1:14" ht="24.95" customHeight="1">
      <c r="A13" s="1"/>
      <c r="B13" s="935"/>
      <c r="C13" s="422" t="s">
        <v>272</v>
      </c>
      <c r="D13" s="822" t="s">
        <v>275</v>
      </c>
      <c r="E13" s="936"/>
      <c r="F13" s="15"/>
      <c r="G13" s="448"/>
      <c r="H13" s="358">
        <v>5</v>
      </c>
      <c r="I13" s="416" t="s">
        <v>199</v>
      </c>
      <c r="J13" s="25"/>
      <c r="K13" s="10"/>
      <c r="L13" s="10"/>
      <c r="M13" s="10"/>
      <c r="N13" s="1"/>
    </row>
    <row r="14" spans="1:14" ht="24.95" customHeight="1">
      <c r="A14" s="1"/>
      <c r="B14" s="433"/>
      <c r="C14" s="422" t="s">
        <v>107</v>
      </c>
      <c r="D14" s="443" t="s">
        <v>276</v>
      </c>
      <c r="E14" s="434"/>
      <c r="F14" s="15"/>
      <c r="G14" s="448"/>
      <c r="H14" s="358">
        <v>6</v>
      </c>
      <c r="I14" s="416"/>
      <c r="J14" s="25"/>
      <c r="K14" s="10"/>
      <c r="L14" s="953" t="s">
        <v>175</v>
      </c>
      <c r="M14" s="953"/>
      <c r="N14" s="1"/>
    </row>
    <row r="15" spans="1:14" ht="24.95" customHeight="1">
      <c r="A15" s="1"/>
      <c r="B15" s="433"/>
      <c r="C15" s="422" t="s">
        <v>108</v>
      </c>
      <c r="D15" s="443" t="s">
        <v>115</v>
      </c>
      <c r="E15" s="434"/>
      <c r="F15" s="15">
        <v>4</v>
      </c>
      <c r="G15" s="448" t="str">
        <f>IF($D$12="Hindi","गणित","Maths")</f>
        <v>गणित</v>
      </c>
      <c r="H15" s="35"/>
      <c r="I15" s="35"/>
      <c r="J15" s="25" t="s">
        <v>113</v>
      </c>
      <c r="K15" s="10"/>
      <c r="L15" s="954" t="s">
        <v>255</v>
      </c>
      <c r="M15" s="954"/>
      <c r="N15" s="1"/>
    </row>
    <row r="16" spans="1:14" ht="24.95" customHeight="1" thickBot="1">
      <c r="A16" s="1"/>
      <c r="B16" s="433"/>
      <c r="C16" s="422" t="s">
        <v>109</v>
      </c>
      <c r="D16" s="443" t="s">
        <v>187</v>
      </c>
      <c r="E16" s="434"/>
      <c r="F16" s="15">
        <v>5</v>
      </c>
      <c r="G16" s="448" t="str">
        <f>IF($D$12="Hindi","विज्ञान","Science")</f>
        <v>विज्ञान</v>
      </c>
      <c r="H16" s="35"/>
      <c r="I16" s="35"/>
      <c r="J16" s="25" t="s">
        <v>167</v>
      </c>
      <c r="K16" s="10"/>
      <c r="L16" s="10"/>
      <c r="M16" s="10"/>
      <c r="N16" s="1"/>
    </row>
    <row r="17" spans="1:14" ht="24.95" customHeight="1">
      <c r="A17" s="1"/>
      <c r="B17" s="435"/>
      <c r="C17" s="422" t="s">
        <v>182</v>
      </c>
      <c r="D17" s="443" t="s">
        <v>111</v>
      </c>
      <c r="E17" s="436"/>
      <c r="F17" s="15">
        <v>6</v>
      </c>
      <c r="G17" s="955" t="str">
        <f>IF($D$12="Hindi","सामाजिक विज्ञान","Social Science")</f>
        <v>सामाजिक विज्ञान</v>
      </c>
      <c r="H17" s="955"/>
      <c r="I17" s="956"/>
      <c r="J17" s="25" t="s">
        <v>166</v>
      </c>
      <c r="K17" s="10"/>
      <c r="L17" s="954" t="s">
        <v>274</v>
      </c>
      <c r="M17" s="954"/>
      <c r="N17" s="1"/>
    </row>
    <row r="18" spans="1:14" ht="24.95" customHeight="1">
      <c r="A18" s="1"/>
      <c r="B18" s="431"/>
      <c r="C18" s="422" t="s">
        <v>189</v>
      </c>
      <c r="D18" s="446" t="s">
        <v>188</v>
      </c>
      <c r="E18" s="432"/>
      <c r="F18" s="15">
        <v>7</v>
      </c>
      <c r="G18" s="952" t="str">
        <f>IF(D12="Hindi","राजस्थान का स्वंत्रता आन्दोलन व शोर्य परम्परा","Rajasthan Ka Swatantrata Andolan V Shorya Parampra")</f>
        <v>राजस्थान का स्वंत्रता आन्दोलन व शोर्य परम्परा</v>
      </c>
      <c r="H18" s="952"/>
      <c r="I18" s="952"/>
      <c r="J18" s="24" t="s">
        <v>114</v>
      </c>
      <c r="K18" s="10"/>
      <c r="L18" s="10"/>
      <c r="M18" s="10"/>
      <c r="N18" s="1"/>
    </row>
    <row r="19" spans="1:14" ht="24.95" customHeight="1" thickBot="1">
      <c r="A19" s="1"/>
      <c r="B19" s="437"/>
      <c r="C19" s="424" t="s">
        <v>140</v>
      </c>
      <c r="D19" s="447">
        <v>45845</v>
      </c>
      <c r="E19" s="438"/>
      <c r="F19" s="15">
        <v>8</v>
      </c>
      <c r="G19" s="952" t="str">
        <f>IF(D12="Hindi","सूचना प्रोद्योगिकी की अवधारणा - I","F.O.I.T.")</f>
        <v>सूचना प्रोद्योगिकी की अवधारणा - I</v>
      </c>
      <c r="H19" s="952"/>
      <c r="I19" s="952"/>
      <c r="J19" s="24" t="s">
        <v>259</v>
      </c>
      <c r="K19" s="10"/>
      <c r="L19" s="10"/>
      <c r="M19" s="10"/>
      <c r="N19" s="1"/>
    </row>
    <row r="20" spans="1:14" ht="24.95" customHeight="1" thickBot="1">
      <c r="A20" s="1"/>
      <c r="B20" s="419"/>
      <c r="C20" s="618" t="s">
        <v>250</v>
      </c>
      <c r="D20" s="617" t="s">
        <v>273</v>
      </c>
      <c r="E20" s="420"/>
      <c r="F20" s="15">
        <v>9</v>
      </c>
      <c r="G20" s="952" t="str">
        <f>IF(D12="Hindi","स्वा. एवं शा. शिक्षा","Physical &amp; HE. EDU.")</f>
        <v>स्वा. एवं शा. शिक्षा</v>
      </c>
      <c r="H20" s="952"/>
      <c r="I20" s="952"/>
      <c r="J20" s="24" t="s">
        <v>114</v>
      </c>
      <c r="K20" s="10"/>
      <c r="L20" s="10"/>
      <c r="M20" s="10"/>
      <c r="N20" s="1"/>
    </row>
    <row r="21" spans="1:14" ht="24.95" customHeight="1">
      <c r="A21" s="1"/>
      <c r="B21" s="419"/>
      <c r="C21" s="426"/>
      <c r="D21" s="425"/>
      <c r="E21" s="420"/>
      <c r="F21" s="15">
        <v>10</v>
      </c>
      <c r="G21" s="952" t="str">
        <f>IF(D12="Hindi","समाजोपयोगी उत्पादन कार्य एवं समाज सेवा","S.U.P.W. &amp; C.S.")</f>
        <v>समाजोपयोगी उत्पादन कार्य एवं समाज सेवा</v>
      </c>
      <c r="H21" s="952"/>
      <c r="I21" s="952"/>
      <c r="J21" s="24" t="s">
        <v>211</v>
      </c>
      <c r="K21" s="10"/>
      <c r="L21" s="10"/>
      <c r="M21" s="10"/>
      <c r="N21" s="1"/>
    </row>
    <row r="22" spans="1:14" ht="24.95" customHeight="1">
      <c r="A22" s="1"/>
      <c r="B22" s="10"/>
      <c r="C22" s="10"/>
      <c r="D22" s="10"/>
      <c r="E22" s="10"/>
      <c r="F22" s="15">
        <v>11</v>
      </c>
      <c r="G22" s="952" t="str">
        <f>IF(D12="Hindi","कला शिक्षा","ART EDU.")</f>
        <v>कला शिक्षा</v>
      </c>
      <c r="H22" s="952"/>
      <c r="I22" s="952"/>
      <c r="J22" s="24" t="s">
        <v>169</v>
      </c>
      <c r="K22" s="10"/>
      <c r="L22" s="10"/>
      <c r="M22" s="10"/>
      <c r="N22" s="1"/>
    </row>
    <row r="23" spans="1:14" ht="15.75" thickBot="1">
      <c r="A23" s="1"/>
      <c r="B23" s="10"/>
      <c r="C23" s="10"/>
      <c r="D23" s="10"/>
      <c r="E23" s="10"/>
      <c r="F23" s="10"/>
      <c r="G23" s="10"/>
      <c r="H23" s="10"/>
      <c r="I23" s="10"/>
      <c r="J23" s="13"/>
      <c r="K23" s="645">
        <v>1</v>
      </c>
      <c r="L23" s="10"/>
      <c r="M23" s="10"/>
      <c r="N23" s="1"/>
    </row>
    <row r="24" spans="1:14" ht="72.75" customHeight="1" thickBot="1">
      <c r="A24" s="1"/>
      <c r="B24" s="10"/>
      <c r="C24" s="10"/>
      <c r="D24" s="10"/>
      <c r="E24" s="10"/>
      <c r="F24" s="10"/>
      <c r="G24" s="10"/>
      <c r="H24" s="10"/>
      <c r="I24" s="10"/>
      <c r="J24" s="10"/>
      <c r="K24" s="645">
        <v>1</v>
      </c>
      <c r="L24" s="439"/>
      <c r="M24" s="10"/>
      <c r="N24" s="1"/>
    </row>
    <row r="25" spans="1:14">
      <c r="A25" s="1"/>
      <c r="B25" s="10"/>
      <c r="C25" s="10"/>
      <c r="D25" s="10"/>
      <c r="E25" s="10"/>
      <c r="F25" s="10"/>
      <c r="G25" s="10"/>
      <c r="H25" s="10"/>
      <c r="I25" s="10"/>
      <c r="J25" s="10"/>
      <c r="K25" s="10"/>
      <c r="L25" s="10"/>
      <c r="M25" s="10"/>
      <c r="N25" s="1"/>
    </row>
    <row r="26" spans="1:14">
      <c r="A26" s="1"/>
      <c r="B26" s="10"/>
      <c r="C26" s="10"/>
      <c r="D26" s="10"/>
      <c r="E26" s="10"/>
      <c r="F26" s="10"/>
      <c r="G26" s="10"/>
      <c r="H26" s="10"/>
      <c r="I26" s="934"/>
      <c r="J26" s="934"/>
      <c r="K26" s="10"/>
      <c r="L26" s="10"/>
      <c r="M26" s="10"/>
      <c r="N26" s="1"/>
    </row>
    <row r="27" spans="1:14">
      <c r="A27" s="1"/>
      <c r="B27" s="10"/>
      <c r="C27" s="10"/>
      <c r="D27" s="10"/>
      <c r="E27" s="10"/>
      <c r="F27" s="10"/>
      <c r="G27" s="10"/>
      <c r="H27" s="10"/>
      <c r="I27" s="934"/>
      <c r="J27" s="934"/>
      <c r="K27" s="10"/>
      <c r="L27" s="10"/>
      <c r="M27" s="10"/>
      <c r="N27" s="1"/>
    </row>
    <row r="28" spans="1:14" ht="15.75" thickBot="1">
      <c r="A28" s="1"/>
      <c r="B28" s="10"/>
      <c r="C28" s="10"/>
      <c r="D28" s="10"/>
      <c r="E28" s="10"/>
      <c r="F28" s="10"/>
      <c r="G28" s="10"/>
      <c r="H28" s="10"/>
      <c r="I28" s="10"/>
      <c r="J28" s="10"/>
      <c r="K28" s="10"/>
      <c r="L28" s="10"/>
      <c r="M28" s="10"/>
      <c r="N28" s="1"/>
    </row>
    <row r="29" spans="1:14" ht="18" customHeight="1">
      <c r="A29" s="1"/>
      <c r="B29" s="10"/>
      <c r="C29" s="10"/>
      <c r="D29" s="10"/>
      <c r="E29" s="10"/>
      <c r="F29" s="10"/>
      <c r="G29" s="10"/>
      <c r="H29" s="369">
        <v>1</v>
      </c>
      <c r="I29" s="931" t="s">
        <v>156</v>
      </c>
      <c r="J29" s="931"/>
      <c r="K29" s="10"/>
      <c r="L29" s="449" t="s">
        <v>151</v>
      </c>
      <c r="M29" s="450" t="s">
        <v>190</v>
      </c>
      <c r="N29" s="1"/>
    </row>
    <row r="30" spans="1:14" ht="18" customHeight="1">
      <c r="A30" s="1"/>
      <c r="B30" s="10"/>
      <c r="C30" s="10"/>
      <c r="D30" s="10"/>
      <c r="E30" s="10"/>
      <c r="F30" s="10"/>
      <c r="G30" s="10"/>
      <c r="H30" s="369">
        <v>2</v>
      </c>
      <c r="I30" s="931" t="s">
        <v>157</v>
      </c>
      <c r="J30" s="931"/>
      <c r="K30" s="10"/>
      <c r="L30" s="451" t="s">
        <v>191</v>
      </c>
      <c r="M30" s="452" t="s">
        <v>192</v>
      </c>
      <c r="N30" s="1"/>
    </row>
    <row r="31" spans="1:14" ht="18" customHeight="1" thickBot="1">
      <c r="A31" s="1"/>
      <c r="B31" s="10"/>
      <c r="C31" s="10"/>
      <c r="D31" s="10"/>
      <c r="E31" s="10"/>
      <c r="F31" s="10"/>
      <c r="G31" s="10"/>
      <c r="H31" s="369">
        <v>3</v>
      </c>
      <c r="I31" s="931" t="s">
        <v>158</v>
      </c>
      <c r="J31" s="931"/>
      <c r="K31" s="10"/>
      <c r="L31" s="451" t="s">
        <v>193</v>
      </c>
      <c r="M31" s="452" t="s">
        <v>194</v>
      </c>
      <c r="N31" s="1"/>
    </row>
    <row r="32" spans="1:14" ht="18" customHeight="1">
      <c r="A32" s="1"/>
      <c r="B32" s="10"/>
      <c r="C32" s="10"/>
      <c r="D32" s="942" t="s">
        <v>66</v>
      </c>
      <c r="E32" s="10"/>
      <c r="F32" s="10"/>
      <c r="G32" s="10"/>
      <c r="H32" s="369">
        <v>4</v>
      </c>
      <c r="I32" s="931" t="s">
        <v>159</v>
      </c>
      <c r="J32" s="931"/>
      <c r="K32" s="10"/>
      <c r="L32" s="451" t="s">
        <v>195</v>
      </c>
      <c r="M32" s="452" t="s">
        <v>196</v>
      </c>
      <c r="N32" s="1"/>
    </row>
    <row r="33" spans="1:14" ht="18" customHeight="1" thickBot="1">
      <c r="A33" s="1"/>
      <c r="B33" s="10"/>
      <c r="C33" s="10"/>
      <c r="D33" s="943"/>
      <c r="E33" s="10"/>
      <c r="F33" s="10"/>
      <c r="G33" s="10"/>
      <c r="H33" s="369">
        <v>5</v>
      </c>
      <c r="I33" s="931" t="s">
        <v>160</v>
      </c>
      <c r="J33" s="931"/>
      <c r="K33" s="10"/>
      <c r="L33" s="451" t="s">
        <v>197</v>
      </c>
      <c r="M33" s="452" t="s">
        <v>198</v>
      </c>
      <c r="N33" s="1"/>
    </row>
    <row r="34" spans="1:14" ht="18" customHeight="1" thickTop="1">
      <c r="A34" s="1"/>
      <c r="B34" s="10"/>
      <c r="C34" s="10"/>
      <c r="D34" s="944" t="s">
        <v>67</v>
      </c>
      <c r="E34" s="10"/>
      <c r="F34" s="10"/>
      <c r="G34" s="10"/>
      <c r="H34" s="369">
        <v>6</v>
      </c>
      <c r="I34" s="932" t="s">
        <v>161</v>
      </c>
      <c r="J34" s="933"/>
      <c r="K34" s="10"/>
      <c r="L34" s="451" t="s">
        <v>199</v>
      </c>
      <c r="M34" s="452" t="s">
        <v>200</v>
      </c>
      <c r="N34" s="1"/>
    </row>
    <row r="35" spans="1:14" ht="18" customHeight="1" thickBot="1">
      <c r="A35" s="1"/>
      <c r="B35" s="10"/>
      <c r="C35" s="10"/>
      <c r="D35" s="945"/>
      <c r="E35" s="10"/>
      <c r="F35" s="10"/>
      <c r="G35" s="10"/>
      <c r="H35" s="369">
        <v>7</v>
      </c>
      <c r="I35" s="932" t="s">
        <v>162</v>
      </c>
      <c r="J35" s="933"/>
      <c r="K35" s="10"/>
      <c r="L35" s="451" t="s">
        <v>201</v>
      </c>
      <c r="M35" s="452" t="s">
        <v>202</v>
      </c>
      <c r="N35" s="1"/>
    </row>
    <row r="36" spans="1:14" ht="18" customHeight="1" thickTop="1" thickBot="1">
      <c r="A36" s="1"/>
      <c r="B36" s="10"/>
      <c r="C36" s="10"/>
      <c r="D36" s="946" t="s">
        <v>71</v>
      </c>
      <c r="E36" s="10"/>
      <c r="F36" s="10"/>
      <c r="G36" s="10"/>
      <c r="H36" s="369">
        <v>8</v>
      </c>
      <c r="I36" s="932" t="s">
        <v>163</v>
      </c>
      <c r="J36" s="933"/>
      <c r="K36" s="10"/>
      <c r="L36" s="453"/>
      <c r="M36" s="454"/>
      <c r="N36" s="1"/>
    </row>
    <row r="37" spans="1:14" ht="18" customHeight="1" thickBot="1">
      <c r="A37" s="1"/>
      <c r="B37" s="10"/>
      <c r="C37" s="10"/>
      <c r="D37" s="947"/>
      <c r="E37" s="10"/>
      <c r="F37" s="10"/>
      <c r="G37" s="10"/>
      <c r="H37" s="369">
        <v>9</v>
      </c>
      <c r="I37" s="932" t="s">
        <v>164</v>
      </c>
      <c r="J37" s="933"/>
      <c r="K37" s="10"/>
      <c r="L37" s="10"/>
      <c r="M37" s="10"/>
      <c r="N37" s="1"/>
    </row>
    <row r="38" spans="1:14" ht="18" customHeight="1" thickTop="1">
      <c r="A38" s="1"/>
      <c r="B38" s="10"/>
      <c r="C38" s="10"/>
      <c r="D38" s="948" t="s">
        <v>68</v>
      </c>
      <c r="E38" s="10"/>
      <c r="F38" s="10"/>
      <c r="G38" s="10"/>
      <c r="H38" s="369">
        <v>10</v>
      </c>
      <c r="I38" s="932" t="s">
        <v>165</v>
      </c>
      <c r="J38" s="933"/>
      <c r="K38" s="10"/>
      <c r="L38" s="10"/>
      <c r="M38" s="10"/>
      <c r="N38" s="1"/>
    </row>
    <row r="39" spans="1:14" ht="18" customHeight="1" thickBot="1">
      <c r="A39" s="1"/>
      <c r="B39" s="10"/>
      <c r="C39" s="10"/>
      <c r="D39" s="949"/>
      <c r="E39" s="10"/>
      <c r="F39" s="10"/>
      <c r="G39" s="10"/>
      <c r="H39" s="369">
        <v>11</v>
      </c>
      <c r="I39" s="932"/>
      <c r="J39" s="933"/>
      <c r="K39" s="10"/>
      <c r="L39" s="10"/>
      <c r="M39" s="10"/>
      <c r="N39" s="1"/>
    </row>
    <row r="40" spans="1:14" ht="18" customHeight="1" thickTop="1">
      <c r="A40" s="1"/>
      <c r="B40" s="10"/>
      <c r="C40" s="10"/>
      <c r="D40" s="950" t="s">
        <v>69</v>
      </c>
      <c r="E40" s="10"/>
      <c r="F40" s="10"/>
      <c r="G40" s="10"/>
      <c r="H40" s="10"/>
      <c r="I40" s="10"/>
      <c r="J40" s="10"/>
      <c r="K40" s="10"/>
      <c r="L40" s="10"/>
      <c r="M40" s="10"/>
      <c r="N40" s="1"/>
    </row>
    <row r="41" spans="1:14" ht="18" customHeight="1" thickBot="1">
      <c r="A41" s="1"/>
      <c r="B41" s="10"/>
      <c r="C41" s="10"/>
      <c r="D41" s="951"/>
      <c r="E41" s="10"/>
      <c r="F41" s="10"/>
      <c r="G41" s="10"/>
      <c r="H41" s="10"/>
      <c r="I41" s="10"/>
      <c r="J41" s="10"/>
      <c r="K41" s="10"/>
      <c r="L41" s="10"/>
      <c r="M41" s="10"/>
      <c r="N41" s="1"/>
    </row>
    <row r="42" spans="1:14" ht="18" customHeight="1" thickTop="1">
      <c r="A42" s="1"/>
      <c r="B42" s="10"/>
      <c r="C42" s="10"/>
      <c r="D42" s="940" t="s">
        <v>70</v>
      </c>
      <c r="E42" s="10"/>
      <c r="F42" s="10"/>
      <c r="G42" s="10"/>
      <c r="H42" s="10"/>
      <c r="I42" s="10"/>
      <c r="J42" s="10"/>
      <c r="K42" s="10"/>
      <c r="L42" s="10"/>
      <c r="M42" s="10"/>
      <c r="N42" s="1"/>
    </row>
    <row r="43" spans="1:14" ht="18" customHeight="1" thickBot="1">
      <c r="A43" s="1"/>
      <c r="B43" s="10"/>
      <c r="C43" s="10"/>
      <c r="D43" s="941"/>
      <c r="E43" s="10"/>
      <c r="F43" s="10"/>
      <c r="G43" s="10"/>
      <c r="H43" s="10"/>
      <c r="I43" s="10"/>
      <c r="J43" s="10"/>
      <c r="K43" s="10"/>
      <c r="L43" s="10"/>
      <c r="M43" s="10"/>
      <c r="N43" s="1"/>
    </row>
    <row r="44" spans="1:14" ht="16.5" customHeight="1">
      <c r="A44" s="1"/>
      <c r="B44" s="10"/>
      <c r="C44" s="10"/>
      <c r="D44" s="10"/>
      <c r="E44" s="10"/>
      <c r="F44" s="10"/>
      <c r="G44" s="10"/>
      <c r="H44" s="10"/>
      <c r="I44" s="10"/>
      <c r="J44" s="10"/>
      <c r="K44" s="10"/>
      <c r="L44" s="10"/>
      <c r="M44" s="10"/>
      <c r="N44" s="1"/>
    </row>
    <row r="45" spans="1:14" ht="16.5" customHeight="1">
      <c r="A45" s="1"/>
      <c r="B45" s="10"/>
      <c r="C45" s="10"/>
      <c r="D45" s="10"/>
      <c r="E45" s="10"/>
      <c r="F45" s="10"/>
      <c r="G45" s="10"/>
      <c r="H45" s="10"/>
      <c r="I45" s="10"/>
      <c r="J45" s="10"/>
      <c r="K45" s="10"/>
      <c r="L45" s="10"/>
      <c r="M45" s="10"/>
      <c r="N45" s="1"/>
    </row>
    <row r="46" spans="1:14" ht="16.5" customHeight="1">
      <c r="A46" s="1"/>
      <c r="B46" s="1"/>
      <c r="C46" s="1"/>
      <c r="D46" s="1"/>
      <c r="E46" s="1"/>
      <c r="F46" s="1"/>
      <c r="G46" s="1"/>
      <c r="H46" s="1"/>
      <c r="I46" s="1"/>
      <c r="J46" s="1"/>
      <c r="K46" s="1"/>
      <c r="L46" s="1"/>
      <c r="M46" s="1"/>
      <c r="N46" s="1"/>
    </row>
    <row r="47" spans="1:14"/>
    <row r="48" spans="1:1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sheetData>
  <sheetProtection password="C1FB" sheet="1" formatCells="0" formatColumns="0" formatRows="0" selectLockedCells="1"/>
  <protectedRanges>
    <protectedRange sqref="D18 F7:I22" name="Range12"/>
    <protectedRange sqref="D4:E5" name="Range11"/>
    <protectedRange sqref="D6 D21" name="Range11_2"/>
    <protectedRange sqref="E17:E19 B6:B21" name="Range11_6_1"/>
    <protectedRange sqref="E6:E16 E20:E21" name="Range11_5_1"/>
    <protectedRange sqref="D7:D12 D19:D20 D15:D17" name="Range12_1"/>
    <protectedRange sqref="D13:D14" name="Range12_1_1"/>
  </protectedRanges>
  <mergeCells count="32">
    <mergeCell ref="L14:M14"/>
    <mergeCell ref="L15:M15"/>
    <mergeCell ref="G17:I17"/>
    <mergeCell ref="G5:I6"/>
    <mergeCell ref="J5:J6"/>
    <mergeCell ref="L17:M17"/>
    <mergeCell ref="B12:B13"/>
    <mergeCell ref="E12:E13"/>
    <mergeCell ref="K10:M10"/>
    <mergeCell ref="D42:D43"/>
    <mergeCell ref="D32:D33"/>
    <mergeCell ref="D34:D35"/>
    <mergeCell ref="D36:D37"/>
    <mergeCell ref="D38:D39"/>
    <mergeCell ref="D40:D41"/>
    <mergeCell ref="G22:I22"/>
    <mergeCell ref="G18:I18"/>
    <mergeCell ref="G19:I19"/>
    <mergeCell ref="G20:I20"/>
    <mergeCell ref="G21:I21"/>
    <mergeCell ref="I29:J29"/>
    <mergeCell ref="I30:J30"/>
    <mergeCell ref="I31:J31"/>
    <mergeCell ref="I32:J32"/>
    <mergeCell ref="I38:J38"/>
    <mergeCell ref="I26:J27"/>
    <mergeCell ref="I39:J39"/>
    <mergeCell ref="I33:J33"/>
    <mergeCell ref="I34:J34"/>
    <mergeCell ref="I35:J35"/>
    <mergeCell ref="I36:J36"/>
    <mergeCell ref="I37:J37"/>
  </mergeCells>
  <dataValidations xWindow="607" yWindow="683" count="4">
    <dataValidation allowBlank="1" showErrorMessage="1" sqref="G7:H17 I7:I8 I15:I17"/>
    <dataValidation type="list" allowBlank="1" showInputMessage="1" showErrorMessage="1" sqref="D12">
      <formula1>"Hindi, English"</formula1>
    </dataValidation>
    <dataValidation type="list" allowBlank="1" showErrorMessage="1" error="Select Subject" sqref="I9:I14">
      <formula1>IF($D$12="Hindi",Sub_1,Sub_2)</formula1>
    </dataValidation>
    <dataValidation type="list" allowBlank="1" showInputMessage="1" showErrorMessage="1" sqref="D20">
      <formula1>"Yes, No"</formula1>
    </dataValidation>
  </dataValidations>
  <hyperlinks>
    <hyperlink ref="D42" r:id="rId1"/>
    <hyperlink ref="L15" r:id="rId2"/>
    <hyperlink ref="L17" r:id="rId3"/>
    <hyperlink ref="D2" r:id="rId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dimension ref="A1:AU376"/>
  <sheetViews>
    <sheetView showGridLines="0" workbookViewId="0">
      <selection activeCell="P6" sqref="P6"/>
    </sheetView>
  </sheetViews>
  <sheetFormatPr defaultColWidth="0" defaultRowHeight="15" zeroHeight="1"/>
  <cols>
    <col min="1" max="1" width="6.625" style="38" customWidth="1"/>
    <col min="2" max="2" width="8.125" style="38" customWidth="1"/>
    <col min="3" max="3" width="9.5" style="38" customWidth="1"/>
    <col min="4" max="4" width="10.625" style="38" customWidth="1"/>
    <col min="5" max="5" width="9.125" style="38" customWidth="1"/>
    <col min="6" max="6" width="11.75" style="38" customWidth="1"/>
    <col min="7" max="7" width="22.75" style="38" customWidth="1"/>
    <col min="8" max="8" width="19.5" style="38" customWidth="1"/>
    <col min="9" max="9" width="18.5" style="38" customWidth="1"/>
    <col min="10" max="10" width="9.125" style="38" customWidth="1"/>
    <col min="11" max="11" width="13" style="38" customWidth="1"/>
    <col min="12" max="12" width="10" style="38" customWidth="1"/>
    <col min="13" max="13" width="10.625" style="38" customWidth="1"/>
    <col min="14" max="14" width="10.75" style="38" customWidth="1"/>
    <col min="15" max="15" width="12.625" style="38" customWidth="1"/>
    <col min="16" max="18" width="9.125" style="38" customWidth="1"/>
    <col min="19" max="47" width="0" style="38" hidden="1" customWidth="1"/>
    <col min="48" max="16384" width="9.125" style="38" hidden="1"/>
  </cols>
  <sheetData>
    <row r="1" spans="1:18" ht="30.75" customHeight="1">
      <c r="A1" s="36"/>
      <c r="B1" s="960" t="str">
        <f>IF('School Profile'!D12="Hindi",'School Profile'!D9,'School Profile'!D8)</f>
        <v xml:space="preserve">महात्मा गाँधी राजकीय विद्यालय (अंग्रेजी माध्यम) बर, पाली </v>
      </c>
      <c r="C1" s="960"/>
      <c r="D1" s="960"/>
      <c r="E1" s="960"/>
      <c r="F1" s="960"/>
      <c r="G1" s="960"/>
      <c r="H1" s="960"/>
      <c r="I1" s="960"/>
      <c r="J1" s="960"/>
      <c r="K1" s="960"/>
      <c r="L1" s="960"/>
      <c r="M1" s="958" t="s">
        <v>145</v>
      </c>
      <c r="N1" s="958"/>
      <c r="O1" s="455" t="s">
        <v>152</v>
      </c>
      <c r="P1" s="37"/>
      <c r="Q1" s="37"/>
      <c r="R1" s="37"/>
    </row>
    <row r="2" spans="1:18" ht="47.25" customHeight="1">
      <c r="A2" s="39" t="s">
        <v>206</v>
      </c>
      <c r="B2" s="39" t="s">
        <v>1</v>
      </c>
      <c r="C2" s="40" t="s">
        <v>3</v>
      </c>
      <c r="D2" s="40" t="s">
        <v>4</v>
      </c>
      <c r="E2" s="40" t="s">
        <v>0</v>
      </c>
      <c r="F2" s="40" t="s">
        <v>5</v>
      </c>
      <c r="G2" s="40" t="s">
        <v>127</v>
      </c>
      <c r="H2" s="40" t="s">
        <v>128</v>
      </c>
      <c r="I2" s="40" t="s">
        <v>129</v>
      </c>
      <c r="J2" s="40" t="s">
        <v>6</v>
      </c>
      <c r="K2" s="40" t="s">
        <v>249</v>
      </c>
      <c r="L2" s="40" t="s">
        <v>7</v>
      </c>
      <c r="M2" s="961" t="s">
        <v>76</v>
      </c>
      <c r="N2" s="962"/>
      <c r="O2" s="959" t="s">
        <v>11</v>
      </c>
      <c r="P2" s="37"/>
      <c r="Q2" s="37"/>
      <c r="R2" s="37"/>
    </row>
    <row r="3" spans="1:18" ht="51" customHeight="1">
      <c r="A3" s="41" t="s">
        <v>207</v>
      </c>
      <c r="B3" s="41" t="s">
        <v>117</v>
      </c>
      <c r="C3" s="42" t="s">
        <v>118</v>
      </c>
      <c r="D3" s="42" t="s">
        <v>225</v>
      </c>
      <c r="E3" s="42" t="s">
        <v>119</v>
      </c>
      <c r="F3" s="42" t="s">
        <v>120</v>
      </c>
      <c r="G3" s="42" t="s">
        <v>121</v>
      </c>
      <c r="H3" s="42" t="s">
        <v>122</v>
      </c>
      <c r="I3" s="42" t="s">
        <v>123</v>
      </c>
      <c r="J3" s="42" t="s">
        <v>124</v>
      </c>
      <c r="K3" s="42" t="s">
        <v>125</v>
      </c>
      <c r="L3" s="42" t="s">
        <v>126</v>
      </c>
      <c r="M3" s="43" t="s">
        <v>130</v>
      </c>
      <c r="N3" s="44" t="s">
        <v>131</v>
      </c>
      <c r="O3" s="959"/>
      <c r="P3" s="37"/>
      <c r="Q3" s="37"/>
      <c r="R3" s="37"/>
    </row>
    <row r="4" spans="1:18" ht="69.95" customHeight="1">
      <c r="A4" s="478">
        <v>1</v>
      </c>
      <c r="B4" s="478">
        <v>901</v>
      </c>
      <c r="C4" s="479">
        <v>9</v>
      </c>
      <c r="D4" s="479" t="s">
        <v>8</v>
      </c>
      <c r="E4" s="479">
        <v>521</v>
      </c>
      <c r="F4" s="480">
        <v>42562</v>
      </c>
      <c r="G4" s="481" t="s">
        <v>203</v>
      </c>
      <c r="H4" s="481" t="s">
        <v>204</v>
      </c>
      <c r="I4" s="481" t="s">
        <v>205</v>
      </c>
      <c r="J4" s="479" t="s">
        <v>10</v>
      </c>
      <c r="K4" s="480">
        <v>40461</v>
      </c>
      <c r="L4" s="479" t="s">
        <v>2</v>
      </c>
      <c r="M4" s="29">
        <v>200</v>
      </c>
      <c r="N4" s="30">
        <v>192</v>
      </c>
      <c r="O4" s="31"/>
      <c r="P4" s="37"/>
      <c r="Q4" s="37"/>
      <c r="R4" s="37"/>
    </row>
    <row r="5" spans="1:18" ht="69.95" customHeight="1">
      <c r="A5" s="478">
        <v>2</v>
      </c>
      <c r="B5" s="478">
        <v>902</v>
      </c>
      <c r="C5" s="479">
        <v>9</v>
      </c>
      <c r="D5" s="479" t="s">
        <v>8</v>
      </c>
      <c r="E5" s="479">
        <v>501</v>
      </c>
      <c r="F5" s="480">
        <v>42206</v>
      </c>
      <c r="G5" s="481" t="s">
        <v>209</v>
      </c>
      <c r="H5" s="481" t="s">
        <v>208</v>
      </c>
      <c r="I5" s="481" t="s">
        <v>210</v>
      </c>
      <c r="J5" s="479" t="s">
        <v>10</v>
      </c>
      <c r="K5" s="480">
        <v>40065</v>
      </c>
      <c r="L5" s="479" t="s">
        <v>2</v>
      </c>
      <c r="M5" s="29">
        <v>210</v>
      </c>
      <c r="N5" s="30">
        <v>202</v>
      </c>
      <c r="O5" s="31"/>
      <c r="P5" s="37"/>
      <c r="Q5" s="37"/>
      <c r="R5" s="37"/>
    </row>
    <row r="6" spans="1:18" ht="69.95" customHeight="1">
      <c r="A6" s="478">
        <v>3</v>
      </c>
      <c r="B6" s="478">
        <v>903</v>
      </c>
      <c r="C6" s="479">
        <v>9</v>
      </c>
      <c r="D6" s="479" t="s">
        <v>8</v>
      </c>
      <c r="E6" s="479"/>
      <c r="F6" s="480"/>
      <c r="G6" s="481" t="s">
        <v>212</v>
      </c>
      <c r="H6" s="481"/>
      <c r="I6" s="481"/>
      <c r="J6" s="479" t="s">
        <v>10</v>
      </c>
      <c r="K6" s="480">
        <v>41192</v>
      </c>
      <c r="L6" s="479" t="s">
        <v>219</v>
      </c>
      <c r="M6" s="29"/>
      <c r="N6" s="30"/>
      <c r="O6" s="31"/>
      <c r="P6" s="37"/>
      <c r="Q6" s="37"/>
      <c r="R6" s="37"/>
    </row>
    <row r="7" spans="1:18" ht="69.95" customHeight="1">
      <c r="A7" s="478">
        <v>4</v>
      </c>
      <c r="B7" s="478">
        <v>904</v>
      </c>
      <c r="C7" s="479">
        <v>9</v>
      </c>
      <c r="D7" s="479" t="s">
        <v>8</v>
      </c>
      <c r="E7" s="479"/>
      <c r="F7" s="480"/>
      <c r="G7" s="481" t="s">
        <v>213</v>
      </c>
      <c r="H7" s="481"/>
      <c r="I7" s="481"/>
      <c r="J7" s="479" t="s">
        <v>10</v>
      </c>
      <c r="K7" s="480">
        <v>40670</v>
      </c>
      <c r="L7" s="479" t="s">
        <v>221</v>
      </c>
      <c r="M7" s="29"/>
      <c r="N7" s="30"/>
      <c r="O7" s="31"/>
      <c r="P7" s="37"/>
      <c r="Q7" s="37"/>
      <c r="R7" s="37"/>
    </row>
    <row r="8" spans="1:18" ht="69.95" customHeight="1">
      <c r="A8" s="478">
        <v>5</v>
      </c>
      <c r="B8" s="478">
        <v>905</v>
      </c>
      <c r="C8" s="479">
        <v>9</v>
      </c>
      <c r="D8" s="479" t="s">
        <v>8</v>
      </c>
      <c r="E8" s="479"/>
      <c r="F8" s="480"/>
      <c r="G8" s="481" t="s">
        <v>208</v>
      </c>
      <c r="H8" s="481"/>
      <c r="I8" s="481"/>
      <c r="J8" s="479" t="s">
        <v>10</v>
      </c>
      <c r="K8" s="480">
        <v>41525</v>
      </c>
      <c r="L8" s="479" t="s">
        <v>220</v>
      </c>
      <c r="M8" s="29"/>
      <c r="N8" s="30"/>
      <c r="O8" s="31"/>
      <c r="P8" s="37"/>
      <c r="Q8" s="37"/>
      <c r="R8" s="37"/>
    </row>
    <row r="9" spans="1:18" ht="69.95" customHeight="1">
      <c r="A9" s="478">
        <v>6</v>
      </c>
      <c r="B9" s="478">
        <v>906</v>
      </c>
      <c r="C9" s="479">
        <v>9</v>
      </c>
      <c r="D9" s="479" t="s">
        <v>8</v>
      </c>
      <c r="E9" s="479"/>
      <c r="F9" s="480"/>
      <c r="G9" s="481" t="s">
        <v>214</v>
      </c>
      <c r="H9" s="481"/>
      <c r="I9" s="481"/>
      <c r="J9" s="479" t="s">
        <v>9</v>
      </c>
      <c r="K9" s="480">
        <v>40933</v>
      </c>
      <c r="L9" s="479" t="s">
        <v>2</v>
      </c>
      <c r="M9" s="29"/>
      <c r="N9" s="30"/>
      <c r="O9" s="31"/>
      <c r="P9" s="37"/>
      <c r="Q9" s="37"/>
      <c r="R9" s="37"/>
    </row>
    <row r="10" spans="1:18" ht="69.95" customHeight="1">
      <c r="A10" s="478">
        <v>7</v>
      </c>
      <c r="B10" s="478">
        <v>907</v>
      </c>
      <c r="C10" s="479">
        <v>9</v>
      </c>
      <c r="D10" s="479" t="s">
        <v>8</v>
      </c>
      <c r="E10" s="479"/>
      <c r="F10" s="480"/>
      <c r="G10" s="481" t="s">
        <v>215</v>
      </c>
      <c r="H10" s="481"/>
      <c r="I10" s="481"/>
      <c r="J10" s="479" t="s">
        <v>9</v>
      </c>
      <c r="K10" s="480">
        <v>41317</v>
      </c>
      <c r="L10" s="479" t="s">
        <v>219</v>
      </c>
      <c r="M10" s="29"/>
      <c r="N10" s="30"/>
      <c r="O10" s="31"/>
      <c r="P10" s="37"/>
      <c r="Q10" s="37"/>
      <c r="R10" s="37"/>
    </row>
    <row r="11" spans="1:18" ht="69.95" customHeight="1">
      <c r="A11" s="478">
        <v>8</v>
      </c>
      <c r="B11" s="478">
        <v>908</v>
      </c>
      <c r="C11" s="479">
        <v>9</v>
      </c>
      <c r="D11" s="479" t="s">
        <v>8</v>
      </c>
      <c r="E11" s="479"/>
      <c r="F11" s="480"/>
      <c r="G11" s="481" t="s">
        <v>210</v>
      </c>
      <c r="H11" s="481"/>
      <c r="I11" s="481"/>
      <c r="J11" s="479" t="s">
        <v>9</v>
      </c>
      <c r="K11" s="480">
        <v>40282</v>
      </c>
      <c r="L11" s="479" t="s">
        <v>222</v>
      </c>
      <c r="M11" s="29"/>
      <c r="N11" s="30"/>
      <c r="O11" s="31"/>
      <c r="P11" s="37"/>
      <c r="Q11" s="37"/>
      <c r="R11" s="37"/>
    </row>
    <row r="12" spans="1:18" ht="69.95" customHeight="1">
      <c r="A12" s="478">
        <v>9</v>
      </c>
      <c r="B12" s="478">
        <v>909</v>
      </c>
      <c r="C12" s="479">
        <v>9</v>
      </c>
      <c r="D12" s="479" t="s">
        <v>8</v>
      </c>
      <c r="E12" s="479"/>
      <c r="F12" s="480"/>
      <c r="G12" s="481" t="s">
        <v>216</v>
      </c>
      <c r="H12" s="481"/>
      <c r="I12" s="481"/>
      <c r="J12" s="479" t="s">
        <v>9</v>
      </c>
      <c r="K12" s="480">
        <v>40065</v>
      </c>
      <c r="L12" s="479" t="s">
        <v>221</v>
      </c>
      <c r="M12" s="29"/>
      <c r="N12" s="30"/>
      <c r="O12" s="31"/>
      <c r="P12" s="37"/>
      <c r="Q12" s="37"/>
      <c r="R12" s="37"/>
    </row>
    <row r="13" spans="1:18" ht="69.95" customHeight="1">
      <c r="A13" s="478">
        <v>10</v>
      </c>
      <c r="B13" s="478">
        <v>910</v>
      </c>
      <c r="C13" s="479">
        <v>9</v>
      </c>
      <c r="D13" s="479" t="s">
        <v>8</v>
      </c>
      <c r="E13" s="479"/>
      <c r="F13" s="480"/>
      <c r="G13" s="481" t="s">
        <v>217</v>
      </c>
      <c r="H13" s="481"/>
      <c r="I13" s="481"/>
      <c r="J13" s="479" t="s">
        <v>9</v>
      </c>
      <c r="K13" s="480">
        <v>40737</v>
      </c>
      <c r="L13" s="479" t="s">
        <v>223</v>
      </c>
      <c r="M13" s="29"/>
      <c r="N13" s="30"/>
      <c r="O13" s="31"/>
      <c r="P13" s="37"/>
      <c r="Q13" s="37"/>
      <c r="R13" s="37"/>
    </row>
    <row r="14" spans="1:18" ht="69.95" customHeight="1">
      <c r="A14" s="478">
        <v>11</v>
      </c>
      <c r="B14" s="478">
        <v>911</v>
      </c>
      <c r="C14" s="479">
        <v>9</v>
      </c>
      <c r="D14" s="479" t="s">
        <v>8</v>
      </c>
      <c r="E14" s="479"/>
      <c r="F14" s="480"/>
      <c r="G14" s="481" t="s">
        <v>218</v>
      </c>
      <c r="H14" s="481"/>
      <c r="I14" s="481"/>
      <c r="J14" s="479" t="s">
        <v>10</v>
      </c>
      <c r="K14" s="480">
        <v>41878</v>
      </c>
      <c r="L14" s="479" t="s">
        <v>220</v>
      </c>
      <c r="M14" s="29"/>
      <c r="N14" s="30"/>
      <c r="O14" s="31"/>
      <c r="P14" s="37"/>
      <c r="Q14" s="37"/>
      <c r="R14" s="37"/>
    </row>
    <row r="15" spans="1:18" ht="69.95" customHeight="1">
      <c r="A15" s="478">
        <v>12</v>
      </c>
      <c r="B15" s="478">
        <v>912</v>
      </c>
      <c r="C15" s="479">
        <v>9</v>
      </c>
      <c r="D15" s="479" t="s">
        <v>8</v>
      </c>
      <c r="E15" s="479"/>
      <c r="F15" s="480"/>
      <c r="G15" s="481" t="s">
        <v>229</v>
      </c>
      <c r="H15" s="481"/>
      <c r="I15" s="481"/>
      <c r="J15" s="479"/>
      <c r="K15" s="480"/>
      <c r="L15" s="479"/>
      <c r="M15" s="29"/>
      <c r="N15" s="30"/>
      <c r="O15" s="31"/>
      <c r="P15" s="37"/>
      <c r="Q15" s="37"/>
      <c r="R15" s="37"/>
    </row>
    <row r="16" spans="1:18" ht="69.95" customHeight="1">
      <c r="A16" s="478">
        <v>13</v>
      </c>
      <c r="B16" s="478">
        <v>913</v>
      </c>
      <c r="C16" s="479">
        <v>9</v>
      </c>
      <c r="D16" s="479" t="s">
        <v>8</v>
      </c>
      <c r="E16" s="479"/>
      <c r="F16" s="480"/>
      <c r="G16" s="481" t="s">
        <v>230</v>
      </c>
      <c r="H16" s="481"/>
      <c r="I16" s="481"/>
      <c r="J16" s="479"/>
      <c r="K16" s="480"/>
      <c r="L16" s="479"/>
      <c r="M16" s="29"/>
      <c r="N16" s="30"/>
      <c r="O16" s="31"/>
      <c r="P16" s="37"/>
      <c r="Q16" s="37"/>
      <c r="R16" s="37"/>
    </row>
    <row r="17" spans="1:18" ht="69.95" customHeight="1">
      <c r="A17" s="478">
        <v>14</v>
      </c>
      <c r="B17" s="478">
        <v>914</v>
      </c>
      <c r="C17" s="479">
        <v>9</v>
      </c>
      <c r="D17" s="479" t="s">
        <v>8</v>
      </c>
      <c r="E17" s="479"/>
      <c r="F17" s="480"/>
      <c r="G17" s="481" t="s">
        <v>231</v>
      </c>
      <c r="H17" s="481"/>
      <c r="I17" s="481"/>
      <c r="J17" s="479"/>
      <c r="K17" s="480"/>
      <c r="L17" s="479"/>
      <c r="M17" s="29"/>
      <c r="N17" s="30"/>
      <c r="O17" s="31"/>
      <c r="P17" s="37"/>
      <c r="Q17" s="37"/>
      <c r="R17" s="37"/>
    </row>
    <row r="18" spans="1:18" ht="69.95" customHeight="1">
      <c r="A18" s="478">
        <v>15</v>
      </c>
      <c r="B18" s="478">
        <v>915</v>
      </c>
      <c r="C18" s="479">
        <v>9</v>
      </c>
      <c r="D18" s="479" t="s">
        <v>8</v>
      </c>
      <c r="E18" s="479"/>
      <c r="F18" s="480"/>
      <c r="G18" s="481" t="s">
        <v>232</v>
      </c>
      <c r="H18" s="481"/>
      <c r="I18" s="481"/>
      <c r="J18" s="479"/>
      <c r="K18" s="480"/>
      <c r="L18" s="479"/>
      <c r="M18" s="29"/>
      <c r="N18" s="30"/>
      <c r="O18" s="31"/>
      <c r="P18" s="37"/>
      <c r="Q18" s="37"/>
      <c r="R18" s="37"/>
    </row>
    <row r="19" spans="1:18" ht="69.95" customHeight="1">
      <c r="A19" s="478">
        <v>16</v>
      </c>
      <c r="B19" s="478">
        <v>916</v>
      </c>
      <c r="C19" s="479">
        <v>9</v>
      </c>
      <c r="D19" s="479" t="s">
        <v>8</v>
      </c>
      <c r="E19" s="479"/>
      <c r="F19" s="480"/>
      <c r="G19" s="481" t="s">
        <v>233</v>
      </c>
      <c r="H19" s="481"/>
      <c r="I19" s="481"/>
      <c r="J19" s="479"/>
      <c r="K19" s="480"/>
      <c r="L19" s="479"/>
      <c r="M19" s="29"/>
      <c r="N19" s="30"/>
      <c r="O19" s="31"/>
      <c r="P19" s="37"/>
      <c r="Q19" s="37"/>
      <c r="R19" s="37"/>
    </row>
    <row r="20" spans="1:18" ht="69.95" customHeight="1">
      <c r="A20" s="478">
        <v>17</v>
      </c>
      <c r="B20" s="478">
        <v>917</v>
      </c>
      <c r="C20" s="479">
        <v>9</v>
      </c>
      <c r="D20" s="479" t="s">
        <v>8</v>
      </c>
      <c r="E20" s="479"/>
      <c r="F20" s="480"/>
      <c r="G20" s="481" t="s">
        <v>234</v>
      </c>
      <c r="H20" s="481"/>
      <c r="I20" s="481"/>
      <c r="J20" s="479"/>
      <c r="K20" s="480"/>
      <c r="L20" s="479"/>
      <c r="M20" s="29"/>
      <c r="N20" s="30"/>
      <c r="O20" s="31"/>
      <c r="P20" s="37"/>
      <c r="Q20" s="37"/>
      <c r="R20" s="37"/>
    </row>
    <row r="21" spans="1:18" ht="69.95" customHeight="1">
      <c r="A21" s="478">
        <v>18</v>
      </c>
      <c r="B21" s="478">
        <v>918</v>
      </c>
      <c r="C21" s="479">
        <v>9</v>
      </c>
      <c r="D21" s="479" t="s">
        <v>8</v>
      </c>
      <c r="E21" s="479"/>
      <c r="F21" s="480"/>
      <c r="G21" s="481" t="s">
        <v>235</v>
      </c>
      <c r="H21" s="481"/>
      <c r="I21" s="481"/>
      <c r="J21" s="479"/>
      <c r="K21" s="480"/>
      <c r="L21" s="479"/>
      <c r="M21" s="29"/>
      <c r="N21" s="30"/>
      <c r="O21" s="31"/>
      <c r="P21" s="37"/>
      <c r="Q21" s="37"/>
      <c r="R21" s="37"/>
    </row>
    <row r="22" spans="1:18" ht="69.95" customHeight="1">
      <c r="A22" s="478">
        <v>19</v>
      </c>
      <c r="B22" s="478">
        <v>919</v>
      </c>
      <c r="C22" s="479">
        <v>9</v>
      </c>
      <c r="D22" s="479" t="s">
        <v>8</v>
      </c>
      <c r="E22" s="479"/>
      <c r="F22" s="480"/>
      <c r="G22" s="481" t="s">
        <v>236</v>
      </c>
      <c r="H22" s="481"/>
      <c r="I22" s="481"/>
      <c r="J22" s="479"/>
      <c r="K22" s="480"/>
      <c r="L22" s="479"/>
      <c r="M22" s="29"/>
      <c r="N22" s="30"/>
      <c r="O22" s="31"/>
      <c r="P22" s="37"/>
      <c r="Q22" s="37"/>
      <c r="R22" s="37"/>
    </row>
    <row r="23" spans="1:18" ht="69.95" customHeight="1">
      <c r="A23" s="478">
        <v>20</v>
      </c>
      <c r="B23" s="478">
        <v>920</v>
      </c>
      <c r="C23" s="479">
        <v>9</v>
      </c>
      <c r="D23" s="479" t="s">
        <v>8</v>
      </c>
      <c r="E23" s="479"/>
      <c r="F23" s="480"/>
      <c r="G23" s="481" t="s">
        <v>237</v>
      </c>
      <c r="H23" s="481"/>
      <c r="I23" s="481"/>
      <c r="J23" s="479"/>
      <c r="K23" s="480"/>
      <c r="L23" s="479"/>
      <c r="M23" s="29"/>
      <c r="N23" s="30"/>
      <c r="O23" s="31"/>
      <c r="P23" s="37"/>
      <c r="Q23" s="37"/>
      <c r="R23" s="37"/>
    </row>
    <row r="24" spans="1:18" ht="69.95" customHeight="1">
      <c r="A24" s="478">
        <v>21</v>
      </c>
      <c r="B24" s="478">
        <v>921</v>
      </c>
      <c r="C24" s="479">
        <v>9</v>
      </c>
      <c r="D24" s="479" t="s">
        <v>8</v>
      </c>
      <c r="E24" s="479"/>
      <c r="F24" s="480"/>
      <c r="G24" s="481" t="s">
        <v>238</v>
      </c>
      <c r="H24" s="481"/>
      <c r="I24" s="481"/>
      <c r="J24" s="479"/>
      <c r="K24" s="480"/>
      <c r="L24" s="479"/>
      <c r="M24" s="29"/>
      <c r="N24" s="30"/>
      <c r="O24" s="31"/>
      <c r="P24" s="37"/>
      <c r="Q24" s="37"/>
      <c r="R24" s="37"/>
    </row>
    <row r="25" spans="1:18" ht="69.95" customHeight="1">
      <c r="A25" s="478">
        <v>22</v>
      </c>
      <c r="B25" s="478">
        <v>922</v>
      </c>
      <c r="C25" s="479">
        <v>9</v>
      </c>
      <c r="D25" s="479" t="s">
        <v>8</v>
      </c>
      <c r="E25" s="479"/>
      <c r="F25" s="480"/>
      <c r="G25" s="481" t="s">
        <v>239</v>
      </c>
      <c r="H25" s="481"/>
      <c r="I25" s="481"/>
      <c r="J25" s="479"/>
      <c r="K25" s="480"/>
      <c r="L25" s="479"/>
      <c r="M25" s="29"/>
      <c r="N25" s="30"/>
      <c r="O25" s="31"/>
      <c r="P25" s="37"/>
      <c r="Q25" s="37"/>
      <c r="R25" s="37"/>
    </row>
    <row r="26" spans="1:18" ht="69.95" customHeight="1">
      <c r="A26" s="478">
        <v>23</v>
      </c>
      <c r="B26" s="478">
        <v>923</v>
      </c>
      <c r="C26" s="479">
        <v>9</v>
      </c>
      <c r="D26" s="479" t="s">
        <v>8</v>
      </c>
      <c r="E26" s="479"/>
      <c r="F26" s="480"/>
      <c r="G26" s="481" t="s">
        <v>240</v>
      </c>
      <c r="H26" s="481"/>
      <c r="I26" s="481"/>
      <c r="J26" s="479"/>
      <c r="K26" s="480"/>
      <c r="L26" s="479"/>
      <c r="M26" s="29"/>
      <c r="N26" s="30"/>
      <c r="O26" s="31"/>
      <c r="P26" s="37"/>
      <c r="Q26" s="37"/>
      <c r="R26" s="37"/>
    </row>
    <row r="27" spans="1:18" ht="69.95" customHeight="1">
      <c r="A27" s="478">
        <v>24</v>
      </c>
      <c r="B27" s="478">
        <v>924</v>
      </c>
      <c r="C27" s="479">
        <v>9</v>
      </c>
      <c r="D27" s="479" t="s">
        <v>8</v>
      </c>
      <c r="E27" s="479"/>
      <c r="F27" s="480"/>
      <c r="G27" s="481" t="s">
        <v>241</v>
      </c>
      <c r="H27" s="481"/>
      <c r="I27" s="481"/>
      <c r="J27" s="479"/>
      <c r="K27" s="480"/>
      <c r="L27" s="479"/>
      <c r="M27" s="29"/>
      <c r="N27" s="30"/>
      <c r="O27" s="31"/>
      <c r="P27" s="37"/>
      <c r="Q27" s="37"/>
      <c r="R27" s="37"/>
    </row>
    <row r="28" spans="1:18" ht="69.95" customHeight="1">
      <c r="A28" s="478">
        <v>25</v>
      </c>
      <c r="B28" s="478">
        <v>925</v>
      </c>
      <c r="C28" s="479">
        <v>9</v>
      </c>
      <c r="D28" s="479" t="s">
        <v>8</v>
      </c>
      <c r="E28" s="479"/>
      <c r="F28" s="480"/>
      <c r="G28" s="481" t="s">
        <v>242</v>
      </c>
      <c r="H28" s="481"/>
      <c r="I28" s="481"/>
      <c r="J28" s="479"/>
      <c r="K28" s="480"/>
      <c r="L28" s="479"/>
      <c r="M28" s="29"/>
      <c r="N28" s="30"/>
      <c r="O28" s="31"/>
      <c r="P28" s="37"/>
      <c r="Q28" s="37"/>
      <c r="R28" s="37"/>
    </row>
    <row r="29" spans="1:18" ht="69.95" customHeight="1">
      <c r="A29" s="478">
        <v>26</v>
      </c>
      <c r="B29" s="478">
        <v>926</v>
      </c>
      <c r="C29" s="479">
        <v>9</v>
      </c>
      <c r="D29" s="479" t="s">
        <v>8</v>
      </c>
      <c r="E29" s="479"/>
      <c r="F29" s="480"/>
      <c r="G29" s="481" t="s">
        <v>243</v>
      </c>
      <c r="H29" s="481"/>
      <c r="I29" s="481"/>
      <c r="J29" s="479"/>
      <c r="K29" s="480"/>
      <c r="L29" s="479"/>
      <c r="M29" s="29"/>
      <c r="N29" s="30"/>
      <c r="O29" s="31"/>
      <c r="P29" s="37"/>
      <c r="Q29" s="37"/>
      <c r="R29" s="37"/>
    </row>
    <row r="30" spans="1:18" ht="69.95" customHeight="1">
      <c r="A30" s="478">
        <v>27</v>
      </c>
      <c r="B30" s="478">
        <v>927</v>
      </c>
      <c r="C30" s="479">
        <v>9</v>
      </c>
      <c r="D30" s="479" t="s">
        <v>8</v>
      </c>
      <c r="E30" s="479"/>
      <c r="F30" s="480"/>
      <c r="G30" s="481" t="s">
        <v>244</v>
      </c>
      <c r="H30" s="481"/>
      <c r="I30" s="481"/>
      <c r="J30" s="479"/>
      <c r="K30" s="480"/>
      <c r="L30" s="479"/>
      <c r="M30" s="29"/>
      <c r="N30" s="30"/>
      <c r="O30" s="31"/>
      <c r="P30" s="37"/>
      <c r="Q30" s="37"/>
      <c r="R30" s="37"/>
    </row>
    <row r="31" spans="1:18" ht="69.95" customHeight="1">
      <c r="A31" s="478">
        <v>28</v>
      </c>
      <c r="B31" s="478">
        <v>928</v>
      </c>
      <c r="C31" s="479">
        <v>9</v>
      </c>
      <c r="D31" s="479" t="s">
        <v>8</v>
      </c>
      <c r="E31" s="479"/>
      <c r="F31" s="480"/>
      <c r="G31" s="481" t="s">
        <v>245</v>
      </c>
      <c r="H31" s="481"/>
      <c r="I31" s="481"/>
      <c r="J31" s="479"/>
      <c r="K31" s="480"/>
      <c r="L31" s="479"/>
      <c r="M31" s="29"/>
      <c r="N31" s="30"/>
      <c r="O31" s="31"/>
      <c r="P31" s="37"/>
      <c r="Q31" s="37"/>
      <c r="R31" s="37"/>
    </row>
    <row r="32" spans="1:18" ht="69.95" customHeight="1">
      <c r="A32" s="478">
        <v>29</v>
      </c>
      <c r="B32" s="478">
        <v>929</v>
      </c>
      <c r="C32" s="479">
        <v>9</v>
      </c>
      <c r="D32" s="479" t="s">
        <v>8</v>
      </c>
      <c r="E32" s="479"/>
      <c r="F32" s="480"/>
      <c r="G32" s="481" t="s">
        <v>246</v>
      </c>
      <c r="H32" s="481"/>
      <c r="I32" s="481"/>
      <c r="J32" s="479"/>
      <c r="K32" s="480"/>
      <c r="L32" s="479"/>
      <c r="M32" s="29"/>
      <c r="N32" s="30"/>
      <c r="O32" s="31"/>
      <c r="P32" s="37"/>
      <c r="Q32" s="37"/>
      <c r="R32" s="37"/>
    </row>
    <row r="33" spans="1:18" ht="69.95" customHeight="1">
      <c r="A33" s="478">
        <v>30</v>
      </c>
      <c r="B33" s="478">
        <v>930</v>
      </c>
      <c r="C33" s="479">
        <v>9</v>
      </c>
      <c r="D33" s="479" t="s">
        <v>8</v>
      </c>
      <c r="E33" s="479"/>
      <c r="F33" s="480"/>
      <c r="G33" s="481" t="s">
        <v>247</v>
      </c>
      <c r="H33" s="481"/>
      <c r="I33" s="481"/>
      <c r="J33" s="479"/>
      <c r="K33" s="480"/>
      <c r="L33" s="479"/>
      <c r="M33" s="29"/>
      <c r="N33" s="30"/>
      <c r="O33" s="31"/>
      <c r="P33" s="37"/>
      <c r="Q33" s="37"/>
      <c r="R33" s="37"/>
    </row>
    <row r="34" spans="1:18" ht="69.95" customHeight="1">
      <c r="A34" s="478">
        <v>31</v>
      </c>
      <c r="B34" s="478">
        <v>931</v>
      </c>
      <c r="C34" s="479">
        <v>9</v>
      </c>
      <c r="D34" s="479" t="s">
        <v>8</v>
      </c>
      <c r="E34" s="479"/>
      <c r="F34" s="480"/>
      <c r="G34" s="481" t="s">
        <v>248</v>
      </c>
      <c r="H34" s="481"/>
      <c r="I34" s="481"/>
      <c r="J34" s="479"/>
      <c r="K34" s="480"/>
      <c r="L34" s="479"/>
      <c r="M34" s="29"/>
      <c r="N34" s="30"/>
      <c r="O34" s="31"/>
      <c r="P34" s="37"/>
      <c r="Q34" s="37"/>
      <c r="R34" s="37"/>
    </row>
    <row r="35" spans="1:18" ht="69.95" customHeight="1">
      <c r="A35" s="478">
        <v>32</v>
      </c>
      <c r="B35" s="478"/>
      <c r="C35" s="479"/>
      <c r="D35" s="479"/>
      <c r="E35" s="479"/>
      <c r="F35" s="480"/>
      <c r="G35" s="481"/>
      <c r="H35" s="481"/>
      <c r="I35" s="481"/>
      <c r="J35" s="479"/>
      <c r="K35" s="480"/>
      <c r="L35" s="479"/>
      <c r="M35" s="29"/>
      <c r="N35" s="30"/>
      <c r="O35" s="31"/>
      <c r="P35" s="37"/>
      <c r="Q35" s="37"/>
      <c r="R35" s="37"/>
    </row>
    <row r="36" spans="1:18" ht="69.95" customHeight="1">
      <c r="A36" s="478">
        <v>33</v>
      </c>
      <c r="B36" s="478"/>
      <c r="C36" s="479"/>
      <c r="D36" s="479"/>
      <c r="E36" s="479"/>
      <c r="F36" s="480"/>
      <c r="G36" s="481"/>
      <c r="H36" s="481"/>
      <c r="I36" s="481"/>
      <c r="J36" s="479"/>
      <c r="K36" s="480"/>
      <c r="L36" s="479"/>
      <c r="M36" s="29"/>
      <c r="N36" s="30"/>
      <c r="O36" s="31"/>
      <c r="P36" s="37"/>
      <c r="Q36" s="37"/>
      <c r="R36" s="37"/>
    </row>
    <row r="37" spans="1:18" ht="69.95" customHeight="1">
      <c r="A37" s="478">
        <v>34</v>
      </c>
      <c r="B37" s="478"/>
      <c r="C37" s="479"/>
      <c r="D37" s="479"/>
      <c r="E37" s="479"/>
      <c r="F37" s="480"/>
      <c r="G37" s="481"/>
      <c r="H37" s="481"/>
      <c r="I37" s="481"/>
      <c r="J37" s="479"/>
      <c r="K37" s="480"/>
      <c r="L37" s="479"/>
      <c r="M37" s="29"/>
      <c r="N37" s="30"/>
      <c r="O37" s="31"/>
      <c r="P37" s="37"/>
      <c r="Q37" s="37"/>
      <c r="R37" s="37"/>
    </row>
    <row r="38" spans="1:18" ht="69.95" customHeight="1">
      <c r="A38" s="478">
        <v>35</v>
      </c>
      <c r="B38" s="478"/>
      <c r="C38" s="479"/>
      <c r="D38" s="479"/>
      <c r="E38" s="479"/>
      <c r="F38" s="480"/>
      <c r="G38" s="481"/>
      <c r="H38" s="481"/>
      <c r="I38" s="481"/>
      <c r="J38" s="479"/>
      <c r="K38" s="480"/>
      <c r="L38" s="479"/>
      <c r="M38" s="29"/>
      <c r="N38" s="30"/>
      <c r="O38" s="31"/>
      <c r="P38" s="37"/>
      <c r="Q38" s="37"/>
      <c r="R38" s="37"/>
    </row>
    <row r="39" spans="1:18" ht="69.95" customHeight="1">
      <c r="A39" s="478">
        <v>36</v>
      </c>
      <c r="B39" s="478"/>
      <c r="C39" s="479"/>
      <c r="D39" s="479"/>
      <c r="E39" s="479"/>
      <c r="F39" s="480"/>
      <c r="G39" s="481"/>
      <c r="H39" s="481"/>
      <c r="I39" s="481"/>
      <c r="J39" s="479"/>
      <c r="K39" s="480"/>
      <c r="L39" s="479"/>
      <c r="M39" s="29"/>
      <c r="N39" s="30"/>
      <c r="O39" s="31"/>
      <c r="P39" s="37"/>
      <c r="Q39" s="37"/>
      <c r="R39" s="37"/>
    </row>
    <row r="40" spans="1:18" ht="69.95" customHeight="1">
      <c r="A40" s="478">
        <v>37</v>
      </c>
      <c r="B40" s="478"/>
      <c r="C40" s="479"/>
      <c r="D40" s="479"/>
      <c r="E40" s="479"/>
      <c r="F40" s="480"/>
      <c r="G40" s="481"/>
      <c r="H40" s="481"/>
      <c r="I40" s="481"/>
      <c r="J40" s="479"/>
      <c r="K40" s="480"/>
      <c r="L40" s="479"/>
      <c r="M40" s="29"/>
      <c r="N40" s="30"/>
      <c r="O40" s="31"/>
      <c r="P40" s="37"/>
      <c r="Q40" s="37"/>
      <c r="R40" s="37"/>
    </row>
    <row r="41" spans="1:18" ht="69.95" customHeight="1">
      <c r="A41" s="478">
        <v>38</v>
      </c>
      <c r="B41" s="478"/>
      <c r="C41" s="479"/>
      <c r="D41" s="479"/>
      <c r="E41" s="479"/>
      <c r="F41" s="480"/>
      <c r="G41" s="481"/>
      <c r="H41" s="481"/>
      <c r="I41" s="481"/>
      <c r="J41" s="479"/>
      <c r="K41" s="480"/>
      <c r="L41" s="479"/>
      <c r="M41" s="29"/>
      <c r="N41" s="30"/>
      <c r="O41" s="31"/>
      <c r="P41" s="37"/>
      <c r="Q41" s="37"/>
      <c r="R41" s="37"/>
    </row>
    <row r="42" spans="1:18" ht="69.95" customHeight="1">
      <c r="A42" s="478">
        <v>39</v>
      </c>
      <c r="B42" s="478"/>
      <c r="C42" s="479"/>
      <c r="D42" s="479"/>
      <c r="E42" s="479"/>
      <c r="F42" s="480"/>
      <c r="G42" s="481"/>
      <c r="H42" s="481"/>
      <c r="I42" s="481"/>
      <c r="J42" s="479"/>
      <c r="K42" s="480"/>
      <c r="L42" s="479"/>
      <c r="M42" s="29"/>
      <c r="N42" s="30"/>
      <c r="O42" s="31"/>
      <c r="P42" s="37"/>
      <c r="Q42" s="37"/>
      <c r="R42" s="37"/>
    </row>
    <row r="43" spans="1:18" ht="69.95" customHeight="1">
      <c r="A43" s="478">
        <v>40</v>
      </c>
      <c r="B43" s="478"/>
      <c r="C43" s="479"/>
      <c r="D43" s="479"/>
      <c r="E43" s="479"/>
      <c r="F43" s="480"/>
      <c r="G43" s="481"/>
      <c r="H43" s="481"/>
      <c r="I43" s="481"/>
      <c r="J43" s="479"/>
      <c r="K43" s="480"/>
      <c r="L43" s="479"/>
      <c r="M43" s="29"/>
      <c r="N43" s="30"/>
      <c r="O43" s="31"/>
      <c r="P43" s="37"/>
      <c r="Q43" s="37"/>
      <c r="R43" s="37"/>
    </row>
    <row r="44" spans="1:18" ht="69.95" customHeight="1">
      <c r="A44" s="478">
        <v>41</v>
      </c>
      <c r="B44" s="478"/>
      <c r="C44" s="479"/>
      <c r="D44" s="479"/>
      <c r="E44" s="479"/>
      <c r="F44" s="480"/>
      <c r="G44" s="481"/>
      <c r="H44" s="481"/>
      <c r="I44" s="481"/>
      <c r="J44" s="479"/>
      <c r="K44" s="480"/>
      <c r="L44" s="479"/>
      <c r="M44" s="29"/>
      <c r="N44" s="30"/>
      <c r="O44" s="31"/>
      <c r="P44" s="37"/>
      <c r="Q44" s="37"/>
      <c r="R44" s="37"/>
    </row>
    <row r="45" spans="1:18" ht="69.95" customHeight="1">
      <c r="A45" s="478">
        <v>42</v>
      </c>
      <c r="B45" s="478"/>
      <c r="C45" s="479"/>
      <c r="D45" s="479"/>
      <c r="E45" s="479"/>
      <c r="F45" s="480"/>
      <c r="G45" s="481"/>
      <c r="H45" s="481"/>
      <c r="I45" s="481"/>
      <c r="J45" s="479"/>
      <c r="K45" s="480"/>
      <c r="L45" s="479"/>
      <c r="M45" s="29"/>
      <c r="N45" s="30"/>
      <c r="O45" s="31"/>
      <c r="P45" s="37"/>
      <c r="Q45" s="37"/>
      <c r="R45" s="37"/>
    </row>
    <row r="46" spans="1:18" ht="69.95" customHeight="1">
      <c r="A46" s="478">
        <v>43</v>
      </c>
      <c r="B46" s="478"/>
      <c r="C46" s="479"/>
      <c r="D46" s="479"/>
      <c r="E46" s="479"/>
      <c r="F46" s="480"/>
      <c r="G46" s="481"/>
      <c r="H46" s="481"/>
      <c r="I46" s="481"/>
      <c r="J46" s="479"/>
      <c r="K46" s="480"/>
      <c r="L46" s="479"/>
      <c r="M46" s="29"/>
      <c r="N46" s="30"/>
      <c r="O46" s="31"/>
      <c r="P46" s="37"/>
      <c r="Q46" s="37"/>
      <c r="R46" s="37"/>
    </row>
    <row r="47" spans="1:18" ht="69.95" customHeight="1">
      <c r="A47" s="478">
        <v>44</v>
      </c>
      <c r="B47" s="478"/>
      <c r="C47" s="479"/>
      <c r="D47" s="479"/>
      <c r="E47" s="479"/>
      <c r="F47" s="480"/>
      <c r="G47" s="481"/>
      <c r="H47" s="481"/>
      <c r="I47" s="481"/>
      <c r="J47" s="479"/>
      <c r="K47" s="480"/>
      <c r="L47" s="479"/>
      <c r="M47" s="29"/>
      <c r="N47" s="30"/>
      <c r="O47" s="31"/>
      <c r="P47" s="37"/>
      <c r="Q47" s="37"/>
      <c r="R47" s="37"/>
    </row>
    <row r="48" spans="1:18" ht="69.95" customHeight="1">
      <c r="A48" s="478">
        <v>45</v>
      </c>
      <c r="B48" s="478"/>
      <c r="C48" s="479"/>
      <c r="D48" s="479"/>
      <c r="E48" s="479"/>
      <c r="F48" s="480"/>
      <c r="G48" s="481"/>
      <c r="H48" s="481"/>
      <c r="I48" s="481"/>
      <c r="J48" s="479"/>
      <c r="K48" s="480"/>
      <c r="L48" s="479"/>
      <c r="M48" s="29"/>
      <c r="N48" s="30"/>
      <c r="O48" s="31"/>
      <c r="P48" s="37"/>
      <c r="Q48" s="37"/>
      <c r="R48" s="37"/>
    </row>
    <row r="49" spans="1:18" ht="69.95" customHeight="1">
      <c r="A49" s="478">
        <v>46</v>
      </c>
      <c r="B49" s="478"/>
      <c r="C49" s="479"/>
      <c r="D49" s="479"/>
      <c r="E49" s="479"/>
      <c r="F49" s="480"/>
      <c r="G49" s="481"/>
      <c r="H49" s="481"/>
      <c r="I49" s="481"/>
      <c r="J49" s="479"/>
      <c r="K49" s="480"/>
      <c r="L49" s="479"/>
      <c r="M49" s="29"/>
      <c r="N49" s="30"/>
      <c r="O49" s="31"/>
      <c r="P49" s="37"/>
      <c r="Q49" s="37"/>
      <c r="R49" s="37"/>
    </row>
    <row r="50" spans="1:18" ht="69.95" customHeight="1">
      <c r="A50" s="478">
        <v>47</v>
      </c>
      <c r="B50" s="478"/>
      <c r="C50" s="479"/>
      <c r="D50" s="479"/>
      <c r="E50" s="479"/>
      <c r="F50" s="480"/>
      <c r="G50" s="481"/>
      <c r="H50" s="481"/>
      <c r="I50" s="481"/>
      <c r="J50" s="479"/>
      <c r="K50" s="480"/>
      <c r="L50" s="479"/>
      <c r="M50" s="29"/>
      <c r="N50" s="30"/>
      <c r="O50" s="31"/>
      <c r="P50" s="37"/>
      <c r="Q50" s="37"/>
      <c r="R50" s="37"/>
    </row>
    <row r="51" spans="1:18" ht="69.95" customHeight="1">
      <c r="A51" s="478">
        <v>48</v>
      </c>
      <c r="B51" s="478"/>
      <c r="C51" s="479"/>
      <c r="D51" s="479"/>
      <c r="E51" s="479"/>
      <c r="F51" s="480"/>
      <c r="G51" s="481"/>
      <c r="H51" s="481"/>
      <c r="I51" s="481"/>
      <c r="J51" s="479"/>
      <c r="K51" s="480"/>
      <c r="L51" s="479"/>
      <c r="M51" s="29"/>
      <c r="N51" s="30"/>
      <c r="O51" s="31"/>
      <c r="P51" s="37"/>
      <c r="Q51" s="37"/>
      <c r="R51" s="37"/>
    </row>
    <row r="52" spans="1:18" ht="69.95" customHeight="1">
      <c r="A52" s="478">
        <v>49</v>
      </c>
      <c r="B52" s="478"/>
      <c r="C52" s="479"/>
      <c r="D52" s="479"/>
      <c r="E52" s="479"/>
      <c r="F52" s="480"/>
      <c r="G52" s="481"/>
      <c r="H52" s="481"/>
      <c r="I52" s="481"/>
      <c r="J52" s="479"/>
      <c r="K52" s="480"/>
      <c r="L52" s="479"/>
      <c r="M52" s="29"/>
      <c r="N52" s="30"/>
      <c r="O52" s="31"/>
      <c r="P52" s="37"/>
      <c r="Q52" s="37"/>
      <c r="R52" s="37"/>
    </row>
    <row r="53" spans="1:18" ht="69.95" customHeight="1">
      <c r="A53" s="478">
        <v>50</v>
      </c>
      <c r="B53" s="478"/>
      <c r="C53" s="479"/>
      <c r="D53" s="479"/>
      <c r="E53" s="479"/>
      <c r="F53" s="480"/>
      <c r="G53" s="481"/>
      <c r="H53" s="481"/>
      <c r="I53" s="481"/>
      <c r="J53" s="479"/>
      <c r="K53" s="480"/>
      <c r="L53" s="479"/>
      <c r="M53" s="29"/>
      <c r="N53" s="30"/>
      <c r="O53" s="31"/>
      <c r="P53" s="37"/>
      <c r="Q53" s="37"/>
      <c r="R53" s="37"/>
    </row>
    <row r="54" spans="1:18" ht="69.95" customHeight="1">
      <c r="A54" s="478">
        <v>51</v>
      </c>
      <c r="B54" s="478"/>
      <c r="C54" s="479"/>
      <c r="D54" s="479"/>
      <c r="E54" s="479"/>
      <c r="F54" s="480"/>
      <c r="G54" s="481"/>
      <c r="H54" s="481"/>
      <c r="I54" s="481"/>
      <c r="J54" s="479"/>
      <c r="K54" s="480"/>
      <c r="L54" s="479"/>
      <c r="M54" s="29"/>
      <c r="N54" s="30"/>
      <c r="O54" s="31"/>
      <c r="P54" s="37"/>
      <c r="Q54" s="37"/>
      <c r="R54" s="37"/>
    </row>
    <row r="55" spans="1:18" ht="69.95" customHeight="1">
      <c r="A55" s="478">
        <v>52</v>
      </c>
      <c r="B55" s="478"/>
      <c r="C55" s="479"/>
      <c r="D55" s="479"/>
      <c r="E55" s="479"/>
      <c r="F55" s="480"/>
      <c r="G55" s="481"/>
      <c r="H55" s="481"/>
      <c r="I55" s="481"/>
      <c r="J55" s="479"/>
      <c r="K55" s="480"/>
      <c r="L55" s="479"/>
      <c r="M55" s="29"/>
      <c r="N55" s="30"/>
      <c r="O55" s="31"/>
      <c r="P55" s="37"/>
      <c r="Q55" s="37"/>
      <c r="R55" s="37"/>
    </row>
    <row r="56" spans="1:18" ht="69.95" customHeight="1">
      <c r="A56" s="478">
        <v>53</v>
      </c>
      <c r="B56" s="478"/>
      <c r="C56" s="479"/>
      <c r="D56" s="479"/>
      <c r="E56" s="479"/>
      <c r="F56" s="480"/>
      <c r="G56" s="481"/>
      <c r="H56" s="481"/>
      <c r="I56" s="481"/>
      <c r="J56" s="479"/>
      <c r="K56" s="480"/>
      <c r="L56" s="479"/>
      <c r="M56" s="29"/>
      <c r="N56" s="30"/>
      <c r="O56" s="31"/>
      <c r="P56" s="37"/>
      <c r="Q56" s="37"/>
      <c r="R56" s="37"/>
    </row>
    <row r="57" spans="1:18" ht="69.95" customHeight="1">
      <c r="A57" s="478">
        <v>54</v>
      </c>
      <c r="B57" s="478"/>
      <c r="C57" s="479"/>
      <c r="D57" s="479"/>
      <c r="E57" s="479"/>
      <c r="F57" s="480"/>
      <c r="G57" s="481"/>
      <c r="H57" s="481"/>
      <c r="I57" s="481"/>
      <c r="J57" s="479"/>
      <c r="K57" s="480"/>
      <c r="L57" s="479"/>
      <c r="M57" s="29"/>
      <c r="N57" s="30"/>
      <c r="O57" s="31"/>
      <c r="P57" s="37"/>
      <c r="Q57" s="37"/>
      <c r="R57" s="37"/>
    </row>
    <row r="58" spans="1:18" ht="69.95" customHeight="1">
      <c r="A58" s="478">
        <v>55</v>
      </c>
      <c r="B58" s="478"/>
      <c r="C58" s="479"/>
      <c r="D58" s="479"/>
      <c r="E58" s="479"/>
      <c r="F58" s="480"/>
      <c r="G58" s="481"/>
      <c r="H58" s="481"/>
      <c r="I58" s="481"/>
      <c r="J58" s="479"/>
      <c r="K58" s="480"/>
      <c r="L58" s="479"/>
      <c r="M58" s="29"/>
      <c r="N58" s="30"/>
      <c r="O58" s="31"/>
      <c r="P58" s="37"/>
      <c r="Q58" s="37"/>
      <c r="R58" s="37"/>
    </row>
    <row r="59" spans="1:18" ht="69.95" customHeight="1">
      <c r="A59" s="478">
        <v>56</v>
      </c>
      <c r="B59" s="478"/>
      <c r="C59" s="479"/>
      <c r="D59" s="479"/>
      <c r="E59" s="479"/>
      <c r="F59" s="480"/>
      <c r="G59" s="481"/>
      <c r="H59" s="481"/>
      <c r="I59" s="481"/>
      <c r="J59" s="479"/>
      <c r="K59" s="480"/>
      <c r="L59" s="479"/>
      <c r="M59" s="29"/>
      <c r="N59" s="30"/>
      <c r="O59" s="31"/>
      <c r="P59" s="37"/>
      <c r="Q59" s="37"/>
      <c r="R59" s="37"/>
    </row>
    <row r="60" spans="1:18" ht="69.95" customHeight="1">
      <c r="A60" s="478">
        <v>57</v>
      </c>
      <c r="B60" s="478"/>
      <c r="C60" s="479"/>
      <c r="D60" s="479"/>
      <c r="E60" s="479"/>
      <c r="F60" s="480"/>
      <c r="G60" s="481"/>
      <c r="H60" s="481"/>
      <c r="I60" s="481"/>
      <c r="J60" s="479"/>
      <c r="K60" s="480"/>
      <c r="L60" s="479"/>
      <c r="M60" s="29"/>
      <c r="N60" s="30"/>
      <c r="O60" s="31"/>
      <c r="P60" s="37"/>
      <c r="Q60" s="37"/>
      <c r="R60" s="37"/>
    </row>
    <row r="61" spans="1:18" ht="69.95" customHeight="1">
      <c r="A61" s="478">
        <v>58</v>
      </c>
      <c r="B61" s="478"/>
      <c r="C61" s="479"/>
      <c r="D61" s="479"/>
      <c r="E61" s="479"/>
      <c r="F61" s="480"/>
      <c r="G61" s="481"/>
      <c r="H61" s="481"/>
      <c r="I61" s="481"/>
      <c r="J61" s="479"/>
      <c r="K61" s="480"/>
      <c r="L61" s="479"/>
      <c r="M61" s="29"/>
      <c r="N61" s="30"/>
      <c r="O61" s="31"/>
      <c r="P61" s="37"/>
      <c r="Q61" s="37"/>
      <c r="R61" s="37"/>
    </row>
    <row r="62" spans="1:18" ht="69.95" customHeight="1">
      <c r="A62" s="478">
        <v>59</v>
      </c>
      <c r="B62" s="478"/>
      <c r="C62" s="479"/>
      <c r="D62" s="479"/>
      <c r="E62" s="479"/>
      <c r="F62" s="480"/>
      <c r="G62" s="481"/>
      <c r="H62" s="481"/>
      <c r="I62" s="481"/>
      <c r="J62" s="479"/>
      <c r="K62" s="480"/>
      <c r="L62" s="479"/>
      <c r="M62" s="29"/>
      <c r="N62" s="30"/>
      <c r="O62" s="31"/>
      <c r="P62" s="37"/>
      <c r="Q62" s="37"/>
      <c r="R62" s="37"/>
    </row>
    <row r="63" spans="1:18" ht="69.95" customHeight="1">
      <c r="A63" s="478">
        <v>60</v>
      </c>
      <c r="B63" s="478"/>
      <c r="C63" s="479"/>
      <c r="D63" s="479"/>
      <c r="E63" s="479"/>
      <c r="F63" s="480"/>
      <c r="G63" s="481"/>
      <c r="H63" s="481"/>
      <c r="I63" s="481"/>
      <c r="J63" s="479"/>
      <c r="K63" s="480"/>
      <c r="L63" s="479"/>
      <c r="M63" s="29"/>
      <c r="N63" s="30"/>
      <c r="O63" s="31"/>
      <c r="P63" s="37"/>
      <c r="Q63" s="37"/>
      <c r="R63" s="37"/>
    </row>
    <row r="64" spans="1:18" ht="69.95" customHeight="1">
      <c r="A64" s="478">
        <v>61</v>
      </c>
      <c r="B64" s="478"/>
      <c r="C64" s="479"/>
      <c r="D64" s="479"/>
      <c r="E64" s="479"/>
      <c r="F64" s="480"/>
      <c r="G64" s="481"/>
      <c r="H64" s="481"/>
      <c r="I64" s="481"/>
      <c r="J64" s="479"/>
      <c r="K64" s="480"/>
      <c r="L64" s="479"/>
      <c r="M64" s="29"/>
      <c r="N64" s="30"/>
      <c r="O64" s="31"/>
      <c r="P64" s="37"/>
      <c r="Q64" s="37"/>
      <c r="R64" s="37"/>
    </row>
    <row r="65" spans="1:18" ht="69.95" customHeight="1">
      <c r="A65" s="478">
        <v>62</v>
      </c>
      <c r="B65" s="478"/>
      <c r="C65" s="479"/>
      <c r="D65" s="479"/>
      <c r="E65" s="479"/>
      <c r="F65" s="480"/>
      <c r="G65" s="481"/>
      <c r="H65" s="481"/>
      <c r="I65" s="481"/>
      <c r="J65" s="479"/>
      <c r="K65" s="480"/>
      <c r="L65" s="479"/>
      <c r="M65" s="29"/>
      <c r="N65" s="30"/>
      <c r="O65" s="31"/>
      <c r="P65" s="37"/>
      <c r="Q65" s="37"/>
      <c r="R65" s="37"/>
    </row>
    <row r="66" spans="1:18" ht="69.95" customHeight="1">
      <c r="A66" s="478">
        <v>63</v>
      </c>
      <c r="B66" s="478"/>
      <c r="C66" s="479"/>
      <c r="D66" s="479"/>
      <c r="E66" s="479"/>
      <c r="F66" s="480"/>
      <c r="G66" s="481"/>
      <c r="H66" s="481"/>
      <c r="I66" s="481"/>
      <c r="J66" s="479"/>
      <c r="K66" s="480"/>
      <c r="L66" s="479"/>
      <c r="M66" s="29"/>
      <c r="N66" s="30"/>
      <c r="O66" s="31"/>
      <c r="P66" s="37"/>
      <c r="Q66" s="37"/>
      <c r="R66" s="37"/>
    </row>
    <row r="67" spans="1:18" ht="69.95" customHeight="1">
      <c r="A67" s="478">
        <v>64</v>
      </c>
      <c r="B67" s="478"/>
      <c r="C67" s="479"/>
      <c r="D67" s="479"/>
      <c r="E67" s="479"/>
      <c r="F67" s="480"/>
      <c r="G67" s="481"/>
      <c r="H67" s="481"/>
      <c r="I67" s="481"/>
      <c r="J67" s="479"/>
      <c r="K67" s="480"/>
      <c r="L67" s="479"/>
      <c r="M67" s="29"/>
      <c r="N67" s="30"/>
      <c r="O67" s="31"/>
      <c r="P67" s="37"/>
      <c r="Q67" s="37"/>
      <c r="R67" s="37"/>
    </row>
    <row r="68" spans="1:18" ht="69.95" customHeight="1">
      <c r="A68" s="478">
        <v>65</v>
      </c>
      <c r="B68" s="478"/>
      <c r="C68" s="479"/>
      <c r="D68" s="479"/>
      <c r="E68" s="479"/>
      <c r="F68" s="480"/>
      <c r="G68" s="481"/>
      <c r="H68" s="481"/>
      <c r="I68" s="481"/>
      <c r="J68" s="479"/>
      <c r="K68" s="480"/>
      <c r="L68" s="479"/>
      <c r="M68" s="29"/>
      <c r="N68" s="30"/>
      <c r="O68" s="31"/>
      <c r="P68" s="37"/>
      <c r="Q68" s="37"/>
      <c r="R68" s="37"/>
    </row>
    <row r="69" spans="1:18" ht="69.95" customHeight="1">
      <c r="A69" s="478">
        <v>66</v>
      </c>
      <c r="B69" s="478"/>
      <c r="C69" s="479"/>
      <c r="D69" s="479"/>
      <c r="E69" s="479"/>
      <c r="F69" s="480"/>
      <c r="G69" s="481"/>
      <c r="H69" s="481"/>
      <c r="I69" s="481"/>
      <c r="J69" s="479"/>
      <c r="K69" s="480"/>
      <c r="L69" s="479"/>
      <c r="M69" s="29"/>
      <c r="N69" s="30"/>
      <c r="O69" s="31"/>
      <c r="P69" s="37"/>
      <c r="Q69" s="37"/>
      <c r="R69" s="37"/>
    </row>
    <row r="70" spans="1:18" ht="69.95" customHeight="1">
      <c r="A70" s="478">
        <v>67</v>
      </c>
      <c r="B70" s="478"/>
      <c r="C70" s="479"/>
      <c r="D70" s="479"/>
      <c r="E70" s="479"/>
      <c r="F70" s="480"/>
      <c r="G70" s="481"/>
      <c r="H70" s="481"/>
      <c r="I70" s="481"/>
      <c r="J70" s="479"/>
      <c r="K70" s="480"/>
      <c r="L70" s="479"/>
      <c r="M70" s="29"/>
      <c r="N70" s="30"/>
      <c r="O70" s="31"/>
      <c r="P70" s="37"/>
      <c r="Q70" s="37"/>
      <c r="R70" s="37"/>
    </row>
    <row r="71" spans="1:18" ht="69.95" customHeight="1">
      <c r="A71" s="478">
        <v>68</v>
      </c>
      <c r="B71" s="478"/>
      <c r="C71" s="479"/>
      <c r="D71" s="479"/>
      <c r="E71" s="479"/>
      <c r="F71" s="480"/>
      <c r="G71" s="481"/>
      <c r="H71" s="481"/>
      <c r="I71" s="481"/>
      <c r="J71" s="479"/>
      <c r="K71" s="480"/>
      <c r="L71" s="479"/>
      <c r="M71" s="29"/>
      <c r="N71" s="30"/>
      <c r="O71" s="31"/>
      <c r="P71" s="37"/>
      <c r="Q71" s="37"/>
      <c r="R71" s="37"/>
    </row>
    <row r="72" spans="1:18" ht="69.95" customHeight="1">
      <c r="A72" s="478">
        <v>69</v>
      </c>
      <c r="B72" s="478"/>
      <c r="C72" s="479"/>
      <c r="D72" s="479"/>
      <c r="E72" s="479"/>
      <c r="F72" s="480"/>
      <c r="G72" s="481"/>
      <c r="H72" s="481"/>
      <c r="I72" s="481"/>
      <c r="J72" s="479"/>
      <c r="K72" s="480"/>
      <c r="L72" s="479"/>
      <c r="M72" s="29"/>
      <c r="N72" s="30"/>
      <c r="O72" s="31"/>
      <c r="P72" s="37"/>
      <c r="Q72" s="37"/>
      <c r="R72" s="37"/>
    </row>
    <row r="73" spans="1:18" ht="69.95" customHeight="1">
      <c r="A73" s="478">
        <v>70</v>
      </c>
      <c r="B73" s="478"/>
      <c r="C73" s="479"/>
      <c r="D73" s="479"/>
      <c r="E73" s="479"/>
      <c r="F73" s="480"/>
      <c r="G73" s="481"/>
      <c r="H73" s="481"/>
      <c r="I73" s="481"/>
      <c r="J73" s="479"/>
      <c r="K73" s="480"/>
      <c r="L73" s="479"/>
      <c r="M73" s="29"/>
      <c r="N73" s="30"/>
      <c r="O73" s="31"/>
      <c r="P73" s="37"/>
      <c r="Q73" s="37"/>
      <c r="R73" s="37"/>
    </row>
    <row r="74" spans="1:18" ht="69.95" customHeight="1">
      <c r="A74" s="478">
        <v>71</v>
      </c>
      <c r="B74" s="478"/>
      <c r="C74" s="479"/>
      <c r="D74" s="479"/>
      <c r="E74" s="479"/>
      <c r="F74" s="480"/>
      <c r="G74" s="481"/>
      <c r="H74" s="481"/>
      <c r="I74" s="481"/>
      <c r="J74" s="479"/>
      <c r="K74" s="480"/>
      <c r="L74" s="479"/>
      <c r="M74" s="29"/>
      <c r="N74" s="30"/>
      <c r="O74" s="31"/>
      <c r="P74" s="37"/>
      <c r="Q74" s="37"/>
      <c r="R74" s="37"/>
    </row>
    <row r="75" spans="1:18" ht="69.95" customHeight="1">
      <c r="A75" s="478">
        <v>72</v>
      </c>
      <c r="B75" s="478"/>
      <c r="C75" s="479"/>
      <c r="D75" s="479"/>
      <c r="E75" s="479"/>
      <c r="F75" s="480"/>
      <c r="G75" s="481"/>
      <c r="H75" s="481"/>
      <c r="I75" s="481"/>
      <c r="J75" s="479"/>
      <c r="K75" s="480"/>
      <c r="L75" s="479"/>
      <c r="M75" s="29"/>
      <c r="N75" s="30"/>
      <c r="O75" s="31"/>
      <c r="P75" s="37"/>
      <c r="Q75" s="37"/>
      <c r="R75" s="37"/>
    </row>
    <row r="76" spans="1:18" ht="69.95" customHeight="1">
      <c r="A76" s="478">
        <v>73</v>
      </c>
      <c r="B76" s="478"/>
      <c r="C76" s="479"/>
      <c r="D76" s="479"/>
      <c r="E76" s="479"/>
      <c r="F76" s="480"/>
      <c r="G76" s="481"/>
      <c r="H76" s="481"/>
      <c r="I76" s="481"/>
      <c r="J76" s="479"/>
      <c r="K76" s="480"/>
      <c r="L76" s="479"/>
      <c r="M76" s="29"/>
      <c r="N76" s="30"/>
      <c r="O76" s="31"/>
      <c r="P76" s="37"/>
      <c r="Q76" s="37"/>
      <c r="R76" s="37"/>
    </row>
    <row r="77" spans="1:18" ht="69.95" customHeight="1">
      <c r="A77" s="478">
        <v>74</v>
      </c>
      <c r="B77" s="478"/>
      <c r="C77" s="479"/>
      <c r="D77" s="479"/>
      <c r="E77" s="479"/>
      <c r="F77" s="480"/>
      <c r="G77" s="481"/>
      <c r="H77" s="481"/>
      <c r="I77" s="481"/>
      <c r="J77" s="479"/>
      <c r="K77" s="480"/>
      <c r="L77" s="479"/>
      <c r="M77" s="29"/>
      <c r="N77" s="30"/>
      <c r="O77" s="31"/>
      <c r="P77" s="37"/>
      <c r="Q77" s="37"/>
      <c r="R77" s="37"/>
    </row>
    <row r="78" spans="1:18" ht="69.95" customHeight="1">
      <c r="A78" s="478">
        <v>75</v>
      </c>
      <c r="B78" s="478"/>
      <c r="C78" s="479"/>
      <c r="D78" s="479"/>
      <c r="E78" s="479"/>
      <c r="F78" s="480"/>
      <c r="G78" s="481"/>
      <c r="H78" s="481"/>
      <c r="I78" s="481"/>
      <c r="J78" s="479"/>
      <c r="K78" s="480"/>
      <c r="L78" s="479"/>
      <c r="M78" s="29"/>
      <c r="N78" s="30"/>
      <c r="O78" s="31"/>
      <c r="P78" s="37"/>
      <c r="Q78" s="37"/>
      <c r="R78" s="37"/>
    </row>
    <row r="79" spans="1:18" ht="69.95" customHeight="1">
      <c r="A79" s="478">
        <v>76</v>
      </c>
      <c r="B79" s="478"/>
      <c r="C79" s="479"/>
      <c r="D79" s="479"/>
      <c r="E79" s="479"/>
      <c r="F79" s="480"/>
      <c r="G79" s="481"/>
      <c r="H79" s="481"/>
      <c r="I79" s="481"/>
      <c r="J79" s="479"/>
      <c r="K79" s="480"/>
      <c r="L79" s="479"/>
      <c r="M79" s="29"/>
      <c r="N79" s="30"/>
      <c r="O79" s="31"/>
      <c r="P79" s="37"/>
      <c r="Q79" s="37"/>
      <c r="R79" s="37"/>
    </row>
    <row r="80" spans="1:18" ht="69.95" customHeight="1">
      <c r="A80" s="478">
        <v>77</v>
      </c>
      <c r="B80" s="478"/>
      <c r="C80" s="479"/>
      <c r="D80" s="479"/>
      <c r="E80" s="479"/>
      <c r="F80" s="480"/>
      <c r="G80" s="481"/>
      <c r="H80" s="481"/>
      <c r="I80" s="481"/>
      <c r="J80" s="479"/>
      <c r="K80" s="480"/>
      <c r="L80" s="479"/>
      <c r="M80" s="29"/>
      <c r="N80" s="30"/>
      <c r="O80" s="31"/>
      <c r="P80" s="37"/>
      <c r="Q80" s="37"/>
      <c r="R80" s="37"/>
    </row>
    <row r="81" spans="1:18" ht="69.95" customHeight="1">
      <c r="A81" s="478">
        <v>78</v>
      </c>
      <c r="B81" s="478"/>
      <c r="C81" s="479"/>
      <c r="D81" s="479"/>
      <c r="E81" s="479"/>
      <c r="F81" s="480"/>
      <c r="G81" s="481"/>
      <c r="H81" s="481"/>
      <c r="I81" s="481"/>
      <c r="J81" s="479"/>
      <c r="K81" s="480"/>
      <c r="L81" s="479"/>
      <c r="M81" s="29"/>
      <c r="N81" s="30"/>
      <c r="O81" s="31"/>
      <c r="P81" s="37"/>
      <c r="Q81" s="37"/>
      <c r="R81" s="37"/>
    </row>
    <row r="82" spans="1:18" ht="69.95" customHeight="1">
      <c r="A82" s="478">
        <v>79</v>
      </c>
      <c r="B82" s="478"/>
      <c r="C82" s="479"/>
      <c r="D82" s="479"/>
      <c r="E82" s="479"/>
      <c r="F82" s="480"/>
      <c r="G82" s="481"/>
      <c r="H82" s="481"/>
      <c r="I82" s="481"/>
      <c r="J82" s="479"/>
      <c r="K82" s="480"/>
      <c r="L82" s="479"/>
      <c r="M82" s="29"/>
      <c r="N82" s="30"/>
      <c r="O82" s="31"/>
      <c r="P82" s="37"/>
      <c r="Q82" s="37"/>
      <c r="R82" s="37"/>
    </row>
    <row r="83" spans="1:18" ht="69.95" customHeight="1">
      <c r="A83" s="478">
        <v>80</v>
      </c>
      <c r="B83" s="478"/>
      <c r="C83" s="479"/>
      <c r="D83" s="479"/>
      <c r="E83" s="479"/>
      <c r="F83" s="480"/>
      <c r="G83" s="481"/>
      <c r="H83" s="481"/>
      <c r="I83" s="481"/>
      <c r="J83" s="479"/>
      <c r="K83" s="480"/>
      <c r="L83" s="479"/>
      <c r="M83" s="29"/>
      <c r="N83" s="30"/>
      <c r="O83" s="31"/>
      <c r="P83" s="37"/>
      <c r="Q83" s="37"/>
      <c r="R83" s="37"/>
    </row>
    <row r="84" spans="1:18" ht="69.95" customHeight="1">
      <c r="A84" s="478">
        <v>81</v>
      </c>
      <c r="B84" s="478"/>
      <c r="C84" s="479"/>
      <c r="D84" s="479"/>
      <c r="E84" s="479"/>
      <c r="F84" s="480"/>
      <c r="G84" s="481"/>
      <c r="H84" s="481"/>
      <c r="I84" s="481"/>
      <c r="J84" s="479"/>
      <c r="K84" s="480"/>
      <c r="L84" s="479"/>
      <c r="M84" s="29"/>
      <c r="N84" s="30"/>
      <c r="O84" s="31"/>
      <c r="P84" s="37"/>
      <c r="Q84" s="37"/>
      <c r="R84" s="37"/>
    </row>
    <row r="85" spans="1:18" ht="69.95" customHeight="1">
      <c r="A85" s="478">
        <v>82</v>
      </c>
      <c r="B85" s="478"/>
      <c r="C85" s="479"/>
      <c r="D85" s="479"/>
      <c r="E85" s="479"/>
      <c r="F85" s="480"/>
      <c r="G85" s="481"/>
      <c r="H85" s="481"/>
      <c r="I85" s="481"/>
      <c r="J85" s="479"/>
      <c r="K85" s="480"/>
      <c r="L85" s="479"/>
      <c r="M85" s="29"/>
      <c r="N85" s="30"/>
      <c r="O85" s="31"/>
      <c r="P85" s="37"/>
      <c r="Q85" s="37"/>
      <c r="R85" s="37"/>
    </row>
    <row r="86" spans="1:18" ht="69.95" customHeight="1">
      <c r="A86" s="478">
        <v>83</v>
      </c>
      <c r="B86" s="478"/>
      <c r="C86" s="479"/>
      <c r="D86" s="479"/>
      <c r="E86" s="479"/>
      <c r="F86" s="480"/>
      <c r="G86" s="481"/>
      <c r="H86" s="481"/>
      <c r="I86" s="481"/>
      <c r="J86" s="479"/>
      <c r="K86" s="480"/>
      <c r="L86" s="479"/>
      <c r="M86" s="29"/>
      <c r="N86" s="30"/>
      <c r="O86" s="31"/>
      <c r="P86" s="37"/>
      <c r="Q86" s="37"/>
      <c r="R86" s="37"/>
    </row>
    <row r="87" spans="1:18" ht="69.95" customHeight="1">
      <c r="A87" s="478">
        <v>84</v>
      </c>
      <c r="B87" s="478"/>
      <c r="C87" s="479"/>
      <c r="D87" s="479"/>
      <c r="E87" s="479"/>
      <c r="F87" s="480"/>
      <c r="G87" s="481"/>
      <c r="H87" s="481"/>
      <c r="I87" s="481"/>
      <c r="J87" s="479"/>
      <c r="K87" s="480"/>
      <c r="L87" s="479"/>
      <c r="M87" s="29"/>
      <c r="N87" s="30"/>
      <c r="O87" s="31"/>
      <c r="P87" s="37"/>
      <c r="Q87" s="37"/>
      <c r="R87" s="37"/>
    </row>
    <row r="88" spans="1:18" ht="69.95" customHeight="1">
      <c r="A88" s="478">
        <v>85</v>
      </c>
      <c r="B88" s="478"/>
      <c r="C88" s="479"/>
      <c r="D88" s="479"/>
      <c r="E88" s="479"/>
      <c r="F88" s="480"/>
      <c r="G88" s="481"/>
      <c r="H88" s="481"/>
      <c r="I88" s="481"/>
      <c r="J88" s="479"/>
      <c r="K88" s="480"/>
      <c r="L88" s="479"/>
      <c r="M88" s="29"/>
      <c r="N88" s="30"/>
      <c r="O88" s="31"/>
      <c r="P88" s="37"/>
      <c r="Q88" s="37"/>
      <c r="R88" s="37"/>
    </row>
    <row r="89" spans="1:18" ht="69.95" customHeight="1">
      <c r="A89" s="478">
        <v>86</v>
      </c>
      <c r="B89" s="478"/>
      <c r="C89" s="479"/>
      <c r="D89" s="479"/>
      <c r="E89" s="479"/>
      <c r="F89" s="480"/>
      <c r="G89" s="481"/>
      <c r="H89" s="481"/>
      <c r="I89" s="481"/>
      <c r="J89" s="479"/>
      <c r="K89" s="480"/>
      <c r="L89" s="479"/>
      <c r="M89" s="29"/>
      <c r="N89" s="30"/>
      <c r="O89" s="31"/>
      <c r="P89" s="37"/>
      <c r="Q89" s="37"/>
      <c r="R89" s="37"/>
    </row>
    <row r="90" spans="1:18" ht="69.95" customHeight="1">
      <c r="A90" s="478">
        <v>87</v>
      </c>
      <c r="B90" s="478"/>
      <c r="C90" s="479"/>
      <c r="D90" s="479"/>
      <c r="E90" s="479"/>
      <c r="F90" s="480"/>
      <c r="G90" s="481"/>
      <c r="H90" s="481"/>
      <c r="I90" s="481"/>
      <c r="J90" s="479"/>
      <c r="K90" s="480"/>
      <c r="L90" s="479"/>
      <c r="M90" s="29"/>
      <c r="N90" s="30"/>
      <c r="O90" s="31"/>
      <c r="P90" s="37"/>
      <c r="Q90" s="37"/>
      <c r="R90" s="37"/>
    </row>
    <row r="91" spans="1:18" ht="69.95" customHeight="1">
      <c r="A91" s="478">
        <v>88</v>
      </c>
      <c r="B91" s="478"/>
      <c r="C91" s="479"/>
      <c r="D91" s="479"/>
      <c r="E91" s="479"/>
      <c r="F91" s="480"/>
      <c r="G91" s="481"/>
      <c r="H91" s="481"/>
      <c r="I91" s="481"/>
      <c r="J91" s="479"/>
      <c r="K91" s="480"/>
      <c r="L91" s="479"/>
      <c r="M91" s="29"/>
      <c r="N91" s="30"/>
      <c r="O91" s="31"/>
      <c r="P91" s="37"/>
      <c r="Q91" s="37"/>
      <c r="R91" s="37"/>
    </row>
    <row r="92" spans="1:18" ht="69.95" customHeight="1">
      <c r="A92" s="478">
        <v>89</v>
      </c>
      <c r="B92" s="478"/>
      <c r="C92" s="479"/>
      <c r="D92" s="479"/>
      <c r="E92" s="479"/>
      <c r="F92" s="480"/>
      <c r="G92" s="481"/>
      <c r="H92" s="481"/>
      <c r="I92" s="481"/>
      <c r="J92" s="479"/>
      <c r="K92" s="480"/>
      <c r="L92" s="479"/>
      <c r="M92" s="29"/>
      <c r="N92" s="30"/>
      <c r="O92" s="31"/>
      <c r="P92" s="37"/>
      <c r="Q92" s="37"/>
      <c r="R92" s="37"/>
    </row>
    <row r="93" spans="1:18" ht="69.95" customHeight="1">
      <c r="A93" s="478">
        <v>90</v>
      </c>
      <c r="B93" s="478"/>
      <c r="C93" s="479"/>
      <c r="D93" s="479"/>
      <c r="E93" s="479"/>
      <c r="F93" s="480"/>
      <c r="G93" s="481"/>
      <c r="H93" s="481"/>
      <c r="I93" s="481"/>
      <c r="J93" s="479"/>
      <c r="K93" s="480"/>
      <c r="L93" s="479"/>
      <c r="M93" s="29"/>
      <c r="N93" s="30"/>
      <c r="O93" s="31"/>
      <c r="P93" s="37"/>
      <c r="Q93" s="37"/>
      <c r="R93" s="37"/>
    </row>
    <row r="94" spans="1:18" ht="69.95" customHeight="1">
      <c r="A94" s="478">
        <v>91</v>
      </c>
      <c r="B94" s="478"/>
      <c r="C94" s="479"/>
      <c r="D94" s="479"/>
      <c r="E94" s="479"/>
      <c r="F94" s="480"/>
      <c r="G94" s="481"/>
      <c r="H94" s="481"/>
      <c r="I94" s="481"/>
      <c r="J94" s="479"/>
      <c r="K94" s="480"/>
      <c r="L94" s="479"/>
      <c r="M94" s="29"/>
      <c r="N94" s="30"/>
      <c r="O94" s="31"/>
      <c r="P94" s="37"/>
      <c r="Q94" s="37"/>
      <c r="R94" s="37"/>
    </row>
    <row r="95" spans="1:18" ht="69.95" customHeight="1">
      <c r="A95" s="478">
        <v>92</v>
      </c>
      <c r="B95" s="478"/>
      <c r="C95" s="479"/>
      <c r="D95" s="479"/>
      <c r="E95" s="479"/>
      <c r="F95" s="480"/>
      <c r="G95" s="481"/>
      <c r="H95" s="481"/>
      <c r="I95" s="481"/>
      <c r="J95" s="479"/>
      <c r="K95" s="480"/>
      <c r="L95" s="479"/>
      <c r="M95" s="29"/>
      <c r="N95" s="30"/>
      <c r="O95" s="31"/>
      <c r="P95" s="37"/>
      <c r="Q95" s="37"/>
      <c r="R95" s="37"/>
    </row>
    <row r="96" spans="1:18" ht="69.95" customHeight="1">
      <c r="A96" s="478">
        <v>93</v>
      </c>
      <c r="B96" s="478"/>
      <c r="C96" s="479"/>
      <c r="D96" s="479"/>
      <c r="E96" s="479"/>
      <c r="F96" s="480"/>
      <c r="G96" s="481"/>
      <c r="H96" s="481"/>
      <c r="I96" s="481"/>
      <c r="J96" s="479"/>
      <c r="K96" s="480"/>
      <c r="L96" s="479"/>
      <c r="M96" s="29"/>
      <c r="N96" s="30"/>
      <c r="O96" s="31"/>
      <c r="P96" s="37"/>
      <c r="Q96" s="37"/>
      <c r="R96" s="37"/>
    </row>
    <row r="97" spans="1:18" ht="69.95" customHeight="1">
      <c r="A97" s="478">
        <v>94</v>
      </c>
      <c r="B97" s="478"/>
      <c r="C97" s="479"/>
      <c r="D97" s="479"/>
      <c r="E97" s="479"/>
      <c r="F97" s="480"/>
      <c r="G97" s="481"/>
      <c r="H97" s="481"/>
      <c r="I97" s="481"/>
      <c r="J97" s="479"/>
      <c r="K97" s="480"/>
      <c r="L97" s="479"/>
      <c r="M97" s="29"/>
      <c r="N97" s="30"/>
      <c r="O97" s="31"/>
      <c r="P97" s="37"/>
      <c r="Q97" s="37"/>
      <c r="R97" s="37"/>
    </row>
    <row r="98" spans="1:18" ht="69.95" customHeight="1">
      <c r="A98" s="478">
        <v>95</v>
      </c>
      <c r="B98" s="478"/>
      <c r="C98" s="479"/>
      <c r="D98" s="479"/>
      <c r="E98" s="479"/>
      <c r="F98" s="480"/>
      <c r="G98" s="481"/>
      <c r="H98" s="481"/>
      <c r="I98" s="481"/>
      <c r="J98" s="479"/>
      <c r="K98" s="480"/>
      <c r="L98" s="479"/>
      <c r="M98" s="29"/>
      <c r="N98" s="30"/>
      <c r="O98" s="31"/>
      <c r="P98" s="37"/>
      <c r="Q98" s="37"/>
      <c r="R98" s="37"/>
    </row>
    <row r="99" spans="1:18" ht="69.95" customHeight="1">
      <c r="A99" s="478">
        <v>96</v>
      </c>
      <c r="B99" s="478"/>
      <c r="C99" s="479"/>
      <c r="D99" s="479"/>
      <c r="E99" s="479"/>
      <c r="F99" s="480"/>
      <c r="G99" s="481"/>
      <c r="H99" s="481"/>
      <c r="I99" s="481"/>
      <c r="J99" s="479"/>
      <c r="K99" s="480"/>
      <c r="L99" s="479"/>
      <c r="M99" s="29"/>
      <c r="N99" s="30"/>
      <c r="O99" s="31"/>
      <c r="P99" s="37"/>
      <c r="Q99" s="37"/>
      <c r="R99" s="37"/>
    </row>
    <row r="100" spans="1:18" ht="69.95" customHeight="1">
      <c r="A100" s="478">
        <v>97</v>
      </c>
      <c r="B100" s="478"/>
      <c r="C100" s="479"/>
      <c r="D100" s="479"/>
      <c r="E100" s="479"/>
      <c r="F100" s="480"/>
      <c r="G100" s="481"/>
      <c r="H100" s="481"/>
      <c r="I100" s="481"/>
      <c r="J100" s="479"/>
      <c r="K100" s="480"/>
      <c r="L100" s="479"/>
      <c r="M100" s="29"/>
      <c r="N100" s="30"/>
      <c r="O100" s="31"/>
      <c r="P100" s="37"/>
      <c r="Q100" s="37"/>
      <c r="R100" s="37"/>
    </row>
    <row r="101" spans="1:18" ht="69.95" customHeight="1">
      <c r="A101" s="478">
        <v>98</v>
      </c>
      <c r="B101" s="478"/>
      <c r="C101" s="479"/>
      <c r="D101" s="479"/>
      <c r="E101" s="479"/>
      <c r="F101" s="480"/>
      <c r="G101" s="481"/>
      <c r="H101" s="481"/>
      <c r="I101" s="481"/>
      <c r="J101" s="479"/>
      <c r="K101" s="480"/>
      <c r="L101" s="479"/>
      <c r="M101" s="29"/>
      <c r="N101" s="30"/>
      <c r="O101" s="31"/>
      <c r="P101" s="37"/>
      <c r="Q101" s="37"/>
      <c r="R101" s="37"/>
    </row>
    <row r="102" spans="1:18" ht="69.95" customHeight="1">
      <c r="A102" s="478">
        <v>99</v>
      </c>
      <c r="B102" s="478"/>
      <c r="C102" s="479"/>
      <c r="D102" s="479"/>
      <c r="E102" s="479"/>
      <c r="F102" s="480"/>
      <c r="G102" s="481"/>
      <c r="H102" s="481"/>
      <c r="I102" s="481"/>
      <c r="J102" s="479"/>
      <c r="K102" s="480"/>
      <c r="L102" s="479"/>
      <c r="M102" s="29"/>
      <c r="N102" s="30"/>
      <c r="O102" s="31"/>
      <c r="P102" s="37"/>
      <c r="Q102" s="37"/>
      <c r="R102" s="37"/>
    </row>
    <row r="103" spans="1:18" ht="69.95" customHeight="1">
      <c r="A103" s="478">
        <v>100</v>
      </c>
      <c r="B103" s="478"/>
      <c r="C103" s="479"/>
      <c r="D103" s="479"/>
      <c r="E103" s="479"/>
      <c r="F103" s="480"/>
      <c r="G103" s="481"/>
      <c r="H103" s="481"/>
      <c r="I103" s="481"/>
      <c r="J103" s="479"/>
      <c r="K103" s="480"/>
      <c r="L103" s="479"/>
      <c r="M103" s="29"/>
      <c r="N103" s="30"/>
      <c r="O103" s="31"/>
      <c r="P103" s="37"/>
      <c r="Q103" s="37"/>
      <c r="R103" s="37"/>
    </row>
    <row r="104" spans="1:18" ht="69.95" customHeight="1">
      <c r="A104" s="478">
        <v>101</v>
      </c>
      <c r="B104" s="478"/>
      <c r="C104" s="479"/>
      <c r="D104" s="479"/>
      <c r="E104" s="479"/>
      <c r="F104" s="480"/>
      <c r="G104" s="481"/>
      <c r="H104" s="481"/>
      <c r="I104" s="481"/>
      <c r="J104" s="479"/>
      <c r="K104" s="480"/>
      <c r="L104" s="479"/>
      <c r="M104" s="29"/>
      <c r="N104" s="30"/>
      <c r="O104" s="31"/>
      <c r="P104" s="37"/>
      <c r="Q104" s="37"/>
      <c r="R104" s="37"/>
    </row>
    <row r="105" spans="1:18" ht="69.95" customHeight="1">
      <c r="A105" s="478">
        <v>102</v>
      </c>
      <c r="B105" s="478"/>
      <c r="C105" s="479"/>
      <c r="D105" s="479"/>
      <c r="E105" s="479"/>
      <c r="F105" s="480"/>
      <c r="G105" s="481"/>
      <c r="H105" s="481"/>
      <c r="I105" s="481"/>
      <c r="J105" s="479"/>
      <c r="K105" s="480"/>
      <c r="L105" s="479"/>
      <c r="M105" s="29"/>
      <c r="N105" s="30"/>
      <c r="O105" s="31"/>
      <c r="P105" s="37"/>
      <c r="Q105" s="37"/>
      <c r="R105" s="37"/>
    </row>
    <row r="106" spans="1:18" ht="69.95" customHeight="1">
      <c r="A106" s="478">
        <v>103</v>
      </c>
      <c r="B106" s="478"/>
      <c r="C106" s="479"/>
      <c r="D106" s="479"/>
      <c r="E106" s="479"/>
      <c r="F106" s="480"/>
      <c r="G106" s="481"/>
      <c r="H106" s="481"/>
      <c r="I106" s="481"/>
      <c r="J106" s="479"/>
      <c r="K106" s="480"/>
      <c r="L106" s="479"/>
      <c r="M106" s="29"/>
      <c r="N106" s="30"/>
      <c r="O106" s="31"/>
      <c r="P106" s="37"/>
      <c r="Q106" s="37"/>
      <c r="R106" s="37"/>
    </row>
    <row r="107" spans="1:18" ht="69.95" customHeight="1">
      <c r="A107" s="478">
        <v>104</v>
      </c>
      <c r="B107" s="478"/>
      <c r="C107" s="479"/>
      <c r="D107" s="479"/>
      <c r="E107" s="479"/>
      <c r="F107" s="480"/>
      <c r="G107" s="481"/>
      <c r="H107" s="481"/>
      <c r="I107" s="481"/>
      <c r="J107" s="479"/>
      <c r="K107" s="480"/>
      <c r="L107" s="479"/>
      <c r="M107" s="29"/>
      <c r="N107" s="30"/>
      <c r="O107" s="31"/>
      <c r="P107" s="37"/>
      <c r="Q107" s="37"/>
      <c r="R107" s="37"/>
    </row>
    <row r="108" spans="1:18" ht="69.95" customHeight="1">
      <c r="A108" s="478">
        <v>105</v>
      </c>
      <c r="B108" s="478"/>
      <c r="C108" s="479"/>
      <c r="D108" s="479"/>
      <c r="E108" s="479"/>
      <c r="F108" s="480"/>
      <c r="G108" s="481"/>
      <c r="H108" s="481"/>
      <c r="I108" s="481"/>
      <c r="J108" s="479"/>
      <c r="K108" s="480"/>
      <c r="L108" s="479"/>
      <c r="M108" s="29"/>
      <c r="N108" s="30"/>
      <c r="O108" s="31"/>
      <c r="P108" s="37"/>
      <c r="Q108" s="37"/>
      <c r="R108" s="37"/>
    </row>
    <row r="109" spans="1:18" ht="69.95" customHeight="1">
      <c r="A109" s="478">
        <v>106</v>
      </c>
      <c r="B109" s="478"/>
      <c r="C109" s="479"/>
      <c r="D109" s="479"/>
      <c r="E109" s="479"/>
      <c r="F109" s="480"/>
      <c r="G109" s="481"/>
      <c r="H109" s="481"/>
      <c r="I109" s="481"/>
      <c r="J109" s="479"/>
      <c r="K109" s="480"/>
      <c r="L109" s="479"/>
      <c r="M109" s="29"/>
      <c r="N109" s="30"/>
      <c r="O109" s="31"/>
      <c r="P109" s="37"/>
      <c r="Q109" s="37"/>
      <c r="R109" s="37"/>
    </row>
    <row r="110" spans="1:18" ht="69.95" customHeight="1">
      <c r="A110" s="478">
        <v>107</v>
      </c>
      <c r="B110" s="478"/>
      <c r="C110" s="479"/>
      <c r="D110" s="479"/>
      <c r="E110" s="479"/>
      <c r="F110" s="480"/>
      <c r="G110" s="481"/>
      <c r="H110" s="481"/>
      <c r="I110" s="481"/>
      <c r="J110" s="479"/>
      <c r="K110" s="480"/>
      <c r="L110" s="479"/>
      <c r="M110" s="29"/>
      <c r="N110" s="30"/>
      <c r="O110" s="31"/>
      <c r="P110" s="37"/>
      <c r="Q110" s="37"/>
      <c r="R110" s="37"/>
    </row>
    <row r="111" spans="1:18" ht="69.95" customHeight="1">
      <c r="A111" s="478">
        <v>108</v>
      </c>
      <c r="B111" s="478"/>
      <c r="C111" s="479"/>
      <c r="D111" s="479"/>
      <c r="E111" s="479"/>
      <c r="F111" s="480"/>
      <c r="G111" s="481"/>
      <c r="H111" s="481"/>
      <c r="I111" s="481"/>
      <c r="J111" s="479"/>
      <c r="K111" s="480"/>
      <c r="L111" s="479"/>
      <c r="M111" s="29"/>
      <c r="N111" s="30"/>
      <c r="O111" s="31"/>
      <c r="P111" s="37"/>
      <c r="Q111" s="37"/>
      <c r="R111" s="37"/>
    </row>
    <row r="112" spans="1:18" ht="69.95" customHeight="1">
      <c r="A112" s="478">
        <v>109</v>
      </c>
      <c r="B112" s="478"/>
      <c r="C112" s="479"/>
      <c r="D112" s="479"/>
      <c r="E112" s="479"/>
      <c r="F112" s="480"/>
      <c r="G112" s="481"/>
      <c r="H112" s="481"/>
      <c r="I112" s="481"/>
      <c r="J112" s="479"/>
      <c r="K112" s="480"/>
      <c r="L112" s="479"/>
      <c r="M112" s="29"/>
      <c r="N112" s="30"/>
      <c r="O112" s="31"/>
      <c r="P112" s="37"/>
      <c r="Q112" s="37"/>
      <c r="R112" s="37"/>
    </row>
    <row r="113" spans="1:18" ht="69.95" customHeight="1">
      <c r="A113" s="478">
        <v>110</v>
      </c>
      <c r="B113" s="478"/>
      <c r="C113" s="479"/>
      <c r="D113" s="479"/>
      <c r="E113" s="479"/>
      <c r="F113" s="480"/>
      <c r="G113" s="481"/>
      <c r="H113" s="481"/>
      <c r="I113" s="481"/>
      <c r="J113" s="479"/>
      <c r="K113" s="480"/>
      <c r="L113" s="479"/>
      <c r="M113" s="29"/>
      <c r="N113" s="30"/>
      <c r="O113" s="31"/>
      <c r="P113" s="37"/>
      <c r="Q113" s="37"/>
      <c r="R113" s="37"/>
    </row>
    <row r="114" spans="1:18" ht="69.95" customHeight="1">
      <c r="A114" s="478">
        <v>111</v>
      </c>
      <c r="B114" s="478"/>
      <c r="C114" s="479"/>
      <c r="D114" s="479"/>
      <c r="E114" s="479"/>
      <c r="F114" s="480"/>
      <c r="G114" s="481"/>
      <c r="H114" s="481"/>
      <c r="I114" s="481"/>
      <c r="J114" s="479"/>
      <c r="K114" s="480"/>
      <c r="L114" s="479"/>
      <c r="M114" s="29"/>
      <c r="N114" s="30"/>
      <c r="O114" s="31"/>
      <c r="P114" s="37"/>
      <c r="Q114" s="37"/>
      <c r="R114" s="37"/>
    </row>
    <row r="115" spans="1:18" ht="69.95" customHeight="1">
      <c r="A115" s="478">
        <v>112</v>
      </c>
      <c r="B115" s="478"/>
      <c r="C115" s="479"/>
      <c r="D115" s="479"/>
      <c r="E115" s="479"/>
      <c r="F115" s="480"/>
      <c r="G115" s="481"/>
      <c r="H115" s="481"/>
      <c r="I115" s="481"/>
      <c r="J115" s="479"/>
      <c r="K115" s="480"/>
      <c r="L115" s="479"/>
      <c r="M115" s="29"/>
      <c r="N115" s="30"/>
      <c r="O115" s="31"/>
      <c r="P115" s="37"/>
      <c r="Q115" s="37"/>
      <c r="R115" s="37"/>
    </row>
    <row r="116" spans="1:18" ht="69.95" customHeight="1">
      <c r="A116" s="478">
        <v>113</v>
      </c>
      <c r="B116" s="478"/>
      <c r="C116" s="479"/>
      <c r="D116" s="479"/>
      <c r="E116" s="479"/>
      <c r="F116" s="480"/>
      <c r="G116" s="481"/>
      <c r="H116" s="481"/>
      <c r="I116" s="481"/>
      <c r="J116" s="479"/>
      <c r="K116" s="480"/>
      <c r="L116" s="479"/>
      <c r="M116" s="29"/>
      <c r="N116" s="30"/>
      <c r="O116" s="31"/>
      <c r="P116" s="37"/>
      <c r="Q116" s="37"/>
      <c r="R116" s="37"/>
    </row>
    <row r="117" spans="1:18" ht="69.95" customHeight="1">
      <c r="A117" s="478">
        <v>114</v>
      </c>
      <c r="B117" s="478"/>
      <c r="C117" s="479"/>
      <c r="D117" s="479"/>
      <c r="E117" s="479"/>
      <c r="F117" s="480"/>
      <c r="G117" s="481"/>
      <c r="H117" s="481"/>
      <c r="I117" s="481"/>
      <c r="J117" s="479"/>
      <c r="K117" s="480"/>
      <c r="L117" s="479"/>
      <c r="M117" s="29"/>
      <c r="N117" s="30"/>
      <c r="O117" s="31"/>
      <c r="P117" s="37"/>
      <c r="Q117" s="37"/>
      <c r="R117" s="37"/>
    </row>
    <row r="118" spans="1:18" ht="69.95" customHeight="1">
      <c r="A118" s="478">
        <v>115</v>
      </c>
      <c r="B118" s="478"/>
      <c r="C118" s="479"/>
      <c r="D118" s="479"/>
      <c r="E118" s="479"/>
      <c r="F118" s="480"/>
      <c r="G118" s="481"/>
      <c r="H118" s="481"/>
      <c r="I118" s="481"/>
      <c r="J118" s="479"/>
      <c r="K118" s="480"/>
      <c r="L118" s="479"/>
      <c r="M118" s="29"/>
      <c r="N118" s="30"/>
      <c r="O118" s="31"/>
      <c r="P118" s="37"/>
      <c r="Q118" s="37"/>
      <c r="R118" s="37"/>
    </row>
    <row r="119" spans="1:18" ht="69.95" customHeight="1">
      <c r="A119" s="478">
        <v>116</v>
      </c>
      <c r="B119" s="478"/>
      <c r="C119" s="479"/>
      <c r="D119" s="479"/>
      <c r="E119" s="479"/>
      <c r="F119" s="480"/>
      <c r="G119" s="481"/>
      <c r="H119" s="481"/>
      <c r="I119" s="481"/>
      <c r="J119" s="479"/>
      <c r="K119" s="480"/>
      <c r="L119" s="479"/>
      <c r="M119" s="29"/>
      <c r="N119" s="30"/>
      <c r="O119" s="31"/>
      <c r="P119" s="37"/>
      <c r="Q119" s="37"/>
      <c r="R119" s="37"/>
    </row>
    <row r="120" spans="1:18" ht="69.95" customHeight="1">
      <c r="A120" s="478">
        <v>117</v>
      </c>
      <c r="B120" s="478"/>
      <c r="C120" s="479"/>
      <c r="D120" s="479"/>
      <c r="E120" s="479"/>
      <c r="F120" s="480"/>
      <c r="G120" s="481"/>
      <c r="H120" s="481"/>
      <c r="I120" s="481"/>
      <c r="J120" s="479"/>
      <c r="K120" s="480"/>
      <c r="L120" s="479"/>
      <c r="M120" s="29"/>
      <c r="N120" s="30"/>
      <c r="O120" s="31"/>
      <c r="P120" s="37"/>
      <c r="Q120" s="37"/>
      <c r="R120" s="37"/>
    </row>
    <row r="121" spans="1:18" ht="69.95" customHeight="1">
      <c r="A121" s="478">
        <v>118</v>
      </c>
      <c r="B121" s="478"/>
      <c r="C121" s="479"/>
      <c r="D121" s="479"/>
      <c r="E121" s="479"/>
      <c r="F121" s="480"/>
      <c r="G121" s="481"/>
      <c r="H121" s="481"/>
      <c r="I121" s="481"/>
      <c r="J121" s="479"/>
      <c r="K121" s="480"/>
      <c r="L121" s="479"/>
      <c r="M121" s="29"/>
      <c r="N121" s="30"/>
      <c r="O121" s="31"/>
      <c r="P121" s="37"/>
      <c r="Q121" s="37"/>
      <c r="R121" s="37"/>
    </row>
    <row r="122" spans="1:18" ht="69.95" customHeight="1">
      <c r="A122" s="478">
        <v>119</v>
      </c>
      <c r="B122" s="478"/>
      <c r="C122" s="479"/>
      <c r="D122" s="479"/>
      <c r="E122" s="479"/>
      <c r="F122" s="480"/>
      <c r="G122" s="481"/>
      <c r="H122" s="481"/>
      <c r="I122" s="481"/>
      <c r="J122" s="479"/>
      <c r="K122" s="480"/>
      <c r="L122" s="479"/>
      <c r="M122" s="29"/>
      <c r="N122" s="30"/>
      <c r="O122" s="31"/>
      <c r="P122" s="37"/>
      <c r="Q122" s="37"/>
      <c r="R122" s="37"/>
    </row>
    <row r="123" spans="1:18" ht="69.95" customHeight="1">
      <c r="A123" s="478">
        <v>120</v>
      </c>
      <c r="B123" s="478"/>
      <c r="C123" s="479"/>
      <c r="D123" s="479"/>
      <c r="E123" s="479"/>
      <c r="F123" s="480"/>
      <c r="G123" s="481"/>
      <c r="H123" s="481"/>
      <c r="I123" s="481"/>
      <c r="J123" s="479"/>
      <c r="K123" s="480"/>
      <c r="L123" s="479"/>
      <c r="M123" s="29"/>
      <c r="N123" s="30"/>
      <c r="O123" s="31"/>
      <c r="P123" s="37"/>
      <c r="Q123" s="37"/>
      <c r="R123" s="37"/>
    </row>
    <row r="124" spans="1:18" ht="69.95" customHeight="1">
      <c r="A124" s="478">
        <v>121</v>
      </c>
      <c r="B124" s="478"/>
      <c r="C124" s="479"/>
      <c r="D124" s="479"/>
      <c r="E124" s="479"/>
      <c r="F124" s="480"/>
      <c r="G124" s="481"/>
      <c r="H124" s="481"/>
      <c r="I124" s="481"/>
      <c r="J124" s="479"/>
      <c r="K124" s="480"/>
      <c r="L124" s="479"/>
      <c r="M124" s="29"/>
      <c r="N124" s="30"/>
      <c r="O124" s="31"/>
      <c r="P124" s="37"/>
      <c r="Q124" s="37"/>
      <c r="R124" s="37"/>
    </row>
    <row r="125" spans="1:18" ht="69.95" customHeight="1">
      <c r="A125" s="478">
        <v>122</v>
      </c>
      <c r="B125" s="478"/>
      <c r="C125" s="479"/>
      <c r="D125" s="479"/>
      <c r="E125" s="479"/>
      <c r="F125" s="480"/>
      <c r="G125" s="481"/>
      <c r="H125" s="481"/>
      <c r="I125" s="481"/>
      <c r="J125" s="479"/>
      <c r="K125" s="480"/>
      <c r="L125" s="479"/>
      <c r="M125" s="29"/>
      <c r="N125" s="30"/>
      <c r="O125" s="31"/>
      <c r="P125" s="37"/>
      <c r="Q125" s="37"/>
      <c r="R125" s="37"/>
    </row>
    <row r="126" spans="1:18" ht="69.95" customHeight="1">
      <c r="A126" s="478">
        <v>123</v>
      </c>
      <c r="B126" s="478"/>
      <c r="C126" s="479"/>
      <c r="D126" s="479"/>
      <c r="E126" s="479"/>
      <c r="F126" s="480"/>
      <c r="G126" s="481"/>
      <c r="H126" s="481"/>
      <c r="I126" s="481"/>
      <c r="J126" s="479"/>
      <c r="K126" s="480"/>
      <c r="L126" s="479"/>
      <c r="M126" s="29"/>
      <c r="N126" s="30"/>
      <c r="O126" s="31"/>
      <c r="P126" s="37"/>
      <c r="Q126" s="37"/>
      <c r="R126" s="37"/>
    </row>
    <row r="127" spans="1:18" ht="69.95" customHeight="1">
      <c r="A127" s="478">
        <v>124</v>
      </c>
      <c r="B127" s="478"/>
      <c r="C127" s="479"/>
      <c r="D127" s="479"/>
      <c r="E127" s="479"/>
      <c r="F127" s="480"/>
      <c r="G127" s="481"/>
      <c r="H127" s="481"/>
      <c r="I127" s="481"/>
      <c r="J127" s="479"/>
      <c r="K127" s="480"/>
      <c r="L127" s="479"/>
      <c r="M127" s="29"/>
      <c r="N127" s="30"/>
      <c r="O127" s="31"/>
      <c r="P127" s="37"/>
      <c r="Q127" s="37"/>
      <c r="R127" s="37"/>
    </row>
    <row r="128" spans="1:18" ht="69.95" customHeight="1">
      <c r="A128" s="478">
        <v>125</v>
      </c>
      <c r="B128" s="478"/>
      <c r="C128" s="479"/>
      <c r="D128" s="479"/>
      <c r="E128" s="479"/>
      <c r="F128" s="480"/>
      <c r="G128" s="481"/>
      <c r="H128" s="481"/>
      <c r="I128" s="481"/>
      <c r="J128" s="479"/>
      <c r="K128" s="480"/>
      <c r="L128" s="479"/>
      <c r="M128" s="29"/>
      <c r="N128" s="30"/>
      <c r="O128" s="31"/>
      <c r="P128" s="37"/>
      <c r="Q128" s="37"/>
      <c r="R128" s="37"/>
    </row>
    <row r="129" spans="1:18" ht="69.95" customHeight="1">
      <c r="A129" s="478">
        <v>126</v>
      </c>
      <c r="B129" s="478"/>
      <c r="C129" s="479"/>
      <c r="D129" s="479"/>
      <c r="E129" s="479"/>
      <c r="F129" s="480"/>
      <c r="G129" s="481"/>
      <c r="H129" s="481"/>
      <c r="I129" s="481"/>
      <c r="J129" s="479"/>
      <c r="K129" s="480"/>
      <c r="L129" s="479"/>
      <c r="M129" s="29"/>
      <c r="N129" s="30"/>
      <c r="O129" s="31"/>
      <c r="P129" s="37"/>
      <c r="Q129" s="37"/>
      <c r="R129" s="37"/>
    </row>
    <row r="130" spans="1:18" ht="69.95" customHeight="1">
      <c r="A130" s="478">
        <v>127</v>
      </c>
      <c r="B130" s="478"/>
      <c r="C130" s="479"/>
      <c r="D130" s="479"/>
      <c r="E130" s="479"/>
      <c r="F130" s="480"/>
      <c r="G130" s="481"/>
      <c r="H130" s="481"/>
      <c r="I130" s="481"/>
      <c r="J130" s="479"/>
      <c r="K130" s="480"/>
      <c r="L130" s="479"/>
      <c r="M130" s="29"/>
      <c r="N130" s="30"/>
      <c r="O130" s="31"/>
      <c r="P130" s="37"/>
      <c r="Q130" s="37"/>
      <c r="R130" s="37"/>
    </row>
    <row r="131" spans="1:18" ht="69.95" customHeight="1">
      <c r="A131" s="478">
        <v>128</v>
      </c>
      <c r="B131" s="478"/>
      <c r="C131" s="479"/>
      <c r="D131" s="479"/>
      <c r="E131" s="479"/>
      <c r="F131" s="480"/>
      <c r="G131" s="481"/>
      <c r="H131" s="481"/>
      <c r="I131" s="481"/>
      <c r="J131" s="479"/>
      <c r="K131" s="480"/>
      <c r="L131" s="479"/>
      <c r="M131" s="29"/>
      <c r="N131" s="30"/>
      <c r="O131" s="31"/>
      <c r="P131" s="37"/>
      <c r="Q131" s="37"/>
      <c r="R131" s="37"/>
    </row>
    <row r="132" spans="1:18" ht="69.95" customHeight="1">
      <c r="A132" s="478">
        <v>129</v>
      </c>
      <c r="B132" s="478"/>
      <c r="C132" s="479"/>
      <c r="D132" s="479"/>
      <c r="E132" s="479"/>
      <c r="F132" s="480"/>
      <c r="G132" s="481"/>
      <c r="H132" s="481"/>
      <c r="I132" s="481"/>
      <c r="J132" s="479"/>
      <c r="K132" s="480"/>
      <c r="L132" s="479"/>
      <c r="M132" s="29"/>
      <c r="N132" s="30"/>
      <c r="O132" s="31"/>
      <c r="P132" s="37"/>
      <c r="Q132" s="37"/>
      <c r="R132" s="37"/>
    </row>
    <row r="133" spans="1:18" ht="69.95" customHeight="1">
      <c r="A133" s="478">
        <v>130</v>
      </c>
      <c r="B133" s="478"/>
      <c r="C133" s="479"/>
      <c r="D133" s="479"/>
      <c r="E133" s="479"/>
      <c r="F133" s="480"/>
      <c r="G133" s="481"/>
      <c r="H133" s="481"/>
      <c r="I133" s="481"/>
      <c r="J133" s="479"/>
      <c r="K133" s="480"/>
      <c r="L133" s="479"/>
      <c r="M133" s="29"/>
      <c r="N133" s="30"/>
      <c r="O133" s="31"/>
      <c r="P133" s="37"/>
      <c r="Q133" s="37"/>
      <c r="R133" s="37"/>
    </row>
    <row r="134" spans="1:18" ht="69.95" customHeight="1">
      <c r="A134" s="478">
        <v>131</v>
      </c>
      <c r="B134" s="478"/>
      <c r="C134" s="479"/>
      <c r="D134" s="479"/>
      <c r="E134" s="479"/>
      <c r="F134" s="480"/>
      <c r="G134" s="481"/>
      <c r="H134" s="481"/>
      <c r="I134" s="481"/>
      <c r="J134" s="479"/>
      <c r="K134" s="480"/>
      <c r="L134" s="479"/>
      <c r="M134" s="29"/>
      <c r="N134" s="30"/>
      <c r="O134" s="31"/>
      <c r="P134" s="37"/>
      <c r="Q134" s="37"/>
      <c r="R134" s="37"/>
    </row>
    <row r="135" spans="1:18" ht="69.95" customHeight="1">
      <c r="A135" s="478">
        <v>132</v>
      </c>
      <c r="B135" s="478"/>
      <c r="C135" s="479"/>
      <c r="D135" s="479"/>
      <c r="E135" s="479"/>
      <c r="F135" s="480"/>
      <c r="G135" s="481"/>
      <c r="H135" s="481"/>
      <c r="I135" s="481"/>
      <c r="J135" s="479"/>
      <c r="K135" s="480"/>
      <c r="L135" s="479"/>
      <c r="M135" s="29"/>
      <c r="N135" s="30"/>
      <c r="O135" s="31"/>
      <c r="P135" s="37"/>
      <c r="Q135" s="37"/>
      <c r="R135" s="37"/>
    </row>
    <row r="136" spans="1:18" ht="69.95" customHeight="1">
      <c r="A136" s="478">
        <v>133</v>
      </c>
      <c r="B136" s="478"/>
      <c r="C136" s="479"/>
      <c r="D136" s="479"/>
      <c r="E136" s="479"/>
      <c r="F136" s="480"/>
      <c r="G136" s="481"/>
      <c r="H136" s="481"/>
      <c r="I136" s="481"/>
      <c r="J136" s="479"/>
      <c r="K136" s="480"/>
      <c r="L136" s="479"/>
      <c r="M136" s="29"/>
      <c r="N136" s="30"/>
      <c r="O136" s="31"/>
      <c r="P136" s="37"/>
      <c r="Q136" s="37"/>
      <c r="R136" s="37"/>
    </row>
    <row r="137" spans="1:18" ht="69.95" customHeight="1">
      <c r="A137" s="478">
        <v>134</v>
      </c>
      <c r="B137" s="478"/>
      <c r="C137" s="479"/>
      <c r="D137" s="479"/>
      <c r="E137" s="479"/>
      <c r="F137" s="480"/>
      <c r="G137" s="481"/>
      <c r="H137" s="481"/>
      <c r="I137" s="481"/>
      <c r="J137" s="479"/>
      <c r="K137" s="480"/>
      <c r="L137" s="479"/>
      <c r="M137" s="29"/>
      <c r="N137" s="30"/>
      <c r="O137" s="31"/>
      <c r="P137" s="37"/>
      <c r="Q137" s="37"/>
      <c r="R137" s="37"/>
    </row>
    <row r="138" spans="1:18" ht="69.95" customHeight="1">
      <c r="A138" s="478">
        <v>135</v>
      </c>
      <c r="B138" s="478"/>
      <c r="C138" s="479"/>
      <c r="D138" s="479"/>
      <c r="E138" s="479"/>
      <c r="F138" s="480"/>
      <c r="G138" s="481"/>
      <c r="H138" s="481"/>
      <c r="I138" s="481"/>
      <c r="J138" s="479"/>
      <c r="K138" s="480"/>
      <c r="L138" s="479"/>
      <c r="M138" s="29"/>
      <c r="N138" s="30"/>
      <c r="O138" s="31"/>
      <c r="P138" s="37"/>
      <c r="Q138" s="37"/>
      <c r="R138" s="37"/>
    </row>
    <row r="139" spans="1:18" ht="69.95" customHeight="1">
      <c r="A139" s="478">
        <v>136</v>
      </c>
      <c r="B139" s="478"/>
      <c r="C139" s="479"/>
      <c r="D139" s="479"/>
      <c r="E139" s="479"/>
      <c r="F139" s="480"/>
      <c r="G139" s="481"/>
      <c r="H139" s="481"/>
      <c r="I139" s="481"/>
      <c r="J139" s="479"/>
      <c r="K139" s="480"/>
      <c r="L139" s="479"/>
      <c r="M139" s="29"/>
      <c r="N139" s="30"/>
      <c r="O139" s="31"/>
      <c r="P139" s="37"/>
      <c r="Q139" s="37"/>
      <c r="R139" s="37"/>
    </row>
    <row r="140" spans="1:18" ht="69.95" customHeight="1">
      <c r="A140" s="478">
        <v>137</v>
      </c>
      <c r="B140" s="478"/>
      <c r="C140" s="479"/>
      <c r="D140" s="479"/>
      <c r="E140" s="479"/>
      <c r="F140" s="480"/>
      <c r="G140" s="481"/>
      <c r="H140" s="481"/>
      <c r="I140" s="481"/>
      <c r="J140" s="479"/>
      <c r="K140" s="480"/>
      <c r="L140" s="479"/>
      <c r="M140" s="29"/>
      <c r="N140" s="30"/>
      <c r="O140" s="31"/>
      <c r="P140" s="37"/>
      <c r="Q140" s="37"/>
      <c r="R140" s="37"/>
    </row>
    <row r="141" spans="1:18" ht="69.95" customHeight="1">
      <c r="A141" s="478">
        <v>138</v>
      </c>
      <c r="B141" s="478"/>
      <c r="C141" s="479"/>
      <c r="D141" s="479"/>
      <c r="E141" s="479"/>
      <c r="F141" s="480"/>
      <c r="G141" s="481"/>
      <c r="H141" s="481"/>
      <c r="I141" s="481"/>
      <c r="J141" s="479"/>
      <c r="K141" s="480"/>
      <c r="L141" s="479"/>
      <c r="M141" s="29"/>
      <c r="N141" s="30"/>
      <c r="O141" s="31"/>
      <c r="P141" s="37"/>
      <c r="Q141" s="37"/>
      <c r="R141" s="37"/>
    </row>
    <row r="142" spans="1:18" ht="69.95" customHeight="1">
      <c r="A142" s="478">
        <v>139</v>
      </c>
      <c r="B142" s="478"/>
      <c r="C142" s="479"/>
      <c r="D142" s="479"/>
      <c r="E142" s="479"/>
      <c r="F142" s="480"/>
      <c r="G142" s="481"/>
      <c r="H142" s="481"/>
      <c r="I142" s="481"/>
      <c r="J142" s="479"/>
      <c r="K142" s="480"/>
      <c r="L142" s="479"/>
      <c r="M142" s="29"/>
      <c r="N142" s="30"/>
      <c r="O142" s="31"/>
      <c r="P142" s="37"/>
      <c r="Q142" s="37"/>
      <c r="R142" s="37"/>
    </row>
    <row r="143" spans="1:18" ht="69.95" customHeight="1">
      <c r="A143" s="478">
        <v>140</v>
      </c>
      <c r="B143" s="478"/>
      <c r="C143" s="479"/>
      <c r="D143" s="479"/>
      <c r="E143" s="479"/>
      <c r="F143" s="480"/>
      <c r="G143" s="481"/>
      <c r="H143" s="481"/>
      <c r="I143" s="481"/>
      <c r="J143" s="479"/>
      <c r="K143" s="480"/>
      <c r="L143" s="479"/>
      <c r="M143" s="29"/>
      <c r="N143" s="30"/>
      <c r="O143" s="31"/>
      <c r="P143" s="37"/>
      <c r="Q143" s="37"/>
      <c r="R143" s="37"/>
    </row>
    <row r="144" spans="1:18" ht="69.95" customHeight="1">
      <c r="A144" s="478">
        <v>141</v>
      </c>
      <c r="B144" s="478"/>
      <c r="C144" s="479"/>
      <c r="D144" s="479"/>
      <c r="E144" s="479"/>
      <c r="F144" s="480"/>
      <c r="G144" s="481"/>
      <c r="H144" s="481"/>
      <c r="I144" s="481"/>
      <c r="J144" s="479"/>
      <c r="K144" s="480"/>
      <c r="L144" s="479"/>
      <c r="M144" s="29"/>
      <c r="N144" s="30"/>
      <c r="O144" s="31"/>
      <c r="P144" s="37"/>
      <c r="Q144" s="37"/>
      <c r="R144" s="37"/>
    </row>
    <row r="145" spans="1:18" ht="69.95" customHeight="1">
      <c r="A145" s="478">
        <v>142</v>
      </c>
      <c r="B145" s="478"/>
      <c r="C145" s="479"/>
      <c r="D145" s="479"/>
      <c r="E145" s="479"/>
      <c r="F145" s="480"/>
      <c r="G145" s="481"/>
      <c r="H145" s="481"/>
      <c r="I145" s="481"/>
      <c r="J145" s="479"/>
      <c r="K145" s="480"/>
      <c r="L145" s="479"/>
      <c r="M145" s="29"/>
      <c r="N145" s="30"/>
      <c r="O145" s="31"/>
      <c r="P145" s="37"/>
      <c r="Q145" s="37"/>
      <c r="R145" s="37"/>
    </row>
    <row r="146" spans="1:18" ht="69.95" customHeight="1">
      <c r="A146" s="478">
        <v>143</v>
      </c>
      <c r="B146" s="478"/>
      <c r="C146" s="479"/>
      <c r="D146" s="479"/>
      <c r="E146" s="479"/>
      <c r="F146" s="480"/>
      <c r="G146" s="481"/>
      <c r="H146" s="481"/>
      <c r="I146" s="481"/>
      <c r="J146" s="479"/>
      <c r="K146" s="480"/>
      <c r="L146" s="479"/>
      <c r="M146" s="29"/>
      <c r="N146" s="30"/>
      <c r="O146" s="31"/>
      <c r="P146" s="37"/>
      <c r="Q146" s="37"/>
      <c r="R146" s="37"/>
    </row>
    <row r="147" spans="1:18" ht="69.95" customHeight="1">
      <c r="A147" s="478">
        <v>144</v>
      </c>
      <c r="B147" s="478"/>
      <c r="C147" s="479"/>
      <c r="D147" s="479"/>
      <c r="E147" s="479"/>
      <c r="F147" s="480"/>
      <c r="G147" s="481"/>
      <c r="H147" s="481"/>
      <c r="I147" s="481"/>
      <c r="J147" s="479"/>
      <c r="K147" s="480"/>
      <c r="L147" s="479"/>
      <c r="M147" s="29"/>
      <c r="N147" s="30"/>
      <c r="O147" s="31"/>
      <c r="P147" s="37"/>
      <c r="Q147" s="37"/>
      <c r="R147" s="37"/>
    </row>
    <row r="148" spans="1:18" ht="69.95" customHeight="1">
      <c r="A148" s="478">
        <v>145</v>
      </c>
      <c r="B148" s="478"/>
      <c r="C148" s="479"/>
      <c r="D148" s="479"/>
      <c r="E148" s="479"/>
      <c r="F148" s="480"/>
      <c r="G148" s="481"/>
      <c r="H148" s="481"/>
      <c r="I148" s="481"/>
      <c r="J148" s="479"/>
      <c r="K148" s="480"/>
      <c r="L148" s="479"/>
      <c r="M148" s="29"/>
      <c r="N148" s="30"/>
      <c r="O148" s="31"/>
      <c r="P148" s="37"/>
      <c r="Q148" s="37"/>
      <c r="R148" s="37"/>
    </row>
    <row r="149" spans="1:18" ht="69.95" customHeight="1">
      <c r="A149" s="478">
        <v>146</v>
      </c>
      <c r="B149" s="478"/>
      <c r="C149" s="479"/>
      <c r="D149" s="479"/>
      <c r="E149" s="479"/>
      <c r="F149" s="480"/>
      <c r="G149" s="481"/>
      <c r="H149" s="481"/>
      <c r="I149" s="481"/>
      <c r="J149" s="479"/>
      <c r="K149" s="480"/>
      <c r="L149" s="479"/>
      <c r="M149" s="29"/>
      <c r="N149" s="30"/>
      <c r="O149" s="31"/>
      <c r="P149" s="37"/>
      <c r="Q149" s="37"/>
      <c r="R149" s="37"/>
    </row>
    <row r="150" spans="1:18" ht="69.95" customHeight="1">
      <c r="A150" s="478">
        <v>147</v>
      </c>
      <c r="B150" s="478"/>
      <c r="C150" s="479"/>
      <c r="D150" s="479"/>
      <c r="E150" s="479"/>
      <c r="F150" s="480"/>
      <c r="G150" s="481"/>
      <c r="H150" s="481"/>
      <c r="I150" s="481"/>
      <c r="J150" s="479"/>
      <c r="K150" s="480"/>
      <c r="L150" s="479"/>
      <c r="M150" s="29"/>
      <c r="N150" s="30"/>
      <c r="O150" s="31"/>
      <c r="P150" s="37"/>
      <c r="Q150" s="37"/>
      <c r="R150" s="37"/>
    </row>
    <row r="151" spans="1:18" ht="69.95" customHeight="1">
      <c r="A151" s="478">
        <v>148</v>
      </c>
      <c r="B151" s="478"/>
      <c r="C151" s="479"/>
      <c r="D151" s="479"/>
      <c r="E151" s="479"/>
      <c r="F151" s="480"/>
      <c r="G151" s="481"/>
      <c r="H151" s="481"/>
      <c r="I151" s="481"/>
      <c r="J151" s="479"/>
      <c r="K151" s="480"/>
      <c r="L151" s="479"/>
      <c r="M151" s="29"/>
      <c r="N151" s="30"/>
      <c r="O151" s="31"/>
      <c r="P151" s="37"/>
      <c r="Q151" s="37"/>
      <c r="R151" s="37"/>
    </row>
    <row r="152" spans="1:18" ht="69.95" customHeight="1">
      <c r="A152" s="478">
        <v>149</v>
      </c>
      <c r="B152" s="478"/>
      <c r="C152" s="479"/>
      <c r="D152" s="479"/>
      <c r="E152" s="479"/>
      <c r="F152" s="480"/>
      <c r="G152" s="481"/>
      <c r="H152" s="481"/>
      <c r="I152" s="481"/>
      <c r="J152" s="479"/>
      <c r="K152" s="480"/>
      <c r="L152" s="479"/>
      <c r="M152" s="29"/>
      <c r="N152" s="30"/>
      <c r="O152" s="31"/>
      <c r="P152" s="37"/>
      <c r="Q152" s="37"/>
      <c r="R152" s="37"/>
    </row>
    <row r="153" spans="1:18" ht="69.95" customHeight="1">
      <c r="A153" s="478">
        <v>150</v>
      </c>
      <c r="B153" s="478"/>
      <c r="C153" s="479"/>
      <c r="D153" s="479"/>
      <c r="E153" s="479"/>
      <c r="F153" s="480"/>
      <c r="G153" s="481"/>
      <c r="H153" s="481"/>
      <c r="I153" s="481"/>
      <c r="J153" s="479"/>
      <c r="K153" s="480"/>
      <c r="L153" s="479"/>
      <c r="M153" s="29"/>
      <c r="N153" s="30"/>
      <c r="O153" s="31"/>
      <c r="P153" s="37"/>
      <c r="Q153" s="37"/>
      <c r="R153" s="37"/>
    </row>
    <row r="154" spans="1:18" ht="69.95" customHeight="1">
      <c r="A154" s="478">
        <v>151</v>
      </c>
      <c r="B154" s="478"/>
      <c r="C154" s="479"/>
      <c r="D154" s="479"/>
      <c r="E154" s="479"/>
      <c r="F154" s="480"/>
      <c r="G154" s="481"/>
      <c r="H154" s="481"/>
      <c r="I154" s="481"/>
      <c r="J154" s="479"/>
      <c r="K154" s="480"/>
      <c r="L154" s="479"/>
      <c r="M154" s="29"/>
      <c r="N154" s="30"/>
      <c r="O154" s="31"/>
      <c r="P154" s="37"/>
      <c r="Q154" s="37"/>
      <c r="R154" s="37"/>
    </row>
    <row r="155" spans="1:18" ht="69.95" customHeight="1">
      <c r="A155" s="478">
        <v>152</v>
      </c>
      <c r="B155" s="478"/>
      <c r="C155" s="479"/>
      <c r="D155" s="479"/>
      <c r="E155" s="479"/>
      <c r="F155" s="480"/>
      <c r="G155" s="481"/>
      <c r="H155" s="481"/>
      <c r="I155" s="481"/>
      <c r="J155" s="479"/>
      <c r="K155" s="480"/>
      <c r="L155" s="479"/>
      <c r="M155" s="29"/>
      <c r="N155" s="30"/>
      <c r="O155" s="31"/>
      <c r="P155" s="37"/>
      <c r="Q155" s="37"/>
      <c r="R155" s="37"/>
    </row>
    <row r="156" spans="1:18" ht="69.95" customHeight="1">
      <c r="A156" s="478">
        <v>153</v>
      </c>
      <c r="B156" s="478"/>
      <c r="C156" s="479"/>
      <c r="D156" s="479"/>
      <c r="E156" s="479"/>
      <c r="F156" s="480"/>
      <c r="G156" s="481"/>
      <c r="H156" s="481"/>
      <c r="I156" s="481"/>
      <c r="J156" s="479"/>
      <c r="K156" s="480"/>
      <c r="L156" s="479"/>
      <c r="M156" s="29"/>
      <c r="N156" s="30"/>
      <c r="O156" s="31"/>
      <c r="P156" s="37"/>
      <c r="Q156" s="37"/>
      <c r="R156" s="37"/>
    </row>
    <row r="157" spans="1:18" ht="69.95" customHeight="1">
      <c r="A157" s="478">
        <v>154</v>
      </c>
      <c r="B157" s="478"/>
      <c r="C157" s="479"/>
      <c r="D157" s="479"/>
      <c r="E157" s="479"/>
      <c r="F157" s="480"/>
      <c r="G157" s="481"/>
      <c r="H157" s="481"/>
      <c r="I157" s="481"/>
      <c r="J157" s="479"/>
      <c r="K157" s="480"/>
      <c r="L157" s="479"/>
      <c r="M157" s="29"/>
      <c r="N157" s="30"/>
      <c r="O157" s="31"/>
      <c r="P157" s="37"/>
      <c r="Q157" s="37"/>
      <c r="R157" s="37"/>
    </row>
    <row r="158" spans="1:18" ht="69.95" customHeight="1">
      <c r="A158" s="478">
        <v>155</v>
      </c>
      <c r="B158" s="478"/>
      <c r="C158" s="479"/>
      <c r="D158" s="479"/>
      <c r="E158" s="479"/>
      <c r="F158" s="480"/>
      <c r="G158" s="481"/>
      <c r="H158" s="481"/>
      <c r="I158" s="481"/>
      <c r="J158" s="479"/>
      <c r="K158" s="480"/>
      <c r="L158" s="479"/>
      <c r="M158" s="29"/>
      <c r="N158" s="30"/>
      <c r="O158" s="31"/>
      <c r="P158" s="37"/>
      <c r="Q158" s="37"/>
      <c r="R158" s="37"/>
    </row>
    <row r="159" spans="1:18" ht="69.95" customHeight="1">
      <c r="A159" s="478">
        <v>156</v>
      </c>
      <c r="B159" s="478"/>
      <c r="C159" s="479"/>
      <c r="D159" s="479"/>
      <c r="E159" s="479"/>
      <c r="F159" s="480"/>
      <c r="G159" s="481"/>
      <c r="H159" s="481"/>
      <c r="I159" s="481"/>
      <c r="J159" s="479"/>
      <c r="K159" s="480"/>
      <c r="L159" s="479"/>
      <c r="M159" s="29"/>
      <c r="N159" s="30"/>
      <c r="O159" s="31"/>
      <c r="P159" s="37"/>
      <c r="Q159" s="37"/>
      <c r="R159" s="37"/>
    </row>
    <row r="160" spans="1:18" ht="69.95" customHeight="1">
      <c r="A160" s="478">
        <v>157</v>
      </c>
      <c r="B160" s="478"/>
      <c r="C160" s="479"/>
      <c r="D160" s="479"/>
      <c r="E160" s="479"/>
      <c r="F160" s="480"/>
      <c r="G160" s="481"/>
      <c r="H160" s="481"/>
      <c r="I160" s="481"/>
      <c r="J160" s="479"/>
      <c r="K160" s="480"/>
      <c r="L160" s="479"/>
      <c r="M160" s="29"/>
      <c r="N160" s="30"/>
      <c r="O160" s="31"/>
      <c r="P160" s="37"/>
      <c r="Q160" s="37"/>
      <c r="R160" s="37"/>
    </row>
    <row r="161" spans="1:18" ht="69.95" customHeight="1">
      <c r="A161" s="478">
        <v>158</v>
      </c>
      <c r="B161" s="478"/>
      <c r="C161" s="479"/>
      <c r="D161" s="479"/>
      <c r="E161" s="479"/>
      <c r="F161" s="480"/>
      <c r="G161" s="481"/>
      <c r="H161" s="481"/>
      <c r="I161" s="481"/>
      <c r="J161" s="479"/>
      <c r="K161" s="480"/>
      <c r="L161" s="479"/>
      <c r="M161" s="29"/>
      <c r="N161" s="30"/>
      <c r="O161" s="31"/>
      <c r="P161" s="37"/>
      <c r="Q161" s="37"/>
      <c r="R161" s="37"/>
    </row>
    <row r="162" spans="1:18" ht="69.95" customHeight="1">
      <c r="A162" s="478">
        <v>159</v>
      </c>
      <c r="B162" s="478"/>
      <c r="C162" s="479"/>
      <c r="D162" s="479"/>
      <c r="E162" s="479"/>
      <c r="F162" s="480"/>
      <c r="G162" s="481"/>
      <c r="H162" s="481"/>
      <c r="I162" s="481"/>
      <c r="J162" s="479"/>
      <c r="K162" s="480"/>
      <c r="L162" s="479"/>
      <c r="M162" s="29"/>
      <c r="N162" s="30"/>
      <c r="O162" s="31"/>
      <c r="P162" s="37"/>
      <c r="Q162" s="37"/>
      <c r="R162" s="37"/>
    </row>
    <row r="163" spans="1:18" ht="69.95" customHeight="1">
      <c r="A163" s="478">
        <v>160</v>
      </c>
      <c r="B163" s="478"/>
      <c r="C163" s="479"/>
      <c r="D163" s="479"/>
      <c r="E163" s="479"/>
      <c r="F163" s="480"/>
      <c r="G163" s="481"/>
      <c r="H163" s="481"/>
      <c r="I163" s="481"/>
      <c r="J163" s="479"/>
      <c r="K163" s="480"/>
      <c r="L163" s="479"/>
      <c r="M163" s="29"/>
      <c r="N163" s="30"/>
      <c r="O163" s="31"/>
      <c r="P163" s="37"/>
      <c r="Q163" s="37"/>
      <c r="R163" s="37"/>
    </row>
    <row r="164" spans="1:18" ht="69.95" customHeight="1">
      <c r="A164" s="478">
        <v>161</v>
      </c>
      <c r="B164" s="478"/>
      <c r="C164" s="479"/>
      <c r="D164" s="479"/>
      <c r="E164" s="479"/>
      <c r="F164" s="480"/>
      <c r="G164" s="481"/>
      <c r="H164" s="481"/>
      <c r="I164" s="481"/>
      <c r="J164" s="479"/>
      <c r="K164" s="480"/>
      <c r="L164" s="479"/>
      <c r="M164" s="29"/>
      <c r="N164" s="30"/>
      <c r="O164" s="31"/>
      <c r="P164" s="37"/>
      <c r="Q164" s="37"/>
      <c r="R164" s="37"/>
    </row>
    <row r="165" spans="1:18" ht="69.95" customHeight="1">
      <c r="A165" s="478">
        <v>162</v>
      </c>
      <c r="B165" s="478"/>
      <c r="C165" s="479"/>
      <c r="D165" s="479"/>
      <c r="E165" s="479"/>
      <c r="F165" s="480"/>
      <c r="G165" s="481"/>
      <c r="H165" s="481"/>
      <c r="I165" s="481"/>
      <c r="J165" s="479"/>
      <c r="K165" s="480"/>
      <c r="L165" s="479"/>
      <c r="M165" s="29"/>
      <c r="N165" s="30"/>
      <c r="O165" s="31"/>
      <c r="P165" s="37"/>
      <c r="Q165" s="37"/>
      <c r="R165" s="37"/>
    </row>
    <row r="166" spans="1:18" ht="69.95" customHeight="1">
      <c r="A166" s="478">
        <v>163</v>
      </c>
      <c r="B166" s="478"/>
      <c r="C166" s="479"/>
      <c r="D166" s="479"/>
      <c r="E166" s="479"/>
      <c r="F166" s="480"/>
      <c r="G166" s="481"/>
      <c r="H166" s="481"/>
      <c r="I166" s="481"/>
      <c r="J166" s="479"/>
      <c r="K166" s="480"/>
      <c r="L166" s="479"/>
      <c r="M166" s="29"/>
      <c r="N166" s="30"/>
      <c r="O166" s="31"/>
      <c r="P166" s="37"/>
      <c r="Q166" s="37"/>
      <c r="R166" s="37"/>
    </row>
    <row r="167" spans="1:18" ht="69.95" customHeight="1">
      <c r="A167" s="478">
        <v>164</v>
      </c>
      <c r="B167" s="478"/>
      <c r="C167" s="479"/>
      <c r="D167" s="479"/>
      <c r="E167" s="479"/>
      <c r="F167" s="480"/>
      <c r="G167" s="481"/>
      <c r="H167" s="481"/>
      <c r="I167" s="481"/>
      <c r="J167" s="479"/>
      <c r="K167" s="480"/>
      <c r="L167" s="479"/>
      <c r="M167" s="29"/>
      <c r="N167" s="30"/>
      <c r="O167" s="31"/>
      <c r="P167" s="37"/>
      <c r="Q167" s="37"/>
      <c r="R167" s="37"/>
    </row>
    <row r="168" spans="1:18" ht="69.95" customHeight="1">
      <c r="A168" s="478">
        <v>165</v>
      </c>
      <c r="B168" s="478"/>
      <c r="C168" s="479"/>
      <c r="D168" s="479"/>
      <c r="E168" s="479"/>
      <c r="F168" s="480"/>
      <c r="G168" s="481"/>
      <c r="H168" s="481"/>
      <c r="I168" s="481"/>
      <c r="J168" s="479"/>
      <c r="K168" s="480"/>
      <c r="L168" s="479"/>
      <c r="M168" s="29"/>
      <c r="N168" s="30"/>
      <c r="O168" s="31"/>
      <c r="P168" s="37"/>
      <c r="Q168" s="37"/>
      <c r="R168" s="37"/>
    </row>
    <row r="169" spans="1:18" ht="69.95" customHeight="1">
      <c r="A169" s="478">
        <v>166</v>
      </c>
      <c r="B169" s="478"/>
      <c r="C169" s="479"/>
      <c r="D169" s="479"/>
      <c r="E169" s="479"/>
      <c r="F169" s="480"/>
      <c r="G169" s="481"/>
      <c r="H169" s="481"/>
      <c r="I169" s="481"/>
      <c r="J169" s="479"/>
      <c r="K169" s="480"/>
      <c r="L169" s="479"/>
      <c r="M169" s="29"/>
      <c r="N169" s="30"/>
      <c r="O169" s="31"/>
      <c r="P169" s="37"/>
      <c r="Q169" s="37"/>
      <c r="R169" s="37"/>
    </row>
    <row r="170" spans="1:18" ht="69.95" customHeight="1">
      <c r="A170" s="478">
        <v>167</v>
      </c>
      <c r="B170" s="478"/>
      <c r="C170" s="479"/>
      <c r="D170" s="479"/>
      <c r="E170" s="479"/>
      <c r="F170" s="480"/>
      <c r="G170" s="481"/>
      <c r="H170" s="481"/>
      <c r="I170" s="481"/>
      <c r="J170" s="479"/>
      <c r="K170" s="480"/>
      <c r="L170" s="479"/>
      <c r="M170" s="29"/>
      <c r="N170" s="30"/>
      <c r="O170" s="31"/>
      <c r="P170" s="37"/>
      <c r="Q170" s="37"/>
      <c r="R170" s="37"/>
    </row>
    <row r="171" spans="1:18" ht="69.95" customHeight="1">
      <c r="A171" s="478">
        <v>168</v>
      </c>
      <c r="B171" s="478"/>
      <c r="C171" s="479"/>
      <c r="D171" s="479"/>
      <c r="E171" s="479"/>
      <c r="F171" s="480"/>
      <c r="G171" s="481"/>
      <c r="H171" s="481"/>
      <c r="I171" s="481"/>
      <c r="J171" s="479"/>
      <c r="K171" s="480"/>
      <c r="L171" s="479"/>
      <c r="M171" s="29"/>
      <c r="N171" s="30"/>
      <c r="O171" s="31"/>
      <c r="P171" s="37"/>
      <c r="Q171" s="37"/>
      <c r="R171" s="37"/>
    </row>
    <row r="172" spans="1:18" ht="69.95" customHeight="1">
      <c r="A172" s="478">
        <v>169</v>
      </c>
      <c r="B172" s="478"/>
      <c r="C172" s="479"/>
      <c r="D172" s="479"/>
      <c r="E172" s="479"/>
      <c r="F172" s="480"/>
      <c r="G172" s="481"/>
      <c r="H172" s="481"/>
      <c r="I172" s="481"/>
      <c r="J172" s="479"/>
      <c r="K172" s="480"/>
      <c r="L172" s="479"/>
      <c r="M172" s="29"/>
      <c r="N172" s="30"/>
      <c r="O172" s="31"/>
      <c r="P172" s="37"/>
      <c r="Q172" s="37"/>
      <c r="R172" s="37"/>
    </row>
    <row r="173" spans="1:18" ht="69.95" customHeight="1">
      <c r="A173" s="478">
        <v>170</v>
      </c>
      <c r="B173" s="478"/>
      <c r="C173" s="479"/>
      <c r="D173" s="479"/>
      <c r="E173" s="479"/>
      <c r="F173" s="480"/>
      <c r="G173" s="481"/>
      <c r="H173" s="481"/>
      <c r="I173" s="481"/>
      <c r="J173" s="479"/>
      <c r="K173" s="480"/>
      <c r="L173" s="479"/>
      <c r="M173" s="29"/>
      <c r="N173" s="30"/>
      <c r="O173" s="31"/>
      <c r="P173" s="37"/>
      <c r="Q173" s="37"/>
      <c r="R173" s="37"/>
    </row>
    <row r="174" spans="1:18" ht="69.95" customHeight="1">
      <c r="A174" s="478">
        <v>171</v>
      </c>
      <c r="B174" s="478"/>
      <c r="C174" s="479"/>
      <c r="D174" s="479"/>
      <c r="E174" s="479"/>
      <c r="F174" s="480"/>
      <c r="G174" s="481"/>
      <c r="H174" s="481"/>
      <c r="I174" s="481"/>
      <c r="J174" s="479"/>
      <c r="K174" s="480"/>
      <c r="L174" s="479"/>
      <c r="M174" s="29"/>
      <c r="N174" s="30"/>
      <c r="O174" s="31"/>
      <c r="P174" s="37"/>
      <c r="Q174" s="37"/>
      <c r="R174" s="37"/>
    </row>
    <row r="175" spans="1:18" ht="69.95" customHeight="1">
      <c r="A175" s="478">
        <v>172</v>
      </c>
      <c r="B175" s="478"/>
      <c r="C175" s="479"/>
      <c r="D175" s="479"/>
      <c r="E175" s="479"/>
      <c r="F175" s="480"/>
      <c r="G175" s="481"/>
      <c r="H175" s="481"/>
      <c r="I175" s="481"/>
      <c r="J175" s="479"/>
      <c r="K175" s="480"/>
      <c r="L175" s="479"/>
      <c r="M175" s="29"/>
      <c r="N175" s="30"/>
      <c r="O175" s="31"/>
      <c r="P175" s="37"/>
      <c r="Q175" s="37"/>
      <c r="R175" s="37"/>
    </row>
    <row r="176" spans="1:18" ht="69.95" customHeight="1">
      <c r="A176" s="478">
        <v>173</v>
      </c>
      <c r="B176" s="478"/>
      <c r="C176" s="479"/>
      <c r="D176" s="479"/>
      <c r="E176" s="479"/>
      <c r="F176" s="480"/>
      <c r="G176" s="481"/>
      <c r="H176" s="481"/>
      <c r="I176" s="481"/>
      <c r="J176" s="479"/>
      <c r="K176" s="480"/>
      <c r="L176" s="479"/>
      <c r="M176" s="29"/>
      <c r="N176" s="30"/>
      <c r="O176" s="31"/>
      <c r="P176" s="37"/>
      <c r="Q176" s="37"/>
      <c r="R176" s="37"/>
    </row>
    <row r="177" spans="1:18" ht="69.95" customHeight="1">
      <c r="A177" s="478">
        <v>174</v>
      </c>
      <c r="B177" s="478"/>
      <c r="C177" s="479"/>
      <c r="D177" s="479"/>
      <c r="E177" s="479"/>
      <c r="F177" s="480"/>
      <c r="G177" s="481"/>
      <c r="H177" s="481"/>
      <c r="I177" s="481"/>
      <c r="J177" s="479"/>
      <c r="K177" s="480"/>
      <c r="L177" s="479"/>
      <c r="M177" s="29"/>
      <c r="N177" s="30"/>
      <c r="O177" s="31"/>
      <c r="P177" s="37"/>
      <c r="Q177" s="37"/>
      <c r="R177" s="37"/>
    </row>
    <row r="178" spans="1:18" ht="69.95" customHeight="1">
      <c r="A178" s="478">
        <v>175</v>
      </c>
      <c r="B178" s="478"/>
      <c r="C178" s="479"/>
      <c r="D178" s="479"/>
      <c r="E178" s="479"/>
      <c r="F178" s="480"/>
      <c r="G178" s="481"/>
      <c r="H178" s="481"/>
      <c r="I178" s="481"/>
      <c r="J178" s="479"/>
      <c r="K178" s="480"/>
      <c r="L178" s="479"/>
      <c r="M178" s="29"/>
      <c r="N178" s="30"/>
      <c r="O178" s="31"/>
      <c r="P178" s="37"/>
      <c r="Q178" s="37"/>
      <c r="R178" s="37"/>
    </row>
    <row r="179" spans="1:18" ht="69.95" customHeight="1">
      <c r="A179" s="478">
        <v>176</v>
      </c>
      <c r="B179" s="478"/>
      <c r="C179" s="479"/>
      <c r="D179" s="479"/>
      <c r="E179" s="479"/>
      <c r="F179" s="480"/>
      <c r="G179" s="481"/>
      <c r="H179" s="481"/>
      <c r="I179" s="481"/>
      <c r="J179" s="479"/>
      <c r="K179" s="480"/>
      <c r="L179" s="479"/>
      <c r="M179" s="29"/>
      <c r="N179" s="30"/>
      <c r="O179" s="31"/>
      <c r="P179" s="37"/>
      <c r="Q179" s="37"/>
      <c r="R179" s="37"/>
    </row>
    <row r="180" spans="1:18" ht="69.95" customHeight="1">
      <c r="A180" s="478">
        <v>177</v>
      </c>
      <c r="B180" s="478"/>
      <c r="C180" s="479"/>
      <c r="D180" s="479"/>
      <c r="E180" s="479"/>
      <c r="F180" s="480"/>
      <c r="G180" s="481"/>
      <c r="H180" s="481"/>
      <c r="I180" s="481"/>
      <c r="J180" s="479"/>
      <c r="K180" s="480"/>
      <c r="L180" s="479"/>
      <c r="M180" s="29"/>
      <c r="N180" s="30"/>
      <c r="O180" s="31"/>
      <c r="P180" s="37"/>
      <c r="Q180" s="37"/>
      <c r="R180" s="37"/>
    </row>
    <row r="181" spans="1:18" ht="69.95" customHeight="1">
      <c r="A181" s="478">
        <v>178</v>
      </c>
      <c r="B181" s="478"/>
      <c r="C181" s="479"/>
      <c r="D181" s="479"/>
      <c r="E181" s="479"/>
      <c r="F181" s="480"/>
      <c r="G181" s="481"/>
      <c r="H181" s="481"/>
      <c r="I181" s="481"/>
      <c r="J181" s="479"/>
      <c r="K181" s="480"/>
      <c r="L181" s="479"/>
      <c r="M181" s="29"/>
      <c r="N181" s="30"/>
      <c r="O181" s="31"/>
      <c r="P181" s="37"/>
      <c r="Q181" s="37"/>
      <c r="R181" s="37"/>
    </row>
    <row r="182" spans="1:18" ht="69.95" customHeight="1">
      <c r="A182" s="478">
        <v>179</v>
      </c>
      <c r="B182" s="478"/>
      <c r="C182" s="479"/>
      <c r="D182" s="479"/>
      <c r="E182" s="479"/>
      <c r="F182" s="480"/>
      <c r="G182" s="481"/>
      <c r="H182" s="481"/>
      <c r="I182" s="481"/>
      <c r="J182" s="479"/>
      <c r="K182" s="480"/>
      <c r="L182" s="479"/>
      <c r="M182" s="29"/>
      <c r="N182" s="30"/>
      <c r="O182" s="31"/>
      <c r="P182" s="37"/>
      <c r="Q182" s="37"/>
      <c r="R182" s="37"/>
    </row>
    <row r="183" spans="1:18" ht="69.95" customHeight="1">
      <c r="A183" s="478">
        <v>180</v>
      </c>
      <c r="B183" s="478"/>
      <c r="C183" s="479"/>
      <c r="D183" s="479"/>
      <c r="E183" s="479"/>
      <c r="F183" s="480"/>
      <c r="G183" s="481"/>
      <c r="H183" s="481"/>
      <c r="I183" s="481"/>
      <c r="J183" s="479"/>
      <c r="K183" s="480"/>
      <c r="L183" s="479"/>
      <c r="M183" s="29"/>
      <c r="N183" s="30"/>
      <c r="O183" s="31"/>
      <c r="P183" s="37"/>
      <c r="Q183" s="37"/>
      <c r="R183" s="37"/>
    </row>
    <row r="184" spans="1:18" ht="69.95" customHeight="1">
      <c r="A184" s="478">
        <v>181</v>
      </c>
      <c r="B184" s="478"/>
      <c r="C184" s="479"/>
      <c r="D184" s="479"/>
      <c r="E184" s="479"/>
      <c r="F184" s="480"/>
      <c r="G184" s="481"/>
      <c r="H184" s="481"/>
      <c r="I184" s="481"/>
      <c r="J184" s="479"/>
      <c r="K184" s="480"/>
      <c r="L184" s="479"/>
      <c r="M184" s="29"/>
      <c r="N184" s="30"/>
      <c r="O184" s="31"/>
      <c r="P184" s="37"/>
      <c r="Q184" s="37"/>
      <c r="R184" s="37"/>
    </row>
    <row r="185" spans="1:18" ht="69.95" customHeight="1">
      <c r="A185" s="478">
        <v>182</v>
      </c>
      <c r="B185" s="478"/>
      <c r="C185" s="479"/>
      <c r="D185" s="479"/>
      <c r="E185" s="479"/>
      <c r="F185" s="480"/>
      <c r="G185" s="481"/>
      <c r="H185" s="481"/>
      <c r="I185" s="481"/>
      <c r="J185" s="479"/>
      <c r="K185" s="480"/>
      <c r="L185" s="479"/>
      <c r="M185" s="29"/>
      <c r="N185" s="30"/>
      <c r="O185" s="31"/>
      <c r="P185" s="37"/>
      <c r="Q185" s="37"/>
      <c r="R185" s="37"/>
    </row>
    <row r="186" spans="1:18" ht="69.95" customHeight="1">
      <c r="A186" s="478">
        <v>183</v>
      </c>
      <c r="B186" s="478"/>
      <c r="C186" s="479"/>
      <c r="D186" s="479"/>
      <c r="E186" s="479"/>
      <c r="F186" s="480"/>
      <c r="G186" s="481"/>
      <c r="H186" s="481"/>
      <c r="I186" s="481"/>
      <c r="J186" s="479"/>
      <c r="K186" s="480"/>
      <c r="L186" s="479"/>
      <c r="M186" s="29"/>
      <c r="N186" s="30"/>
      <c r="O186" s="31"/>
      <c r="P186" s="37"/>
      <c r="Q186" s="37"/>
      <c r="R186" s="37"/>
    </row>
    <row r="187" spans="1:18" ht="69.95" customHeight="1">
      <c r="A187" s="478">
        <v>184</v>
      </c>
      <c r="B187" s="478"/>
      <c r="C187" s="479"/>
      <c r="D187" s="479"/>
      <c r="E187" s="479"/>
      <c r="F187" s="480"/>
      <c r="G187" s="481"/>
      <c r="H187" s="481"/>
      <c r="I187" s="481"/>
      <c r="J187" s="479"/>
      <c r="K187" s="480"/>
      <c r="L187" s="479"/>
      <c r="M187" s="29"/>
      <c r="N187" s="30"/>
      <c r="O187" s="31"/>
      <c r="P187" s="37"/>
      <c r="Q187" s="37"/>
      <c r="R187" s="37"/>
    </row>
    <row r="188" spans="1:18" ht="69.95" customHeight="1">
      <c r="A188" s="478">
        <v>185</v>
      </c>
      <c r="B188" s="478"/>
      <c r="C188" s="479"/>
      <c r="D188" s="479"/>
      <c r="E188" s="479"/>
      <c r="F188" s="480"/>
      <c r="G188" s="481"/>
      <c r="H188" s="481"/>
      <c r="I188" s="481"/>
      <c r="J188" s="479"/>
      <c r="K188" s="480"/>
      <c r="L188" s="479"/>
      <c r="M188" s="29"/>
      <c r="N188" s="30"/>
      <c r="O188" s="31"/>
      <c r="P188" s="37"/>
      <c r="Q188" s="37"/>
      <c r="R188" s="37"/>
    </row>
    <row r="189" spans="1:18" ht="69.95" customHeight="1">
      <c r="A189" s="478">
        <v>186</v>
      </c>
      <c r="B189" s="478"/>
      <c r="C189" s="479"/>
      <c r="D189" s="479"/>
      <c r="E189" s="479"/>
      <c r="F189" s="480"/>
      <c r="G189" s="481"/>
      <c r="H189" s="481"/>
      <c r="I189" s="481"/>
      <c r="J189" s="479"/>
      <c r="K189" s="480"/>
      <c r="L189" s="479"/>
      <c r="M189" s="29"/>
      <c r="N189" s="30"/>
      <c r="O189" s="31"/>
      <c r="P189" s="37"/>
      <c r="Q189" s="37"/>
      <c r="R189" s="37"/>
    </row>
    <row r="190" spans="1:18" ht="69.95" customHeight="1">
      <c r="A190" s="478">
        <v>187</v>
      </c>
      <c r="B190" s="478"/>
      <c r="C190" s="479"/>
      <c r="D190" s="479"/>
      <c r="E190" s="479"/>
      <c r="F190" s="480"/>
      <c r="G190" s="481"/>
      <c r="H190" s="481"/>
      <c r="I190" s="481"/>
      <c r="J190" s="479"/>
      <c r="K190" s="480"/>
      <c r="L190" s="479"/>
      <c r="M190" s="29"/>
      <c r="N190" s="30"/>
      <c r="O190" s="31"/>
      <c r="P190" s="37"/>
      <c r="Q190" s="37"/>
      <c r="R190" s="37"/>
    </row>
    <row r="191" spans="1:18" ht="69.95" customHeight="1">
      <c r="A191" s="478">
        <v>188</v>
      </c>
      <c r="B191" s="478"/>
      <c r="C191" s="479"/>
      <c r="D191" s="479"/>
      <c r="E191" s="479"/>
      <c r="F191" s="480"/>
      <c r="G191" s="481"/>
      <c r="H191" s="481"/>
      <c r="I191" s="481"/>
      <c r="J191" s="479"/>
      <c r="K191" s="480"/>
      <c r="L191" s="479"/>
      <c r="M191" s="29"/>
      <c r="N191" s="30"/>
      <c r="O191" s="31"/>
      <c r="P191" s="37"/>
      <c r="Q191" s="37"/>
      <c r="R191" s="37"/>
    </row>
    <row r="192" spans="1:18" ht="69.95" customHeight="1">
      <c r="A192" s="478">
        <v>189</v>
      </c>
      <c r="B192" s="478"/>
      <c r="C192" s="479"/>
      <c r="D192" s="479"/>
      <c r="E192" s="479"/>
      <c r="F192" s="480"/>
      <c r="G192" s="481"/>
      <c r="H192" s="481"/>
      <c r="I192" s="481"/>
      <c r="J192" s="479"/>
      <c r="K192" s="480"/>
      <c r="L192" s="479"/>
      <c r="M192" s="29"/>
      <c r="N192" s="30"/>
      <c r="O192" s="31"/>
      <c r="P192" s="37"/>
      <c r="Q192" s="37"/>
      <c r="R192" s="37"/>
    </row>
    <row r="193" spans="1:18" ht="69.95" customHeight="1">
      <c r="A193" s="478">
        <v>190</v>
      </c>
      <c r="B193" s="478"/>
      <c r="C193" s="479"/>
      <c r="D193" s="479"/>
      <c r="E193" s="479"/>
      <c r="F193" s="480"/>
      <c r="G193" s="481"/>
      <c r="H193" s="481"/>
      <c r="I193" s="481"/>
      <c r="J193" s="479"/>
      <c r="K193" s="480"/>
      <c r="L193" s="479"/>
      <c r="M193" s="29"/>
      <c r="N193" s="30"/>
      <c r="O193" s="31"/>
      <c r="P193" s="37"/>
      <c r="Q193" s="37"/>
      <c r="R193" s="37"/>
    </row>
    <row r="194" spans="1:18" ht="69.95" customHeight="1">
      <c r="A194" s="478">
        <v>191</v>
      </c>
      <c r="B194" s="478"/>
      <c r="C194" s="479"/>
      <c r="D194" s="479"/>
      <c r="E194" s="479"/>
      <c r="F194" s="480"/>
      <c r="G194" s="481"/>
      <c r="H194" s="481"/>
      <c r="I194" s="481"/>
      <c r="J194" s="479"/>
      <c r="K194" s="480"/>
      <c r="L194" s="479"/>
      <c r="M194" s="29"/>
      <c r="N194" s="30"/>
      <c r="O194" s="31"/>
      <c r="P194" s="37"/>
      <c r="Q194" s="37"/>
      <c r="R194" s="37"/>
    </row>
    <row r="195" spans="1:18" ht="69.95" customHeight="1">
      <c r="A195" s="478">
        <v>192</v>
      </c>
      <c r="B195" s="478"/>
      <c r="C195" s="479"/>
      <c r="D195" s="479"/>
      <c r="E195" s="479"/>
      <c r="F195" s="480"/>
      <c r="G195" s="481"/>
      <c r="H195" s="481"/>
      <c r="I195" s="481"/>
      <c r="J195" s="479"/>
      <c r="K195" s="480"/>
      <c r="L195" s="479"/>
      <c r="M195" s="29"/>
      <c r="N195" s="30"/>
      <c r="O195" s="31"/>
      <c r="P195" s="37"/>
      <c r="Q195" s="37"/>
      <c r="R195" s="37"/>
    </row>
    <row r="196" spans="1:18" ht="69.95" customHeight="1">
      <c r="A196" s="478">
        <v>193</v>
      </c>
      <c r="B196" s="478"/>
      <c r="C196" s="479"/>
      <c r="D196" s="479"/>
      <c r="E196" s="479"/>
      <c r="F196" s="480"/>
      <c r="G196" s="481"/>
      <c r="H196" s="481"/>
      <c r="I196" s="481"/>
      <c r="J196" s="479"/>
      <c r="K196" s="480"/>
      <c r="L196" s="479"/>
      <c r="M196" s="29"/>
      <c r="N196" s="30"/>
      <c r="O196" s="31"/>
      <c r="P196" s="37"/>
      <c r="Q196" s="37"/>
      <c r="R196" s="37"/>
    </row>
    <row r="197" spans="1:18" ht="69.95" customHeight="1">
      <c r="A197" s="478">
        <v>194</v>
      </c>
      <c r="B197" s="478"/>
      <c r="C197" s="479"/>
      <c r="D197" s="479"/>
      <c r="E197" s="479"/>
      <c r="F197" s="480"/>
      <c r="G197" s="481"/>
      <c r="H197" s="481"/>
      <c r="I197" s="481"/>
      <c r="J197" s="479"/>
      <c r="K197" s="480"/>
      <c r="L197" s="479"/>
      <c r="M197" s="29"/>
      <c r="N197" s="30"/>
      <c r="O197" s="31"/>
      <c r="P197" s="37"/>
      <c r="Q197" s="37"/>
      <c r="R197" s="37"/>
    </row>
    <row r="198" spans="1:18" ht="69.95" customHeight="1">
      <c r="A198" s="478">
        <v>195</v>
      </c>
      <c r="B198" s="478"/>
      <c r="C198" s="479"/>
      <c r="D198" s="479"/>
      <c r="E198" s="479"/>
      <c r="F198" s="480"/>
      <c r="G198" s="481"/>
      <c r="H198" s="481"/>
      <c r="I198" s="481"/>
      <c r="J198" s="479"/>
      <c r="K198" s="480"/>
      <c r="L198" s="479"/>
      <c r="M198" s="29"/>
      <c r="N198" s="30"/>
      <c r="O198" s="31"/>
      <c r="P198" s="37"/>
      <c r="Q198" s="37"/>
      <c r="R198" s="37"/>
    </row>
    <row r="199" spans="1:18" ht="69.95" customHeight="1">
      <c r="A199" s="478">
        <v>196</v>
      </c>
      <c r="B199" s="478"/>
      <c r="C199" s="479"/>
      <c r="D199" s="479"/>
      <c r="E199" s="479"/>
      <c r="F199" s="480"/>
      <c r="G199" s="481"/>
      <c r="H199" s="481"/>
      <c r="I199" s="481"/>
      <c r="J199" s="479"/>
      <c r="K199" s="480"/>
      <c r="L199" s="479"/>
      <c r="M199" s="29"/>
      <c r="N199" s="30"/>
      <c r="O199" s="31"/>
      <c r="P199" s="37"/>
      <c r="Q199" s="37"/>
      <c r="R199" s="37"/>
    </row>
    <row r="200" spans="1:18" ht="69.95" customHeight="1">
      <c r="A200" s="478">
        <v>197</v>
      </c>
      <c r="B200" s="478"/>
      <c r="C200" s="479"/>
      <c r="D200" s="479"/>
      <c r="E200" s="479"/>
      <c r="F200" s="480"/>
      <c r="G200" s="481"/>
      <c r="H200" s="481"/>
      <c r="I200" s="481"/>
      <c r="J200" s="479"/>
      <c r="K200" s="480"/>
      <c r="L200" s="479"/>
      <c r="M200" s="29"/>
      <c r="N200" s="30"/>
      <c r="O200" s="31"/>
      <c r="P200" s="37"/>
      <c r="Q200" s="37"/>
      <c r="R200" s="37"/>
    </row>
    <row r="201" spans="1:18" ht="69.95" customHeight="1">
      <c r="A201" s="478">
        <v>198</v>
      </c>
      <c r="B201" s="478"/>
      <c r="C201" s="479"/>
      <c r="D201" s="479"/>
      <c r="E201" s="479"/>
      <c r="F201" s="480"/>
      <c r="G201" s="481"/>
      <c r="H201" s="481"/>
      <c r="I201" s="481"/>
      <c r="J201" s="479"/>
      <c r="K201" s="480"/>
      <c r="L201" s="479"/>
      <c r="M201" s="29"/>
      <c r="N201" s="30"/>
      <c r="O201" s="31"/>
      <c r="P201" s="37"/>
      <c r="Q201" s="37"/>
      <c r="R201" s="37"/>
    </row>
    <row r="202" spans="1:18" ht="69.95" customHeight="1">
      <c r="A202" s="478">
        <v>199</v>
      </c>
      <c r="B202" s="478"/>
      <c r="C202" s="479"/>
      <c r="D202" s="479"/>
      <c r="E202" s="479"/>
      <c r="F202" s="480"/>
      <c r="G202" s="481"/>
      <c r="H202" s="481"/>
      <c r="I202" s="481"/>
      <c r="J202" s="479"/>
      <c r="K202" s="480"/>
      <c r="L202" s="479"/>
      <c r="M202" s="29"/>
      <c r="N202" s="30"/>
      <c r="O202" s="31"/>
      <c r="P202" s="37"/>
      <c r="Q202" s="37"/>
      <c r="R202" s="37"/>
    </row>
    <row r="203" spans="1:18" ht="69.95" customHeight="1">
      <c r="A203" s="478">
        <v>200</v>
      </c>
      <c r="B203" s="478"/>
      <c r="C203" s="479"/>
      <c r="D203" s="479"/>
      <c r="E203" s="479"/>
      <c r="F203" s="480"/>
      <c r="G203" s="481"/>
      <c r="H203" s="481"/>
      <c r="I203" s="481"/>
      <c r="J203" s="479"/>
      <c r="K203" s="480"/>
      <c r="L203" s="479"/>
      <c r="M203" s="29"/>
      <c r="N203" s="30"/>
      <c r="O203" s="31"/>
      <c r="P203" s="37"/>
      <c r="Q203" s="37"/>
      <c r="R203" s="37"/>
    </row>
    <row r="204" spans="1:18">
      <c r="A204" s="45"/>
      <c r="B204" s="45"/>
      <c r="C204" s="46"/>
      <c r="D204" s="47"/>
      <c r="E204" s="48"/>
      <c r="F204" s="48"/>
      <c r="G204" s="48"/>
      <c r="H204" s="48"/>
      <c r="I204" s="48"/>
      <c r="J204" s="48"/>
      <c r="K204" s="48"/>
      <c r="L204" s="48"/>
      <c r="M204" s="37"/>
      <c r="N204" s="37"/>
      <c r="O204" s="37"/>
      <c r="P204" s="37"/>
      <c r="Q204" s="37"/>
      <c r="R204" s="37"/>
    </row>
    <row r="205" spans="1:18" ht="15" customHeight="1">
      <c r="A205" s="37"/>
      <c r="B205" s="37"/>
      <c r="C205" s="37"/>
      <c r="D205" s="37"/>
      <c r="E205" s="37"/>
      <c r="F205" s="37"/>
      <c r="G205" s="37"/>
      <c r="H205" s="37"/>
      <c r="I205" s="37"/>
      <c r="J205" s="37"/>
      <c r="K205" s="37"/>
      <c r="L205" s="37"/>
      <c r="M205" s="37"/>
      <c r="N205" s="37"/>
      <c r="O205" s="37"/>
      <c r="P205" s="37"/>
      <c r="Q205" s="37"/>
      <c r="R205" s="37"/>
    </row>
    <row r="206" spans="1:18">
      <c r="A206" s="37"/>
      <c r="B206" s="37"/>
      <c r="C206" s="37"/>
      <c r="D206" s="37"/>
      <c r="E206" s="37"/>
      <c r="F206" s="37"/>
      <c r="G206" s="37"/>
      <c r="H206" s="37"/>
      <c r="I206" s="37"/>
      <c r="J206" s="37"/>
      <c r="K206" s="37"/>
      <c r="L206" s="37"/>
      <c r="M206" s="37"/>
      <c r="N206" s="37"/>
      <c r="O206" s="37"/>
      <c r="P206" s="37"/>
      <c r="Q206" s="37"/>
      <c r="R206" s="37"/>
    </row>
    <row r="207" spans="1:18" hidden="1"/>
    <row r="208" spans="1:1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M1:N1"/>
    <mergeCell ref="O2:O3"/>
    <mergeCell ref="B1:L1"/>
    <mergeCell ref="M2:N2"/>
  </mergeCells>
  <conditionalFormatting sqref="M3:N3">
    <cfRule type="cellIs" dxfId="261" priority="3" stopIfTrue="1" operator="equal">
      <formula>0</formula>
    </cfRule>
  </conditionalFormatting>
  <dataValidations count="2">
    <dataValidation type="list" allowBlank="1" showInputMessage="1" showErrorMessage="1" sqref="J4:J203">
      <formula1>"M, F"</formula1>
    </dataValidation>
    <dataValidation type="list" allowBlank="1" showInputMessage="1" showErrorMessage="1" sqref="L4:L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dimension ref="A1:DV237"/>
  <sheetViews>
    <sheetView showGridLines="0" zoomScale="90" zoomScaleNormal="90" workbookViewId="0">
      <pane xSplit="11" ySplit="6" topLeftCell="L7" activePane="bottomRight" state="frozen"/>
      <selection pane="topRight" activeCell="J1" sqref="J1"/>
      <selection pane="bottomLeft" activeCell="A8" sqref="A8"/>
      <selection pane="bottomRight" activeCell="L7" sqref="L7"/>
    </sheetView>
  </sheetViews>
  <sheetFormatPr defaultColWidth="0" defaultRowHeight="20.25" zeroHeight="1"/>
  <cols>
    <col min="1" max="1" width="5.75" style="734" customWidth="1"/>
    <col min="2" max="4" width="9" style="734" customWidth="1"/>
    <col min="5" max="5" width="8.25" style="734" customWidth="1"/>
    <col min="6" max="6" width="13.875" style="734" customWidth="1"/>
    <col min="7" max="7" width="22.25" style="734" customWidth="1"/>
    <col min="8" max="8" width="22.5" style="734" customWidth="1"/>
    <col min="9" max="9" width="22" style="734" customWidth="1"/>
    <col min="10" max="10" width="5.875" style="734" customWidth="1"/>
    <col min="11" max="11" width="4.375" style="734" customWidth="1"/>
    <col min="12" max="21" width="5.75" style="734" customWidth="1"/>
    <col min="22" max="22" width="6.25" style="734" customWidth="1"/>
    <col min="23" max="32" width="5.75" style="734" customWidth="1"/>
    <col min="33" max="33" width="5.875" style="734" customWidth="1"/>
    <col min="34" max="42" width="5.75" style="734" customWidth="1"/>
    <col min="43" max="43" width="6.75" style="734" customWidth="1"/>
    <col min="44" max="50" width="5.75" style="734" customWidth="1"/>
    <col min="51" max="62" width="6.125" style="734" customWidth="1"/>
    <col min="63" max="72" width="5.875" style="734" customWidth="1"/>
    <col min="73" max="75" width="7.625" style="734" customWidth="1"/>
    <col min="76" max="78" width="6.625" style="734" customWidth="1"/>
    <col min="79" max="79" width="3.75" style="734" customWidth="1"/>
    <col min="80" max="82" width="5.75" style="734" hidden="1" customWidth="1"/>
    <col min="83" max="126" width="25.875" style="734" hidden="1" customWidth="1"/>
    <col min="127" max="16384" width="5.75" style="734" hidden="1"/>
  </cols>
  <sheetData>
    <row r="1" spans="1:83" ht="30" customHeight="1" thickTop="1" thickBot="1">
      <c r="A1" s="1054" t="str">
        <f>IF('School Profile'!D12="Hindi",'School Profile'!D9,'School Profile'!D8)</f>
        <v xml:space="preserve">महात्मा गाँधी राजकीय विद्यालय (अंग्रेजी माध्यम) बर, पाली </v>
      </c>
      <c r="B1" s="1055"/>
      <c r="C1" s="1055"/>
      <c r="D1" s="1055"/>
      <c r="E1" s="1055"/>
      <c r="F1" s="1055"/>
      <c r="G1" s="1055"/>
      <c r="H1" s="1055"/>
      <c r="I1" s="1056"/>
      <c r="J1" s="1017"/>
      <c r="K1" s="1018"/>
      <c r="L1" s="975" t="str">
        <f>IF('School Profile'!$D$12="Hindi","मुख्य 6 विषयों के अंकों की प्रविष्टि","Main 6 Subject Mark Entry")</f>
        <v>मुख्य 6 विषयों के अंकों की प्रविष्टि</v>
      </c>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6"/>
      <c r="AM1" s="976"/>
      <c r="AN1" s="976"/>
      <c r="AO1" s="976"/>
      <c r="AP1" s="976"/>
      <c r="AQ1" s="1044" t="str">
        <f>IF('School Profile'!$D$12="Hindi","व्यावसायिक शिक्षा के विषयाध्यापक के नाम ","Vocational Subject's Teacher Name")</f>
        <v xml:space="preserve">व्यावसायिक शिक्षा के विषयाध्यापक के नाम </v>
      </c>
      <c r="AR1" s="1045"/>
      <c r="AS1" s="1045"/>
      <c r="AT1" s="1045"/>
      <c r="AU1" s="1045"/>
      <c r="AV1" s="1045"/>
      <c r="AW1" s="1045"/>
      <c r="AX1" s="1045"/>
      <c r="AY1" s="1036" t="str">
        <f>IF('School Profile'!D12="Hindi","अतिरिक्त विषयों के परीक्षा परिणाम एंट्री","Additional Subjects Result Entry")</f>
        <v>अतिरिक्त विषयों के परीक्षा परिणाम एंट्री</v>
      </c>
      <c r="AZ1" s="1037"/>
      <c r="BA1" s="1037"/>
      <c r="BB1" s="1037"/>
      <c r="BC1" s="1037"/>
      <c r="BD1" s="1037"/>
      <c r="BE1" s="1037"/>
      <c r="BF1" s="1037"/>
      <c r="BG1" s="1037"/>
      <c r="BH1" s="1037"/>
      <c r="BI1" s="1037"/>
      <c r="BJ1" s="1037"/>
      <c r="BK1" s="1037"/>
      <c r="BL1" s="1037"/>
      <c r="BM1" s="1037"/>
      <c r="BN1" s="1037"/>
      <c r="BO1" s="1037"/>
      <c r="BP1" s="1037"/>
      <c r="BQ1" s="1037"/>
      <c r="BR1" s="1037"/>
      <c r="BS1" s="1037"/>
      <c r="BT1" s="1037"/>
      <c r="BU1" s="1037"/>
      <c r="BV1" s="1037"/>
      <c r="BW1" s="1037"/>
      <c r="BX1" s="1037"/>
      <c r="BY1" s="1037"/>
      <c r="BZ1" s="1038"/>
      <c r="CA1" s="733"/>
    </row>
    <row r="2" spans="1:83" ht="34.5" customHeight="1" thickTop="1" thickBot="1">
      <c r="A2" s="1058" t="str">
        <f>IF('School Profile'!D12="Hindi","रिजल्ट वर्कशीट","RESULT WORKSHEET")</f>
        <v>रिजल्ट वर्कशीट</v>
      </c>
      <c r="B2" s="1059"/>
      <c r="C2" s="1059"/>
      <c r="D2" s="1059"/>
      <c r="E2" s="1059"/>
      <c r="F2" s="1059"/>
      <c r="G2" s="1059"/>
      <c r="H2" s="1059"/>
      <c r="I2" s="1060"/>
      <c r="J2" s="1019"/>
      <c r="K2" s="1020"/>
      <c r="L2" s="1021" t="str">
        <f>'School Profile'!G7</f>
        <v>हिंदी</v>
      </c>
      <c r="M2" s="1022"/>
      <c r="N2" s="1022"/>
      <c r="O2" s="1022"/>
      <c r="P2" s="1022"/>
      <c r="Q2" s="1015" t="str">
        <f>'School Profile'!G8</f>
        <v>अंग्रेजी</v>
      </c>
      <c r="R2" s="1016"/>
      <c r="S2" s="1016"/>
      <c r="T2" s="1016"/>
      <c r="U2" s="1016"/>
      <c r="V2" s="999" t="str">
        <f>'School Profile'!G9</f>
        <v>तृतीय भाषा</v>
      </c>
      <c r="W2" s="1000"/>
      <c r="X2" s="1000"/>
      <c r="Y2" s="1000"/>
      <c r="Z2" s="1000"/>
      <c r="AA2" s="1000"/>
      <c r="AB2" s="1001" t="str">
        <f>'School Profile'!G15</f>
        <v>गणित</v>
      </c>
      <c r="AC2" s="1002"/>
      <c r="AD2" s="1002"/>
      <c r="AE2" s="1002"/>
      <c r="AF2" s="1002"/>
      <c r="AG2" s="994" t="str">
        <f>'School Profile'!G16</f>
        <v>विज्ञान</v>
      </c>
      <c r="AH2" s="995"/>
      <c r="AI2" s="995"/>
      <c r="AJ2" s="995"/>
      <c r="AK2" s="995"/>
      <c r="AL2" s="1034" t="str">
        <f>'School Profile'!G17</f>
        <v>सामाजिक विज्ञान</v>
      </c>
      <c r="AM2" s="1035"/>
      <c r="AN2" s="1035"/>
      <c r="AO2" s="1035"/>
      <c r="AP2" s="1035"/>
      <c r="AQ2" s="1039" t="s">
        <v>171</v>
      </c>
      <c r="AR2" s="1040"/>
      <c r="AS2" s="1040"/>
      <c r="AT2" s="1040"/>
      <c r="AU2" s="1040"/>
      <c r="AV2" s="1040"/>
      <c r="AW2" s="1040"/>
      <c r="AX2" s="1041"/>
      <c r="AY2" s="1005" t="str">
        <f>'School Profile'!G18</f>
        <v>राजस्थान का स्वंत्रता आन्दोलन व शोर्य परम्परा</v>
      </c>
      <c r="AZ2" s="1006"/>
      <c r="BA2" s="1006"/>
      <c r="BB2" s="1006"/>
      <c r="BC2" s="1006"/>
      <c r="BD2" s="1005" t="str">
        <f>'School Profile'!G19</f>
        <v>सूचना प्रोद्योगिकी की अवधारणा - I</v>
      </c>
      <c r="BE2" s="1006"/>
      <c r="BF2" s="1006"/>
      <c r="BG2" s="1006"/>
      <c r="BH2" s="1006"/>
      <c r="BI2" s="1006"/>
      <c r="BJ2" s="1006"/>
      <c r="BK2" s="1046" t="str">
        <f>'School Profile'!G20</f>
        <v>स्वा. एवं शा. शिक्षा</v>
      </c>
      <c r="BL2" s="1047"/>
      <c r="BM2" s="1047"/>
      <c r="BN2" s="1047"/>
      <c r="BO2" s="1047"/>
      <c r="BP2" s="1047"/>
      <c r="BQ2" s="1047"/>
      <c r="BR2" s="1047"/>
      <c r="BS2" s="1047"/>
      <c r="BT2" s="1047"/>
      <c r="BU2" s="1005" t="str">
        <f>'School Profile'!G21</f>
        <v>समाजोपयोगी उत्पादन कार्य एवं समाज सेवा</v>
      </c>
      <c r="BV2" s="1006"/>
      <c r="BW2" s="1006"/>
      <c r="BX2" s="1005" t="str">
        <f>'School Profile'!G22</f>
        <v>कला शिक्षा</v>
      </c>
      <c r="BY2" s="1006"/>
      <c r="BZ2" s="1050"/>
      <c r="CA2" s="733"/>
    </row>
    <row r="3" spans="1:83" ht="26.25" customHeight="1" thickTop="1" thickBot="1">
      <c r="A3" s="456"/>
      <c r="B3" s="457"/>
      <c r="C3" s="1057" t="str">
        <f>IF('School Profile'!$D$12="Hindi","विद्यार्थी की सामान्य जानकारी","General Information of Students")</f>
        <v>विद्यार्थी की सामान्य जानकारी</v>
      </c>
      <c r="D3" s="1057"/>
      <c r="E3" s="1057"/>
      <c r="F3" s="1057"/>
      <c r="G3" s="1057"/>
      <c r="H3" s="458" t="str">
        <f>IF('School Profile'!D12="Hindi","सत्र  :-","Session :-")</f>
        <v>सत्र  :-</v>
      </c>
      <c r="I3" s="824" t="str">
        <f>IF('School Profile'!D13="","",'School Profile'!D13)</f>
        <v>2025-2026</v>
      </c>
      <c r="J3" s="1008" t="str">
        <f>IF('School Profile'!D12="Hindi","वर्ग  ","Category")</f>
        <v xml:space="preserve">वर्ग  </v>
      </c>
      <c r="K3" s="1013" t="str">
        <f>IF('School Profile'!$D$12="Hindi","लिंग ","Gender")</f>
        <v xml:space="preserve">लिंग </v>
      </c>
      <c r="L3" s="1025" t="str">
        <f>IF('School Profile'!J7="","",'School Profile'!J7)</f>
        <v>Radheshyam</v>
      </c>
      <c r="M3" s="1026"/>
      <c r="N3" s="1026"/>
      <c r="O3" s="1026"/>
      <c r="P3" s="1026"/>
      <c r="Q3" s="1010" t="str">
        <f>IF('School Profile'!J8="","",'School Profile'!J8)</f>
        <v>Heeralal Jat</v>
      </c>
      <c r="R3" s="1011"/>
      <c r="S3" s="1011"/>
      <c r="T3" s="1011"/>
      <c r="U3" s="1012"/>
      <c r="V3" s="1003" t="str">
        <f>IF('School Profile'!J9="","",'School Profile'!J9)</f>
        <v>Suresh kumar Singariya</v>
      </c>
      <c r="W3" s="1004"/>
      <c r="X3" s="1004"/>
      <c r="Y3" s="1004"/>
      <c r="Z3" s="1004"/>
      <c r="AA3" s="1004"/>
      <c r="AB3" s="992" t="str">
        <f>IF('School Profile'!J15="","",'School Profile'!J15)</f>
        <v>Yogendra</v>
      </c>
      <c r="AC3" s="993"/>
      <c r="AD3" s="993"/>
      <c r="AE3" s="993"/>
      <c r="AF3" s="993"/>
      <c r="AG3" s="1064" t="str">
        <f>IF('School Profile'!J16="","",'School Profile'!J16)</f>
        <v>Rakesh kumar Sharma</v>
      </c>
      <c r="AH3" s="1065"/>
      <c r="AI3" s="1065"/>
      <c r="AJ3" s="1065"/>
      <c r="AK3" s="1065"/>
      <c r="AL3" s="1066" t="str">
        <f>IF('School Profile'!J17="","",'School Profile'!J17)</f>
        <v>Sharad Sharma</v>
      </c>
      <c r="AM3" s="1067"/>
      <c r="AN3" s="1067"/>
      <c r="AO3" s="1067"/>
      <c r="AP3" s="1067"/>
      <c r="AQ3" s="1039" t="s">
        <v>172</v>
      </c>
      <c r="AR3" s="1042"/>
      <c r="AS3" s="1042"/>
      <c r="AT3" s="1042"/>
      <c r="AU3" s="1040"/>
      <c r="AV3" s="1040"/>
      <c r="AW3" s="1040"/>
      <c r="AX3" s="1043"/>
      <c r="AY3" s="1007" t="str">
        <f>IF('School Profile'!J18="","",'School Profile'!J18)</f>
        <v>Lalit Kumar</v>
      </c>
      <c r="AZ3" s="1007"/>
      <c r="BA3" s="1007"/>
      <c r="BB3" s="1007"/>
      <c r="BC3" s="1007"/>
      <c r="BD3" s="1007" t="str">
        <f>IF('School Profile'!J19="","",'School Profile'!J19)</f>
        <v>Ghanshyam Singh</v>
      </c>
      <c r="BE3" s="1007"/>
      <c r="BF3" s="1007"/>
      <c r="BG3" s="1051"/>
      <c r="BH3" s="1051"/>
      <c r="BI3" s="1007"/>
      <c r="BJ3" s="1007"/>
      <c r="BK3" s="1048" t="str">
        <f>IF('School Profile'!J20="","",'School Profile'!J20)</f>
        <v>Lalit Kumar</v>
      </c>
      <c r="BL3" s="1048"/>
      <c r="BM3" s="1048"/>
      <c r="BN3" s="1048"/>
      <c r="BO3" s="1048"/>
      <c r="BP3" s="1048"/>
      <c r="BQ3" s="1049"/>
      <c r="BR3" s="1049"/>
      <c r="BS3" s="1049"/>
      <c r="BT3" s="1049"/>
      <c r="BU3" s="1051" t="str">
        <f>IF('School Profile'!J21="","",'School Profile'!J21)</f>
        <v>Mukesh Kumar</v>
      </c>
      <c r="BV3" s="1051"/>
      <c r="BW3" s="1051"/>
      <c r="BX3" s="1051" t="str">
        <f>IF('School Profile'!J22="","",'School Profile'!J22)</f>
        <v>Sharda Choudhary</v>
      </c>
      <c r="BY3" s="1007"/>
      <c r="BZ3" s="1051"/>
      <c r="CA3" s="733"/>
      <c r="CE3" s="735" t="s">
        <v>12</v>
      </c>
    </row>
    <row r="4" spans="1:83" ht="30.75" customHeight="1" thickTop="1" thickBot="1">
      <c r="A4" s="1008" t="str">
        <f>IF('School Profile'!$D$12="Hindi",'Student DATA Entry'!A3,'Student DATA Entry'!A2)</f>
        <v xml:space="preserve">क्र. स. </v>
      </c>
      <c r="B4" s="1008" t="str">
        <f>IF('School Profile'!$D$12="Hindi",'Student DATA Entry'!B3,'Student DATA Entry'!B2)</f>
        <v>रोल न.</v>
      </c>
      <c r="C4" s="1008" t="str">
        <f>IF('School Profile'!$D$12="Hindi",'Student DATA Entry'!C3,'Student DATA Entry'!C2)</f>
        <v xml:space="preserve">कक्षा </v>
      </c>
      <c r="D4" s="1008" t="str">
        <f>IF('School Profile'!$D$12="Hindi",'Student DATA Entry'!D3,'Student DATA Entry'!D2)</f>
        <v>सेक्शन</v>
      </c>
      <c r="E4" s="1008" t="str">
        <f>IF('School Profile'!$D$12="Hindi",'Student DATA Entry'!E3,'Student DATA Entry'!E2)</f>
        <v>प्रवेशांक</v>
      </c>
      <c r="F4" s="1008" t="str">
        <f>IF('School Profile'!$D$12="Hindi",'Student DATA Entry'!K3,'Student DATA Entry'!K2)</f>
        <v xml:space="preserve">जन्मतिथि </v>
      </c>
      <c r="G4" s="1061" t="str">
        <f>IF('School Profile'!$D$12="Hindi",'Student DATA Entry'!G3,'Student DATA Entry'!G2)</f>
        <v xml:space="preserve">विद्यार्थी का नाम </v>
      </c>
      <c r="H4" s="1061" t="str">
        <f>IF('School Profile'!$D$12="Hindi",'Student DATA Entry'!H3,'Student DATA Entry'!H2)</f>
        <v xml:space="preserve">पिता का नाम </v>
      </c>
      <c r="I4" s="1061" t="str">
        <f>IF('School Profile'!$D$12="Hindi",'Student DATA Entry'!I3,'Student DATA Entry'!I2)</f>
        <v xml:space="preserve">माता का नाम </v>
      </c>
      <c r="J4" s="1008"/>
      <c r="K4" s="1013"/>
      <c r="L4" s="1023" t="str">
        <f>IF('School Profile'!$D$12="Hindi","सामयिक परख","Seasonal Exam")</f>
        <v>सामयिक परख</v>
      </c>
      <c r="M4" s="1024"/>
      <c r="N4" s="1024"/>
      <c r="O4" s="965" t="str">
        <f>IF('School Profile'!$D$12="Hindi","अर्द्धवार्षिक","Half Yearly")</f>
        <v>अर्द्धवार्षिक</v>
      </c>
      <c r="P4" s="966" t="str">
        <f>IF('School Profile'!$D$12="Hindi","वार्षिक","Yearly")</f>
        <v>वार्षिक</v>
      </c>
      <c r="Q4" s="977" t="str">
        <f>IF('School Profile'!$D$12="Hindi","सामयिक परख","Seasonal Exam")</f>
        <v>सामयिक परख</v>
      </c>
      <c r="R4" s="978"/>
      <c r="S4" s="979"/>
      <c r="T4" s="968" t="str">
        <f>IF('School Profile'!$D$12="Hindi","अर्द्धवार्षिक","Half Yearly")</f>
        <v>अर्द्धवार्षिक</v>
      </c>
      <c r="U4" s="968" t="str">
        <f>IF('School Profile'!$D$12="Hindi","वार्षिक","Yearly")</f>
        <v>वार्षिक</v>
      </c>
      <c r="V4" s="989" t="str">
        <f>IF('School Profile'!$D$12="Hindi","विषय कोड","Subject Code")</f>
        <v>विषय कोड</v>
      </c>
      <c r="W4" s="980" t="str">
        <f>IF('School Profile'!$D$12="Hindi","सामयिक परख","Seasonal Exam")</f>
        <v>सामयिक परख</v>
      </c>
      <c r="X4" s="981"/>
      <c r="Y4" s="982"/>
      <c r="Z4" s="969" t="str">
        <f>IF('School Profile'!$D$12="Hindi","अर्द्धवार्षिक","Half Yearly")</f>
        <v>अर्द्धवार्षिक</v>
      </c>
      <c r="AA4" s="969" t="str">
        <f>IF('School Profile'!$D$12="Hindi","वार्षिक","Yearly")</f>
        <v>वार्षिक</v>
      </c>
      <c r="AB4" s="983" t="str">
        <f>IF('School Profile'!$D$12="Hindi","सामयिक परख","Seasonal Exam")</f>
        <v>सामयिक परख</v>
      </c>
      <c r="AC4" s="984"/>
      <c r="AD4" s="985"/>
      <c r="AE4" s="970" t="str">
        <f>IF('School Profile'!$D$12="Hindi","अर्द्धवार्षिक","Half Yearly")</f>
        <v>अर्द्धवार्षिक</v>
      </c>
      <c r="AF4" s="970" t="str">
        <f>IF('School Profile'!$D$12="Hindi","वार्षिक","Yearly")</f>
        <v>वार्षिक</v>
      </c>
      <c r="AG4" s="986" t="str">
        <f>IF('School Profile'!$D$12="Hindi","सामयिक परख","Seasonal Exam")</f>
        <v>सामयिक परख</v>
      </c>
      <c r="AH4" s="987"/>
      <c r="AI4" s="988"/>
      <c r="AJ4" s="971" t="str">
        <f>IF('School Profile'!$D$12="Hindi","अर्द्धवार्षिक","Half Yearly")</f>
        <v>अर्द्धवार्षिक</v>
      </c>
      <c r="AK4" s="971" t="str">
        <f>IF('School Profile'!$D$12="Hindi","वार्षिक","Yearly")</f>
        <v>वार्षिक</v>
      </c>
      <c r="AL4" s="996" t="str">
        <f>IF('School Profile'!$D$12="Hindi","सामयिक परख","Seasonal Exam")</f>
        <v>सामयिक परख</v>
      </c>
      <c r="AM4" s="997"/>
      <c r="AN4" s="998"/>
      <c r="AO4" s="972" t="str">
        <f>IF('School Profile'!$D$12="Hindi","अर्द्धवार्षिक","Half Yearly")</f>
        <v>अर्द्धवार्षिक</v>
      </c>
      <c r="AP4" s="972" t="str">
        <f>IF('School Profile'!$D$12="Hindi","वार्षिक","Yearly")</f>
        <v>वार्षिक</v>
      </c>
      <c r="AQ4" s="1027" t="str">
        <f>IF('School Profile'!$D$12="Hindi","विषय कोड","Subject Code")</f>
        <v>विषय कोड</v>
      </c>
      <c r="AR4" s="986" t="str">
        <f>IF('School Profile'!$D$12="Hindi","सामयिक परख","Seasonal Exam")</f>
        <v>सामयिक परख</v>
      </c>
      <c r="AS4" s="987"/>
      <c r="AT4" s="988"/>
      <c r="AU4" s="1030" t="str">
        <f>IF('School Profile'!$D$12="Hindi","अर्द्धवार्षिक","Half Yearly")</f>
        <v>अर्द्धवार्षिक</v>
      </c>
      <c r="AV4" s="1031"/>
      <c r="AW4" s="1032" t="str">
        <f>IF('School Profile'!$D$12="Hindi","वार्षिक","Yearly")</f>
        <v>वार्षिक</v>
      </c>
      <c r="AX4" s="1033"/>
      <c r="AY4" s="983" t="str">
        <f>IF('School Profile'!$D$12="Hindi","सामयिक परख","Seasonal Exam")</f>
        <v>सामयिक परख</v>
      </c>
      <c r="AZ4" s="984"/>
      <c r="BA4" s="985"/>
      <c r="BB4" s="970" t="str">
        <f>IF('School Profile'!$D$12="Hindi","अर्द्धवार्षिक","Half Yearly")</f>
        <v>अर्द्धवार्षिक</v>
      </c>
      <c r="BC4" s="970" t="str">
        <f>IF('School Profile'!$D$12="Hindi","वार्षिक","Yearly")</f>
        <v>वार्षिक</v>
      </c>
      <c r="BD4" s="983" t="str">
        <f>IF('School Profile'!$D$12="Hindi","सामयिक परख","Seasonal Exam")</f>
        <v>सामयिक परख</v>
      </c>
      <c r="BE4" s="984"/>
      <c r="BF4" s="985"/>
      <c r="BG4" s="1052" t="str">
        <f>IF('School Profile'!$D$12="Hindi","अर्द्धवार्षिक","Half Yearly")</f>
        <v>अर्द्धवार्षिक</v>
      </c>
      <c r="BH4" s="1052"/>
      <c r="BI4" s="964" t="str">
        <f>IF('School Profile'!$D$12="Hindi","वार्षिक","Yearly")</f>
        <v>वार्षिक</v>
      </c>
      <c r="BJ4" s="1053"/>
      <c r="BK4" s="1052" t="str">
        <f>IF('School Profile'!$D$12="Hindi","प्रथम परख ","First Test")</f>
        <v xml:space="preserve">प्रथम परख </v>
      </c>
      <c r="BL4" s="1052"/>
      <c r="BM4" s="1052" t="str">
        <f>IF('School Profile'!$D$12="Hindi","द्वितीय परख","Second Test")</f>
        <v>द्वितीय परख</v>
      </c>
      <c r="BN4" s="1052"/>
      <c r="BO4" s="1052" t="str">
        <f>IF('School Profile'!$D$12="Hindi","तृतीय परख","Third Test")</f>
        <v>तृतीय परख</v>
      </c>
      <c r="BP4" s="1052"/>
      <c r="BQ4" s="973" t="str">
        <f>IF('School Profile'!$D$12="Hindi","अर्द्धवार्षिक","Half Yearly")</f>
        <v>अर्द्धवार्षिक</v>
      </c>
      <c r="BR4" s="974"/>
      <c r="BS4" s="963" t="str">
        <f>IF('School Profile'!$D$12="Hindi","वार्षिक","Yearly")</f>
        <v>वार्षिक</v>
      </c>
      <c r="BT4" s="964"/>
      <c r="BU4" s="970" t="str">
        <f>IF('School Profile'!$D$12="Hindi","अनिवार्य प्रवृति","Compulsory Tendency")</f>
        <v>अनिवार्य प्रवृति</v>
      </c>
      <c r="BV4" s="970" t="str">
        <f>IF('School Profile'!$D$12="Hindi","वैकल्पिक प्रवृति","Alternative Tendency")</f>
        <v>वैकल्पिक प्रवृति</v>
      </c>
      <c r="BW4" s="970" t="str">
        <f>IF('School Profile'!$D$12="Hindi","शिविर","Camp")</f>
        <v>शिविर</v>
      </c>
      <c r="BX4" s="970" t="str">
        <f>IF('School Profile'!$D$12="Hindi","सैद्धान्तिक","Theoretical")</f>
        <v>सैद्धान्तिक</v>
      </c>
      <c r="BY4" s="970" t="str">
        <f>IF('School Profile'!$D$12="Hindi","प्रायोगिक","Practical")</f>
        <v>प्रायोगिक</v>
      </c>
      <c r="BZ4" s="970" t="str">
        <f>IF('School Profile'!$D$12="Hindi","प्रस्तुति कार्य","Presentation Work")</f>
        <v>प्रस्तुति कार्य</v>
      </c>
      <c r="CA4" s="733"/>
      <c r="CE4" s="736" t="e">
        <f>IF('School Profile'!#REF!="","",'School Profile'!#REF!)</f>
        <v>#REF!</v>
      </c>
    </row>
    <row r="5" spans="1:83" s="750" customFormat="1" ht="81" customHeight="1" thickTop="1" thickBot="1">
      <c r="A5" s="1008"/>
      <c r="B5" s="1008"/>
      <c r="C5" s="1008"/>
      <c r="D5" s="1008"/>
      <c r="E5" s="1008"/>
      <c r="F5" s="1008"/>
      <c r="G5" s="1062"/>
      <c r="H5" s="1062"/>
      <c r="I5" s="1062"/>
      <c r="J5" s="1008"/>
      <c r="K5" s="1013"/>
      <c r="L5" s="482" t="str">
        <f>IF('School Profile'!$D$12="Hindi","प्रथम परख ","First Test")</f>
        <v xml:space="preserve">प्रथम परख </v>
      </c>
      <c r="M5" s="482" t="str">
        <f>IF('School Profile'!$D$12="Hindi","द्वितीय परख","Second Test")</f>
        <v>द्वितीय परख</v>
      </c>
      <c r="N5" s="483" t="str">
        <f>IF('School Profile'!$D$12="Hindi","तृतीय परख","Third Test")</f>
        <v>तृतीय परख</v>
      </c>
      <c r="O5" s="965"/>
      <c r="P5" s="967"/>
      <c r="Q5" s="485" t="str">
        <f>IF('School Profile'!$D$12="Hindi","प्रथम परख ","First Test")</f>
        <v xml:space="preserve">प्रथम परख </v>
      </c>
      <c r="R5" s="485" t="str">
        <f>IF('School Profile'!$D$12="Hindi","द्वितीय परख","Second Test")</f>
        <v>द्वितीय परख</v>
      </c>
      <c r="S5" s="485" t="str">
        <f>IF('School Profile'!$D$12="Hindi","तृतीय परख","Third Test")</f>
        <v>तृतीय परख</v>
      </c>
      <c r="T5" s="968"/>
      <c r="U5" s="968"/>
      <c r="V5" s="990"/>
      <c r="W5" s="737" t="str">
        <f>IF('School Profile'!$D$12="Hindi","प्रथम परख ","First Test")</f>
        <v xml:space="preserve">प्रथम परख </v>
      </c>
      <c r="X5" s="738" t="str">
        <f>IF('School Profile'!$D$12="Hindi","द्वितीय परख","Second Test")</f>
        <v>द्वितीय परख</v>
      </c>
      <c r="Y5" s="738" t="str">
        <f>IF('School Profile'!$D$12="Hindi","तृतीय परख","Third Test")</f>
        <v>तृतीय परख</v>
      </c>
      <c r="Z5" s="969"/>
      <c r="AA5" s="969"/>
      <c r="AB5" s="739" t="str">
        <f>IF('School Profile'!$D$12="Hindi","प्रथम परख ","First Test")</f>
        <v xml:space="preserve">प्रथम परख </v>
      </c>
      <c r="AC5" s="740" t="str">
        <f>IF('School Profile'!$D$12="Hindi","द्वितीय परख","Second Test")</f>
        <v>द्वितीय परख</v>
      </c>
      <c r="AD5" s="740" t="str">
        <f>IF('School Profile'!$D$12="Hindi","तृतीय परख","Third Test")</f>
        <v>तृतीय परख</v>
      </c>
      <c r="AE5" s="970"/>
      <c r="AF5" s="970"/>
      <c r="AG5" s="741" t="str">
        <f>IF('School Profile'!$D$12="Hindi","प्रथम परख ","First Test")</f>
        <v xml:space="preserve">प्रथम परख </v>
      </c>
      <c r="AH5" s="742" t="str">
        <f>IF('School Profile'!$D$12="Hindi","द्वितीय परख","Second Test")</f>
        <v>द्वितीय परख</v>
      </c>
      <c r="AI5" s="742" t="str">
        <f>IF('School Profile'!$D$12="Hindi","तृतीय परख","Third Test")</f>
        <v>तृतीय परख</v>
      </c>
      <c r="AJ5" s="971"/>
      <c r="AK5" s="971"/>
      <c r="AL5" s="743" t="str">
        <f>IF('School Profile'!$D$12="Hindi","प्रथम परख ","First Test")</f>
        <v xml:space="preserve">प्रथम परख </v>
      </c>
      <c r="AM5" s="744" t="str">
        <f>IF('School Profile'!$D$12="Hindi","द्वितीय परख","Second Test")</f>
        <v>द्वितीय परख</v>
      </c>
      <c r="AN5" s="744" t="str">
        <f>IF('School Profile'!$D$12="Hindi","तृतीय परख","Third Test")</f>
        <v>तृतीय परख</v>
      </c>
      <c r="AO5" s="972"/>
      <c r="AP5" s="972"/>
      <c r="AQ5" s="1028"/>
      <c r="AR5" s="741" t="str">
        <f>IF('School Profile'!$D$12="Hindi","प्रथम परख ","First Test")</f>
        <v xml:space="preserve">प्रथम परख </v>
      </c>
      <c r="AS5" s="742" t="str">
        <f>IF('School Profile'!$D$12="Hindi","द्वितीय परख","Second Test")</f>
        <v>द्वितीय परख</v>
      </c>
      <c r="AT5" s="742" t="str">
        <f>IF('School Profile'!$D$12="Hindi","तृतीय परख","Third Test")</f>
        <v>तृतीय परख</v>
      </c>
      <c r="AU5" s="745" t="str">
        <f>IF('School Profile'!$D$12="Hindi","सैद्धान्तिक","Theoretical")</f>
        <v>सैद्धान्तिक</v>
      </c>
      <c r="AV5" s="745" t="str">
        <f>IF('School Profile'!$D$12="Hindi","प्रायोगिक","Practical")</f>
        <v>प्रायोगिक</v>
      </c>
      <c r="AW5" s="745" t="str">
        <f>IF('School Profile'!$D$12="Hindi","सैद्धान्तिक","Theoretical")</f>
        <v>सैद्धान्तिक</v>
      </c>
      <c r="AX5" s="745" t="str">
        <f>IF('School Profile'!$D$12="Hindi","प्रायोगिक","Practical")</f>
        <v>प्रायोगिक</v>
      </c>
      <c r="AY5" s="739" t="str">
        <f>IF('School Profile'!$D$12="Hindi","प्रथम परख ","First Test")</f>
        <v xml:space="preserve">प्रथम परख </v>
      </c>
      <c r="AZ5" s="740" t="str">
        <f>IF('School Profile'!$D$12="Hindi","द्वितीय परख","Second Test")</f>
        <v>द्वितीय परख</v>
      </c>
      <c r="BA5" s="740" t="str">
        <f>IF('School Profile'!$D$12="Hindi","तृतीय परख","Third Test")</f>
        <v>तृतीय परख</v>
      </c>
      <c r="BB5" s="970"/>
      <c r="BC5" s="970"/>
      <c r="BD5" s="739" t="str">
        <f>IF('School Profile'!$D$12="Hindi","प्रथम परख ","First Test")</f>
        <v xml:space="preserve">प्रथम परख </v>
      </c>
      <c r="BE5" s="740" t="str">
        <f>IF('School Profile'!$D$12="Hindi","द्वितीय परख","Second Test")</f>
        <v>द्वितीय परख</v>
      </c>
      <c r="BF5" s="740" t="str">
        <f>IF('School Profile'!$D$12="Hindi","तृतीय परख","Third Test")</f>
        <v>तृतीय परख</v>
      </c>
      <c r="BG5" s="746" t="str">
        <f>IF('School Profile'!$D$12="Hindi","सैद्धान्तिक","Theoretical")</f>
        <v>सैद्धान्तिक</v>
      </c>
      <c r="BH5" s="746" t="str">
        <f>IF('School Profile'!$D$12="Hindi","प्रायोगिक","Practical")</f>
        <v>प्रायोगिक</v>
      </c>
      <c r="BI5" s="747" t="str">
        <f>IF('School Profile'!$D$12="Hindi","सैद्धान्तिक","Theoretical")</f>
        <v>सैद्धान्तिक</v>
      </c>
      <c r="BJ5" s="747" t="str">
        <f>IF('School Profile'!$D$12="Hindi","प्रायोगिक","Practical")</f>
        <v>प्रायोगिक</v>
      </c>
      <c r="BK5" s="747" t="str">
        <f>IF('School Profile'!$D$12="Hindi","सैद्धान्तिक","Theoretical")</f>
        <v>सैद्धान्तिक</v>
      </c>
      <c r="BL5" s="747" t="str">
        <f>IF('School Profile'!$D$12="Hindi","प्रायोगिक","Practical")</f>
        <v>प्रायोगिक</v>
      </c>
      <c r="BM5" s="747" t="str">
        <f>IF('School Profile'!$D$12="Hindi","सैद्धान्तिक","Theoretical")</f>
        <v>सैद्धान्तिक</v>
      </c>
      <c r="BN5" s="747" t="str">
        <f>IF('School Profile'!$D$12="Hindi","प्रायोगिक","Practical")</f>
        <v>प्रायोगिक</v>
      </c>
      <c r="BO5" s="747" t="str">
        <f>IF('School Profile'!$D$12="Hindi","सैद्धान्तिक","Theoretical")</f>
        <v>सैद्धान्तिक</v>
      </c>
      <c r="BP5" s="747" t="str">
        <f>IF('School Profile'!$D$12="Hindi","प्रायोगिक","Practical")</f>
        <v>प्रायोगिक</v>
      </c>
      <c r="BQ5" s="747" t="str">
        <f>IF('School Profile'!$D$12="Hindi","सैद्धान्तिक","Theoretical")</f>
        <v>सैद्धान्तिक</v>
      </c>
      <c r="BR5" s="747" t="str">
        <f>IF('School Profile'!$D$12="Hindi","प्रायोगिक","Practical")</f>
        <v>प्रायोगिक</v>
      </c>
      <c r="BS5" s="747" t="str">
        <f>IF('School Profile'!$D$12="Hindi","सैद्धान्तिक","Theoretical")</f>
        <v>सैद्धान्तिक</v>
      </c>
      <c r="BT5" s="748" t="str">
        <f>IF('School Profile'!$D$12="Hindi","प्रायोगिक","Practical")</f>
        <v>प्रायोगिक</v>
      </c>
      <c r="BU5" s="970"/>
      <c r="BV5" s="970"/>
      <c r="BW5" s="970"/>
      <c r="BX5" s="970"/>
      <c r="BY5" s="970"/>
      <c r="BZ5" s="970"/>
      <c r="CA5" s="749"/>
      <c r="CE5" s="736" t="e">
        <f>IF('School Profile'!#REF!="","",'School Profile'!#REF!)</f>
        <v>#REF!</v>
      </c>
    </row>
    <row r="6" spans="1:83" ht="21" customHeight="1" thickTop="1" thickBot="1">
      <c r="A6" s="1009"/>
      <c r="B6" s="1009"/>
      <c r="C6" s="1009"/>
      <c r="D6" s="1009"/>
      <c r="E6" s="1009"/>
      <c r="F6" s="1009"/>
      <c r="G6" s="1063"/>
      <c r="H6" s="1063"/>
      <c r="I6" s="1063"/>
      <c r="J6" s="1008"/>
      <c r="K6" s="1014"/>
      <c r="L6" s="477">
        <v>10</v>
      </c>
      <c r="M6" s="477">
        <v>10</v>
      </c>
      <c r="N6" s="477">
        <v>10</v>
      </c>
      <c r="O6" s="484">
        <v>70</v>
      </c>
      <c r="P6" s="477">
        <v>100</v>
      </c>
      <c r="Q6" s="477">
        <v>10</v>
      </c>
      <c r="R6" s="477">
        <v>10</v>
      </c>
      <c r="S6" s="477">
        <v>10</v>
      </c>
      <c r="T6" s="484">
        <v>70</v>
      </c>
      <c r="U6" s="477">
        <v>100</v>
      </c>
      <c r="V6" s="991"/>
      <c r="W6" s="477">
        <v>10</v>
      </c>
      <c r="X6" s="477">
        <v>10</v>
      </c>
      <c r="Y6" s="477">
        <v>10</v>
      </c>
      <c r="Z6" s="484">
        <v>70</v>
      </c>
      <c r="AA6" s="477">
        <v>100</v>
      </c>
      <c r="AB6" s="477">
        <v>10</v>
      </c>
      <c r="AC6" s="477">
        <v>10</v>
      </c>
      <c r="AD6" s="477">
        <v>10</v>
      </c>
      <c r="AE6" s="484">
        <v>70</v>
      </c>
      <c r="AF6" s="477">
        <v>100</v>
      </c>
      <c r="AG6" s="477">
        <v>10</v>
      </c>
      <c r="AH6" s="477">
        <v>10</v>
      </c>
      <c r="AI6" s="477">
        <v>10</v>
      </c>
      <c r="AJ6" s="484">
        <v>70</v>
      </c>
      <c r="AK6" s="477">
        <v>100</v>
      </c>
      <c r="AL6" s="477">
        <v>10</v>
      </c>
      <c r="AM6" s="477">
        <v>10</v>
      </c>
      <c r="AN6" s="477">
        <v>10</v>
      </c>
      <c r="AO6" s="484">
        <v>70</v>
      </c>
      <c r="AP6" s="477">
        <v>100</v>
      </c>
      <c r="AQ6" s="1029"/>
      <c r="AR6" s="477">
        <v>10</v>
      </c>
      <c r="AS6" s="477">
        <v>10</v>
      </c>
      <c r="AT6" s="477">
        <v>10</v>
      </c>
      <c r="AU6" s="477">
        <v>35</v>
      </c>
      <c r="AV6" s="477">
        <v>35</v>
      </c>
      <c r="AW6" s="477">
        <v>50</v>
      </c>
      <c r="AX6" s="477">
        <v>50</v>
      </c>
      <c r="AY6" s="477">
        <v>10</v>
      </c>
      <c r="AZ6" s="477">
        <v>10</v>
      </c>
      <c r="BA6" s="477">
        <v>10</v>
      </c>
      <c r="BB6" s="484">
        <v>70</v>
      </c>
      <c r="BC6" s="477">
        <v>100</v>
      </c>
      <c r="BD6" s="477">
        <v>10</v>
      </c>
      <c r="BE6" s="477">
        <v>10</v>
      </c>
      <c r="BF6" s="477">
        <v>10</v>
      </c>
      <c r="BG6" s="477">
        <v>50</v>
      </c>
      <c r="BH6" s="477">
        <v>20</v>
      </c>
      <c r="BI6" s="477">
        <v>70</v>
      </c>
      <c r="BJ6" s="477">
        <v>30</v>
      </c>
      <c r="BK6" s="477">
        <v>10</v>
      </c>
      <c r="BL6" s="477">
        <v>8</v>
      </c>
      <c r="BM6" s="477">
        <v>10</v>
      </c>
      <c r="BN6" s="477">
        <v>7</v>
      </c>
      <c r="BO6" s="477">
        <v>10</v>
      </c>
      <c r="BP6" s="477">
        <v>15</v>
      </c>
      <c r="BQ6" s="477">
        <v>25</v>
      </c>
      <c r="BR6" s="477">
        <v>15</v>
      </c>
      <c r="BS6" s="477">
        <v>30</v>
      </c>
      <c r="BT6" s="477">
        <v>70</v>
      </c>
      <c r="BU6" s="484">
        <v>25</v>
      </c>
      <c r="BV6" s="484">
        <v>45</v>
      </c>
      <c r="BW6" s="484">
        <v>30</v>
      </c>
      <c r="BX6" s="484">
        <v>25</v>
      </c>
      <c r="BY6" s="477">
        <v>60</v>
      </c>
      <c r="BZ6" s="484">
        <v>15</v>
      </c>
      <c r="CA6" s="751"/>
      <c r="CE6" s="736" t="e">
        <f>IF('School Profile'!#REF!="","",'School Profile'!#REF!)</f>
        <v>#REF!</v>
      </c>
    </row>
    <row r="7" spans="1:83" ht="24.95" customHeight="1" thickTop="1">
      <c r="A7" s="464">
        <f>IF('Student DATA Entry'!A4="","",'Student DATA Entry'!A4)</f>
        <v>1</v>
      </c>
      <c r="B7" s="465">
        <f>IF('Student DATA Entry'!B4="","",'Student DATA Entry'!B4)</f>
        <v>901</v>
      </c>
      <c r="C7" s="465">
        <f>IF('Student DATA Entry'!C4="","",'Student DATA Entry'!C4)</f>
        <v>9</v>
      </c>
      <c r="D7" s="465" t="str">
        <f>IF('Student DATA Entry'!D4="","",'Student DATA Entry'!D4)</f>
        <v>A</v>
      </c>
      <c r="E7" s="465">
        <f>IF('Student DATA Entry'!E4="","",'Student DATA Entry'!E4)</f>
        <v>521</v>
      </c>
      <c r="F7" s="466">
        <f>IF('Student DATA Entry'!K4="","",'Student DATA Entry'!K4)</f>
        <v>40461</v>
      </c>
      <c r="G7" s="461" t="str">
        <f>IF('Student DATA Entry'!G4="","",UPPER('Student DATA Entry'!G4))</f>
        <v>RAHUL JAT</v>
      </c>
      <c r="H7" s="461" t="str">
        <f>IF('Student DATA Entry'!H4="","",UPPER('Student DATA Entry'!H4))</f>
        <v>HL JAT</v>
      </c>
      <c r="I7" s="461" t="str">
        <f>IF('Student DATA Entry'!I4="","",UPPER('Student DATA Entry'!I4))</f>
        <v>LALI</v>
      </c>
      <c r="J7" s="825" t="str">
        <f>IF('Student DATA Entry'!L4="","",UPPER('Student DATA Entry'!L4))</f>
        <v>OBC</v>
      </c>
      <c r="K7" s="467" t="str">
        <f>IF('Student DATA Entry'!J4="","",UPPER('Student DATA Entry'!J4))</f>
        <v>M</v>
      </c>
      <c r="L7" s="486">
        <v>8</v>
      </c>
      <c r="M7" s="487">
        <v>10</v>
      </c>
      <c r="N7" s="487">
        <v>8</v>
      </c>
      <c r="O7" s="488">
        <v>46</v>
      </c>
      <c r="P7" s="490">
        <v>70</v>
      </c>
      <c r="Q7" s="486">
        <v>8</v>
      </c>
      <c r="R7" s="487">
        <v>10</v>
      </c>
      <c r="S7" s="487">
        <v>10</v>
      </c>
      <c r="T7" s="488">
        <v>46</v>
      </c>
      <c r="U7" s="490">
        <v>70</v>
      </c>
      <c r="V7" s="498">
        <v>1</v>
      </c>
      <c r="W7" s="499">
        <v>8</v>
      </c>
      <c r="X7" s="487">
        <v>7</v>
      </c>
      <c r="Y7" s="487">
        <v>10</v>
      </c>
      <c r="Z7" s="488">
        <v>46</v>
      </c>
      <c r="AA7" s="490">
        <v>70</v>
      </c>
      <c r="AB7" s="486">
        <v>8</v>
      </c>
      <c r="AC7" s="487">
        <v>10</v>
      </c>
      <c r="AD7" s="487">
        <v>8</v>
      </c>
      <c r="AE7" s="488">
        <v>46</v>
      </c>
      <c r="AF7" s="490">
        <v>70</v>
      </c>
      <c r="AG7" s="486">
        <v>8</v>
      </c>
      <c r="AH7" s="487">
        <v>10</v>
      </c>
      <c r="AI7" s="487">
        <v>9</v>
      </c>
      <c r="AJ7" s="488">
        <v>46</v>
      </c>
      <c r="AK7" s="490">
        <v>70</v>
      </c>
      <c r="AL7" s="486">
        <v>9</v>
      </c>
      <c r="AM7" s="487">
        <v>9</v>
      </c>
      <c r="AN7" s="487">
        <v>9</v>
      </c>
      <c r="AO7" s="488">
        <v>46</v>
      </c>
      <c r="AP7" s="490">
        <v>70</v>
      </c>
      <c r="AQ7" s="505">
        <v>2</v>
      </c>
      <c r="AR7" s="486">
        <v>8</v>
      </c>
      <c r="AS7" s="487">
        <v>8</v>
      </c>
      <c r="AT7" s="487">
        <v>8</v>
      </c>
      <c r="AU7" s="488">
        <v>31</v>
      </c>
      <c r="AV7" s="488">
        <v>32</v>
      </c>
      <c r="AW7" s="489">
        <v>43</v>
      </c>
      <c r="AX7" s="490">
        <v>44</v>
      </c>
      <c r="AY7" s="486">
        <v>10</v>
      </c>
      <c r="AZ7" s="499">
        <v>10</v>
      </c>
      <c r="BA7" s="488">
        <v>10</v>
      </c>
      <c r="BB7" s="488">
        <v>70</v>
      </c>
      <c r="BC7" s="490">
        <v>90</v>
      </c>
      <c r="BD7" s="486">
        <v>10</v>
      </c>
      <c r="BE7" s="499">
        <v>10</v>
      </c>
      <c r="BF7" s="499">
        <v>10</v>
      </c>
      <c r="BG7" s="499">
        <v>45</v>
      </c>
      <c r="BH7" s="488">
        <v>12</v>
      </c>
      <c r="BI7" s="488">
        <v>63</v>
      </c>
      <c r="BJ7" s="490">
        <v>25</v>
      </c>
      <c r="BK7" s="486">
        <v>10</v>
      </c>
      <c r="BL7" s="499">
        <v>7</v>
      </c>
      <c r="BM7" s="499">
        <v>9</v>
      </c>
      <c r="BN7" s="499">
        <v>7</v>
      </c>
      <c r="BO7" s="499">
        <v>10</v>
      </c>
      <c r="BP7" s="499">
        <v>14</v>
      </c>
      <c r="BQ7" s="499">
        <v>20</v>
      </c>
      <c r="BR7" s="487">
        <v>14</v>
      </c>
      <c r="BS7" s="487">
        <v>12</v>
      </c>
      <c r="BT7" s="508">
        <v>50</v>
      </c>
      <c r="BU7" s="486">
        <v>21</v>
      </c>
      <c r="BV7" s="487">
        <v>41</v>
      </c>
      <c r="BW7" s="508">
        <v>29</v>
      </c>
      <c r="BX7" s="486">
        <v>14</v>
      </c>
      <c r="BY7" s="487">
        <v>42</v>
      </c>
      <c r="BZ7" s="508">
        <v>10</v>
      </c>
      <c r="CA7" s="752"/>
      <c r="CE7" s="736" t="e">
        <f>IF('School Profile'!#REF!="","",'School Profile'!#REF!)</f>
        <v>#REF!</v>
      </c>
    </row>
    <row r="8" spans="1:83" ht="24.95" customHeight="1">
      <c r="A8" s="468">
        <f>IF('Student DATA Entry'!A5="","",'Student DATA Entry'!A5)</f>
        <v>2</v>
      </c>
      <c r="B8" s="459">
        <f>IF('Student DATA Entry'!B5="","",'Student DATA Entry'!B5)</f>
        <v>902</v>
      </c>
      <c r="C8" s="459">
        <f>IF('Student DATA Entry'!C5="","",'Student DATA Entry'!C5)</f>
        <v>9</v>
      </c>
      <c r="D8" s="459" t="str">
        <f>IF('Student DATA Entry'!D5="","",'Student DATA Entry'!D5)</f>
        <v>A</v>
      </c>
      <c r="E8" s="459">
        <f>IF('Student DATA Entry'!E5="","",'Student DATA Entry'!E5)</f>
        <v>501</v>
      </c>
      <c r="F8" s="460">
        <f>IF('Student DATA Entry'!K5="","",'Student DATA Entry'!K5)</f>
        <v>40065</v>
      </c>
      <c r="G8" s="461" t="str">
        <f>IF('Student DATA Entry'!G5="","",UPPER('Student DATA Entry'!G5))</f>
        <v>RAM</v>
      </c>
      <c r="H8" s="461" t="str">
        <f>IF('Student DATA Entry'!H5="","",UPPER('Student DATA Entry'!H5))</f>
        <v>SHYAM</v>
      </c>
      <c r="I8" s="462" t="str">
        <f>IF('Student DATA Entry'!I5="","",UPPER('Student DATA Entry'!I5))</f>
        <v>SITA</v>
      </c>
      <c r="J8" s="463" t="str">
        <f>IF('Student DATA Entry'!L5="","",UPPER('Student DATA Entry'!L5))</f>
        <v>OBC</v>
      </c>
      <c r="K8" s="469" t="str">
        <f>IF('Student DATA Entry'!J5="","",UPPER('Student DATA Entry'!J5))</f>
        <v>M</v>
      </c>
      <c r="L8" s="491">
        <v>8</v>
      </c>
      <c r="M8" s="8">
        <v>9</v>
      </c>
      <c r="N8" s="8">
        <v>9</v>
      </c>
      <c r="O8" s="9">
        <v>46</v>
      </c>
      <c r="P8" s="492">
        <v>65</v>
      </c>
      <c r="Q8" s="491">
        <v>8</v>
      </c>
      <c r="R8" s="8">
        <v>9</v>
      </c>
      <c r="S8" s="8">
        <v>10</v>
      </c>
      <c r="T8" s="9">
        <v>66</v>
      </c>
      <c r="U8" s="492">
        <v>95</v>
      </c>
      <c r="V8" s="500">
        <v>1</v>
      </c>
      <c r="W8" s="7">
        <v>8</v>
      </c>
      <c r="X8" s="8">
        <v>9</v>
      </c>
      <c r="Y8" s="8">
        <v>9</v>
      </c>
      <c r="Z8" s="9">
        <v>62</v>
      </c>
      <c r="AA8" s="492">
        <v>92</v>
      </c>
      <c r="AB8" s="491">
        <v>8</v>
      </c>
      <c r="AC8" s="8">
        <v>9</v>
      </c>
      <c r="AD8" s="8">
        <v>8</v>
      </c>
      <c r="AE8" s="9">
        <v>46</v>
      </c>
      <c r="AF8" s="492">
        <v>45</v>
      </c>
      <c r="AG8" s="491">
        <v>8</v>
      </c>
      <c r="AH8" s="8">
        <v>9</v>
      </c>
      <c r="AI8" s="8">
        <v>9</v>
      </c>
      <c r="AJ8" s="9">
        <v>46</v>
      </c>
      <c r="AK8" s="492">
        <v>45</v>
      </c>
      <c r="AL8" s="491">
        <v>10</v>
      </c>
      <c r="AM8" s="8">
        <v>10</v>
      </c>
      <c r="AN8" s="8">
        <v>10</v>
      </c>
      <c r="AO8" s="9">
        <v>46</v>
      </c>
      <c r="AP8" s="492">
        <v>45</v>
      </c>
      <c r="AQ8" s="506">
        <v>1</v>
      </c>
      <c r="AR8" s="491">
        <v>4</v>
      </c>
      <c r="AS8" s="8">
        <v>4</v>
      </c>
      <c r="AT8" s="8">
        <v>4</v>
      </c>
      <c r="AU8" s="9">
        <v>15</v>
      </c>
      <c r="AV8" s="9">
        <v>15</v>
      </c>
      <c r="AW8" s="17">
        <v>30</v>
      </c>
      <c r="AX8" s="492">
        <v>30</v>
      </c>
      <c r="AY8" s="491">
        <v>9</v>
      </c>
      <c r="AZ8" s="7">
        <v>9</v>
      </c>
      <c r="BA8" s="9">
        <v>9</v>
      </c>
      <c r="BB8" s="9">
        <v>65</v>
      </c>
      <c r="BC8" s="492">
        <v>85</v>
      </c>
      <c r="BD8" s="491">
        <v>9</v>
      </c>
      <c r="BE8" s="7">
        <v>9</v>
      </c>
      <c r="BF8" s="7">
        <v>9</v>
      </c>
      <c r="BG8" s="7">
        <v>46</v>
      </c>
      <c r="BH8" s="9">
        <v>13</v>
      </c>
      <c r="BI8" s="9">
        <v>65</v>
      </c>
      <c r="BJ8" s="492">
        <v>26</v>
      </c>
      <c r="BK8" s="491">
        <v>9</v>
      </c>
      <c r="BL8" s="7">
        <v>7</v>
      </c>
      <c r="BM8" s="7">
        <v>9</v>
      </c>
      <c r="BN8" s="7">
        <v>6</v>
      </c>
      <c r="BO8" s="7">
        <v>9</v>
      </c>
      <c r="BP8" s="7">
        <v>14</v>
      </c>
      <c r="BQ8" s="7">
        <v>21</v>
      </c>
      <c r="BR8" s="8">
        <v>10</v>
      </c>
      <c r="BS8" s="8">
        <v>11</v>
      </c>
      <c r="BT8" s="509">
        <v>52</v>
      </c>
      <c r="BU8" s="491">
        <v>24</v>
      </c>
      <c r="BV8" s="8">
        <v>42</v>
      </c>
      <c r="BW8" s="509">
        <v>28</v>
      </c>
      <c r="BX8" s="491">
        <v>20</v>
      </c>
      <c r="BY8" s="8">
        <v>45</v>
      </c>
      <c r="BZ8" s="509">
        <v>10</v>
      </c>
      <c r="CA8" s="752"/>
      <c r="CE8" s="736" t="e">
        <f>IF('School Profile'!#REF!="","",'School Profile'!#REF!)</f>
        <v>#REF!</v>
      </c>
    </row>
    <row r="9" spans="1:83" ht="24.95" customHeight="1">
      <c r="A9" s="468">
        <f>IF('Student DATA Entry'!A6="","",'Student DATA Entry'!A6)</f>
        <v>3</v>
      </c>
      <c r="B9" s="459">
        <f>IF('Student DATA Entry'!B6="","",'Student DATA Entry'!B6)</f>
        <v>903</v>
      </c>
      <c r="C9" s="459">
        <f>IF('Student DATA Entry'!C6="","",'Student DATA Entry'!C6)</f>
        <v>9</v>
      </c>
      <c r="D9" s="459" t="str">
        <f>IF('Student DATA Entry'!D6="","",'Student DATA Entry'!D6)</f>
        <v>A</v>
      </c>
      <c r="E9" s="459" t="str">
        <f>IF('Student DATA Entry'!E6="","",'Student DATA Entry'!E6)</f>
        <v/>
      </c>
      <c r="F9" s="460">
        <f>IF('Student DATA Entry'!K6="","",'Student DATA Entry'!K6)</f>
        <v>41192</v>
      </c>
      <c r="G9" s="461" t="str">
        <f>IF('Student DATA Entry'!G6="","",UPPER('Student DATA Entry'!G6))</f>
        <v>DINESH</v>
      </c>
      <c r="H9" s="461" t="str">
        <f>IF('Student DATA Entry'!H6="","",UPPER('Student DATA Entry'!H6))</f>
        <v/>
      </c>
      <c r="I9" s="462" t="str">
        <f>IF('Student DATA Entry'!I6="","",UPPER('Student DATA Entry'!I6))</f>
        <v/>
      </c>
      <c r="J9" s="463" t="str">
        <f>IF('Student DATA Entry'!L6="","",UPPER('Student DATA Entry'!L6))</f>
        <v>GEN</v>
      </c>
      <c r="K9" s="469" t="str">
        <f>IF('Student DATA Entry'!J6="","",UPPER('Student DATA Entry'!J6))</f>
        <v>M</v>
      </c>
      <c r="L9" s="491">
        <v>8</v>
      </c>
      <c r="M9" s="8">
        <v>9</v>
      </c>
      <c r="N9" s="8">
        <v>7</v>
      </c>
      <c r="O9" s="9">
        <v>46</v>
      </c>
      <c r="P9" s="492">
        <v>13</v>
      </c>
      <c r="Q9" s="491">
        <v>8</v>
      </c>
      <c r="R9" s="8">
        <v>9</v>
      </c>
      <c r="S9" s="8">
        <v>10</v>
      </c>
      <c r="T9" s="9">
        <v>65</v>
      </c>
      <c r="U9" s="492">
        <v>95</v>
      </c>
      <c r="V9" s="500">
        <v>1</v>
      </c>
      <c r="W9" s="7">
        <v>8</v>
      </c>
      <c r="X9" s="8">
        <v>9</v>
      </c>
      <c r="Y9" s="8">
        <v>9</v>
      </c>
      <c r="Z9" s="9">
        <v>46</v>
      </c>
      <c r="AA9" s="492">
        <v>45</v>
      </c>
      <c r="AB9" s="491">
        <v>8</v>
      </c>
      <c r="AC9" s="8">
        <v>9</v>
      </c>
      <c r="AD9" s="8">
        <v>8</v>
      </c>
      <c r="AE9" s="9">
        <v>68</v>
      </c>
      <c r="AF9" s="492">
        <v>95</v>
      </c>
      <c r="AG9" s="491">
        <v>8</v>
      </c>
      <c r="AH9" s="8">
        <v>9</v>
      </c>
      <c r="AI9" s="8">
        <v>8</v>
      </c>
      <c r="AJ9" s="9">
        <v>46</v>
      </c>
      <c r="AK9" s="492">
        <v>45</v>
      </c>
      <c r="AL9" s="491">
        <v>8</v>
      </c>
      <c r="AM9" s="8">
        <v>8</v>
      </c>
      <c r="AN9" s="8">
        <v>8</v>
      </c>
      <c r="AO9" s="9">
        <v>46</v>
      </c>
      <c r="AP9" s="492">
        <v>45</v>
      </c>
      <c r="AQ9" s="506">
        <v>4</v>
      </c>
      <c r="AR9" s="491">
        <v>10</v>
      </c>
      <c r="AS9" s="8">
        <v>10</v>
      </c>
      <c r="AT9" s="8">
        <v>10</v>
      </c>
      <c r="AU9" s="9">
        <v>35</v>
      </c>
      <c r="AV9" s="9">
        <v>34</v>
      </c>
      <c r="AW9" s="17">
        <v>45</v>
      </c>
      <c r="AX9" s="492">
        <v>46</v>
      </c>
      <c r="AY9" s="491">
        <v>9</v>
      </c>
      <c r="AZ9" s="7">
        <v>9</v>
      </c>
      <c r="BA9" s="9">
        <v>9</v>
      </c>
      <c r="BB9" s="9">
        <v>66</v>
      </c>
      <c r="BC9" s="492">
        <v>91</v>
      </c>
      <c r="BD9" s="491">
        <v>8</v>
      </c>
      <c r="BE9" s="7">
        <v>8</v>
      </c>
      <c r="BF9" s="7">
        <v>8</v>
      </c>
      <c r="BG9" s="7">
        <v>47</v>
      </c>
      <c r="BH9" s="9">
        <v>16</v>
      </c>
      <c r="BI9" s="9">
        <v>64</v>
      </c>
      <c r="BJ9" s="492">
        <v>24</v>
      </c>
      <c r="BK9" s="491">
        <v>9</v>
      </c>
      <c r="BL9" s="7">
        <v>7</v>
      </c>
      <c r="BM9" s="7">
        <v>9</v>
      </c>
      <c r="BN9" s="7">
        <v>6</v>
      </c>
      <c r="BO9" s="7">
        <v>9</v>
      </c>
      <c r="BP9" s="7">
        <v>14</v>
      </c>
      <c r="BQ9" s="7">
        <v>21</v>
      </c>
      <c r="BR9" s="8">
        <v>12</v>
      </c>
      <c r="BS9" s="8">
        <v>20</v>
      </c>
      <c r="BT9" s="509">
        <v>54</v>
      </c>
      <c r="BU9" s="491">
        <v>23</v>
      </c>
      <c r="BV9" s="8">
        <v>40</v>
      </c>
      <c r="BW9" s="509">
        <v>29</v>
      </c>
      <c r="BX9" s="491">
        <v>21</v>
      </c>
      <c r="BY9" s="8">
        <v>48</v>
      </c>
      <c r="BZ9" s="509">
        <v>10</v>
      </c>
      <c r="CA9" s="752"/>
      <c r="CE9" s="736" t="e">
        <f>IF('School Profile'!#REF!="","",'School Profile'!#REF!)</f>
        <v>#REF!</v>
      </c>
    </row>
    <row r="10" spans="1:83" ht="24.95" customHeight="1">
      <c r="A10" s="468">
        <f>IF('Student DATA Entry'!A7="","",'Student DATA Entry'!A7)</f>
        <v>4</v>
      </c>
      <c r="B10" s="459">
        <f>IF('Student DATA Entry'!B7="","",'Student DATA Entry'!B7)</f>
        <v>904</v>
      </c>
      <c r="C10" s="459">
        <f>IF('Student DATA Entry'!C7="","",'Student DATA Entry'!C7)</f>
        <v>9</v>
      </c>
      <c r="D10" s="459" t="str">
        <f>IF('Student DATA Entry'!D7="","",'Student DATA Entry'!D7)</f>
        <v>A</v>
      </c>
      <c r="E10" s="459" t="str">
        <f>IF('Student DATA Entry'!E7="","",'Student DATA Entry'!E7)</f>
        <v/>
      </c>
      <c r="F10" s="460">
        <f>IF('Student DATA Entry'!K7="","",'Student DATA Entry'!K7)</f>
        <v>40670</v>
      </c>
      <c r="G10" s="461" t="str">
        <f>IF('Student DATA Entry'!G7="","",UPPER('Student DATA Entry'!G7))</f>
        <v>RAMESH</v>
      </c>
      <c r="H10" s="461" t="str">
        <f>IF('Student DATA Entry'!H7="","",UPPER('Student DATA Entry'!H7))</f>
        <v/>
      </c>
      <c r="I10" s="462" t="str">
        <f>IF('Student DATA Entry'!I7="","",UPPER('Student DATA Entry'!I7))</f>
        <v/>
      </c>
      <c r="J10" s="463" t="str">
        <f>IF('Student DATA Entry'!L7="","",UPPER('Student DATA Entry'!L7))</f>
        <v>SBC</v>
      </c>
      <c r="K10" s="469" t="str">
        <f>IF('Student DATA Entry'!J7="","",UPPER('Student DATA Entry'!J7))</f>
        <v>M</v>
      </c>
      <c r="L10" s="491" t="s">
        <v>226</v>
      </c>
      <c r="M10" s="8">
        <v>9</v>
      </c>
      <c r="N10" s="8">
        <v>4</v>
      </c>
      <c r="O10" s="9">
        <v>46</v>
      </c>
      <c r="P10" s="492">
        <v>65</v>
      </c>
      <c r="Q10" s="491">
        <v>8</v>
      </c>
      <c r="R10" s="8">
        <v>9</v>
      </c>
      <c r="S10" s="8">
        <v>10</v>
      </c>
      <c r="T10" s="9">
        <v>30</v>
      </c>
      <c r="U10" s="492">
        <v>95</v>
      </c>
      <c r="V10" s="501">
        <v>1</v>
      </c>
      <c r="W10" s="7">
        <v>8</v>
      </c>
      <c r="X10" s="8">
        <v>9</v>
      </c>
      <c r="Y10" s="8">
        <v>9</v>
      </c>
      <c r="Z10" s="9">
        <v>46</v>
      </c>
      <c r="AA10" s="492">
        <v>45</v>
      </c>
      <c r="AB10" s="491">
        <v>8</v>
      </c>
      <c r="AC10" s="8">
        <v>9</v>
      </c>
      <c r="AD10" s="8">
        <v>8</v>
      </c>
      <c r="AE10" s="9">
        <v>12</v>
      </c>
      <c r="AF10" s="492">
        <v>34</v>
      </c>
      <c r="AG10" s="491">
        <v>8</v>
      </c>
      <c r="AH10" s="8">
        <v>9</v>
      </c>
      <c r="AI10" s="8">
        <v>9</v>
      </c>
      <c r="AJ10" s="9">
        <v>46</v>
      </c>
      <c r="AK10" s="492">
        <v>45</v>
      </c>
      <c r="AL10" s="491">
        <v>7</v>
      </c>
      <c r="AM10" s="8">
        <v>7</v>
      </c>
      <c r="AN10" s="8">
        <v>7</v>
      </c>
      <c r="AO10" s="9">
        <v>46</v>
      </c>
      <c r="AP10" s="492">
        <v>45</v>
      </c>
      <c r="AQ10" s="506"/>
      <c r="AR10" s="491"/>
      <c r="AS10" s="8"/>
      <c r="AT10" s="8"/>
      <c r="AU10" s="9"/>
      <c r="AV10" s="9"/>
      <c r="AW10" s="17"/>
      <c r="AX10" s="492"/>
      <c r="AY10" s="491">
        <v>9</v>
      </c>
      <c r="AZ10" s="7">
        <v>9</v>
      </c>
      <c r="BA10" s="9">
        <v>9</v>
      </c>
      <c r="BB10" s="9">
        <v>66</v>
      </c>
      <c r="BC10" s="492">
        <v>91</v>
      </c>
      <c r="BD10" s="491">
        <v>8</v>
      </c>
      <c r="BE10" s="7">
        <v>8</v>
      </c>
      <c r="BF10" s="7">
        <v>8</v>
      </c>
      <c r="BG10" s="7">
        <v>48</v>
      </c>
      <c r="BH10" s="9">
        <v>15</v>
      </c>
      <c r="BI10" s="9">
        <v>62</v>
      </c>
      <c r="BJ10" s="492">
        <v>27</v>
      </c>
      <c r="BK10" s="491">
        <v>9</v>
      </c>
      <c r="BL10" s="7">
        <v>7</v>
      </c>
      <c r="BM10" s="7">
        <v>9</v>
      </c>
      <c r="BN10" s="7">
        <v>6</v>
      </c>
      <c r="BO10" s="7">
        <v>9</v>
      </c>
      <c r="BP10" s="7">
        <v>14</v>
      </c>
      <c r="BQ10" s="7">
        <v>21</v>
      </c>
      <c r="BR10" s="8">
        <v>13</v>
      </c>
      <c r="BS10" s="8">
        <v>23</v>
      </c>
      <c r="BT10" s="509">
        <v>56</v>
      </c>
      <c r="BU10" s="491">
        <v>24</v>
      </c>
      <c r="BV10" s="8">
        <v>44</v>
      </c>
      <c r="BW10" s="509">
        <v>28</v>
      </c>
      <c r="BX10" s="491">
        <v>25</v>
      </c>
      <c r="BY10" s="8">
        <v>47</v>
      </c>
      <c r="BZ10" s="509">
        <v>9</v>
      </c>
      <c r="CA10" s="752"/>
      <c r="CE10" s="736" t="e">
        <f>IF('School Profile'!#REF!="","",'School Profile'!#REF!)</f>
        <v>#REF!</v>
      </c>
    </row>
    <row r="11" spans="1:83" ht="24.95" customHeight="1">
      <c r="A11" s="468">
        <f>IF('Student DATA Entry'!A8="","",'Student DATA Entry'!A8)</f>
        <v>5</v>
      </c>
      <c r="B11" s="459">
        <f>IF('Student DATA Entry'!B8="","",'Student DATA Entry'!B8)</f>
        <v>905</v>
      </c>
      <c r="C11" s="459">
        <f>IF('Student DATA Entry'!C8="","",'Student DATA Entry'!C8)</f>
        <v>9</v>
      </c>
      <c r="D11" s="459" t="str">
        <f>IF('Student DATA Entry'!D8="","",'Student DATA Entry'!D8)</f>
        <v>A</v>
      </c>
      <c r="E11" s="459" t="str">
        <f>IF('Student DATA Entry'!E8="","",'Student DATA Entry'!E8)</f>
        <v/>
      </c>
      <c r="F11" s="460">
        <f>IF('Student DATA Entry'!K8="","",'Student DATA Entry'!K8)</f>
        <v>41525</v>
      </c>
      <c r="G11" s="461" t="str">
        <f>IF('Student DATA Entry'!G8="","",UPPER('Student DATA Entry'!G8))</f>
        <v>SHYAM</v>
      </c>
      <c r="H11" s="461" t="str">
        <f>IF('Student DATA Entry'!H8="","",UPPER('Student DATA Entry'!H8))</f>
        <v/>
      </c>
      <c r="I11" s="462" t="str">
        <f>IF('Student DATA Entry'!I8="","",UPPER('Student DATA Entry'!I8))</f>
        <v/>
      </c>
      <c r="J11" s="463" t="str">
        <f>IF('Student DATA Entry'!L8="","",UPPER('Student DATA Entry'!L8))</f>
        <v>SC</v>
      </c>
      <c r="K11" s="469" t="str">
        <f>IF('Student DATA Entry'!J8="","",UPPER('Student DATA Entry'!J8))</f>
        <v>M</v>
      </c>
      <c r="L11" s="491">
        <v>8</v>
      </c>
      <c r="M11" s="8">
        <v>9</v>
      </c>
      <c r="N11" s="8">
        <v>8</v>
      </c>
      <c r="O11" s="9">
        <v>46</v>
      </c>
      <c r="P11" s="492">
        <v>65</v>
      </c>
      <c r="Q11" s="491">
        <v>8</v>
      </c>
      <c r="R11" s="8">
        <v>9</v>
      </c>
      <c r="S11" s="8">
        <v>10</v>
      </c>
      <c r="T11" s="9">
        <v>61</v>
      </c>
      <c r="U11" s="492">
        <v>45</v>
      </c>
      <c r="V11" s="502">
        <v>2</v>
      </c>
      <c r="W11" s="7">
        <v>8</v>
      </c>
      <c r="X11" s="8">
        <v>9</v>
      </c>
      <c r="Y11" s="8">
        <v>8</v>
      </c>
      <c r="Z11" s="9">
        <v>46</v>
      </c>
      <c r="AA11" s="492">
        <v>45</v>
      </c>
      <c r="AB11" s="491">
        <v>8</v>
      </c>
      <c r="AC11" s="8">
        <v>9</v>
      </c>
      <c r="AD11" s="8">
        <v>9</v>
      </c>
      <c r="AE11" s="9">
        <v>46</v>
      </c>
      <c r="AF11" s="492">
        <v>45</v>
      </c>
      <c r="AG11" s="491">
        <v>8</v>
      </c>
      <c r="AH11" s="8">
        <v>9</v>
      </c>
      <c r="AI11" s="8">
        <v>10</v>
      </c>
      <c r="AJ11" s="9">
        <v>46</v>
      </c>
      <c r="AK11" s="492">
        <v>45</v>
      </c>
      <c r="AL11" s="491">
        <v>6</v>
      </c>
      <c r="AM11" s="8">
        <v>6</v>
      </c>
      <c r="AN11" s="8">
        <v>6</v>
      </c>
      <c r="AO11" s="9">
        <v>46</v>
      </c>
      <c r="AP11" s="492">
        <v>45</v>
      </c>
      <c r="AQ11" s="506"/>
      <c r="AR11" s="491"/>
      <c r="AS11" s="8"/>
      <c r="AT11" s="8"/>
      <c r="AU11" s="9"/>
      <c r="AV11" s="9"/>
      <c r="AW11" s="17"/>
      <c r="AX11" s="492"/>
      <c r="AY11" s="491">
        <v>9</v>
      </c>
      <c r="AZ11" s="7">
        <v>9</v>
      </c>
      <c r="BA11" s="9">
        <v>9</v>
      </c>
      <c r="BB11" s="9">
        <v>66</v>
      </c>
      <c r="BC11" s="492">
        <v>91</v>
      </c>
      <c r="BD11" s="491">
        <v>8</v>
      </c>
      <c r="BE11" s="7">
        <v>8</v>
      </c>
      <c r="BF11" s="7">
        <v>8</v>
      </c>
      <c r="BG11" s="7">
        <v>49</v>
      </c>
      <c r="BH11" s="9">
        <v>14</v>
      </c>
      <c r="BI11" s="9">
        <v>63</v>
      </c>
      <c r="BJ11" s="492">
        <v>27</v>
      </c>
      <c r="BK11" s="491">
        <v>9</v>
      </c>
      <c r="BL11" s="7">
        <v>7</v>
      </c>
      <c r="BM11" s="7">
        <v>9</v>
      </c>
      <c r="BN11" s="7">
        <v>6</v>
      </c>
      <c r="BO11" s="7">
        <v>9</v>
      </c>
      <c r="BP11" s="7">
        <v>14</v>
      </c>
      <c r="BQ11" s="7">
        <v>21</v>
      </c>
      <c r="BR11" s="8">
        <v>14</v>
      </c>
      <c r="BS11" s="8">
        <v>26</v>
      </c>
      <c r="BT11" s="509">
        <v>58</v>
      </c>
      <c r="BU11" s="491">
        <v>21</v>
      </c>
      <c r="BV11" s="8">
        <v>41</v>
      </c>
      <c r="BW11" s="509">
        <v>25</v>
      </c>
      <c r="BX11" s="491">
        <v>24</v>
      </c>
      <c r="BY11" s="8">
        <v>56</v>
      </c>
      <c r="BZ11" s="509">
        <v>11</v>
      </c>
      <c r="CA11" s="752"/>
      <c r="CE11" s="736" t="e">
        <f>IF('School Profile'!#REF!="","",'School Profile'!#REF!)</f>
        <v>#REF!</v>
      </c>
    </row>
    <row r="12" spans="1:83" ht="24.95" customHeight="1">
      <c r="A12" s="468">
        <f>IF('Student DATA Entry'!A9="","",'Student DATA Entry'!A9)</f>
        <v>6</v>
      </c>
      <c r="B12" s="459">
        <f>IF('Student DATA Entry'!B9="","",'Student DATA Entry'!B9)</f>
        <v>906</v>
      </c>
      <c r="C12" s="459">
        <f>IF('Student DATA Entry'!C9="","",'Student DATA Entry'!C9)</f>
        <v>9</v>
      </c>
      <c r="D12" s="459" t="str">
        <f>IF('Student DATA Entry'!D9="","",'Student DATA Entry'!D9)</f>
        <v>A</v>
      </c>
      <c r="E12" s="459" t="str">
        <f>IF('Student DATA Entry'!E9="","",'Student DATA Entry'!E9)</f>
        <v/>
      </c>
      <c r="F12" s="460">
        <f>IF('Student DATA Entry'!K9="","",'Student DATA Entry'!K9)</f>
        <v>40933</v>
      </c>
      <c r="G12" s="461" t="str">
        <f>IF('Student DATA Entry'!G9="","",UPPER('Student DATA Entry'!G9))</f>
        <v>GITA</v>
      </c>
      <c r="H12" s="461" t="str">
        <f>IF('Student DATA Entry'!H9="","",UPPER('Student DATA Entry'!H9))</f>
        <v/>
      </c>
      <c r="I12" s="462" t="str">
        <f>IF('Student DATA Entry'!I9="","",UPPER('Student DATA Entry'!I9))</f>
        <v/>
      </c>
      <c r="J12" s="463" t="str">
        <f>IF('Student DATA Entry'!L9="","",UPPER('Student DATA Entry'!L9))</f>
        <v>OBC</v>
      </c>
      <c r="K12" s="469" t="str">
        <f>IF('Student DATA Entry'!J9="","",UPPER('Student DATA Entry'!J9))</f>
        <v>F</v>
      </c>
      <c r="L12" s="491" t="s">
        <v>227</v>
      </c>
      <c r="M12" s="8">
        <v>9</v>
      </c>
      <c r="N12" s="8">
        <v>7</v>
      </c>
      <c r="O12" s="9">
        <v>46</v>
      </c>
      <c r="P12" s="492">
        <v>65</v>
      </c>
      <c r="Q12" s="491">
        <v>8</v>
      </c>
      <c r="R12" s="8">
        <v>9</v>
      </c>
      <c r="S12" s="8">
        <v>10</v>
      </c>
      <c r="T12" s="9">
        <v>62</v>
      </c>
      <c r="U12" s="492">
        <v>95</v>
      </c>
      <c r="V12" s="502">
        <v>2</v>
      </c>
      <c r="W12" s="7">
        <v>8</v>
      </c>
      <c r="X12" s="8">
        <v>9</v>
      </c>
      <c r="Y12" s="8">
        <v>8</v>
      </c>
      <c r="Z12" s="9">
        <v>46</v>
      </c>
      <c r="AA12" s="492">
        <v>45</v>
      </c>
      <c r="AB12" s="491">
        <v>8</v>
      </c>
      <c r="AC12" s="8">
        <v>9</v>
      </c>
      <c r="AD12" s="8">
        <v>9</v>
      </c>
      <c r="AE12" s="9">
        <v>46</v>
      </c>
      <c r="AF12" s="492">
        <v>45</v>
      </c>
      <c r="AG12" s="491">
        <v>8</v>
      </c>
      <c r="AH12" s="8">
        <v>9</v>
      </c>
      <c r="AI12" s="8">
        <v>10</v>
      </c>
      <c r="AJ12" s="9">
        <v>46</v>
      </c>
      <c r="AK12" s="492">
        <v>45</v>
      </c>
      <c r="AL12" s="491">
        <v>8</v>
      </c>
      <c r="AM12" s="8">
        <v>8</v>
      </c>
      <c r="AN12" s="8">
        <v>8</v>
      </c>
      <c r="AO12" s="9">
        <v>46</v>
      </c>
      <c r="AP12" s="492">
        <v>45</v>
      </c>
      <c r="AQ12" s="506"/>
      <c r="AR12" s="491"/>
      <c r="AS12" s="8"/>
      <c r="AT12" s="8"/>
      <c r="AU12" s="9"/>
      <c r="AV12" s="9"/>
      <c r="AW12" s="17"/>
      <c r="AX12" s="492"/>
      <c r="AY12" s="491">
        <v>9</v>
      </c>
      <c r="AZ12" s="7">
        <v>9</v>
      </c>
      <c r="BA12" s="9">
        <v>9</v>
      </c>
      <c r="BB12" s="9">
        <v>66</v>
      </c>
      <c r="BC12" s="492">
        <v>91</v>
      </c>
      <c r="BD12" s="491">
        <v>8</v>
      </c>
      <c r="BE12" s="7">
        <v>8</v>
      </c>
      <c r="BF12" s="7">
        <v>8</v>
      </c>
      <c r="BG12" s="7">
        <v>41</v>
      </c>
      <c r="BH12" s="9">
        <v>19</v>
      </c>
      <c r="BI12" s="9">
        <v>61</v>
      </c>
      <c r="BJ12" s="492">
        <v>27</v>
      </c>
      <c r="BK12" s="491">
        <v>9</v>
      </c>
      <c r="BL12" s="7">
        <v>7</v>
      </c>
      <c r="BM12" s="7">
        <v>9</v>
      </c>
      <c r="BN12" s="7">
        <v>6</v>
      </c>
      <c r="BO12" s="7">
        <v>9</v>
      </c>
      <c r="BP12" s="7">
        <v>14</v>
      </c>
      <c r="BQ12" s="7">
        <v>21</v>
      </c>
      <c r="BR12" s="8">
        <v>15</v>
      </c>
      <c r="BS12" s="8">
        <v>29</v>
      </c>
      <c r="BT12" s="509">
        <v>59</v>
      </c>
      <c r="BU12" s="491">
        <v>20</v>
      </c>
      <c r="BV12" s="8">
        <v>40</v>
      </c>
      <c r="BW12" s="509">
        <v>20</v>
      </c>
      <c r="BX12" s="491">
        <v>21</v>
      </c>
      <c r="BY12" s="8">
        <v>52</v>
      </c>
      <c r="BZ12" s="509">
        <v>12</v>
      </c>
      <c r="CA12" s="752"/>
      <c r="CE12" s="736" t="e">
        <f>IF('School Profile'!#REF!="","",'School Profile'!#REF!)</f>
        <v>#REF!</v>
      </c>
    </row>
    <row r="13" spans="1:83" ht="24.95" customHeight="1">
      <c r="A13" s="468">
        <f>IF('Student DATA Entry'!A10="","",'Student DATA Entry'!A10)</f>
        <v>7</v>
      </c>
      <c r="B13" s="459">
        <f>IF('Student DATA Entry'!B10="","",'Student DATA Entry'!B10)</f>
        <v>907</v>
      </c>
      <c r="C13" s="459">
        <f>IF('Student DATA Entry'!C10="","",'Student DATA Entry'!C10)</f>
        <v>9</v>
      </c>
      <c r="D13" s="459" t="str">
        <f>IF('Student DATA Entry'!D10="","",'Student DATA Entry'!D10)</f>
        <v>A</v>
      </c>
      <c r="E13" s="459" t="str">
        <f>IF('Student DATA Entry'!E10="","",'Student DATA Entry'!E10)</f>
        <v/>
      </c>
      <c r="F13" s="460">
        <f>IF('Student DATA Entry'!K10="","",'Student DATA Entry'!K10)</f>
        <v>41317</v>
      </c>
      <c r="G13" s="461" t="str">
        <f>IF('Student DATA Entry'!G10="","",UPPER('Student DATA Entry'!G10))</f>
        <v>MITA</v>
      </c>
      <c r="H13" s="461" t="str">
        <f>IF('Student DATA Entry'!H10="","",UPPER('Student DATA Entry'!H10))</f>
        <v/>
      </c>
      <c r="I13" s="462" t="str">
        <f>IF('Student DATA Entry'!I10="","",UPPER('Student DATA Entry'!I10))</f>
        <v/>
      </c>
      <c r="J13" s="463" t="str">
        <f>IF('Student DATA Entry'!L10="","",UPPER('Student DATA Entry'!L10))</f>
        <v>GEN</v>
      </c>
      <c r="K13" s="469" t="str">
        <f>IF('Student DATA Entry'!J10="","",UPPER('Student DATA Entry'!J10))</f>
        <v>F</v>
      </c>
      <c r="L13" s="491">
        <v>8</v>
      </c>
      <c r="M13" s="8" t="s">
        <v>228</v>
      </c>
      <c r="N13" s="8">
        <v>8</v>
      </c>
      <c r="O13" s="9">
        <v>46</v>
      </c>
      <c r="P13" s="492">
        <v>65</v>
      </c>
      <c r="Q13" s="491">
        <v>8</v>
      </c>
      <c r="R13" s="8">
        <v>9</v>
      </c>
      <c r="S13" s="8">
        <v>9</v>
      </c>
      <c r="T13" s="9">
        <v>60</v>
      </c>
      <c r="U13" s="492">
        <v>60</v>
      </c>
      <c r="V13" s="502">
        <v>3</v>
      </c>
      <c r="W13" s="7">
        <v>8</v>
      </c>
      <c r="X13" s="8">
        <v>9</v>
      </c>
      <c r="Y13" s="8">
        <v>8</v>
      </c>
      <c r="Z13" s="9">
        <v>46</v>
      </c>
      <c r="AA13" s="492">
        <v>45</v>
      </c>
      <c r="AB13" s="491">
        <v>4</v>
      </c>
      <c r="AC13" s="8">
        <v>4</v>
      </c>
      <c r="AD13" s="8">
        <v>9</v>
      </c>
      <c r="AE13" s="9">
        <v>9</v>
      </c>
      <c r="AF13" s="492">
        <v>34</v>
      </c>
      <c r="AG13" s="491">
        <v>8</v>
      </c>
      <c r="AH13" s="8">
        <v>9</v>
      </c>
      <c r="AI13" s="8">
        <v>10</v>
      </c>
      <c r="AJ13" s="9">
        <v>46</v>
      </c>
      <c r="AK13" s="492">
        <v>45</v>
      </c>
      <c r="AL13" s="491">
        <v>10</v>
      </c>
      <c r="AM13" s="8">
        <v>10</v>
      </c>
      <c r="AN13" s="8">
        <v>10</v>
      </c>
      <c r="AO13" s="9">
        <v>46</v>
      </c>
      <c r="AP13" s="492">
        <v>45</v>
      </c>
      <c r="AQ13" s="506"/>
      <c r="AR13" s="491"/>
      <c r="AS13" s="8"/>
      <c r="AT13" s="8"/>
      <c r="AU13" s="9"/>
      <c r="AV13" s="9"/>
      <c r="AW13" s="17"/>
      <c r="AX13" s="492"/>
      <c r="AY13" s="491">
        <v>9</v>
      </c>
      <c r="AZ13" s="7">
        <v>9</v>
      </c>
      <c r="BA13" s="9">
        <v>9</v>
      </c>
      <c r="BB13" s="9">
        <v>66</v>
      </c>
      <c r="BC13" s="492">
        <v>91</v>
      </c>
      <c r="BD13" s="491">
        <v>8</v>
      </c>
      <c r="BE13" s="7">
        <v>8</v>
      </c>
      <c r="BF13" s="7">
        <v>8</v>
      </c>
      <c r="BG13" s="7">
        <v>40</v>
      </c>
      <c r="BH13" s="9">
        <v>17</v>
      </c>
      <c r="BI13" s="9">
        <v>60</v>
      </c>
      <c r="BJ13" s="492">
        <v>27</v>
      </c>
      <c r="BK13" s="491">
        <v>9</v>
      </c>
      <c r="BL13" s="7">
        <v>7</v>
      </c>
      <c r="BM13" s="7">
        <v>9</v>
      </c>
      <c r="BN13" s="7">
        <v>6</v>
      </c>
      <c r="BO13" s="7">
        <v>9</v>
      </c>
      <c r="BP13" s="7">
        <v>14</v>
      </c>
      <c r="BQ13" s="7">
        <v>21</v>
      </c>
      <c r="BR13" s="8">
        <v>12</v>
      </c>
      <c r="BS13" s="8">
        <v>27</v>
      </c>
      <c r="BT13" s="509">
        <v>57</v>
      </c>
      <c r="BU13" s="491">
        <v>20</v>
      </c>
      <c r="BV13" s="8">
        <v>40</v>
      </c>
      <c r="BW13" s="509">
        <v>20</v>
      </c>
      <c r="BX13" s="491">
        <v>20</v>
      </c>
      <c r="BY13" s="8">
        <v>54</v>
      </c>
      <c r="BZ13" s="509">
        <v>14</v>
      </c>
      <c r="CA13" s="752"/>
      <c r="CE13" s="736" t="e">
        <f>IF('School Profile'!#REF!="","",'School Profile'!#REF!)</f>
        <v>#REF!</v>
      </c>
    </row>
    <row r="14" spans="1:83" ht="24.95" customHeight="1">
      <c r="A14" s="468">
        <f>IF('Student DATA Entry'!A11="","",'Student DATA Entry'!A11)</f>
        <v>8</v>
      </c>
      <c r="B14" s="459">
        <f>IF('Student DATA Entry'!B11="","",'Student DATA Entry'!B11)</f>
        <v>908</v>
      </c>
      <c r="C14" s="459">
        <f>IF('Student DATA Entry'!C11="","",'Student DATA Entry'!C11)</f>
        <v>9</v>
      </c>
      <c r="D14" s="459" t="str">
        <f>IF('Student DATA Entry'!D11="","",'Student DATA Entry'!D11)</f>
        <v>A</v>
      </c>
      <c r="E14" s="459" t="str">
        <f>IF('Student DATA Entry'!E11="","",'Student DATA Entry'!E11)</f>
        <v/>
      </c>
      <c r="F14" s="460">
        <f>IF('Student DATA Entry'!K11="","",'Student DATA Entry'!K11)</f>
        <v>40282</v>
      </c>
      <c r="G14" s="461" t="str">
        <f>IF('Student DATA Entry'!G11="","",UPPER('Student DATA Entry'!G11))</f>
        <v>SITA</v>
      </c>
      <c r="H14" s="461" t="str">
        <f>IF('Student DATA Entry'!H11="","",UPPER('Student DATA Entry'!H11))</f>
        <v/>
      </c>
      <c r="I14" s="462" t="str">
        <f>IF('Student DATA Entry'!I11="","",UPPER('Student DATA Entry'!I11))</f>
        <v/>
      </c>
      <c r="J14" s="463" t="str">
        <f>IF('Student DATA Entry'!L11="","",UPPER('Student DATA Entry'!L11))</f>
        <v>MIN</v>
      </c>
      <c r="K14" s="469" t="str">
        <f>IF('Student DATA Entry'!J11="","",UPPER('Student DATA Entry'!J11))</f>
        <v>F</v>
      </c>
      <c r="L14" s="491">
        <v>8</v>
      </c>
      <c r="M14" s="8">
        <v>9</v>
      </c>
      <c r="N14" s="8">
        <v>9</v>
      </c>
      <c r="O14" s="9">
        <v>46</v>
      </c>
      <c r="P14" s="492">
        <v>65</v>
      </c>
      <c r="Q14" s="491">
        <v>8</v>
      </c>
      <c r="R14" s="8">
        <v>9</v>
      </c>
      <c r="S14" s="8">
        <v>9</v>
      </c>
      <c r="T14" s="9">
        <v>60</v>
      </c>
      <c r="U14" s="492">
        <v>95</v>
      </c>
      <c r="V14" s="502">
        <v>3</v>
      </c>
      <c r="W14" s="7">
        <v>8</v>
      </c>
      <c r="X14" s="8">
        <v>9</v>
      </c>
      <c r="Y14" s="8">
        <v>8</v>
      </c>
      <c r="Z14" s="9">
        <v>58</v>
      </c>
      <c r="AA14" s="492">
        <v>95</v>
      </c>
      <c r="AB14" s="491">
        <v>8</v>
      </c>
      <c r="AC14" s="8">
        <v>9</v>
      </c>
      <c r="AD14" s="8">
        <v>9</v>
      </c>
      <c r="AE14" s="9">
        <v>46</v>
      </c>
      <c r="AF14" s="492">
        <v>45</v>
      </c>
      <c r="AG14" s="491">
        <v>8</v>
      </c>
      <c r="AH14" s="8">
        <v>9</v>
      </c>
      <c r="AI14" s="8">
        <v>10</v>
      </c>
      <c r="AJ14" s="9">
        <v>46</v>
      </c>
      <c r="AK14" s="492">
        <v>45</v>
      </c>
      <c r="AL14" s="491">
        <v>8</v>
      </c>
      <c r="AM14" s="8">
        <v>8</v>
      </c>
      <c r="AN14" s="8">
        <v>8</v>
      </c>
      <c r="AO14" s="9">
        <v>46</v>
      </c>
      <c r="AP14" s="492">
        <v>45</v>
      </c>
      <c r="AQ14" s="506"/>
      <c r="AR14" s="491"/>
      <c r="AS14" s="8"/>
      <c r="AT14" s="8"/>
      <c r="AU14" s="9"/>
      <c r="AV14" s="9"/>
      <c r="AW14" s="17"/>
      <c r="AX14" s="492"/>
      <c r="AY14" s="491">
        <v>9</v>
      </c>
      <c r="AZ14" s="7">
        <v>9</v>
      </c>
      <c r="BA14" s="9">
        <v>9</v>
      </c>
      <c r="BB14" s="9">
        <v>66</v>
      </c>
      <c r="BC14" s="492">
        <v>91</v>
      </c>
      <c r="BD14" s="491">
        <v>8</v>
      </c>
      <c r="BE14" s="7">
        <v>8</v>
      </c>
      <c r="BF14" s="7">
        <v>8</v>
      </c>
      <c r="BG14" s="7">
        <v>45</v>
      </c>
      <c r="BH14" s="9">
        <v>18</v>
      </c>
      <c r="BI14" s="9">
        <v>69</v>
      </c>
      <c r="BJ14" s="492">
        <v>27</v>
      </c>
      <c r="BK14" s="491">
        <v>9</v>
      </c>
      <c r="BL14" s="7">
        <v>7</v>
      </c>
      <c r="BM14" s="7">
        <v>9</v>
      </c>
      <c r="BN14" s="7">
        <v>6</v>
      </c>
      <c r="BO14" s="7">
        <v>9</v>
      </c>
      <c r="BP14" s="7">
        <v>14</v>
      </c>
      <c r="BQ14" s="7">
        <v>21</v>
      </c>
      <c r="BR14" s="8">
        <v>10</v>
      </c>
      <c r="BS14" s="8">
        <v>28</v>
      </c>
      <c r="BT14" s="509">
        <v>62</v>
      </c>
      <c r="BU14" s="491">
        <v>20</v>
      </c>
      <c r="BV14" s="8">
        <v>40</v>
      </c>
      <c r="BW14" s="509">
        <v>20</v>
      </c>
      <c r="BX14" s="491">
        <v>23</v>
      </c>
      <c r="BY14" s="8">
        <v>58</v>
      </c>
      <c r="BZ14" s="509">
        <v>15</v>
      </c>
      <c r="CA14" s="752"/>
      <c r="CE14" s="736" t="e">
        <f>IF('School Profile'!#REF!="","",'School Profile'!#REF!)</f>
        <v>#REF!</v>
      </c>
    </row>
    <row r="15" spans="1:83" ht="24.95" customHeight="1">
      <c r="A15" s="468">
        <f>IF('Student DATA Entry'!A12="","",'Student DATA Entry'!A12)</f>
        <v>9</v>
      </c>
      <c r="B15" s="459">
        <f>IF('Student DATA Entry'!B12="","",'Student DATA Entry'!B12)</f>
        <v>909</v>
      </c>
      <c r="C15" s="459">
        <f>IF('Student DATA Entry'!C12="","",'Student DATA Entry'!C12)</f>
        <v>9</v>
      </c>
      <c r="D15" s="459" t="str">
        <f>IF('Student DATA Entry'!D12="","",'Student DATA Entry'!D12)</f>
        <v>A</v>
      </c>
      <c r="E15" s="459" t="str">
        <f>IF('Student DATA Entry'!E12="","",'Student DATA Entry'!E12)</f>
        <v/>
      </c>
      <c r="F15" s="460">
        <f>IF('Student DATA Entry'!K12="","",'Student DATA Entry'!K12)</f>
        <v>40065</v>
      </c>
      <c r="G15" s="461" t="str">
        <f>IF('Student DATA Entry'!G12="","",UPPER('Student DATA Entry'!G12))</f>
        <v>RITA</v>
      </c>
      <c r="H15" s="461" t="str">
        <f>IF('Student DATA Entry'!H12="","",UPPER('Student DATA Entry'!H12))</f>
        <v/>
      </c>
      <c r="I15" s="462" t="str">
        <f>IF('Student DATA Entry'!I12="","",UPPER('Student DATA Entry'!I12))</f>
        <v/>
      </c>
      <c r="J15" s="463" t="str">
        <f>IF('Student DATA Entry'!L12="","",UPPER('Student DATA Entry'!L12))</f>
        <v>SBC</v>
      </c>
      <c r="K15" s="469" t="str">
        <f>IF('Student DATA Entry'!J12="","",UPPER('Student DATA Entry'!J12))</f>
        <v>F</v>
      </c>
      <c r="L15" s="491"/>
      <c r="M15" s="8"/>
      <c r="N15" s="8">
        <v>8</v>
      </c>
      <c r="O15" s="9">
        <v>46</v>
      </c>
      <c r="P15" s="492">
        <v>65</v>
      </c>
      <c r="Q15" s="491">
        <v>8</v>
      </c>
      <c r="R15" s="8">
        <v>9</v>
      </c>
      <c r="S15" s="8">
        <v>9</v>
      </c>
      <c r="T15" s="9">
        <v>60</v>
      </c>
      <c r="U15" s="492">
        <v>85</v>
      </c>
      <c r="V15" s="502">
        <v>2</v>
      </c>
      <c r="W15" s="7">
        <v>8</v>
      </c>
      <c r="X15" s="8">
        <v>9</v>
      </c>
      <c r="Y15" s="8">
        <v>8</v>
      </c>
      <c r="Z15" s="9">
        <v>46</v>
      </c>
      <c r="AA15" s="492">
        <v>45</v>
      </c>
      <c r="AB15" s="491">
        <v>8</v>
      </c>
      <c r="AC15" s="8">
        <v>9</v>
      </c>
      <c r="AD15" s="8">
        <v>9</v>
      </c>
      <c r="AE15" s="9">
        <v>16</v>
      </c>
      <c r="AF15" s="492">
        <v>45</v>
      </c>
      <c r="AG15" s="491">
        <v>8</v>
      </c>
      <c r="AH15" s="8">
        <v>9</v>
      </c>
      <c r="AI15" s="8">
        <v>8</v>
      </c>
      <c r="AJ15" s="9">
        <v>46</v>
      </c>
      <c r="AK15" s="492">
        <v>45</v>
      </c>
      <c r="AL15" s="491">
        <v>8</v>
      </c>
      <c r="AM15" s="8">
        <v>8</v>
      </c>
      <c r="AN15" s="8">
        <v>8</v>
      </c>
      <c r="AO15" s="9">
        <v>46</v>
      </c>
      <c r="AP15" s="492">
        <v>45</v>
      </c>
      <c r="AQ15" s="506"/>
      <c r="AR15" s="491"/>
      <c r="AS15" s="8"/>
      <c r="AT15" s="8"/>
      <c r="AU15" s="9"/>
      <c r="AV15" s="9"/>
      <c r="AW15" s="17"/>
      <c r="AX15" s="492"/>
      <c r="AY15" s="491">
        <v>9</v>
      </c>
      <c r="AZ15" s="7">
        <v>9</v>
      </c>
      <c r="BA15" s="9">
        <v>9</v>
      </c>
      <c r="BB15" s="9">
        <v>66</v>
      </c>
      <c r="BC15" s="492">
        <v>91</v>
      </c>
      <c r="BD15" s="491">
        <v>8</v>
      </c>
      <c r="BE15" s="7">
        <v>8</v>
      </c>
      <c r="BF15" s="7">
        <v>8</v>
      </c>
      <c r="BG15" s="7">
        <v>46</v>
      </c>
      <c r="BH15" s="9">
        <v>14</v>
      </c>
      <c r="BI15" s="9">
        <v>68</v>
      </c>
      <c r="BJ15" s="492">
        <v>27</v>
      </c>
      <c r="BK15" s="491">
        <v>9</v>
      </c>
      <c r="BL15" s="7">
        <v>7</v>
      </c>
      <c r="BM15" s="7">
        <v>9</v>
      </c>
      <c r="BN15" s="7">
        <v>6</v>
      </c>
      <c r="BO15" s="7">
        <v>9</v>
      </c>
      <c r="BP15" s="7">
        <v>14</v>
      </c>
      <c r="BQ15" s="7">
        <v>21</v>
      </c>
      <c r="BR15" s="8">
        <v>12</v>
      </c>
      <c r="BS15" s="8">
        <v>24</v>
      </c>
      <c r="BT15" s="509">
        <v>63</v>
      </c>
      <c r="BU15" s="491">
        <v>20</v>
      </c>
      <c r="BV15" s="8">
        <v>40</v>
      </c>
      <c r="BW15" s="509">
        <v>20</v>
      </c>
      <c r="BX15" s="491">
        <v>20</v>
      </c>
      <c r="BY15" s="8">
        <v>59</v>
      </c>
      <c r="BZ15" s="509">
        <v>10</v>
      </c>
      <c r="CA15" s="752"/>
      <c r="CE15" s="736" t="e">
        <f>IF('School Profile'!#REF!="","",'School Profile'!#REF!)</f>
        <v>#REF!</v>
      </c>
    </row>
    <row r="16" spans="1:83" ht="24.95" customHeight="1">
      <c r="A16" s="468">
        <f>IF('Student DATA Entry'!A13="","",'Student DATA Entry'!A13)</f>
        <v>10</v>
      </c>
      <c r="B16" s="459">
        <f>IF('Student DATA Entry'!B13="","",'Student DATA Entry'!B13)</f>
        <v>910</v>
      </c>
      <c r="C16" s="459">
        <f>IF('Student DATA Entry'!C13="","",'Student DATA Entry'!C13)</f>
        <v>9</v>
      </c>
      <c r="D16" s="459" t="str">
        <f>IF('Student DATA Entry'!D13="","",'Student DATA Entry'!D13)</f>
        <v>A</v>
      </c>
      <c r="E16" s="459" t="str">
        <f>IF('Student DATA Entry'!E13="","",'Student DATA Entry'!E13)</f>
        <v/>
      </c>
      <c r="F16" s="460">
        <f>IF('Student DATA Entry'!K13="","",'Student DATA Entry'!K13)</f>
        <v>40737</v>
      </c>
      <c r="G16" s="461" t="str">
        <f>IF('Student DATA Entry'!G13="","",UPPER('Student DATA Entry'!G13))</f>
        <v>SONU</v>
      </c>
      <c r="H16" s="461" t="str">
        <f>IF('Student DATA Entry'!H13="","",UPPER('Student DATA Entry'!H13))</f>
        <v/>
      </c>
      <c r="I16" s="462" t="str">
        <f>IF('Student DATA Entry'!I13="","",UPPER('Student DATA Entry'!I13))</f>
        <v/>
      </c>
      <c r="J16" s="463" t="str">
        <f>IF('Student DATA Entry'!L13="","",UPPER('Student DATA Entry'!L13))</f>
        <v>ST</v>
      </c>
      <c r="K16" s="469" t="str">
        <f>IF('Student DATA Entry'!J13="","",UPPER('Student DATA Entry'!J13))</f>
        <v>F</v>
      </c>
      <c r="L16" s="491">
        <v>8</v>
      </c>
      <c r="M16" s="8">
        <v>9</v>
      </c>
      <c r="N16" s="8">
        <v>7</v>
      </c>
      <c r="O16" s="9">
        <v>46</v>
      </c>
      <c r="P16" s="492">
        <v>65</v>
      </c>
      <c r="Q16" s="491">
        <v>8</v>
      </c>
      <c r="R16" s="8">
        <v>9</v>
      </c>
      <c r="S16" s="8">
        <v>9</v>
      </c>
      <c r="T16" s="9">
        <v>30</v>
      </c>
      <c r="U16" s="492">
        <v>30</v>
      </c>
      <c r="V16" s="502">
        <v>1</v>
      </c>
      <c r="W16" s="7">
        <v>8</v>
      </c>
      <c r="X16" s="8">
        <v>9</v>
      </c>
      <c r="Y16" s="8">
        <v>7</v>
      </c>
      <c r="Z16" s="9">
        <v>46</v>
      </c>
      <c r="AA16" s="492">
        <v>45</v>
      </c>
      <c r="AB16" s="491">
        <v>8</v>
      </c>
      <c r="AC16" s="8">
        <v>9</v>
      </c>
      <c r="AD16" s="8">
        <v>10</v>
      </c>
      <c r="AE16" s="9">
        <v>15</v>
      </c>
      <c r="AF16" s="492">
        <v>25</v>
      </c>
      <c r="AG16" s="491">
        <v>8</v>
      </c>
      <c r="AH16" s="8">
        <v>9</v>
      </c>
      <c r="AI16" s="8">
        <v>7</v>
      </c>
      <c r="AJ16" s="9">
        <v>46</v>
      </c>
      <c r="AK16" s="492">
        <v>45</v>
      </c>
      <c r="AL16" s="491">
        <v>8</v>
      </c>
      <c r="AM16" s="8">
        <v>8</v>
      </c>
      <c r="AN16" s="8">
        <v>8</v>
      </c>
      <c r="AO16" s="9">
        <v>46</v>
      </c>
      <c r="AP16" s="492">
        <v>45</v>
      </c>
      <c r="AQ16" s="506"/>
      <c r="AR16" s="491"/>
      <c r="AS16" s="8"/>
      <c r="AT16" s="8"/>
      <c r="AU16" s="9"/>
      <c r="AV16" s="9"/>
      <c r="AW16" s="17"/>
      <c r="AX16" s="492"/>
      <c r="AY16" s="491">
        <v>9</v>
      </c>
      <c r="AZ16" s="7">
        <v>9</v>
      </c>
      <c r="BA16" s="9">
        <v>9</v>
      </c>
      <c r="BB16" s="9">
        <v>66</v>
      </c>
      <c r="BC16" s="492">
        <v>91</v>
      </c>
      <c r="BD16" s="491">
        <v>8</v>
      </c>
      <c r="BE16" s="7">
        <v>8</v>
      </c>
      <c r="BF16" s="7">
        <v>8</v>
      </c>
      <c r="BG16" s="7">
        <v>41</v>
      </c>
      <c r="BH16" s="9">
        <v>15</v>
      </c>
      <c r="BI16" s="9">
        <v>56</v>
      </c>
      <c r="BJ16" s="492">
        <v>27</v>
      </c>
      <c r="BK16" s="491">
        <v>9</v>
      </c>
      <c r="BL16" s="7">
        <v>7</v>
      </c>
      <c r="BM16" s="7">
        <v>9</v>
      </c>
      <c r="BN16" s="7">
        <v>6</v>
      </c>
      <c r="BO16" s="7">
        <v>9</v>
      </c>
      <c r="BP16" s="7">
        <v>14</v>
      </c>
      <c r="BQ16" s="7">
        <v>21</v>
      </c>
      <c r="BR16" s="8">
        <v>13</v>
      </c>
      <c r="BS16" s="8">
        <v>25</v>
      </c>
      <c r="BT16" s="509">
        <v>69</v>
      </c>
      <c r="BU16" s="491">
        <v>20</v>
      </c>
      <c r="BV16" s="8">
        <v>40</v>
      </c>
      <c r="BW16" s="509">
        <v>20</v>
      </c>
      <c r="BX16" s="491">
        <v>20</v>
      </c>
      <c r="BY16" s="8">
        <v>45</v>
      </c>
      <c r="BZ16" s="509">
        <v>15</v>
      </c>
      <c r="CA16" s="752"/>
      <c r="CE16" s="736" t="e">
        <f>IF('School Profile'!#REF!="","",'School Profile'!#REF!)</f>
        <v>#REF!</v>
      </c>
    </row>
    <row r="17" spans="1:83" ht="24.95" customHeight="1">
      <c r="A17" s="468">
        <f>IF('Student DATA Entry'!A14="","",'Student DATA Entry'!A14)</f>
        <v>11</v>
      </c>
      <c r="B17" s="459">
        <f>IF('Student DATA Entry'!B14="","",'Student DATA Entry'!B14)</f>
        <v>911</v>
      </c>
      <c r="C17" s="459">
        <f>IF('Student DATA Entry'!C14="","",'Student DATA Entry'!C14)</f>
        <v>9</v>
      </c>
      <c r="D17" s="459" t="str">
        <f>IF('Student DATA Entry'!D14="","",'Student DATA Entry'!D14)</f>
        <v>A</v>
      </c>
      <c r="E17" s="459" t="str">
        <f>IF('Student DATA Entry'!E14="","",'Student DATA Entry'!E14)</f>
        <v/>
      </c>
      <c r="F17" s="460">
        <f>IF('Student DATA Entry'!K14="","",'Student DATA Entry'!K14)</f>
        <v>41878</v>
      </c>
      <c r="G17" s="461" t="str">
        <f>IF('Student DATA Entry'!G14="","",UPPER('Student DATA Entry'!G14))</f>
        <v>MONU</v>
      </c>
      <c r="H17" s="461" t="str">
        <f>IF('Student DATA Entry'!H14="","",UPPER('Student DATA Entry'!H14))</f>
        <v/>
      </c>
      <c r="I17" s="462" t="str">
        <f>IF('Student DATA Entry'!I14="","",UPPER('Student DATA Entry'!I14))</f>
        <v/>
      </c>
      <c r="J17" s="463" t="str">
        <f>IF('Student DATA Entry'!L14="","",UPPER('Student DATA Entry'!L14))</f>
        <v>SC</v>
      </c>
      <c r="K17" s="469" t="str">
        <f>IF('Student DATA Entry'!J14="","",UPPER('Student DATA Entry'!J14))</f>
        <v>M</v>
      </c>
      <c r="L17" s="491"/>
      <c r="M17" s="8"/>
      <c r="N17" s="8"/>
      <c r="O17" s="9">
        <v>46</v>
      </c>
      <c r="P17" s="492">
        <v>65</v>
      </c>
      <c r="Q17" s="491">
        <v>8</v>
      </c>
      <c r="R17" s="8">
        <v>9</v>
      </c>
      <c r="S17" s="8">
        <v>9</v>
      </c>
      <c r="T17" s="9">
        <v>60</v>
      </c>
      <c r="U17" s="492">
        <v>85</v>
      </c>
      <c r="V17" s="502">
        <v>1</v>
      </c>
      <c r="W17" s="7">
        <v>8</v>
      </c>
      <c r="X17" s="8">
        <v>9</v>
      </c>
      <c r="Y17" s="8">
        <v>7</v>
      </c>
      <c r="Z17" s="9">
        <v>46</v>
      </c>
      <c r="AA17" s="492">
        <v>45</v>
      </c>
      <c r="AB17" s="491">
        <v>8</v>
      </c>
      <c r="AC17" s="8">
        <v>9</v>
      </c>
      <c r="AD17" s="8">
        <v>10</v>
      </c>
      <c r="AE17" s="9">
        <v>46</v>
      </c>
      <c r="AF17" s="492">
        <v>45</v>
      </c>
      <c r="AG17" s="491">
        <v>8</v>
      </c>
      <c r="AH17" s="8">
        <v>9</v>
      </c>
      <c r="AI17" s="8">
        <v>7</v>
      </c>
      <c r="AJ17" s="9">
        <v>46</v>
      </c>
      <c r="AK17" s="492">
        <v>45</v>
      </c>
      <c r="AL17" s="491">
        <v>8</v>
      </c>
      <c r="AM17" s="8">
        <v>8</v>
      </c>
      <c r="AN17" s="8">
        <v>8</v>
      </c>
      <c r="AO17" s="9">
        <v>46</v>
      </c>
      <c r="AP17" s="492">
        <v>45</v>
      </c>
      <c r="AQ17" s="506"/>
      <c r="AR17" s="491"/>
      <c r="AS17" s="8"/>
      <c r="AT17" s="8"/>
      <c r="AU17" s="9"/>
      <c r="AV17" s="9"/>
      <c r="AW17" s="17"/>
      <c r="AX17" s="492"/>
      <c r="AY17" s="491">
        <v>9</v>
      </c>
      <c r="AZ17" s="7">
        <v>9</v>
      </c>
      <c r="BA17" s="9">
        <v>9</v>
      </c>
      <c r="BB17" s="9">
        <v>66</v>
      </c>
      <c r="BC17" s="492">
        <v>91</v>
      </c>
      <c r="BD17" s="491">
        <v>8</v>
      </c>
      <c r="BE17" s="7">
        <v>8</v>
      </c>
      <c r="BF17" s="7">
        <v>8</v>
      </c>
      <c r="BG17" s="7">
        <v>42</v>
      </c>
      <c r="BH17" s="9">
        <v>18</v>
      </c>
      <c r="BI17" s="9">
        <v>58</v>
      </c>
      <c r="BJ17" s="492">
        <v>27</v>
      </c>
      <c r="BK17" s="491">
        <v>9</v>
      </c>
      <c r="BL17" s="7">
        <v>7</v>
      </c>
      <c r="BM17" s="7">
        <v>9</v>
      </c>
      <c r="BN17" s="7">
        <v>6</v>
      </c>
      <c r="BO17" s="7">
        <v>9</v>
      </c>
      <c r="BP17" s="7">
        <v>14</v>
      </c>
      <c r="BQ17" s="7">
        <v>21</v>
      </c>
      <c r="BR17" s="8">
        <v>12</v>
      </c>
      <c r="BS17" s="8">
        <v>20</v>
      </c>
      <c r="BT17" s="509">
        <v>68</v>
      </c>
      <c r="BU17" s="491">
        <v>20</v>
      </c>
      <c r="BV17" s="8">
        <v>40</v>
      </c>
      <c r="BW17" s="509">
        <v>20</v>
      </c>
      <c r="BX17" s="491">
        <v>20</v>
      </c>
      <c r="BY17" s="8">
        <v>45</v>
      </c>
      <c r="BZ17" s="509">
        <v>14</v>
      </c>
      <c r="CA17" s="752"/>
      <c r="CE17" s="736" t="e">
        <f>IF('School Profile'!#REF!="","",'School Profile'!#REF!)</f>
        <v>#REF!</v>
      </c>
    </row>
    <row r="18" spans="1:83" ht="24.95" customHeight="1">
      <c r="A18" s="468">
        <f>IF('Student DATA Entry'!A15="","",'Student DATA Entry'!A15)</f>
        <v>12</v>
      </c>
      <c r="B18" s="459">
        <f>IF('Student DATA Entry'!B15="","",'Student DATA Entry'!B15)</f>
        <v>912</v>
      </c>
      <c r="C18" s="459">
        <f>IF('Student DATA Entry'!C15="","",'Student DATA Entry'!C15)</f>
        <v>9</v>
      </c>
      <c r="D18" s="459" t="str">
        <f>IF('Student DATA Entry'!D15="","",'Student DATA Entry'!D15)</f>
        <v>A</v>
      </c>
      <c r="E18" s="459" t="str">
        <f>IF('Student DATA Entry'!E15="","",'Student DATA Entry'!E15)</f>
        <v/>
      </c>
      <c r="F18" s="460" t="str">
        <f>IF('Student DATA Entry'!K15="","",'Student DATA Entry'!K15)</f>
        <v/>
      </c>
      <c r="G18" s="461" t="str">
        <f>IF('Student DATA Entry'!G15="","",UPPER('Student DATA Entry'!G15))</f>
        <v>JAY</v>
      </c>
      <c r="H18" s="461" t="str">
        <f>IF('Student DATA Entry'!H15="","",UPPER('Student DATA Entry'!H15))</f>
        <v/>
      </c>
      <c r="I18" s="462" t="str">
        <f>IF('Student DATA Entry'!I15="","",UPPER('Student DATA Entry'!I15))</f>
        <v/>
      </c>
      <c r="J18" s="463" t="str">
        <f>IF('Student DATA Entry'!L15="","",UPPER('Student DATA Entry'!L15))</f>
        <v/>
      </c>
      <c r="K18" s="469" t="str">
        <f>IF('Student DATA Entry'!J15="","",UPPER('Student DATA Entry'!J15))</f>
        <v/>
      </c>
      <c r="L18" s="491">
        <v>7</v>
      </c>
      <c r="M18" s="8">
        <v>8</v>
      </c>
      <c r="N18" s="8">
        <v>7</v>
      </c>
      <c r="O18" s="9">
        <v>47</v>
      </c>
      <c r="P18" s="492">
        <v>65</v>
      </c>
      <c r="Q18" s="491">
        <v>8</v>
      </c>
      <c r="R18" s="8">
        <v>9</v>
      </c>
      <c r="S18" s="8">
        <v>9</v>
      </c>
      <c r="T18" s="9">
        <v>60</v>
      </c>
      <c r="U18" s="492">
        <v>85</v>
      </c>
      <c r="V18" s="502">
        <v>1</v>
      </c>
      <c r="W18" s="7">
        <v>8</v>
      </c>
      <c r="X18" s="8">
        <v>9</v>
      </c>
      <c r="Y18" s="8">
        <v>7</v>
      </c>
      <c r="Z18" s="9">
        <v>46</v>
      </c>
      <c r="AA18" s="492">
        <v>45</v>
      </c>
      <c r="AB18" s="491">
        <v>8</v>
      </c>
      <c r="AC18" s="8">
        <v>9</v>
      </c>
      <c r="AD18" s="8">
        <v>10</v>
      </c>
      <c r="AE18" s="9">
        <v>20</v>
      </c>
      <c r="AF18" s="492">
        <v>21</v>
      </c>
      <c r="AG18" s="491">
        <v>8</v>
      </c>
      <c r="AH18" s="8">
        <v>9</v>
      </c>
      <c r="AI18" s="8">
        <v>7</v>
      </c>
      <c r="AJ18" s="9">
        <v>46</v>
      </c>
      <c r="AK18" s="492">
        <v>45</v>
      </c>
      <c r="AL18" s="491">
        <v>8</v>
      </c>
      <c r="AM18" s="8">
        <v>8</v>
      </c>
      <c r="AN18" s="8">
        <v>8</v>
      </c>
      <c r="AO18" s="9">
        <v>46</v>
      </c>
      <c r="AP18" s="492">
        <v>45</v>
      </c>
      <c r="AQ18" s="506"/>
      <c r="AR18" s="491"/>
      <c r="AS18" s="8"/>
      <c r="AT18" s="8"/>
      <c r="AU18" s="9"/>
      <c r="AV18" s="9"/>
      <c r="AW18" s="17"/>
      <c r="AX18" s="492"/>
      <c r="AY18" s="491">
        <v>9</v>
      </c>
      <c r="AZ18" s="7">
        <v>9</v>
      </c>
      <c r="BA18" s="9">
        <v>9</v>
      </c>
      <c r="BB18" s="9">
        <v>66</v>
      </c>
      <c r="BC18" s="492">
        <v>91</v>
      </c>
      <c r="BD18" s="491">
        <v>8</v>
      </c>
      <c r="BE18" s="7">
        <v>8</v>
      </c>
      <c r="BF18" s="7">
        <v>8</v>
      </c>
      <c r="BG18" s="7">
        <v>20</v>
      </c>
      <c r="BH18" s="9">
        <v>15</v>
      </c>
      <c r="BI18" s="9">
        <v>54</v>
      </c>
      <c r="BJ18" s="492">
        <v>27</v>
      </c>
      <c r="BK18" s="491">
        <v>9</v>
      </c>
      <c r="BL18" s="7">
        <v>7</v>
      </c>
      <c r="BM18" s="7">
        <v>9</v>
      </c>
      <c r="BN18" s="7">
        <v>6</v>
      </c>
      <c r="BO18" s="7">
        <v>9</v>
      </c>
      <c r="BP18" s="7">
        <v>14</v>
      </c>
      <c r="BQ18" s="7">
        <v>21</v>
      </c>
      <c r="BR18" s="8">
        <v>14</v>
      </c>
      <c r="BS18" s="8">
        <v>21</v>
      </c>
      <c r="BT18" s="509">
        <v>65</v>
      </c>
      <c r="BU18" s="491">
        <v>20</v>
      </c>
      <c r="BV18" s="8">
        <v>40</v>
      </c>
      <c r="BW18" s="509">
        <v>20</v>
      </c>
      <c r="BX18" s="491">
        <v>20</v>
      </c>
      <c r="BY18" s="8">
        <v>35</v>
      </c>
      <c r="BZ18" s="509">
        <v>10</v>
      </c>
      <c r="CA18" s="752"/>
      <c r="CE18" s="736" t="e">
        <f>IF('School Profile'!#REF!="","",'School Profile'!#REF!)</f>
        <v>#REF!</v>
      </c>
    </row>
    <row r="19" spans="1:83" ht="24.95" customHeight="1">
      <c r="A19" s="468">
        <f>IF('Student DATA Entry'!A16="","",'Student DATA Entry'!A16)</f>
        <v>13</v>
      </c>
      <c r="B19" s="459">
        <f>IF('Student DATA Entry'!B16="","",'Student DATA Entry'!B16)</f>
        <v>913</v>
      </c>
      <c r="C19" s="459">
        <f>IF('Student DATA Entry'!C16="","",'Student DATA Entry'!C16)</f>
        <v>9</v>
      </c>
      <c r="D19" s="459" t="str">
        <f>IF('Student DATA Entry'!D16="","",'Student DATA Entry'!D16)</f>
        <v>A</v>
      </c>
      <c r="E19" s="459" t="str">
        <f>IF('Student DATA Entry'!E16="","",'Student DATA Entry'!E16)</f>
        <v/>
      </c>
      <c r="F19" s="460" t="str">
        <f>IF('Student DATA Entry'!K16="","",'Student DATA Entry'!K16)</f>
        <v/>
      </c>
      <c r="G19" s="461" t="str">
        <f>IF('Student DATA Entry'!G16="","",UPPER('Student DATA Entry'!G16))</f>
        <v>VIRU</v>
      </c>
      <c r="H19" s="461" t="str">
        <f>IF('Student DATA Entry'!H16="","",UPPER('Student DATA Entry'!H16))</f>
        <v/>
      </c>
      <c r="I19" s="462" t="str">
        <f>IF('Student DATA Entry'!I16="","",UPPER('Student DATA Entry'!I16))</f>
        <v/>
      </c>
      <c r="J19" s="463" t="str">
        <f>IF('Student DATA Entry'!L16="","",UPPER('Student DATA Entry'!L16))</f>
        <v/>
      </c>
      <c r="K19" s="469" t="str">
        <f>IF('Student DATA Entry'!J16="","",UPPER('Student DATA Entry'!J16))</f>
        <v/>
      </c>
      <c r="L19" s="491">
        <v>8</v>
      </c>
      <c r="M19" s="8">
        <v>9</v>
      </c>
      <c r="N19" s="8">
        <v>5</v>
      </c>
      <c r="O19" s="9"/>
      <c r="P19" s="492">
        <v>65</v>
      </c>
      <c r="Q19" s="491">
        <v>8</v>
      </c>
      <c r="R19" s="8">
        <v>9</v>
      </c>
      <c r="S19" s="8">
        <v>9</v>
      </c>
      <c r="T19" s="9">
        <v>60</v>
      </c>
      <c r="U19" s="492">
        <v>85</v>
      </c>
      <c r="V19" s="502">
        <v>2</v>
      </c>
      <c r="W19" s="7">
        <v>8</v>
      </c>
      <c r="X19" s="8">
        <v>9</v>
      </c>
      <c r="Y19" s="8">
        <v>7</v>
      </c>
      <c r="Z19" s="9">
        <v>46</v>
      </c>
      <c r="AA19" s="492">
        <v>45</v>
      </c>
      <c r="AB19" s="491">
        <v>8</v>
      </c>
      <c r="AC19" s="8">
        <v>9</v>
      </c>
      <c r="AD19" s="8">
        <v>10</v>
      </c>
      <c r="AE19" s="9">
        <v>46</v>
      </c>
      <c r="AF19" s="492">
        <v>45</v>
      </c>
      <c r="AG19" s="491">
        <v>8</v>
      </c>
      <c r="AH19" s="8">
        <v>9</v>
      </c>
      <c r="AI19" s="8">
        <v>7</v>
      </c>
      <c r="AJ19" s="9">
        <v>46</v>
      </c>
      <c r="AK19" s="492">
        <v>45</v>
      </c>
      <c r="AL19" s="491">
        <v>8</v>
      </c>
      <c r="AM19" s="8">
        <v>8</v>
      </c>
      <c r="AN19" s="8">
        <v>8</v>
      </c>
      <c r="AO19" s="9">
        <v>46</v>
      </c>
      <c r="AP19" s="492">
        <v>45</v>
      </c>
      <c r="AQ19" s="506"/>
      <c r="AR19" s="491"/>
      <c r="AS19" s="8"/>
      <c r="AT19" s="8"/>
      <c r="AU19" s="9"/>
      <c r="AV19" s="9"/>
      <c r="AW19" s="17"/>
      <c r="AX19" s="492"/>
      <c r="AY19" s="491">
        <v>9</v>
      </c>
      <c r="AZ19" s="7">
        <v>9</v>
      </c>
      <c r="BA19" s="9">
        <v>9</v>
      </c>
      <c r="BB19" s="9">
        <v>66</v>
      </c>
      <c r="BC19" s="492">
        <v>91</v>
      </c>
      <c r="BD19" s="491">
        <v>8</v>
      </c>
      <c r="BE19" s="7">
        <v>8</v>
      </c>
      <c r="BF19" s="7">
        <v>8</v>
      </c>
      <c r="BG19" s="7">
        <v>26</v>
      </c>
      <c r="BH19" s="9">
        <v>14</v>
      </c>
      <c r="BI19" s="9">
        <v>59</v>
      </c>
      <c r="BJ19" s="492">
        <v>27</v>
      </c>
      <c r="BK19" s="491">
        <v>9</v>
      </c>
      <c r="BL19" s="7">
        <v>7</v>
      </c>
      <c r="BM19" s="7">
        <v>9</v>
      </c>
      <c r="BN19" s="7">
        <v>6</v>
      </c>
      <c r="BO19" s="7">
        <v>9</v>
      </c>
      <c r="BP19" s="7">
        <v>14</v>
      </c>
      <c r="BQ19" s="7">
        <v>21</v>
      </c>
      <c r="BR19" s="8">
        <v>15</v>
      </c>
      <c r="BS19" s="8">
        <v>25</v>
      </c>
      <c r="BT19" s="509">
        <v>62</v>
      </c>
      <c r="BU19" s="491">
        <v>20</v>
      </c>
      <c r="BV19" s="8">
        <v>40</v>
      </c>
      <c r="BW19" s="509">
        <v>20</v>
      </c>
      <c r="BX19" s="491">
        <v>20</v>
      </c>
      <c r="BY19" s="8">
        <v>36</v>
      </c>
      <c r="BZ19" s="509">
        <v>10</v>
      </c>
      <c r="CA19" s="752"/>
      <c r="CE19" s="736" t="e">
        <f>IF('School Profile'!#REF!="","",'School Profile'!#REF!)</f>
        <v>#REF!</v>
      </c>
    </row>
    <row r="20" spans="1:83" ht="24.95" customHeight="1">
      <c r="A20" s="468">
        <f>IF('Student DATA Entry'!A17="","",'Student DATA Entry'!A17)</f>
        <v>14</v>
      </c>
      <c r="B20" s="459">
        <f>IF('Student DATA Entry'!B17="","",'Student DATA Entry'!B17)</f>
        <v>914</v>
      </c>
      <c r="C20" s="459">
        <f>IF('Student DATA Entry'!C17="","",'Student DATA Entry'!C17)</f>
        <v>9</v>
      </c>
      <c r="D20" s="459" t="str">
        <f>IF('Student DATA Entry'!D17="","",'Student DATA Entry'!D17)</f>
        <v>A</v>
      </c>
      <c r="E20" s="459" t="str">
        <f>IF('Student DATA Entry'!E17="","",'Student DATA Entry'!E17)</f>
        <v/>
      </c>
      <c r="F20" s="460" t="str">
        <f>IF('Student DATA Entry'!K17="","",'Student DATA Entry'!K17)</f>
        <v/>
      </c>
      <c r="G20" s="461" t="str">
        <f>IF('Student DATA Entry'!G17="","",UPPER('Student DATA Entry'!G17))</f>
        <v>ANIL</v>
      </c>
      <c r="H20" s="461" t="str">
        <f>IF('Student DATA Entry'!H17="","",UPPER('Student DATA Entry'!H17))</f>
        <v/>
      </c>
      <c r="I20" s="462" t="str">
        <f>IF('Student DATA Entry'!I17="","",UPPER('Student DATA Entry'!I17))</f>
        <v/>
      </c>
      <c r="J20" s="463" t="str">
        <f>IF('Student DATA Entry'!L17="","",UPPER('Student DATA Entry'!L17))</f>
        <v/>
      </c>
      <c r="K20" s="469" t="str">
        <f>IF('Student DATA Entry'!J17="","",UPPER('Student DATA Entry'!J17))</f>
        <v/>
      </c>
      <c r="L20" s="491">
        <v>8</v>
      </c>
      <c r="M20" s="8">
        <v>9</v>
      </c>
      <c r="N20" s="8">
        <v>7</v>
      </c>
      <c r="O20" s="9">
        <v>46</v>
      </c>
      <c r="P20" s="492">
        <v>65</v>
      </c>
      <c r="Q20" s="491">
        <v>8</v>
      </c>
      <c r="R20" s="8">
        <v>9</v>
      </c>
      <c r="S20" s="8">
        <v>8</v>
      </c>
      <c r="T20" s="9">
        <v>60</v>
      </c>
      <c r="U20" s="492">
        <v>85</v>
      </c>
      <c r="V20" s="502">
        <v>4</v>
      </c>
      <c r="W20" s="7">
        <v>8</v>
      </c>
      <c r="X20" s="8">
        <v>9</v>
      </c>
      <c r="Y20" s="8">
        <v>8</v>
      </c>
      <c r="Z20" s="9">
        <v>46</v>
      </c>
      <c r="AA20" s="492">
        <v>45</v>
      </c>
      <c r="AB20" s="491">
        <v>8</v>
      </c>
      <c r="AC20" s="8">
        <v>9</v>
      </c>
      <c r="AD20" s="8">
        <v>8</v>
      </c>
      <c r="AE20" s="9">
        <v>20</v>
      </c>
      <c r="AF20" s="492">
        <v>26</v>
      </c>
      <c r="AG20" s="491">
        <v>8</v>
      </c>
      <c r="AH20" s="8">
        <v>9</v>
      </c>
      <c r="AI20" s="8">
        <v>7</v>
      </c>
      <c r="AJ20" s="9">
        <v>20</v>
      </c>
      <c r="AK20" s="492">
        <v>27</v>
      </c>
      <c r="AL20" s="491">
        <v>8</v>
      </c>
      <c r="AM20" s="8">
        <v>8</v>
      </c>
      <c r="AN20" s="8">
        <v>8</v>
      </c>
      <c r="AO20" s="9">
        <v>46</v>
      </c>
      <c r="AP20" s="492">
        <v>45</v>
      </c>
      <c r="AQ20" s="506"/>
      <c r="AR20" s="491"/>
      <c r="AS20" s="8"/>
      <c r="AT20" s="8"/>
      <c r="AU20" s="9"/>
      <c r="AV20" s="9"/>
      <c r="AW20" s="17"/>
      <c r="AX20" s="492"/>
      <c r="AY20" s="491">
        <v>9</v>
      </c>
      <c r="AZ20" s="7">
        <v>9</v>
      </c>
      <c r="BA20" s="9">
        <v>9</v>
      </c>
      <c r="BB20" s="9">
        <v>66</v>
      </c>
      <c r="BC20" s="492">
        <v>91</v>
      </c>
      <c r="BD20" s="491">
        <v>8</v>
      </c>
      <c r="BE20" s="7">
        <v>8</v>
      </c>
      <c r="BF20" s="7">
        <v>8</v>
      </c>
      <c r="BG20" s="7">
        <v>48</v>
      </c>
      <c r="BH20" s="9">
        <v>16</v>
      </c>
      <c r="BI20" s="9">
        <v>58</v>
      </c>
      <c r="BJ20" s="492">
        <v>27</v>
      </c>
      <c r="BK20" s="491">
        <v>9</v>
      </c>
      <c r="BL20" s="7">
        <v>7</v>
      </c>
      <c r="BM20" s="7">
        <v>9</v>
      </c>
      <c r="BN20" s="7">
        <v>6</v>
      </c>
      <c r="BO20" s="7">
        <v>9</v>
      </c>
      <c r="BP20" s="7">
        <v>14</v>
      </c>
      <c r="BQ20" s="7">
        <v>21</v>
      </c>
      <c r="BR20" s="8">
        <v>12</v>
      </c>
      <c r="BS20" s="8">
        <v>26</v>
      </c>
      <c r="BT20" s="509">
        <v>61</v>
      </c>
      <c r="BU20" s="491">
        <v>20</v>
      </c>
      <c r="BV20" s="8">
        <v>40</v>
      </c>
      <c r="BW20" s="509">
        <v>20</v>
      </c>
      <c r="BX20" s="491">
        <v>20</v>
      </c>
      <c r="BY20" s="8">
        <v>39</v>
      </c>
      <c r="BZ20" s="509">
        <v>10</v>
      </c>
      <c r="CA20" s="752"/>
      <c r="CE20" s="736" t="e">
        <f>IF('School Profile'!#REF!="","",'School Profile'!#REF!)</f>
        <v>#REF!</v>
      </c>
    </row>
    <row r="21" spans="1:83" ht="24.95" customHeight="1">
      <c r="A21" s="468">
        <f>IF('Student DATA Entry'!A18="","",'Student DATA Entry'!A18)</f>
        <v>15</v>
      </c>
      <c r="B21" s="459">
        <f>IF('Student DATA Entry'!B18="","",'Student DATA Entry'!B18)</f>
        <v>915</v>
      </c>
      <c r="C21" s="459">
        <f>IF('Student DATA Entry'!C18="","",'Student DATA Entry'!C18)</f>
        <v>9</v>
      </c>
      <c r="D21" s="459" t="str">
        <f>IF('Student DATA Entry'!D18="","",'Student DATA Entry'!D18)</f>
        <v>A</v>
      </c>
      <c r="E21" s="459" t="str">
        <f>IF('Student DATA Entry'!E18="","",'Student DATA Entry'!E18)</f>
        <v/>
      </c>
      <c r="F21" s="460" t="str">
        <f>IF('Student DATA Entry'!K18="","",'Student DATA Entry'!K18)</f>
        <v/>
      </c>
      <c r="G21" s="461" t="str">
        <f>IF('Student DATA Entry'!G18="","",UPPER('Student DATA Entry'!G18))</f>
        <v>RAHIM</v>
      </c>
      <c r="H21" s="461" t="str">
        <f>IF('Student DATA Entry'!H18="","",UPPER('Student DATA Entry'!H18))</f>
        <v/>
      </c>
      <c r="I21" s="462" t="str">
        <f>IF('Student DATA Entry'!I18="","",UPPER('Student DATA Entry'!I18))</f>
        <v/>
      </c>
      <c r="J21" s="463" t="str">
        <f>IF('Student DATA Entry'!L18="","",UPPER('Student DATA Entry'!L18))</f>
        <v/>
      </c>
      <c r="K21" s="469" t="str">
        <f>IF('Student DATA Entry'!J18="","",UPPER('Student DATA Entry'!J18))</f>
        <v/>
      </c>
      <c r="L21" s="491">
        <v>8</v>
      </c>
      <c r="M21" s="8">
        <v>9</v>
      </c>
      <c r="N21" s="8">
        <v>8</v>
      </c>
      <c r="O21" s="9">
        <v>46</v>
      </c>
      <c r="P21" s="492">
        <v>25</v>
      </c>
      <c r="Q21" s="491">
        <v>8</v>
      </c>
      <c r="R21" s="8">
        <v>9</v>
      </c>
      <c r="S21" s="8">
        <v>8</v>
      </c>
      <c r="T21" s="9">
        <v>60</v>
      </c>
      <c r="U21" s="492">
        <v>85</v>
      </c>
      <c r="V21" s="502">
        <v>4</v>
      </c>
      <c r="W21" s="7">
        <v>8</v>
      </c>
      <c r="X21" s="8">
        <v>9</v>
      </c>
      <c r="Y21" s="8">
        <v>8</v>
      </c>
      <c r="Z21" s="9">
        <v>46</v>
      </c>
      <c r="AA21" s="492">
        <v>45</v>
      </c>
      <c r="AB21" s="491">
        <v>8</v>
      </c>
      <c r="AC21" s="8">
        <v>9</v>
      </c>
      <c r="AD21" s="8">
        <v>8</v>
      </c>
      <c r="AE21" s="9">
        <v>20</v>
      </c>
      <c r="AF21" s="492">
        <v>30</v>
      </c>
      <c r="AG21" s="491">
        <v>8</v>
      </c>
      <c r="AH21" s="8">
        <v>9</v>
      </c>
      <c r="AI21" s="8">
        <v>7</v>
      </c>
      <c r="AJ21" s="9">
        <v>46</v>
      </c>
      <c r="AK21" s="492">
        <v>45</v>
      </c>
      <c r="AL21" s="491">
        <v>8</v>
      </c>
      <c r="AM21" s="8">
        <v>8</v>
      </c>
      <c r="AN21" s="8">
        <v>8</v>
      </c>
      <c r="AO21" s="9">
        <v>46</v>
      </c>
      <c r="AP21" s="492">
        <v>45</v>
      </c>
      <c r="AQ21" s="506"/>
      <c r="AR21" s="491"/>
      <c r="AS21" s="8"/>
      <c r="AT21" s="8"/>
      <c r="AU21" s="9"/>
      <c r="AV21" s="9"/>
      <c r="AW21" s="17"/>
      <c r="AX21" s="492"/>
      <c r="AY21" s="491">
        <v>9</v>
      </c>
      <c r="AZ21" s="7">
        <v>9</v>
      </c>
      <c r="BA21" s="9">
        <v>9</v>
      </c>
      <c r="BB21" s="9">
        <v>66</v>
      </c>
      <c r="BC21" s="492">
        <v>91</v>
      </c>
      <c r="BD21" s="491">
        <v>8</v>
      </c>
      <c r="BE21" s="7">
        <v>8</v>
      </c>
      <c r="BF21" s="7">
        <v>8</v>
      </c>
      <c r="BG21" s="7">
        <v>36</v>
      </c>
      <c r="BH21" s="9">
        <v>20</v>
      </c>
      <c r="BI21" s="9">
        <v>57</v>
      </c>
      <c r="BJ21" s="492">
        <v>27</v>
      </c>
      <c r="BK21" s="491">
        <v>9</v>
      </c>
      <c r="BL21" s="7">
        <v>7</v>
      </c>
      <c r="BM21" s="7">
        <v>9</v>
      </c>
      <c r="BN21" s="7">
        <v>6</v>
      </c>
      <c r="BO21" s="7">
        <v>9</v>
      </c>
      <c r="BP21" s="7">
        <v>14</v>
      </c>
      <c r="BQ21" s="7">
        <v>21</v>
      </c>
      <c r="BR21" s="8">
        <v>10</v>
      </c>
      <c r="BS21" s="8">
        <v>25</v>
      </c>
      <c r="BT21" s="509">
        <v>28</v>
      </c>
      <c r="BU21" s="491">
        <v>20</v>
      </c>
      <c r="BV21" s="8">
        <v>40</v>
      </c>
      <c r="BW21" s="509">
        <v>20</v>
      </c>
      <c r="BX21" s="491">
        <v>20</v>
      </c>
      <c r="BY21" s="8">
        <v>38</v>
      </c>
      <c r="BZ21" s="509">
        <v>10</v>
      </c>
      <c r="CA21" s="752"/>
      <c r="CE21" s="736" t="e">
        <f>IF('School Profile'!#REF!="","",'School Profile'!#REF!)</f>
        <v>#REF!</v>
      </c>
    </row>
    <row r="22" spans="1:83" ht="24.95" customHeight="1">
      <c r="A22" s="468">
        <f>IF('Student DATA Entry'!A19="","",'Student DATA Entry'!A19)</f>
        <v>16</v>
      </c>
      <c r="B22" s="459">
        <f>IF('Student DATA Entry'!B19="","",'Student DATA Entry'!B19)</f>
        <v>916</v>
      </c>
      <c r="C22" s="459">
        <f>IF('Student DATA Entry'!C19="","",'Student DATA Entry'!C19)</f>
        <v>9</v>
      </c>
      <c r="D22" s="459" t="str">
        <f>IF('Student DATA Entry'!D19="","",'Student DATA Entry'!D19)</f>
        <v>A</v>
      </c>
      <c r="E22" s="459" t="str">
        <f>IF('Student DATA Entry'!E19="","",'Student DATA Entry'!E19)</f>
        <v/>
      </c>
      <c r="F22" s="460" t="str">
        <f>IF('Student DATA Entry'!K19="","",'Student DATA Entry'!K19)</f>
        <v/>
      </c>
      <c r="G22" s="461" t="str">
        <f>IF('Student DATA Entry'!G19="","",UPPER('Student DATA Entry'!G19))</f>
        <v>KARIM</v>
      </c>
      <c r="H22" s="461" t="str">
        <f>IF('Student DATA Entry'!H19="","",UPPER('Student DATA Entry'!H19))</f>
        <v/>
      </c>
      <c r="I22" s="462" t="str">
        <f>IF('Student DATA Entry'!I19="","",UPPER('Student DATA Entry'!I19))</f>
        <v/>
      </c>
      <c r="J22" s="463" t="str">
        <f>IF('Student DATA Entry'!L19="","",UPPER('Student DATA Entry'!L19))</f>
        <v/>
      </c>
      <c r="K22" s="469" t="str">
        <f>IF('Student DATA Entry'!J19="","",UPPER('Student DATA Entry'!J19))</f>
        <v/>
      </c>
      <c r="L22" s="491">
        <v>8</v>
      </c>
      <c r="M22" s="8">
        <v>9</v>
      </c>
      <c r="N22" s="8">
        <v>8</v>
      </c>
      <c r="O22" s="9">
        <v>46</v>
      </c>
      <c r="P22" s="492">
        <v>65</v>
      </c>
      <c r="Q22" s="491">
        <v>8</v>
      </c>
      <c r="R22" s="8">
        <v>9</v>
      </c>
      <c r="S22" s="8">
        <v>8</v>
      </c>
      <c r="T22" s="9">
        <v>60</v>
      </c>
      <c r="U22" s="492">
        <v>85</v>
      </c>
      <c r="V22" s="502">
        <v>5</v>
      </c>
      <c r="W22" s="7">
        <v>8</v>
      </c>
      <c r="X22" s="8">
        <v>9</v>
      </c>
      <c r="Y22" s="8">
        <v>8</v>
      </c>
      <c r="Z22" s="9">
        <v>46</v>
      </c>
      <c r="AA22" s="492">
        <v>45</v>
      </c>
      <c r="AB22" s="491">
        <v>8</v>
      </c>
      <c r="AC22" s="8">
        <v>9</v>
      </c>
      <c r="AD22" s="8">
        <v>8</v>
      </c>
      <c r="AE22" s="9">
        <v>46</v>
      </c>
      <c r="AF22" s="492">
        <v>45</v>
      </c>
      <c r="AG22" s="491">
        <v>8</v>
      </c>
      <c r="AH22" s="8">
        <v>9</v>
      </c>
      <c r="AI22" s="8">
        <v>7</v>
      </c>
      <c r="AJ22" s="9">
        <v>46</v>
      </c>
      <c r="AK22" s="492">
        <v>45</v>
      </c>
      <c r="AL22" s="491">
        <v>8</v>
      </c>
      <c r="AM22" s="8">
        <v>8</v>
      </c>
      <c r="AN22" s="8">
        <v>8</v>
      </c>
      <c r="AO22" s="9">
        <v>46</v>
      </c>
      <c r="AP22" s="492">
        <v>45</v>
      </c>
      <c r="AQ22" s="506"/>
      <c r="AR22" s="491"/>
      <c r="AS22" s="8"/>
      <c r="AT22" s="8"/>
      <c r="AU22" s="9"/>
      <c r="AV22" s="9"/>
      <c r="AW22" s="17"/>
      <c r="AX22" s="492"/>
      <c r="AY22" s="491"/>
      <c r="AZ22" s="7"/>
      <c r="BA22" s="9"/>
      <c r="BB22" s="9"/>
      <c r="BC22" s="492"/>
      <c r="BD22" s="491"/>
      <c r="BE22" s="7"/>
      <c r="BF22" s="7"/>
      <c r="BG22" s="7"/>
      <c r="BH22" s="9"/>
      <c r="BI22" s="9"/>
      <c r="BJ22" s="492"/>
      <c r="BK22" s="491"/>
      <c r="BL22" s="7"/>
      <c r="BM22" s="7"/>
      <c r="BN22" s="7"/>
      <c r="BO22" s="7"/>
      <c r="BP22" s="7"/>
      <c r="BQ22" s="7"/>
      <c r="BR22" s="8"/>
      <c r="BS22" s="8"/>
      <c r="BT22" s="509"/>
      <c r="BU22" s="491"/>
      <c r="BV22" s="8"/>
      <c r="BW22" s="509"/>
      <c r="BX22" s="491"/>
      <c r="BY22" s="8"/>
      <c r="BZ22" s="509"/>
      <c r="CA22" s="752"/>
      <c r="CE22" s="736" t="e">
        <f>IF('School Profile'!#REF!="","",'School Profile'!#REF!)</f>
        <v>#REF!</v>
      </c>
    </row>
    <row r="23" spans="1:83" ht="24.95" customHeight="1">
      <c r="A23" s="468">
        <f>IF('Student DATA Entry'!A20="","",'Student DATA Entry'!A20)</f>
        <v>17</v>
      </c>
      <c r="B23" s="459">
        <f>IF('Student DATA Entry'!B20="","",'Student DATA Entry'!B20)</f>
        <v>917</v>
      </c>
      <c r="C23" s="459">
        <f>IF('Student DATA Entry'!C20="","",'Student DATA Entry'!C20)</f>
        <v>9</v>
      </c>
      <c r="D23" s="459" t="str">
        <f>IF('Student DATA Entry'!D20="","",'Student DATA Entry'!D20)</f>
        <v>A</v>
      </c>
      <c r="E23" s="459" t="str">
        <f>IF('Student DATA Entry'!E20="","",'Student DATA Entry'!E20)</f>
        <v/>
      </c>
      <c r="F23" s="460" t="str">
        <f>IF('Student DATA Entry'!K20="","",'Student DATA Entry'!K20)</f>
        <v/>
      </c>
      <c r="G23" s="461" t="str">
        <f>IF('Student DATA Entry'!G20="","",UPPER('Student DATA Entry'!G20))</f>
        <v>FATIMA</v>
      </c>
      <c r="H23" s="461" t="str">
        <f>IF('Student DATA Entry'!H20="","",UPPER('Student DATA Entry'!H20))</f>
        <v/>
      </c>
      <c r="I23" s="462" t="str">
        <f>IF('Student DATA Entry'!I20="","",UPPER('Student DATA Entry'!I20))</f>
        <v/>
      </c>
      <c r="J23" s="463" t="str">
        <f>IF('Student DATA Entry'!L20="","",UPPER('Student DATA Entry'!L20))</f>
        <v/>
      </c>
      <c r="K23" s="469" t="str">
        <f>IF('Student DATA Entry'!J20="","",UPPER('Student DATA Entry'!J20))</f>
        <v/>
      </c>
      <c r="L23" s="491">
        <v>8</v>
      </c>
      <c r="M23" s="8">
        <v>9</v>
      </c>
      <c r="N23" s="8">
        <v>8</v>
      </c>
      <c r="O23" s="9">
        <v>46</v>
      </c>
      <c r="P23" s="492">
        <v>65</v>
      </c>
      <c r="Q23" s="491">
        <v>8</v>
      </c>
      <c r="R23" s="8">
        <v>9</v>
      </c>
      <c r="S23" s="8">
        <v>8</v>
      </c>
      <c r="T23" s="9">
        <v>60</v>
      </c>
      <c r="U23" s="492">
        <v>85</v>
      </c>
      <c r="V23" s="502">
        <v>5</v>
      </c>
      <c r="W23" s="7">
        <v>8</v>
      </c>
      <c r="X23" s="8">
        <v>9</v>
      </c>
      <c r="Y23" s="8">
        <v>9</v>
      </c>
      <c r="Z23" s="9">
        <v>46</v>
      </c>
      <c r="AA23" s="492">
        <v>45</v>
      </c>
      <c r="AB23" s="491">
        <v>8</v>
      </c>
      <c r="AC23" s="8">
        <v>9</v>
      </c>
      <c r="AD23" s="8">
        <v>8</v>
      </c>
      <c r="AE23" s="9">
        <v>46</v>
      </c>
      <c r="AF23" s="492">
        <v>45</v>
      </c>
      <c r="AG23" s="491">
        <v>8</v>
      </c>
      <c r="AH23" s="8">
        <v>9</v>
      </c>
      <c r="AI23" s="8">
        <v>7</v>
      </c>
      <c r="AJ23" s="9">
        <v>46</v>
      </c>
      <c r="AK23" s="492">
        <v>45</v>
      </c>
      <c r="AL23" s="491">
        <v>8</v>
      </c>
      <c r="AM23" s="8">
        <v>8</v>
      </c>
      <c r="AN23" s="8">
        <v>8</v>
      </c>
      <c r="AO23" s="9">
        <v>46</v>
      </c>
      <c r="AP23" s="492">
        <v>45</v>
      </c>
      <c r="AQ23" s="506"/>
      <c r="AR23" s="491"/>
      <c r="AS23" s="8"/>
      <c r="AT23" s="8"/>
      <c r="AU23" s="9"/>
      <c r="AV23" s="9"/>
      <c r="AW23" s="17"/>
      <c r="AX23" s="492"/>
      <c r="AY23" s="491"/>
      <c r="AZ23" s="7"/>
      <c r="BA23" s="9"/>
      <c r="BB23" s="9"/>
      <c r="BC23" s="492"/>
      <c r="BD23" s="491"/>
      <c r="BE23" s="7"/>
      <c r="BF23" s="7"/>
      <c r="BG23" s="7"/>
      <c r="BH23" s="9"/>
      <c r="BI23" s="9"/>
      <c r="BJ23" s="492"/>
      <c r="BK23" s="491"/>
      <c r="BL23" s="7"/>
      <c r="BM23" s="7"/>
      <c r="BN23" s="7"/>
      <c r="BO23" s="7"/>
      <c r="BP23" s="7"/>
      <c r="BQ23" s="7"/>
      <c r="BR23" s="8"/>
      <c r="BS23" s="8"/>
      <c r="BT23" s="509"/>
      <c r="BU23" s="491"/>
      <c r="BV23" s="8"/>
      <c r="BW23" s="509"/>
      <c r="BX23" s="491"/>
      <c r="BY23" s="8"/>
      <c r="BZ23" s="509"/>
      <c r="CA23" s="752"/>
      <c r="CE23" s="736" t="e">
        <f>IF('School Profile'!#REF!="","",'School Profile'!#REF!)</f>
        <v>#REF!</v>
      </c>
    </row>
    <row r="24" spans="1:83" ht="24.95" customHeight="1">
      <c r="A24" s="468">
        <f>IF('Student DATA Entry'!A21="","",'Student DATA Entry'!A21)</f>
        <v>18</v>
      </c>
      <c r="B24" s="459">
        <f>IF('Student DATA Entry'!B21="","",'Student DATA Entry'!B21)</f>
        <v>918</v>
      </c>
      <c r="C24" s="459">
        <f>IF('Student DATA Entry'!C21="","",'Student DATA Entry'!C21)</f>
        <v>9</v>
      </c>
      <c r="D24" s="459" t="str">
        <f>IF('Student DATA Entry'!D21="","",'Student DATA Entry'!D21)</f>
        <v>A</v>
      </c>
      <c r="E24" s="459" t="str">
        <f>IF('Student DATA Entry'!E21="","",'Student DATA Entry'!E21)</f>
        <v/>
      </c>
      <c r="F24" s="460" t="str">
        <f>IF('Student DATA Entry'!K21="","",'Student DATA Entry'!K21)</f>
        <v/>
      </c>
      <c r="G24" s="461" t="str">
        <f>IF('Student DATA Entry'!G21="","",UPPER('Student DATA Entry'!G21))</f>
        <v>LAXMI</v>
      </c>
      <c r="H24" s="461" t="str">
        <f>IF('Student DATA Entry'!H21="","",UPPER('Student DATA Entry'!H21))</f>
        <v/>
      </c>
      <c r="I24" s="462" t="str">
        <f>IF('Student DATA Entry'!I21="","",UPPER('Student DATA Entry'!I21))</f>
        <v/>
      </c>
      <c r="J24" s="463" t="str">
        <f>IF('Student DATA Entry'!L21="","",UPPER('Student DATA Entry'!L21))</f>
        <v/>
      </c>
      <c r="K24" s="469" t="str">
        <f>IF('Student DATA Entry'!J21="","",UPPER('Student DATA Entry'!J21))</f>
        <v/>
      </c>
      <c r="L24" s="491">
        <v>8</v>
      </c>
      <c r="M24" s="8">
        <v>9</v>
      </c>
      <c r="N24" s="8">
        <v>8</v>
      </c>
      <c r="O24" s="9">
        <v>46</v>
      </c>
      <c r="P24" s="492">
        <v>65</v>
      </c>
      <c r="Q24" s="491">
        <v>8</v>
      </c>
      <c r="R24" s="8">
        <v>9</v>
      </c>
      <c r="S24" s="8">
        <v>8</v>
      </c>
      <c r="T24" s="9">
        <v>60</v>
      </c>
      <c r="U24" s="492">
        <v>85</v>
      </c>
      <c r="V24" s="502">
        <v>2</v>
      </c>
      <c r="W24" s="7">
        <v>8</v>
      </c>
      <c r="X24" s="8">
        <v>9</v>
      </c>
      <c r="Y24" s="8">
        <v>9</v>
      </c>
      <c r="Z24" s="9">
        <v>46</v>
      </c>
      <c r="AA24" s="492">
        <v>45</v>
      </c>
      <c r="AB24" s="491">
        <v>8</v>
      </c>
      <c r="AC24" s="8">
        <v>9</v>
      </c>
      <c r="AD24" s="8">
        <v>7</v>
      </c>
      <c r="AE24" s="9">
        <v>46</v>
      </c>
      <c r="AF24" s="492">
        <v>45</v>
      </c>
      <c r="AG24" s="491">
        <v>8</v>
      </c>
      <c r="AH24" s="8">
        <v>9</v>
      </c>
      <c r="AI24" s="8">
        <v>7</v>
      </c>
      <c r="AJ24" s="9">
        <v>46</v>
      </c>
      <c r="AK24" s="492">
        <v>45</v>
      </c>
      <c r="AL24" s="491">
        <v>8</v>
      </c>
      <c r="AM24" s="8">
        <v>8</v>
      </c>
      <c r="AN24" s="8">
        <v>8</v>
      </c>
      <c r="AO24" s="9">
        <v>46</v>
      </c>
      <c r="AP24" s="492">
        <v>45</v>
      </c>
      <c r="AQ24" s="506"/>
      <c r="AR24" s="491"/>
      <c r="AS24" s="8"/>
      <c r="AT24" s="8"/>
      <c r="AU24" s="9"/>
      <c r="AV24" s="9"/>
      <c r="AW24" s="17"/>
      <c r="AX24" s="492"/>
      <c r="AY24" s="491"/>
      <c r="AZ24" s="7"/>
      <c r="BA24" s="9"/>
      <c r="BB24" s="9"/>
      <c r="BC24" s="492"/>
      <c r="BD24" s="491"/>
      <c r="BE24" s="7"/>
      <c r="BF24" s="7"/>
      <c r="BG24" s="7"/>
      <c r="BH24" s="9"/>
      <c r="BI24" s="9"/>
      <c r="BJ24" s="492"/>
      <c r="BK24" s="491"/>
      <c r="BL24" s="7"/>
      <c r="BM24" s="7"/>
      <c r="BN24" s="7"/>
      <c r="BO24" s="7"/>
      <c r="BP24" s="7"/>
      <c r="BQ24" s="7"/>
      <c r="BR24" s="8"/>
      <c r="BS24" s="8"/>
      <c r="BT24" s="509"/>
      <c r="BU24" s="491"/>
      <c r="BV24" s="8"/>
      <c r="BW24" s="509"/>
      <c r="BX24" s="491"/>
      <c r="BY24" s="8"/>
      <c r="BZ24" s="509"/>
      <c r="CA24" s="752"/>
      <c r="CE24" s="736" t="e">
        <f>IF('School Profile'!#REF!="","",'School Profile'!#REF!)</f>
        <v>#REF!</v>
      </c>
    </row>
    <row r="25" spans="1:83" ht="24.95" customHeight="1">
      <c r="A25" s="468">
        <f>IF('Student DATA Entry'!A22="","",'Student DATA Entry'!A22)</f>
        <v>19</v>
      </c>
      <c r="B25" s="459">
        <f>IF('Student DATA Entry'!B22="","",'Student DATA Entry'!B22)</f>
        <v>919</v>
      </c>
      <c r="C25" s="459">
        <f>IF('Student DATA Entry'!C22="","",'Student DATA Entry'!C22)</f>
        <v>9</v>
      </c>
      <c r="D25" s="459" t="str">
        <f>IF('Student DATA Entry'!D22="","",'Student DATA Entry'!D22)</f>
        <v>A</v>
      </c>
      <c r="E25" s="459" t="str">
        <f>IF('Student DATA Entry'!E22="","",'Student DATA Entry'!E22)</f>
        <v/>
      </c>
      <c r="F25" s="460" t="str">
        <f>IF('Student DATA Entry'!K22="","",'Student DATA Entry'!K22)</f>
        <v/>
      </c>
      <c r="G25" s="461" t="str">
        <f>IF('Student DATA Entry'!G22="","",UPPER('Student DATA Entry'!G22))</f>
        <v>RAZA</v>
      </c>
      <c r="H25" s="461" t="str">
        <f>IF('Student DATA Entry'!H22="","",UPPER('Student DATA Entry'!H22))</f>
        <v/>
      </c>
      <c r="I25" s="462" t="str">
        <f>IF('Student DATA Entry'!I22="","",UPPER('Student DATA Entry'!I22))</f>
        <v/>
      </c>
      <c r="J25" s="463" t="str">
        <f>IF('Student DATA Entry'!L22="","",UPPER('Student DATA Entry'!L22))</f>
        <v/>
      </c>
      <c r="K25" s="469" t="str">
        <f>IF('Student DATA Entry'!J22="","",UPPER('Student DATA Entry'!J22))</f>
        <v/>
      </c>
      <c r="L25" s="491">
        <v>8</v>
      </c>
      <c r="M25" s="8">
        <v>9</v>
      </c>
      <c r="N25" s="8">
        <v>8</v>
      </c>
      <c r="O25" s="9">
        <v>46</v>
      </c>
      <c r="P25" s="492">
        <v>65</v>
      </c>
      <c r="Q25" s="491">
        <v>8</v>
      </c>
      <c r="R25" s="8">
        <v>9</v>
      </c>
      <c r="S25" s="8">
        <v>8</v>
      </c>
      <c r="T25" s="9">
        <v>60</v>
      </c>
      <c r="U25" s="492">
        <v>85</v>
      </c>
      <c r="V25" s="502">
        <v>2</v>
      </c>
      <c r="W25" s="7">
        <v>8</v>
      </c>
      <c r="X25" s="8">
        <v>9</v>
      </c>
      <c r="Y25" s="8">
        <v>9</v>
      </c>
      <c r="Z25" s="9">
        <v>46</v>
      </c>
      <c r="AA25" s="492">
        <v>45</v>
      </c>
      <c r="AB25" s="491">
        <v>8</v>
      </c>
      <c r="AC25" s="8">
        <v>9</v>
      </c>
      <c r="AD25" s="8">
        <v>7</v>
      </c>
      <c r="AE25" s="9">
        <v>46</v>
      </c>
      <c r="AF25" s="492">
        <v>45</v>
      </c>
      <c r="AG25" s="491">
        <v>8</v>
      </c>
      <c r="AH25" s="8">
        <v>9</v>
      </c>
      <c r="AI25" s="8">
        <v>7</v>
      </c>
      <c r="AJ25" s="9">
        <v>46</v>
      </c>
      <c r="AK25" s="492">
        <v>45</v>
      </c>
      <c r="AL25" s="491">
        <v>8</v>
      </c>
      <c r="AM25" s="8">
        <v>8</v>
      </c>
      <c r="AN25" s="8">
        <v>8</v>
      </c>
      <c r="AO25" s="9">
        <v>46</v>
      </c>
      <c r="AP25" s="492">
        <v>45</v>
      </c>
      <c r="AQ25" s="506"/>
      <c r="AR25" s="491"/>
      <c r="AS25" s="8"/>
      <c r="AT25" s="8"/>
      <c r="AU25" s="9"/>
      <c r="AV25" s="9"/>
      <c r="AW25" s="17"/>
      <c r="AX25" s="492"/>
      <c r="AY25" s="491"/>
      <c r="AZ25" s="7"/>
      <c r="BA25" s="9"/>
      <c r="BB25" s="9"/>
      <c r="BC25" s="492"/>
      <c r="BD25" s="491"/>
      <c r="BE25" s="7"/>
      <c r="BF25" s="7"/>
      <c r="BG25" s="7"/>
      <c r="BH25" s="9"/>
      <c r="BI25" s="9"/>
      <c r="BJ25" s="492"/>
      <c r="BK25" s="491"/>
      <c r="BL25" s="7"/>
      <c r="BM25" s="7"/>
      <c r="BN25" s="7"/>
      <c r="BO25" s="7"/>
      <c r="BP25" s="7"/>
      <c r="BQ25" s="7"/>
      <c r="BR25" s="8"/>
      <c r="BS25" s="8"/>
      <c r="BT25" s="509"/>
      <c r="BU25" s="491"/>
      <c r="BV25" s="8"/>
      <c r="BW25" s="509"/>
      <c r="BX25" s="491"/>
      <c r="BY25" s="8"/>
      <c r="BZ25" s="509"/>
      <c r="CA25" s="752"/>
      <c r="CE25" s="736" t="e">
        <f>IF('School Profile'!#REF!="","",'School Profile'!#REF!)</f>
        <v>#REF!</v>
      </c>
    </row>
    <row r="26" spans="1:83" ht="24.95" customHeight="1">
      <c r="A26" s="468">
        <f>IF('Student DATA Entry'!A23="","",'Student DATA Entry'!A23)</f>
        <v>20</v>
      </c>
      <c r="B26" s="459">
        <f>IF('Student DATA Entry'!B23="","",'Student DATA Entry'!B23)</f>
        <v>920</v>
      </c>
      <c r="C26" s="459">
        <f>IF('Student DATA Entry'!C23="","",'Student DATA Entry'!C23)</f>
        <v>9</v>
      </c>
      <c r="D26" s="459" t="str">
        <f>IF('Student DATA Entry'!D23="","",'Student DATA Entry'!D23)</f>
        <v>A</v>
      </c>
      <c r="E26" s="459" t="str">
        <f>IF('Student DATA Entry'!E23="","",'Student DATA Entry'!E23)</f>
        <v/>
      </c>
      <c r="F26" s="460" t="str">
        <f>IF('Student DATA Entry'!K23="","",'Student DATA Entry'!K23)</f>
        <v/>
      </c>
      <c r="G26" s="461" t="str">
        <f>IF('Student DATA Entry'!G23="","",UPPER('Student DATA Entry'!G23))</f>
        <v>ROZA</v>
      </c>
      <c r="H26" s="461" t="str">
        <f>IF('Student DATA Entry'!H23="","",UPPER('Student DATA Entry'!H23))</f>
        <v/>
      </c>
      <c r="I26" s="462" t="str">
        <f>IF('Student DATA Entry'!I23="","",UPPER('Student DATA Entry'!I23))</f>
        <v/>
      </c>
      <c r="J26" s="463" t="str">
        <f>IF('Student DATA Entry'!L23="","",UPPER('Student DATA Entry'!L23))</f>
        <v/>
      </c>
      <c r="K26" s="469" t="str">
        <f>IF('Student DATA Entry'!J23="","",UPPER('Student DATA Entry'!J23))</f>
        <v/>
      </c>
      <c r="L26" s="491">
        <v>8</v>
      </c>
      <c r="M26" s="8">
        <v>9</v>
      </c>
      <c r="N26" s="8">
        <v>8</v>
      </c>
      <c r="O26" s="9">
        <v>46</v>
      </c>
      <c r="P26" s="492">
        <v>65</v>
      </c>
      <c r="Q26" s="491">
        <v>8</v>
      </c>
      <c r="R26" s="8">
        <v>9</v>
      </c>
      <c r="S26" s="8">
        <v>8</v>
      </c>
      <c r="T26" s="9">
        <v>60</v>
      </c>
      <c r="U26" s="492">
        <v>85</v>
      </c>
      <c r="V26" s="502">
        <v>4</v>
      </c>
      <c r="W26" s="7">
        <v>8</v>
      </c>
      <c r="X26" s="8">
        <v>9</v>
      </c>
      <c r="Y26" s="8">
        <v>9</v>
      </c>
      <c r="Z26" s="9">
        <v>46</v>
      </c>
      <c r="AA26" s="492">
        <v>45</v>
      </c>
      <c r="AB26" s="491">
        <v>8</v>
      </c>
      <c r="AC26" s="8">
        <v>9</v>
      </c>
      <c r="AD26" s="8">
        <v>7</v>
      </c>
      <c r="AE26" s="9">
        <v>46</v>
      </c>
      <c r="AF26" s="492">
        <v>45</v>
      </c>
      <c r="AG26" s="491">
        <v>8</v>
      </c>
      <c r="AH26" s="8">
        <v>9</v>
      </c>
      <c r="AI26" s="8">
        <v>7</v>
      </c>
      <c r="AJ26" s="9">
        <v>46</v>
      </c>
      <c r="AK26" s="492">
        <v>45</v>
      </c>
      <c r="AL26" s="491">
        <v>8</v>
      </c>
      <c r="AM26" s="8">
        <v>8</v>
      </c>
      <c r="AN26" s="8">
        <v>8</v>
      </c>
      <c r="AO26" s="9">
        <v>46</v>
      </c>
      <c r="AP26" s="492">
        <v>45</v>
      </c>
      <c r="AQ26" s="506"/>
      <c r="AR26" s="491"/>
      <c r="AS26" s="8"/>
      <c r="AT26" s="8"/>
      <c r="AU26" s="9"/>
      <c r="AV26" s="9"/>
      <c r="AW26" s="17"/>
      <c r="AX26" s="492"/>
      <c r="AY26" s="491"/>
      <c r="AZ26" s="7"/>
      <c r="BA26" s="9"/>
      <c r="BB26" s="9"/>
      <c r="BC26" s="492"/>
      <c r="BD26" s="491"/>
      <c r="BE26" s="7"/>
      <c r="BF26" s="7"/>
      <c r="BG26" s="7"/>
      <c r="BH26" s="9"/>
      <c r="BI26" s="9"/>
      <c r="BJ26" s="492"/>
      <c r="BK26" s="491"/>
      <c r="BL26" s="7"/>
      <c r="BM26" s="7"/>
      <c r="BN26" s="7"/>
      <c r="BO26" s="7"/>
      <c r="BP26" s="7"/>
      <c r="BQ26" s="7"/>
      <c r="BR26" s="8"/>
      <c r="BS26" s="8"/>
      <c r="BT26" s="509"/>
      <c r="BU26" s="491"/>
      <c r="BV26" s="8"/>
      <c r="BW26" s="509"/>
      <c r="BX26" s="491"/>
      <c r="BY26" s="8"/>
      <c r="BZ26" s="509"/>
      <c r="CA26" s="752"/>
      <c r="CE26" s="736" t="e">
        <f>IF('School Profile'!#REF!="","",'School Profile'!#REF!)</f>
        <v>#REF!</v>
      </c>
    </row>
    <row r="27" spans="1:83" ht="24.95" customHeight="1">
      <c r="A27" s="468">
        <f>IF('Student DATA Entry'!A24="","",'Student DATA Entry'!A24)</f>
        <v>21</v>
      </c>
      <c r="B27" s="459">
        <f>IF('Student DATA Entry'!B24="","",'Student DATA Entry'!B24)</f>
        <v>921</v>
      </c>
      <c r="C27" s="459">
        <f>IF('Student DATA Entry'!C24="","",'Student DATA Entry'!C24)</f>
        <v>9</v>
      </c>
      <c r="D27" s="459" t="str">
        <f>IF('Student DATA Entry'!D24="","",'Student DATA Entry'!D24)</f>
        <v>A</v>
      </c>
      <c r="E27" s="459" t="str">
        <f>IF('Student DATA Entry'!E24="","",'Student DATA Entry'!E24)</f>
        <v/>
      </c>
      <c r="F27" s="460" t="str">
        <f>IF('Student DATA Entry'!K24="","",'Student DATA Entry'!K24)</f>
        <v/>
      </c>
      <c r="G27" s="461" t="str">
        <f>IF('Student DATA Entry'!G24="","",UPPER('Student DATA Entry'!G24))</f>
        <v>VILIAM</v>
      </c>
      <c r="H27" s="461" t="str">
        <f>IF('Student DATA Entry'!H24="","",UPPER('Student DATA Entry'!H24))</f>
        <v/>
      </c>
      <c r="I27" s="462" t="str">
        <f>IF('Student DATA Entry'!I24="","",UPPER('Student DATA Entry'!I24))</f>
        <v/>
      </c>
      <c r="J27" s="463" t="str">
        <f>IF('Student DATA Entry'!L24="","",UPPER('Student DATA Entry'!L24))</f>
        <v/>
      </c>
      <c r="K27" s="469" t="str">
        <f>IF('Student DATA Entry'!J24="","",UPPER('Student DATA Entry'!J24))</f>
        <v/>
      </c>
      <c r="L27" s="491">
        <v>8</v>
      </c>
      <c r="M27" s="8">
        <v>9</v>
      </c>
      <c r="N27" s="8">
        <v>8</v>
      </c>
      <c r="O27" s="9">
        <v>46</v>
      </c>
      <c r="P27" s="492">
        <v>65</v>
      </c>
      <c r="Q27" s="491">
        <v>8</v>
      </c>
      <c r="R27" s="8">
        <v>9</v>
      </c>
      <c r="S27" s="8">
        <v>8</v>
      </c>
      <c r="T27" s="9">
        <v>60</v>
      </c>
      <c r="U27" s="492">
        <v>85</v>
      </c>
      <c r="V27" s="502">
        <v>2</v>
      </c>
      <c r="W27" s="7">
        <v>8</v>
      </c>
      <c r="X27" s="8">
        <v>9</v>
      </c>
      <c r="Y27" s="8">
        <v>9</v>
      </c>
      <c r="Z27" s="9">
        <v>46</v>
      </c>
      <c r="AA27" s="492">
        <v>45</v>
      </c>
      <c r="AB27" s="491">
        <v>8</v>
      </c>
      <c r="AC27" s="8">
        <v>9</v>
      </c>
      <c r="AD27" s="8">
        <v>7</v>
      </c>
      <c r="AE27" s="9">
        <v>46</v>
      </c>
      <c r="AF27" s="492">
        <v>45</v>
      </c>
      <c r="AG27" s="491">
        <v>8</v>
      </c>
      <c r="AH27" s="8">
        <v>9</v>
      </c>
      <c r="AI27" s="8">
        <v>7</v>
      </c>
      <c r="AJ27" s="9">
        <v>46</v>
      </c>
      <c r="AK27" s="492">
        <v>45</v>
      </c>
      <c r="AL27" s="491">
        <v>8</v>
      </c>
      <c r="AM27" s="8">
        <v>8</v>
      </c>
      <c r="AN27" s="8">
        <v>8</v>
      </c>
      <c r="AO27" s="9">
        <v>46</v>
      </c>
      <c r="AP27" s="492">
        <v>45</v>
      </c>
      <c r="AQ27" s="506"/>
      <c r="AR27" s="491"/>
      <c r="AS27" s="8"/>
      <c r="AT27" s="8"/>
      <c r="AU27" s="9"/>
      <c r="AV27" s="9"/>
      <c r="AW27" s="17"/>
      <c r="AX27" s="492"/>
      <c r="AY27" s="491"/>
      <c r="AZ27" s="7"/>
      <c r="BA27" s="9"/>
      <c r="BB27" s="9"/>
      <c r="BC27" s="492"/>
      <c r="BD27" s="491"/>
      <c r="BE27" s="7"/>
      <c r="BF27" s="7"/>
      <c r="BG27" s="7"/>
      <c r="BH27" s="9"/>
      <c r="BI27" s="9"/>
      <c r="BJ27" s="492"/>
      <c r="BK27" s="491"/>
      <c r="BL27" s="7"/>
      <c r="BM27" s="7"/>
      <c r="BN27" s="7"/>
      <c r="BO27" s="7"/>
      <c r="BP27" s="7"/>
      <c r="BQ27" s="7"/>
      <c r="BR27" s="8"/>
      <c r="BS27" s="8"/>
      <c r="BT27" s="509"/>
      <c r="BU27" s="491"/>
      <c r="BV27" s="8"/>
      <c r="BW27" s="509"/>
      <c r="BX27" s="491"/>
      <c r="BY27" s="8"/>
      <c r="BZ27" s="509"/>
      <c r="CA27" s="752"/>
      <c r="CE27" s="736" t="e">
        <f>IF('School Profile'!#REF!="","",'School Profile'!#REF!)</f>
        <v>#REF!</v>
      </c>
    </row>
    <row r="28" spans="1:83" ht="24.95" customHeight="1">
      <c r="A28" s="468">
        <f>IF('Student DATA Entry'!A25="","",'Student DATA Entry'!A25)</f>
        <v>22</v>
      </c>
      <c r="B28" s="459">
        <f>IF('Student DATA Entry'!B25="","",'Student DATA Entry'!B25)</f>
        <v>922</v>
      </c>
      <c r="C28" s="459">
        <f>IF('Student DATA Entry'!C25="","",'Student DATA Entry'!C25)</f>
        <v>9</v>
      </c>
      <c r="D28" s="459" t="str">
        <f>IF('Student DATA Entry'!D25="","",'Student DATA Entry'!D25)</f>
        <v>A</v>
      </c>
      <c r="E28" s="459" t="str">
        <f>IF('Student DATA Entry'!E25="","",'Student DATA Entry'!E25)</f>
        <v/>
      </c>
      <c r="F28" s="460" t="str">
        <f>IF('Student DATA Entry'!K25="","",'Student DATA Entry'!K25)</f>
        <v/>
      </c>
      <c r="G28" s="461" t="str">
        <f>IF('Student DATA Entry'!G25="","",UPPER('Student DATA Entry'!G25))</f>
        <v>ROZER</v>
      </c>
      <c r="H28" s="461" t="str">
        <f>IF('Student DATA Entry'!H25="","",UPPER('Student DATA Entry'!H25))</f>
        <v/>
      </c>
      <c r="I28" s="462" t="str">
        <f>IF('Student DATA Entry'!I25="","",UPPER('Student DATA Entry'!I25))</f>
        <v/>
      </c>
      <c r="J28" s="463" t="str">
        <f>IF('Student DATA Entry'!L25="","",UPPER('Student DATA Entry'!L25))</f>
        <v/>
      </c>
      <c r="K28" s="469" t="str">
        <f>IF('Student DATA Entry'!J25="","",UPPER('Student DATA Entry'!J25))</f>
        <v/>
      </c>
      <c r="L28" s="491">
        <v>8</v>
      </c>
      <c r="M28" s="8">
        <v>9</v>
      </c>
      <c r="N28" s="8">
        <v>8</v>
      </c>
      <c r="O28" s="9">
        <v>46</v>
      </c>
      <c r="P28" s="492">
        <v>65</v>
      </c>
      <c r="Q28" s="491">
        <v>8</v>
      </c>
      <c r="R28" s="8">
        <v>9</v>
      </c>
      <c r="S28" s="8">
        <v>8</v>
      </c>
      <c r="T28" s="9">
        <v>60</v>
      </c>
      <c r="U28" s="492">
        <v>85</v>
      </c>
      <c r="V28" s="502">
        <v>2</v>
      </c>
      <c r="W28" s="7">
        <v>8</v>
      </c>
      <c r="X28" s="8">
        <v>9</v>
      </c>
      <c r="Y28" s="8">
        <v>10</v>
      </c>
      <c r="Z28" s="9">
        <v>46</v>
      </c>
      <c r="AA28" s="492">
        <v>45</v>
      </c>
      <c r="AB28" s="491">
        <v>8</v>
      </c>
      <c r="AC28" s="8">
        <v>9</v>
      </c>
      <c r="AD28" s="8">
        <v>9</v>
      </c>
      <c r="AE28" s="9">
        <v>46</v>
      </c>
      <c r="AF28" s="492">
        <v>45</v>
      </c>
      <c r="AG28" s="491">
        <v>8</v>
      </c>
      <c r="AH28" s="8">
        <v>9</v>
      </c>
      <c r="AI28" s="8">
        <v>7</v>
      </c>
      <c r="AJ28" s="9">
        <v>46</v>
      </c>
      <c r="AK28" s="492">
        <v>45</v>
      </c>
      <c r="AL28" s="491">
        <v>8</v>
      </c>
      <c r="AM28" s="8">
        <v>8</v>
      </c>
      <c r="AN28" s="8">
        <v>8</v>
      </c>
      <c r="AO28" s="9">
        <v>46</v>
      </c>
      <c r="AP28" s="492">
        <v>45</v>
      </c>
      <c r="AQ28" s="506"/>
      <c r="AR28" s="491"/>
      <c r="AS28" s="8"/>
      <c r="AT28" s="8"/>
      <c r="AU28" s="9"/>
      <c r="AV28" s="9"/>
      <c r="AW28" s="17"/>
      <c r="AX28" s="492"/>
      <c r="AY28" s="491"/>
      <c r="AZ28" s="7"/>
      <c r="BA28" s="9"/>
      <c r="BB28" s="9"/>
      <c r="BC28" s="492"/>
      <c r="BD28" s="491"/>
      <c r="BE28" s="7"/>
      <c r="BF28" s="7"/>
      <c r="BG28" s="7"/>
      <c r="BH28" s="9"/>
      <c r="BI28" s="9"/>
      <c r="BJ28" s="492"/>
      <c r="BK28" s="491"/>
      <c r="BL28" s="7"/>
      <c r="BM28" s="7"/>
      <c r="BN28" s="7"/>
      <c r="BO28" s="7"/>
      <c r="BP28" s="7"/>
      <c r="BQ28" s="7"/>
      <c r="BR28" s="8"/>
      <c r="BS28" s="8"/>
      <c r="BT28" s="509"/>
      <c r="BU28" s="491"/>
      <c r="BV28" s="8"/>
      <c r="BW28" s="509"/>
      <c r="BX28" s="491"/>
      <c r="BY28" s="8"/>
      <c r="BZ28" s="509"/>
      <c r="CA28" s="752"/>
      <c r="CE28" s="736" t="e">
        <f>IF('School Profile'!#REF!="","",'School Profile'!#REF!)</f>
        <v>#REF!</v>
      </c>
    </row>
    <row r="29" spans="1:83" ht="24.95" customHeight="1">
      <c r="A29" s="468">
        <f>IF('Student DATA Entry'!A26="","",'Student DATA Entry'!A26)</f>
        <v>23</v>
      </c>
      <c r="B29" s="459">
        <f>IF('Student DATA Entry'!B26="","",'Student DATA Entry'!B26)</f>
        <v>923</v>
      </c>
      <c r="C29" s="459">
        <f>IF('Student DATA Entry'!C26="","",'Student DATA Entry'!C26)</f>
        <v>9</v>
      </c>
      <c r="D29" s="459" t="str">
        <f>IF('Student DATA Entry'!D26="","",'Student DATA Entry'!D26)</f>
        <v>A</v>
      </c>
      <c r="E29" s="459" t="str">
        <f>IF('Student DATA Entry'!E26="","",'Student DATA Entry'!E26)</f>
        <v/>
      </c>
      <c r="F29" s="460" t="str">
        <f>IF('Student DATA Entry'!K26="","",'Student DATA Entry'!K26)</f>
        <v/>
      </c>
      <c r="G29" s="461" t="str">
        <f>IF('Student DATA Entry'!G26="","",UPPER('Student DATA Entry'!G26))</f>
        <v>DINESH</v>
      </c>
      <c r="H29" s="461" t="str">
        <f>IF('Student DATA Entry'!H26="","",UPPER('Student DATA Entry'!H26))</f>
        <v/>
      </c>
      <c r="I29" s="462" t="str">
        <f>IF('Student DATA Entry'!I26="","",UPPER('Student DATA Entry'!I26))</f>
        <v/>
      </c>
      <c r="J29" s="463" t="str">
        <f>IF('Student DATA Entry'!L26="","",UPPER('Student DATA Entry'!L26))</f>
        <v/>
      </c>
      <c r="K29" s="469" t="str">
        <f>IF('Student DATA Entry'!J26="","",UPPER('Student DATA Entry'!J26))</f>
        <v/>
      </c>
      <c r="L29" s="491">
        <v>8</v>
      </c>
      <c r="M29" s="8">
        <v>9</v>
      </c>
      <c r="N29" s="8">
        <v>8</v>
      </c>
      <c r="O29" s="9">
        <v>46</v>
      </c>
      <c r="P29" s="492">
        <v>65</v>
      </c>
      <c r="Q29" s="491">
        <v>8</v>
      </c>
      <c r="R29" s="8">
        <v>9</v>
      </c>
      <c r="S29" s="8">
        <v>8</v>
      </c>
      <c r="T29" s="9">
        <v>60</v>
      </c>
      <c r="U29" s="492">
        <v>85</v>
      </c>
      <c r="V29" s="502">
        <v>3</v>
      </c>
      <c r="W29" s="7">
        <v>8</v>
      </c>
      <c r="X29" s="8">
        <v>9</v>
      </c>
      <c r="Y29" s="8">
        <v>8</v>
      </c>
      <c r="Z29" s="9">
        <v>46</v>
      </c>
      <c r="AA29" s="492">
        <v>45</v>
      </c>
      <c r="AB29" s="491">
        <v>8</v>
      </c>
      <c r="AC29" s="8">
        <v>9</v>
      </c>
      <c r="AD29" s="8">
        <v>9</v>
      </c>
      <c r="AE29" s="9">
        <v>46</v>
      </c>
      <c r="AF29" s="492">
        <v>45</v>
      </c>
      <c r="AG29" s="491">
        <v>8</v>
      </c>
      <c r="AH29" s="8">
        <v>9</v>
      </c>
      <c r="AI29" s="8">
        <v>7</v>
      </c>
      <c r="AJ29" s="9">
        <v>46</v>
      </c>
      <c r="AK29" s="492">
        <v>45</v>
      </c>
      <c r="AL29" s="491">
        <v>8</v>
      </c>
      <c r="AM29" s="8">
        <v>8</v>
      </c>
      <c r="AN29" s="8">
        <v>8</v>
      </c>
      <c r="AO29" s="9">
        <v>46</v>
      </c>
      <c r="AP29" s="492">
        <v>45</v>
      </c>
      <c r="AQ29" s="506"/>
      <c r="AR29" s="491"/>
      <c r="AS29" s="8"/>
      <c r="AT29" s="8"/>
      <c r="AU29" s="9"/>
      <c r="AV29" s="9"/>
      <c r="AW29" s="17"/>
      <c r="AX29" s="492"/>
      <c r="AY29" s="491"/>
      <c r="AZ29" s="7"/>
      <c r="BA29" s="9"/>
      <c r="BB29" s="9"/>
      <c r="BC29" s="492"/>
      <c r="BD29" s="491"/>
      <c r="BE29" s="7"/>
      <c r="BF29" s="7"/>
      <c r="BG29" s="7"/>
      <c r="BH29" s="9"/>
      <c r="BI29" s="9"/>
      <c r="BJ29" s="492"/>
      <c r="BK29" s="491"/>
      <c r="BL29" s="7"/>
      <c r="BM29" s="7"/>
      <c r="BN29" s="7"/>
      <c r="BO29" s="7"/>
      <c r="BP29" s="7"/>
      <c r="BQ29" s="7"/>
      <c r="BR29" s="8"/>
      <c r="BS29" s="8"/>
      <c r="BT29" s="509"/>
      <c r="BU29" s="491"/>
      <c r="BV29" s="8"/>
      <c r="BW29" s="509"/>
      <c r="BX29" s="491"/>
      <c r="BY29" s="8"/>
      <c r="BZ29" s="509"/>
      <c r="CA29" s="752"/>
      <c r="CE29" s="736" t="e">
        <f>IF('School Profile'!#REF!="","",'School Profile'!#REF!)</f>
        <v>#REF!</v>
      </c>
    </row>
    <row r="30" spans="1:83" ht="24.95" customHeight="1">
      <c r="A30" s="468">
        <f>IF('Student DATA Entry'!A27="","",'Student DATA Entry'!A27)</f>
        <v>24</v>
      </c>
      <c r="B30" s="459">
        <f>IF('Student DATA Entry'!B27="","",'Student DATA Entry'!B27)</f>
        <v>924</v>
      </c>
      <c r="C30" s="459">
        <f>IF('Student DATA Entry'!C27="","",'Student DATA Entry'!C27)</f>
        <v>9</v>
      </c>
      <c r="D30" s="459" t="str">
        <f>IF('Student DATA Entry'!D27="","",'Student DATA Entry'!D27)</f>
        <v>A</v>
      </c>
      <c r="E30" s="459" t="str">
        <f>IF('Student DATA Entry'!E27="","",'Student DATA Entry'!E27)</f>
        <v/>
      </c>
      <c r="F30" s="460" t="str">
        <f>IF('Student DATA Entry'!K27="","",'Student DATA Entry'!K27)</f>
        <v/>
      </c>
      <c r="G30" s="461" t="str">
        <f>IF('Student DATA Entry'!G27="","",UPPER('Student DATA Entry'!G27))</f>
        <v>MAHESH</v>
      </c>
      <c r="H30" s="461" t="str">
        <f>IF('Student DATA Entry'!H27="","",UPPER('Student DATA Entry'!H27))</f>
        <v/>
      </c>
      <c r="I30" s="462" t="str">
        <f>IF('Student DATA Entry'!I27="","",UPPER('Student DATA Entry'!I27))</f>
        <v/>
      </c>
      <c r="J30" s="463" t="str">
        <f>IF('Student DATA Entry'!L27="","",UPPER('Student DATA Entry'!L27))</f>
        <v/>
      </c>
      <c r="K30" s="469" t="str">
        <f>IF('Student DATA Entry'!J27="","",UPPER('Student DATA Entry'!J27))</f>
        <v/>
      </c>
      <c r="L30" s="491">
        <v>8</v>
      </c>
      <c r="M30" s="8">
        <v>9</v>
      </c>
      <c r="N30" s="8">
        <v>8</v>
      </c>
      <c r="O30" s="9">
        <v>46</v>
      </c>
      <c r="P30" s="492">
        <v>65</v>
      </c>
      <c r="Q30" s="491">
        <v>8</v>
      </c>
      <c r="R30" s="8">
        <v>9</v>
      </c>
      <c r="S30" s="8">
        <v>7</v>
      </c>
      <c r="T30" s="9">
        <v>60</v>
      </c>
      <c r="U30" s="492">
        <v>85</v>
      </c>
      <c r="V30" s="502">
        <v>1</v>
      </c>
      <c r="W30" s="7">
        <v>8</v>
      </c>
      <c r="X30" s="8">
        <v>9</v>
      </c>
      <c r="Y30" s="8">
        <v>9</v>
      </c>
      <c r="Z30" s="9">
        <v>46</v>
      </c>
      <c r="AA30" s="492">
        <v>45</v>
      </c>
      <c r="AB30" s="491">
        <v>8</v>
      </c>
      <c r="AC30" s="8">
        <v>9</v>
      </c>
      <c r="AD30" s="8">
        <v>8</v>
      </c>
      <c r="AE30" s="9">
        <v>46</v>
      </c>
      <c r="AF30" s="492">
        <v>45</v>
      </c>
      <c r="AG30" s="491">
        <v>8</v>
      </c>
      <c r="AH30" s="8">
        <v>9</v>
      </c>
      <c r="AI30" s="8">
        <v>7</v>
      </c>
      <c r="AJ30" s="9">
        <v>46</v>
      </c>
      <c r="AK30" s="492">
        <v>45</v>
      </c>
      <c r="AL30" s="491">
        <v>8</v>
      </c>
      <c r="AM30" s="8">
        <v>8</v>
      </c>
      <c r="AN30" s="8">
        <v>8</v>
      </c>
      <c r="AO30" s="9">
        <v>46</v>
      </c>
      <c r="AP30" s="492">
        <v>45</v>
      </c>
      <c r="AQ30" s="506"/>
      <c r="AR30" s="491"/>
      <c r="AS30" s="8"/>
      <c r="AT30" s="8"/>
      <c r="AU30" s="9"/>
      <c r="AV30" s="9"/>
      <c r="AW30" s="17"/>
      <c r="AX30" s="492"/>
      <c r="AY30" s="491"/>
      <c r="AZ30" s="7"/>
      <c r="BA30" s="9"/>
      <c r="BB30" s="9"/>
      <c r="BC30" s="492"/>
      <c r="BD30" s="491"/>
      <c r="BE30" s="7"/>
      <c r="BF30" s="7"/>
      <c r="BG30" s="7"/>
      <c r="BH30" s="9"/>
      <c r="BI30" s="9"/>
      <c r="BJ30" s="492"/>
      <c r="BK30" s="491"/>
      <c r="BL30" s="7"/>
      <c r="BM30" s="7"/>
      <c r="BN30" s="7"/>
      <c r="BO30" s="7"/>
      <c r="BP30" s="7"/>
      <c r="BQ30" s="7"/>
      <c r="BR30" s="8"/>
      <c r="BS30" s="8"/>
      <c r="BT30" s="509"/>
      <c r="BU30" s="491"/>
      <c r="BV30" s="8"/>
      <c r="BW30" s="509"/>
      <c r="BX30" s="491"/>
      <c r="BY30" s="8"/>
      <c r="BZ30" s="509"/>
      <c r="CA30" s="752"/>
      <c r="CE30" s="736" t="e">
        <f>IF('School Profile'!#REF!="","",'School Profile'!#REF!)</f>
        <v>#REF!</v>
      </c>
    </row>
    <row r="31" spans="1:83" ht="24.95" customHeight="1">
      <c r="A31" s="468">
        <f>IF('Student DATA Entry'!A28="","",'Student DATA Entry'!A28)</f>
        <v>25</v>
      </c>
      <c r="B31" s="459">
        <f>IF('Student DATA Entry'!B28="","",'Student DATA Entry'!B28)</f>
        <v>925</v>
      </c>
      <c r="C31" s="459">
        <f>IF('Student DATA Entry'!C28="","",'Student DATA Entry'!C28)</f>
        <v>9</v>
      </c>
      <c r="D31" s="459" t="str">
        <f>IF('Student DATA Entry'!D28="","",'Student DATA Entry'!D28)</f>
        <v>A</v>
      </c>
      <c r="E31" s="459" t="str">
        <f>IF('Student DATA Entry'!E28="","",'Student DATA Entry'!E28)</f>
        <v/>
      </c>
      <c r="F31" s="460" t="str">
        <f>IF('Student DATA Entry'!K28="","",'Student DATA Entry'!K28)</f>
        <v/>
      </c>
      <c r="G31" s="461" t="str">
        <f>IF('Student DATA Entry'!G28="","",UPPER('Student DATA Entry'!G28))</f>
        <v>RINA</v>
      </c>
      <c r="H31" s="461" t="str">
        <f>IF('Student DATA Entry'!H28="","",UPPER('Student DATA Entry'!H28))</f>
        <v/>
      </c>
      <c r="I31" s="462" t="str">
        <f>IF('Student DATA Entry'!I28="","",UPPER('Student DATA Entry'!I28))</f>
        <v/>
      </c>
      <c r="J31" s="463" t="str">
        <f>IF('Student DATA Entry'!L28="","",UPPER('Student DATA Entry'!L28))</f>
        <v/>
      </c>
      <c r="K31" s="469" t="str">
        <f>IF('Student DATA Entry'!J28="","",UPPER('Student DATA Entry'!J28))</f>
        <v/>
      </c>
      <c r="L31" s="491">
        <v>8</v>
      </c>
      <c r="M31" s="8">
        <v>9</v>
      </c>
      <c r="N31" s="8">
        <v>8</v>
      </c>
      <c r="O31" s="9">
        <v>46</v>
      </c>
      <c r="P31" s="492">
        <v>65</v>
      </c>
      <c r="Q31" s="491">
        <v>8</v>
      </c>
      <c r="R31" s="8">
        <v>9</v>
      </c>
      <c r="S31" s="8">
        <v>7</v>
      </c>
      <c r="T31" s="9">
        <v>60</v>
      </c>
      <c r="U31" s="492">
        <v>85</v>
      </c>
      <c r="V31" s="502">
        <v>3</v>
      </c>
      <c r="W31" s="7">
        <v>8</v>
      </c>
      <c r="X31" s="8">
        <v>9</v>
      </c>
      <c r="Y31" s="8">
        <v>9</v>
      </c>
      <c r="Z31" s="9">
        <v>46</v>
      </c>
      <c r="AA31" s="492">
        <v>45</v>
      </c>
      <c r="AB31" s="491">
        <v>8</v>
      </c>
      <c r="AC31" s="8">
        <v>9</v>
      </c>
      <c r="AD31" s="8">
        <v>8</v>
      </c>
      <c r="AE31" s="9">
        <v>46</v>
      </c>
      <c r="AF31" s="492">
        <v>45</v>
      </c>
      <c r="AG31" s="491">
        <v>8</v>
      </c>
      <c r="AH31" s="8">
        <v>9</v>
      </c>
      <c r="AI31" s="8">
        <v>7</v>
      </c>
      <c r="AJ31" s="9">
        <v>46</v>
      </c>
      <c r="AK31" s="492">
        <v>45</v>
      </c>
      <c r="AL31" s="491">
        <v>8</v>
      </c>
      <c r="AM31" s="8">
        <v>8</v>
      </c>
      <c r="AN31" s="8">
        <v>8</v>
      </c>
      <c r="AO31" s="9">
        <v>46</v>
      </c>
      <c r="AP31" s="492">
        <v>45</v>
      </c>
      <c r="AQ31" s="506"/>
      <c r="AR31" s="491"/>
      <c r="AS31" s="8"/>
      <c r="AT31" s="8"/>
      <c r="AU31" s="9"/>
      <c r="AV31" s="9"/>
      <c r="AW31" s="17"/>
      <c r="AX31" s="492"/>
      <c r="AY31" s="491"/>
      <c r="AZ31" s="7"/>
      <c r="BA31" s="9"/>
      <c r="BB31" s="9"/>
      <c r="BC31" s="492"/>
      <c r="BD31" s="491"/>
      <c r="BE31" s="7"/>
      <c r="BF31" s="7"/>
      <c r="BG31" s="7"/>
      <c r="BH31" s="9"/>
      <c r="BI31" s="9"/>
      <c r="BJ31" s="492"/>
      <c r="BK31" s="491"/>
      <c r="BL31" s="7"/>
      <c r="BM31" s="7"/>
      <c r="BN31" s="7"/>
      <c r="BO31" s="7"/>
      <c r="BP31" s="7"/>
      <c r="BQ31" s="7"/>
      <c r="BR31" s="8"/>
      <c r="BS31" s="8"/>
      <c r="BT31" s="509"/>
      <c r="BU31" s="491"/>
      <c r="BV31" s="8"/>
      <c r="BW31" s="509"/>
      <c r="BX31" s="491"/>
      <c r="BY31" s="8"/>
      <c r="BZ31" s="509"/>
      <c r="CA31" s="752"/>
      <c r="CE31" s="736" t="e">
        <f>IF('School Profile'!#REF!="","",'School Profile'!#REF!)</f>
        <v>#REF!</v>
      </c>
    </row>
    <row r="32" spans="1:83" ht="24.95" customHeight="1">
      <c r="A32" s="468">
        <f>IF('Student DATA Entry'!A29="","",'Student DATA Entry'!A29)</f>
        <v>26</v>
      </c>
      <c r="B32" s="459">
        <f>IF('Student DATA Entry'!B29="","",'Student DATA Entry'!B29)</f>
        <v>926</v>
      </c>
      <c r="C32" s="459">
        <f>IF('Student DATA Entry'!C29="","",'Student DATA Entry'!C29)</f>
        <v>9</v>
      </c>
      <c r="D32" s="459" t="str">
        <f>IF('Student DATA Entry'!D29="","",'Student DATA Entry'!D29)</f>
        <v>A</v>
      </c>
      <c r="E32" s="459" t="str">
        <f>IF('Student DATA Entry'!E29="","",'Student DATA Entry'!E29)</f>
        <v/>
      </c>
      <c r="F32" s="460" t="str">
        <f>IF('Student DATA Entry'!K29="","",'Student DATA Entry'!K29)</f>
        <v/>
      </c>
      <c r="G32" s="461" t="str">
        <f>IF('Student DATA Entry'!G29="","",UPPER('Student DATA Entry'!G29))</f>
        <v>DIZA</v>
      </c>
      <c r="H32" s="461" t="str">
        <f>IF('Student DATA Entry'!H29="","",UPPER('Student DATA Entry'!H29))</f>
        <v/>
      </c>
      <c r="I32" s="462" t="str">
        <f>IF('Student DATA Entry'!I29="","",UPPER('Student DATA Entry'!I29))</f>
        <v/>
      </c>
      <c r="J32" s="463" t="str">
        <f>IF('Student DATA Entry'!L29="","",UPPER('Student DATA Entry'!L29))</f>
        <v/>
      </c>
      <c r="K32" s="469" t="str">
        <f>IF('Student DATA Entry'!J29="","",UPPER('Student DATA Entry'!J29))</f>
        <v/>
      </c>
      <c r="L32" s="491">
        <v>8</v>
      </c>
      <c r="M32" s="8">
        <v>9</v>
      </c>
      <c r="N32" s="8">
        <v>8</v>
      </c>
      <c r="O32" s="9">
        <v>46</v>
      </c>
      <c r="P32" s="492">
        <v>65</v>
      </c>
      <c r="Q32" s="491">
        <v>8</v>
      </c>
      <c r="R32" s="8">
        <v>9</v>
      </c>
      <c r="S32" s="8">
        <v>7</v>
      </c>
      <c r="T32" s="9">
        <v>60</v>
      </c>
      <c r="U32" s="492">
        <v>85</v>
      </c>
      <c r="V32" s="502">
        <v>4</v>
      </c>
      <c r="W32" s="7">
        <v>8</v>
      </c>
      <c r="X32" s="8">
        <v>9</v>
      </c>
      <c r="Y32" s="8"/>
      <c r="Z32" s="9">
        <v>46</v>
      </c>
      <c r="AA32" s="492">
        <v>45</v>
      </c>
      <c r="AB32" s="491">
        <v>8</v>
      </c>
      <c r="AC32" s="8">
        <v>9</v>
      </c>
      <c r="AD32" s="8">
        <v>8</v>
      </c>
      <c r="AE32" s="9">
        <v>46</v>
      </c>
      <c r="AF32" s="492">
        <v>45</v>
      </c>
      <c r="AG32" s="491">
        <v>8</v>
      </c>
      <c r="AH32" s="8">
        <v>9</v>
      </c>
      <c r="AI32" s="8">
        <v>7</v>
      </c>
      <c r="AJ32" s="9">
        <v>46</v>
      </c>
      <c r="AK32" s="492">
        <v>45</v>
      </c>
      <c r="AL32" s="491">
        <v>8</v>
      </c>
      <c r="AM32" s="8">
        <v>8</v>
      </c>
      <c r="AN32" s="8">
        <v>8</v>
      </c>
      <c r="AO32" s="9">
        <v>46</v>
      </c>
      <c r="AP32" s="492">
        <v>45</v>
      </c>
      <c r="AQ32" s="506"/>
      <c r="AR32" s="491"/>
      <c r="AS32" s="8"/>
      <c r="AT32" s="8"/>
      <c r="AU32" s="9"/>
      <c r="AV32" s="9"/>
      <c r="AW32" s="17"/>
      <c r="AX32" s="492"/>
      <c r="AY32" s="491"/>
      <c r="AZ32" s="7"/>
      <c r="BA32" s="9"/>
      <c r="BB32" s="9"/>
      <c r="BC32" s="492"/>
      <c r="BD32" s="491"/>
      <c r="BE32" s="7"/>
      <c r="BF32" s="7"/>
      <c r="BG32" s="7"/>
      <c r="BH32" s="9"/>
      <c r="BI32" s="9"/>
      <c r="BJ32" s="492"/>
      <c r="BK32" s="491"/>
      <c r="BL32" s="7"/>
      <c r="BM32" s="7"/>
      <c r="BN32" s="7"/>
      <c r="BO32" s="7"/>
      <c r="BP32" s="7"/>
      <c r="BQ32" s="7"/>
      <c r="BR32" s="8"/>
      <c r="BS32" s="8"/>
      <c r="BT32" s="509"/>
      <c r="BU32" s="491"/>
      <c r="BV32" s="8"/>
      <c r="BW32" s="509"/>
      <c r="BX32" s="491"/>
      <c r="BY32" s="8"/>
      <c r="BZ32" s="509"/>
      <c r="CA32" s="752"/>
      <c r="CE32" s="736" t="e">
        <f>IF('School Profile'!#REF!="","",'School Profile'!#REF!)</f>
        <v>#REF!</v>
      </c>
    </row>
    <row r="33" spans="1:83" ht="24.95" customHeight="1">
      <c r="A33" s="468">
        <f>IF('Student DATA Entry'!A30="","",'Student DATA Entry'!A30)</f>
        <v>27</v>
      </c>
      <c r="B33" s="459">
        <f>IF('Student DATA Entry'!B30="","",'Student DATA Entry'!B30)</f>
        <v>927</v>
      </c>
      <c r="C33" s="459">
        <f>IF('Student DATA Entry'!C30="","",'Student DATA Entry'!C30)</f>
        <v>9</v>
      </c>
      <c r="D33" s="459" t="str">
        <f>IF('Student DATA Entry'!D30="","",'Student DATA Entry'!D30)</f>
        <v>A</v>
      </c>
      <c r="E33" s="459" t="str">
        <f>IF('Student DATA Entry'!E30="","",'Student DATA Entry'!E30)</f>
        <v/>
      </c>
      <c r="F33" s="460" t="str">
        <f>IF('Student DATA Entry'!K30="","",'Student DATA Entry'!K30)</f>
        <v/>
      </c>
      <c r="G33" s="461" t="str">
        <f>IF('Student DATA Entry'!G30="","",UPPER('Student DATA Entry'!G30))</f>
        <v>BIPASA</v>
      </c>
      <c r="H33" s="461" t="str">
        <f>IF('Student DATA Entry'!H30="","",UPPER('Student DATA Entry'!H30))</f>
        <v/>
      </c>
      <c r="I33" s="462" t="str">
        <f>IF('Student DATA Entry'!I30="","",UPPER('Student DATA Entry'!I30))</f>
        <v/>
      </c>
      <c r="J33" s="463" t="str">
        <f>IF('Student DATA Entry'!L30="","",UPPER('Student DATA Entry'!L30))</f>
        <v/>
      </c>
      <c r="K33" s="469" t="str">
        <f>IF('Student DATA Entry'!J30="","",UPPER('Student DATA Entry'!J30))</f>
        <v/>
      </c>
      <c r="L33" s="491">
        <v>8</v>
      </c>
      <c r="M33" s="8">
        <v>9</v>
      </c>
      <c r="N33" s="8">
        <v>8</v>
      </c>
      <c r="O33" s="9">
        <v>46</v>
      </c>
      <c r="P33" s="492">
        <v>45</v>
      </c>
      <c r="Q33" s="491">
        <v>8</v>
      </c>
      <c r="R33" s="8">
        <v>9</v>
      </c>
      <c r="S33" s="8">
        <v>7</v>
      </c>
      <c r="T33" s="9">
        <v>60</v>
      </c>
      <c r="U33" s="492">
        <v>85</v>
      </c>
      <c r="V33" s="502">
        <v>5</v>
      </c>
      <c r="W33" s="7">
        <v>8</v>
      </c>
      <c r="X33" s="8">
        <v>9</v>
      </c>
      <c r="Y33" s="8"/>
      <c r="Z33" s="9">
        <v>46</v>
      </c>
      <c r="AA33" s="492">
        <v>45</v>
      </c>
      <c r="AB33" s="491">
        <v>8</v>
      </c>
      <c r="AC33" s="8">
        <v>9</v>
      </c>
      <c r="AD33" s="8">
        <v>8</v>
      </c>
      <c r="AE33" s="9">
        <v>46</v>
      </c>
      <c r="AF33" s="492">
        <v>45</v>
      </c>
      <c r="AG33" s="491">
        <v>8</v>
      </c>
      <c r="AH33" s="8">
        <v>9</v>
      </c>
      <c r="AI33" s="8">
        <v>7</v>
      </c>
      <c r="AJ33" s="9">
        <v>46</v>
      </c>
      <c r="AK33" s="492">
        <v>45</v>
      </c>
      <c r="AL33" s="491">
        <v>8</v>
      </c>
      <c r="AM33" s="8">
        <v>8</v>
      </c>
      <c r="AN33" s="8">
        <v>8</v>
      </c>
      <c r="AO33" s="9">
        <v>46</v>
      </c>
      <c r="AP33" s="492">
        <v>45</v>
      </c>
      <c r="AQ33" s="506"/>
      <c r="AR33" s="491"/>
      <c r="AS33" s="8"/>
      <c r="AT33" s="8"/>
      <c r="AU33" s="9"/>
      <c r="AV33" s="9"/>
      <c r="AW33" s="17"/>
      <c r="AX33" s="492"/>
      <c r="AY33" s="491"/>
      <c r="AZ33" s="7"/>
      <c r="BA33" s="9"/>
      <c r="BB33" s="9"/>
      <c r="BC33" s="492"/>
      <c r="BD33" s="491"/>
      <c r="BE33" s="7"/>
      <c r="BF33" s="7"/>
      <c r="BG33" s="7"/>
      <c r="BH33" s="9"/>
      <c r="BI33" s="9"/>
      <c r="BJ33" s="492"/>
      <c r="BK33" s="491"/>
      <c r="BL33" s="7"/>
      <c r="BM33" s="7"/>
      <c r="BN33" s="7"/>
      <c r="BO33" s="7"/>
      <c r="BP33" s="7"/>
      <c r="BQ33" s="7"/>
      <c r="BR33" s="8"/>
      <c r="BS33" s="8"/>
      <c r="BT33" s="509"/>
      <c r="BU33" s="491"/>
      <c r="BV33" s="8"/>
      <c r="BW33" s="509"/>
      <c r="BX33" s="491"/>
      <c r="BY33" s="8"/>
      <c r="BZ33" s="509"/>
      <c r="CA33" s="752"/>
      <c r="CE33" s="736" t="e">
        <f>IF('School Profile'!#REF!="","",'School Profile'!#REF!)</f>
        <v>#REF!</v>
      </c>
    </row>
    <row r="34" spans="1:83" ht="24.95" customHeight="1">
      <c r="A34" s="468">
        <f>IF('Student DATA Entry'!A31="","",'Student DATA Entry'!A31)</f>
        <v>28</v>
      </c>
      <c r="B34" s="459">
        <f>IF('Student DATA Entry'!B31="","",'Student DATA Entry'!B31)</f>
        <v>928</v>
      </c>
      <c r="C34" s="459">
        <f>IF('Student DATA Entry'!C31="","",'Student DATA Entry'!C31)</f>
        <v>9</v>
      </c>
      <c r="D34" s="459" t="str">
        <f>IF('Student DATA Entry'!D31="","",'Student DATA Entry'!D31)</f>
        <v>A</v>
      </c>
      <c r="E34" s="459" t="str">
        <f>IF('Student DATA Entry'!E31="","",'Student DATA Entry'!E31)</f>
        <v/>
      </c>
      <c r="F34" s="460" t="str">
        <f>IF('Student DATA Entry'!K31="","",'Student DATA Entry'!K31)</f>
        <v/>
      </c>
      <c r="G34" s="461" t="str">
        <f>IF('Student DATA Entry'!G31="","",UPPER('Student DATA Entry'!G31))</f>
        <v>DIMPLE</v>
      </c>
      <c r="H34" s="461" t="str">
        <f>IF('Student DATA Entry'!H31="","",UPPER('Student DATA Entry'!H31))</f>
        <v/>
      </c>
      <c r="I34" s="462" t="str">
        <f>IF('Student DATA Entry'!I31="","",UPPER('Student DATA Entry'!I31))</f>
        <v/>
      </c>
      <c r="J34" s="463" t="str">
        <f>IF('Student DATA Entry'!L31="","",UPPER('Student DATA Entry'!L31))</f>
        <v/>
      </c>
      <c r="K34" s="469" t="str">
        <f>IF('Student DATA Entry'!J31="","",UPPER('Student DATA Entry'!J31))</f>
        <v/>
      </c>
      <c r="L34" s="491">
        <v>8</v>
      </c>
      <c r="M34" s="8">
        <v>9</v>
      </c>
      <c r="N34" s="8">
        <v>8</v>
      </c>
      <c r="O34" s="9">
        <v>46</v>
      </c>
      <c r="P34" s="492">
        <v>45</v>
      </c>
      <c r="Q34" s="491">
        <v>8</v>
      </c>
      <c r="R34" s="8">
        <v>9</v>
      </c>
      <c r="S34" s="8">
        <v>7</v>
      </c>
      <c r="T34" s="9">
        <v>60</v>
      </c>
      <c r="U34" s="492">
        <v>85</v>
      </c>
      <c r="V34" s="502">
        <v>1</v>
      </c>
      <c r="W34" s="7">
        <v>8</v>
      </c>
      <c r="X34" s="8">
        <v>9</v>
      </c>
      <c r="Y34" s="8"/>
      <c r="Z34" s="9">
        <v>46</v>
      </c>
      <c r="AA34" s="492">
        <v>45</v>
      </c>
      <c r="AB34" s="491">
        <v>8</v>
      </c>
      <c r="AC34" s="8">
        <v>9</v>
      </c>
      <c r="AD34" s="8">
        <v>7</v>
      </c>
      <c r="AE34" s="9">
        <v>46</v>
      </c>
      <c r="AF34" s="492">
        <v>45</v>
      </c>
      <c r="AG34" s="491">
        <v>8</v>
      </c>
      <c r="AH34" s="8">
        <v>9</v>
      </c>
      <c r="AI34" s="8">
        <v>7</v>
      </c>
      <c r="AJ34" s="9">
        <v>46</v>
      </c>
      <c r="AK34" s="492">
        <v>45</v>
      </c>
      <c r="AL34" s="491">
        <v>8</v>
      </c>
      <c r="AM34" s="8">
        <v>8</v>
      </c>
      <c r="AN34" s="8">
        <v>8</v>
      </c>
      <c r="AO34" s="9">
        <v>46</v>
      </c>
      <c r="AP34" s="492">
        <v>45</v>
      </c>
      <c r="AQ34" s="506"/>
      <c r="AR34" s="491"/>
      <c r="AS34" s="8"/>
      <c r="AT34" s="8"/>
      <c r="AU34" s="9"/>
      <c r="AV34" s="9"/>
      <c r="AW34" s="17"/>
      <c r="AX34" s="492"/>
      <c r="AY34" s="491"/>
      <c r="AZ34" s="7"/>
      <c r="BA34" s="9"/>
      <c r="BB34" s="9"/>
      <c r="BC34" s="492"/>
      <c r="BD34" s="491"/>
      <c r="BE34" s="7"/>
      <c r="BF34" s="7"/>
      <c r="BG34" s="7"/>
      <c r="BH34" s="9"/>
      <c r="BI34" s="9"/>
      <c r="BJ34" s="492"/>
      <c r="BK34" s="491"/>
      <c r="BL34" s="7"/>
      <c r="BM34" s="7"/>
      <c r="BN34" s="7"/>
      <c r="BO34" s="7"/>
      <c r="BP34" s="7"/>
      <c r="BQ34" s="7"/>
      <c r="BR34" s="8"/>
      <c r="BS34" s="8"/>
      <c r="BT34" s="509"/>
      <c r="BU34" s="491"/>
      <c r="BV34" s="8"/>
      <c r="BW34" s="509"/>
      <c r="BX34" s="491"/>
      <c r="BY34" s="8"/>
      <c r="BZ34" s="509"/>
      <c r="CA34" s="752"/>
      <c r="CE34" s="736" t="e">
        <f>IF('School Profile'!#REF!="","",'School Profile'!#REF!)</f>
        <v>#REF!</v>
      </c>
    </row>
    <row r="35" spans="1:83" ht="24.95" customHeight="1">
      <c r="A35" s="468">
        <f>IF('Student DATA Entry'!A32="","",'Student DATA Entry'!A32)</f>
        <v>29</v>
      </c>
      <c r="B35" s="459">
        <f>IF('Student DATA Entry'!B32="","",'Student DATA Entry'!B32)</f>
        <v>929</v>
      </c>
      <c r="C35" s="459">
        <f>IF('Student DATA Entry'!C32="","",'Student DATA Entry'!C32)</f>
        <v>9</v>
      </c>
      <c r="D35" s="459" t="str">
        <f>IF('Student DATA Entry'!D32="","",'Student DATA Entry'!D32)</f>
        <v>A</v>
      </c>
      <c r="E35" s="459" t="str">
        <f>IF('Student DATA Entry'!E32="","",'Student DATA Entry'!E32)</f>
        <v/>
      </c>
      <c r="F35" s="460" t="str">
        <f>IF('Student DATA Entry'!K32="","",'Student DATA Entry'!K32)</f>
        <v/>
      </c>
      <c r="G35" s="461" t="str">
        <f>IF('Student DATA Entry'!G32="","",UPPER('Student DATA Entry'!G32))</f>
        <v>DIPIKA</v>
      </c>
      <c r="H35" s="461" t="str">
        <f>IF('Student DATA Entry'!H32="","",UPPER('Student DATA Entry'!H32))</f>
        <v/>
      </c>
      <c r="I35" s="462" t="str">
        <f>IF('Student DATA Entry'!I32="","",UPPER('Student DATA Entry'!I32))</f>
        <v/>
      </c>
      <c r="J35" s="463" t="str">
        <f>IF('Student DATA Entry'!L32="","",UPPER('Student DATA Entry'!L32))</f>
        <v/>
      </c>
      <c r="K35" s="469" t="str">
        <f>IF('Student DATA Entry'!J32="","",UPPER('Student DATA Entry'!J32))</f>
        <v/>
      </c>
      <c r="L35" s="491">
        <v>8</v>
      </c>
      <c r="M35" s="8">
        <v>9</v>
      </c>
      <c r="N35" s="8">
        <v>8</v>
      </c>
      <c r="O35" s="9">
        <v>46</v>
      </c>
      <c r="P35" s="492">
        <v>45</v>
      </c>
      <c r="Q35" s="491">
        <v>8</v>
      </c>
      <c r="R35" s="8">
        <v>9</v>
      </c>
      <c r="S35" s="8">
        <v>7</v>
      </c>
      <c r="T35" s="9">
        <v>60</v>
      </c>
      <c r="U35" s="492">
        <v>85</v>
      </c>
      <c r="V35" s="502">
        <v>2</v>
      </c>
      <c r="W35" s="7">
        <v>8</v>
      </c>
      <c r="X35" s="8">
        <v>9</v>
      </c>
      <c r="Y35" s="8"/>
      <c r="Z35" s="9">
        <v>46</v>
      </c>
      <c r="AA35" s="492">
        <v>45</v>
      </c>
      <c r="AB35" s="491">
        <v>8</v>
      </c>
      <c r="AC35" s="8">
        <v>9</v>
      </c>
      <c r="AD35" s="8">
        <v>7</v>
      </c>
      <c r="AE35" s="9">
        <v>46</v>
      </c>
      <c r="AF35" s="492">
        <v>45</v>
      </c>
      <c r="AG35" s="491">
        <v>8</v>
      </c>
      <c r="AH35" s="8">
        <v>9</v>
      </c>
      <c r="AI35" s="8">
        <v>7</v>
      </c>
      <c r="AJ35" s="9">
        <v>46</v>
      </c>
      <c r="AK35" s="492">
        <v>45</v>
      </c>
      <c r="AL35" s="491">
        <v>8</v>
      </c>
      <c r="AM35" s="8">
        <v>8</v>
      </c>
      <c r="AN35" s="8">
        <v>8</v>
      </c>
      <c r="AO35" s="9">
        <v>46</v>
      </c>
      <c r="AP35" s="492">
        <v>45</v>
      </c>
      <c r="AQ35" s="506"/>
      <c r="AR35" s="491"/>
      <c r="AS35" s="8"/>
      <c r="AT35" s="8"/>
      <c r="AU35" s="9"/>
      <c r="AV35" s="9"/>
      <c r="AW35" s="17"/>
      <c r="AX35" s="492"/>
      <c r="AY35" s="491"/>
      <c r="AZ35" s="7"/>
      <c r="BA35" s="9"/>
      <c r="BB35" s="9"/>
      <c r="BC35" s="492"/>
      <c r="BD35" s="491"/>
      <c r="BE35" s="7"/>
      <c r="BF35" s="7"/>
      <c r="BG35" s="7"/>
      <c r="BH35" s="9"/>
      <c r="BI35" s="9"/>
      <c r="BJ35" s="492"/>
      <c r="BK35" s="491"/>
      <c r="BL35" s="7"/>
      <c r="BM35" s="7"/>
      <c r="BN35" s="7"/>
      <c r="BO35" s="7"/>
      <c r="BP35" s="7"/>
      <c r="BQ35" s="7"/>
      <c r="BR35" s="8"/>
      <c r="BS35" s="8"/>
      <c r="BT35" s="509"/>
      <c r="BU35" s="491"/>
      <c r="BV35" s="8"/>
      <c r="BW35" s="509"/>
      <c r="BX35" s="491"/>
      <c r="BY35" s="8"/>
      <c r="BZ35" s="509"/>
      <c r="CA35" s="752"/>
      <c r="CE35" s="736" t="e">
        <f>IF('School Profile'!#REF!="","",'School Profile'!#REF!)</f>
        <v>#REF!</v>
      </c>
    </row>
    <row r="36" spans="1:83" ht="24.95" customHeight="1">
      <c r="A36" s="468">
        <f>IF('Student DATA Entry'!A33="","",'Student DATA Entry'!A33)</f>
        <v>30</v>
      </c>
      <c r="B36" s="459">
        <f>IF('Student DATA Entry'!B33="","",'Student DATA Entry'!B33)</f>
        <v>930</v>
      </c>
      <c r="C36" s="459">
        <f>IF('Student DATA Entry'!C33="","",'Student DATA Entry'!C33)</f>
        <v>9</v>
      </c>
      <c r="D36" s="459" t="str">
        <f>IF('Student DATA Entry'!D33="","",'Student DATA Entry'!D33)</f>
        <v>A</v>
      </c>
      <c r="E36" s="459" t="str">
        <f>IF('Student DATA Entry'!E33="","",'Student DATA Entry'!E33)</f>
        <v/>
      </c>
      <c r="F36" s="460" t="str">
        <f>IF('Student DATA Entry'!K33="","",'Student DATA Entry'!K33)</f>
        <v/>
      </c>
      <c r="G36" s="461" t="str">
        <f>IF('Student DATA Entry'!G33="","",UPPER('Student DATA Entry'!G33))</f>
        <v>DEVENDRA</v>
      </c>
      <c r="H36" s="461" t="str">
        <f>IF('Student DATA Entry'!H33="","",UPPER('Student DATA Entry'!H33))</f>
        <v/>
      </c>
      <c r="I36" s="462" t="str">
        <f>IF('Student DATA Entry'!I33="","",UPPER('Student DATA Entry'!I33))</f>
        <v/>
      </c>
      <c r="J36" s="463" t="str">
        <f>IF('Student DATA Entry'!L33="","",UPPER('Student DATA Entry'!L33))</f>
        <v/>
      </c>
      <c r="K36" s="469" t="str">
        <f>IF('Student DATA Entry'!J33="","",UPPER('Student DATA Entry'!J33))</f>
        <v/>
      </c>
      <c r="L36" s="491">
        <v>8</v>
      </c>
      <c r="M36" s="8">
        <v>9</v>
      </c>
      <c r="N36" s="8">
        <v>8</v>
      </c>
      <c r="O36" s="9">
        <v>46</v>
      </c>
      <c r="P36" s="492">
        <v>45</v>
      </c>
      <c r="Q36" s="491">
        <v>8</v>
      </c>
      <c r="R36" s="8">
        <v>9</v>
      </c>
      <c r="S36" s="8">
        <v>7</v>
      </c>
      <c r="T36" s="9">
        <v>60</v>
      </c>
      <c r="U36" s="492">
        <v>85</v>
      </c>
      <c r="V36" s="502">
        <v>1</v>
      </c>
      <c r="W36" s="7">
        <v>8</v>
      </c>
      <c r="X36" s="8">
        <v>9</v>
      </c>
      <c r="Y36" s="8"/>
      <c r="Z36" s="9">
        <v>46</v>
      </c>
      <c r="AA36" s="492">
        <v>45</v>
      </c>
      <c r="AB36" s="491">
        <v>8</v>
      </c>
      <c r="AC36" s="8">
        <v>9</v>
      </c>
      <c r="AD36" s="8">
        <v>7</v>
      </c>
      <c r="AE36" s="9">
        <v>46</v>
      </c>
      <c r="AF36" s="492">
        <v>45</v>
      </c>
      <c r="AG36" s="491">
        <v>8</v>
      </c>
      <c r="AH36" s="8">
        <v>9</v>
      </c>
      <c r="AI36" s="8">
        <v>7</v>
      </c>
      <c r="AJ36" s="9">
        <v>46</v>
      </c>
      <c r="AK36" s="492">
        <v>45</v>
      </c>
      <c r="AL36" s="491">
        <v>8</v>
      </c>
      <c r="AM36" s="8">
        <v>8</v>
      </c>
      <c r="AN36" s="8">
        <v>8</v>
      </c>
      <c r="AO36" s="9">
        <v>46</v>
      </c>
      <c r="AP36" s="492">
        <v>45</v>
      </c>
      <c r="AQ36" s="506"/>
      <c r="AR36" s="491"/>
      <c r="AS36" s="8"/>
      <c r="AT36" s="8"/>
      <c r="AU36" s="9"/>
      <c r="AV36" s="9"/>
      <c r="AW36" s="17"/>
      <c r="AX36" s="492"/>
      <c r="AY36" s="491"/>
      <c r="AZ36" s="7"/>
      <c r="BA36" s="9"/>
      <c r="BB36" s="9"/>
      <c r="BC36" s="492"/>
      <c r="BD36" s="491"/>
      <c r="BE36" s="7"/>
      <c r="BF36" s="7"/>
      <c r="BG36" s="7"/>
      <c r="BH36" s="9"/>
      <c r="BI36" s="9"/>
      <c r="BJ36" s="492"/>
      <c r="BK36" s="491"/>
      <c r="BL36" s="7"/>
      <c r="BM36" s="7"/>
      <c r="BN36" s="7"/>
      <c r="BO36" s="7"/>
      <c r="BP36" s="7"/>
      <c r="BQ36" s="7"/>
      <c r="BR36" s="8"/>
      <c r="BS36" s="8"/>
      <c r="BT36" s="509"/>
      <c r="BU36" s="491"/>
      <c r="BV36" s="8"/>
      <c r="BW36" s="509"/>
      <c r="BX36" s="491"/>
      <c r="BY36" s="8"/>
      <c r="BZ36" s="509"/>
      <c r="CA36" s="752"/>
      <c r="CE36" s="736" t="e">
        <f>IF('School Profile'!#REF!="","",'School Profile'!#REF!)</f>
        <v>#REF!</v>
      </c>
    </row>
    <row r="37" spans="1:83" ht="24.95" customHeight="1">
      <c r="A37" s="468">
        <f>IF('Student DATA Entry'!A34="","",'Student DATA Entry'!A34)</f>
        <v>31</v>
      </c>
      <c r="B37" s="459">
        <f>IF('Student DATA Entry'!B34="","",'Student DATA Entry'!B34)</f>
        <v>931</v>
      </c>
      <c r="C37" s="459">
        <f>IF('Student DATA Entry'!C34="","",'Student DATA Entry'!C34)</f>
        <v>9</v>
      </c>
      <c r="D37" s="459" t="str">
        <f>IF('Student DATA Entry'!D34="","",'Student DATA Entry'!D34)</f>
        <v>A</v>
      </c>
      <c r="E37" s="459" t="str">
        <f>IF('Student DATA Entry'!E34="","",'Student DATA Entry'!E34)</f>
        <v/>
      </c>
      <c r="F37" s="460" t="str">
        <f>IF('Student DATA Entry'!K34="","",'Student DATA Entry'!K34)</f>
        <v/>
      </c>
      <c r="G37" s="461" t="str">
        <f>IF('Student DATA Entry'!G34="","",UPPER('Student DATA Entry'!G34))</f>
        <v>RAVINDRA</v>
      </c>
      <c r="H37" s="461" t="str">
        <f>IF('Student DATA Entry'!H34="","",UPPER('Student DATA Entry'!H34))</f>
        <v/>
      </c>
      <c r="I37" s="462" t="str">
        <f>IF('Student DATA Entry'!I34="","",UPPER('Student DATA Entry'!I34))</f>
        <v/>
      </c>
      <c r="J37" s="463" t="str">
        <f>IF('Student DATA Entry'!L34="","",UPPER('Student DATA Entry'!L34))</f>
        <v/>
      </c>
      <c r="K37" s="469" t="str">
        <f>IF('Student DATA Entry'!J34="","",UPPER('Student DATA Entry'!J34))</f>
        <v/>
      </c>
      <c r="L37" s="491">
        <v>8</v>
      </c>
      <c r="M37" s="8">
        <v>9</v>
      </c>
      <c r="N37" s="8">
        <v>8</v>
      </c>
      <c r="O37" s="9">
        <v>46</v>
      </c>
      <c r="P37" s="492">
        <v>45</v>
      </c>
      <c r="Q37" s="491">
        <v>8</v>
      </c>
      <c r="R37" s="8">
        <v>9</v>
      </c>
      <c r="S37" s="8">
        <v>7</v>
      </c>
      <c r="T37" s="9">
        <v>60</v>
      </c>
      <c r="U37" s="492">
        <v>85</v>
      </c>
      <c r="V37" s="502">
        <v>1</v>
      </c>
      <c r="W37" s="7">
        <v>8</v>
      </c>
      <c r="X37" s="8">
        <v>9</v>
      </c>
      <c r="Y37" s="8"/>
      <c r="Z37" s="9">
        <v>46</v>
      </c>
      <c r="AA37" s="492">
        <v>45</v>
      </c>
      <c r="AB37" s="491">
        <v>8</v>
      </c>
      <c r="AC37" s="8">
        <v>9</v>
      </c>
      <c r="AD37" s="8">
        <v>8</v>
      </c>
      <c r="AE37" s="9">
        <v>46</v>
      </c>
      <c r="AF37" s="492">
        <v>45</v>
      </c>
      <c r="AG37" s="491">
        <v>8</v>
      </c>
      <c r="AH37" s="8">
        <v>9</v>
      </c>
      <c r="AI37" s="8">
        <v>7</v>
      </c>
      <c r="AJ37" s="9">
        <v>46</v>
      </c>
      <c r="AK37" s="492">
        <v>45</v>
      </c>
      <c r="AL37" s="491">
        <v>8</v>
      </c>
      <c r="AM37" s="8">
        <v>8</v>
      </c>
      <c r="AN37" s="8">
        <v>8</v>
      </c>
      <c r="AO37" s="9">
        <v>46</v>
      </c>
      <c r="AP37" s="492">
        <v>45</v>
      </c>
      <c r="AQ37" s="506"/>
      <c r="AR37" s="491"/>
      <c r="AS37" s="8"/>
      <c r="AT37" s="8"/>
      <c r="AU37" s="9"/>
      <c r="AV37" s="9"/>
      <c r="AW37" s="17"/>
      <c r="AX37" s="492"/>
      <c r="AY37" s="491"/>
      <c r="AZ37" s="7"/>
      <c r="BA37" s="9"/>
      <c r="BB37" s="9"/>
      <c r="BC37" s="492"/>
      <c r="BD37" s="491"/>
      <c r="BE37" s="7"/>
      <c r="BF37" s="7"/>
      <c r="BG37" s="7"/>
      <c r="BH37" s="9"/>
      <c r="BI37" s="9"/>
      <c r="BJ37" s="492"/>
      <c r="BK37" s="491"/>
      <c r="BL37" s="7"/>
      <c r="BM37" s="7"/>
      <c r="BN37" s="7"/>
      <c r="BO37" s="7"/>
      <c r="BP37" s="7"/>
      <c r="BQ37" s="7"/>
      <c r="BR37" s="8"/>
      <c r="BS37" s="8"/>
      <c r="BT37" s="509"/>
      <c r="BU37" s="491"/>
      <c r="BV37" s="8"/>
      <c r="BW37" s="509"/>
      <c r="BX37" s="491"/>
      <c r="BY37" s="8"/>
      <c r="BZ37" s="509"/>
      <c r="CA37" s="752"/>
      <c r="CE37" s="736" t="e">
        <f>IF('School Profile'!#REF!="","",'School Profile'!#REF!)</f>
        <v>#REF!</v>
      </c>
    </row>
    <row r="38" spans="1:83" ht="24.95" customHeight="1">
      <c r="A38" s="468">
        <f>IF('Student DATA Entry'!A35="","",'Student DATA Entry'!A35)</f>
        <v>32</v>
      </c>
      <c r="B38" s="459" t="str">
        <f>IF('Student DATA Entry'!B35="","",'Student DATA Entry'!B35)</f>
        <v/>
      </c>
      <c r="C38" s="459" t="str">
        <f>IF('Student DATA Entry'!C35="","",'Student DATA Entry'!C35)</f>
        <v/>
      </c>
      <c r="D38" s="459" t="str">
        <f>IF('Student DATA Entry'!D35="","",'Student DATA Entry'!D35)</f>
        <v/>
      </c>
      <c r="E38" s="459" t="str">
        <f>IF('Student DATA Entry'!E35="","",'Student DATA Entry'!E35)</f>
        <v/>
      </c>
      <c r="F38" s="460" t="str">
        <f>IF('Student DATA Entry'!K35="","",'Student DATA Entry'!K35)</f>
        <v/>
      </c>
      <c r="G38" s="461" t="str">
        <f>IF('Student DATA Entry'!G35="","",UPPER('Student DATA Entry'!G35))</f>
        <v/>
      </c>
      <c r="H38" s="461" t="str">
        <f>IF('Student DATA Entry'!H35="","",UPPER('Student DATA Entry'!H35))</f>
        <v/>
      </c>
      <c r="I38" s="462" t="str">
        <f>IF('Student DATA Entry'!I35="","",UPPER('Student DATA Entry'!I35))</f>
        <v/>
      </c>
      <c r="J38" s="463" t="str">
        <f>IF('Student DATA Entry'!L35="","",UPPER('Student DATA Entry'!L35))</f>
        <v/>
      </c>
      <c r="K38" s="469" t="str">
        <f>IF('Student DATA Entry'!J35="","",UPPER('Student DATA Entry'!J35))</f>
        <v/>
      </c>
      <c r="L38" s="491"/>
      <c r="M38" s="8"/>
      <c r="N38" s="8"/>
      <c r="O38" s="9"/>
      <c r="P38" s="492"/>
      <c r="Q38" s="491"/>
      <c r="R38" s="8"/>
      <c r="S38" s="8"/>
      <c r="T38" s="9"/>
      <c r="U38" s="492"/>
      <c r="V38" s="502"/>
      <c r="W38" s="7"/>
      <c r="X38" s="8"/>
      <c r="Y38" s="8"/>
      <c r="Z38" s="9"/>
      <c r="AA38" s="492"/>
      <c r="AB38" s="491"/>
      <c r="AC38" s="8"/>
      <c r="AD38" s="8"/>
      <c r="AE38" s="9"/>
      <c r="AF38" s="492"/>
      <c r="AG38" s="491"/>
      <c r="AH38" s="8"/>
      <c r="AI38" s="8"/>
      <c r="AJ38" s="9"/>
      <c r="AK38" s="492"/>
      <c r="AL38" s="491"/>
      <c r="AM38" s="8"/>
      <c r="AN38" s="8"/>
      <c r="AO38" s="9"/>
      <c r="AP38" s="492"/>
      <c r="AQ38" s="506"/>
      <c r="AR38" s="491"/>
      <c r="AS38" s="8"/>
      <c r="AT38" s="8"/>
      <c r="AU38" s="9"/>
      <c r="AV38" s="9"/>
      <c r="AW38" s="17"/>
      <c r="AX38" s="492"/>
      <c r="AY38" s="491"/>
      <c r="AZ38" s="7"/>
      <c r="BA38" s="9"/>
      <c r="BB38" s="9"/>
      <c r="BC38" s="492"/>
      <c r="BD38" s="491"/>
      <c r="BE38" s="7"/>
      <c r="BF38" s="7"/>
      <c r="BG38" s="7"/>
      <c r="BH38" s="9"/>
      <c r="BI38" s="9"/>
      <c r="BJ38" s="492"/>
      <c r="BK38" s="491"/>
      <c r="BL38" s="7"/>
      <c r="BM38" s="7"/>
      <c r="BN38" s="7"/>
      <c r="BO38" s="7"/>
      <c r="BP38" s="7"/>
      <c r="BQ38" s="7"/>
      <c r="BR38" s="8"/>
      <c r="BS38" s="8"/>
      <c r="BT38" s="509"/>
      <c r="BU38" s="491"/>
      <c r="BV38" s="8"/>
      <c r="BW38" s="509"/>
      <c r="BX38" s="491"/>
      <c r="BY38" s="8"/>
      <c r="BZ38" s="509"/>
      <c r="CA38" s="752"/>
      <c r="CE38" s="736" t="e">
        <f>IF('School Profile'!#REF!="","",'School Profile'!#REF!)</f>
        <v>#REF!</v>
      </c>
    </row>
    <row r="39" spans="1:83" ht="24.95" customHeight="1">
      <c r="A39" s="468">
        <f>IF('Student DATA Entry'!A36="","",'Student DATA Entry'!A36)</f>
        <v>33</v>
      </c>
      <c r="B39" s="459" t="str">
        <f>IF('Student DATA Entry'!B36="","",'Student DATA Entry'!B36)</f>
        <v/>
      </c>
      <c r="C39" s="459" t="str">
        <f>IF('Student DATA Entry'!C36="","",'Student DATA Entry'!C36)</f>
        <v/>
      </c>
      <c r="D39" s="459" t="str">
        <f>IF('Student DATA Entry'!D36="","",'Student DATA Entry'!D36)</f>
        <v/>
      </c>
      <c r="E39" s="459" t="str">
        <f>IF('Student DATA Entry'!E36="","",'Student DATA Entry'!E36)</f>
        <v/>
      </c>
      <c r="F39" s="460" t="str">
        <f>IF('Student DATA Entry'!K36="","",'Student DATA Entry'!K36)</f>
        <v/>
      </c>
      <c r="G39" s="461" t="str">
        <f>IF('Student DATA Entry'!G36="","",UPPER('Student DATA Entry'!G36))</f>
        <v/>
      </c>
      <c r="H39" s="461" t="str">
        <f>IF('Student DATA Entry'!H36="","",UPPER('Student DATA Entry'!H36))</f>
        <v/>
      </c>
      <c r="I39" s="462" t="str">
        <f>IF('Student DATA Entry'!I36="","",UPPER('Student DATA Entry'!I36))</f>
        <v/>
      </c>
      <c r="J39" s="463" t="str">
        <f>IF('Student DATA Entry'!L36="","",UPPER('Student DATA Entry'!L36))</f>
        <v/>
      </c>
      <c r="K39" s="469" t="str">
        <f>IF('Student DATA Entry'!J36="","",UPPER('Student DATA Entry'!J36))</f>
        <v/>
      </c>
      <c r="L39" s="491"/>
      <c r="M39" s="8"/>
      <c r="N39" s="8"/>
      <c r="O39" s="9"/>
      <c r="P39" s="492"/>
      <c r="Q39" s="491"/>
      <c r="R39" s="8"/>
      <c r="S39" s="8"/>
      <c r="T39" s="9"/>
      <c r="U39" s="492"/>
      <c r="V39" s="502"/>
      <c r="W39" s="7"/>
      <c r="X39" s="8"/>
      <c r="Y39" s="8"/>
      <c r="Z39" s="9"/>
      <c r="AA39" s="492"/>
      <c r="AB39" s="491"/>
      <c r="AC39" s="8"/>
      <c r="AD39" s="8"/>
      <c r="AE39" s="9"/>
      <c r="AF39" s="492"/>
      <c r="AG39" s="491"/>
      <c r="AH39" s="8"/>
      <c r="AI39" s="8"/>
      <c r="AJ39" s="9"/>
      <c r="AK39" s="492"/>
      <c r="AL39" s="491"/>
      <c r="AM39" s="8"/>
      <c r="AN39" s="8"/>
      <c r="AO39" s="9"/>
      <c r="AP39" s="492"/>
      <c r="AQ39" s="506"/>
      <c r="AR39" s="491"/>
      <c r="AS39" s="8"/>
      <c r="AT39" s="8"/>
      <c r="AU39" s="9"/>
      <c r="AV39" s="9"/>
      <c r="AW39" s="17"/>
      <c r="AX39" s="492"/>
      <c r="AY39" s="491"/>
      <c r="AZ39" s="7"/>
      <c r="BA39" s="9"/>
      <c r="BB39" s="9"/>
      <c r="BC39" s="492"/>
      <c r="BD39" s="491"/>
      <c r="BE39" s="7"/>
      <c r="BF39" s="7"/>
      <c r="BG39" s="7"/>
      <c r="BH39" s="9"/>
      <c r="BI39" s="9"/>
      <c r="BJ39" s="492"/>
      <c r="BK39" s="491"/>
      <c r="BL39" s="7"/>
      <c r="BM39" s="7"/>
      <c r="BN39" s="7"/>
      <c r="BO39" s="7"/>
      <c r="BP39" s="7"/>
      <c r="BQ39" s="7"/>
      <c r="BR39" s="8"/>
      <c r="BS39" s="8"/>
      <c r="BT39" s="509"/>
      <c r="BU39" s="491"/>
      <c r="BV39" s="8"/>
      <c r="BW39" s="509"/>
      <c r="BX39" s="491"/>
      <c r="BY39" s="8"/>
      <c r="BZ39" s="509"/>
      <c r="CA39" s="752"/>
      <c r="CE39" s="736" t="e">
        <f>IF('School Profile'!#REF!="","",'School Profile'!#REF!)</f>
        <v>#REF!</v>
      </c>
    </row>
    <row r="40" spans="1:83" ht="24.95" customHeight="1">
      <c r="A40" s="468">
        <f>IF('Student DATA Entry'!A37="","",'Student DATA Entry'!A37)</f>
        <v>34</v>
      </c>
      <c r="B40" s="459" t="str">
        <f>IF('Student DATA Entry'!B37="","",'Student DATA Entry'!B37)</f>
        <v/>
      </c>
      <c r="C40" s="459" t="str">
        <f>IF('Student DATA Entry'!C37="","",'Student DATA Entry'!C37)</f>
        <v/>
      </c>
      <c r="D40" s="459" t="str">
        <f>IF('Student DATA Entry'!D37="","",'Student DATA Entry'!D37)</f>
        <v/>
      </c>
      <c r="E40" s="459" t="str">
        <f>IF('Student DATA Entry'!E37="","",'Student DATA Entry'!E37)</f>
        <v/>
      </c>
      <c r="F40" s="460" t="str">
        <f>IF('Student DATA Entry'!K37="","",'Student DATA Entry'!K37)</f>
        <v/>
      </c>
      <c r="G40" s="461" t="str">
        <f>IF('Student DATA Entry'!G37="","",UPPER('Student DATA Entry'!G37))</f>
        <v/>
      </c>
      <c r="H40" s="461" t="str">
        <f>IF('Student DATA Entry'!H37="","",UPPER('Student DATA Entry'!H37))</f>
        <v/>
      </c>
      <c r="I40" s="462" t="str">
        <f>IF('Student DATA Entry'!I37="","",UPPER('Student DATA Entry'!I37))</f>
        <v/>
      </c>
      <c r="J40" s="463" t="str">
        <f>IF('Student DATA Entry'!L37="","",UPPER('Student DATA Entry'!L37))</f>
        <v/>
      </c>
      <c r="K40" s="469" t="str">
        <f>IF('Student DATA Entry'!J37="","",UPPER('Student DATA Entry'!J37))</f>
        <v/>
      </c>
      <c r="L40" s="491"/>
      <c r="M40" s="8"/>
      <c r="N40" s="8"/>
      <c r="O40" s="9"/>
      <c r="P40" s="492"/>
      <c r="Q40" s="491"/>
      <c r="R40" s="8"/>
      <c r="S40" s="8"/>
      <c r="T40" s="9"/>
      <c r="U40" s="492"/>
      <c r="V40" s="502"/>
      <c r="W40" s="7"/>
      <c r="X40" s="8"/>
      <c r="Y40" s="8"/>
      <c r="Z40" s="9"/>
      <c r="AA40" s="492"/>
      <c r="AB40" s="491"/>
      <c r="AC40" s="8"/>
      <c r="AD40" s="8"/>
      <c r="AE40" s="9"/>
      <c r="AF40" s="492"/>
      <c r="AG40" s="491"/>
      <c r="AH40" s="8"/>
      <c r="AI40" s="8"/>
      <c r="AJ40" s="9"/>
      <c r="AK40" s="492"/>
      <c r="AL40" s="491"/>
      <c r="AM40" s="8"/>
      <c r="AN40" s="8"/>
      <c r="AO40" s="9"/>
      <c r="AP40" s="492"/>
      <c r="AQ40" s="506"/>
      <c r="AR40" s="491"/>
      <c r="AS40" s="8"/>
      <c r="AT40" s="8"/>
      <c r="AU40" s="9"/>
      <c r="AV40" s="9"/>
      <c r="AW40" s="17"/>
      <c r="AX40" s="492"/>
      <c r="AY40" s="491"/>
      <c r="AZ40" s="7"/>
      <c r="BA40" s="9"/>
      <c r="BB40" s="9"/>
      <c r="BC40" s="492"/>
      <c r="BD40" s="491"/>
      <c r="BE40" s="7"/>
      <c r="BF40" s="7"/>
      <c r="BG40" s="7"/>
      <c r="BH40" s="9"/>
      <c r="BI40" s="9"/>
      <c r="BJ40" s="492"/>
      <c r="BK40" s="491"/>
      <c r="BL40" s="7"/>
      <c r="BM40" s="7"/>
      <c r="BN40" s="7"/>
      <c r="BO40" s="7"/>
      <c r="BP40" s="7"/>
      <c r="BQ40" s="7"/>
      <c r="BR40" s="8"/>
      <c r="BS40" s="8"/>
      <c r="BT40" s="509"/>
      <c r="BU40" s="491"/>
      <c r="BV40" s="8"/>
      <c r="BW40" s="509"/>
      <c r="BX40" s="491"/>
      <c r="BY40" s="8"/>
      <c r="BZ40" s="509"/>
      <c r="CA40" s="752"/>
      <c r="CE40" s="736" t="e">
        <f>IF('School Profile'!#REF!="","",'School Profile'!#REF!)</f>
        <v>#REF!</v>
      </c>
    </row>
    <row r="41" spans="1:83" ht="24.95" customHeight="1">
      <c r="A41" s="468">
        <f>IF('Student DATA Entry'!A38="","",'Student DATA Entry'!A38)</f>
        <v>35</v>
      </c>
      <c r="B41" s="459" t="str">
        <f>IF('Student DATA Entry'!B38="","",'Student DATA Entry'!B38)</f>
        <v/>
      </c>
      <c r="C41" s="459" t="str">
        <f>IF('Student DATA Entry'!C38="","",'Student DATA Entry'!C38)</f>
        <v/>
      </c>
      <c r="D41" s="459" t="str">
        <f>IF('Student DATA Entry'!D38="","",'Student DATA Entry'!D38)</f>
        <v/>
      </c>
      <c r="E41" s="459" t="str">
        <f>IF('Student DATA Entry'!E38="","",'Student DATA Entry'!E38)</f>
        <v/>
      </c>
      <c r="F41" s="460" t="str">
        <f>IF('Student DATA Entry'!K38="","",'Student DATA Entry'!K38)</f>
        <v/>
      </c>
      <c r="G41" s="461" t="str">
        <f>IF('Student DATA Entry'!G38="","",UPPER('Student DATA Entry'!G38))</f>
        <v/>
      </c>
      <c r="H41" s="461" t="str">
        <f>IF('Student DATA Entry'!H38="","",UPPER('Student DATA Entry'!H38))</f>
        <v/>
      </c>
      <c r="I41" s="462" t="str">
        <f>IF('Student DATA Entry'!I38="","",UPPER('Student DATA Entry'!I38))</f>
        <v/>
      </c>
      <c r="J41" s="463" t="str">
        <f>IF('Student DATA Entry'!L38="","",UPPER('Student DATA Entry'!L38))</f>
        <v/>
      </c>
      <c r="K41" s="469" t="str">
        <f>IF('Student DATA Entry'!J38="","",UPPER('Student DATA Entry'!J38))</f>
        <v/>
      </c>
      <c r="L41" s="491"/>
      <c r="M41" s="8"/>
      <c r="N41" s="8"/>
      <c r="O41" s="9"/>
      <c r="P41" s="492"/>
      <c r="Q41" s="491"/>
      <c r="R41" s="8"/>
      <c r="S41" s="8"/>
      <c r="T41" s="9"/>
      <c r="U41" s="492"/>
      <c r="V41" s="502"/>
      <c r="W41" s="7"/>
      <c r="X41" s="8"/>
      <c r="Y41" s="8"/>
      <c r="Z41" s="9"/>
      <c r="AA41" s="492"/>
      <c r="AB41" s="491"/>
      <c r="AC41" s="8"/>
      <c r="AD41" s="8"/>
      <c r="AE41" s="9"/>
      <c r="AF41" s="492"/>
      <c r="AG41" s="491"/>
      <c r="AH41" s="8"/>
      <c r="AI41" s="8"/>
      <c r="AJ41" s="9"/>
      <c r="AK41" s="492"/>
      <c r="AL41" s="491"/>
      <c r="AM41" s="8"/>
      <c r="AN41" s="8"/>
      <c r="AO41" s="9"/>
      <c r="AP41" s="492"/>
      <c r="AQ41" s="506"/>
      <c r="AR41" s="491"/>
      <c r="AS41" s="8"/>
      <c r="AT41" s="8"/>
      <c r="AU41" s="9"/>
      <c r="AV41" s="9"/>
      <c r="AW41" s="17"/>
      <c r="AX41" s="492"/>
      <c r="AY41" s="491"/>
      <c r="AZ41" s="7"/>
      <c r="BA41" s="9"/>
      <c r="BB41" s="9"/>
      <c r="BC41" s="492"/>
      <c r="BD41" s="491"/>
      <c r="BE41" s="7"/>
      <c r="BF41" s="7"/>
      <c r="BG41" s="7"/>
      <c r="BH41" s="9"/>
      <c r="BI41" s="9"/>
      <c r="BJ41" s="492"/>
      <c r="BK41" s="491"/>
      <c r="BL41" s="7"/>
      <c r="BM41" s="7"/>
      <c r="BN41" s="7"/>
      <c r="BO41" s="7"/>
      <c r="BP41" s="7"/>
      <c r="BQ41" s="7"/>
      <c r="BR41" s="8"/>
      <c r="BS41" s="8"/>
      <c r="BT41" s="509"/>
      <c r="BU41" s="491"/>
      <c r="BV41" s="8"/>
      <c r="BW41" s="509"/>
      <c r="BX41" s="491"/>
      <c r="BY41" s="8"/>
      <c r="BZ41" s="509"/>
      <c r="CA41" s="752"/>
      <c r="CE41" s="736" t="e">
        <f>IF('School Profile'!#REF!="","",'School Profile'!#REF!)</f>
        <v>#REF!</v>
      </c>
    </row>
    <row r="42" spans="1:83" ht="24.95" customHeight="1">
      <c r="A42" s="468">
        <f>IF('Student DATA Entry'!A39="","",'Student DATA Entry'!A39)</f>
        <v>36</v>
      </c>
      <c r="B42" s="459" t="str">
        <f>IF('Student DATA Entry'!B39="","",'Student DATA Entry'!B39)</f>
        <v/>
      </c>
      <c r="C42" s="459" t="str">
        <f>IF('Student DATA Entry'!C39="","",'Student DATA Entry'!C39)</f>
        <v/>
      </c>
      <c r="D42" s="459" t="str">
        <f>IF('Student DATA Entry'!D39="","",'Student DATA Entry'!D39)</f>
        <v/>
      </c>
      <c r="E42" s="459" t="str">
        <f>IF('Student DATA Entry'!E39="","",'Student DATA Entry'!E39)</f>
        <v/>
      </c>
      <c r="F42" s="460" t="str">
        <f>IF('Student DATA Entry'!K39="","",'Student DATA Entry'!K39)</f>
        <v/>
      </c>
      <c r="G42" s="461" t="str">
        <f>IF('Student DATA Entry'!G39="","",UPPER('Student DATA Entry'!G39))</f>
        <v/>
      </c>
      <c r="H42" s="461" t="str">
        <f>IF('Student DATA Entry'!H39="","",UPPER('Student DATA Entry'!H39))</f>
        <v/>
      </c>
      <c r="I42" s="462" t="str">
        <f>IF('Student DATA Entry'!I39="","",UPPER('Student DATA Entry'!I39))</f>
        <v/>
      </c>
      <c r="J42" s="463" t="str">
        <f>IF('Student DATA Entry'!L39="","",UPPER('Student DATA Entry'!L39))</f>
        <v/>
      </c>
      <c r="K42" s="469" t="str">
        <f>IF('Student DATA Entry'!J39="","",UPPER('Student DATA Entry'!J39))</f>
        <v/>
      </c>
      <c r="L42" s="491"/>
      <c r="M42" s="8"/>
      <c r="N42" s="8"/>
      <c r="O42" s="9"/>
      <c r="P42" s="492"/>
      <c r="Q42" s="491"/>
      <c r="R42" s="8"/>
      <c r="S42" s="8"/>
      <c r="T42" s="9"/>
      <c r="U42" s="492"/>
      <c r="V42" s="502"/>
      <c r="W42" s="7"/>
      <c r="X42" s="8"/>
      <c r="Y42" s="8"/>
      <c r="Z42" s="9"/>
      <c r="AA42" s="492"/>
      <c r="AB42" s="491"/>
      <c r="AC42" s="8"/>
      <c r="AD42" s="8"/>
      <c r="AE42" s="9"/>
      <c r="AF42" s="492"/>
      <c r="AG42" s="491"/>
      <c r="AH42" s="8"/>
      <c r="AI42" s="8"/>
      <c r="AJ42" s="9"/>
      <c r="AK42" s="492"/>
      <c r="AL42" s="491"/>
      <c r="AM42" s="8"/>
      <c r="AN42" s="8"/>
      <c r="AO42" s="9"/>
      <c r="AP42" s="492"/>
      <c r="AQ42" s="506"/>
      <c r="AR42" s="491"/>
      <c r="AS42" s="8"/>
      <c r="AT42" s="8"/>
      <c r="AU42" s="9"/>
      <c r="AV42" s="9"/>
      <c r="AW42" s="17"/>
      <c r="AX42" s="492"/>
      <c r="AY42" s="491"/>
      <c r="AZ42" s="7"/>
      <c r="BA42" s="9"/>
      <c r="BB42" s="9"/>
      <c r="BC42" s="492"/>
      <c r="BD42" s="491"/>
      <c r="BE42" s="7"/>
      <c r="BF42" s="7"/>
      <c r="BG42" s="7"/>
      <c r="BH42" s="9"/>
      <c r="BI42" s="9"/>
      <c r="BJ42" s="492"/>
      <c r="BK42" s="491"/>
      <c r="BL42" s="7"/>
      <c r="BM42" s="7"/>
      <c r="BN42" s="7"/>
      <c r="BO42" s="7"/>
      <c r="BP42" s="7"/>
      <c r="BQ42" s="7"/>
      <c r="BR42" s="8"/>
      <c r="BS42" s="8"/>
      <c r="BT42" s="509"/>
      <c r="BU42" s="491"/>
      <c r="BV42" s="8"/>
      <c r="BW42" s="509"/>
      <c r="BX42" s="491"/>
      <c r="BY42" s="8"/>
      <c r="BZ42" s="509"/>
      <c r="CA42" s="752"/>
      <c r="CE42" s="736" t="e">
        <f>IF('School Profile'!#REF!="","",'School Profile'!#REF!)</f>
        <v>#REF!</v>
      </c>
    </row>
    <row r="43" spans="1:83" ht="24.95" customHeight="1">
      <c r="A43" s="468">
        <f>IF('Student DATA Entry'!A40="","",'Student DATA Entry'!A40)</f>
        <v>37</v>
      </c>
      <c r="B43" s="459" t="str">
        <f>IF('Student DATA Entry'!B40="","",'Student DATA Entry'!B40)</f>
        <v/>
      </c>
      <c r="C43" s="459" t="str">
        <f>IF('Student DATA Entry'!C40="","",'Student DATA Entry'!C40)</f>
        <v/>
      </c>
      <c r="D43" s="459" t="str">
        <f>IF('Student DATA Entry'!D40="","",'Student DATA Entry'!D40)</f>
        <v/>
      </c>
      <c r="E43" s="459" t="str">
        <f>IF('Student DATA Entry'!E40="","",'Student DATA Entry'!E40)</f>
        <v/>
      </c>
      <c r="F43" s="460" t="str">
        <f>IF('Student DATA Entry'!K40="","",'Student DATA Entry'!K40)</f>
        <v/>
      </c>
      <c r="G43" s="461" t="str">
        <f>IF('Student DATA Entry'!G40="","",UPPER('Student DATA Entry'!G40))</f>
        <v/>
      </c>
      <c r="H43" s="461" t="str">
        <f>IF('Student DATA Entry'!H40="","",UPPER('Student DATA Entry'!H40))</f>
        <v/>
      </c>
      <c r="I43" s="462" t="str">
        <f>IF('Student DATA Entry'!I40="","",UPPER('Student DATA Entry'!I40))</f>
        <v/>
      </c>
      <c r="J43" s="463" t="str">
        <f>IF('Student DATA Entry'!L40="","",UPPER('Student DATA Entry'!L40))</f>
        <v/>
      </c>
      <c r="K43" s="469" t="str">
        <f>IF('Student DATA Entry'!J40="","",UPPER('Student DATA Entry'!J40))</f>
        <v/>
      </c>
      <c r="L43" s="491"/>
      <c r="M43" s="8"/>
      <c r="N43" s="8"/>
      <c r="O43" s="9"/>
      <c r="P43" s="492"/>
      <c r="Q43" s="491"/>
      <c r="R43" s="8"/>
      <c r="S43" s="8"/>
      <c r="T43" s="9"/>
      <c r="U43" s="492"/>
      <c r="V43" s="502"/>
      <c r="W43" s="7"/>
      <c r="X43" s="8"/>
      <c r="Y43" s="8"/>
      <c r="Z43" s="9"/>
      <c r="AA43" s="492"/>
      <c r="AB43" s="491"/>
      <c r="AC43" s="8"/>
      <c r="AD43" s="8"/>
      <c r="AE43" s="9"/>
      <c r="AF43" s="492"/>
      <c r="AG43" s="491"/>
      <c r="AH43" s="8"/>
      <c r="AI43" s="8"/>
      <c r="AJ43" s="9"/>
      <c r="AK43" s="492"/>
      <c r="AL43" s="491"/>
      <c r="AM43" s="8"/>
      <c r="AN43" s="8"/>
      <c r="AO43" s="9"/>
      <c r="AP43" s="492"/>
      <c r="AQ43" s="506"/>
      <c r="AR43" s="491"/>
      <c r="AS43" s="8"/>
      <c r="AT43" s="8"/>
      <c r="AU43" s="9"/>
      <c r="AV43" s="9"/>
      <c r="AW43" s="17"/>
      <c r="AX43" s="492"/>
      <c r="AY43" s="491"/>
      <c r="AZ43" s="7"/>
      <c r="BA43" s="9"/>
      <c r="BB43" s="9"/>
      <c r="BC43" s="492"/>
      <c r="BD43" s="491"/>
      <c r="BE43" s="7"/>
      <c r="BF43" s="7"/>
      <c r="BG43" s="7"/>
      <c r="BH43" s="9"/>
      <c r="BI43" s="9"/>
      <c r="BJ43" s="492"/>
      <c r="BK43" s="491"/>
      <c r="BL43" s="7"/>
      <c r="BM43" s="7"/>
      <c r="BN43" s="7"/>
      <c r="BO43" s="7"/>
      <c r="BP43" s="7"/>
      <c r="BQ43" s="7"/>
      <c r="BR43" s="8"/>
      <c r="BS43" s="8"/>
      <c r="BT43" s="509"/>
      <c r="BU43" s="491"/>
      <c r="BV43" s="8"/>
      <c r="BW43" s="509"/>
      <c r="BX43" s="491"/>
      <c r="BY43" s="8"/>
      <c r="BZ43" s="509"/>
      <c r="CA43" s="752"/>
      <c r="CE43" s="736" t="e">
        <f>IF('School Profile'!#REF!="","",'School Profile'!#REF!)</f>
        <v>#REF!</v>
      </c>
    </row>
    <row r="44" spans="1:83" ht="24.95" customHeight="1">
      <c r="A44" s="468">
        <f>IF('Student DATA Entry'!A41="","",'Student DATA Entry'!A41)</f>
        <v>38</v>
      </c>
      <c r="B44" s="459" t="str">
        <f>IF('Student DATA Entry'!B41="","",'Student DATA Entry'!B41)</f>
        <v/>
      </c>
      <c r="C44" s="459" t="str">
        <f>IF('Student DATA Entry'!C41="","",'Student DATA Entry'!C41)</f>
        <v/>
      </c>
      <c r="D44" s="459" t="str">
        <f>IF('Student DATA Entry'!D41="","",'Student DATA Entry'!D41)</f>
        <v/>
      </c>
      <c r="E44" s="459" t="str">
        <f>IF('Student DATA Entry'!E41="","",'Student DATA Entry'!E41)</f>
        <v/>
      </c>
      <c r="F44" s="460" t="str">
        <f>IF('Student DATA Entry'!K41="","",'Student DATA Entry'!K41)</f>
        <v/>
      </c>
      <c r="G44" s="461" t="str">
        <f>IF('Student DATA Entry'!G41="","",UPPER('Student DATA Entry'!G41))</f>
        <v/>
      </c>
      <c r="H44" s="461" t="str">
        <f>IF('Student DATA Entry'!H41="","",UPPER('Student DATA Entry'!H41))</f>
        <v/>
      </c>
      <c r="I44" s="462" t="str">
        <f>IF('Student DATA Entry'!I41="","",UPPER('Student DATA Entry'!I41))</f>
        <v/>
      </c>
      <c r="J44" s="463" t="str">
        <f>IF('Student DATA Entry'!L41="","",UPPER('Student DATA Entry'!L41))</f>
        <v/>
      </c>
      <c r="K44" s="469" t="str">
        <f>IF('Student DATA Entry'!J41="","",UPPER('Student DATA Entry'!J41))</f>
        <v/>
      </c>
      <c r="L44" s="491"/>
      <c r="M44" s="8"/>
      <c r="N44" s="8"/>
      <c r="O44" s="9"/>
      <c r="P44" s="492"/>
      <c r="Q44" s="491"/>
      <c r="R44" s="8"/>
      <c r="S44" s="8"/>
      <c r="T44" s="9"/>
      <c r="U44" s="492"/>
      <c r="V44" s="502"/>
      <c r="W44" s="7"/>
      <c r="X44" s="8"/>
      <c r="Y44" s="8"/>
      <c r="Z44" s="9"/>
      <c r="AA44" s="492"/>
      <c r="AB44" s="491"/>
      <c r="AC44" s="8"/>
      <c r="AD44" s="8"/>
      <c r="AE44" s="9"/>
      <c r="AF44" s="492"/>
      <c r="AG44" s="491"/>
      <c r="AH44" s="8"/>
      <c r="AI44" s="8"/>
      <c r="AJ44" s="9"/>
      <c r="AK44" s="492"/>
      <c r="AL44" s="491"/>
      <c r="AM44" s="8"/>
      <c r="AN44" s="8"/>
      <c r="AO44" s="9"/>
      <c r="AP44" s="492"/>
      <c r="AQ44" s="506"/>
      <c r="AR44" s="491"/>
      <c r="AS44" s="8"/>
      <c r="AT44" s="8"/>
      <c r="AU44" s="9"/>
      <c r="AV44" s="9"/>
      <c r="AW44" s="17"/>
      <c r="AX44" s="492"/>
      <c r="AY44" s="491"/>
      <c r="AZ44" s="7"/>
      <c r="BA44" s="9"/>
      <c r="BB44" s="9"/>
      <c r="BC44" s="492"/>
      <c r="BD44" s="491"/>
      <c r="BE44" s="7"/>
      <c r="BF44" s="7"/>
      <c r="BG44" s="7"/>
      <c r="BH44" s="9"/>
      <c r="BI44" s="9"/>
      <c r="BJ44" s="492"/>
      <c r="BK44" s="491"/>
      <c r="BL44" s="7"/>
      <c r="BM44" s="7"/>
      <c r="BN44" s="7"/>
      <c r="BO44" s="7"/>
      <c r="BP44" s="7"/>
      <c r="BQ44" s="7"/>
      <c r="BR44" s="8"/>
      <c r="BS44" s="8"/>
      <c r="BT44" s="509"/>
      <c r="BU44" s="491"/>
      <c r="BV44" s="8"/>
      <c r="BW44" s="509"/>
      <c r="BX44" s="491"/>
      <c r="BY44" s="8"/>
      <c r="BZ44" s="509"/>
      <c r="CA44" s="752"/>
      <c r="CE44" s="736" t="e">
        <f>IF('School Profile'!#REF!="","",'School Profile'!#REF!)</f>
        <v>#REF!</v>
      </c>
    </row>
    <row r="45" spans="1:83" ht="24.95" customHeight="1">
      <c r="A45" s="468">
        <f>IF('Student DATA Entry'!A42="","",'Student DATA Entry'!A42)</f>
        <v>39</v>
      </c>
      <c r="B45" s="459" t="str">
        <f>IF('Student DATA Entry'!B42="","",'Student DATA Entry'!B42)</f>
        <v/>
      </c>
      <c r="C45" s="459" t="str">
        <f>IF('Student DATA Entry'!C42="","",'Student DATA Entry'!C42)</f>
        <v/>
      </c>
      <c r="D45" s="459" t="str">
        <f>IF('Student DATA Entry'!D42="","",'Student DATA Entry'!D42)</f>
        <v/>
      </c>
      <c r="E45" s="459" t="str">
        <f>IF('Student DATA Entry'!E42="","",'Student DATA Entry'!E42)</f>
        <v/>
      </c>
      <c r="F45" s="460" t="str">
        <f>IF('Student DATA Entry'!K42="","",'Student DATA Entry'!K42)</f>
        <v/>
      </c>
      <c r="G45" s="461" t="str">
        <f>IF('Student DATA Entry'!G42="","",UPPER('Student DATA Entry'!G42))</f>
        <v/>
      </c>
      <c r="H45" s="461" t="str">
        <f>IF('Student DATA Entry'!H42="","",UPPER('Student DATA Entry'!H42))</f>
        <v/>
      </c>
      <c r="I45" s="462" t="str">
        <f>IF('Student DATA Entry'!I42="","",UPPER('Student DATA Entry'!I42))</f>
        <v/>
      </c>
      <c r="J45" s="463" t="str">
        <f>IF('Student DATA Entry'!L42="","",UPPER('Student DATA Entry'!L42))</f>
        <v/>
      </c>
      <c r="K45" s="469" t="str">
        <f>IF('Student DATA Entry'!J42="","",UPPER('Student DATA Entry'!J42))</f>
        <v/>
      </c>
      <c r="L45" s="491"/>
      <c r="M45" s="8"/>
      <c r="N45" s="8"/>
      <c r="O45" s="9"/>
      <c r="P45" s="492"/>
      <c r="Q45" s="491"/>
      <c r="R45" s="8"/>
      <c r="S45" s="8"/>
      <c r="T45" s="9"/>
      <c r="U45" s="492"/>
      <c r="V45" s="502"/>
      <c r="W45" s="7"/>
      <c r="X45" s="8"/>
      <c r="Y45" s="8"/>
      <c r="Z45" s="9"/>
      <c r="AA45" s="492"/>
      <c r="AB45" s="491"/>
      <c r="AC45" s="8"/>
      <c r="AD45" s="8"/>
      <c r="AE45" s="9"/>
      <c r="AF45" s="492"/>
      <c r="AG45" s="491"/>
      <c r="AH45" s="8"/>
      <c r="AI45" s="8"/>
      <c r="AJ45" s="9"/>
      <c r="AK45" s="492"/>
      <c r="AL45" s="491"/>
      <c r="AM45" s="8"/>
      <c r="AN45" s="8"/>
      <c r="AO45" s="9"/>
      <c r="AP45" s="492"/>
      <c r="AQ45" s="506"/>
      <c r="AR45" s="491"/>
      <c r="AS45" s="8"/>
      <c r="AT45" s="8"/>
      <c r="AU45" s="9"/>
      <c r="AV45" s="9"/>
      <c r="AW45" s="17"/>
      <c r="AX45" s="492"/>
      <c r="AY45" s="491"/>
      <c r="AZ45" s="7"/>
      <c r="BA45" s="9"/>
      <c r="BB45" s="9"/>
      <c r="BC45" s="492"/>
      <c r="BD45" s="491"/>
      <c r="BE45" s="7"/>
      <c r="BF45" s="7"/>
      <c r="BG45" s="7"/>
      <c r="BH45" s="9"/>
      <c r="BI45" s="9"/>
      <c r="BJ45" s="492"/>
      <c r="BK45" s="491"/>
      <c r="BL45" s="7"/>
      <c r="BM45" s="7"/>
      <c r="BN45" s="7"/>
      <c r="BO45" s="7"/>
      <c r="BP45" s="7"/>
      <c r="BQ45" s="7"/>
      <c r="BR45" s="8"/>
      <c r="BS45" s="8"/>
      <c r="BT45" s="509"/>
      <c r="BU45" s="491"/>
      <c r="BV45" s="8"/>
      <c r="BW45" s="509"/>
      <c r="BX45" s="491"/>
      <c r="BY45" s="8"/>
      <c r="BZ45" s="509"/>
      <c r="CA45" s="752"/>
      <c r="CE45" s="736" t="e">
        <f>IF('School Profile'!#REF!="","",'School Profile'!#REF!)</f>
        <v>#REF!</v>
      </c>
    </row>
    <row r="46" spans="1:83" ht="24.95" customHeight="1">
      <c r="A46" s="468">
        <f>IF('Student DATA Entry'!A43="","",'Student DATA Entry'!A43)</f>
        <v>40</v>
      </c>
      <c r="B46" s="459" t="str">
        <f>IF('Student DATA Entry'!B43="","",'Student DATA Entry'!B43)</f>
        <v/>
      </c>
      <c r="C46" s="459" t="str">
        <f>IF('Student DATA Entry'!C43="","",'Student DATA Entry'!C43)</f>
        <v/>
      </c>
      <c r="D46" s="459" t="str">
        <f>IF('Student DATA Entry'!D43="","",'Student DATA Entry'!D43)</f>
        <v/>
      </c>
      <c r="E46" s="459" t="str">
        <f>IF('Student DATA Entry'!E43="","",'Student DATA Entry'!E43)</f>
        <v/>
      </c>
      <c r="F46" s="460" t="str">
        <f>IF('Student DATA Entry'!K43="","",'Student DATA Entry'!K43)</f>
        <v/>
      </c>
      <c r="G46" s="461" t="str">
        <f>IF('Student DATA Entry'!G43="","",UPPER('Student DATA Entry'!G43))</f>
        <v/>
      </c>
      <c r="H46" s="461" t="str">
        <f>IF('Student DATA Entry'!H43="","",UPPER('Student DATA Entry'!H43))</f>
        <v/>
      </c>
      <c r="I46" s="462" t="str">
        <f>IF('Student DATA Entry'!I43="","",UPPER('Student DATA Entry'!I43))</f>
        <v/>
      </c>
      <c r="J46" s="463" t="str">
        <f>IF('Student DATA Entry'!L43="","",UPPER('Student DATA Entry'!L43))</f>
        <v/>
      </c>
      <c r="K46" s="469" t="str">
        <f>IF('Student DATA Entry'!J43="","",UPPER('Student DATA Entry'!J43))</f>
        <v/>
      </c>
      <c r="L46" s="491"/>
      <c r="M46" s="8"/>
      <c r="N46" s="8"/>
      <c r="O46" s="9"/>
      <c r="P46" s="492"/>
      <c r="Q46" s="491"/>
      <c r="R46" s="8"/>
      <c r="S46" s="8"/>
      <c r="T46" s="9"/>
      <c r="U46" s="492"/>
      <c r="V46" s="502"/>
      <c r="W46" s="7"/>
      <c r="X46" s="8"/>
      <c r="Y46" s="8"/>
      <c r="Z46" s="9"/>
      <c r="AA46" s="492"/>
      <c r="AB46" s="491"/>
      <c r="AC46" s="8"/>
      <c r="AD46" s="8"/>
      <c r="AE46" s="9"/>
      <c r="AF46" s="492"/>
      <c r="AG46" s="491"/>
      <c r="AH46" s="8"/>
      <c r="AI46" s="8"/>
      <c r="AJ46" s="9"/>
      <c r="AK46" s="492"/>
      <c r="AL46" s="491"/>
      <c r="AM46" s="8"/>
      <c r="AN46" s="8"/>
      <c r="AO46" s="9"/>
      <c r="AP46" s="492"/>
      <c r="AQ46" s="506"/>
      <c r="AR46" s="491"/>
      <c r="AS46" s="8"/>
      <c r="AT46" s="8"/>
      <c r="AU46" s="9"/>
      <c r="AV46" s="9"/>
      <c r="AW46" s="17"/>
      <c r="AX46" s="492"/>
      <c r="AY46" s="491"/>
      <c r="AZ46" s="7"/>
      <c r="BA46" s="9"/>
      <c r="BB46" s="9"/>
      <c r="BC46" s="492"/>
      <c r="BD46" s="491"/>
      <c r="BE46" s="7"/>
      <c r="BF46" s="7"/>
      <c r="BG46" s="7"/>
      <c r="BH46" s="9"/>
      <c r="BI46" s="9"/>
      <c r="BJ46" s="492"/>
      <c r="BK46" s="491"/>
      <c r="BL46" s="7"/>
      <c r="BM46" s="7"/>
      <c r="BN46" s="7"/>
      <c r="BO46" s="7"/>
      <c r="BP46" s="7"/>
      <c r="BQ46" s="7"/>
      <c r="BR46" s="8"/>
      <c r="BS46" s="8"/>
      <c r="BT46" s="509"/>
      <c r="BU46" s="491"/>
      <c r="BV46" s="8"/>
      <c r="BW46" s="509"/>
      <c r="BX46" s="491"/>
      <c r="BY46" s="8"/>
      <c r="BZ46" s="509"/>
      <c r="CA46" s="752"/>
    </row>
    <row r="47" spans="1:83" ht="24.95" customHeight="1">
      <c r="A47" s="468">
        <f>IF('Student DATA Entry'!A44="","",'Student DATA Entry'!A44)</f>
        <v>41</v>
      </c>
      <c r="B47" s="459" t="str">
        <f>IF('Student DATA Entry'!B44="","",'Student DATA Entry'!B44)</f>
        <v/>
      </c>
      <c r="C47" s="459" t="str">
        <f>IF('Student DATA Entry'!C44="","",'Student DATA Entry'!C44)</f>
        <v/>
      </c>
      <c r="D47" s="459" t="str">
        <f>IF('Student DATA Entry'!D44="","",'Student DATA Entry'!D44)</f>
        <v/>
      </c>
      <c r="E47" s="459" t="str">
        <f>IF('Student DATA Entry'!E44="","",'Student DATA Entry'!E44)</f>
        <v/>
      </c>
      <c r="F47" s="460" t="str">
        <f>IF('Student DATA Entry'!K44="","",'Student DATA Entry'!K44)</f>
        <v/>
      </c>
      <c r="G47" s="461" t="str">
        <f>IF('Student DATA Entry'!G44="","",UPPER('Student DATA Entry'!G44))</f>
        <v/>
      </c>
      <c r="H47" s="461" t="str">
        <f>IF('Student DATA Entry'!H44="","",UPPER('Student DATA Entry'!H44))</f>
        <v/>
      </c>
      <c r="I47" s="462" t="str">
        <f>IF('Student DATA Entry'!I44="","",UPPER('Student DATA Entry'!I44))</f>
        <v/>
      </c>
      <c r="J47" s="463" t="str">
        <f>IF('Student DATA Entry'!L44="","",UPPER('Student DATA Entry'!L44))</f>
        <v/>
      </c>
      <c r="K47" s="469" t="str">
        <f>IF('Student DATA Entry'!J44="","",UPPER('Student DATA Entry'!J44))</f>
        <v/>
      </c>
      <c r="L47" s="491"/>
      <c r="M47" s="8"/>
      <c r="N47" s="8"/>
      <c r="O47" s="9"/>
      <c r="P47" s="492"/>
      <c r="Q47" s="491"/>
      <c r="R47" s="8"/>
      <c r="S47" s="8"/>
      <c r="T47" s="9"/>
      <c r="U47" s="492"/>
      <c r="V47" s="502"/>
      <c r="W47" s="7"/>
      <c r="X47" s="8"/>
      <c r="Y47" s="8"/>
      <c r="Z47" s="9"/>
      <c r="AA47" s="492"/>
      <c r="AB47" s="491"/>
      <c r="AC47" s="8"/>
      <c r="AD47" s="8"/>
      <c r="AE47" s="9"/>
      <c r="AF47" s="492"/>
      <c r="AG47" s="491"/>
      <c r="AH47" s="8"/>
      <c r="AI47" s="8"/>
      <c r="AJ47" s="9"/>
      <c r="AK47" s="492"/>
      <c r="AL47" s="491"/>
      <c r="AM47" s="8"/>
      <c r="AN47" s="8"/>
      <c r="AO47" s="9"/>
      <c r="AP47" s="492"/>
      <c r="AQ47" s="506"/>
      <c r="AR47" s="491"/>
      <c r="AS47" s="8"/>
      <c r="AT47" s="8"/>
      <c r="AU47" s="9"/>
      <c r="AV47" s="9"/>
      <c r="AW47" s="17"/>
      <c r="AX47" s="492"/>
      <c r="AY47" s="491"/>
      <c r="AZ47" s="7"/>
      <c r="BA47" s="9"/>
      <c r="BB47" s="9"/>
      <c r="BC47" s="492"/>
      <c r="BD47" s="491"/>
      <c r="BE47" s="7"/>
      <c r="BF47" s="7"/>
      <c r="BG47" s="7"/>
      <c r="BH47" s="9"/>
      <c r="BI47" s="9"/>
      <c r="BJ47" s="492"/>
      <c r="BK47" s="491"/>
      <c r="BL47" s="7"/>
      <c r="BM47" s="7"/>
      <c r="BN47" s="7"/>
      <c r="BO47" s="7"/>
      <c r="BP47" s="7"/>
      <c r="BQ47" s="7"/>
      <c r="BR47" s="8"/>
      <c r="BS47" s="8"/>
      <c r="BT47" s="509"/>
      <c r="BU47" s="491"/>
      <c r="BV47" s="8"/>
      <c r="BW47" s="509"/>
      <c r="BX47" s="491"/>
      <c r="BY47" s="8"/>
      <c r="BZ47" s="509"/>
      <c r="CA47" s="752"/>
    </row>
    <row r="48" spans="1:83" ht="24.95" customHeight="1">
      <c r="A48" s="468">
        <f>IF('Student DATA Entry'!A45="","",'Student DATA Entry'!A45)</f>
        <v>42</v>
      </c>
      <c r="B48" s="459" t="str">
        <f>IF('Student DATA Entry'!B45="","",'Student DATA Entry'!B45)</f>
        <v/>
      </c>
      <c r="C48" s="459" t="str">
        <f>IF('Student DATA Entry'!C45="","",'Student DATA Entry'!C45)</f>
        <v/>
      </c>
      <c r="D48" s="459" t="str">
        <f>IF('Student DATA Entry'!D45="","",'Student DATA Entry'!D45)</f>
        <v/>
      </c>
      <c r="E48" s="459" t="str">
        <f>IF('Student DATA Entry'!E45="","",'Student DATA Entry'!E45)</f>
        <v/>
      </c>
      <c r="F48" s="460" t="str">
        <f>IF('Student DATA Entry'!K45="","",'Student DATA Entry'!K45)</f>
        <v/>
      </c>
      <c r="G48" s="461" t="str">
        <f>IF('Student DATA Entry'!G45="","",UPPER('Student DATA Entry'!G45))</f>
        <v/>
      </c>
      <c r="H48" s="461" t="str">
        <f>IF('Student DATA Entry'!H45="","",UPPER('Student DATA Entry'!H45))</f>
        <v/>
      </c>
      <c r="I48" s="462" t="str">
        <f>IF('Student DATA Entry'!I45="","",UPPER('Student DATA Entry'!I45))</f>
        <v/>
      </c>
      <c r="J48" s="463" t="str">
        <f>IF('Student DATA Entry'!L45="","",UPPER('Student DATA Entry'!L45))</f>
        <v/>
      </c>
      <c r="K48" s="469" t="str">
        <f>IF('Student DATA Entry'!J45="","",UPPER('Student DATA Entry'!J45))</f>
        <v/>
      </c>
      <c r="L48" s="491"/>
      <c r="M48" s="8"/>
      <c r="N48" s="8"/>
      <c r="O48" s="9"/>
      <c r="P48" s="492"/>
      <c r="Q48" s="491"/>
      <c r="R48" s="8"/>
      <c r="S48" s="8"/>
      <c r="T48" s="9"/>
      <c r="U48" s="492"/>
      <c r="V48" s="502"/>
      <c r="W48" s="7"/>
      <c r="X48" s="8"/>
      <c r="Y48" s="8"/>
      <c r="Z48" s="9"/>
      <c r="AA48" s="492"/>
      <c r="AB48" s="491"/>
      <c r="AC48" s="8"/>
      <c r="AD48" s="8"/>
      <c r="AE48" s="9"/>
      <c r="AF48" s="492"/>
      <c r="AG48" s="491"/>
      <c r="AH48" s="8"/>
      <c r="AI48" s="8"/>
      <c r="AJ48" s="9"/>
      <c r="AK48" s="492"/>
      <c r="AL48" s="491"/>
      <c r="AM48" s="8"/>
      <c r="AN48" s="8"/>
      <c r="AO48" s="9"/>
      <c r="AP48" s="492"/>
      <c r="AQ48" s="506"/>
      <c r="AR48" s="491"/>
      <c r="AS48" s="8"/>
      <c r="AT48" s="8"/>
      <c r="AU48" s="9"/>
      <c r="AV48" s="9"/>
      <c r="AW48" s="17"/>
      <c r="AX48" s="492"/>
      <c r="AY48" s="491"/>
      <c r="AZ48" s="7"/>
      <c r="BA48" s="9"/>
      <c r="BB48" s="9"/>
      <c r="BC48" s="492"/>
      <c r="BD48" s="491"/>
      <c r="BE48" s="7"/>
      <c r="BF48" s="7"/>
      <c r="BG48" s="7"/>
      <c r="BH48" s="9"/>
      <c r="BI48" s="9"/>
      <c r="BJ48" s="492"/>
      <c r="BK48" s="491"/>
      <c r="BL48" s="7"/>
      <c r="BM48" s="7"/>
      <c r="BN48" s="7"/>
      <c r="BO48" s="7"/>
      <c r="BP48" s="7"/>
      <c r="BQ48" s="7"/>
      <c r="BR48" s="8"/>
      <c r="BS48" s="8"/>
      <c r="BT48" s="509"/>
      <c r="BU48" s="491"/>
      <c r="BV48" s="8"/>
      <c r="BW48" s="509"/>
      <c r="BX48" s="491"/>
      <c r="BY48" s="8"/>
      <c r="BZ48" s="509"/>
      <c r="CA48" s="752"/>
    </row>
    <row r="49" spans="1:79" ht="24.95" customHeight="1">
      <c r="A49" s="468">
        <f>IF('Student DATA Entry'!A46="","",'Student DATA Entry'!A46)</f>
        <v>43</v>
      </c>
      <c r="B49" s="459" t="str">
        <f>IF('Student DATA Entry'!B46="","",'Student DATA Entry'!B46)</f>
        <v/>
      </c>
      <c r="C49" s="459" t="str">
        <f>IF('Student DATA Entry'!C46="","",'Student DATA Entry'!C46)</f>
        <v/>
      </c>
      <c r="D49" s="459" t="str">
        <f>IF('Student DATA Entry'!D46="","",'Student DATA Entry'!D46)</f>
        <v/>
      </c>
      <c r="E49" s="459" t="str">
        <f>IF('Student DATA Entry'!E46="","",'Student DATA Entry'!E46)</f>
        <v/>
      </c>
      <c r="F49" s="460" t="str">
        <f>IF('Student DATA Entry'!K46="","",'Student DATA Entry'!K46)</f>
        <v/>
      </c>
      <c r="G49" s="461" t="str">
        <f>IF('Student DATA Entry'!G46="","",UPPER('Student DATA Entry'!G46))</f>
        <v/>
      </c>
      <c r="H49" s="461" t="str">
        <f>IF('Student DATA Entry'!H46="","",UPPER('Student DATA Entry'!H46))</f>
        <v/>
      </c>
      <c r="I49" s="462" t="str">
        <f>IF('Student DATA Entry'!I46="","",UPPER('Student DATA Entry'!I46))</f>
        <v/>
      </c>
      <c r="J49" s="463" t="str">
        <f>IF('Student DATA Entry'!L46="","",UPPER('Student DATA Entry'!L46))</f>
        <v/>
      </c>
      <c r="K49" s="469" t="str">
        <f>IF('Student DATA Entry'!J46="","",UPPER('Student DATA Entry'!J46))</f>
        <v/>
      </c>
      <c r="L49" s="491"/>
      <c r="M49" s="8"/>
      <c r="N49" s="8"/>
      <c r="O49" s="9"/>
      <c r="P49" s="492"/>
      <c r="Q49" s="491"/>
      <c r="R49" s="8"/>
      <c r="S49" s="8"/>
      <c r="T49" s="9"/>
      <c r="U49" s="492"/>
      <c r="V49" s="502"/>
      <c r="W49" s="7"/>
      <c r="X49" s="8"/>
      <c r="Y49" s="8"/>
      <c r="Z49" s="9"/>
      <c r="AA49" s="492"/>
      <c r="AB49" s="491"/>
      <c r="AC49" s="8"/>
      <c r="AD49" s="8"/>
      <c r="AE49" s="9"/>
      <c r="AF49" s="492"/>
      <c r="AG49" s="491"/>
      <c r="AH49" s="8"/>
      <c r="AI49" s="8"/>
      <c r="AJ49" s="9"/>
      <c r="AK49" s="492"/>
      <c r="AL49" s="491"/>
      <c r="AM49" s="8"/>
      <c r="AN49" s="8"/>
      <c r="AO49" s="9"/>
      <c r="AP49" s="492"/>
      <c r="AQ49" s="506"/>
      <c r="AR49" s="491"/>
      <c r="AS49" s="8"/>
      <c r="AT49" s="8"/>
      <c r="AU49" s="9"/>
      <c r="AV49" s="9"/>
      <c r="AW49" s="17"/>
      <c r="AX49" s="492"/>
      <c r="AY49" s="491"/>
      <c r="AZ49" s="7"/>
      <c r="BA49" s="9"/>
      <c r="BB49" s="9"/>
      <c r="BC49" s="492"/>
      <c r="BD49" s="491"/>
      <c r="BE49" s="7"/>
      <c r="BF49" s="7"/>
      <c r="BG49" s="7"/>
      <c r="BH49" s="9"/>
      <c r="BI49" s="9"/>
      <c r="BJ49" s="492"/>
      <c r="BK49" s="491"/>
      <c r="BL49" s="7"/>
      <c r="BM49" s="7"/>
      <c r="BN49" s="7"/>
      <c r="BO49" s="7"/>
      <c r="BP49" s="7"/>
      <c r="BQ49" s="7"/>
      <c r="BR49" s="8"/>
      <c r="BS49" s="8"/>
      <c r="BT49" s="509"/>
      <c r="BU49" s="491"/>
      <c r="BV49" s="8"/>
      <c r="BW49" s="509"/>
      <c r="BX49" s="491"/>
      <c r="BY49" s="8"/>
      <c r="BZ49" s="509"/>
      <c r="CA49" s="752"/>
    </row>
    <row r="50" spans="1:79" ht="24.95" customHeight="1">
      <c r="A50" s="468">
        <f>IF('Student DATA Entry'!A47="","",'Student DATA Entry'!A47)</f>
        <v>44</v>
      </c>
      <c r="B50" s="459" t="str">
        <f>IF('Student DATA Entry'!B47="","",'Student DATA Entry'!B47)</f>
        <v/>
      </c>
      <c r="C50" s="459" t="str">
        <f>IF('Student DATA Entry'!C47="","",'Student DATA Entry'!C47)</f>
        <v/>
      </c>
      <c r="D50" s="459" t="str">
        <f>IF('Student DATA Entry'!D47="","",'Student DATA Entry'!D47)</f>
        <v/>
      </c>
      <c r="E50" s="459" t="str">
        <f>IF('Student DATA Entry'!E47="","",'Student DATA Entry'!E47)</f>
        <v/>
      </c>
      <c r="F50" s="460" t="str">
        <f>IF('Student DATA Entry'!K47="","",'Student DATA Entry'!K47)</f>
        <v/>
      </c>
      <c r="G50" s="461" t="str">
        <f>IF('Student DATA Entry'!G47="","",UPPER('Student DATA Entry'!G47))</f>
        <v/>
      </c>
      <c r="H50" s="461" t="str">
        <f>IF('Student DATA Entry'!H47="","",UPPER('Student DATA Entry'!H47))</f>
        <v/>
      </c>
      <c r="I50" s="462" t="str">
        <f>IF('Student DATA Entry'!I47="","",UPPER('Student DATA Entry'!I47))</f>
        <v/>
      </c>
      <c r="J50" s="463" t="str">
        <f>IF('Student DATA Entry'!L47="","",UPPER('Student DATA Entry'!L47))</f>
        <v/>
      </c>
      <c r="K50" s="469" t="str">
        <f>IF('Student DATA Entry'!J47="","",UPPER('Student DATA Entry'!J47))</f>
        <v/>
      </c>
      <c r="L50" s="491"/>
      <c r="M50" s="8"/>
      <c r="N50" s="8"/>
      <c r="O50" s="9"/>
      <c r="P50" s="492"/>
      <c r="Q50" s="491"/>
      <c r="R50" s="8"/>
      <c r="S50" s="8"/>
      <c r="T50" s="9"/>
      <c r="U50" s="492"/>
      <c r="V50" s="502"/>
      <c r="W50" s="7"/>
      <c r="X50" s="8"/>
      <c r="Y50" s="8"/>
      <c r="Z50" s="9"/>
      <c r="AA50" s="492"/>
      <c r="AB50" s="491"/>
      <c r="AC50" s="8"/>
      <c r="AD50" s="8"/>
      <c r="AE50" s="9"/>
      <c r="AF50" s="492"/>
      <c r="AG50" s="491"/>
      <c r="AH50" s="8"/>
      <c r="AI50" s="8"/>
      <c r="AJ50" s="9"/>
      <c r="AK50" s="492"/>
      <c r="AL50" s="491"/>
      <c r="AM50" s="8"/>
      <c r="AN50" s="8"/>
      <c r="AO50" s="9"/>
      <c r="AP50" s="492"/>
      <c r="AQ50" s="506"/>
      <c r="AR50" s="491"/>
      <c r="AS50" s="8"/>
      <c r="AT50" s="8"/>
      <c r="AU50" s="9"/>
      <c r="AV50" s="9"/>
      <c r="AW50" s="17"/>
      <c r="AX50" s="492"/>
      <c r="AY50" s="491"/>
      <c r="AZ50" s="7"/>
      <c r="BA50" s="9"/>
      <c r="BB50" s="9"/>
      <c r="BC50" s="492"/>
      <c r="BD50" s="491"/>
      <c r="BE50" s="7"/>
      <c r="BF50" s="7"/>
      <c r="BG50" s="7"/>
      <c r="BH50" s="9"/>
      <c r="BI50" s="9"/>
      <c r="BJ50" s="492"/>
      <c r="BK50" s="491"/>
      <c r="BL50" s="7"/>
      <c r="BM50" s="7"/>
      <c r="BN50" s="7"/>
      <c r="BO50" s="7"/>
      <c r="BP50" s="7"/>
      <c r="BQ50" s="7"/>
      <c r="BR50" s="8"/>
      <c r="BS50" s="8"/>
      <c r="BT50" s="509"/>
      <c r="BU50" s="491"/>
      <c r="BV50" s="8"/>
      <c r="BW50" s="509"/>
      <c r="BX50" s="491"/>
      <c r="BY50" s="8"/>
      <c r="BZ50" s="509"/>
      <c r="CA50" s="752"/>
    </row>
    <row r="51" spans="1:79" ht="24.95" customHeight="1">
      <c r="A51" s="468">
        <f>IF('Student DATA Entry'!A48="","",'Student DATA Entry'!A48)</f>
        <v>45</v>
      </c>
      <c r="B51" s="459" t="str">
        <f>IF('Student DATA Entry'!B48="","",'Student DATA Entry'!B48)</f>
        <v/>
      </c>
      <c r="C51" s="459" t="str">
        <f>IF('Student DATA Entry'!C48="","",'Student DATA Entry'!C48)</f>
        <v/>
      </c>
      <c r="D51" s="459" t="str">
        <f>IF('Student DATA Entry'!D48="","",'Student DATA Entry'!D48)</f>
        <v/>
      </c>
      <c r="E51" s="459" t="str">
        <f>IF('Student DATA Entry'!E48="","",'Student DATA Entry'!E48)</f>
        <v/>
      </c>
      <c r="F51" s="460" t="str">
        <f>IF('Student DATA Entry'!K48="","",'Student DATA Entry'!K48)</f>
        <v/>
      </c>
      <c r="G51" s="461" t="str">
        <f>IF('Student DATA Entry'!G48="","",UPPER('Student DATA Entry'!G48))</f>
        <v/>
      </c>
      <c r="H51" s="461" t="str">
        <f>IF('Student DATA Entry'!H48="","",UPPER('Student DATA Entry'!H48))</f>
        <v/>
      </c>
      <c r="I51" s="462" t="str">
        <f>IF('Student DATA Entry'!I48="","",UPPER('Student DATA Entry'!I48))</f>
        <v/>
      </c>
      <c r="J51" s="463" t="str">
        <f>IF('Student DATA Entry'!L48="","",UPPER('Student DATA Entry'!L48))</f>
        <v/>
      </c>
      <c r="K51" s="469" t="str">
        <f>IF('Student DATA Entry'!J48="","",UPPER('Student DATA Entry'!J48))</f>
        <v/>
      </c>
      <c r="L51" s="491"/>
      <c r="M51" s="8"/>
      <c r="N51" s="8"/>
      <c r="O51" s="9"/>
      <c r="P51" s="492"/>
      <c r="Q51" s="491"/>
      <c r="R51" s="8"/>
      <c r="S51" s="8"/>
      <c r="T51" s="9"/>
      <c r="U51" s="492"/>
      <c r="V51" s="502"/>
      <c r="W51" s="7"/>
      <c r="X51" s="8"/>
      <c r="Y51" s="8"/>
      <c r="Z51" s="9"/>
      <c r="AA51" s="492"/>
      <c r="AB51" s="491"/>
      <c r="AC51" s="8"/>
      <c r="AD51" s="8"/>
      <c r="AE51" s="9"/>
      <c r="AF51" s="492"/>
      <c r="AG51" s="491"/>
      <c r="AH51" s="8"/>
      <c r="AI51" s="8"/>
      <c r="AJ51" s="9"/>
      <c r="AK51" s="492"/>
      <c r="AL51" s="491"/>
      <c r="AM51" s="8"/>
      <c r="AN51" s="8"/>
      <c r="AO51" s="9"/>
      <c r="AP51" s="492"/>
      <c r="AQ51" s="506"/>
      <c r="AR51" s="491"/>
      <c r="AS51" s="8"/>
      <c r="AT51" s="8"/>
      <c r="AU51" s="9"/>
      <c r="AV51" s="9"/>
      <c r="AW51" s="17"/>
      <c r="AX51" s="492"/>
      <c r="AY51" s="491"/>
      <c r="AZ51" s="7"/>
      <c r="BA51" s="9"/>
      <c r="BB51" s="9"/>
      <c r="BC51" s="492"/>
      <c r="BD51" s="491"/>
      <c r="BE51" s="7"/>
      <c r="BF51" s="7"/>
      <c r="BG51" s="7"/>
      <c r="BH51" s="9"/>
      <c r="BI51" s="9"/>
      <c r="BJ51" s="492"/>
      <c r="BK51" s="491"/>
      <c r="BL51" s="7"/>
      <c r="BM51" s="7"/>
      <c r="BN51" s="7"/>
      <c r="BO51" s="7"/>
      <c r="BP51" s="7"/>
      <c r="BQ51" s="7"/>
      <c r="BR51" s="8"/>
      <c r="BS51" s="8"/>
      <c r="BT51" s="509"/>
      <c r="BU51" s="491"/>
      <c r="BV51" s="8"/>
      <c r="BW51" s="509"/>
      <c r="BX51" s="491"/>
      <c r="BY51" s="8"/>
      <c r="BZ51" s="509"/>
      <c r="CA51" s="752"/>
    </row>
    <row r="52" spans="1:79" ht="24.95" customHeight="1">
      <c r="A52" s="468">
        <f>IF('Student DATA Entry'!A49="","",'Student DATA Entry'!A49)</f>
        <v>46</v>
      </c>
      <c r="B52" s="459" t="str">
        <f>IF('Student DATA Entry'!B49="","",'Student DATA Entry'!B49)</f>
        <v/>
      </c>
      <c r="C52" s="459" t="str">
        <f>IF('Student DATA Entry'!C49="","",'Student DATA Entry'!C49)</f>
        <v/>
      </c>
      <c r="D52" s="459" t="str">
        <f>IF('Student DATA Entry'!D49="","",'Student DATA Entry'!D49)</f>
        <v/>
      </c>
      <c r="E52" s="459" t="str">
        <f>IF('Student DATA Entry'!E49="","",'Student DATA Entry'!E49)</f>
        <v/>
      </c>
      <c r="F52" s="460" t="str">
        <f>IF('Student DATA Entry'!K49="","",'Student DATA Entry'!K49)</f>
        <v/>
      </c>
      <c r="G52" s="461" t="str">
        <f>IF('Student DATA Entry'!G49="","",UPPER('Student DATA Entry'!G49))</f>
        <v/>
      </c>
      <c r="H52" s="461" t="str">
        <f>IF('Student DATA Entry'!H49="","",UPPER('Student DATA Entry'!H49))</f>
        <v/>
      </c>
      <c r="I52" s="462" t="str">
        <f>IF('Student DATA Entry'!I49="","",UPPER('Student DATA Entry'!I49))</f>
        <v/>
      </c>
      <c r="J52" s="463" t="str">
        <f>IF('Student DATA Entry'!L49="","",UPPER('Student DATA Entry'!L49))</f>
        <v/>
      </c>
      <c r="K52" s="469" t="str">
        <f>IF('Student DATA Entry'!J49="","",UPPER('Student DATA Entry'!J49))</f>
        <v/>
      </c>
      <c r="L52" s="491"/>
      <c r="M52" s="8"/>
      <c r="N52" s="8"/>
      <c r="O52" s="9"/>
      <c r="P52" s="492"/>
      <c r="Q52" s="491"/>
      <c r="R52" s="8"/>
      <c r="S52" s="8"/>
      <c r="T52" s="9"/>
      <c r="U52" s="492"/>
      <c r="V52" s="502"/>
      <c r="W52" s="7"/>
      <c r="X52" s="8"/>
      <c r="Y52" s="8"/>
      <c r="Z52" s="9"/>
      <c r="AA52" s="492"/>
      <c r="AB52" s="491"/>
      <c r="AC52" s="8"/>
      <c r="AD52" s="8"/>
      <c r="AE52" s="9"/>
      <c r="AF52" s="492"/>
      <c r="AG52" s="491"/>
      <c r="AH52" s="8"/>
      <c r="AI52" s="8"/>
      <c r="AJ52" s="9"/>
      <c r="AK52" s="492"/>
      <c r="AL52" s="491"/>
      <c r="AM52" s="8"/>
      <c r="AN52" s="8"/>
      <c r="AO52" s="9"/>
      <c r="AP52" s="492"/>
      <c r="AQ52" s="506"/>
      <c r="AR52" s="491"/>
      <c r="AS52" s="8"/>
      <c r="AT52" s="8"/>
      <c r="AU52" s="9"/>
      <c r="AV52" s="9"/>
      <c r="AW52" s="17"/>
      <c r="AX52" s="492"/>
      <c r="AY52" s="491"/>
      <c r="AZ52" s="7"/>
      <c r="BA52" s="9"/>
      <c r="BB52" s="9"/>
      <c r="BC52" s="492"/>
      <c r="BD52" s="491"/>
      <c r="BE52" s="7"/>
      <c r="BF52" s="7"/>
      <c r="BG52" s="7"/>
      <c r="BH52" s="9"/>
      <c r="BI52" s="9"/>
      <c r="BJ52" s="492"/>
      <c r="BK52" s="491"/>
      <c r="BL52" s="7"/>
      <c r="BM52" s="7"/>
      <c r="BN52" s="7"/>
      <c r="BO52" s="7"/>
      <c r="BP52" s="7"/>
      <c r="BQ52" s="7"/>
      <c r="BR52" s="8"/>
      <c r="BS52" s="8"/>
      <c r="BT52" s="509"/>
      <c r="BU52" s="491"/>
      <c r="BV52" s="8"/>
      <c r="BW52" s="509"/>
      <c r="BX52" s="491"/>
      <c r="BY52" s="8"/>
      <c r="BZ52" s="509"/>
      <c r="CA52" s="752"/>
    </row>
    <row r="53" spans="1:79" ht="24.95" customHeight="1">
      <c r="A53" s="468">
        <f>IF('Student DATA Entry'!A50="","",'Student DATA Entry'!A50)</f>
        <v>47</v>
      </c>
      <c r="B53" s="459" t="str">
        <f>IF('Student DATA Entry'!B50="","",'Student DATA Entry'!B50)</f>
        <v/>
      </c>
      <c r="C53" s="459" t="str">
        <f>IF('Student DATA Entry'!C50="","",'Student DATA Entry'!C50)</f>
        <v/>
      </c>
      <c r="D53" s="459" t="str">
        <f>IF('Student DATA Entry'!D50="","",'Student DATA Entry'!D50)</f>
        <v/>
      </c>
      <c r="E53" s="459" t="str">
        <f>IF('Student DATA Entry'!E50="","",'Student DATA Entry'!E50)</f>
        <v/>
      </c>
      <c r="F53" s="460" t="str">
        <f>IF('Student DATA Entry'!K50="","",'Student DATA Entry'!K50)</f>
        <v/>
      </c>
      <c r="G53" s="461" t="str">
        <f>IF('Student DATA Entry'!G50="","",UPPER('Student DATA Entry'!G50))</f>
        <v/>
      </c>
      <c r="H53" s="461" t="str">
        <f>IF('Student DATA Entry'!H50="","",UPPER('Student DATA Entry'!H50))</f>
        <v/>
      </c>
      <c r="I53" s="462" t="str">
        <f>IF('Student DATA Entry'!I50="","",UPPER('Student DATA Entry'!I50))</f>
        <v/>
      </c>
      <c r="J53" s="463" t="str">
        <f>IF('Student DATA Entry'!L50="","",UPPER('Student DATA Entry'!L50))</f>
        <v/>
      </c>
      <c r="K53" s="469" t="str">
        <f>IF('Student DATA Entry'!J50="","",UPPER('Student DATA Entry'!J50))</f>
        <v/>
      </c>
      <c r="L53" s="491"/>
      <c r="M53" s="8"/>
      <c r="N53" s="8"/>
      <c r="O53" s="9"/>
      <c r="P53" s="492"/>
      <c r="Q53" s="491"/>
      <c r="R53" s="8"/>
      <c r="S53" s="8"/>
      <c r="T53" s="9"/>
      <c r="U53" s="492"/>
      <c r="V53" s="502"/>
      <c r="W53" s="7"/>
      <c r="X53" s="8"/>
      <c r="Y53" s="8"/>
      <c r="Z53" s="9"/>
      <c r="AA53" s="492"/>
      <c r="AB53" s="491"/>
      <c r="AC53" s="8"/>
      <c r="AD53" s="8"/>
      <c r="AE53" s="9"/>
      <c r="AF53" s="492"/>
      <c r="AG53" s="491"/>
      <c r="AH53" s="8"/>
      <c r="AI53" s="8"/>
      <c r="AJ53" s="9"/>
      <c r="AK53" s="492"/>
      <c r="AL53" s="491"/>
      <c r="AM53" s="8"/>
      <c r="AN53" s="8"/>
      <c r="AO53" s="9"/>
      <c r="AP53" s="492"/>
      <c r="AQ53" s="506"/>
      <c r="AR53" s="491"/>
      <c r="AS53" s="8"/>
      <c r="AT53" s="8"/>
      <c r="AU53" s="9"/>
      <c r="AV53" s="9"/>
      <c r="AW53" s="17"/>
      <c r="AX53" s="492"/>
      <c r="AY53" s="491"/>
      <c r="AZ53" s="7"/>
      <c r="BA53" s="9"/>
      <c r="BB53" s="9"/>
      <c r="BC53" s="492"/>
      <c r="BD53" s="491"/>
      <c r="BE53" s="7"/>
      <c r="BF53" s="7"/>
      <c r="BG53" s="7"/>
      <c r="BH53" s="9"/>
      <c r="BI53" s="9"/>
      <c r="BJ53" s="492"/>
      <c r="BK53" s="491"/>
      <c r="BL53" s="7"/>
      <c r="BM53" s="7"/>
      <c r="BN53" s="7"/>
      <c r="BO53" s="7"/>
      <c r="BP53" s="7"/>
      <c r="BQ53" s="7"/>
      <c r="BR53" s="8"/>
      <c r="BS53" s="8"/>
      <c r="BT53" s="509"/>
      <c r="BU53" s="491"/>
      <c r="BV53" s="8"/>
      <c r="BW53" s="509"/>
      <c r="BX53" s="491"/>
      <c r="BY53" s="8"/>
      <c r="BZ53" s="509"/>
      <c r="CA53" s="752"/>
    </row>
    <row r="54" spans="1:79" ht="24.95" customHeight="1">
      <c r="A54" s="468">
        <f>IF('Student DATA Entry'!A51="","",'Student DATA Entry'!A51)</f>
        <v>48</v>
      </c>
      <c r="B54" s="459" t="str">
        <f>IF('Student DATA Entry'!B51="","",'Student DATA Entry'!B51)</f>
        <v/>
      </c>
      <c r="C54" s="459" t="str">
        <f>IF('Student DATA Entry'!C51="","",'Student DATA Entry'!C51)</f>
        <v/>
      </c>
      <c r="D54" s="459" t="str">
        <f>IF('Student DATA Entry'!D51="","",'Student DATA Entry'!D51)</f>
        <v/>
      </c>
      <c r="E54" s="459" t="str">
        <f>IF('Student DATA Entry'!E51="","",'Student DATA Entry'!E51)</f>
        <v/>
      </c>
      <c r="F54" s="460" t="str">
        <f>IF('Student DATA Entry'!K51="","",'Student DATA Entry'!K51)</f>
        <v/>
      </c>
      <c r="G54" s="461" t="str">
        <f>IF('Student DATA Entry'!G51="","",UPPER('Student DATA Entry'!G51))</f>
        <v/>
      </c>
      <c r="H54" s="461" t="str">
        <f>IF('Student DATA Entry'!H51="","",UPPER('Student DATA Entry'!H51))</f>
        <v/>
      </c>
      <c r="I54" s="462" t="str">
        <f>IF('Student DATA Entry'!I51="","",UPPER('Student DATA Entry'!I51))</f>
        <v/>
      </c>
      <c r="J54" s="463" t="str">
        <f>IF('Student DATA Entry'!L51="","",UPPER('Student DATA Entry'!L51))</f>
        <v/>
      </c>
      <c r="K54" s="469" t="str">
        <f>IF('Student DATA Entry'!J51="","",UPPER('Student DATA Entry'!J51))</f>
        <v/>
      </c>
      <c r="L54" s="491"/>
      <c r="M54" s="8"/>
      <c r="N54" s="8"/>
      <c r="O54" s="9"/>
      <c r="P54" s="492"/>
      <c r="Q54" s="491"/>
      <c r="R54" s="8"/>
      <c r="S54" s="8"/>
      <c r="T54" s="9"/>
      <c r="U54" s="492"/>
      <c r="V54" s="502"/>
      <c r="W54" s="7"/>
      <c r="X54" s="8"/>
      <c r="Y54" s="8"/>
      <c r="Z54" s="9"/>
      <c r="AA54" s="492"/>
      <c r="AB54" s="491"/>
      <c r="AC54" s="8"/>
      <c r="AD54" s="8"/>
      <c r="AE54" s="9"/>
      <c r="AF54" s="492"/>
      <c r="AG54" s="491"/>
      <c r="AH54" s="8"/>
      <c r="AI54" s="8"/>
      <c r="AJ54" s="9"/>
      <c r="AK54" s="492"/>
      <c r="AL54" s="491"/>
      <c r="AM54" s="8"/>
      <c r="AN54" s="8"/>
      <c r="AO54" s="9"/>
      <c r="AP54" s="492"/>
      <c r="AQ54" s="506"/>
      <c r="AR54" s="491"/>
      <c r="AS54" s="8"/>
      <c r="AT54" s="8"/>
      <c r="AU54" s="9"/>
      <c r="AV54" s="9"/>
      <c r="AW54" s="17"/>
      <c r="AX54" s="492"/>
      <c r="AY54" s="491"/>
      <c r="AZ54" s="7"/>
      <c r="BA54" s="9"/>
      <c r="BB54" s="9"/>
      <c r="BC54" s="492"/>
      <c r="BD54" s="491"/>
      <c r="BE54" s="7"/>
      <c r="BF54" s="7"/>
      <c r="BG54" s="7"/>
      <c r="BH54" s="9"/>
      <c r="BI54" s="9"/>
      <c r="BJ54" s="492"/>
      <c r="BK54" s="491"/>
      <c r="BL54" s="7"/>
      <c r="BM54" s="7"/>
      <c r="BN54" s="7"/>
      <c r="BO54" s="7"/>
      <c r="BP54" s="7"/>
      <c r="BQ54" s="7"/>
      <c r="BR54" s="8"/>
      <c r="BS54" s="8"/>
      <c r="BT54" s="509"/>
      <c r="BU54" s="491"/>
      <c r="BV54" s="8"/>
      <c r="BW54" s="509"/>
      <c r="BX54" s="491"/>
      <c r="BY54" s="8"/>
      <c r="BZ54" s="509"/>
      <c r="CA54" s="752"/>
    </row>
    <row r="55" spans="1:79" ht="24.95" customHeight="1">
      <c r="A55" s="468">
        <f>IF('Student DATA Entry'!A52="","",'Student DATA Entry'!A52)</f>
        <v>49</v>
      </c>
      <c r="B55" s="459" t="str">
        <f>IF('Student DATA Entry'!B52="","",'Student DATA Entry'!B52)</f>
        <v/>
      </c>
      <c r="C55" s="459" t="str">
        <f>IF('Student DATA Entry'!C52="","",'Student DATA Entry'!C52)</f>
        <v/>
      </c>
      <c r="D55" s="459" t="str">
        <f>IF('Student DATA Entry'!D52="","",'Student DATA Entry'!D52)</f>
        <v/>
      </c>
      <c r="E55" s="459" t="str">
        <f>IF('Student DATA Entry'!E52="","",'Student DATA Entry'!E52)</f>
        <v/>
      </c>
      <c r="F55" s="460" t="str">
        <f>IF('Student DATA Entry'!K52="","",'Student DATA Entry'!K52)</f>
        <v/>
      </c>
      <c r="G55" s="461" t="str">
        <f>IF('Student DATA Entry'!G52="","",UPPER('Student DATA Entry'!G52))</f>
        <v/>
      </c>
      <c r="H55" s="461" t="str">
        <f>IF('Student DATA Entry'!H52="","",UPPER('Student DATA Entry'!H52))</f>
        <v/>
      </c>
      <c r="I55" s="462" t="str">
        <f>IF('Student DATA Entry'!I52="","",UPPER('Student DATA Entry'!I52))</f>
        <v/>
      </c>
      <c r="J55" s="463" t="str">
        <f>IF('Student DATA Entry'!L52="","",UPPER('Student DATA Entry'!L52))</f>
        <v/>
      </c>
      <c r="K55" s="469" t="str">
        <f>IF('Student DATA Entry'!J52="","",UPPER('Student DATA Entry'!J52))</f>
        <v/>
      </c>
      <c r="L55" s="491"/>
      <c r="M55" s="8"/>
      <c r="N55" s="8"/>
      <c r="O55" s="9"/>
      <c r="P55" s="492"/>
      <c r="Q55" s="491"/>
      <c r="R55" s="8"/>
      <c r="S55" s="8"/>
      <c r="T55" s="9"/>
      <c r="U55" s="492"/>
      <c r="V55" s="502"/>
      <c r="W55" s="7"/>
      <c r="X55" s="8"/>
      <c r="Y55" s="8"/>
      <c r="Z55" s="9"/>
      <c r="AA55" s="492"/>
      <c r="AB55" s="491"/>
      <c r="AC55" s="8"/>
      <c r="AD55" s="8"/>
      <c r="AE55" s="9"/>
      <c r="AF55" s="492"/>
      <c r="AG55" s="491"/>
      <c r="AH55" s="8"/>
      <c r="AI55" s="8"/>
      <c r="AJ55" s="9"/>
      <c r="AK55" s="492"/>
      <c r="AL55" s="491"/>
      <c r="AM55" s="8"/>
      <c r="AN55" s="8"/>
      <c r="AO55" s="9"/>
      <c r="AP55" s="492"/>
      <c r="AQ55" s="506"/>
      <c r="AR55" s="491"/>
      <c r="AS55" s="8"/>
      <c r="AT55" s="8"/>
      <c r="AU55" s="9"/>
      <c r="AV55" s="9"/>
      <c r="AW55" s="17"/>
      <c r="AX55" s="492"/>
      <c r="AY55" s="491"/>
      <c r="AZ55" s="7"/>
      <c r="BA55" s="9"/>
      <c r="BB55" s="9"/>
      <c r="BC55" s="492"/>
      <c r="BD55" s="491"/>
      <c r="BE55" s="7"/>
      <c r="BF55" s="7"/>
      <c r="BG55" s="7"/>
      <c r="BH55" s="9"/>
      <c r="BI55" s="9"/>
      <c r="BJ55" s="492"/>
      <c r="BK55" s="491"/>
      <c r="BL55" s="7"/>
      <c r="BM55" s="7"/>
      <c r="BN55" s="7"/>
      <c r="BO55" s="7"/>
      <c r="BP55" s="7"/>
      <c r="BQ55" s="7"/>
      <c r="BR55" s="8"/>
      <c r="BS55" s="8"/>
      <c r="BT55" s="509"/>
      <c r="BU55" s="491"/>
      <c r="BV55" s="8"/>
      <c r="BW55" s="509"/>
      <c r="BX55" s="491"/>
      <c r="BY55" s="8"/>
      <c r="BZ55" s="509"/>
      <c r="CA55" s="752"/>
    </row>
    <row r="56" spans="1:79" ht="24.95" customHeight="1">
      <c r="A56" s="468">
        <f>IF('Student DATA Entry'!A53="","",'Student DATA Entry'!A53)</f>
        <v>50</v>
      </c>
      <c r="B56" s="459" t="str">
        <f>IF('Student DATA Entry'!B53="","",'Student DATA Entry'!B53)</f>
        <v/>
      </c>
      <c r="C56" s="459" t="str">
        <f>IF('Student DATA Entry'!C53="","",'Student DATA Entry'!C53)</f>
        <v/>
      </c>
      <c r="D56" s="459" t="str">
        <f>IF('Student DATA Entry'!D53="","",'Student DATA Entry'!D53)</f>
        <v/>
      </c>
      <c r="E56" s="459" t="str">
        <f>IF('Student DATA Entry'!E53="","",'Student DATA Entry'!E53)</f>
        <v/>
      </c>
      <c r="F56" s="460" t="str">
        <f>IF('Student DATA Entry'!K53="","",'Student DATA Entry'!K53)</f>
        <v/>
      </c>
      <c r="G56" s="461" t="str">
        <f>IF('Student DATA Entry'!G53="","",UPPER('Student DATA Entry'!G53))</f>
        <v/>
      </c>
      <c r="H56" s="461" t="str">
        <f>IF('Student DATA Entry'!H53="","",UPPER('Student DATA Entry'!H53))</f>
        <v/>
      </c>
      <c r="I56" s="462" t="str">
        <f>IF('Student DATA Entry'!I53="","",UPPER('Student DATA Entry'!I53))</f>
        <v/>
      </c>
      <c r="J56" s="463" t="str">
        <f>IF('Student DATA Entry'!L53="","",UPPER('Student DATA Entry'!L53))</f>
        <v/>
      </c>
      <c r="K56" s="469" t="str">
        <f>IF('Student DATA Entry'!J53="","",UPPER('Student DATA Entry'!J53))</f>
        <v/>
      </c>
      <c r="L56" s="491"/>
      <c r="M56" s="8"/>
      <c r="N56" s="8"/>
      <c r="O56" s="9"/>
      <c r="P56" s="492"/>
      <c r="Q56" s="491"/>
      <c r="R56" s="8"/>
      <c r="S56" s="8"/>
      <c r="T56" s="9"/>
      <c r="U56" s="492"/>
      <c r="V56" s="502"/>
      <c r="W56" s="7"/>
      <c r="X56" s="8"/>
      <c r="Y56" s="8"/>
      <c r="Z56" s="9"/>
      <c r="AA56" s="492"/>
      <c r="AB56" s="491"/>
      <c r="AC56" s="8"/>
      <c r="AD56" s="8"/>
      <c r="AE56" s="9"/>
      <c r="AF56" s="492"/>
      <c r="AG56" s="491"/>
      <c r="AH56" s="8"/>
      <c r="AI56" s="8"/>
      <c r="AJ56" s="9"/>
      <c r="AK56" s="492"/>
      <c r="AL56" s="491"/>
      <c r="AM56" s="8"/>
      <c r="AN56" s="8"/>
      <c r="AO56" s="9"/>
      <c r="AP56" s="492"/>
      <c r="AQ56" s="506"/>
      <c r="AR56" s="491"/>
      <c r="AS56" s="8"/>
      <c r="AT56" s="8"/>
      <c r="AU56" s="9"/>
      <c r="AV56" s="9"/>
      <c r="AW56" s="17"/>
      <c r="AX56" s="492"/>
      <c r="AY56" s="491"/>
      <c r="AZ56" s="7"/>
      <c r="BA56" s="9"/>
      <c r="BB56" s="9"/>
      <c r="BC56" s="492"/>
      <c r="BD56" s="491"/>
      <c r="BE56" s="7"/>
      <c r="BF56" s="7"/>
      <c r="BG56" s="7"/>
      <c r="BH56" s="9"/>
      <c r="BI56" s="9"/>
      <c r="BJ56" s="492"/>
      <c r="BK56" s="491"/>
      <c r="BL56" s="7"/>
      <c r="BM56" s="7"/>
      <c r="BN56" s="7"/>
      <c r="BO56" s="7"/>
      <c r="BP56" s="7"/>
      <c r="BQ56" s="7"/>
      <c r="BR56" s="8"/>
      <c r="BS56" s="8"/>
      <c r="BT56" s="509"/>
      <c r="BU56" s="491"/>
      <c r="BV56" s="8"/>
      <c r="BW56" s="509"/>
      <c r="BX56" s="491"/>
      <c r="BY56" s="8"/>
      <c r="BZ56" s="509"/>
      <c r="CA56" s="752"/>
    </row>
    <row r="57" spans="1:79" ht="24.95" customHeight="1">
      <c r="A57" s="468">
        <f>IF('Student DATA Entry'!A54="","",'Student DATA Entry'!A54)</f>
        <v>51</v>
      </c>
      <c r="B57" s="459" t="str">
        <f>IF('Student DATA Entry'!B54="","",'Student DATA Entry'!B54)</f>
        <v/>
      </c>
      <c r="C57" s="459" t="str">
        <f>IF('Student DATA Entry'!C54="","",'Student DATA Entry'!C54)</f>
        <v/>
      </c>
      <c r="D57" s="459" t="str">
        <f>IF('Student DATA Entry'!D54="","",'Student DATA Entry'!D54)</f>
        <v/>
      </c>
      <c r="E57" s="459" t="str">
        <f>IF('Student DATA Entry'!E54="","",'Student DATA Entry'!E54)</f>
        <v/>
      </c>
      <c r="F57" s="460" t="str">
        <f>IF('Student DATA Entry'!K54="","",'Student DATA Entry'!K54)</f>
        <v/>
      </c>
      <c r="G57" s="461" t="str">
        <f>IF('Student DATA Entry'!G54="","",UPPER('Student DATA Entry'!G54))</f>
        <v/>
      </c>
      <c r="H57" s="461" t="str">
        <f>IF('Student DATA Entry'!H54="","",UPPER('Student DATA Entry'!H54))</f>
        <v/>
      </c>
      <c r="I57" s="462" t="str">
        <f>IF('Student DATA Entry'!I54="","",UPPER('Student DATA Entry'!I54))</f>
        <v/>
      </c>
      <c r="J57" s="463" t="str">
        <f>IF('Student DATA Entry'!L54="","",UPPER('Student DATA Entry'!L54))</f>
        <v/>
      </c>
      <c r="K57" s="469" t="str">
        <f>IF('Student DATA Entry'!J54="","",UPPER('Student DATA Entry'!J54))</f>
        <v/>
      </c>
      <c r="L57" s="491"/>
      <c r="M57" s="8"/>
      <c r="N57" s="8"/>
      <c r="O57" s="9"/>
      <c r="P57" s="492"/>
      <c r="Q57" s="491"/>
      <c r="R57" s="8"/>
      <c r="S57" s="8"/>
      <c r="T57" s="9"/>
      <c r="U57" s="492"/>
      <c r="V57" s="502"/>
      <c r="W57" s="7"/>
      <c r="X57" s="8"/>
      <c r="Y57" s="8"/>
      <c r="Z57" s="9"/>
      <c r="AA57" s="492"/>
      <c r="AB57" s="491"/>
      <c r="AC57" s="8"/>
      <c r="AD57" s="8"/>
      <c r="AE57" s="9"/>
      <c r="AF57" s="492"/>
      <c r="AG57" s="491"/>
      <c r="AH57" s="8"/>
      <c r="AI57" s="8"/>
      <c r="AJ57" s="9"/>
      <c r="AK57" s="492"/>
      <c r="AL57" s="491"/>
      <c r="AM57" s="8"/>
      <c r="AN57" s="8"/>
      <c r="AO57" s="9"/>
      <c r="AP57" s="492"/>
      <c r="AQ57" s="506"/>
      <c r="AR57" s="491"/>
      <c r="AS57" s="8"/>
      <c r="AT57" s="8"/>
      <c r="AU57" s="9"/>
      <c r="AV57" s="9"/>
      <c r="AW57" s="17"/>
      <c r="AX57" s="492"/>
      <c r="AY57" s="491"/>
      <c r="AZ57" s="7"/>
      <c r="BA57" s="9"/>
      <c r="BB57" s="9"/>
      <c r="BC57" s="492"/>
      <c r="BD57" s="491"/>
      <c r="BE57" s="7"/>
      <c r="BF57" s="7"/>
      <c r="BG57" s="7"/>
      <c r="BH57" s="9"/>
      <c r="BI57" s="9"/>
      <c r="BJ57" s="492"/>
      <c r="BK57" s="491"/>
      <c r="BL57" s="7"/>
      <c r="BM57" s="7"/>
      <c r="BN57" s="7"/>
      <c r="BO57" s="7"/>
      <c r="BP57" s="7"/>
      <c r="BQ57" s="7"/>
      <c r="BR57" s="8"/>
      <c r="BS57" s="8"/>
      <c r="BT57" s="509"/>
      <c r="BU57" s="491"/>
      <c r="BV57" s="8"/>
      <c r="BW57" s="509"/>
      <c r="BX57" s="491"/>
      <c r="BY57" s="8"/>
      <c r="BZ57" s="509"/>
      <c r="CA57" s="752"/>
    </row>
    <row r="58" spans="1:79" ht="24.95" customHeight="1">
      <c r="A58" s="468">
        <f>IF('Student DATA Entry'!A55="","",'Student DATA Entry'!A55)</f>
        <v>52</v>
      </c>
      <c r="B58" s="459" t="str">
        <f>IF('Student DATA Entry'!B55="","",'Student DATA Entry'!B55)</f>
        <v/>
      </c>
      <c r="C58" s="459" t="str">
        <f>IF('Student DATA Entry'!C55="","",'Student DATA Entry'!C55)</f>
        <v/>
      </c>
      <c r="D58" s="459" t="str">
        <f>IF('Student DATA Entry'!D55="","",'Student DATA Entry'!D55)</f>
        <v/>
      </c>
      <c r="E58" s="459" t="str">
        <f>IF('Student DATA Entry'!E55="","",'Student DATA Entry'!E55)</f>
        <v/>
      </c>
      <c r="F58" s="460" t="str">
        <f>IF('Student DATA Entry'!K55="","",'Student DATA Entry'!K55)</f>
        <v/>
      </c>
      <c r="G58" s="461" t="str">
        <f>IF('Student DATA Entry'!G55="","",UPPER('Student DATA Entry'!G55))</f>
        <v/>
      </c>
      <c r="H58" s="461" t="str">
        <f>IF('Student DATA Entry'!H55="","",UPPER('Student DATA Entry'!H55))</f>
        <v/>
      </c>
      <c r="I58" s="462" t="str">
        <f>IF('Student DATA Entry'!I55="","",UPPER('Student DATA Entry'!I55))</f>
        <v/>
      </c>
      <c r="J58" s="463" t="str">
        <f>IF('Student DATA Entry'!L55="","",UPPER('Student DATA Entry'!L55))</f>
        <v/>
      </c>
      <c r="K58" s="469" t="str">
        <f>IF('Student DATA Entry'!J55="","",UPPER('Student DATA Entry'!J55))</f>
        <v/>
      </c>
      <c r="L58" s="491"/>
      <c r="M58" s="8"/>
      <c r="N58" s="8"/>
      <c r="O58" s="9"/>
      <c r="P58" s="492"/>
      <c r="Q58" s="491"/>
      <c r="R58" s="8"/>
      <c r="S58" s="8"/>
      <c r="T58" s="9"/>
      <c r="U58" s="492"/>
      <c r="V58" s="502"/>
      <c r="W58" s="7"/>
      <c r="X58" s="8"/>
      <c r="Y58" s="8"/>
      <c r="Z58" s="9"/>
      <c r="AA58" s="492"/>
      <c r="AB58" s="491"/>
      <c r="AC58" s="8"/>
      <c r="AD58" s="8"/>
      <c r="AE58" s="9"/>
      <c r="AF58" s="492"/>
      <c r="AG58" s="491"/>
      <c r="AH58" s="8"/>
      <c r="AI58" s="8"/>
      <c r="AJ58" s="9"/>
      <c r="AK58" s="492"/>
      <c r="AL58" s="491"/>
      <c r="AM58" s="8"/>
      <c r="AN58" s="8"/>
      <c r="AO58" s="9"/>
      <c r="AP58" s="492"/>
      <c r="AQ58" s="506"/>
      <c r="AR58" s="491"/>
      <c r="AS58" s="8"/>
      <c r="AT58" s="8"/>
      <c r="AU58" s="9"/>
      <c r="AV58" s="9"/>
      <c r="AW58" s="17"/>
      <c r="AX58" s="492"/>
      <c r="AY58" s="491"/>
      <c r="AZ58" s="7"/>
      <c r="BA58" s="9"/>
      <c r="BB58" s="9"/>
      <c r="BC58" s="492"/>
      <c r="BD58" s="491"/>
      <c r="BE58" s="7"/>
      <c r="BF58" s="7"/>
      <c r="BG58" s="7"/>
      <c r="BH58" s="9"/>
      <c r="BI58" s="9"/>
      <c r="BJ58" s="492"/>
      <c r="BK58" s="491"/>
      <c r="BL58" s="7"/>
      <c r="BM58" s="7"/>
      <c r="BN58" s="7"/>
      <c r="BO58" s="7"/>
      <c r="BP58" s="7"/>
      <c r="BQ58" s="7"/>
      <c r="BR58" s="8"/>
      <c r="BS58" s="8"/>
      <c r="BT58" s="509"/>
      <c r="BU58" s="491"/>
      <c r="BV58" s="8"/>
      <c r="BW58" s="509"/>
      <c r="BX58" s="491"/>
      <c r="BY58" s="8"/>
      <c r="BZ58" s="509"/>
      <c r="CA58" s="752"/>
    </row>
    <row r="59" spans="1:79" ht="24.95" customHeight="1">
      <c r="A59" s="468">
        <f>IF('Student DATA Entry'!A56="","",'Student DATA Entry'!A56)</f>
        <v>53</v>
      </c>
      <c r="B59" s="459" t="str">
        <f>IF('Student DATA Entry'!B56="","",'Student DATA Entry'!B56)</f>
        <v/>
      </c>
      <c r="C59" s="459" t="str">
        <f>IF('Student DATA Entry'!C56="","",'Student DATA Entry'!C56)</f>
        <v/>
      </c>
      <c r="D59" s="459" t="str">
        <f>IF('Student DATA Entry'!D56="","",'Student DATA Entry'!D56)</f>
        <v/>
      </c>
      <c r="E59" s="459" t="str">
        <f>IF('Student DATA Entry'!E56="","",'Student DATA Entry'!E56)</f>
        <v/>
      </c>
      <c r="F59" s="460" t="str">
        <f>IF('Student DATA Entry'!K56="","",'Student DATA Entry'!K56)</f>
        <v/>
      </c>
      <c r="G59" s="461" t="str">
        <f>IF('Student DATA Entry'!G56="","",UPPER('Student DATA Entry'!G56))</f>
        <v/>
      </c>
      <c r="H59" s="461" t="str">
        <f>IF('Student DATA Entry'!H56="","",UPPER('Student DATA Entry'!H56))</f>
        <v/>
      </c>
      <c r="I59" s="462" t="str">
        <f>IF('Student DATA Entry'!I56="","",UPPER('Student DATA Entry'!I56))</f>
        <v/>
      </c>
      <c r="J59" s="463" t="str">
        <f>IF('Student DATA Entry'!L56="","",UPPER('Student DATA Entry'!L56))</f>
        <v/>
      </c>
      <c r="K59" s="469" t="str">
        <f>IF('Student DATA Entry'!J56="","",UPPER('Student DATA Entry'!J56))</f>
        <v/>
      </c>
      <c r="L59" s="491"/>
      <c r="M59" s="8"/>
      <c r="N59" s="8"/>
      <c r="O59" s="9"/>
      <c r="P59" s="492"/>
      <c r="Q59" s="491"/>
      <c r="R59" s="8"/>
      <c r="S59" s="8"/>
      <c r="T59" s="9"/>
      <c r="U59" s="492"/>
      <c r="V59" s="502"/>
      <c r="W59" s="7"/>
      <c r="X59" s="8"/>
      <c r="Y59" s="8"/>
      <c r="Z59" s="9"/>
      <c r="AA59" s="492"/>
      <c r="AB59" s="491"/>
      <c r="AC59" s="8"/>
      <c r="AD59" s="8"/>
      <c r="AE59" s="9"/>
      <c r="AF59" s="492"/>
      <c r="AG59" s="491"/>
      <c r="AH59" s="8"/>
      <c r="AI59" s="8"/>
      <c r="AJ59" s="9"/>
      <c r="AK59" s="492"/>
      <c r="AL59" s="491"/>
      <c r="AM59" s="8"/>
      <c r="AN59" s="8"/>
      <c r="AO59" s="9"/>
      <c r="AP59" s="492"/>
      <c r="AQ59" s="506"/>
      <c r="AR59" s="491"/>
      <c r="AS59" s="8"/>
      <c r="AT59" s="8"/>
      <c r="AU59" s="9"/>
      <c r="AV59" s="9"/>
      <c r="AW59" s="17"/>
      <c r="AX59" s="492"/>
      <c r="AY59" s="491"/>
      <c r="AZ59" s="7"/>
      <c r="BA59" s="9"/>
      <c r="BB59" s="9"/>
      <c r="BC59" s="492"/>
      <c r="BD59" s="491"/>
      <c r="BE59" s="7"/>
      <c r="BF59" s="7"/>
      <c r="BG59" s="7"/>
      <c r="BH59" s="9"/>
      <c r="BI59" s="9"/>
      <c r="BJ59" s="492"/>
      <c r="BK59" s="491"/>
      <c r="BL59" s="7"/>
      <c r="BM59" s="7"/>
      <c r="BN59" s="7"/>
      <c r="BO59" s="7"/>
      <c r="BP59" s="7"/>
      <c r="BQ59" s="7"/>
      <c r="BR59" s="8"/>
      <c r="BS59" s="8"/>
      <c r="BT59" s="509"/>
      <c r="BU59" s="491"/>
      <c r="BV59" s="8"/>
      <c r="BW59" s="509"/>
      <c r="BX59" s="491"/>
      <c r="BY59" s="8"/>
      <c r="BZ59" s="509"/>
      <c r="CA59" s="752"/>
    </row>
    <row r="60" spans="1:79" ht="24.95" customHeight="1">
      <c r="A60" s="468">
        <f>IF('Student DATA Entry'!A57="","",'Student DATA Entry'!A57)</f>
        <v>54</v>
      </c>
      <c r="B60" s="459" t="str">
        <f>IF('Student DATA Entry'!B57="","",'Student DATA Entry'!B57)</f>
        <v/>
      </c>
      <c r="C60" s="459" t="str">
        <f>IF('Student DATA Entry'!C57="","",'Student DATA Entry'!C57)</f>
        <v/>
      </c>
      <c r="D60" s="459" t="str">
        <f>IF('Student DATA Entry'!D57="","",'Student DATA Entry'!D57)</f>
        <v/>
      </c>
      <c r="E60" s="459" t="str">
        <f>IF('Student DATA Entry'!E57="","",'Student DATA Entry'!E57)</f>
        <v/>
      </c>
      <c r="F60" s="460" t="str">
        <f>IF('Student DATA Entry'!K57="","",'Student DATA Entry'!K57)</f>
        <v/>
      </c>
      <c r="G60" s="461" t="str">
        <f>IF('Student DATA Entry'!G57="","",UPPER('Student DATA Entry'!G57))</f>
        <v/>
      </c>
      <c r="H60" s="461" t="str">
        <f>IF('Student DATA Entry'!H57="","",UPPER('Student DATA Entry'!H57))</f>
        <v/>
      </c>
      <c r="I60" s="462" t="str">
        <f>IF('Student DATA Entry'!I57="","",UPPER('Student DATA Entry'!I57))</f>
        <v/>
      </c>
      <c r="J60" s="463" t="str">
        <f>IF('Student DATA Entry'!L57="","",UPPER('Student DATA Entry'!L57))</f>
        <v/>
      </c>
      <c r="K60" s="469" t="str">
        <f>IF('Student DATA Entry'!J57="","",UPPER('Student DATA Entry'!J57))</f>
        <v/>
      </c>
      <c r="L60" s="491"/>
      <c r="M60" s="8"/>
      <c r="N60" s="8"/>
      <c r="O60" s="9"/>
      <c r="P60" s="492"/>
      <c r="Q60" s="491"/>
      <c r="R60" s="8"/>
      <c r="S60" s="8"/>
      <c r="T60" s="9"/>
      <c r="U60" s="492"/>
      <c r="V60" s="502"/>
      <c r="W60" s="7"/>
      <c r="X60" s="8"/>
      <c r="Y60" s="8"/>
      <c r="Z60" s="9"/>
      <c r="AA60" s="492"/>
      <c r="AB60" s="491"/>
      <c r="AC60" s="8"/>
      <c r="AD60" s="8"/>
      <c r="AE60" s="9"/>
      <c r="AF60" s="492"/>
      <c r="AG60" s="491"/>
      <c r="AH60" s="8"/>
      <c r="AI60" s="8"/>
      <c r="AJ60" s="9"/>
      <c r="AK60" s="492"/>
      <c r="AL60" s="491"/>
      <c r="AM60" s="8"/>
      <c r="AN60" s="8"/>
      <c r="AO60" s="9"/>
      <c r="AP60" s="492"/>
      <c r="AQ60" s="506"/>
      <c r="AR60" s="491"/>
      <c r="AS60" s="8"/>
      <c r="AT60" s="8"/>
      <c r="AU60" s="9"/>
      <c r="AV60" s="9"/>
      <c r="AW60" s="17"/>
      <c r="AX60" s="492"/>
      <c r="AY60" s="491"/>
      <c r="AZ60" s="7"/>
      <c r="BA60" s="9"/>
      <c r="BB60" s="9"/>
      <c r="BC60" s="492"/>
      <c r="BD60" s="491"/>
      <c r="BE60" s="7"/>
      <c r="BF60" s="7"/>
      <c r="BG60" s="7"/>
      <c r="BH60" s="9"/>
      <c r="BI60" s="9"/>
      <c r="BJ60" s="492"/>
      <c r="BK60" s="491"/>
      <c r="BL60" s="7"/>
      <c r="BM60" s="7"/>
      <c r="BN60" s="7"/>
      <c r="BO60" s="7"/>
      <c r="BP60" s="7"/>
      <c r="BQ60" s="7"/>
      <c r="BR60" s="8"/>
      <c r="BS60" s="8"/>
      <c r="BT60" s="509"/>
      <c r="BU60" s="491"/>
      <c r="BV60" s="8"/>
      <c r="BW60" s="509"/>
      <c r="BX60" s="491"/>
      <c r="BY60" s="8"/>
      <c r="BZ60" s="509"/>
      <c r="CA60" s="752"/>
    </row>
    <row r="61" spans="1:79" ht="24.95" customHeight="1">
      <c r="A61" s="468">
        <f>IF('Student DATA Entry'!A58="","",'Student DATA Entry'!A58)</f>
        <v>55</v>
      </c>
      <c r="B61" s="459" t="str">
        <f>IF('Student DATA Entry'!B58="","",'Student DATA Entry'!B58)</f>
        <v/>
      </c>
      <c r="C61" s="459" t="str">
        <f>IF('Student DATA Entry'!C58="","",'Student DATA Entry'!C58)</f>
        <v/>
      </c>
      <c r="D61" s="459" t="str">
        <f>IF('Student DATA Entry'!D58="","",'Student DATA Entry'!D58)</f>
        <v/>
      </c>
      <c r="E61" s="459" t="str">
        <f>IF('Student DATA Entry'!E58="","",'Student DATA Entry'!E58)</f>
        <v/>
      </c>
      <c r="F61" s="460" t="str">
        <f>IF('Student DATA Entry'!K58="","",'Student DATA Entry'!K58)</f>
        <v/>
      </c>
      <c r="G61" s="461" t="str">
        <f>IF('Student DATA Entry'!G58="","",UPPER('Student DATA Entry'!G58))</f>
        <v/>
      </c>
      <c r="H61" s="461" t="str">
        <f>IF('Student DATA Entry'!H58="","",UPPER('Student DATA Entry'!H58))</f>
        <v/>
      </c>
      <c r="I61" s="462" t="str">
        <f>IF('Student DATA Entry'!I58="","",UPPER('Student DATA Entry'!I58))</f>
        <v/>
      </c>
      <c r="J61" s="463" t="str">
        <f>IF('Student DATA Entry'!L58="","",UPPER('Student DATA Entry'!L58))</f>
        <v/>
      </c>
      <c r="K61" s="469" t="str">
        <f>IF('Student DATA Entry'!J58="","",UPPER('Student DATA Entry'!J58))</f>
        <v/>
      </c>
      <c r="L61" s="491"/>
      <c r="M61" s="8"/>
      <c r="N61" s="8"/>
      <c r="O61" s="9"/>
      <c r="P61" s="492"/>
      <c r="Q61" s="491"/>
      <c r="R61" s="8"/>
      <c r="S61" s="8"/>
      <c r="T61" s="9"/>
      <c r="U61" s="492"/>
      <c r="V61" s="502"/>
      <c r="W61" s="7"/>
      <c r="X61" s="8"/>
      <c r="Y61" s="8"/>
      <c r="Z61" s="9"/>
      <c r="AA61" s="492"/>
      <c r="AB61" s="491"/>
      <c r="AC61" s="8"/>
      <c r="AD61" s="8"/>
      <c r="AE61" s="9"/>
      <c r="AF61" s="492"/>
      <c r="AG61" s="491"/>
      <c r="AH61" s="8"/>
      <c r="AI61" s="8"/>
      <c r="AJ61" s="9"/>
      <c r="AK61" s="492"/>
      <c r="AL61" s="491"/>
      <c r="AM61" s="8"/>
      <c r="AN61" s="8"/>
      <c r="AO61" s="9"/>
      <c r="AP61" s="492"/>
      <c r="AQ61" s="506"/>
      <c r="AR61" s="491"/>
      <c r="AS61" s="8"/>
      <c r="AT61" s="8"/>
      <c r="AU61" s="9"/>
      <c r="AV61" s="9"/>
      <c r="AW61" s="17"/>
      <c r="AX61" s="492"/>
      <c r="AY61" s="491"/>
      <c r="AZ61" s="7"/>
      <c r="BA61" s="9"/>
      <c r="BB61" s="9"/>
      <c r="BC61" s="492"/>
      <c r="BD61" s="491"/>
      <c r="BE61" s="7"/>
      <c r="BF61" s="7"/>
      <c r="BG61" s="7"/>
      <c r="BH61" s="9"/>
      <c r="BI61" s="9"/>
      <c r="BJ61" s="492"/>
      <c r="BK61" s="491"/>
      <c r="BL61" s="7"/>
      <c r="BM61" s="7"/>
      <c r="BN61" s="7"/>
      <c r="BO61" s="7"/>
      <c r="BP61" s="7"/>
      <c r="BQ61" s="7"/>
      <c r="BR61" s="8"/>
      <c r="BS61" s="8"/>
      <c r="BT61" s="509"/>
      <c r="BU61" s="491"/>
      <c r="BV61" s="8"/>
      <c r="BW61" s="509"/>
      <c r="BX61" s="491"/>
      <c r="BY61" s="8"/>
      <c r="BZ61" s="509"/>
      <c r="CA61" s="752"/>
    </row>
    <row r="62" spans="1:79" ht="24.95" customHeight="1">
      <c r="A62" s="468">
        <f>IF('Student DATA Entry'!A59="","",'Student DATA Entry'!A59)</f>
        <v>56</v>
      </c>
      <c r="B62" s="459" t="str">
        <f>IF('Student DATA Entry'!B59="","",'Student DATA Entry'!B59)</f>
        <v/>
      </c>
      <c r="C62" s="459" t="str">
        <f>IF('Student DATA Entry'!C59="","",'Student DATA Entry'!C59)</f>
        <v/>
      </c>
      <c r="D62" s="459" t="str">
        <f>IF('Student DATA Entry'!D59="","",'Student DATA Entry'!D59)</f>
        <v/>
      </c>
      <c r="E62" s="459" t="str">
        <f>IF('Student DATA Entry'!E59="","",'Student DATA Entry'!E59)</f>
        <v/>
      </c>
      <c r="F62" s="460" t="str">
        <f>IF('Student DATA Entry'!K59="","",'Student DATA Entry'!K59)</f>
        <v/>
      </c>
      <c r="G62" s="461" t="str">
        <f>IF('Student DATA Entry'!G59="","",UPPER('Student DATA Entry'!G59))</f>
        <v/>
      </c>
      <c r="H62" s="461" t="str">
        <f>IF('Student DATA Entry'!H59="","",UPPER('Student DATA Entry'!H59))</f>
        <v/>
      </c>
      <c r="I62" s="462" t="str">
        <f>IF('Student DATA Entry'!I59="","",UPPER('Student DATA Entry'!I59))</f>
        <v/>
      </c>
      <c r="J62" s="463" t="str">
        <f>IF('Student DATA Entry'!L59="","",UPPER('Student DATA Entry'!L59))</f>
        <v/>
      </c>
      <c r="K62" s="469" t="str">
        <f>IF('Student DATA Entry'!J59="","",UPPER('Student DATA Entry'!J59))</f>
        <v/>
      </c>
      <c r="L62" s="491"/>
      <c r="M62" s="8"/>
      <c r="N62" s="8"/>
      <c r="O62" s="9"/>
      <c r="P62" s="492"/>
      <c r="Q62" s="491"/>
      <c r="R62" s="8"/>
      <c r="S62" s="8"/>
      <c r="T62" s="9"/>
      <c r="U62" s="492"/>
      <c r="V62" s="502"/>
      <c r="W62" s="7"/>
      <c r="X62" s="8"/>
      <c r="Y62" s="8"/>
      <c r="Z62" s="9"/>
      <c r="AA62" s="492"/>
      <c r="AB62" s="491"/>
      <c r="AC62" s="8"/>
      <c r="AD62" s="8"/>
      <c r="AE62" s="9"/>
      <c r="AF62" s="492"/>
      <c r="AG62" s="491"/>
      <c r="AH62" s="8"/>
      <c r="AI62" s="8"/>
      <c r="AJ62" s="9"/>
      <c r="AK62" s="492"/>
      <c r="AL62" s="491"/>
      <c r="AM62" s="8"/>
      <c r="AN62" s="8"/>
      <c r="AO62" s="9"/>
      <c r="AP62" s="492"/>
      <c r="AQ62" s="506"/>
      <c r="AR62" s="491"/>
      <c r="AS62" s="8"/>
      <c r="AT62" s="8"/>
      <c r="AU62" s="9"/>
      <c r="AV62" s="9"/>
      <c r="AW62" s="17"/>
      <c r="AX62" s="492"/>
      <c r="AY62" s="491"/>
      <c r="AZ62" s="7"/>
      <c r="BA62" s="9"/>
      <c r="BB62" s="9"/>
      <c r="BC62" s="492"/>
      <c r="BD62" s="491"/>
      <c r="BE62" s="7"/>
      <c r="BF62" s="7"/>
      <c r="BG62" s="7"/>
      <c r="BH62" s="9"/>
      <c r="BI62" s="9"/>
      <c r="BJ62" s="492"/>
      <c r="BK62" s="491"/>
      <c r="BL62" s="7"/>
      <c r="BM62" s="7"/>
      <c r="BN62" s="7"/>
      <c r="BO62" s="7"/>
      <c r="BP62" s="7"/>
      <c r="BQ62" s="7"/>
      <c r="BR62" s="8"/>
      <c r="BS62" s="8"/>
      <c r="BT62" s="509"/>
      <c r="BU62" s="491"/>
      <c r="BV62" s="8"/>
      <c r="BW62" s="509"/>
      <c r="BX62" s="491"/>
      <c r="BY62" s="8"/>
      <c r="BZ62" s="509"/>
      <c r="CA62" s="752"/>
    </row>
    <row r="63" spans="1:79" ht="24.95" customHeight="1">
      <c r="A63" s="468">
        <f>IF('Student DATA Entry'!A60="","",'Student DATA Entry'!A60)</f>
        <v>57</v>
      </c>
      <c r="B63" s="459" t="str">
        <f>IF('Student DATA Entry'!B60="","",'Student DATA Entry'!B60)</f>
        <v/>
      </c>
      <c r="C63" s="459" t="str">
        <f>IF('Student DATA Entry'!C60="","",'Student DATA Entry'!C60)</f>
        <v/>
      </c>
      <c r="D63" s="459" t="str">
        <f>IF('Student DATA Entry'!D60="","",'Student DATA Entry'!D60)</f>
        <v/>
      </c>
      <c r="E63" s="459" t="str">
        <f>IF('Student DATA Entry'!E60="","",'Student DATA Entry'!E60)</f>
        <v/>
      </c>
      <c r="F63" s="460" t="str">
        <f>IF('Student DATA Entry'!K60="","",'Student DATA Entry'!K60)</f>
        <v/>
      </c>
      <c r="G63" s="461" t="str">
        <f>IF('Student DATA Entry'!G60="","",UPPER('Student DATA Entry'!G60))</f>
        <v/>
      </c>
      <c r="H63" s="461" t="str">
        <f>IF('Student DATA Entry'!H60="","",UPPER('Student DATA Entry'!H60))</f>
        <v/>
      </c>
      <c r="I63" s="462" t="str">
        <f>IF('Student DATA Entry'!I60="","",UPPER('Student DATA Entry'!I60))</f>
        <v/>
      </c>
      <c r="J63" s="463" t="str">
        <f>IF('Student DATA Entry'!L60="","",UPPER('Student DATA Entry'!L60))</f>
        <v/>
      </c>
      <c r="K63" s="469" t="str">
        <f>IF('Student DATA Entry'!J60="","",UPPER('Student DATA Entry'!J60))</f>
        <v/>
      </c>
      <c r="L63" s="491"/>
      <c r="M63" s="8"/>
      <c r="N63" s="8"/>
      <c r="O63" s="9"/>
      <c r="P63" s="492"/>
      <c r="Q63" s="491"/>
      <c r="R63" s="8"/>
      <c r="S63" s="8"/>
      <c r="T63" s="9"/>
      <c r="U63" s="492"/>
      <c r="V63" s="502"/>
      <c r="W63" s="7"/>
      <c r="X63" s="8"/>
      <c r="Y63" s="8"/>
      <c r="Z63" s="9"/>
      <c r="AA63" s="492"/>
      <c r="AB63" s="491"/>
      <c r="AC63" s="8"/>
      <c r="AD63" s="8"/>
      <c r="AE63" s="9"/>
      <c r="AF63" s="492"/>
      <c r="AG63" s="491"/>
      <c r="AH63" s="8"/>
      <c r="AI63" s="8"/>
      <c r="AJ63" s="9"/>
      <c r="AK63" s="492"/>
      <c r="AL63" s="491"/>
      <c r="AM63" s="8"/>
      <c r="AN63" s="8"/>
      <c r="AO63" s="9"/>
      <c r="AP63" s="492"/>
      <c r="AQ63" s="506"/>
      <c r="AR63" s="491"/>
      <c r="AS63" s="8"/>
      <c r="AT63" s="8"/>
      <c r="AU63" s="9"/>
      <c r="AV63" s="9"/>
      <c r="AW63" s="17"/>
      <c r="AX63" s="492"/>
      <c r="AY63" s="491"/>
      <c r="AZ63" s="7"/>
      <c r="BA63" s="9"/>
      <c r="BB63" s="9"/>
      <c r="BC63" s="492"/>
      <c r="BD63" s="491"/>
      <c r="BE63" s="7"/>
      <c r="BF63" s="7"/>
      <c r="BG63" s="7"/>
      <c r="BH63" s="9"/>
      <c r="BI63" s="9"/>
      <c r="BJ63" s="492"/>
      <c r="BK63" s="491"/>
      <c r="BL63" s="7"/>
      <c r="BM63" s="7"/>
      <c r="BN63" s="7"/>
      <c r="BO63" s="7"/>
      <c r="BP63" s="7"/>
      <c r="BQ63" s="7"/>
      <c r="BR63" s="8"/>
      <c r="BS63" s="8"/>
      <c r="BT63" s="509"/>
      <c r="BU63" s="491"/>
      <c r="BV63" s="8"/>
      <c r="BW63" s="509"/>
      <c r="BX63" s="491"/>
      <c r="BY63" s="8"/>
      <c r="BZ63" s="509"/>
      <c r="CA63" s="752"/>
    </row>
    <row r="64" spans="1:79" ht="24.95" customHeight="1">
      <c r="A64" s="468">
        <f>IF('Student DATA Entry'!A61="","",'Student DATA Entry'!A61)</f>
        <v>58</v>
      </c>
      <c r="B64" s="459" t="str">
        <f>IF('Student DATA Entry'!B61="","",'Student DATA Entry'!B61)</f>
        <v/>
      </c>
      <c r="C64" s="459" t="str">
        <f>IF('Student DATA Entry'!C61="","",'Student DATA Entry'!C61)</f>
        <v/>
      </c>
      <c r="D64" s="459" t="str">
        <f>IF('Student DATA Entry'!D61="","",'Student DATA Entry'!D61)</f>
        <v/>
      </c>
      <c r="E64" s="459" t="str">
        <f>IF('Student DATA Entry'!E61="","",'Student DATA Entry'!E61)</f>
        <v/>
      </c>
      <c r="F64" s="460" t="str">
        <f>IF('Student DATA Entry'!K61="","",'Student DATA Entry'!K61)</f>
        <v/>
      </c>
      <c r="G64" s="461" t="str">
        <f>IF('Student DATA Entry'!G61="","",UPPER('Student DATA Entry'!G61))</f>
        <v/>
      </c>
      <c r="H64" s="461" t="str">
        <f>IF('Student DATA Entry'!H61="","",UPPER('Student DATA Entry'!H61))</f>
        <v/>
      </c>
      <c r="I64" s="462" t="str">
        <f>IF('Student DATA Entry'!I61="","",UPPER('Student DATA Entry'!I61))</f>
        <v/>
      </c>
      <c r="J64" s="463" t="str">
        <f>IF('Student DATA Entry'!L61="","",UPPER('Student DATA Entry'!L61))</f>
        <v/>
      </c>
      <c r="K64" s="469" t="str">
        <f>IF('Student DATA Entry'!J61="","",UPPER('Student DATA Entry'!J61))</f>
        <v/>
      </c>
      <c r="L64" s="491"/>
      <c r="M64" s="8"/>
      <c r="N64" s="8"/>
      <c r="O64" s="9"/>
      <c r="P64" s="492"/>
      <c r="Q64" s="491"/>
      <c r="R64" s="8"/>
      <c r="S64" s="8"/>
      <c r="T64" s="9"/>
      <c r="U64" s="492"/>
      <c r="V64" s="502"/>
      <c r="W64" s="7"/>
      <c r="X64" s="8"/>
      <c r="Y64" s="8"/>
      <c r="Z64" s="9"/>
      <c r="AA64" s="492"/>
      <c r="AB64" s="491"/>
      <c r="AC64" s="8"/>
      <c r="AD64" s="8"/>
      <c r="AE64" s="9"/>
      <c r="AF64" s="492"/>
      <c r="AG64" s="491"/>
      <c r="AH64" s="8"/>
      <c r="AI64" s="8"/>
      <c r="AJ64" s="9"/>
      <c r="AK64" s="492"/>
      <c r="AL64" s="491"/>
      <c r="AM64" s="8"/>
      <c r="AN64" s="8"/>
      <c r="AO64" s="9"/>
      <c r="AP64" s="492"/>
      <c r="AQ64" s="506"/>
      <c r="AR64" s="491"/>
      <c r="AS64" s="8"/>
      <c r="AT64" s="8"/>
      <c r="AU64" s="9"/>
      <c r="AV64" s="9"/>
      <c r="AW64" s="17"/>
      <c r="AX64" s="492"/>
      <c r="AY64" s="491"/>
      <c r="AZ64" s="7"/>
      <c r="BA64" s="9"/>
      <c r="BB64" s="9"/>
      <c r="BC64" s="492"/>
      <c r="BD64" s="491"/>
      <c r="BE64" s="7"/>
      <c r="BF64" s="7"/>
      <c r="BG64" s="7"/>
      <c r="BH64" s="9"/>
      <c r="BI64" s="9"/>
      <c r="BJ64" s="492"/>
      <c r="BK64" s="491"/>
      <c r="BL64" s="7"/>
      <c r="BM64" s="7"/>
      <c r="BN64" s="7"/>
      <c r="BO64" s="7"/>
      <c r="BP64" s="7"/>
      <c r="BQ64" s="7"/>
      <c r="BR64" s="8"/>
      <c r="BS64" s="8"/>
      <c r="BT64" s="509"/>
      <c r="BU64" s="491"/>
      <c r="BV64" s="8"/>
      <c r="BW64" s="509"/>
      <c r="BX64" s="491"/>
      <c r="BY64" s="8"/>
      <c r="BZ64" s="509"/>
      <c r="CA64" s="752"/>
    </row>
    <row r="65" spans="1:79" ht="24.95" customHeight="1">
      <c r="A65" s="468">
        <f>IF('Student DATA Entry'!A62="","",'Student DATA Entry'!A62)</f>
        <v>59</v>
      </c>
      <c r="B65" s="459" t="str">
        <f>IF('Student DATA Entry'!B62="","",'Student DATA Entry'!B62)</f>
        <v/>
      </c>
      <c r="C65" s="459" t="str">
        <f>IF('Student DATA Entry'!C62="","",'Student DATA Entry'!C62)</f>
        <v/>
      </c>
      <c r="D65" s="459" t="str">
        <f>IF('Student DATA Entry'!D62="","",'Student DATA Entry'!D62)</f>
        <v/>
      </c>
      <c r="E65" s="459" t="str">
        <f>IF('Student DATA Entry'!E62="","",'Student DATA Entry'!E62)</f>
        <v/>
      </c>
      <c r="F65" s="460" t="str">
        <f>IF('Student DATA Entry'!K62="","",'Student DATA Entry'!K62)</f>
        <v/>
      </c>
      <c r="G65" s="461" t="str">
        <f>IF('Student DATA Entry'!G62="","",UPPER('Student DATA Entry'!G62))</f>
        <v/>
      </c>
      <c r="H65" s="461" t="str">
        <f>IF('Student DATA Entry'!H62="","",UPPER('Student DATA Entry'!H62))</f>
        <v/>
      </c>
      <c r="I65" s="462" t="str">
        <f>IF('Student DATA Entry'!I62="","",UPPER('Student DATA Entry'!I62))</f>
        <v/>
      </c>
      <c r="J65" s="463" t="str">
        <f>IF('Student DATA Entry'!L62="","",UPPER('Student DATA Entry'!L62))</f>
        <v/>
      </c>
      <c r="K65" s="469" t="str">
        <f>IF('Student DATA Entry'!J62="","",UPPER('Student DATA Entry'!J62))</f>
        <v/>
      </c>
      <c r="L65" s="491"/>
      <c r="M65" s="8"/>
      <c r="N65" s="8"/>
      <c r="O65" s="9"/>
      <c r="P65" s="492"/>
      <c r="Q65" s="491"/>
      <c r="R65" s="8"/>
      <c r="S65" s="8"/>
      <c r="T65" s="9"/>
      <c r="U65" s="492"/>
      <c r="V65" s="502"/>
      <c r="W65" s="7"/>
      <c r="X65" s="8"/>
      <c r="Y65" s="8"/>
      <c r="Z65" s="9"/>
      <c r="AA65" s="492"/>
      <c r="AB65" s="491"/>
      <c r="AC65" s="8"/>
      <c r="AD65" s="8"/>
      <c r="AE65" s="9"/>
      <c r="AF65" s="492"/>
      <c r="AG65" s="491"/>
      <c r="AH65" s="8"/>
      <c r="AI65" s="8"/>
      <c r="AJ65" s="9"/>
      <c r="AK65" s="492"/>
      <c r="AL65" s="491"/>
      <c r="AM65" s="8"/>
      <c r="AN65" s="8"/>
      <c r="AO65" s="9"/>
      <c r="AP65" s="492"/>
      <c r="AQ65" s="506"/>
      <c r="AR65" s="491"/>
      <c r="AS65" s="8"/>
      <c r="AT65" s="8"/>
      <c r="AU65" s="9"/>
      <c r="AV65" s="9"/>
      <c r="AW65" s="17"/>
      <c r="AX65" s="492"/>
      <c r="AY65" s="491"/>
      <c r="AZ65" s="7"/>
      <c r="BA65" s="9"/>
      <c r="BB65" s="9"/>
      <c r="BC65" s="492"/>
      <c r="BD65" s="491"/>
      <c r="BE65" s="7"/>
      <c r="BF65" s="7"/>
      <c r="BG65" s="7"/>
      <c r="BH65" s="9"/>
      <c r="BI65" s="9"/>
      <c r="BJ65" s="492"/>
      <c r="BK65" s="491"/>
      <c r="BL65" s="7"/>
      <c r="BM65" s="7"/>
      <c r="BN65" s="7"/>
      <c r="BO65" s="7"/>
      <c r="BP65" s="7"/>
      <c r="BQ65" s="7"/>
      <c r="BR65" s="8"/>
      <c r="BS65" s="8"/>
      <c r="BT65" s="509"/>
      <c r="BU65" s="491"/>
      <c r="BV65" s="8"/>
      <c r="BW65" s="509"/>
      <c r="BX65" s="491"/>
      <c r="BY65" s="8"/>
      <c r="BZ65" s="509"/>
      <c r="CA65" s="752"/>
    </row>
    <row r="66" spans="1:79" ht="24.95" customHeight="1">
      <c r="A66" s="468">
        <f>IF('Student DATA Entry'!A63="","",'Student DATA Entry'!A63)</f>
        <v>60</v>
      </c>
      <c r="B66" s="459" t="str">
        <f>IF('Student DATA Entry'!B63="","",'Student DATA Entry'!B63)</f>
        <v/>
      </c>
      <c r="C66" s="459" t="str">
        <f>IF('Student DATA Entry'!C63="","",'Student DATA Entry'!C63)</f>
        <v/>
      </c>
      <c r="D66" s="459" t="str">
        <f>IF('Student DATA Entry'!D63="","",'Student DATA Entry'!D63)</f>
        <v/>
      </c>
      <c r="E66" s="459" t="str">
        <f>IF('Student DATA Entry'!E63="","",'Student DATA Entry'!E63)</f>
        <v/>
      </c>
      <c r="F66" s="460" t="str">
        <f>IF('Student DATA Entry'!K63="","",'Student DATA Entry'!K63)</f>
        <v/>
      </c>
      <c r="G66" s="461" t="str">
        <f>IF('Student DATA Entry'!G63="","",UPPER('Student DATA Entry'!G63))</f>
        <v/>
      </c>
      <c r="H66" s="461" t="str">
        <f>IF('Student DATA Entry'!H63="","",UPPER('Student DATA Entry'!H63))</f>
        <v/>
      </c>
      <c r="I66" s="462" t="str">
        <f>IF('Student DATA Entry'!I63="","",UPPER('Student DATA Entry'!I63))</f>
        <v/>
      </c>
      <c r="J66" s="463" t="str">
        <f>IF('Student DATA Entry'!L63="","",UPPER('Student DATA Entry'!L63))</f>
        <v/>
      </c>
      <c r="K66" s="469" t="str">
        <f>IF('Student DATA Entry'!J63="","",UPPER('Student DATA Entry'!J63))</f>
        <v/>
      </c>
      <c r="L66" s="491"/>
      <c r="M66" s="8"/>
      <c r="N66" s="8"/>
      <c r="O66" s="9"/>
      <c r="P66" s="492"/>
      <c r="Q66" s="491"/>
      <c r="R66" s="8"/>
      <c r="S66" s="8"/>
      <c r="T66" s="9"/>
      <c r="U66" s="492"/>
      <c r="V66" s="502"/>
      <c r="W66" s="7"/>
      <c r="X66" s="8"/>
      <c r="Y66" s="8"/>
      <c r="Z66" s="9"/>
      <c r="AA66" s="492"/>
      <c r="AB66" s="491"/>
      <c r="AC66" s="8"/>
      <c r="AD66" s="8"/>
      <c r="AE66" s="9"/>
      <c r="AF66" s="492"/>
      <c r="AG66" s="491"/>
      <c r="AH66" s="8"/>
      <c r="AI66" s="8"/>
      <c r="AJ66" s="9"/>
      <c r="AK66" s="492"/>
      <c r="AL66" s="491"/>
      <c r="AM66" s="8"/>
      <c r="AN66" s="8"/>
      <c r="AO66" s="9"/>
      <c r="AP66" s="492"/>
      <c r="AQ66" s="506"/>
      <c r="AR66" s="491"/>
      <c r="AS66" s="8"/>
      <c r="AT66" s="8"/>
      <c r="AU66" s="9"/>
      <c r="AV66" s="9"/>
      <c r="AW66" s="17"/>
      <c r="AX66" s="492"/>
      <c r="AY66" s="491"/>
      <c r="AZ66" s="7"/>
      <c r="BA66" s="9"/>
      <c r="BB66" s="9"/>
      <c r="BC66" s="492"/>
      <c r="BD66" s="491"/>
      <c r="BE66" s="7"/>
      <c r="BF66" s="7"/>
      <c r="BG66" s="7"/>
      <c r="BH66" s="9"/>
      <c r="BI66" s="9"/>
      <c r="BJ66" s="492"/>
      <c r="BK66" s="491"/>
      <c r="BL66" s="7"/>
      <c r="BM66" s="7"/>
      <c r="BN66" s="7"/>
      <c r="BO66" s="7"/>
      <c r="BP66" s="7"/>
      <c r="BQ66" s="7"/>
      <c r="BR66" s="8"/>
      <c r="BS66" s="8"/>
      <c r="BT66" s="509"/>
      <c r="BU66" s="491"/>
      <c r="BV66" s="8"/>
      <c r="BW66" s="509"/>
      <c r="BX66" s="491"/>
      <c r="BY66" s="8"/>
      <c r="BZ66" s="509"/>
      <c r="CA66" s="752"/>
    </row>
    <row r="67" spans="1:79" ht="24.95" customHeight="1">
      <c r="A67" s="468">
        <f>IF('Student DATA Entry'!A64="","",'Student DATA Entry'!A64)</f>
        <v>61</v>
      </c>
      <c r="B67" s="459" t="str">
        <f>IF('Student DATA Entry'!B64="","",'Student DATA Entry'!B64)</f>
        <v/>
      </c>
      <c r="C67" s="459" t="str">
        <f>IF('Student DATA Entry'!C64="","",'Student DATA Entry'!C64)</f>
        <v/>
      </c>
      <c r="D67" s="459" t="str">
        <f>IF('Student DATA Entry'!D64="","",'Student DATA Entry'!D64)</f>
        <v/>
      </c>
      <c r="E67" s="459" t="str">
        <f>IF('Student DATA Entry'!E64="","",'Student DATA Entry'!E64)</f>
        <v/>
      </c>
      <c r="F67" s="460" t="str">
        <f>IF('Student DATA Entry'!K64="","",'Student DATA Entry'!K64)</f>
        <v/>
      </c>
      <c r="G67" s="461" t="str">
        <f>IF('Student DATA Entry'!G64="","",UPPER('Student DATA Entry'!G64))</f>
        <v/>
      </c>
      <c r="H67" s="461" t="str">
        <f>IF('Student DATA Entry'!H64="","",UPPER('Student DATA Entry'!H64))</f>
        <v/>
      </c>
      <c r="I67" s="462" t="str">
        <f>IF('Student DATA Entry'!I64="","",UPPER('Student DATA Entry'!I64))</f>
        <v/>
      </c>
      <c r="J67" s="463" t="str">
        <f>IF('Student DATA Entry'!L64="","",UPPER('Student DATA Entry'!L64))</f>
        <v/>
      </c>
      <c r="K67" s="469" t="str">
        <f>IF('Student DATA Entry'!J64="","",UPPER('Student DATA Entry'!J64))</f>
        <v/>
      </c>
      <c r="L67" s="491"/>
      <c r="M67" s="8"/>
      <c r="N67" s="8"/>
      <c r="O67" s="9"/>
      <c r="P67" s="492"/>
      <c r="Q67" s="491"/>
      <c r="R67" s="8"/>
      <c r="S67" s="8"/>
      <c r="T67" s="9"/>
      <c r="U67" s="492"/>
      <c r="V67" s="502"/>
      <c r="W67" s="7"/>
      <c r="X67" s="8"/>
      <c r="Y67" s="8"/>
      <c r="Z67" s="9"/>
      <c r="AA67" s="492"/>
      <c r="AB67" s="491"/>
      <c r="AC67" s="8"/>
      <c r="AD67" s="8"/>
      <c r="AE67" s="9"/>
      <c r="AF67" s="492"/>
      <c r="AG67" s="491"/>
      <c r="AH67" s="8"/>
      <c r="AI67" s="8"/>
      <c r="AJ67" s="9"/>
      <c r="AK67" s="492"/>
      <c r="AL67" s="491"/>
      <c r="AM67" s="8"/>
      <c r="AN67" s="8"/>
      <c r="AO67" s="9"/>
      <c r="AP67" s="492"/>
      <c r="AQ67" s="506"/>
      <c r="AR67" s="491"/>
      <c r="AS67" s="8"/>
      <c r="AT67" s="8"/>
      <c r="AU67" s="9"/>
      <c r="AV67" s="9"/>
      <c r="AW67" s="17"/>
      <c r="AX67" s="492"/>
      <c r="AY67" s="491"/>
      <c r="AZ67" s="7"/>
      <c r="BA67" s="9"/>
      <c r="BB67" s="9"/>
      <c r="BC67" s="492"/>
      <c r="BD67" s="491"/>
      <c r="BE67" s="7"/>
      <c r="BF67" s="7"/>
      <c r="BG67" s="7"/>
      <c r="BH67" s="9"/>
      <c r="BI67" s="9"/>
      <c r="BJ67" s="492"/>
      <c r="BK67" s="491"/>
      <c r="BL67" s="7"/>
      <c r="BM67" s="7"/>
      <c r="BN67" s="7"/>
      <c r="BO67" s="7"/>
      <c r="BP67" s="7"/>
      <c r="BQ67" s="7"/>
      <c r="BR67" s="8"/>
      <c r="BS67" s="8"/>
      <c r="BT67" s="509"/>
      <c r="BU67" s="491"/>
      <c r="BV67" s="8"/>
      <c r="BW67" s="509"/>
      <c r="BX67" s="491"/>
      <c r="BY67" s="8"/>
      <c r="BZ67" s="509"/>
      <c r="CA67" s="752"/>
    </row>
    <row r="68" spans="1:79" ht="24.95" customHeight="1">
      <c r="A68" s="468">
        <f>IF('Student DATA Entry'!A65="","",'Student DATA Entry'!A65)</f>
        <v>62</v>
      </c>
      <c r="B68" s="459" t="str">
        <f>IF('Student DATA Entry'!B65="","",'Student DATA Entry'!B65)</f>
        <v/>
      </c>
      <c r="C68" s="459" t="str">
        <f>IF('Student DATA Entry'!C65="","",'Student DATA Entry'!C65)</f>
        <v/>
      </c>
      <c r="D68" s="459" t="str">
        <f>IF('Student DATA Entry'!D65="","",'Student DATA Entry'!D65)</f>
        <v/>
      </c>
      <c r="E68" s="459" t="str">
        <f>IF('Student DATA Entry'!E65="","",'Student DATA Entry'!E65)</f>
        <v/>
      </c>
      <c r="F68" s="460" t="str">
        <f>IF('Student DATA Entry'!K65="","",'Student DATA Entry'!K65)</f>
        <v/>
      </c>
      <c r="G68" s="461" t="str">
        <f>IF('Student DATA Entry'!G65="","",UPPER('Student DATA Entry'!G65))</f>
        <v/>
      </c>
      <c r="H68" s="461" t="str">
        <f>IF('Student DATA Entry'!H65="","",UPPER('Student DATA Entry'!H65))</f>
        <v/>
      </c>
      <c r="I68" s="462" t="str">
        <f>IF('Student DATA Entry'!I65="","",UPPER('Student DATA Entry'!I65))</f>
        <v/>
      </c>
      <c r="J68" s="463" t="str">
        <f>IF('Student DATA Entry'!L65="","",UPPER('Student DATA Entry'!L65))</f>
        <v/>
      </c>
      <c r="K68" s="469" t="str">
        <f>IF('Student DATA Entry'!J65="","",UPPER('Student DATA Entry'!J65))</f>
        <v/>
      </c>
      <c r="L68" s="491"/>
      <c r="M68" s="8"/>
      <c r="N68" s="8"/>
      <c r="O68" s="9"/>
      <c r="P68" s="492"/>
      <c r="Q68" s="491"/>
      <c r="R68" s="8"/>
      <c r="S68" s="8"/>
      <c r="T68" s="9"/>
      <c r="U68" s="492"/>
      <c r="V68" s="502"/>
      <c r="W68" s="7"/>
      <c r="X68" s="8"/>
      <c r="Y68" s="8"/>
      <c r="Z68" s="9"/>
      <c r="AA68" s="492"/>
      <c r="AB68" s="491"/>
      <c r="AC68" s="8"/>
      <c r="AD68" s="8"/>
      <c r="AE68" s="9"/>
      <c r="AF68" s="492"/>
      <c r="AG68" s="491"/>
      <c r="AH68" s="8"/>
      <c r="AI68" s="8"/>
      <c r="AJ68" s="9"/>
      <c r="AK68" s="492"/>
      <c r="AL68" s="491"/>
      <c r="AM68" s="8"/>
      <c r="AN68" s="8"/>
      <c r="AO68" s="9"/>
      <c r="AP68" s="492"/>
      <c r="AQ68" s="506"/>
      <c r="AR68" s="491"/>
      <c r="AS68" s="8"/>
      <c r="AT68" s="8"/>
      <c r="AU68" s="9"/>
      <c r="AV68" s="9"/>
      <c r="AW68" s="17"/>
      <c r="AX68" s="492"/>
      <c r="AY68" s="491"/>
      <c r="AZ68" s="7"/>
      <c r="BA68" s="9"/>
      <c r="BB68" s="9"/>
      <c r="BC68" s="492"/>
      <c r="BD68" s="491"/>
      <c r="BE68" s="7"/>
      <c r="BF68" s="7"/>
      <c r="BG68" s="7"/>
      <c r="BH68" s="9"/>
      <c r="BI68" s="9"/>
      <c r="BJ68" s="492"/>
      <c r="BK68" s="491"/>
      <c r="BL68" s="7"/>
      <c r="BM68" s="7"/>
      <c r="BN68" s="7"/>
      <c r="BO68" s="7"/>
      <c r="BP68" s="7"/>
      <c r="BQ68" s="7"/>
      <c r="BR68" s="8"/>
      <c r="BS68" s="8"/>
      <c r="BT68" s="509"/>
      <c r="BU68" s="491"/>
      <c r="BV68" s="8"/>
      <c r="BW68" s="509"/>
      <c r="BX68" s="491"/>
      <c r="BY68" s="8"/>
      <c r="BZ68" s="509"/>
      <c r="CA68" s="752"/>
    </row>
    <row r="69" spans="1:79" ht="24.95" customHeight="1">
      <c r="A69" s="468">
        <f>IF('Student DATA Entry'!A66="","",'Student DATA Entry'!A66)</f>
        <v>63</v>
      </c>
      <c r="B69" s="459" t="str">
        <f>IF('Student DATA Entry'!B66="","",'Student DATA Entry'!B66)</f>
        <v/>
      </c>
      <c r="C69" s="459" t="str">
        <f>IF('Student DATA Entry'!C66="","",'Student DATA Entry'!C66)</f>
        <v/>
      </c>
      <c r="D69" s="459" t="str">
        <f>IF('Student DATA Entry'!D66="","",'Student DATA Entry'!D66)</f>
        <v/>
      </c>
      <c r="E69" s="459" t="str">
        <f>IF('Student DATA Entry'!E66="","",'Student DATA Entry'!E66)</f>
        <v/>
      </c>
      <c r="F69" s="460" t="str">
        <f>IF('Student DATA Entry'!K66="","",'Student DATA Entry'!K66)</f>
        <v/>
      </c>
      <c r="G69" s="461" t="str">
        <f>IF('Student DATA Entry'!G66="","",UPPER('Student DATA Entry'!G66))</f>
        <v/>
      </c>
      <c r="H69" s="461" t="str">
        <f>IF('Student DATA Entry'!H66="","",UPPER('Student DATA Entry'!H66))</f>
        <v/>
      </c>
      <c r="I69" s="462" t="str">
        <f>IF('Student DATA Entry'!I66="","",UPPER('Student DATA Entry'!I66))</f>
        <v/>
      </c>
      <c r="J69" s="463" t="str">
        <f>IF('Student DATA Entry'!L66="","",UPPER('Student DATA Entry'!L66))</f>
        <v/>
      </c>
      <c r="K69" s="469" t="str">
        <f>IF('Student DATA Entry'!J66="","",UPPER('Student DATA Entry'!J66))</f>
        <v/>
      </c>
      <c r="L69" s="491"/>
      <c r="M69" s="8"/>
      <c r="N69" s="8"/>
      <c r="O69" s="9"/>
      <c r="P69" s="492"/>
      <c r="Q69" s="491"/>
      <c r="R69" s="8"/>
      <c r="S69" s="8"/>
      <c r="T69" s="9"/>
      <c r="U69" s="492"/>
      <c r="V69" s="502"/>
      <c r="W69" s="7"/>
      <c r="X69" s="8"/>
      <c r="Y69" s="8"/>
      <c r="Z69" s="9"/>
      <c r="AA69" s="492"/>
      <c r="AB69" s="491"/>
      <c r="AC69" s="8"/>
      <c r="AD69" s="8"/>
      <c r="AE69" s="9"/>
      <c r="AF69" s="492"/>
      <c r="AG69" s="491"/>
      <c r="AH69" s="8"/>
      <c r="AI69" s="8"/>
      <c r="AJ69" s="9"/>
      <c r="AK69" s="492"/>
      <c r="AL69" s="491"/>
      <c r="AM69" s="8"/>
      <c r="AN69" s="8"/>
      <c r="AO69" s="9"/>
      <c r="AP69" s="492"/>
      <c r="AQ69" s="506"/>
      <c r="AR69" s="491"/>
      <c r="AS69" s="8"/>
      <c r="AT69" s="8"/>
      <c r="AU69" s="9"/>
      <c r="AV69" s="9"/>
      <c r="AW69" s="17"/>
      <c r="AX69" s="492"/>
      <c r="AY69" s="491"/>
      <c r="AZ69" s="7"/>
      <c r="BA69" s="9"/>
      <c r="BB69" s="9"/>
      <c r="BC69" s="492"/>
      <c r="BD69" s="491"/>
      <c r="BE69" s="7"/>
      <c r="BF69" s="7"/>
      <c r="BG69" s="7"/>
      <c r="BH69" s="9"/>
      <c r="BI69" s="9"/>
      <c r="BJ69" s="492"/>
      <c r="BK69" s="491"/>
      <c r="BL69" s="7"/>
      <c r="BM69" s="7"/>
      <c r="BN69" s="7"/>
      <c r="BO69" s="7"/>
      <c r="BP69" s="7"/>
      <c r="BQ69" s="7"/>
      <c r="BR69" s="8"/>
      <c r="BS69" s="8"/>
      <c r="BT69" s="509"/>
      <c r="BU69" s="491"/>
      <c r="BV69" s="8"/>
      <c r="BW69" s="509"/>
      <c r="BX69" s="491"/>
      <c r="BY69" s="8"/>
      <c r="BZ69" s="509"/>
      <c r="CA69" s="752"/>
    </row>
    <row r="70" spans="1:79" ht="24.95" customHeight="1">
      <c r="A70" s="468">
        <f>IF('Student DATA Entry'!A67="","",'Student DATA Entry'!A67)</f>
        <v>64</v>
      </c>
      <c r="B70" s="459" t="str">
        <f>IF('Student DATA Entry'!B67="","",'Student DATA Entry'!B67)</f>
        <v/>
      </c>
      <c r="C70" s="459" t="str">
        <f>IF('Student DATA Entry'!C67="","",'Student DATA Entry'!C67)</f>
        <v/>
      </c>
      <c r="D70" s="459" t="str">
        <f>IF('Student DATA Entry'!D67="","",'Student DATA Entry'!D67)</f>
        <v/>
      </c>
      <c r="E70" s="459" t="str">
        <f>IF('Student DATA Entry'!E67="","",'Student DATA Entry'!E67)</f>
        <v/>
      </c>
      <c r="F70" s="460" t="str">
        <f>IF('Student DATA Entry'!K67="","",'Student DATA Entry'!K67)</f>
        <v/>
      </c>
      <c r="G70" s="461" t="str">
        <f>IF('Student DATA Entry'!G67="","",UPPER('Student DATA Entry'!G67))</f>
        <v/>
      </c>
      <c r="H70" s="461" t="str">
        <f>IF('Student DATA Entry'!H67="","",UPPER('Student DATA Entry'!H67))</f>
        <v/>
      </c>
      <c r="I70" s="462" t="str">
        <f>IF('Student DATA Entry'!I67="","",UPPER('Student DATA Entry'!I67))</f>
        <v/>
      </c>
      <c r="J70" s="463" t="str">
        <f>IF('Student DATA Entry'!L67="","",UPPER('Student DATA Entry'!L67))</f>
        <v/>
      </c>
      <c r="K70" s="469" t="str">
        <f>IF('Student DATA Entry'!J67="","",UPPER('Student DATA Entry'!J67))</f>
        <v/>
      </c>
      <c r="L70" s="491"/>
      <c r="M70" s="8"/>
      <c r="N70" s="8"/>
      <c r="O70" s="9"/>
      <c r="P70" s="492"/>
      <c r="Q70" s="491"/>
      <c r="R70" s="8"/>
      <c r="S70" s="8"/>
      <c r="T70" s="9"/>
      <c r="U70" s="492"/>
      <c r="V70" s="502"/>
      <c r="W70" s="7"/>
      <c r="X70" s="8"/>
      <c r="Y70" s="8"/>
      <c r="Z70" s="9"/>
      <c r="AA70" s="492"/>
      <c r="AB70" s="491"/>
      <c r="AC70" s="8"/>
      <c r="AD70" s="8"/>
      <c r="AE70" s="9"/>
      <c r="AF70" s="492"/>
      <c r="AG70" s="491"/>
      <c r="AH70" s="8"/>
      <c r="AI70" s="8"/>
      <c r="AJ70" s="9"/>
      <c r="AK70" s="492"/>
      <c r="AL70" s="491"/>
      <c r="AM70" s="8"/>
      <c r="AN70" s="8"/>
      <c r="AO70" s="9"/>
      <c r="AP70" s="492"/>
      <c r="AQ70" s="506"/>
      <c r="AR70" s="491"/>
      <c r="AS70" s="8"/>
      <c r="AT70" s="8"/>
      <c r="AU70" s="9"/>
      <c r="AV70" s="9"/>
      <c r="AW70" s="17"/>
      <c r="AX70" s="492"/>
      <c r="AY70" s="491"/>
      <c r="AZ70" s="7"/>
      <c r="BA70" s="9"/>
      <c r="BB70" s="9"/>
      <c r="BC70" s="492"/>
      <c r="BD70" s="491"/>
      <c r="BE70" s="7"/>
      <c r="BF70" s="7"/>
      <c r="BG70" s="7"/>
      <c r="BH70" s="9"/>
      <c r="BI70" s="9"/>
      <c r="BJ70" s="492"/>
      <c r="BK70" s="491"/>
      <c r="BL70" s="7"/>
      <c r="BM70" s="7"/>
      <c r="BN70" s="7"/>
      <c r="BO70" s="7"/>
      <c r="BP70" s="7"/>
      <c r="BQ70" s="7"/>
      <c r="BR70" s="8"/>
      <c r="BS70" s="8"/>
      <c r="BT70" s="509"/>
      <c r="BU70" s="491"/>
      <c r="BV70" s="8"/>
      <c r="BW70" s="509"/>
      <c r="BX70" s="491"/>
      <c r="BY70" s="8"/>
      <c r="BZ70" s="509"/>
      <c r="CA70" s="752"/>
    </row>
    <row r="71" spans="1:79" ht="24.95" customHeight="1">
      <c r="A71" s="468">
        <f>IF('Student DATA Entry'!A68="","",'Student DATA Entry'!A68)</f>
        <v>65</v>
      </c>
      <c r="B71" s="459" t="str">
        <f>IF('Student DATA Entry'!B68="","",'Student DATA Entry'!B68)</f>
        <v/>
      </c>
      <c r="C71" s="459" t="str">
        <f>IF('Student DATA Entry'!C68="","",'Student DATA Entry'!C68)</f>
        <v/>
      </c>
      <c r="D71" s="459" t="str">
        <f>IF('Student DATA Entry'!D68="","",'Student DATA Entry'!D68)</f>
        <v/>
      </c>
      <c r="E71" s="459" t="str">
        <f>IF('Student DATA Entry'!E68="","",'Student DATA Entry'!E68)</f>
        <v/>
      </c>
      <c r="F71" s="460" t="str">
        <f>IF('Student DATA Entry'!K68="","",'Student DATA Entry'!K68)</f>
        <v/>
      </c>
      <c r="G71" s="461" t="str">
        <f>IF('Student DATA Entry'!G68="","",UPPER('Student DATA Entry'!G68))</f>
        <v/>
      </c>
      <c r="H71" s="461" t="str">
        <f>IF('Student DATA Entry'!H68="","",UPPER('Student DATA Entry'!H68))</f>
        <v/>
      </c>
      <c r="I71" s="462" t="str">
        <f>IF('Student DATA Entry'!I68="","",UPPER('Student DATA Entry'!I68))</f>
        <v/>
      </c>
      <c r="J71" s="463" t="str">
        <f>IF('Student DATA Entry'!L68="","",UPPER('Student DATA Entry'!L68))</f>
        <v/>
      </c>
      <c r="K71" s="469" t="str">
        <f>IF('Student DATA Entry'!J68="","",UPPER('Student DATA Entry'!J68))</f>
        <v/>
      </c>
      <c r="L71" s="491"/>
      <c r="M71" s="8"/>
      <c r="N71" s="8"/>
      <c r="O71" s="9"/>
      <c r="P71" s="492"/>
      <c r="Q71" s="491"/>
      <c r="R71" s="8"/>
      <c r="S71" s="8"/>
      <c r="T71" s="9"/>
      <c r="U71" s="492"/>
      <c r="V71" s="502"/>
      <c r="W71" s="7"/>
      <c r="X71" s="8"/>
      <c r="Y71" s="8"/>
      <c r="Z71" s="9"/>
      <c r="AA71" s="492"/>
      <c r="AB71" s="491"/>
      <c r="AC71" s="8"/>
      <c r="AD71" s="8"/>
      <c r="AE71" s="9"/>
      <c r="AF71" s="492"/>
      <c r="AG71" s="491"/>
      <c r="AH71" s="8"/>
      <c r="AI71" s="8"/>
      <c r="AJ71" s="9"/>
      <c r="AK71" s="492"/>
      <c r="AL71" s="491"/>
      <c r="AM71" s="8"/>
      <c r="AN71" s="8"/>
      <c r="AO71" s="9"/>
      <c r="AP71" s="492"/>
      <c r="AQ71" s="506"/>
      <c r="AR71" s="491"/>
      <c r="AS71" s="8"/>
      <c r="AT71" s="8"/>
      <c r="AU71" s="9"/>
      <c r="AV71" s="9"/>
      <c r="AW71" s="17"/>
      <c r="AX71" s="492"/>
      <c r="AY71" s="491"/>
      <c r="AZ71" s="7"/>
      <c r="BA71" s="9"/>
      <c r="BB71" s="9"/>
      <c r="BC71" s="492"/>
      <c r="BD71" s="491"/>
      <c r="BE71" s="7"/>
      <c r="BF71" s="7"/>
      <c r="BG71" s="7"/>
      <c r="BH71" s="9"/>
      <c r="BI71" s="9"/>
      <c r="BJ71" s="492"/>
      <c r="BK71" s="491"/>
      <c r="BL71" s="7"/>
      <c r="BM71" s="7"/>
      <c r="BN71" s="7"/>
      <c r="BO71" s="7"/>
      <c r="BP71" s="7"/>
      <c r="BQ71" s="7"/>
      <c r="BR71" s="8"/>
      <c r="BS71" s="8"/>
      <c r="BT71" s="509"/>
      <c r="BU71" s="491"/>
      <c r="BV71" s="8"/>
      <c r="BW71" s="509"/>
      <c r="BX71" s="491"/>
      <c r="BY71" s="8"/>
      <c r="BZ71" s="509"/>
      <c r="CA71" s="752"/>
    </row>
    <row r="72" spans="1:79" ht="24.95" customHeight="1">
      <c r="A72" s="468">
        <f>IF('Student DATA Entry'!A69="","",'Student DATA Entry'!A69)</f>
        <v>66</v>
      </c>
      <c r="B72" s="459" t="str">
        <f>IF('Student DATA Entry'!B69="","",'Student DATA Entry'!B69)</f>
        <v/>
      </c>
      <c r="C72" s="459" t="str">
        <f>IF('Student DATA Entry'!C69="","",'Student DATA Entry'!C69)</f>
        <v/>
      </c>
      <c r="D72" s="459" t="str">
        <f>IF('Student DATA Entry'!D69="","",'Student DATA Entry'!D69)</f>
        <v/>
      </c>
      <c r="E72" s="459" t="str">
        <f>IF('Student DATA Entry'!E69="","",'Student DATA Entry'!E69)</f>
        <v/>
      </c>
      <c r="F72" s="460" t="str">
        <f>IF('Student DATA Entry'!K69="","",'Student DATA Entry'!K69)</f>
        <v/>
      </c>
      <c r="G72" s="461" t="str">
        <f>IF('Student DATA Entry'!G69="","",UPPER('Student DATA Entry'!G69))</f>
        <v/>
      </c>
      <c r="H72" s="461" t="str">
        <f>IF('Student DATA Entry'!H69="","",UPPER('Student DATA Entry'!H69))</f>
        <v/>
      </c>
      <c r="I72" s="462" t="str">
        <f>IF('Student DATA Entry'!I69="","",UPPER('Student DATA Entry'!I69))</f>
        <v/>
      </c>
      <c r="J72" s="463" t="str">
        <f>IF('Student DATA Entry'!L69="","",UPPER('Student DATA Entry'!L69))</f>
        <v/>
      </c>
      <c r="K72" s="469" t="str">
        <f>IF('Student DATA Entry'!J69="","",UPPER('Student DATA Entry'!J69))</f>
        <v/>
      </c>
      <c r="L72" s="491"/>
      <c r="M72" s="8"/>
      <c r="N72" s="8"/>
      <c r="O72" s="9"/>
      <c r="P72" s="492"/>
      <c r="Q72" s="491"/>
      <c r="R72" s="8"/>
      <c r="S72" s="8"/>
      <c r="T72" s="9"/>
      <c r="U72" s="492"/>
      <c r="V72" s="502"/>
      <c r="W72" s="7"/>
      <c r="X72" s="8"/>
      <c r="Y72" s="8"/>
      <c r="Z72" s="9"/>
      <c r="AA72" s="492"/>
      <c r="AB72" s="491"/>
      <c r="AC72" s="8"/>
      <c r="AD72" s="8"/>
      <c r="AE72" s="9"/>
      <c r="AF72" s="492"/>
      <c r="AG72" s="491"/>
      <c r="AH72" s="8"/>
      <c r="AI72" s="8"/>
      <c r="AJ72" s="9"/>
      <c r="AK72" s="492"/>
      <c r="AL72" s="491"/>
      <c r="AM72" s="8"/>
      <c r="AN72" s="8"/>
      <c r="AO72" s="9"/>
      <c r="AP72" s="492"/>
      <c r="AQ72" s="506"/>
      <c r="AR72" s="491"/>
      <c r="AS72" s="8"/>
      <c r="AT72" s="8"/>
      <c r="AU72" s="9"/>
      <c r="AV72" s="9"/>
      <c r="AW72" s="17"/>
      <c r="AX72" s="492"/>
      <c r="AY72" s="491"/>
      <c r="AZ72" s="7"/>
      <c r="BA72" s="9"/>
      <c r="BB72" s="9"/>
      <c r="BC72" s="492"/>
      <c r="BD72" s="491"/>
      <c r="BE72" s="7"/>
      <c r="BF72" s="7"/>
      <c r="BG72" s="7"/>
      <c r="BH72" s="9"/>
      <c r="BI72" s="9"/>
      <c r="BJ72" s="492"/>
      <c r="BK72" s="491"/>
      <c r="BL72" s="7"/>
      <c r="BM72" s="7"/>
      <c r="BN72" s="7"/>
      <c r="BO72" s="7"/>
      <c r="BP72" s="7"/>
      <c r="BQ72" s="7"/>
      <c r="BR72" s="8"/>
      <c r="BS72" s="8"/>
      <c r="BT72" s="509"/>
      <c r="BU72" s="491"/>
      <c r="BV72" s="8"/>
      <c r="BW72" s="509"/>
      <c r="BX72" s="491"/>
      <c r="BY72" s="8"/>
      <c r="BZ72" s="509"/>
      <c r="CA72" s="752"/>
    </row>
    <row r="73" spans="1:79" ht="24.95" customHeight="1">
      <c r="A73" s="468">
        <f>IF('Student DATA Entry'!A70="","",'Student DATA Entry'!A70)</f>
        <v>67</v>
      </c>
      <c r="B73" s="459" t="str">
        <f>IF('Student DATA Entry'!B70="","",'Student DATA Entry'!B70)</f>
        <v/>
      </c>
      <c r="C73" s="459" t="str">
        <f>IF('Student DATA Entry'!C70="","",'Student DATA Entry'!C70)</f>
        <v/>
      </c>
      <c r="D73" s="459" t="str">
        <f>IF('Student DATA Entry'!D70="","",'Student DATA Entry'!D70)</f>
        <v/>
      </c>
      <c r="E73" s="459" t="str">
        <f>IF('Student DATA Entry'!E70="","",'Student DATA Entry'!E70)</f>
        <v/>
      </c>
      <c r="F73" s="460" t="str">
        <f>IF('Student DATA Entry'!K70="","",'Student DATA Entry'!K70)</f>
        <v/>
      </c>
      <c r="G73" s="461" t="str">
        <f>IF('Student DATA Entry'!G70="","",UPPER('Student DATA Entry'!G70))</f>
        <v/>
      </c>
      <c r="H73" s="461" t="str">
        <f>IF('Student DATA Entry'!H70="","",UPPER('Student DATA Entry'!H70))</f>
        <v/>
      </c>
      <c r="I73" s="462" t="str">
        <f>IF('Student DATA Entry'!I70="","",UPPER('Student DATA Entry'!I70))</f>
        <v/>
      </c>
      <c r="J73" s="463" t="str">
        <f>IF('Student DATA Entry'!L70="","",UPPER('Student DATA Entry'!L70))</f>
        <v/>
      </c>
      <c r="K73" s="469" t="str">
        <f>IF('Student DATA Entry'!J70="","",UPPER('Student DATA Entry'!J70))</f>
        <v/>
      </c>
      <c r="L73" s="491"/>
      <c r="M73" s="8"/>
      <c r="N73" s="8"/>
      <c r="O73" s="9"/>
      <c r="P73" s="492"/>
      <c r="Q73" s="491"/>
      <c r="R73" s="8"/>
      <c r="S73" s="8"/>
      <c r="T73" s="9"/>
      <c r="U73" s="492"/>
      <c r="V73" s="502"/>
      <c r="W73" s="7"/>
      <c r="X73" s="8"/>
      <c r="Y73" s="8"/>
      <c r="Z73" s="9"/>
      <c r="AA73" s="492"/>
      <c r="AB73" s="491"/>
      <c r="AC73" s="8"/>
      <c r="AD73" s="8"/>
      <c r="AE73" s="9"/>
      <c r="AF73" s="492"/>
      <c r="AG73" s="491"/>
      <c r="AH73" s="8"/>
      <c r="AI73" s="8"/>
      <c r="AJ73" s="9"/>
      <c r="AK73" s="492"/>
      <c r="AL73" s="491"/>
      <c r="AM73" s="8"/>
      <c r="AN73" s="8"/>
      <c r="AO73" s="9"/>
      <c r="AP73" s="492"/>
      <c r="AQ73" s="506"/>
      <c r="AR73" s="491"/>
      <c r="AS73" s="8"/>
      <c r="AT73" s="8"/>
      <c r="AU73" s="9"/>
      <c r="AV73" s="9"/>
      <c r="AW73" s="17"/>
      <c r="AX73" s="492"/>
      <c r="AY73" s="491"/>
      <c r="AZ73" s="7"/>
      <c r="BA73" s="9"/>
      <c r="BB73" s="9"/>
      <c r="BC73" s="492"/>
      <c r="BD73" s="491"/>
      <c r="BE73" s="7"/>
      <c r="BF73" s="7"/>
      <c r="BG73" s="7"/>
      <c r="BH73" s="9"/>
      <c r="BI73" s="9"/>
      <c r="BJ73" s="492"/>
      <c r="BK73" s="491"/>
      <c r="BL73" s="7"/>
      <c r="BM73" s="7"/>
      <c r="BN73" s="7"/>
      <c r="BO73" s="7"/>
      <c r="BP73" s="7"/>
      <c r="BQ73" s="7"/>
      <c r="BR73" s="8"/>
      <c r="BS73" s="8"/>
      <c r="BT73" s="509"/>
      <c r="BU73" s="491"/>
      <c r="BV73" s="8"/>
      <c r="BW73" s="509"/>
      <c r="BX73" s="491"/>
      <c r="BY73" s="8"/>
      <c r="BZ73" s="509"/>
      <c r="CA73" s="752"/>
    </row>
    <row r="74" spans="1:79" ht="24.95" customHeight="1">
      <c r="A74" s="468">
        <f>IF('Student DATA Entry'!A71="","",'Student DATA Entry'!A71)</f>
        <v>68</v>
      </c>
      <c r="B74" s="459" t="str">
        <f>IF('Student DATA Entry'!B71="","",'Student DATA Entry'!B71)</f>
        <v/>
      </c>
      <c r="C74" s="459" t="str">
        <f>IF('Student DATA Entry'!C71="","",'Student DATA Entry'!C71)</f>
        <v/>
      </c>
      <c r="D74" s="459" t="str">
        <f>IF('Student DATA Entry'!D71="","",'Student DATA Entry'!D71)</f>
        <v/>
      </c>
      <c r="E74" s="459" t="str">
        <f>IF('Student DATA Entry'!E71="","",'Student DATA Entry'!E71)</f>
        <v/>
      </c>
      <c r="F74" s="460" t="str">
        <f>IF('Student DATA Entry'!K71="","",'Student DATA Entry'!K71)</f>
        <v/>
      </c>
      <c r="G74" s="461" t="str">
        <f>IF('Student DATA Entry'!G71="","",UPPER('Student DATA Entry'!G71))</f>
        <v/>
      </c>
      <c r="H74" s="461" t="str">
        <f>IF('Student DATA Entry'!H71="","",UPPER('Student DATA Entry'!H71))</f>
        <v/>
      </c>
      <c r="I74" s="462" t="str">
        <f>IF('Student DATA Entry'!I71="","",UPPER('Student DATA Entry'!I71))</f>
        <v/>
      </c>
      <c r="J74" s="463" t="str">
        <f>IF('Student DATA Entry'!L71="","",UPPER('Student DATA Entry'!L71))</f>
        <v/>
      </c>
      <c r="K74" s="469" t="str">
        <f>IF('Student DATA Entry'!J71="","",UPPER('Student DATA Entry'!J71))</f>
        <v/>
      </c>
      <c r="L74" s="491"/>
      <c r="M74" s="8"/>
      <c r="N74" s="8"/>
      <c r="O74" s="9"/>
      <c r="P74" s="492"/>
      <c r="Q74" s="491"/>
      <c r="R74" s="8"/>
      <c r="S74" s="8"/>
      <c r="T74" s="9"/>
      <c r="U74" s="492"/>
      <c r="V74" s="502"/>
      <c r="W74" s="7"/>
      <c r="X74" s="8"/>
      <c r="Y74" s="8"/>
      <c r="Z74" s="9"/>
      <c r="AA74" s="492"/>
      <c r="AB74" s="491"/>
      <c r="AC74" s="8"/>
      <c r="AD74" s="8"/>
      <c r="AE74" s="9"/>
      <c r="AF74" s="492"/>
      <c r="AG74" s="491"/>
      <c r="AH74" s="8"/>
      <c r="AI74" s="8"/>
      <c r="AJ74" s="9"/>
      <c r="AK74" s="492"/>
      <c r="AL74" s="491"/>
      <c r="AM74" s="8"/>
      <c r="AN74" s="8"/>
      <c r="AO74" s="9"/>
      <c r="AP74" s="492"/>
      <c r="AQ74" s="506"/>
      <c r="AR74" s="491"/>
      <c r="AS74" s="8"/>
      <c r="AT74" s="8"/>
      <c r="AU74" s="9"/>
      <c r="AV74" s="9"/>
      <c r="AW74" s="17"/>
      <c r="AX74" s="492"/>
      <c r="AY74" s="491"/>
      <c r="AZ74" s="7"/>
      <c r="BA74" s="9"/>
      <c r="BB74" s="9"/>
      <c r="BC74" s="492"/>
      <c r="BD74" s="491"/>
      <c r="BE74" s="7"/>
      <c r="BF74" s="7"/>
      <c r="BG74" s="7"/>
      <c r="BH74" s="9"/>
      <c r="BI74" s="9"/>
      <c r="BJ74" s="492"/>
      <c r="BK74" s="491"/>
      <c r="BL74" s="7"/>
      <c r="BM74" s="7"/>
      <c r="BN74" s="7"/>
      <c r="BO74" s="7"/>
      <c r="BP74" s="7"/>
      <c r="BQ74" s="7"/>
      <c r="BR74" s="8"/>
      <c r="BS74" s="8"/>
      <c r="BT74" s="509"/>
      <c r="BU74" s="491"/>
      <c r="BV74" s="8"/>
      <c r="BW74" s="509"/>
      <c r="BX74" s="491"/>
      <c r="BY74" s="8"/>
      <c r="BZ74" s="509"/>
      <c r="CA74" s="752"/>
    </row>
    <row r="75" spans="1:79" ht="24.95" customHeight="1">
      <c r="A75" s="468">
        <f>IF('Student DATA Entry'!A72="","",'Student DATA Entry'!A72)</f>
        <v>69</v>
      </c>
      <c r="B75" s="459" t="str">
        <f>IF('Student DATA Entry'!B72="","",'Student DATA Entry'!B72)</f>
        <v/>
      </c>
      <c r="C75" s="459" t="str">
        <f>IF('Student DATA Entry'!C72="","",'Student DATA Entry'!C72)</f>
        <v/>
      </c>
      <c r="D75" s="459" t="str">
        <f>IF('Student DATA Entry'!D72="","",'Student DATA Entry'!D72)</f>
        <v/>
      </c>
      <c r="E75" s="459" t="str">
        <f>IF('Student DATA Entry'!E72="","",'Student DATA Entry'!E72)</f>
        <v/>
      </c>
      <c r="F75" s="460" t="str">
        <f>IF('Student DATA Entry'!K72="","",'Student DATA Entry'!K72)</f>
        <v/>
      </c>
      <c r="G75" s="461" t="str">
        <f>IF('Student DATA Entry'!G72="","",UPPER('Student DATA Entry'!G72))</f>
        <v/>
      </c>
      <c r="H75" s="461" t="str">
        <f>IF('Student DATA Entry'!H72="","",UPPER('Student DATA Entry'!H72))</f>
        <v/>
      </c>
      <c r="I75" s="462" t="str">
        <f>IF('Student DATA Entry'!I72="","",UPPER('Student DATA Entry'!I72))</f>
        <v/>
      </c>
      <c r="J75" s="463" t="str">
        <f>IF('Student DATA Entry'!L72="","",UPPER('Student DATA Entry'!L72))</f>
        <v/>
      </c>
      <c r="K75" s="469" t="str">
        <f>IF('Student DATA Entry'!J72="","",UPPER('Student DATA Entry'!J72))</f>
        <v/>
      </c>
      <c r="L75" s="491"/>
      <c r="M75" s="8"/>
      <c r="N75" s="8"/>
      <c r="O75" s="9"/>
      <c r="P75" s="492"/>
      <c r="Q75" s="491"/>
      <c r="R75" s="8"/>
      <c r="S75" s="8"/>
      <c r="T75" s="9"/>
      <c r="U75" s="492"/>
      <c r="V75" s="502"/>
      <c r="W75" s="7"/>
      <c r="X75" s="8"/>
      <c r="Y75" s="8"/>
      <c r="Z75" s="9"/>
      <c r="AA75" s="492"/>
      <c r="AB75" s="491"/>
      <c r="AC75" s="8"/>
      <c r="AD75" s="8"/>
      <c r="AE75" s="9"/>
      <c r="AF75" s="492"/>
      <c r="AG75" s="491"/>
      <c r="AH75" s="8"/>
      <c r="AI75" s="8"/>
      <c r="AJ75" s="9"/>
      <c r="AK75" s="492"/>
      <c r="AL75" s="491"/>
      <c r="AM75" s="8"/>
      <c r="AN75" s="8"/>
      <c r="AO75" s="9"/>
      <c r="AP75" s="492"/>
      <c r="AQ75" s="506"/>
      <c r="AR75" s="491"/>
      <c r="AS75" s="8"/>
      <c r="AT75" s="8"/>
      <c r="AU75" s="9"/>
      <c r="AV75" s="9"/>
      <c r="AW75" s="17"/>
      <c r="AX75" s="492"/>
      <c r="AY75" s="491"/>
      <c r="AZ75" s="7"/>
      <c r="BA75" s="9"/>
      <c r="BB75" s="9"/>
      <c r="BC75" s="492"/>
      <c r="BD75" s="491"/>
      <c r="BE75" s="7"/>
      <c r="BF75" s="7"/>
      <c r="BG75" s="7"/>
      <c r="BH75" s="9"/>
      <c r="BI75" s="9"/>
      <c r="BJ75" s="492"/>
      <c r="BK75" s="491"/>
      <c r="BL75" s="7"/>
      <c r="BM75" s="7"/>
      <c r="BN75" s="7"/>
      <c r="BO75" s="7"/>
      <c r="BP75" s="7"/>
      <c r="BQ75" s="7"/>
      <c r="BR75" s="8"/>
      <c r="BS75" s="8"/>
      <c r="BT75" s="509"/>
      <c r="BU75" s="491"/>
      <c r="BV75" s="8"/>
      <c r="BW75" s="509"/>
      <c r="BX75" s="491"/>
      <c r="BY75" s="8"/>
      <c r="BZ75" s="509"/>
      <c r="CA75" s="752"/>
    </row>
    <row r="76" spans="1:79" ht="24.95" customHeight="1">
      <c r="A76" s="468">
        <f>IF('Student DATA Entry'!A73="","",'Student DATA Entry'!A73)</f>
        <v>70</v>
      </c>
      <c r="B76" s="459" t="str">
        <f>IF('Student DATA Entry'!B73="","",'Student DATA Entry'!B73)</f>
        <v/>
      </c>
      <c r="C76" s="459" t="str">
        <f>IF('Student DATA Entry'!C73="","",'Student DATA Entry'!C73)</f>
        <v/>
      </c>
      <c r="D76" s="459" t="str">
        <f>IF('Student DATA Entry'!D73="","",'Student DATA Entry'!D73)</f>
        <v/>
      </c>
      <c r="E76" s="459" t="str">
        <f>IF('Student DATA Entry'!E73="","",'Student DATA Entry'!E73)</f>
        <v/>
      </c>
      <c r="F76" s="460" t="str">
        <f>IF('Student DATA Entry'!K73="","",'Student DATA Entry'!K73)</f>
        <v/>
      </c>
      <c r="G76" s="461" t="str">
        <f>IF('Student DATA Entry'!G73="","",UPPER('Student DATA Entry'!G73))</f>
        <v/>
      </c>
      <c r="H76" s="461" t="str">
        <f>IF('Student DATA Entry'!H73="","",UPPER('Student DATA Entry'!H73))</f>
        <v/>
      </c>
      <c r="I76" s="462" t="str">
        <f>IF('Student DATA Entry'!I73="","",UPPER('Student DATA Entry'!I73))</f>
        <v/>
      </c>
      <c r="J76" s="463" t="str">
        <f>IF('Student DATA Entry'!L73="","",UPPER('Student DATA Entry'!L73))</f>
        <v/>
      </c>
      <c r="K76" s="469" t="str">
        <f>IF('Student DATA Entry'!J73="","",UPPER('Student DATA Entry'!J73))</f>
        <v/>
      </c>
      <c r="L76" s="491"/>
      <c r="M76" s="8"/>
      <c r="N76" s="8"/>
      <c r="O76" s="9"/>
      <c r="P76" s="492"/>
      <c r="Q76" s="491"/>
      <c r="R76" s="8"/>
      <c r="S76" s="8"/>
      <c r="T76" s="9"/>
      <c r="U76" s="492"/>
      <c r="V76" s="502"/>
      <c r="W76" s="7"/>
      <c r="X76" s="8"/>
      <c r="Y76" s="8"/>
      <c r="Z76" s="9"/>
      <c r="AA76" s="492"/>
      <c r="AB76" s="491"/>
      <c r="AC76" s="8"/>
      <c r="AD76" s="8"/>
      <c r="AE76" s="9"/>
      <c r="AF76" s="492"/>
      <c r="AG76" s="491"/>
      <c r="AH76" s="8"/>
      <c r="AI76" s="8"/>
      <c r="AJ76" s="9"/>
      <c r="AK76" s="492"/>
      <c r="AL76" s="491"/>
      <c r="AM76" s="8"/>
      <c r="AN76" s="8"/>
      <c r="AO76" s="9"/>
      <c r="AP76" s="492"/>
      <c r="AQ76" s="506"/>
      <c r="AR76" s="491"/>
      <c r="AS76" s="8"/>
      <c r="AT76" s="8"/>
      <c r="AU76" s="9"/>
      <c r="AV76" s="9"/>
      <c r="AW76" s="17"/>
      <c r="AX76" s="492"/>
      <c r="AY76" s="491"/>
      <c r="AZ76" s="7"/>
      <c r="BA76" s="9"/>
      <c r="BB76" s="9"/>
      <c r="BC76" s="492"/>
      <c r="BD76" s="491"/>
      <c r="BE76" s="7"/>
      <c r="BF76" s="7"/>
      <c r="BG76" s="7"/>
      <c r="BH76" s="9"/>
      <c r="BI76" s="9"/>
      <c r="BJ76" s="492"/>
      <c r="BK76" s="491"/>
      <c r="BL76" s="7"/>
      <c r="BM76" s="7"/>
      <c r="BN76" s="7"/>
      <c r="BO76" s="7"/>
      <c r="BP76" s="7"/>
      <c r="BQ76" s="7"/>
      <c r="BR76" s="8"/>
      <c r="BS76" s="8"/>
      <c r="BT76" s="509"/>
      <c r="BU76" s="491"/>
      <c r="BV76" s="8"/>
      <c r="BW76" s="509"/>
      <c r="BX76" s="491"/>
      <c r="BY76" s="8"/>
      <c r="BZ76" s="509"/>
      <c r="CA76" s="752"/>
    </row>
    <row r="77" spans="1:79" ht="24.95" customHeight="1">
      <c r="A77" s="468">
        <f>IF('Student DATA Entry'!A74="","",'Student DATA Entry'!A74)</f>
        <v>71</v>
      </c>
      <c r="B77" s="459" t="str">
        <f>IF('Student DATA Entry'!B74="","",'Student DATA Entry'!B74)</f>
        <v/>
      </c>
      <c r="C77" s="459" t="str">
        <f>IF('Student DATA Entry'!C74="","",'Student DATA Entry'!C74)</f>
        <v/>
      </c>
      <c r="D77" s="459" t="str">
        <f>IF('Student DATA Entry'!D74="","",'Student DATA Entry'!D74)</f>
        <v/>
      </c>
      <c r="E77" s="459" t="str">
        <f>IF('Student DATA Entry'!E74="","",'Student DATA Entry'!E74)</f>
        <v/>
      </c>
      <c r="F77" s="460" t="str">
        <f>IF('Student DATA Entry'!K74="","",'Student DATA Entry'!K74)</f>
        <v/>
      </c>
      <c r="G77" s="461" t="str">
        <f>IF('Student DATA Entry'!G74="","",UPPER('Student DATA Entry'!G74))</f>
        <v/>
      </c>
      <c r="H77" s="461" t="str">
        <f>IF('Student DATA Entry'!H74="","",UPPER('Student DATA Entry'!H74))</f>
        <v/>
      </c>
      <c r="I77" s="462" t="str">
        <f>IF('Student DATA Entry'!I74="","",UPPER('Student DATA Entry'!I74))</f>
        <v/>
      </c>
      <c r="J77" s="463" t="str">
        <f>IF('Student DATA Entry'!L74="","",UPPER('Student DATA Entry'!L74))</f>
        <v/>
      </c>
      <c r="K77" s="469" t="str">
        <f>IF('Student DATA Entry'!J74="","",UPPER('Student DATA Entry'!J74))</f>
        <v/>
      </c>
      <c r="L77" s="491"/>
      <c r="M77" s="8"/>
      <c r="N77" s="8"/>
      <c r="O77" s="9"/>
      <c r="P77" s="492"/>
      <c r="Q77" s="491"/>
      <c r="R77" s="8"/>
      <c r="S77" s="8"/>
      <c r="T77" s="9"/>
      <c r="U77" s="492"/>
      <c r="V77" s="502"/>
      <c r="W77" s="7"/>
      <c r="X77" s="8"/>
      <c r="Y77" s="8"/>
      <c r="Z77" s="9"/>
      <c r="AA77" s="492"/>
      <c r="AB77" s="491"/>
      <c r="AC77" s="8"/>
      <c r="AD77" s="8"/>
      <c r="AE77" s="9"/>
      <c r="AF77" s="492"/>
      <c r="AG77" s="491"/>
      <c r="AH77" s="8"/>
      <c r="AI77" s="8"/>
      <c r="AJ77" s="9"/>
      <c r="AK77" s="492"/>
      <c r="AL77" s="491"/>
      <c r="AM77" s="8"/>
      <c r="AN77" s="8"/>
      <c r="AO77" s="9"/>
      <c r="AP77" s="492"/>
      <c r="AQ77" s="506"/>
      <c r="AR77" s="491"/>
      <c r="AS77" s="8"/>
      <c r="AT77" s="8"/>
      <c r="AU77" s="9"/>
      <c r="AV77" s="9"/>
      <c r="AW77" s="17"/>
      <c r="AX77" s="492"/>
      <c r="AY77" s="491"/>
      <c r="AZ77" s="7"/>
      <c r="BA77" s="9"/>
      <c r="BB77" s="9"/>
      <c r="BC77" s="492"/>
      <c r="BD77" s="491"/>
      <c r="BE77" s="7"/>
      <c r="BF77" s="7"/>
      <c r="BG77" s="7"/>
      <c r="BH77" s="9"/>
      <c r="BI77" s="9"/>
      <c r="BJ77" s="492"/>
      <c r="BK77" s="491"/>
      <c r="BL77" s="7"/>
      <c r="BM77" s="7"/>
      <c r="BN77" s="7"/>
      <c r="BO77" s="7"/>
      <c r="BP77" s="7"/>
      <c r="BQ77" s="7"/>
      <c r="BR77" s="8"/>
      <c r="BS77" s="8"/>
      <c r="BT77" s="509"/>
      <c r="BU77" s="491"/>
      <c r="BV77" s="8"/>
      <c r="BW77" s="509"/>
      <c r="BX77" s="491"/>
      <c r="BY77" s="8"/>
      <c r="BZ77" s="509"/>
      <c r="CA77" s="752"/>
    </row>
    <row r="78" spans="1:79" ht="24.95" customHeight="1">
      <c r="A78" s="468">
        <f>IF('Student DATA Entry'!A75="","",'Student DATA Entry'!A75)</f>
        <v>72</v>
      </c>
      <c r="B78" s="459" t="str">
        <f>IF('Student DATA Entry'!B75="","",'Student DATA Entry'!B75)</f>
        <v/>
      </c>
      <c r="C78" s="459" t="str">
        <f>IF('Student DATA Entry'!C75="","",'Student DATA Entry'!C75)</f>
        <v/>
      </c>
      <c r="D78" s="459" t="str">
        <f>IF('Student DATA Entry'!D75="","",'Student DATA Entry'!D75)</f>
        <v/>
      </c>
      <c r="E78" s="459" t="str">
        <f>IF('Student DATA Entry'!E75="","",'Student DATA Entry'!E75)</f>
        <v/>
      </c>
      <c r="F78" s="460" t="str">
        <f>IF('Student DATA Entry'!K75="","",'Student DATA Entry'!K75)</f>
        <v/>
      </c>
      <c r="G78" s="461" t="str">
        <f>IF('Student DATA Entry'!G75="","",UPPER('Student DATA Entry'!G75))</f>
        <v/>
      </c>
      <c r="H78" s="461" t="str">
        <f>IF('Student DATA Entry'!H75="","",UPPER('Student DATA Entry'!H75))</f>
        <v/>
      </c>
      <c r="I78" s="462" t="str">
        <f>IF('Student DATA Entry'!I75="","",UPPER('Student DATA Entry'!I75))</f>
        <v/>
      </c>
      <c r="J78" s="463" t="str">
        <f>IF('Student DATA Entry'!L75="","",UPPER('Student DATA Entry'!L75))</f>
        <v/>
      </c>
      <c r="K78" s="469" t="str">
        <f>IF('Student DATA Entry'!J75="","",UPPER('Student DATA Entry'!J75))</f>
        <v/>
      </c>
      <c r="L78" s="491"/>
      <c r="M78" s="8"/>
      <c r="N78" s="8"/>
      <c r="O78" s="9"/>
      <c r="P78" s="492"/>
      <c r="Q78" s="491"/>
      <c r="R78" s="8"/>
      <c r="S78" s="8"/>
      <c r="T78" s="9"/>
      <c r="U78" s="492"/>
      <c r="V78" s="502"/>
      <c r="W78" s="7"/>
      <c r="X78" s="8"/>
      <c r="Y78" s="8"/>
      <c r="Z78" s="9"/>
      <c r="AA78" s="492"/>
      <c r="AB78" s="491"/>
      <c r="AC78" s="8"/>
      <c r="AD78" s="8"/>
      <c r="AE78" s="9"/>
      <c r="AF78" s="492"/>
      <c r="AG78" s="491"/>
      <c r="AH78" s="8"/>
      <c r="AI78" s="8"/>
      <c r="AJ78" s="9"/>
      <c r="AK78" s="492"/>
      <c r="AL78" s="491"/>
      <c r="AM78" s="8"/>
      <c r="AN78" s="8"/>
      <c r="AO78" s="9"/>
      <c r="AP78" s="492"/>
      <c r="AQ78" s="506"/>
      <c r="AR78" s="491"/>
      <c r="AS78" s="8"/>
      <c r="AT78" s="8"/>
      <c r="AU78" s="9"/>
      <c r="AV78" s="9"/>
      <c r="AW78" s="17"/>
      <c r="AX78" s="492"/>
      <c r="AY78" s="491"/>
      <c r="AZ78" s="7"/>
      <c r="BA78" s="9"/>
      <c r="BB78" s="9"/>
      <c r="BC78" s="492"/>
      <c r="BD78" s="491"/>
      <c r="BE78" s="7"/>
      <c r="BF78" s="7"/>
      <c r="BG78" s="7"/>
      <c r="BH78" s="9"/>
      <c r="BI78" s="9"/>
      <c r="BJ78" s="492"/>
      <c r="BK78" s="491"/>
      <c r="BL78" s="7"/>
      <c r="BM78" s="7"/>
      <c r="BN78" s="7"/>
      <c r="BO78" s="7"/>
      <c r="BP78" s="7"/>
      <c r="BQ78" s="7"/>
      <c r="BR78" s="8"/>
      <c r="BS78" s="8"/>
      <c r="BT78" s="509"/>
      <c r="BU78" s="491"/>
      <c r="BV78" s="8"/>
      <c r="BW78" s="509"/>
      <c r="BX78" s="491"/>
      <c r="BY78" s="8"/>
      <c r="BZ78" s="509"/>
      <c r="CA78" s="752"/>
    </row>
    <row r="79" spans="1:79" ht="24.95" customHeight="1">
      <c r="A79" s="468">
        <f>IF('Student DATA Entry'!A76="","",'Student DATA Entry'!A76)</f>
        <v>73</v>
      </c>
      <c r="B79" s="459" t="str">
        <f>IF('Student DATA Entry'!B76="","",'Student DATA Entry'!B76)</f>
        <v/>
      </c>
      <c r="C79" s="459" t="str">
        <f>IF('Student DATA Entry'!C76="","",'Student DATA Entry'!C76)</f>
        <v/>
      </c>
      <c r="D79" s="459" t="str">
        <f>IF('Student DATA Entry'!D76="","",'Student DATA Entry'!D76)</f>
        <v/>
      </c>
      <c r="E79" s="459" t="str">
        <f>IF('Student DATA Entry'!E76="","",'Student DATA Entry'!E76)</f>
        <v/>
      </c>
      <c r="F79" s="460" t="str">
        <f>IF('Student DATA Entry'!K76="","",'Student DATA Entry'!K76)</f>
        <v/>
      </c>
      <c r="G79" s="461" t="str">
        <f>IF('Student DATA Entry'!G76="","",UPPER('Student DATA Entry'!G76))</f>
        <v/>
      </c>
      <c r="H79" s="461" t="str">
        <f>IF('Student DATA Entry'!H76="","",UPPER('Student DATA Entry'!H76))</f>
        <v/>
      </c>
      <c r="I79" s="462" t="str">
        <f>IF('Student DATA Entry'!I76="","",UPPER('Student DATA Entry'!I76))</f>
        <v/>
      </c>
      <c r="J79" s="463" t="str">
        <f>IF('Student DATA Entry'!L76="","",UPPER('Student DATA Entry'!L76))</f>
        <v/>
      </c>
      <c r="K79" s="469" t="str">
        <f>IF('Student DATA Entry'!J76="","",UPPER('Student DATA Entry'!J76))</f>
        <v/>
      </c>
      <c r="L79" s="491"/>
      <c r="M79" s="8"/>
      <c r="N79" s="8"/>
      <c r="O79" s="9"/>
      <c r="P79" s="492"/>
      <c r="Q79" s="491"/>
      <c r="R79" s="8"/>
      <c r="S79" s="8"/>
      <c r="T79" s="9"/>
      <c r="U79" s="492"/>
      <c r="V79" s="502"/>
      <c r="W79" s="7"/>
      <c r="X79" s="8"/>
      <c r="Y79" s="8"/>
      <c r="Z79" s="9"/>
      <c r="AA79" s="492"/>
      <c r="AB79" s="491"/>
      <c r="AC79" s="8"/>
      <c r="AD79" s="8"/>
      <c r="AE79" s="9"/>
      <c r="AF79" s="492"/>
      <c r="AG79" s="491"/>
      <c r="AH79" s="8"/>
      <c r="AI79" s="8"/>
      <c r="AJ79" s="9"/>
      <c r="AK79" s="492"/>
      <c r="AL79" s="491"/>
      <c r="AM79" s="8"/>
      <c r="AN79" s="8"/>
      <c r="AO79" s="9"/>
      <c r="AP79" s="492"/>
      <c r="AQ79" s="506"/>
      <c r="AR79" s="491"/>
      <c r="AS79" s="8"/>
      <c r="AT79" s="8"/>
      <c r="AU79" s="9"/>
      <c r="AV79" s="9"/>
      <c r="AW79" s="17"/>
      <c r="AX79" s="492"/>
      <c r="AY79" s="491"/>
      <c r="AZ79" s="7"/>
      <c r="BA79" s="9"/>
      <c r="BB79" s="9"/>
      <c r="BC79" s="492"/>
      <c r="BD79" s="491"/>
      <c r="BE79" s="7"/>
      <c r="BF79" s="7"/>
      <c r="BG79" s="7"/>
      <c r="BH79" s="9"/>
      <c r="BI79" s="9"/>
      <c r="BJ79" s="492"/>
      <c r="BK79" s="491"/>
      <c r="BL79" s="7"/>
      <c r="BM79" s="7"/>
      <c r="BN79" s="7"/>
      <c r="BO79" s="7"/>
      <c r="BP79" s="7"/>
      <c r="BQ79" s="7"/>
      <c r="BR79" s="8"/>
      <c r="BS79" s="8"/>
      <c r="BT79" s="509"/>
      <c r="BU79" s="491"/>
      <c r="BV79" s="8"/>
      <c r="BW79" s="509"/>
      <c r="BX79" s="491"/>
      <c r="BY79" s="8"/>
      <c r="BZ79" s="509"/>
      <c r="CA79" s="752"/>
    </row>
    <row r="80" spans="1:79" ht="24.95" customHeight="1">
      <c r="A80" s="468">
        <f>IF('Student DATA Entry'!A77="","",'Student DATA Entry'!A77)</f>
        <v>74</v>
      </c>
      <c r="B80" s="459" t="str">
        <f>IF('Student DATA Entry'!B77="","",'Student DATA Entry'!B77)</f>
        <v/>
      </c>
      <c r="C80" s="459" t="str">
        <f>IF('Student DATA Entry'!C77="","",'Student DATA Entry'!C77)</f>
        <v/>
      </c>
      <c r="D80" s="459" t="str">
        <f>IF('Student DATA Entry'!D77="","",'Student DATA Entry'!D77)</f>
        <v/>
      </c>
      <c r="E80" s="459" t="str">
        <f>IF('Student DATA Entry'!E77="","",'Student DATA Entry'!E77)</f>
        <v/>
      </c>
      <c r="F80" s="460" t="str">
        <f>IF('Student DATA Entry'!K77="","",'Student DATA Entry'!K77)</f>
        <v/>
      </c>
      <c r="G80" s="461" t="str">
        <f>IF('Student DATA Entry'!G77="","",UPPER('Student DATA Entry'!G77))</f>
        <v/>
      </c>
      <c r="H80" s="461" t="str">
        <f>IF('Student DATA Entry'!H77="","",UPPER('Student DATA Entry'!H77))</f>
        <v/>
      </c>
      <c r="I80" s="462" t="str">
        <f>IF('Student DATA Entry'!I77="","",UPPER('Student DATA Entry'!I77))</f>
        <v/>
      </c>
      <c r="J80" s="463" t="str">
        <f>IF('Student DATA Entry'!L77="","",UPPER('Student DATA Entry'!L77))</f>
        <v/>
      </c>
      <c r="K80" s="469" t="str">
        <f>IF('Student DATA Entry'!J77="","",UPPER('Student DATA Entry'!J77))</f>
        <v/>
      </c>
      <c r="L80" s="491"/>
      <c r="M80" s="8"/>
      <c r="N80" s="8"/>
      <c r="O80" s="9"/>
      <c r="P80" s="492"/>
      <c r="Q80" s="491"/>
      <c r="R80" s="8"/>
      <c r="S80" s="8"/>
      <c r="T80" s="9"/>
      <c r="U80" s="492"/>
      <c r="V80" s="502"/>
      <c r="W80" s="7"/>
      <c r="X80" s="8"/>
      <c r="Y80" s="8"/>
      <c r="Z80" s="9"/>
      <c r="AA80" s="492"/>
      <c r="AB80" s="491"/>
      <c r="AC80" s="8"/>
      <c r="AD80" s="8"/>
      <c r="AE80" s="9"/>
      <c r="AF80" s="492"/>
      <c r="AG80" s="491"/>
      <c r="AH80" s="8"/>
      <c r="AI80" s="8"/>
      <c r="AJ80" s="9"/>
      <c r="AK80" s="492"/>
      <c r="AL80" s="491"/>
      <c r="AM80" s="8"/>
      <c r="AN80" s="8"/>
      <c r="AO80" s="9"/>
      <c r="AP80" s="492"/>
      <c r="AQ80" s="506"/>
      <c r="AR80" s="491"/>
      <c r="AS80" s="8"/>
      <c r="AT80" s="8"/>
      <c r="AU80" s="9"/>
      <c r="AV80" s="9"/>
      <c r="AW80" s="17"/>
      <c r="AX80" s="492"/>
      <c r="AY80" s="491"/>
      <c r="AZ80" s="7"/>
      <c r="BA80" s="9"/>
      <c r="BB80" s="9"/>
      <c r="BC80" s="492"/>
      <c r="BD80" s="491"/>
      <c r="BE80" s="7"/>
      <c r="BF80" s="7"/>
      <c r="BG80" s="7"/>
      <c r="BH80" s="9"/>
      <c r="BI80" s="9"/>
      <c r="BJ80" s="492"/>
      <c r="BK80" s="491"/>
      <c r="BL80" s="7"/>
      <c r="BM80" s="7"/>
      <c r="BN80" s="7"/>
      <c r="BO80" s="7"/>
      <c r="BP80" s="7"/>
      <c r="BQ80" s="7"/>
      <c r="BR80" s="8"/>
      <c r="BS80" s="8"/>
      <c r="BT80" s="509"/>
      <c r="BU80" s="491"/>
      <c r="BV80" s="8"/>
      <c r="BW80" s="509"/>
      <c r="BX80" s="491"/>
      <c r="BY80" s="8"/>
      <c r="BZ80" s="509"/>
      <c r="CA80" s="752"/>
    </row>
    <row r="81" spans="1:79" ht="24.95" customHeight="1">
      <c r="A81" s="468">
        <f>IF('Student DATA Entry'!A78="","",'Student DATA Entry'!A78)</f>
        <v>75</v>
      </c>
      <c r="B81" s="459" t="str">
        <f>IF('Student DATA Entry'!B78="","",'Student DATA Entry'!B78)</f>
        <v/>
      </c>
      <c r="C81" s="459" t="str">
        <f>IF('Student DATA Entry'!C78="","",'Student DATA Entry'!C78)</f>
        <v/>
      </c>
      <c r="D81" s="459" t="str">
        <f>IF('Student DATA Entry'!D78="","",'Student DATA Entry'!D78)</f>
        <v/>
      </c>
      <c r="E81" s="459" t="str">
        <f>IF('Student DATA Entry'!E78="","",'Student DATA Entry'!E78)</f>
        <v/>
      </c>
      <c r="F81" s="460" t="str">
        <f>IF('Student DATA Entry'!K78="","",'Student DATA Entry'!K78)</f>
        <v/>
      </c>
      <c r="G81" s="461" t="str">
        <f>IF('Student DATA Entry'!G78="","",UPPER('Student DATA Entry'!G78))</f>
        <v/>
      </c>
      <c r="H81" s="461" t="str">
        <f>IF('Student DATA Entry'!H78="","",UPPER('Student DATA Entry'!H78))</f>
        <v/>
      </c>
      <c r="I81" s="462" t="str">
        <f>IF('Student DATA Entry'!I78="","",UPPER('Student DATA Entry'!I78))</f>
        <v/>
      </c>
      <c r="J81" s="463" t="str">
        <f>IF('Student DATA Entry'!L78="","",UPPER('Student DATA Entry'!L78))</f>
        <v/>
      </c>
      <c r="K81" s="469" t="str">
        <f>IF('Student DATA Entry'!J78="","",UPPER('Student DATA Entry'!J78))</f>
        <v/>
      </c>
      <c r="L81" s="491"/>
      <c r="M81" s="8"/>
      <c r="N81" s="8"/>
      <c r="O81" s="9"/>
      <c r="P81" s="492"/>
      <c r="Q81" s="491"/>
      <c r="R81" s="8"/>
      <c r="S81" s="8"/>
      <c r="T81" s="9"/>
      <c r="U81" s="492"/>
      <c r="V81" s="502"/>
      <c r="W81" s="7"/>
      <c r="X81" s="8"/>
      <c r="Y81" s="8"/>
      <c r="Z81" s="9"/>
      <c r="AA81" s="492"/>
      <c r="AB81" s="491"/>
      <c r="AC81" s="8"/>
      <c r="AD81" s="8"/>
      <c r="AE81" s="9"/>
      <c r="AF81" s="492"/>
      <c r="AG81" s="491"/>
      <c r="AH81" s="8"/>
      <c r="AI81" s="8"/>
      <c r="AJ81" s="9"/>
      <c r="AK81" s="492"/>
      <c r="AL81" s="491"/>
      <c r="AM81" s="8"/>
      <c r="AN81" s="8"/>
      <c r="AO81" s="9"/>
      <c r="AP81" s="492"/>
      <c r="AQ81" s="506"/>
      <c r="AR81" s="491"/>
      <c r="AS81" s="8"/>
      <c r="AT81" s="8"/>
      <c r="AU81" s="9"/>
      <c r="AV81" s="9"/>
      <c r="AW81" s="17"/>
      <c r="AX81" s="492"/>
      <c r="AY81" s="491"/>
      <c r="AZ81" s="7"/>
      <c r="BA81" s="9"/>
      <c r="BB81" s="9"/>
      <c r="BC81" s="492"/>
      <c r="BD81" s="491"/>
      <c r="BE81" s="7"/>
      <c r="BF81" s="7"/>
      <c r="BG81" s="7"/>
      <c r="BH81" s="9"/>
      <c r="BI81" s="9"/>
      <c r="BJ81" s="492"/>
      <c r="BK81" s="491"/>
      <c r="BL81" s="7"/>
      <c r="BM81" s="7"/>
      <c r="BN81" s="7"/>
      <c r="BO81" s="7"/>
      <c r="BP81" s="7"/>
      <c r="BQ81" s="7"/>
      <c r="BR81" s="8"/>
      <c r="BS81" s="8"/>
      <c r="BT81" s="509"/>
      <c r="BU81" s="491"/>
      <c r="BV81" s="8"/>
      <c r="BW81" s="509"/>
      <c r="BX81" s="491"/>
      <c r="BY81" s="8"/>
      <c r="BZ81" s="509"/>
      <c r="CA81" s="752"/>
    </row>
    <row r="82" spans="1:79" ht="24.95" customHeight="1">
      <c r="A82" s="468">
        <f>IF('Student DATA Entry'!A79="","",'Student DATA Entry'!A79)</f>
        <v>76</v>
      </c>
      <c r="B82" s="459" t="str">
        <f>IF('Student DATA Entry'!B79="","",'Student DATA Entry'!B79)</f>
        <v/>
      </c>
      <c r="C82" s="459" t="str">
        <f>IF('Student DATA Entry'!C79="","",'Student DATA Entry'!C79)</f>
        <v/>
      </c>
      <c r="D82" s="459" t="str">
        <f>IF('Student DATA Entry'!D79="","",'Student DATA Entry'!D79)</f>
        <v/>
      </c>
      <c r="E82" s="459" t="str">
        <f>IF('Student DATA Entry'!E79="","",'Student DATA Entry'!E79)</f>
        <v/>
      </c>
      <c r="F82" s="460" t="str">
        <f>IF('Student DATA Entry'!K79="","",'Student DATA Entry'!K79)</f>
        <v/>
      </c>
      <c r="G82" s="461" t="str">
        <f>IF('Student DATA Entry'!G79="","",UPPER('Student DATA Entry'!G79))</f>
        <v/>
      </c>
      <c r="H82" s="461" t="str">
        <f>IF('Student DATA Entry'!H79="","",UPPER('Student DATA Entry'!H79))</f>
        <v/>
      </c>
      <c r="I82" s="462" t="str">
        <f>IF('Student DATA Entry'!I79="","",UPPER('Student DATA Entry'!I79))</f>
        <v/>
      </c>
      <c r="J82" s="463" t="str">
        <f>IF('Student DATA Entry'!L79="","",UPPER('Student DATA Entry'!L79))</f>
        <v/>
      </c>
      <c r="K82" s="469" t="str">
        <f>IF('Student DATA Entry'!J79="","",UPPER('Student DATA Entry'!J79))</f>
        <v/>
      </c>
      <c r="L82" s="491"/>
      <c r="M82" s="8"/>
      <c r="N82" s="8"/>
      <c r="O82" s="9"/>
      <c r="P82" s="492"/>
      <c r="Q82" s="491"/>
      <c r="R82" s="8"/>
      <c r="S82" s="8"/>
      <c r="T82" s="9"/>
      <c r="U82" s="492"/>
      <c r="V82" s="502"/>
      <c r="W82" s="7"/>
      <c r="X82" s="8"/>
      <c r="Y82" s="8"/>
      <c r="Z82" s="9"/>
      <c r="AA82" s="492"/>
      <c r="AB82" s="491"/>
      <c r="AC82" s="8"/>
      <c r="AD82" s="8"/>
      <c r="AE82" s="9"/>
      <c r="AF82" s="492"/>
      <c r="AG82" s="491"/>
      <c r="AH82" s="8"/>
      <c r="AI82" s="8"/>
      <c r="AJ82" s="9"/>
      <c r="AK82" s="492"/>
      <c r="AL82" s="491"/>
      <c r="AM82" s="8"/>
      <c r="AN82" s="8"/>
      <c r="AO82" s="9"/>
      <c r="AP82" s="492"/>
      <c r="AQ82" s="506"/>
      <c r="AR82" s="491"/>
      <c r="AS82" s="8"/>
      <c r="AT82" s="8"/>
      <c r="AU82" s="9"/>
      <c r="AV82" s="9"/>
      <c r="AW82" s="17"/>
      <c r="AX82" s="492"/>
      <c r="AY82" s="491"/>
      <c r="AZ82" s="7"/>
      <c r="BA82" s="9"/>
      <c r="BB82" s="9"/>
      <c r="BC82" s="492"/>
      <c r="BD82" s="491"/>
      <c r="BE82" s="7"/>
      <c r="BF82" s="7"/>
      <c r="BG82" s="7"/>
      <c r="BH82" s="9"/>
      <c r="BI82" s="9"/>
      <c r="BJ82" s="492"/>
      <c r="BK82" s="491"/>
      <c r="BL82" s="7"/>
      <c r="BM82" s="7"/>
      <c r="BN82" s="7"/>
      <c r="BO82" s="7"/>
      <c r="BP82" s="7"/>
      <c r="BQ82" s="7"/>
      <c r="BR82" s="8"/>
      <c r="BS82" s="8"/>
      <c r="BT82" s="509"/>
      <c r="BU82" s="491"/>
      <c r="BV82" s="8"/>
      <c r="BW82" s="509"/>
      <c r="BX82" s="491"/>
      <c r="BY82" s="8"/>
      <c r="BZ82" s="509"/>
      <c r="CA82" s="752"/>
    </row>
    <row r="83" spans="1:79" ht="24.95" customHeight="1">
      <c r="A83" s="468">
        <f>IF('Student DATA Entry'!A80="","",'Student DATA Entry'!A80)</f>
        <v>77</v>
      </c>
      <c r="B83" s="459" t="str">
        <f>IF('Student DATA Entry'!B80="","",'Student DATA Entry'!B80)</f>
        <v/>
      </c>
      <c r="C83" s="459" t="str">
        <f>IF('Student DATA Entry'!C80="","",'Student DATA Entry'!C80)</f>
        <v/>
      </c>
      <c r="D83" s="459" t="str">
        <f>IF('Student DATA Entry'!D80="","",'Student DATA Entry'!D80)</f>
        <v/>
      </c>
      <c r="E83" s="459" t="str">
        <f>IF('Student DATA Entry'!E80="","",'Student DATA Entry'!E80)</f>
        <v/>
      </c>
      <c r="F83" s="460" t="str">
        <f>IF('Student DATA Entry'!K80="","",'Student DATA Entry'!K80)</f>
        <v/>
      </c>
      <c r="G83" s="461" t="str">
        <f>IF('Student DATA Entry'!G80="","",UPPER('Student DATA Entry'!G80))</f>
        <v/>
      </c>
      <c r="H83" s="461" t="str">
        <f>IF('Student DATA Entry'!H80="","",UPPER('Student DATA Entry'!H80))</f>
        <v/>
      </c>
      <c r="I83" s="462" t="str">
        <f>IF('Student DATA Entry'!I80="","",UPPER('Student DATA Entry'!I80))</f>
        <v/>
      </c>
      <c r="J83" s="463" t="str">
        <f>IF('Student DATA Entry'!L80="","",UPPER('Student DATA Entry'!L80))</f>
        <v/>
      </c>
      <c r="K83" s="469" t="str">
        <f>IF('Student DATA Entry'!J80="","",UPPER('Student DATA Entry'!J80))</f>
        <v/>
      </c>
      <c r="L83" s="491"/>
      <c r="M83" s="8"/>
      <c r="N83" s="8"/>
      <c r="O83" s="9"/>
      <c r="P83" s="492"/>
      <c r="Q83" s="491"/>
      <c r="R83" s="8"/>
      <c r="S83" s="8"/>
      <c r="T83" s="9"/>
      <c r="U83" s="492"/>
      <c r="V83" s="502"/>
      <c r="W83" s="7"/>
      <c r="X83" s="8"/>
      <c r="Y83" s="8"/>
      <c r="Z83" s="9"/>
      <c r="AA83" s="492"/>
      <c r="AB83" s="491"/>
      <c r="AC83" s="8"/>
      <c r="AD83" s="8"/>
      <c r="AE83" s="9"/>
      <c r="AF83" s="492"/>
      <c r="AG83" s="491"/>
      <c r="AH83" s="8"/>
      <c r="AI83" s="8"/>
      <c r="AJ83" s="9"/>
      <c r="AK83" s="492"/>
      <c r="AL83" s="491"/>
      <c r="AM83" s="8"/>
      <c r="AN83" s="8"/>
      <c r="AO83" s="9"/>
      <c r="AP83" s="492"/>
      <c r="AQ83" s="506"/>
      <c r="AR83" s="491"/>
      <c r="AS83" s="8"/>
      <c r="AT83" s="8"/>
      <c r="AU83" s="9"/>
      <c r="AV83" s="9"/>
      <c r="AW83" s="17"/>
      <c r="AX83" s="492"/>
      <c r="AY83" s="491"/>
      <c r="AZ83" s="7"/>
      <c r="BA83" s="9"/>
      <c r="BB83" s="9"/>
      <c r="BC83" s="492"/>
      <c r="BD83" s="491"/>
      <c r="BE83" s="7"/>
      <c r="BF83" s="7"/>
      <c r="BG83" s="7"/>
      <c r="BH83" s="9"/>
      <c r="BI83" s="9"/>
      <c r="BJ83" s="492"/>
      <c r="BK83" s="491"/>
      <c r="BL83" s="7"/>
      <c r="BM83" s="7"/>
      <c r="BN83" s="7"/>
      <c r="BO83" s="7"/>
      <c r="BP83" s="7"/>
      <c r="BQ83" s="7"/>
      <c r="BR83" s="8"/>
      <c r="BS83" s="8"/>
      <c r="BT83" s="509"/>
      <c r="BU83" s="491"/>
      <c r="BV83" s="8"/>
      <c r="BW83" s="509"/>
      <c r="BX83" s="491"/>
      <c r="BY83" s="8"/>
      <c r="BZ83" s="509"/>
      <c r="CA83" s="752"/>
    </row>
    <row r="84" spans="1:79" ht="24.95" customHeight="1">
      <c r="A84" s="468">
        <f>IF('Student DATA Entry'!A81="","",'Student DATA Entry'!A81)</f>
        <v>78</v>
      </c>
      <c r="B84" s="459" t="str">
        <f>IF('Student DATA Entry'!B81="","",'Student DATA Entry'!B81)</f>
        <v/>
      </c>
      <c r="C84" s="459" t="str">
        <f>IF('Student DATA Entry'!C81="","",'Student DATA Entry'!C81)</f>
        <v/>
      </c>
      <c r="D84" s="459" t="str">
        <f>IF('Student DATA Entry'!D81="","",'Student DATA Entry'!D81)</f>
        <v/>
      </c>
      <c r="E84" s="459" t="str">
        <f>IF('Student DATA Entry'!E81="","",'Student DATA Entry'!E81)</f>
        <v/>
      </c>
      <c r="F84" s="460" t="str">
        <f>IF('Student DATA Entry'!K81="","",'Student DATA Entry'!K81)</f>
        <v/>
      </c>
      <c r="G84" s="461" t="str">
        <f>IF('Student DATA Entry'!G81="","",UPPER('Student DATA Entry'!G81))</f>
        <v/>
      </c>
      <c r="H84" s="461" t="str">
        <f>IF('Student DATA Entry'!H81="","",UPPER('Student DATA Entry'!H81))</f>
        <v/>
      </c>
      <c r="I84" s="462" t="str">
        <f>IF('Student DATA Entry'!I81="","",UPPER('Student DATA Entry'!I81))</f>
        <v/>
      </c>
      <c r="J84" s="463" t="str">
        <f>IF('Student DATA Entry'!L81="","",UPPER('Student DATA Entry'!L81))</f>
        <v/>
      </c>
      <c r="K84" s="469" t="str">
        <f>IF('Student DATA Entry'!J81="","",UPPER('Student DATA Entry'!J81))</f>
        <v/>
      </c>
      <c r="L84" s="491"/>
      <c r="M84" s="8"/>
      <c r="N84" s="8"/>
      <c r="O84" s="9"/>
      <c r="P84" s="492"/>
      <c r="Q84" s="491"/>
      <c r="R84" s="8"/>
      <c r="S84" s="8"/>
      <c r="T84" s="9"/>
      <c r="U84" s="492"/>
      <c r="V84" s="502"/>
      <c r="W84" s="7"/>
      <c r="X84" s="8"/>
      <c r="Y84" s="8"/>
      <c r="Z84" s="9"/>
      <c r="AA84" s="492"/>
      <c r="AB84" s="491"/>
      <c r="AC84" s="8"/>
      <c r="AD84" s="8"/>
      <c r="AE84" s="9"/>
      <c r="AF84" s="492"/>
      <c r="AG84" s="491"/>
      <c r="AH84" s="8"/>
      <c r="AI84" s="8"/>
      <c r="AJ84" s="9"/>
      <c r="AK84" s="492"/>
      <c r="AL84" s="491"/>
      <c r="AM84" s="8"/>
      <c r="AN84" s="8"/>
      <c r="AO84" s="9"/>
      <c r="AP84" s="492"/>
      <c r="AQ84" s="506"/>
      <c r="AR84" s="491"/>
      <c r="AS84" s="8"/>
      <c r="AT84" s="8"/>
      <c r="AU84" s="9"/>
      <c r="AV84" s="9"/>
      <c r="AW84" s="17"/>
      <c r="AX84" s="492"/>
      <c r="AY84" s="491"/>
      <c r="AZ84" s="7"/>
      <c r="BA84" s="9"/>
      <c r="BB84" s="9"/>
      <c r="BC84" s="492"/>
      <c r="BD84" s="491"/>
      <c r="BE84" s="7"/>
      <c r="BF84" s="7"/>
      <c r="BG84" s="7"/>
      <c r="BH84" s="9"/>
      <c r="BI84" s="9"/>
      <c r="BJ84" s="492"/>
      <c r="BK84" s="491"/>
      <c r="BL84" s="7"/>
      <c r="BM84" s="7"/>
      <c r="BN84" s="7"/>
      <c r="BO84" s="7"/>
      <c r="BP84" s="7"/>
      <c r="BQ84" s="7"/>
      <c r="BR84" s="8"/>
      <c r="BS84" s="8"/>
      <c r="BT84" s="509"/>
      <c r="BU84" s="491"/>
      <c r="BV84" s="8"/>
      <c r="BW84" s="509"/>
      <c r="BX84" s="491"/>
      <c r="BY84" s="8"/>
      <c r="BZ84" s="509"/>
      <c r="CA84" s="752"/>
    </row>
    <row r="85" spans="1:79" ht="24.95" customHeight="1">
      <c r="A85" s="468">
        <f>IF('Student DATA Entry'!A82="","",'Student DATA Entry'!A82)</f>
        <v>79</v>
      </c>
      <c r="B85" s="459" t="str">
        <f>IF('Student DATA Entry'!B82="","",'Student DATA Entry'!B82)</f>
        <v/>
      </c>
      <c r="C85" s="459" t="str">
        <f>IF('Student DATA Entry'!C82="","",'Student DATA Entry'!C82)</f>
        <v/>
      </c>
      <c r="D85" s="459" t="str">
        <f>IF('Student DATA Entry'!D82="","",'Student DATA Entry'!D82)</f>
        <v/>
      </c>
      <c r="E85" s="459" t="str">
        <f>IF('Student DATA Entry'!E82="","",'Student DATA Entry'!E82)</f>
        <v/>
      </c>
      <c r="F85" s="460" t="str">
        <f>IF('Student DATA Entry'!K82="","",'Student DATA Entry'!K82)</f>
        <v/>
      </c>
      <c r="G85" s="461" t="str">
        <f>IF('Student DATA Entry'!G82="","",UPPER('Student DATA Entry'!G82))</f>
        <v/>
      </c>
      <c r="H85" s="461" t="str">
        <f>IF('Student DATA Entry'!H82="","",UPPER('Student DATA Entry'!H82))</f>
        <v/>
      </c>
      <c r="I85" s="462" t="str">
        <f>IF('Student DATA Entry'!I82="","",UPPER('Student DATA Entry'!I82))</f>
        <v/>
      </c>
      <c r="J85" s="463" t="str">
        <f>IF('Student DATA Entry'!L82="","",UPPER('Student DATA Entry'!L82))</f>
        <v/>
      </c>
      <c r="K85" s="469" t="str">
        <f>IF('Student DATA Entry'!J82="","",UPPER('Student DATA Entry'!J82))</f>
        <v/>
      </c>
      <c r="L85" s="491"/>
      <c r="M85" s="8"/>
      <c r="N85" s="8"/>
      <c r="O85" s="9"/>
      <c r="P85" s="492"/>
      <c r="Q85" s="491"/>
      <c r="R85" s="8"/>
      <c r="S85" s="8"/>
      <c r="T85" s="9"/>
      <c r="U85" s="492"/>
      <c r="V85" s="502"/>
      <c r="W85" s="7"/>
      <c r="X85" s="8"/>
      <c r="Y85" s="8"/>
      <c r="Z85" s="9"/>
      <c r="AA85" s="492"/>
      <c r="AB85" s="491"/>
      <c r="AC85" s="8"/>
      <c r="AD85" s="8"/>
      <c r="AE85" s="9"/>
      <c r="AF85" s="492"/>
      <c r="AG85" s="491"/>
      <c r="AH85" s="8"/>
      <c r="AI85" s="8"/>
      <c r="AJ85" s="9"/>
      <c r="AK85" s="492"/>
      <c r="AL85" s="491"/>
      <c r="AM85" s="8"/>
      <c r="AN85" s="8"/>
      <c r="AO85" s="9"/>
      <c r="AP85" s="492"/>
      <c r="AQ85" s="506"/>
      <c r="AR85" s="491"/>
      <c r="AS85" s="8"/>
      <c r="AT85" s="8"/>
      <c r="AU85" s="9"/>
      <c r="AV85" s="9"/>
      <c r="AW85" s="17"/>
      <c r="AX85" s="492"/>
      <c r="AY85" s="491"/>
      <c r="AZ85" s="7"/>
      <c r="BA85" s="9"/>
      <c r="BB85" s="9"/>
      <c r="BC85" s="492"/>
      <c r="BD85" s="491"/>
      <c r="BE85" s="7"/>
      <c r="BF85" s="7"/>
      <c r="BG85" s="7"/>
      <c r="BH85" s="9"/>
      <c r="BI85" s="9"/>
      <c r="BJ85" s="492"/>
      <c r="BK85" s="491"/>
      <c r="BL85" s="7"/>
      <c r="BM85" s="7"/>
      <c r="BN85" s="7"/>
      <c r="BO85" s="7"/>
      <c r="BP85" s="7"/>
      <c r="BQ85" s="7"/>
      <c r="BR85" s="8"/>
      <c r="BS85" s="8"/>
      <c r="BT85" s="509"/>
      <c r="BU85" s="491"/>
      <c r="BV85" s="8"/>
      <c r="BW85" s="509"/>
      <c r="BX85" s="491"/>
      <c r="BY85" s="8"/>
      <c r="BZ85" s="509"/>
      <c r="CA85" s="752"/>
    </row>
    <row r="86" spans="1:79" ht="24.95" customHeight="1">
      <c r="A86" s="468">
        <f>IF('Student DATA Entry'!A83="","",'Student DATA Entry'!A83)</f>
        <v>80</v>
      </c>
      <c r="B86" s="459" t="str">
        <f>IF('Student DATA Entry'!B83="","",'Student DATA Entry'!B83)</f>
        <v/>
      </c>
      <c r="C86" s="459" t="str">
        <f>IF('Student DATA Entry'!C83="","",'Student DATA Entry'!C83)</f>
        <v/>
      </c>
      <c r="D86" s="459" t="str">
        <f>IF('Student DATA Entry'!D83="","",'Student DATA Entry'!D83)</f>
        <v/>
      </c>
      <c r="E86" s="459" t="str">
        <f>IF('Student DATA Entry'!E83="","",'Student DATA Entry'!E83)</f>
        <v/>
      </c>
      <c r="F86" s="460" t="str">
        <f>IF('Student DATA Entry'!K83="","",'Student DATA Entry'!K83)</f>
        <v/>
      </c>
      <c r="G86" s="461" t="str">
        <f>IF('Student DATA Entry'!G83="","",UPPER('Student DATA Entry'!G83))</f>
        <v/>
      </c>
      <c r="H86" s="461" t="str">
        <f>IF('Student DATA Entry'!H83="","",UPPER('Student DATA Entry'!H83))</f>
        <v/>
      </c>
      <c r="I86" s="462" t="str">
        <f>IF('Student DATA Entry'!I83="","",UPPER('Student DATA Entry'!I83))</f>
        <v/>
      </c>
      <c r="J86" s="463" t="str">
        <f>IF('Student DATA Entry'!L83="","",UPPER('Student DATA Entry'!L83))</f>
        <v/>
      </c>
      <c r="K86" s="469" t="str">
        <f>IF('Student DATA Entry'!J83="","",UPPER('Student DATA Entry'!J83))</f>
        <v/>
      </c>
      <c r="L86" s="491"/>
      <c r="M86" s="8"/>
      <c r="N86" s="8"/>
      <c r="O86" s="9"/>
      <c r="P86" s="492"/>
      <c r="Q86" s="491"/>
      <c r="R86" s="8"/>
      <c r="S86" s="8"/>
      <c r="T86" s="9"/>
      <c r="U86" s="492"/>
      <c r="V86" s="502"/>
      <c r="W86" s="7"/>
      <c r="X86" s="8"/>
      <c r="Y86" s="8"/>
      <c r="Z86" s="9"/>
      <c r="AA86" s="492"/>
      <c r="AB86" s="491"/>
      <c r="AC86" s="8"/>
      <c r="AD86" s="8"/>
      <c r="AE86" s="9"/>
      <c r="AF86" s="492"/>
      <c r="AG86" s="491"/>
      <c r="AH86" s="8"/>
      <c r="AI86" s="8"/>
      <c r="AJ86" s="9"/>
      <c r="AK86" s="492"/>
      <c r="AL86" s="491"/>
      <c r="AM86" s="8"/>
      <c r="AN86" s="8"/>
      <c r="AO86" s="9"/>
      <c r="AP86" s="492"/>
      <c r="AQ86" s="506"/>
      <c r="AR86" s="491"/>
      <c r="AS86" s="8"/>
      <c r="AT86" s="8"/>
      <c r="AU86" s="9"/>
      <c r="AV86" s="9"/>
      <c r="AW86" s="17"/>
      <c r="AX86" s="492"/>
      <c r="AY86" s="491"/>
      <c r="AZ86" s="7"/>
      <c r="BA86" s="9"/>
      <c r="BB86" s="9"/>
      <c r="BC86" s="492"/>
      <c r="BD86" s="491"/>
      <c r="BE86" s="7"/>
      <c r="BF86" s="7"/>
      <c r="BG86" s="7"/>
      <c r="BH86" s="9"/>
      <c r="BI86" s="9"/>
      <c r="BJ86" s="492"/>
      <c r="BK86" s="491"/>
      <c r="BL86" s="7"/>
      <c r="BM86" s="7"/>
      <c r="BN86" s="7"/>
      <c r="BO86" s="7"/>
      <c r="BP86" s="7"/>
      <c r="BQ86" s="7"/>
      <c r="BR86" s="8"/>
      <c r="BS86" s="8"/>
      <c r="BT86" s="509"/>
      <c r="BU86" s="491"/>
      <c r="BV86" s="8"/>
      <c r="BW86" s="509"/>
      <c r="BX86" s="491"/>
      <c r="BY86" s="8"/>
      <c r="BZ86" s="509"/>
      <c r="CA86" s="752"/>
    </row>
    <row r="87" spans="1:79" ht="24.95" customHeight="1">
      <c r="A87" s="468">
        <f>IF('Student DATA Entry'!A84="","",'Student DATA Entry'!A84)</f>
        <v>81</v>
      </c>
      <c r="B87" s="459" t="str">
        <f>IF('Student DATA Entry'!B84="","",'Student DATA Entry'!B84)</f>
        <v/>
      </c>
      <c r="C87" s="459" t="str">
        <f>IF('Student DATA Entry'!C84="","",'Student DATA Entry'!C84)</f>
        <v/>
      </c>
      <c r="D87" s="459" t="str">
        <f>IF('Student DATA Entry'!D84="","",'Student DATA Entry'!D84)</f>
        <v/>
      </c>
      <c r="E87" s="459" t="str">
        <f>IF('Student DATA Entry'!E84="","",'Student DATA Entry'!E84)</f>
        <v/>
      </c>
      <c r="F87" s="460" t="str">
        <f>IF('Student DATA Entry'!K84="","",'Student DATA Entry'!K84)</f>
        <v/>
      </c>
      <c r="G87" s="461" t="str">
        <f>IF('Student DATA Entry'!G84="","",UPPER('Student DATA Entry'!G84))</f>
        <v/>
      </c>
      <c r="H87" s="461" t="str">
        <f>IF('Student DATA Entry'!H84="","",UPPER('Student DATA Entry'!H84))</f>
        <v/>
      </c>
      <c r="I87" s="462" t="str">
        <f>IF('Student DATA Entry'!I84="","",UPPER('Student DATA Entry'!I84))</f>
        <v/>
      </c>
      <c r="J87" s="463" t="str">
        <f>IF('Student DATA Entry'!L84="","",UPPER('Student DATA Entry'!L84))</f>
        <v/>
      </c>
      <c r="K87" s="469" t="str">
        <f>IF('Student DATA Entry'!J84="","",UPPER('Student DATA Entry'!J84))</f>
        <v/>
      </c>
      <c r="L87" s="491"/>
      <c r="M87" s="8"/>
      <c r="N87" s="8"/>
      <c r="O87" s="9"/>
      <c r="P87" s="492"/>
      <c r="Q87" s="491"/>
      <c r="R87" s="8"/>
      <c r="S87" s="8"/>
      <c r="T87" s="9"/>
      <c r="U87" s="492"/>
      <c r="V87" s="502"/>
      <c r="W87" s="7"/>
      <c r="X87" s="8"/>
      <c r="Y87" s="8"/>
      <c r="Z87" s="9"/>
      <c r="AA87" s="492"/>
      <c r="AB87" s="491"/>
      <c r="AC87" s="8"/>
      <c r="AD87" s="8"/>
      <c r="AE87" s="9"/>
      <c r="AF87" s="492"/>
      <c r="AG87" s="491"/>
      <c r="AH87" s="8"/>
      <c r="AI87" s="8"/>
      <c r="AJ87" s="9"/>
      <c r="AK87" s="492"/>
      <c r="AL87" s="491"/>
      <c r="AM87" s="8"/>
      <c r="AN87" s="8"/>
      <c r="AO87" s="9"/>
      <c r="AP87" s="492"/>
      <c r="AQ87" s="506"/>
      <c r="AR87" s="491"/>
      <c r="AS87" s="8"/>
      <c r="AT87" s="8"/>
      <c r="AU87" s="9"/>
      <c r="AV87" s="9"/>
      <c r="AW87" s="17"/>
      <c r="AX87" s="492"/>
      <c r="AY87" s="491"/>
      <c r="AZ87" s="7"/>
      <c r="BA87" s="9"/>
      <c r="BB87" s="9"/>
      <c r="BC87" s="492"/>
      <c r="BD87" s="491"/>
      <c r="BE87" s="7"/>
      <c r="BF87" s="7"/>
      <c r="BG87" s="7"/>
      <c r="BH87" s="9"/>
      <c r="BI87" s="9"/>
      <c r="BJ87" s="492"/>
      <c r="BK87" s="491"/>
      <c r="BL87" s="7"/>
      <c r="BM87" s="7"/>
      <c r="BN87" s="7"/>
      <c r="BO87" s="7"/>
      <c r="BP87" s="7"/>
      <c r="BQ87" s="7"/>
      <c r="BR87" s="8"/>
      <c r="BS87" s="8"/>
      <c r="BT87" s="509"/>
      <c r="BU87" s="491"/>
      <c r="BV87" s="8"/>
      <c r="BW87" s="509"/>
      <c r="BX87" s="491"/>
      <c r="BY87" s="8"/>
      <c r="BZ87" s="509"/>
      <c r="CA87" s="752"/>
    </row>
    <row r="88" spans="1:79" ht="24.95" customHeight="1">
      <c r="A88" s="468">
        <f>IF('Student DATA Entry'!A85="","",'Student DATA Entry'!A85)</f>
        <v>82</v>
      </c>
      <c r="B88" s="459" t="str">
        <f>IF('Student DATA Entry'!B85="","",'Student DATA Entry'!B85)</f>
        <v/>
      </c>
      <c r="C88" s="459" t="str">
        <f>IF('Student DATA Entry'!C85="","",'Student DATA Entry'!C85)</f>
        <v/>
      </c>
      <c r="D88" s="459" t="str">
        <f>IF('Student DATA Entry'!D85="","",'Student DATA Entry'!D85)</f>
        <v/>
      </c>
      <c r="E88" s="459" t="str">
        <f>IF('Student DATA Entry'!E85="","",'Student DATA Entry'!E85)</f>
        <v/>
      </c>
      <c r="F88" s="460" t="str">
        <f>IF('Student DATA Entry'!K85="","",'Student DATA Entry'!K85)</f>
        <v/>
      </c>
      <c r="G88" s="461" t="str">
        <f>IF('Student DATA Entry'!G85="","",UPPER('Student DATA Entry'!G85))</f>
        <v/>
      </c>
      <c r="H88" s="461" t="str">
        <f>IF('Student DATA Entry'!H85="","",UPPER('Student DATA Entry'!H85))</f>
        <v/>
      </c>
      <c r="I88" s="462" t="str">
        <f>IF('Student DATA Entry'!I85="","",UPPER('Student DATA Entry'!I85))</f>
        <v/>
      </c>
      <c r="J88" s="463" t="str">
        <f>IF('Student DATA Entry'!L85="","",UPPER('Student DATA Entry'!L85))</f>
        <v/>
      </c>
      <c r="K88" s="469" t="str">
        <f>IF('Student DATA Entry'!J85="","",UPPER('Student DATA Entry'!J85))</f>
        <v/>
      </c>
      <c r="L88" s="491"/>
      <c r="M88" s="8"/>
      <c r="N88" s="8"/>
      <c r="O88" s="9"/>
      <c r="P88" s="492"/>
      <c r="Q88" s="491"/>
      <c r="R88" s="8"/>
      <c r="S88" s="8"/>
      <c r="T88" s="9"/>
      <c r="U88" s="492"/>
      <c r="V88" s="502"/>
      <c r="W88" s="7"/>
      <c r="X88" s="8"/>
      <c r="Y88" s="8"/>
      <c r="Z88" s="9"/>
      <c r="AA88" s="492"/>
      <c r="AB88" s="491"/>
      <c r="AC88" s="8"/>
      <c r="AD88" s="8"/>
      <c r="AE88" s="9"/>
      <c r="AF88" s="492"/>
      <c r="AG88" s="491"/>
      <c r="AH88" s="8"/>
      <c r="AI88" s="8"/>
      <c r="AJ88" s="9"/>
      <c r="AK88" s="492"/>
      <c r="AL88" s="491"/>
      <c r="AM88" s="8"/>
      <c r="AN88" s="8"/>
      <c r="AO88" s="9"/>
      <c r="AP88" s="492"/>
      <c r="AQ88" s="506"/>
      <c r="AR88" s="491"/>
      <c r="AS88" s="8"/>
      <c r="AT88" s="8"/>
      <c r="AU88" s="9"/>
      <c r="AV88" s="9"/>
      <c r="AW88" s="17"/>
      <c r="AX88" s="492"/>
      <c r="AY88" s="491"/>
      <c r="AZ88" s="7"/>
      <c r="BA88" s="9"/>
      <c r="BB88" s="9"/>
      <c r="BC88" s="492"/>
      <c r="BD88" s="491"/>
      <c r="BE88" s="7"/>
      <c r="BF88" s="7"/>
      <c r="BG88" s="7"/>
      <c r="BH88" s="9"/>
      <c r="BI88" s="9"/>
      <c r="BJ88" s="492"/>
      <c r="BK88" s="491"/>
      <c r="BL88" s="7"/>
      <c r="BM88" s="7"/>
      <c r="BN88" s="7"/>
      <c r="BO88" s="7"/>
      <c r="BP88" s="7"/>
      <c r="BQ88" s="7"/>
      <c r="BR88" s="8"/>
      <c r="BS88" s="8"/>
      <c r="BT88" s="509"/>
      <c r="BU88" s="491"/>
      <c r="BV88" s="8"/>
      <c r="BW88" s="509"/>
      <c r="BX88" s="491"/>
      <c r="BY88" s="8"/>
      <c r="BZ88" s="509"/>
      <c r="CA88" s="752"/>
    </row>
    <row r="89" spans="1:79" ht="24.95" customHeight="1">
      <c r="A89" s="468">
        <f>IF('Student DATA Entry'!A86="","",'Student DATA Entry'!A86)</f>
        <v>83</v>
      </c>
      <c r="B89" s="459" t="str">
        <f>IF('Student DATA Entry'!B86="","",'Student DATA Entry'!B86)</f>
        <v/>
      </c>
      <c r="C89" s="459" t="str">
        <f>IF('Student DATA Entry'!C86="","",'Student DATA Entry'!C86)</f>
        <v/>
      </c>
      <c r="D89" s="459" t="str">
        <f>IF('Student DATA Entry'!D86="","",'Student DATA Entry'!D86)</f>
        <v/>
      </c>
      <c r="E89" s="459" t="str">
        <f>IF('Student DATA Entry'!E86="","",'Student DATA Entry'!E86)</f>
        <v/>
      </c>
      <c r="F89" s="460" t="str">
        <f>IF('Student DATA Entry'!K86="","",'Student DATA Entry'!K86)</f>
        <v/>
      </c>
      <c r="G89" s="461" t="str">
        <f>IF('Student DATA Entry'!G86="","",UPPER('Student DATA Entry'!G86))</f>
        <v/>
      </c>
      <c r="H89" s="461" t="str">
        <f>IF('Student DATA Entry'!H86="","",UPPER('Student DATA Entry'!H86))</f>
        <v/>
      </c>
      <c r="I89" s="462" t="str">
        <f>IF('Student DATA Entry'!I86="","",UPPER('Student DATA Entry'!I86))</f>
        <v/>
      </c>
      <c r="J89" s="463" t="str">
        <f>IF('Student DATA Entry'!L86="","",UPPER('Student DATA Entry'!L86))</f>
        <v/>
      </c>
      <c r="K89" s="469" t="str">
        <f>IF('Student DATA Entry'!J86="","",UPPER('Student DATA Entry'!J86))</f>
        <v/>
      </c>
      <c r="L89" s="491"/>
      <c r="M89" s="8"/>
      <c r="N89" s="8"/>
      <c r="O89" s="9"/>
      <c r="P89" s="492"/>
      <c r="Q89" s="491"/>
      <c r="R89" s="8"/>
      <c r="S89" s="8"/>
      <c r="T89" s="9"/>
      <c r="U89" s="492"/>
      <c r="V89" s="502"/>
      <c r="W89" s="7"/>
      <c r="X89" s="8"/>
      <c r="Y89" s="8"/>
      <c r="Z89" s="9"/>
      <c r="AA89" s="492"/>
      <c r="AB89" s="491"/>
      <c r="AC89" s="8"/>
      <c r="AD89" s="8"/>
      <c r="AE89" s="9"/>
      <c r="AF89" s="492"/>
      <c r="AG89" s="491"/>
      <c r="AH89" s="8"/>
      <c r="AI89" s="8"/>
      <c r="AJ89" s="9"/>
      <c r="AK89" s="492"/>
      <c r="AL89" s="491"/>
      <c r="AM89" s="8"/>
      <c r="AN89" s="8"/>
      <c r="AO89" s="9"/>
      <c r="AP89" s="492"/>
      <c r="AQ89" s="506"/>
      <c r="AR89" s="491"/>
      <c r="AS89" s="8"/>
      <c r="AT89" s="8"/>
      <c r="AU89" s="9"/>
      <c r="AV89" s="9"/>
      <c r="AW89" s="17"/>
      <c r="AX89" s="492"/>
      <c r="AY89" s="491"/>
      <c r="AZ89" s="7"/>
      <c r="BA89" s="9"/>
      <c r="BB89" s="9"/>
      <c r="BC89" s="492"/>
      <c r="BD89" s="491"/>
      <c r="BE89" s="7"/>
      <c r="BF89" s="7"/>
      <c r="BG89" s="7"/>
      <c r="BH89" s="9"/>
      <c r="BI89" s="9"/>
      <c r="BJ89" s="492"/>
      <c r="BK89" s="491"/>
      <c r="BL89" s="7"/>
      <c r="BM89" s="7"/>
      <c r="BN89" s="7"/>
      <c r="BO89" s="7"/>
      <c r="BP89" s="7"/>
      <c r="BQ89" s="7"/>
      <c r="BR89" s="8"/>
      <c r="BS89" s="8"/>
      <c r="BT89" s="509"/>
      <c r="BU89" s="491"/>
      <c r="BV89" s="8"/>
      <c r="BW89" s="509"/>
      <c r="BX89" s="491"/>
      <c r="BY89" s="8"/>
      <c r="BZ89" s="509"/>
      <c r="CA89" s="752"/>
    </row>
    <row r="90" spans="1:79" ht="24.95" customHeight="1">
      <c r="A90" s="468">
        <f>IF('Student DATA Entry'!A87="","",'Student DATA Entry'!A87)</f>
        <v>84</v>
      </c>
      <c r="B90" s="459" t="str">
        <f>IF('Student DATA Entry'!B87="","",'Student DATA Entry'!B87)</f>
        <v/>
      </c>
      <c r="C90" s="459" t="str">
        <f>IF('Student DATA Entry'!C87="","",'Student DATA Entry'!C87)</f>
        <v/>
      </c>
      <c r="D90" s="459" t="str">
        <f>IF('Student DATA Entry'!D87="","",'Student DATA Entry'!D87)</f>
        <v/>
      </c>
      <c r="E90" s="459" t="str">
        <f>IF('Student DATA Entry'!E87="","",'Student DATA Entry'!E87)</f>
        <v/>
      </c>
      <c r="F90" s="460" t="str">
        <f>IF('Student DATA Entry'!K87="","",'Student DATA Entry'!K87)</f>
        <v/>
      </c>
      <c r="G90" s="461" t="str">
        <f>IF('Student DATA Entry'!G87="","",UPPER('Student DATA Entry'!G87))</f>
        <v/>
      </c>
      <c r="H90" s="461" t="str">
        <f>IF('Student DATA Entry'!H87="","",UPPER('Student DATA Entry'!H87))</f>
        <v/>
      </c>
      <c r="I90" s="462" t="str">
        <f>IF('Student DATA Entry'!I87="","",UPPER('Student DATA Entry'!I87))</f>
        <v/>
      </c>
      <c r="J90" s="463" t="str">
        <f>IF('Student DATA Entry'!L87="","",UPPER('Student DATA Entry'!L87))</f>
        <v/>
      </c>
      <c r="K90" s="469" t="str">
        <f>IF('Student DATA Entry'!J87="","",UPPER('Student DATA Entry'!J87))</f>
        <v/>
      </c>
      <c r="L90" s="491"/>
      <c r="M90" s="8"/>
      <c r="N90" s="8"/>
      <c r="O90" s="9"/>
      <c r="P90" s="492"/>
      <c r="Q90" s="491"/>
      <c r="R90" s="8"/>
      <c r="S90" s="8"/>
      <c r="T90" s="9"/>
      <c r="U90" s="492"/>
      <c r="V90" s="502"/>
      <c r="W90" s="7"/>
      <c r="X90" s="8"/>
      <c r="Y90" s="8"/>
      <c r="Z90" s="9"/>
      <c r="AA90" s="492"/>
      <c r="AB90" s="491"/>
      <c r="AC90" s="8"/>
      <c r="AD90" s="8"/>
      <c r="AE90" s="9"/>
      <c r="AF90" s="492"/>
      <c r="AG90" s="491"/>
      <c r="AH90" s="8"/>
      <c r="AI90" s="8"/>
      <c r="AJ90" s="9"/>
      <c r="AK90" s="492"/>
      <c r="AL90" s="491"/>
      <c r="AM90" s="8"/>
      <c r="AN90" s="8"/>
      <c r="AO90" s="9"/>
      <c r="AP90" s="492"/>
      <c r="AQ90" s="506"/>
      <c r="AR90" s="491"/>
      <c r="AS90" s="8"/>
      <c r="AT90" s="8"/>
      <c r="AU90" s="9"/>
      <c r="AV90" s="9"/>
      <c r="AW90" s="17"/>
      <c r="AX90" s="492"/>
      <c r="AY90" s="491"/>
      <c r="AZ90" s="7"/>
      <c r="BA90" s="9"/>
      <c r="BB90" s="9"/>
      <c r="BC90" s="492"/>
      <c r="BD90" s="491"/>
      <c r="BE90" s="7"/>
      <c r="BF90" s="7"/>
      <c r="BG90" s="7"/>
      <c r="BH90" s="9"/>
      <c r="BI90" s="9"/>
      <c r="BJ90" s="492"/>
      <c r="BK90" s="491"/>
      <c r="BL90" s="7"/>
      <c r="BM90" s="7"/>
      <c r="BN90" s="7"/>
      <c r="BO90" s="7"/>
      <c r="BP90" s="7"/>
      <c r="BQ90" s="7"/>
      <c r="BR90" s="8"/>
      <c r="BS90" s="8"/>
      <c r="BT90" s="509"/>
      <c r="BU90" s="491"/>
      <c r="BV90" s="8"/>
      <c r="BW90" s="509"/>
      <c r="BX90" s="491"/>
      <c r="BY90" s="8"/>
      <c r="BZ90" s="509"/>
      <c r="CA90" s="752"/>
    </row>
    <row r="91" spans="1:79" ht="24.95" customHeight="1">
      <c r="A91" s="468">
        <f>IF('Student DATA Entry'!A88="","",'Student DATA Entry'!A88)</f>
        <v>85</v>
      </c>
      <c r="B91" s="459" t="str">
        <f>IF('Student DATA Entry'!B88="","",'Student DATA Entry'!B88)</f>
        <v/>
      </c>
      <c r="C91" s="459" t="str">
        <f>IF('Student DATA Entry'!C88="","",'Student DATA Entry'!C88)</f>
        <v/>
      </c>
      <c r="D91" s="459" t="str">
        <f>IF('Student DATA Entry'!D88="","",'Student DATA Entry'!D88)</f>
        <v/>
      </c>
      <c r="E91" s="459" t="str">
        <f>IF('Student DATA Entry'!E88="","",'Student DATA Entry'!E88)</f>
        <v/>
      </c>
      <c r="F91" s="460" t="str">
        <f>IF('Student DATA Entry'!K88="","",'Student DATA Entry'!K88)</f>
        <v/>
      </c>
      <c r="G91" s="461" t="str">
        <f>IF('Student DATA Entry'!G88="","",UPPER('Student DATA Entry'!G88))</f>
        <v/>
      </c>
      <c r="H91" s="461" t="str">
        <f>IF('Student DATA Entry'!H88="","",UPPER('Student DATA Entry'!H88))</f>
        <v/>
      </c>
      <c r="I91" s="462" t="str">
        <f>IF('Student DATA Entry'!I88="","",UPPER('Student DATA Entry'!I88))</f>
        <v/>
      </c>
      <c r="J91" s="463" t="str">
        <f>IF('Student DATA Entry'!L88="","",UPPER('Student DATA Entry'!L88))</f>
        <v/>
      </c>
      <c r="K91" s="469" t="str">
        <f>IF('Student DATA Entry'!J88="","",UPPER('Student DATA Entry'!J88))</f>
        <v/>
      </c>
      <c r="L91" s="491"/>
      <c r="M91" s="8"/>
      <c r="N91" s="8"/>
      <c r="O91" s="9"/>
      <c r="P91" s="492"/>
      <c r="Q91" s="491"/>
      <c r="R91" s="8"/>
      <c r="S91" s="8"/>
      <c r="T91" s="9"/>
      <c r="U91" s="492"/>
      <c r="V91" s="502"/>
      <c r="W91" s="7"/>
      <c r="X91" s="8"/>
      <c r="Y91" s="8"/>
      <c r="Z91" s="9"/>
      <c r="AA91" s="492"/>
      <c r="AB91" s="491"/>
      <c r="AC91" s="8"/>
      <c r="AD91" s="8"/>
      <c r="AE91" s="9"/>
      <c r="AF91" s="492"/>
      <c r="AG91" s="491"/>
      <c r="AH91" s="8"/>
      <c r="AI91" s="8"/>
      <c r="AJ91" s="9"/>
      <c r="AK91" s="492"/>
      <c r="AL91" s="491"/>
      <c r="AM91" s="8"/>
      <c r="AN91" s="8"/>
      <c r="AO91" s="9"/>
      <c r="AP91" s="492"/>
      <c r="AQ91" s="506"/>
      <c r="AR91" s="491"/>
      <c r="AS91" s="8"/>
      <c r="AT91" s="8"/>
      <c r="AU91" s="9"/>
      <c r="AV91" s="9"/>
      <c r="AW91" s="17"/>
      <c r="AX91" s="492"/>
      <c r="AY91" s="491"/>
      <c r="AZ91" s="7"/>
      <c r="BA91" s="9"/>
      <c r="BB91" s="9"/>
      <c r="BC91" s="492"/>
      <c r="BD91" s="491"/>
      <c r="BE91" s="7"/>
      <c r="BF91" s="7"/>
      <c r="BG91" s="7"/>
      <c r="BH91" s="9"/>
      <c r="BI91" s="9"/>
      <c r="BJ91" s="492"/>
      <c r="BK91" s="491"/>
      <c r="BL91" s="7"/>
      <c r="BM91" s="7"/>
      <c r="BN91" s="7"/>
      <c r="BO91" s="7"/>
      <c r="BP91" s="7"/>
      <c r="BQ91" s="7"/>
      <c r="BR91" s="8"/>
      <c r="BS91" s="8"/>
      <c r="BT91" s="509"/>
      <c r="BU91" s="491"/>
      <c r="BV91" s="8"/>
      <c r="BW91" s="509"/>
      <c r="BX91" s="491"/>
      <c r="BY91" s="8"/>
      <c r="BZ91" s="509"/>
      <c r="CA91" s="752"/>
    </row>
    <row r="92" spans="1:79" ht="24.95" customHeight="1">
      <c r="A92" s="468">
        <f>IF('Student DATA Entry'!A89="","",'Student DATA Entry'!A89)</f>
        <v>86</v>
      </c>
      <c r="B92" s="459" t="str">
        <f>IF('Student DATA Entry'!B89="","",'Student DATA Entry'!B89)</f>
        <v/>
      </c>
      <c r="C92" s="459" t="str">
        <f>IF('Student DATA Entry'!C89="","",'Student DATA Entry'!C89)</f>
        <v/>
      </c>
      <c r="D92" s="459" t="str">
        <f>IF('Student DATA Entry'!D89="","",'Student DATA Entry'!D89)</f>
        <v/>
      </c>
      <c r="E92" s="459" t="str">
        <f>IF('Student DATA Entry'!E89="","",'Student DATA Entry'!E89)</f>
        <v/>
      </c>
      <c r="F92" s="460" t="str">
        <f>IF('Student DATA Entry'!K89="","",'Student DATA Entry'!K89)</f>
        <v/>
      </c>
      <c r="G92" s="461" t="str">
        <f>IF('Student DATA Entry'!G89="","",UPPER('Student DATA Entry'!G89))</f>
        <v/>
      </c>
      <c r="H92" s="461" t="str">
        <f>IF('Student DATA Entry'!H89="","",UPPER('Student DATA Entry'!H89))</f>
        <v/>
      </c>
      <c r="I92" s="462" t="str">
        <f>IF('Student DATA Entry'!I89="","",UPPER('Student DATA Entry'!I89))</f>
        <v/>
      </c>
      <c r="J92" s="463" t="str">
        <f>IF('Student DATA Entry'!L89="","",UPPER('Student DATA Entry'!L89))</f>
        <v/>
      </c>
      <c r="K92" s="469" t="str">
        <f>IF('Student DATA Entry'!J89="","",UPPER('Student DATA Entry'!J89))</f>
        <v/>
      </c>
      <c r="L92" s="491"/>
      <c r="M92" s="8"/>
      <c r="N92" s="8"/>
      <c r="O92" s="9"/>
      <c r="P92" s="492"/>
      <c r="Q92" s="491"/>
      <c r="R92" s="8"/>
      <c r="S92" s="8"/>
      <c r="T92" s="9"/>
      <c r="U92" s="492"/>
      <c r="V92" s="502"/>
      <c r="W92" s="7"/>
      <c r="X92" s="8"/>
      <c r="Y92" s="8"/>
      <c r="Z92" s="9"/>
      <c r="AA92" s="492"/>
      <c r="AB92" s="491"/>
      <c r="AC92" s="8"/>
      <c r="AD92" s="8"/>
      <c r="AE92" s="9"/>
      <c r="AF92" s="492"/>
      <c r="AG92" s="491"/>
      <c r="AH92" s="8"/>
      <c r="AI92" s="8"/>
      <c r="AJ92" s="9"/>
      <c r="AK92" s="492"/>
      <c r="AL92" s="491"/>
      <c r="AM92" s="8"/>
      <c r="AN92" s="8"/>
      <c r="AO92" s="9"/>
      <c r="AP92" s="492"/>
      <c r="AQ92" s="506"/>
      <c r="AR92" s="491"/>
      <c r="AS92" s="8"/>
      <c r="AT92" s="8"/>
      <c r="AU92" s="9"/>
      <c r="AV92" s="9"/>
      <c r="AW92" s="17"/>
      <c r="AX92" s="492"/>
      <c r="AY92" s="491"/>
      <c r="AZ92" s="7"/>
      <c r="BA92" s="9"/>
      <c r="BB92" s="9"/>
      <c r="BC92" s="492"/>
      <c r="BD92" s="491"/>
      <c r="BE92" s="7"/>
      <c r="BF92" s="7"/>
      <c r="BG92" s="7"/>
      <c r="BH92" s="9"/>
      <c r="BI92" s="9"/>
      <c r="BJ92" s="492"/>
      <c r="BK92" s="491"/>
      <c r="BL92" s="7"/>
      <c r="BM92" s="7"/>
      <c r="BN92" s="7"/>
      <c r="BO92" s="7"/>
      <c r="BP92" s="7"/>
      <c r="BQ92" s="7"/>
      <c r="BR92" s="8"/>
      <c r="BS92" s="8"/>
      <c r="BT92" s="509"/>
      <c r="BU92" s="491"/>
      <c r="BV92" s="8"/>
      <c r="BW92" s="509"/>
      <c r="BX92" s="491"/>
      <c r="BY92" s="8"/>
      <c r="BZ92" s="509"/>
      <c r="CA92" s="752"/>
    </row>
    <row r="93" spans="1:79" ht="24.95" customHeight="1">
      <c r="A93" s="468">
        <f>IF('Student DATA Entry'!A90="","",'Student DATA Entry'!A90)</f>
        <v>87</v>
      </c>
      <c r="B93" s="459" t="str">
        <f>IF('Student DATA Entry'!B90="","",'Student DATA Entry'!B90)</f>
        <v/>
      </c>
      <c r="C93" s="459" t="str">
        <f>IF('Student DATA Entry'!C90="","",'Student DATA Entry'!C90)</f>
        <v/>
      </c>
      <c r="D93" s="459" t="str">
        <f>IF('Student DATA Entry'!D90="","",'Student DATA Entry'!D90)</f>
        <v/>
      </c>
      <c r="E93" s="459" t="str">
        <f>IF('Student DATA Entry'!E90="","",'Student DATA Entry'!E90)</f>
        <v/>
      </c>
      <c r="F93" s="460" t="str">
        <f>IF('Student DATA Entry'!K90="","",'Student DATA Entry'!K90)</f>
        <v/>
      </c>
      <c r="G93" s="461" t="str">
        <f>IF('Student DATA Entry'!G90="","",UPPER('Student DATA Entry'!G90))</f>
        <v/>
      </c>
      <c r="H93" s="461" t="str">
        <f>IF('Student DATA Entry'!H90="","",UPPER('Student DATA Entry'!H90))</f>
        <v/>
      </c>
      <c r="I93" s="462" t="str">
        <f>IF('Student DATA Entry'!I90="","",UPPER('Student DATA Entry'!I90))</f>
        <v/>
      </c>
      <c r="J93" s="463" t="str">
        <f>IF('Student DATA Entry'!L90="","",UPPER('Student DATA Entry'!L90))</f>
        <v/>
      </c>
      <c r="K93" s="469" t="str">
        <f>IF('Student DATA Entry'!J90="","",UPPER('Student DATA Entry'!J90))</f>
        <v/>
      </c>
      <c r="L93" s="491"/>
      <c r="M93" s="8"/>
      <c r="N93" s="8"/>
      <c r="O93" s="9"/>
      <c r="P93" s="492"/>
      <c r="Q93" s="491"/>
      <c r="R93" s="8"/>
      <c r="S93" s="8"/>
      <c r="T93" s="9"/>
      <c r="U93" s="492"/>
      <c r="V93" s="502"/>
      <c r="W93" s="7"/>
      <c r="X93" s="8"/>
      <c r="Y93" s="8"/>
      <c r="Z93" s="9"/>
      <c r="AA93" s="492"/>
      <c r="AB93" s="491"/>
      <c r="AC93" s="8"/>
      <c r="AD93" s="8"/>
      <c r="AE93" s="9"/>
      <c r="AF93" s="492"/>
      <c r="AG93" s="491"/>
      <c r="AH93" s="8"/>
      <c r="AI93" s="8"/>
      <c r="AJ93" s="9"/>
      <c r="AK93" s="492"/>
      <c r="AL93" s="491"/>
      <c r="AM93" s="8"/>
      <c r="AN93" s="8"/>
      <c r="AO93" s="9"/>
      <c r="AP93" s="492"/>
      <c r="AQ93" s="506"/>
      <c r="AR93" s="491"/>
      <c r="AS93" s="8"/>
      <c r="AT93" s="8"/>
      <c r="AU93" s="9"/>
      <c r="AV93" s="9"/>
      <c r="AW93" s="17"/>
      <c r="AX93" s="492"/>
      <c r="AY93" s="491"/>
      <c r="AZ93" s="7"/>
      <c r="BA93" s="9"/>
      <c r="BB93" s="9"/>
      <c r="BC93" s="492"/>
      <c r="BD93" s="491"/>
      <c r="BE93" s="7"/>
      <c r="BF93" s="7"/>
      <c r="BG93" s="7"/>
      <c r="BH93" s="9"/>
      <c r="BI93" s="9"/>
      <c r="BJ93" s="492"/>
      <c r="BK93" s="491"/>
      <c r="BL93" s="7"/>
      <c r="BM93" s="7"/>
      <c r="BN93" s="7"/>
      <c r="BO93" s="7"/>
      <c r="BP93" s="7"/>
      <c r="BQ93" s="7"/>
      <c r="BR93" s="8"/>
      <c r="BS93" s="8"/>
      <c r="BT93" s="509"/>
      <c r="BU93" s="491"/>
      <c r="BV93" s="8"/>
      <c r="BW93" s="509"/>
      <c r="BX93" s="491"/>
      <c r="BY93" s="8"/>
      <c r="BZ93" s="509"/>
      <c r="CA93" s="752"/>
    </row>
    <row r="94" spans="1:79" ht="24.95" customHeight="1">
      <c r="A94" s="468">
        <f>IF('Student DATA Entry'!A91="","",'Student DATA Entry'!A91)</f>
        <v>88</v>
      </c>
      <c r="B94" s="459" t="str">
        <f>IF('Student DATA Entry'!B91="","",'Student DATA Entry'!B91)</f>
        <v/>
      </c>
      <c r="C94" s="459" t="str">
        <f>IF('Student DATA Entry'!C91="","",'Student DATA Entry'!C91)</f>
        <v/>
      </c>
      <c r="D94" s="459" t="str">
        <f>IF('Student DATA Entry'!D91="","",'Student DATA Entry'!D91)</f>
        <v/>
      </c>
      <c r="E94" s="459" t="str">
        <f>IF('Student DATA Entry'!E91="","",'Student DATA Entry'!E91)</f>
        <v/>
      </c>
      <c r="F94" s="460" t="str">
        <f>IF('Student DATA Entry'!K91="","",'Student DATA Entry'!K91)</f>
        <v/>
      </c>
      <c r="G94" s="461" t="str">
        <f>IF('Student DATA Entry'!G91="","",UPPER('Student DATA Entry'!G91))</f>
        <v/>
      </c>
      <c r="H94" s="461" t="str">
        <f>IF('Student DATA Entry'!H91="","",UPPER('Student DATA Entry'!H91))</f>
        <v/>
      </c>
      <c r="I94" s="462" t="str">
        <f>IF('Student DATA Entry'!I91="","",UPPER('Student DATA Entry'!I91))</f>
        <v/>
      </c>
      <c r="J94" s="463" t="str">
        <f>IF('Student DATA Entry'!L91="","",UPPER('Student DATA Entry'!L91))</f>
        <v/>
      </c>
      <c r="K94" s="469" t="str">
        <f>IF('Student DATA Entry'!J91="","",UPPER('Student DATA Entry'!J91))</f>
        <v/>
      </c>
      <c r="L94" s="491"/>
      <c r="M94" s="8"/>
      <c r="N94" s="8"/>
      <c r="O94" s="9"/>
      <c r="P94" s="492"/>
      <c r="Q94" s="491"/>
      <c r="R94" s="8"/>
      <c r="S94" s="8"/>
      <c r="T94" s="9"/>
      <c r="U94" s="492"/>
      <c r="V94" s="502"/>
      <c r="W94" s="7"/>
      <c r="X94" s="8"/>
      <c r="Y94" s="8"/>
      <c r="Z94" s="9"/>
      <c r="AA94" s="492"/>
      <c r="AB94" s="491"/>
      <c r="AC94" s="8"/>
      <c r="AD94" s="8"/>
      <c r="AE94" s="9"/>
      <c r="AF94" s="492"/>
      <c r="AG94" s="491"/>
      <c r="AH94" s="8"/>
      <c r="AI94" s="8"/>
      <c r="AJ94" s="9"/>
      <c r="AK94" s="492"/>
      <c r="AL94" s="491"/>
      <c r="AM94" s="8"/>
      <c r="AN94" s="8"/>
      <c r="AO94" s="9"/>
      <c r="AP94" s="492"/>
      <c r="AQ94" s="506"/>
      <c r="AR94" s="491"/>
      <c r="AS94" s="8"/>
      <c r="AT94" s="8"/>
      <c r="AU94" s="9"/>
      <c r="AV94" s="9"/>
      <c r="AW94" s="17"/>
      <c r="AX94" s="492"/>
      <c r="AY94" s="491"/>
      <c r="AZ94" s="7"/>
      <c r="BA94" s="9"/>
      <c r="BB94" s="9"/>
      <c r="BC94" s="492"/>
      <c r="BD94" s="491"/>
      <c r="BE94" s="7"/>
      <c r="BF94" s="7"/>
      <c r="BG94" s="7"/>
      <c r="BH94" s="9"/>
      <c r="BI94" s="9"/>
      <c r="BJ94" s="492"/>
      <c r="BK94" s="491"/>
      <c r="BL94" s="7"/>
      <c r="BM94" s="7"/>
      <c r="BN94" s="7"/>
      <c r="BO94" s="7"/>
      <c r="BP94" s="7"/>
      <c r="BQ94" s="7"/>
      <c r="BR94" s="8"/>
      <c r="BS94" s="8"/>
      <c r="BT94" s="509"/>
      <c r="BU94" s="491"/>
      <c r="BV94" s="8"/>
      <c r="BW94" s="509"/>
      <c r="BX94" s="491"/>
      <c r="BY94" s="8"/>
      <c r="BZ94" s="509"/>
      <c r="CA94" s="752"/>
    </row>
    <row r="95" spans="1:79" ht="24.95" customHeight="1">
      <c r="A95" s="468">
        <f>IF('Student DATA Entry'!A92="","",'Student DATA Entry'!A92)</f>
        <v>89</v>
      </c>
      <c r="B95" s="459" t="str">
        <f>IF('Student DATA Entry'!B92="","",'Student DATA Entry'!B92)</f>
        <v/>
      </c>
      <c r="C95" s="459" t="str">
        <f>IF('Student DATA Entry'!C92="","",'Student DATA Entry'!C92)</f>
        <v/>
      </c>
      <c r="D95" s="459" t="str">
        <f>IF('Student DATA Entry'!D92="","",'Student DATA Entry'!D92)</f>
        <v/>
      </c>
      <c r="E95" s="459" t="str">
        <f>IF('Student DATA Entry'!E92="","",'Student DATA Entry'!E92)</f>
        <v/>
      </c>
      <c r="F95" s="460" t="str">
        <f>IF('Student DATA Entry'!K92="","",'Student DATA Entry'!K92)</f>
        <v/>
      </c>
      <c r="G95" s="461" t="str">
        <f>IF('Student DATA Entry'!G92="","",UPPER('Student DATA Entry'!G92))</f>
        <v/>
      </c>
      <c r="H95" s="461" t="str">
        <f>IF('Student DATA Entry'!H92="","",UPPER('Student DATA Entry'!H92))</f>
        <v/>
      </c>
      <c r="I95" s="462" t="str">
        <f>IF('Student DATA Entry'!I92="","",UPPER('Student DATA Entry'!I92))</f>
        <v/>
      </c>
      <c r="J95" s="463" t="str">
        <f>IF('Student DATA Entry'!L92="","",UPPER('Student DATA Entry'!L92))</f>
        <v/>
      </c>
      <c r="K95" s="469" t="str">
        <f>IF('Student DATA Entry'!J92="","",UPPER('Student DATA Entry'!J92))</f>
        <v/>
      </c>
      <c r="L95" s="491"/>
      <c r="M95" s="8"/>
      <c r="N95" s="8"/>
      <c r="O95" s="9"/>
      <c r="P95" s="492"/>
      <c r="Q95" s="491"/>
      <c r="R95" s="8"/>
      <c r="S95" s="8"/>
      <c r="T95" s="9"/>
      <c r="U95" s="492"/>
      <c r="V95" s="502"/>
      <c r="W95" s="7"/>
      <c r="X95" s="8"/>
      <c r="Y95" s="8"/>
      <c r="Z95" s="9"/>
      <c r="AA95" s="492"/>
      <c r="AB95" s="491"/>
      <c r="AC95" s="8"/>
      <c r="AD95" s="8"/>
      <c r="AE95" s="9"/>
      <c r="AF95" s="492"/>
      <c r="AG95" s="491"/>
      <c r="AH95" s="8"/>
      <c r="AI95" s="8"/>
      <c r="AJ95" s="9"/>
      <c r="AK95" s="492"/>
      <c r="AL95" s="491"/>
      <c r="AM95" s="8"/>
      <c r="AN95" s="8"/>
      <c r="AO95" s="9"/>
      <c r="AP95" s="492"/>
      <c r="AQ95" s="506"/>
      <c r="AR95" s="491"/>
      <c r="AS95" s="8"/>
      <c r="AT95" s="8"/>
      <c r="AU95" s="9"/>
      <c r="AV95" s="9"/>
      <c r="AW95" s="17"/>
      <c r="AX95" s="492"/>
      <c r="AY95" s="491"/>
      <c r="AZ95" s="7"/>
      <c r="BA95" s="9"/>
      <c r="BB95" s="9"/>
      <c r="BC95" s="492"/>
      <c r="BD95" s="491"/>
      <c r="BE95" s="7"/>
      <c r="BF95" s="7"/>
      <c r="BG95" s="7"/>
      <c r="BH95" s="9"/>
      <c r="BI95" s="9"/>
      <c r="BJ95" s="492"/>
      <c r="BK95" s="491"/>
      <c r="BL95" s="7"/>
      <c r="BM95" s="7"/>
      <c r="BN95" s="7"/>
      <c r="BO95" s="7"/>
      <c r="BP95" s="7"/>
      <c r="BQ95" s="7"/>
      <c r="BR95" s="8"/>
      <c r="BS95" s="8"/>
      <c r="BT95" s="509"/>
      <c r="BU95" s="491"/>
      <c r="BV95" s="8"/>
      <c r="BW95" s="509"/>
      <c r="BX95" s="491"/>
      <c r="BY95" s="8"/>
      <c r="BZ95" s="509"/>
      <c r="CA95" s="752"/>
    </row>
    <row r="96" spans="1:79" ht="24.95" customHeight="1">
      <c r="A96" s="468">
        <f>IF('Student DATA Entry'!A93="","",'Student DATA Entry'!A93)</f>
        <v>90</v>
      </c>
      <c r="B96" s="459" t="str">
        <f>IF('Student DATA Entry'!B93="","",'Student DATA Entry'!B93)</f>
        <v/>
      </c>
      <c r="C96" s="459" t="str">
        <f>IF('Student DATA Entry'!C93="","",'Student DATA Entry'!C93)</f>
        <v/>
      </c>
      <c r="D96" s="459" t="str">
        <f>IF('Student DATA Entry'!D93="","",'Student DATA Entry'!D93)</f>
        <v/>
      </c>
      <c r="E96" s="459" t="str">
        <f>IF('Student DATA Entry'!E93="","",'Student DATA Entry'!E93)</f>
        <v/>
      </c>
      <c r="F96" s="460" t="str">
        <f>IF('Student DATA Entry'!K93="","",'Student DATA Entry'!K93)</f>
        <v/>
      </c>
      <c r="G96" s="461" t="str">
        <f>IF('Student DATA Entry'!G93="","",UPPER('Student DATA Entry'!G93))</f>
        <v/>
      </c>
      <c r="H96" s="461" t="str">
        <f>IF('Student DATA Entry'!H93="","",UPPER('Student DATA Entry'!H93))</f>
        <v/>
      </c>
      <c r="I96" s="462" t="str">
        <f>IF('Student DATA Entry'!I93="","",UPPER('Student DATA Entry'!I93))</f>
        <v/>
      </c>
      <c r="J96" s="463" t="str">
        <f>IF('Student DATA Entry'!L93="","",UPPER('Student DATA Entry'!L93))</f>
        <v/>
      </c>
      <c r="K96" s="469" t="str">
        <f>IF('Student DATA Entry'!J93="","",UPPER('Student DATA Entry'!J93))</f>
        <v/>
      </c>
      <c r="L96" s="491"/>
      <c r="M96" s="8"/>
      <c r="N96" s="8"/>
      <c r="O96" s="9"/>
      <c r="P96" s="492"/>
      <c r="Q96" s="491"/>
      <c r="R96" s="8"/>
      <c r="S96" s="8"/>
      <c r="T96" s="9"/>
      <c r="U96" s="492"/>
      <c r="V96" s="502"/>
      <c r="W96" s="7"/>
      <c r="X96" s="8"/>
      <c r="Y96" s="8"/>
      <c r="Z96" s="9"/>
      <c r="AA96" s="492"/>
      <c r="AB96" s="491"/>
      <c r="AC96" s="8"/>
      <c r="AD96" s="8"/>
      <c r="AE96" s="9"/>
      <c r="AF96" s="492"/>
      <c r="AG96" s="491"/>
      <c r="AH96" s="8"/>
      <c r="AI96" s="8"/>
      <c r="AJ96" s="9"/>
      <c r="AK96" s="492"/>
      <c r="AL96" s="491"/>
      <c r="AM96" s="8"/>
      <c r="AN96" s="8"/>
      <c r="AO96" s="9"/>
      <c r="AP96" s="492"/>
      <c r="AQ96" s="506"/>
      <c r="AR96" s="491"/>
      <c r="AS96" s="8"/>
      <c r="AT96" s="8"/>
      <c r="AU96" s="9"/>
      <c r="AV96" s="9"/>
      <c r="AW96" s="17"/>
      <c r="AX96" s="492"/>
      <c r="AY96" s="491"/>
      <c r="AZ96" s="7"/>
      <c r="BA96" s="9"/>
      <c r="BB96" s="9"/>
      <c r="BC96" s="492"/>
      <c r="BD96" s="491"/>
      <c r="BE96" s="7"/>
      <c r="BF96" s="7"/>
      <c r="BG96" s="7"/>
      <c r="BH96" s="9"/>
      <c r="BI96" s="9"/>
      <c r="BJ96" s="492"/>
      <c r="BK96" s="491"/>
      <c r="BL96" s="7"/>
      <c r="BM96" s="7"/>
      <c r="BN96" s="7"/>
      <c r="BO96" s="7"/>
      <c r="BP96" s="7"/>
      <c r="BQ96" s="7"/>
      <c r="BR96" s="8"/>
      <c r="BS96" s="8"/>
      <c r="BT96" s="509"/>
      <c r="BU96" s="491"/>
      <c r="BV96" s="8"/>
      <c r="BW96" s="509"/>
      <c r="BX96" s="491"/>
      <c r="BY96" s="8"/>
      <c r="BZ96" s="509"/>
      <c r="CA96" s="752"/>
    </row>
    <row r="97" spans="1:79" ht="24.95" customHeight="1">
      <c r="A97" s="468">
        <f>IF('Student DATA Entry'!A94="","",'Student DATA Entry'!A94)</f>
        <v>91</v>
      </c>
      <c r="B97" s="459" t="str">
        <f>IF('Student DATA Entry'!B94="","",'Student DATA Entry'!B94)</f>
        <v/>
      </c>
      <c r="C97" s="459" t="str">
        <f>IF('Student DATA Entry'!C94="","",'Student DATA Entry'!C94)</f>
        <v/>
      </c>
      <c r="D97" s="459" t="str">
        <f>IF('Student DATA Entry'!D94="","",'Student DATA Entry'!D94)</f>
        <v/>
      </c>
      <c r="E97" s="459" t="str">
        <f>IF('Student DATA Entry'!E94="","",'Student DATA Entry'!E94)</f>
        <v/>
      </c>
      <c r="F97" s="460" t="str">
        <f>IF('Student DATA Entry'!K94="","",'Student DATA Entry'!K94)</f>
        <v/>
      </c>
      <c r="G97" s="461" t="str">
        <f>IF('Student DATA Entry'!G94="","",UPPER('Student DATA Entry'!G94))</f>
        <v/>
      </c>
      <c r="H97" s="461" t="str">
        <f>IF('Student DATA Entry'!H94="","",UPPER('Student DATA Entry'!H94))</f>
        <v/>
      </c>
      <c r="I97" s="462" t="str">
        <f>IF('Student DATA Entry'!I94="","",UPPER('Student DATA Entry'!I94))</f>
        <v/>
      </c>
      <c r="J97" s="463" t="str">
        <f>IF('Student DATA Entry'!L94="","",UPPER('Student DATA Entry'!L94))</f>
        <v/>
      </c>
      <c r="K97" s="469" t="str">
        <f>IF('Student DATA Entry'!J94="","",UPPER('Student DATA Entry'!J94))</f>
        <v/>
      </c>
      <c r="L97" s="491"/>
      <c r="M97" s="8"/>
      <c r="N97" s="8"/>
      <c r="O97" s="9"/>
      <c r="P97" s="492"/>
      <c r="Q97" s="491"/>
      <c r="R97" s="8"/>
      <c r="S97" s="8"/>
      <c r="T97" s="9"/>
      <c r="U97" s="492"/>
      <c r="V97" s="502"/>
      <c r="W97" s="7"/>
      <c r="X97" s="8"/>
      <c r="Y97" s="8"/>
      <c r="Z97" s="9"/>
      <c r="AA97" s="492"/>
      <c r="AB97" s="491"/>
      <c r="AC97" s="8"/>
      <c r="AD97" s="8"/>
      <c r="AE97" s="9"/>
      <c r="AF97" s="492"/>
      <c r="AG97" s="491"/>
      <c r="AH97" s="8"/>
      <c r="AI97" s="8"/>
      <c r="AJ97" s="9"/>
      <c r="AK97" s="492"/>
      <c r="AL97" s="491"/>
      <c r="AM97" s="8"/>
      <c r="AN97" s="8"/>
      <c r="AO97" s="9"/>
      <c r="AP97" s="492"/>
      <c r="AQ97" s="506"/>
      <c r="AR97" s="491"/>
      <c r="AS97" s="8"/>
      <c r="AT97" s="8"/>
      <c r="AU97" s="9"/>
      <c r="AV97" s="9"/>
      <c r="AW97" s="17"/>
      <c r="AX97" s="492"/>
      <c r="AY97" s="491"/>
      <c r="AZ97" s="7"/>
      <c r="BA97" s="9"/>
      <c r="BB97" s="9"/>
      <c r="BC97" s="492"/>
      <c r="BD97" s="491"/>
      <c r="BE97" s="7"/>
      <c r="BF97" s="7"/>
      <c r="BG97" s="7"/>
      <c r="BH97" s="9"/>
      <c r="BI97" s="9"/>
      <c r="BJ97" s="492"/>
      <c r="BK97" s="491"/>
      <c r="BL97" s="7"/>
      <c r="BM97" s="7"/>
      <c r="BN97" s="7"/>
      <c r="BO97" s="7"/>
      <c r="BP97" s="7"/>
      <c r="BQ97" s="7"/>
      <c r="BR97" s="8"/>
      <c r="BS97" s="8"/>
      <c r="BT97" s="509"/>
      <c r="BU97" s="491"/>
      <c r="BV97" s="8"/>
      <c r="BW97" s="509"/>
      <c r="BX97" s="491"/>
      <c r="BY97" s="8"/>
      <c r="BZ97" s="509"/>
      <c r="CA97" s="752"/>
    </row>
    <row r="98" spans="1:79" ht="24.95" customHeight="1">
      <c r="A98" s="468">
        <f>IF('Student DATA Entry'!A95="","",'Student DATA Entry'!A95)</f>
        <v>92</v>
      </c>
      <c r="B98" s="459" t="str">
        <f>IF('Student DATA Entry'!B95="","",'Student DATA Entry'!B95)</f>
        <v/>
      </c>
      <c r="C98" s="459" t="str">
        <f>IF('Student DATA Entry'!C95="","",'Student DATA Entry'!C95)</f>
        <v/>
      </c>
      <c r="D98" s="459" t="str">
        <f>IF('Student DATA Entry'!D95="","",'Student DATA Entry'!D95)</f>
        <v/>
      </c>
      <c r="E98" s="459" t="str">
        <f>IF('Student DATA Entry'!E95="","",'Student DATA Entry'!E95)</f>
        <v/>
      </c>
      <c r="F98" s="460" t="str">
        <f>IF('Student DATA Entry'!K95="","",'Student DATA Entry'!K95)</f>
        <v/>
      </c>
      <c r="G98" s="461" t="str">
        <f>IF('Student DATA Entry'!G95="","",UPPER('Student DATA Entry'!G95))</f>
        <v/>
      </c>
      <c r="H98" s="461" t="str">
        <f>IF('Student DATA Entry'!H95="","",UPPER('Student DATA Entry'!H95))</f>
        <v/>
      </c>
      <c r="I98" s="462" t="str">
        <f>IF('Student DATA Entry'!I95="","",UPPER('Student DATA Entry'!I95))</f>
        <v/>
      </c>
      <c r="J98" s="463" t="str">
        <f>IF('Student DATA Entry'!L95="","",UPPER('Student DATA Entry'!L95))</f>
        <v/>
      </c>
      <c r="K98" s="469" t="str">
        <f>IF('Student DATA Entry'!J95="","",UPPER('Student DATA Entry'!J95))</f>
        <v/>
      </c>
      <c r="L98" s="491"/>
      <c r="M98" s="8"/>
      <c r="N98" s="8"/>
      <c r="O98" s="9"/>
      <c r="P98" s="492"/>
      <c r="Q98" s="491"/>
      <c r="R98" s="8"/>
      <c r="S98" s="8"/>
      <c r="T98" s="9"/>
      <c r="U98" s="492"/>
      <c r="V98" s="502"/>
      <c r="W98" s="7"/>
      <c r="X98" s="8"/>
      <c r="Y98" s="8"/>
      <c r="Z98" s="9"/>
      <c r="AA98" s="492"/>
      <c r="AB98" s="491"/>
      <c r="AC98" s="8"/>
      <c r="AD98" s="8"/>
      <c r="AE98" s="9"/>
      <c r="AF98" s="492"/>
      <c r="AG98" s="491"/>
      <c r="AH98" s="8"/>
      <c r="AI98" s="8"/>
      <c r="AJ98" s="9"/>
      <c r="AK98" s="492"/>
      <c r="AL98" s="491"/>
      <c r="AM98" s="8"/>
      <c r="AN98" s="8"/>
      <c r="AO98" s="9"/>
      <c r="AP98" s="492"/>
      <c r="AQ98" s="506"/>
      <c r="AR98" s="491"/>
      <c r="AS98" s="8"/>
      <c r="AT98" s="8"/>
      <c r="AU98" s="9"/>
      <c r="AV98" s="9"/>
      <c r="AW98" s="17"/>
      <c r="AX98" s="492"/>
      <c r="AY98" s="491"/>
      <c r="AZ98" s="7"/>
      <c r="BA98" s="9"/>
      <c r="BB98" s="9"/>
      <c r="BC98" s="492"/>
      <c r="BD98" s="491"/>
      <c r="BE98" s="7"/>
      <c r="BF98" s="7"/>
      <c r="BG98" s="7"/>
      <c r="BH98" s="9"/>
      <c r="BI98" s="9"/>
      <c r="BJ98" s="492"/>
      <c r="BK98" s="491"/>
      <c r="BL98" s="7"/>
      <c r="BM98" s="7"/>
      <c r="BN98" s="7"/>
      <c r="BO98" s="7"/>
      <c r="BP98" s="7"/>
      <c r="BQ98" s="7"/>
      <c r="BR98" s="8"/>
      <c r="BS98" s="8"/>
      <c r="BT98" s="509"/>
      <c r="BU98" s="491"/>
      <c r="BV98" s="8"/>
      <c r="BW98" s="509"/>
      <c r="BX98" s="491"/>
      <c r="BY98" s="8"/>
      <c r="BZ98" s="509"/>
      <c r="CA98" s="752"/>
    </row>
    <row r="99" spans="1:79" ht="24.95" customHeight="1">
      <c r="A99" s="468">
        <f>IF('Student DATA Entry'!A96="","",'Student DATA Entry'!A96)</f>
        <v>93</v>
      </c>
      <c r="B99" s="459" t="str">
        <f>IF('Student DATA Entry'!B96="","",'Student DATA Entry'!B96)</f>
        <v/>
      </c>
      <c r="C99" s="459" t="str">
        <f>IF('Student DATA Entry'!C96="","",'Student DATA Entry'!C96)</f>
        <v/>
      </c>
      <c r="D99" s="459" t="str">
        <f>IF('Student DATA Entry'!D96="","",'Student DATA Entry'!D96)</f>
        <v/>
      </c>
      <c r="E99" s="459" t="str">
        <f>IF('Student DATA Entry'!E96="","",'Student DATA Entry'!E96)</f>
        <v/>
      </c>
      <c r="F99" s="460" t="str">
        <f>IF('Student DATA Entry'!K96="","",'Student DATA Entry'!K96)</f>
        <v/>
      </c>
      <c r="G99" s="461" t="str">
        <f>IF('Student DATA Entry'!G96="","",UPPER('Student DATA Entry'!G96))</f>
        <v/>
      </c>
      <c r="H99" s="461" t="str">
        <f>IF('Student DATA Entry'!H96="","",UPPER('Student DATA Entry'!H96))</f>
        <v/>
      </c>
      <c r="I99" s="462" t="str">
        <f>IF('Student DATA Entry'!I96="","",UPPER('Student DATA Entry'!I96))</f>
        <v/>
      </c>
      <c r="J99" s="463" t="str">
        <f>IF('Student DATA Entry'!L96="","",UPPER('Student DATA Entry'!L96))</f>
        <v/>
      </c>
      <c r="K99" s="469" t="str">
        <f>IF('Student DATA Entry'!J96="","",UPPER('Student DATA Entry'!J96))</f>
        <v/>
      </c>
      <c r="L99" s="491"/>
      <c r="M99" s="8"/>
      <c r="N99" s="8"/>
      <c r="O99" s="9"/>
      <c r="P99" s="492"/>
      <c r="Q99" s="491"/>
      <c r="R99" s="8"/>
      <c r="S99" s="8"/>
      <c r="T99" s="9"/>
      <c r="U99" s="492"/>
      <c r="V99" s="502"/>
      <c r="W99" s="7"/>
      <c r="X99" s="8"/>
      <c r="Y99" s="8"/>
      <c r="Z99" s="9"/>
      <c r="AA99" s="492"/>
      <c r="AB99" s="491"/>
      <c r="AC99" s="8"/>
      <c r="AD99" s="8"/>
      <c r="AE99" s="9"/>
      <c r="AF99" s="492"/>
      <c r="AG99" s="491"/>
      <c r="AH99" s="8"/>
      <c r="AI99" s="8"/>
      <c r="AJ99" s="9"/>
      <c r="AK99" s="492"/>
      <c r="AL99" s="491"/>
      <c r="AM99" s="8"/>
      <c r="AN99" s="8"/>
      <c r="AO99" s="9"/>
      <c r="AP99" s="492"/>
      <c r="AQ99" s="506"/>
      <c r="AR99" s="491"/>
      <c r="AS99" s="8"/>
      <c r="AT99" s="8"/>
      <c r="AU99" s="9"/>
      <c r="AV99" s="9"/>
      <c r="AW99" s="17"/>
      <c r="AX99" s="492"/>
      <c r="AY99" s="491"/>
      <c r="AZ99" s="7"/>
      <c r="BA99" s="9"/>
      <c r="BB99" s="9"/>
      <c r="BC99" s="492"/>
      <c r="BD99" s="491"/>
      <c r="BE99" s="7"/>
      <c r="BF99" s="7"/>
      <c r="BG99" s="7"/>
      <c r="BH99" s="9"/>
      <c r="BI99" s="9"/>
      <c r="BJ99" s="492"/>
      <c r="BK99" s="491"/>
      <c r="BL99" s="7"/>
      <c r="BM99" s="7"/>
      <c r="BN99" s="7"/>
      <c r="BO99" s="7"/>
      <c r="BP99" s="7"/>
      <c r="BQ99" s="7"/>
      <c r="BR99" s="8"/>
      <c r="BS99" s="8"/>
      <c r="BT99" s="509"/>
      <c r="BU99" s="491"/>
      <c r="BV99" s="8"/>
      <c r="BW99" s="509"/>
      <c r="BX99" s="491"/>
      <c r="BY99" s="8"/>
      <c r="BZ99" s="509"/>
      <c r="CA99" s="752"/>
    </row>
    <row r="100" spans="1:79" ht="24.95" customHeight="1">
      <c r="A100" s="468">
        <f>IF('Student DATA Entry'!A97="","",'Student DATA Entry'!A97)</f>
        <v>94</v>
      </c>
      <c r="B100" s="459" t="str">
        <f>IF('Student DATA Entry'!B97="","",'Student DATA Entry'!B97)</f>
        <v/>
      </c>
      <c r="C100" s="459" t="str">
        <f>IF('Student DATA Entry'!C97="","",'Student DATA Entry'!C97)</f>
        <v/>
      </c>
      <c r="D100" s="459" t="str">
        <f>IF('Student DATA Entry'!D97="","",'Student DATA Entry'!D97)</f>
        <v/>
      </c>
      <c r="E100" s="459" t="str">
        <f>IF('Student DATA Entry'!E97="","",'Student DATA Entry'!E97)</f>
        <v/>
      </c>
      <c r="F100" s="460" t="str">
        <f>IF('Student DATA Entry'!K97="","",'Student DATA Entry'!K97)</f>
        <v/>
      </c>
      <c r="G100" s="461" t="str">
        <f>IF('Student DATA Entry'!G97="","",UPPER('Student DATA Entry'!G97))</f>
        <v/>
      </c>
      <c r="H100" s="461" t="str">
        <f>IF('Student DATA Entry'!H97="","",UPPER('Student DATA Entry'!H97))</f>
        <v/>
      </c>
      <c r="I100" s="462" t="str">
        <f>IF('Student DATA Entry'!I97="","",UPPER('Student DATA Entry'!I97))</f>
        <v/>
      </c>
      <c r="J100" s="463" t="str">
        <f>IF('Student DATA Entry'!L97="","",UPPER('Student DATA Entry'!L97))</f>
        <v/>
      </c>
      <c r="K100" s="469" t="str">
        <f>IF('Student DATA Entry'!J97="","",UPPER('Student DATA Entry'!J97))</f>
        <v/>
      </c>
      <c r="L100" s="491"/>
      <c r="M100" s="8"/>
      <c r="N100" s="8"/>
      <c r="O100" s="9"/>
      <c r="P100" s="492"/>
      <c r="Q100" s="491"/>
      <c r="R100" s="8"/>
      <c r="S100" s="8"/>
      <c r="T100" s="9"/>
      <c r="U100" s="492"/>
      <c r="V100" s="502"/>
      <c r="W100" s="7"/>
      <c r="X100" s="8"/>
      <c r="Y100" s="8"/>
      <c r="Z100" s="9"/>
      <c r="AA100" s="492"/>
      <c r="AB100" s="491"/>
      <c r="AC100" s="8"/>
      <c r="AD100" s="8"/>
      <c r="AE100" s="9"/>
      <c r="AF100" s="492"/>
      <c r="AG100" s="491"/>
      <c r="AH100" s="8"/>
      <c r="AI100" s="8"/>
      <c r="AJ100" s="9"/>
      <c r="AK100" s="492"/>
      <c r="AL100" s="491"/>
      <c r="AM100" s="8"/>
      <c r="AN100" s="8"/>
      <c r="AO100" s="9"/>
      <c r="AP100" s="492"/>
      <c r="AQ100" s="506"/>
      <c r="AR100" s="491"/>
      <c r="AS100" s="8"/>
      <c r="AT100" s="8"/>
      <c r="AU100" s="9"/>
      <c r="AV100" s="9"/>
      <c r="AW100" s="17"/>
      <c r="AX100" s="492"/>
      <c r="AY100" s="491"/>
      <c r="AZ100" s="7"/>
      <c r="BA100" s="9"/>
      <c r="BB100" s="9"/>
      <c r="BC100" s="492"/>
      <c r="BD100" s="491"/>
      <c r="BE100" s="7"/>
      <c r="BF100" s="7"/>
      <c r="BG100" s="7"/>
      <c r="BH100" s="9"/>
      <c r="BI100" s="9"/>
      <c r="BJ100" s="492"/>
      <c r="BK100" s="491"/>
      <c r="BL100" s="7"/>
      <c r="BM100" s="7"/>
      <c r="BN100" s="7"/>
      <c r="BO100" s="7"/>
      <c r="BP100" s="7"/>
      <c r="BQ100" s="7"/>
      <c r="BR100" s="8"/>
      <c r="BS100" s="8"/>
      <c r="BT100" s="509"/>
      <c r="BU100" s="491"/>
      <c r="BV100" s="8"/>
      <c r="BW100" s="509"/>
      <c r="BX100" s="491"/>
      <c r="BY100" s="8"/>
      <c r="BZ100" s="509"/>
      <c r="CA100" s="752"/>
    </row>
    <row r="101" spans="1:79" ht="24.95" customHeight="1">
      <c r="A101" s="468">
        <f>IF('Student DATA Entry'!A98="","",'Student DATA Entry'!A98)</f>
        <v>95</v>
      </c>
      <c r="B101" s="459" t="str">
        <f>IF('Student DATA Entry'!B98="","",'Student DATA Entry'!B98)</f>
        <v/>
      </c>
      <c r="C101" s="459" t="str">
        <f>IF('Student DATA Entry'!C98="","",'Student DATA Entry'!C98)</f>
        <v/>
      </c>
      <c r="D101" s="459" t="str">
        <f>IF('Student DATA Entry'!D98="","",'Student DATA Entry'!D98)</f>
        <v/>
      </c>
      <c r="E101" s="459" t="str">
        <f>IF('Student DATA Entry'!E98="","",'Student DATA Entry'!E98)</f>
        <v/>
      </c>
      <c r="F101" s="460" t="str">
        <f>IF('Student DATA Entry'!K98="","",'Student DATA Entry'!K98)</f>
        <v/>
      </c>
      <c r="G101" s="461" t="str">
        <f>IF('Student DATA Entry'!G98="","",UPPER('Student DATA Entry'!G98))</f>
        <v/>
      </c>
      <c r="H101" s="461" t="str">
        <f>IF('Student DATA Entry'!H98="","",UPPER('Student DATA Entry'!H98))</f>
        <v/>
      </c>
      <c r="I101" s="462" t="str">
        <f>IF('Student DATA Entry'!I98="","",UPPER('Student DATA Entry'!I98))</f>
        <v/>
      </c>
      <c r="J101" s="463" t="str">
        <f>IF('Student DATA Entry'!L98="","",UPPER('Student DATA Entry'!L98))</f>
        <v/>
      </c>
      <c r="K101" s="469" t="str">
        <f>IF('Student DATA Entry'!J98="","",UPPER('Student DATA Entry'!J98))</f>
        <v/>
      </c>
      <c r="L101" s="491"/>
      <c r="M101" s="8"/>
      <c r="N101" s="8"/>
      <c r="O101" s="9"/>
      <c r="P101" s="492"/>
      <c r="Q101" s="491"/>
      <c r="R101" s="8"/>
      <c r="S101" s="8"/>
      <c r="T101" s="9"/>
      <c r="U101" s="492"/>
      <c r="V101" s="502"/>
      <c r="W101" s="7"/>
      <c r="X101" s="8"/>
      <c r="Y101" s="8"/>
      <c r="Z101" s="9"/>
      <c r="AA101" s="492"/>
      <c r="AB101" s="491"/>
      <c r="AC101" s="8"/>
      <c r="AD101" s="8"/>
      <c r="AE101" s="9"/>
      <c r="AF101" s="492"/>
      <c r="AG101" s="491"/>
      <c r="AH101" s="8"/>
      <c r="AI101" s="8"/>
      <c r="AJ101" s="9"/>
      <c r="AK101" s="492"/>
      <c r="AL101" s="491"/>
      <c r="AM101" s="8"/>
      <c r="AN101" s="8"/>
      <c r="AO101" s="9"/>
      <c r="AP101" s="492"/>
      <c r="AQ101" s="506"/>
      <c r="AR101" s="491"/>
      <c r="AS101" s="8"/>
      <c r="AT101" s="8"/>
      <c r="AU101" s="9"/>
      <c r="AV101" s="9"/>
      <c r="AW101" s="17"/>
      <c r="AX101" s="492"/>
      <c r="AY101" s="491"/>
      <c r="AZ101" s="7"/>
      <c r="BA101" s="9"/>
      <c r="BB101" s="9"/>
      <c r="BC101" s="492"/>
      <c r="BD101" s="491"/>
      <c r="BE101" s="7"/>
      <c r="BF101" s="7"/>
      <c r="BG101" s="7"/>
      <c r="BH101" s="9"/>
      <c r="BI101" s="9"/>
      <c r="BJ101" s="492"/>
      <c r="BK101" s="491"/>
      <c r="BL101" s="7"/>
      <c r="BM101" s="7"/>
      <c r="BN101" s="7"/>
      <c r="BO101" s="7"/>
      <c r="BP101" s="7"/>
      <c r="BQ101" s="7"/>
      <c r="BR101" s="8"/>
      <c r="BS101" s="8"/>
      <c r="BT101" s="509"/>
      <c r="BU101" s="491"/>
      <c r="BV101" s="8"/>
      <c r="BW101" s="509"/>
      <c r="BX101" s="491"/>
      <c r="BY101" s="8"/>
      <c r="BZ101" s="509"/>
      <c r="CA101" s="752"/>
    </row>
    <row r="102" spans="1:79" ht="24.95" customHeight="1">
      <c r="A102" s="468">
        <f>IF('Student DATA Entry'!A99="","",'Student DATA Entry'!A99)</f>
        <v>96</v>
      </c>
      <c r="B102" s="459" t="str">
        <f>IF('Student DATA Entry'!B99="","",'Student DATA Entry'!B99)</f>
        <v/>
      </c>
      <c r="C102" s="459" t="str">
        <f>IF('Student DATA Entry'!C99="","",'Student DATA Entry'!C99)</f>
        <v/>
      </c>
      <c r="D102" s="459" t="str">
        <f>IF('Student DATA Entry'!D99="","",'Student DATA Entry'!D99)</f>
        <v/>
      </c>
      <c r="E102" s="459" t="str">
        <f>IF('Student DATA Entry'!E99="","",'Student DATA Entry'!E99)</f>
        <v/>
      </c>
      <c r="F102" s="460" t="str">
        <f>IF('Student DATA Entry'!K99="","",'Student DATA Entry'!K99)</f>
        <v/>
      </c>
      <c r="G102" s="461" t="str">
        <f>IF('Student DATA Entry'!G99="","",UPPER('Student DATA Entry'!G99))</f>
        <v/>
      </c>
      <c r="H102" s="461" t="str">
        <f>IF('Student DATA Entry'!H99="","",UPPER('Student DATA Entry'!H99))</f>
        <v/>
      </c>
      <c r="I102" s="462" t="str">
        <f>IF('Student DATA Entry'!I99="","",UPPER('Student DATA Entry'!I99))</f>
        <v/>
      </c>
      <c r="J102" s="463" t="str">
        <f>IF('Student DATA Entry'!L99="","",UPPER('Student DATA Entry'!L99))</f>
        <v/>
      </c>
      <c r="K102" s="469" t="str">
        <f>IF('Student DATA Entry'!J99="","",UPPER('Student DATA Entry'!J99))</f>
        <v/>
      </c>
      <c r="L102" s="491"/>
      <c r="M102" s="8"/>
      <c r="N102" s="8"/>
      <c r="O102" s="9"/>
      <c r="P102" s="492"/>
      <c r="Q102" s="491"/>
      <c r="R102" s="8"/>
      <c r="S102" s="8"/>
      <c r="T102" s="9"/>
      <c r="U102" s="492"/>
      <c r="V102" s="502"/>
      <c r="W102" s="7"/>
      <c r="X102" s="8"/>
      <c r="Y102" s="8"/>
      <c r="Z102" s="9"/>
      <c r="AA102" s="492"/>
      <c r="AB102" s="491"/>
      <c r="AC102" s="8"/>
      <c r="AD102" s="8"/>
      <c r="AE102" s="9"/>
      <c r="AF102" s="492"/>
      <c r="AG102" s="491"/>
      <c r="AH102" s="8"/>
      <c r="AI102" s="8"/>
      <c r="AJ102" s="9"/>
      <c r="AK102" s="492"/>
      <c r="AL102" s="491"/>
      <c r="AM102" s="8"/>
      <c r="AN102" s="8"/>
      <c r="AO102" s="9"/>
      <c r="AP102" s="492"/>
      <c r="AQ102" s="506"/>
      <c r="AR102" s="491"/>
      <c r="AS102" s="8"/>
      <c r="AT102" s="8"/>
      <c r="AU102" s="9"/>
      <c r="AV102" s="9"/>
      <c r="AW102" s="17"/>
      <c r="AX102" s="492"/>
      <c r="AY102" s="491"/>
      <c r="AZ102" s="7"/>
      <c r="BA102" s="9"/>
      <c r="BB102" s="9"/>
      <c r="BC102" s="492"/>
      <c r="BD102" s="491"/>
      <c r="BE102" s="7"/>
      <c r="BF102" s="7"/>
      <c r="BG102" s="7"/>
      <c r="BH102" s="9"/>
      <c r="BI102" s="9"/>
      <c r="BJ102" s="492"/>
      <c r="BK102" s="491"/>
      <c r="BL102" s="7"/>
      <c r="BM102" s="7"/>
      <c r="BN102" s="7"/>
      <c r="BO102" s="7"/>
      <c r="BP102" s="7"/>
      <c r="BQ102" s="7"/>
      <c r="BR102" s="8"/>
      <c r="BS102" s="8"/>
      <c r="BT102" s="509"/>
      <c r="BU102" s="491"/>
      <c r="BV102" s="8"/>
      <c r="BW102" s="509"/>
      <c r="BX102" s="491"/>
      <c r="BY102" s="8"/>
      <c r="BZ102" s="509"/>
      <c r="CA102" s="752"/>
    </row>
    <row r="103" spans="1:79" ht="24.95" customHeight="1">
      <c r="A103" s="468">
        <f>IF('Student DATA Entry'!A100="","",'Student DATA Entry'!A100)</f>
        <v>97</v>
      </c>
      <c r="B103" s="459" t="str">
        <f>IF('Student DATA Entry'!B100="","",'Student DATA Entry'!B100)</f>
        <v/>
      </c>
      <c r="C103" s="459" t="str">
        <f>IF('Student DATA Entry'!C100="","",'Student DATA Entry'!C100)</f>
        <v/>
      </c>
      <c r="D103" s="459" t="str">
        <f>IF('Student DATA Entry'!D100="","",'Student DATA Entry'!D100)</f>
        <v/>
      </c>
      <c r="E103" s="459" t="str">
        <f>IF('Student DATA Entry'!E100="","",'Student DATA Entry'!E100)</f>
        <v/>
      </c>
      <c r="F103" s="460" t="str">
        <f>IF('Student DATA Entry'!K100="","",'Student DATA Entry'!K100)</f>
        <v/>
      </c>
      <c r="G103" s="461" t="str">
        <f>IF('Student DATA Entry'!G100="","",UPPER('Student DATA Entry'!G100))</f>
        <v/>
      </c>
      <c r="H103" s="461" t="str">
        <f>IF('Student DATA Entry'!H100="","",UPPER('Student DATA Entry'!H100))</f>
        <v/>
      </c>
      <c r="I103" s="462" t="str">
        <f>IF('Student DATA Entry'!I100="","",UPPER('Student DATA Entry'!I100))</f>
        <v/>
      </c>
      <c r="J103" s="463" t="str">
        <f>IF('Student DATA Entry'!L100="","",UPPER('Student DATA Entry'!L100))</f>
        <v/>
      </c>
      <c r="K103" s="469" t="str">
        <f>IF('Student DATA Entry'!J100="","",UPPER('Student DATA Entry'!J100))</f>
        <v/>
      </c>
      <c r="L103" s="491"/>
      <c r="M103" s="8"/>
      <c r="N103" s="8"/>
      <c r="O103" s="9"/>
      <c r="P103" s="492"/>
      <c r="Q103" s="491"/>
      <c r="R103" s="8"/>
      <c r="S103" s="8"/>
      <c r="T103" s="9"/>
      <c r="U103" s="492"/>
      <c r="V103" s="502"/>
      <c r="W103" s="7"/>
      <c r="X103" s="8"/>
      <c r="Y103" s="8"/>
      <c r="Z103" s="9"/>
      <c r="AA103" s="492"/>
      <c r="AB103" s="491"/>
      <c r="AC103" s="8"/>
      <c r="AD103" s="8"/>
      <c r="AE103" s="9"/>
      <c r="AF103" s="492"/>
      <c r="AG103" s="491"/>
      <c r="AH103" s="8"/>
      <c r="AI103" s="8"/>
      <c r="AJ103" s="9"/>
      <c r="AK103" s="492"/>
      <c r="AL103" s="491"/>
      <c r="AM103" s="8"/>
      <c r="AN103" s="8"/>
      <c r="AO103" s="9"/>
      <c r="AP103" s="492"/>
      <c r="AQ103" s="506"/>
      <c r="AR103" s="491"/>
      <c r="AS103" s="8"/>
      <c r="AT103" s="8"/>
      <c r="AU103" s="9"/>
      <c r="AV103" s="9"/>
      <c r="AW103" s="17"/>
      <c r="AX103" s="492"/>
      <c r="AY103" s="491"/>
      <c r="AZ103" s="7"/>
      <c r="BA103" s="9"/>
      <c r="BB103" s="9"/>
      <c r="BC103" s="492"/>
      <c r="BD103" s="491"/>
      <c r="BE103" s="7"/>
      <c r="BF103" s="7"/>
      <c r="BG103" s="7"/>
      <c r="BH103" s="9"/>
      <c r="BI103" s="9"/>
      <c r="BJ103" s="492"/>
      <c r="BK103" s="491"/>
      <c r="BL103" s="7"/>
      <c r="BM103" s="7"/>
      <c r="BN103" s="7"/>
      <c r="BO103" s="7"/>
      <c r="BP103" s="7"/>
      <c r="BQ103" s="7"/>
      <c r="BR103" s="8"/>
      <c r="BS103" s="8"/>
      <c r="BT103" s="509"/>
      <c r="BU103" s="491"/>
      <c r="BV103" s="8"/>
      <c r="BW103" s="509"/>
      <c r="BX103" s="491"/>
      <c r="BY103" s="8"/>
      <c r="BZ103" s="509"/>
      <c r="CA103" s="752"/>
    </row>
    <row r="104" spans="1:79" ht="24.95" customHeight="1">
      <c r="A104" s="468">
        <f>IF('Student DATA Entry'!A101="","",'Student DATA Entry'!A101)</f>
        <v>98</v>
      </c>
      <c r="B104" s="459" t="str">
        <f>IF('Student DATA Entry'!B101="","",'Student DATA Entry'!B101)</f>
        <v/>
      </c>
      <c r="C104" s="459" t="str">
        <f>IF('Student DATA Entry'!C101="","",'Student DATA Entry'!C101)</f>
        <v/>
      </c>
      <c r="D104" s="459" t="str">
        <f>IF('Student DATA Entry'!D101="","",'Student DATA Entry'!D101)</f>
        <v/>
      </c>
      <c r="E104" s="459" t="str">
        <f>IF('Student DATA Entry'!E101="","",'Student DATA Entry'!E101)</f>
        <v/>
      </c>
      <c r="F104" s="460" t="str">
        <f>IF('Student DATA Entry'!K101="","",'Student DATA Entry'!K101)</f>
        <v/>
      </c>
      <c r="G104" s="461" t="str">
        <f>IF('Student DATA Entry'!G101="","",UPPER('Student DATA Entry'!G101))</f>
        <v/>
      </c>
      <c r="H104" s="461" t="str">
        <f>IF('Student DATA Entry'!H101="","",UPPER('Student DATA Entry'!H101))</f>
        <v/>
      </c>
      <c r="I104" s="462" t="str">
        <f>IF('Student DATA Entry'!I101="","",UPPER('Student DATA Entry'!I101))</f>
        <v/>
      </c>
      <c r="J104" s="463" t="str">
        <f>IF('Student DATA Entry'!L101="","",UPPER('Student DATA Entry'!L101))</f>
        <v/>
      </c>
      <c r="K104" s="469" t="str">
        <f>IF('Student DATA Entry'!J101="","",UPPER('Student DATA Entry'!J101))</f>
        <v/>
      </c>
      <c r="L104" s="491"/>
      <c r="M104" s="8"/>
      <c r="N104" s="8"/>
      <c r="O104" s="9"/>
      <c r="P104" s="492"/>
      <c r="Q104" s="491"/>
      <c r="R104" s="8"/>
      <c r="S104" s="8"/>
      <c r="T104" s="9"/>
      <c r="U104" s="492"/>
      <c r="V104" s="502"/>
      <c r="W104" s="7"/>
      <c r="X104" s="8"/>
      <c r="Y104" s="8"/>
      <c r="Z104" s="9"/>
      <c r="AA104" s="492"/>
      <c r="AB104" s="491"/>
      <c r="AC104" s="8"/>
      <c r="AD104" s="8"/>
      <c r="AE104" s="9"/>
      <c r="AF104" s="492"/>
      <c r="AG104" s="491"/>
      <c r="AH104" s="8"/>
      <c r="AI104" s="8"/>
      <c r="AJ104" s="9"/>
      <c r="AK104" s="492"/>
      <c r="AL104" s="491"/>
      <c r="AM104" s="8"/>
      <c r="AN104" s="8"/>
      <c r="AO104" s="9"/>
      <c r="AP104" s="492"/>
      <c r="AQ104" s="506"/>
      <c r="AR104" s="491"/>
      <c r="AS104" s="8"/>
      <c r="AT104" s="8"/>
      <c r="AU104" s="9"/>
      <c r="AV104" s="9"/>
      <c r="AW104" s="17"/>
      <c r="AX104" s="492"/>
      <c r="AY104" s="491"/>
      <c r="AZ104" s="7"/>
      <c r="BA104" s="9"/>
      <c r="BB104" s="9"/>
      <c r="BC104" s="492"/>
      <c r="BD104" s="491"/>
      <c r="BE104" s="7"/>
      <c r="BF104" s="7"/>
      <c r="BG104" s="7"/>
      <c r="BH104" s="9"/>
      <c r="BI104" s="9"/>
      <c r="BJ104" s="492"/>
      <c r="BK104" s="491"/>
      <c r="BL104" s="7"/>
      <c r="BM104" s="7"/>
      <c r="BN104" s="7"/>
      <c r="BO104" s="7"/>
      <c r="BP104" s="7"/>
      <c r="BQ104" s="7"/>
      <c r="BR104" s="8"/>
      <c r="BS104" s="8"/>
      <c r="BT104" s="509"/>
      <c r="BU104" s="491"/>
      <c r="BV104" s="8"/>
      <c r="BW104" s="509"/>
      <c r="BX104" s="491"/>
      <c r="BY104" s="8"/>
      <c r="BZ104" s="509"/>
      <c r="CA104" s="752"/>
    </row>
    <row r="105" spans="1:79" ht="24.95" customHeight="1">
      <c r="A105" s="468">
        <f>IF('Student DATA Entry'!A102="","",'Student DATA Entry'!A102)</f>
        <v>99</v>
      </c>
      <c r="B105" s="459" t="str">
        <f>IF('Student DATA Entry'!B102="","",'Student DATA Entry'!B102)</f>
        <v/>
      </c>
      <c r="C105" s="459" t="str">
        <f>IF('Student DATA Entry'!C102="","",'Student DATA Entry'!C102)</f>
        <v/>
      </c>
      <c r="D105" s="459" t="str">
        <f>IF('Student DATA Entry'!D102="","",'Student DATA Entry'!D102)</f>
        <v/>
      </c>
      <c r="E105" s="459" t="str">
        <f>IF('Student DATA Entry'!E102="","",'Student DATA Entry'!E102)</f>
        <v/>
      </c>
      <c r="F105" s="460" t="str">
        <f>IF('Student DATA Entry'!K102="","",'Student DATA Entry'!K102)</f>
        <v/>
      </c>
      <c r="G105" s="461" t="str">
        <f>IF('Student DATA Entry'!G102="","",UPPER('Student DATA Entry'!G102))</f>
        <v/>
      </c>
      <c r="H105" s="461" t="str">
        <f>IF('Student DATA Entry'!H102="","",UPPER('Student DATA Entry'!H102))</f>
        <v/>
      </c>
      <c r="I105" s="462" t="str">
        <f>IF('Student DATA Entry'!I102="","",UPPER('Student DATA Entry'!I102))</f>
        <v/>
      </c>
      <c r="J105" s="463" t="str">
        <f>IF('Student DATA Entry'!L102="","",UPPER('Student DATA Entry'!L102))</f>
        <v/>
      </c>
      <c r="K105" s="469" t="str">
        <f>IF('Student DATA Entry'!J102="","",UPPER('Student DATA Entry'!J102))</f>
        <v/>
      </c>
      <c r="L105" s="491"/>
      <c r="M105" s="8"/>
      <c r="N105" s="8"/>
      <c r="O105" s="9"/>
      <c r="P105" s="492"/>
      <c r="Q105" s="491"/>
      <c r="R105" s="8"/>
      <c r="S105" s="8"/>
      <c r="T105" s="9"/>
      <c r="U105" s="492"/>
      <c r="V105" s="502"/>
      <c r="W105" s="7"/>
      <c r="X105" s="8"/>
      <c r="Y105" s="8"/>
      <c r="Z105" s="9"/>
      <c r="AA105" s="492"/>
      <c r="AB105" s="491"/>
      <c r="AC105" s="8"/>
      <c r="AD105" s="8"/>
      <c r="AE105" s="9"/>
      <c r="AF105" s="492"/>
      <c r="AG105" s="491"/>
      <c r="AH105" s="8"/>
      <c r="AI105" s="8"/>
      <c r="AJ105" s="9"/>
      <c r="AK105" s="492"/>
      <c r="AL105" s="491"/>
      <c r="AM105" s="8"/>
      <c r="AN105" s="8"/>
      <c r="AO105" s="9"/>
      <c r="AP105" s="492"/>
      <c r="AQ105" s="506"/>
      <c r="AR105" s="491"/>
      <c r="AS105" s="8"/>
      <c r="AT105" s="8"/>
      <c r="AU105" s="9"/>
      <c r="AV105" s="9"/>
      <c r="AW105" s="17"/>
      <c r="AX105" s="492"/>
      <c r="AY105" s="491"/>
      <c r="AZ105" s="7"/>
      <c r="BA105" s="9"/>
      <c r="BB105" s="9"/>
      <c r="BC105" s="492"/>
      <c r="BD105" s="491"/>
      <c r="BE105" s="7"/>
      <c r="BF105" s="7"/>
      <c r="BG105" s="7"/>
      <c r="BH105" s="9"/>
      <c r="BI105" s="9"/>
      <c r="BJ105" s="492"/>
      <c r="BK105" s="491"/>
      <c r="BL105" s="7"/>
      <c r="BM105" s="7"/>
      <c r="BN105" s="7"/>
      <c r="BO105" s="7"/>
      <c r="BP105" s="7"/>
      <c r="BQ105" s="7"/>
      <c r="BR105" s="8"/>
      <c r="BS105" s="8"/>
      <c r="BT105" s="509"/>
      <c r="BU105" s="491"/>
      <c r="BV105" s="8"/>
      <c r="BW105" s="509"/>
      <c r="BX105" s="491"/>
      <c r="BY105" s="8"/>
      <c r="BZ105" s="509"/>
      <c r="CA105" s="751"/>
    </row>
    <row r="106" spans="1:79" ht="24.95" customHeight="1">
      <c r="A106" s="468">
        <f>IF('Student DATA Entry'!A103="","",'Student DATA Entry'!A103)</f>
        <v>100</v>
      </c>
      <c r="B106" s="459" t="str">
        <f>IF('Student DATA Entry'!B103="","",'Student DATA Entry'!B103)</f>
        <v/>
      </c>
      <c r="C106" s="459" t="str">
        <f>IF('Student DATA Entry'!C103="","",'Student DATA Entry'!C103)</f>
        <v/>
      </c>
      <c r="D106" s="459" t="str">
        <f>IF('Student DATA Entry'!D103="","",'Student DATA Entry'!D103)</f>
        <v/>
      </c>
      <c r="E106" s="459" t="str">
        <f>IF('Student DATA Entry'!E103="","",'Student DATA Entry'!E103)</f>
        <v/>
      </c>
      <c r="F106" s="460" t="str">
        <f>IF('Student DATA Entry'!K103="","",'Student DATA Entry'!K103)</f>
        <v/>
      </c>
      <c r="G106" s="461" t="str">
        <f>IF('Student DATA Entry'!G103="","",UPPER('Student DATA Entry'!G103))</f>
        <v/>
      </c>
      <c r="H106" s="461" t="str">
        <f>IF('Student DATA Entry'!H103="","",UPPER('Student DATA Entry'!H103))</f>
        <v/>
      </c>
      <c r="I106" s="462" t="str">
        <f>IF('Student DATA Entry'!I103="","",UPPER('Student DATA Entry'!I103))</f>
        <v/>
      </c>
      <c r="J106" s="463" t="str">
        <f>IF('Student DATA Entry'!L103="","",UPPER('Student DATA Entry'!L103))</f>
        <v/>
      </c>
      <c r="K106" s="469" t="str">
        <f>IF('Student DATA Entry'!J103="","",UPPER('Student DATA Entry'!J103))</f>
        <v/>
      </c>
      <c r="L106" s="491"/>
      <c r="M106" s="8"/>
      <c r="N106" s="8"/>
      <c r="O106" s="9"/>
      <c r="P106" s="492"/>
      <c r="Q106" s="491"/>
      <c r="R106" s="8"/>
      <c r="S106" s="8"/>
      <c r="T106" s="9"/>
      <c r="U106" s="492"/>
      <c r="V106" s="502"/>
      <c r="W106" s="7"/>
      <c r="X106" s="8"/>
      <c r="Y106" s="8"/>
      <c r="Z106" s="9"/>
      <c r="AA106" s="492"/>
      <c r="AB106" s="491"/>
      <c r="AC106" s="8"/>
      <c r="AD106" s="8"/>
      <c r="AE106" s="9"/>
      <c r="AF106" s="492"/>
      <c r="AG106" s="491"/>
      <c r="AH106" s="8"/>
      <c r="AI106" s="8"/>
      <c r="AJ106" s="9"/>
      <c r="AK106" s="492"/>
      <c r="AL106" s="491"/>
      <c r="AM106" s="8"/>
      <c r="AN106" s="8"/>
      <c r="AO106" s="9"/>
      <c r="AP106" s="492"/>
      <c r="AQ106" s="506"/>
      <c r="AR106" s="491"/>
      <c r="AS106" s="8"/>
      <c r="AT106" s="8"/>
      <c r="AU106" s="9"/>
      <c r="AV106" s="9"/>
      <c r="AW106" s="17"/>
      <c r="AX106" s="492"/>
      <c r="AY106" s="491"/>
      <c r="AZ106" s="7"/>
      <c r="BA106" s="9"/>
      <c r="BB106" s="9"/>
      <c r="BC106" s="492"/>
      <c r="BD106" s="491"/>
      <c r="BE106" s="7"/>
      <c r="BF106" s="7"/>
      <c r="BG106" s="7"/>
      <c r="BH106" s="9"/>
      <c r="BI106" s="9"/>
      <c r="BJ106" s="492"/>
      <c r="BK106" s="491"/>
      <c r="BL106" s="7"/>
      <c r="BM106" s="7"/>
      <c r="BN106" s="7"/>
      <c r="BO106" s="7"/>
      <c r="BP106" s="7"/>
      <c r="BQ106" s="7"/>
      <c r="BR106" s="8"/>
      <c r="BS106" s="8"/>
      <c r="BT106" s="509"/>
      <c r="BU106" s="491"/>
      <c r="BV106" s="8"/>
      <c r="BW106" s="509"/>
      <c r="BX106" s="491"/>
      <c r="BY106" s="8"/>
      <c r="BZ106" s="509"/>
      <c r="CA106" s="751"/>
    </row>
    <row r="107" spans="1:79" ht="24.95" customHeight="1">
      <c r="A107" s="468">
        <f>IF('Student DATA Entry'!A104="","",'Student DATA Entry'!A104)</f>
        <v>101</v>
      </c>
      <c r="B107" s="459" t="str">
        <f>IF('Student DATA Entry'!B104="","",'Student DATA Entry'!B104)</f>
        <v/>
      </c>
      <c r="C107" s="459" t="str">
        <f>IF('Student DATA Entry'!C104="","",'Student DATA Entry'!C104)</f>
        <v/>
      </c>
      <c r="D107" s="459" t="str">
        <f>IF('Student DATA Entry'!D104="","",'Student DATA Entry'!D104)</f>
        <v/>
      </c>
      <c r="E107" s="459" t="str">
        <f>IF('Student DATA Entry'!E104="","",'Student DATA Entry'!E104)</f>
        <v/>
      </c>
      <c r="F107" s="460" t="str">
        <f>IF('Student DATA Entry'!K104="","",'Student DATA Entry'!K104)</f>
        <v/>
      </c>
      <c r="G107" s="461" t="str">
        <f>IF('Student DATA Entry'!G104="","",UPPER('Student DATA Entry'!G104))</f>
        <v/>
      </c>
      <c r="H107" s="461" t="str">
        <f>IF('Student DATA Entry'!H104="","",UPPER('Student DATA Entry'!H104))</f>
        <v/>
      </c>
      <c r="I107" s="462" t="str">
        <f>IF('Student DATA Entry'!I104="","",UPPER('Student DATA Entry'!I104))</f>
        <v/>
      </c>
      <c r="J107" s="463" t="str">
        <f>IF('Student DATA Entry'!L104="","",UPPER('Student DATA Entry'!L104))</f>
        <v/>
      </c>
      <c r="K107" s="469" t="str">
        <f>IF('Student DATA Entry'!J104="","",UPPER('Student DATA Entry'!J104))</f>
        <v/>
      </c>
      <c r="L107" s="491"/>
      <c r="M107" s="8"/>
      <c r="N107" s="8"/>
      <c r="O107" s="9"/>
      <c r="P107" s="492"/>
      <c r="Q107" s="491"/>
      <c r="R107" s="8"/>
      <c r="S107" s="8"/>
      <c r="T107" s="9"/>
      <c r="U107" s="492"/>
      <c r="V107" s="502"/>
      <c r="W107" s="7"/>
      <c r="X107" s="8"/>
      <c r="Y107" s="8"/>
      <c r="Z107" s="9"/>
      <c r="AA107" s="492"/>
      <c r="AB107" s="491"/>
      <c r="AC107" s="8"/>
      <c r="AD107" s="8"/>
      <c r="AE107" s="9"/>
      <c r="AF107" s="492"/>
      <c r="AG107" s="491"/>
      <c r="AH107" s="8"/>
      <c r="AI107" s="8"/>
      <c r="AJ107" s="9"/>
      <c r="AK107" s="492"/>
      <c r="AL107" s="491"/>
      <c r="AM107" s="8"/>
      <c r="AN107" s="8"/>
      <c r="AO107" s="9"/>
      <c r="AP107" s="492"/>
      <c r="AQ107" s="506"/>
      <c r="AR107" s="491"/>
      <c r="AS107" s="8"/>
      <c r="AT107" s="8"/>
      <c r="AU107" s="9"/>
      <c r="AV107" s="9"/>
      <c r="AW107" s="17"/>
      <c r="AX107" s="492"/>
      <c r="AY107" s="491"/>
      <c r="AZ107" s="7"/>
      <c r="BA107" s="9"/>
      <c r="BB107" s="9"/>
      <c r="BC107" s="492"/>
      <c r="BD107" s="491"/>
      <c r="BE107" s="7"/>
      <c r="BF107" s="7"/>
      <c r="BG107" s="7"/>
      <c r="BH107" s="9"/>
      <c r="BI107" s="9"/>
      <c r="BJ107" s="492"/>
      <c r="BK107" s="491"/>
      <c r="BL107" s="7"/>
      <c r="BM107" s="7"/>
      <c r="BN107" s="7"/>
      <c r="BO107" s="7"/>
      <c r="BP107" s="7"/>
      <c r="BQ107" s="7"/>
      <c r="BR107" s="8"/>
      <c r="BS107" s="8"/>
      <c r="BT107" s="509"/>
      <c r="BU107" s="491"/>
      <c r="BV107" s="8"/>
      <c r="BW107" s="509"/>
      <c r="BX107" s="491"/>
      <c r="BY107" s="8"/>
      <c r="BZ107" s="509"/>
      <c r="CA107" s="751"/>
    </row>
    <row r="108" spans="1:79" ht="24.95" customHeight="1">
      <c r="A108" s="468">
        <f>IF('Student DATA Entry'!A105="","",'Student DATA Entry'!A105)</f>
        <v>102</v>
      </c>
      <c r="B108" s="459" t="str">
        <f>IF('Student DATA Entry'!B105="","",'Student DATA Entry'!B105)</f>
        <v/>
      </c>
      <c r="C108" s="459" t="str">
        <f>IF('Student DATA Entry'!C105="","",'Student DATA Entry'!C105)</f>
        <v/>
      </c>
      <c r="D108" s="459" t="str">
        <f>IF('Student DATA Entry'!D105="","",'Student DATA Entry'!D105)</f>
        <v/>
      </c>
      <c r="E108" s="459" t="str">
        <f>IF('Student DATA Entry'!E105="","",'Student DATA Entry'!E105)</f>
        <v/>
      </c>
      <c r="F108" s="460" t="str">
        <f>IF('Student DATA Entry'!K105="","",'Student DATA Entry'!K105)</f>
        <v/>
      </c>
      <c r="G108" s="461" t="str">
        <f>IF('Student DATA Entry'!G105="","",UPPER('Student DATA Entry'!G105))</f>
        <v/>
      </c>
      <c r="H108" s="461" t="str">
        <f>IF('Student DATA Entry'!H105="","",UPPER('Student DATA Entry'!H105))</f>
        <v/>
      </c>
      <c r="I108" s="462" t="str">
        <f>IF('Student DATA Entry'!I105="","",UPPER('Student DATA Entry'!I105))</f>
        <v/>
      </c>
      <c r="J108" s="463" t="str">
        <f>IF('Student DATA Entry'!L105="","",UPPER('Student DATA Entry'!L105))</f>
        <v/>
      </c>
      <c r="K108" s="469" t="str">
        <f>IF('Student DATA Entry'!J105="","",UPPER('Student DATA Entry'!J105))</f>
        <v/>
      </c>
      <c r="L108" s="491"/>
      <c r="M108" s="8"/>
      <c r="N108" s="8"/>
      <c r="O108" s="9"/>
      <c r="P108" s="492"/>
      <c r="Q108" s="491"/>
      <c r="R108" s="8"/>
      <c r="S108" s="8"/>
      <c r="T108" s="9"/>
      <c r="U108" s="492"/>
      <c r="V108" s="502"/>
      <c r="W108" s="7"/>
      <c r="X108" s="8"/>
      <c r="Y108" s="8"/>
      <c r="Z108" s="9"/>
      <c r="AA108" s="492"/>
      <c r="AB108" s="491"/>
      <c r="AC108" s="8"/>
      <c r="AD108" s="8"/>
      <c r="AE108" s="9"/>
      <c r="AF108" s="492"/>
      <c r="AG108" s="491"/>
      <c r="AH108" s="8"/>
      <c r="AI108" s="8"/>
      <c r="AJ108" s="9"/>
      <c r="AK108" s="492"/>
      <c r="AL108" s="491"/>
      <c r="AM108" s="8"/>
      <c r="AN108" s="8"/>
      <c r="AO108" s="9"/>
      <c r="AP108" s="492"/>
      <c r="AQ108" s="506"/>
      <c r="AR108" s="491"/>
      <c r="AS108" s="8"/>
      <c r="AT108" s="8"/>
      <c r="AU108" s="9"/>
      <c r="AV108" s="9"/>
      <c r="AW108" s="17"/>
      <c r="AX108" s="492"/>
      <c r="AY108" s="491"/>
      <c r="AZ108" s="7"/>
      <c r="BA108" s="9"/>
      <c r="BB108" s="9"/>
      <c r="BC108" s="492"/>
      <c r="BD108" s="491"/>
      <c r="BE108" s="7"/>
      <c r="BF108" s="7"/>
      <c r="BG108" s="7"/>
      <c r="BH108" s="9"/>
      <c r="BI108" s="9"/>
      <c r="BJ108" s="492"/>
      <c r="BK108" s="491"/>
      <c r="BL108" s="7"/>
      <c r="BM108" s="7"/>
      <c r="BN108" s="7"/>
      <c r="BO108" s="7"/>
      <c r="BP108" s="7"/>
      <c r="BQ108" s="7"/>
      <c r="BR108" s="8"/>
      <c r="BS108" s="8"/>
      <c r="BT108" s="509"/>
      <c r="BU108" s="491"/>
      <c r="BV108" s="8"/>
      <c r="BW108" s="509"/>
      <c r="BX108" s="491"/>
      <c r="BY108" s="8"/>
      <c r="BZ108" s="509"/>
      <c r="CA108" s="751"/>
    </row>
    <row r="109" spans="1:79" ht="24.95" customHeight="1">
      <c r="A109" s="468">
        <f>IF('Student DATA Entry'!A106="","",'Student DATA Entry'!A106)</f>
        <v>103</v>
      </c>
      <c r="B109" s="459" t="str">
        <f>IF('Student DATA Entry'!B106="","",'Student DATA Entry'!B106)</f>
        <v/>
      </c>
      <c r="C109" s="459" t="str">
        <f>IF('Student DATA Entry'!C106="","",'Student DATA Entry'!C106)</f>
        <v/>
      </c>
      <c r="D109" s="459" t="str">
        <f>IF('Student DATA Entry'!D106="","",'Student DATA Entry'!D106)</f>
        <v/>
      </c>
      <c r="E109" s="459" t="str">
        <f>IF('Student DATA Entry'!E106="","",'Student DATA Entry'!E106)</f>
        <v/>
      </c>
      <c r="F109" s="460" t="str">
        <f>IF('Student DATA Entry'!K106="","",'Student DATA Entry'!K106)</f>
        <v/>
      </c>
      <c r="G109" s="461" t="str">
        <f>IF('Student DATA Entry'!G106="","",UPPER('Student DATA Entry'!G106))</f>
        <v/>
      </c>
      <c r="H109" s="461" t="str">
        <f>IF('Student DATA Entry'!H106="","",UPPER('Student DATA Entry'!H106))</f>
        <v/>
      </c>
      <c r="I109" s="462" t="str">
        <f>IF('Student DATA Entry'!I106="","",UPPER('Student DATA Entry'!I106))</f>
        <v/>
      </c>
      <c r="J109" s="463" t="str">
        <f>IF('Student DATA Entry'!L106="","",UPPER('Student DATA Entry'!L106))</f>
        <v/>
      </c>
      <c r="K109" s="469" t="str">
        <f>IF('Student DATA Entry'!J106="","",UPPER('Student DATA Entry'!J106))</f>
        <v/>
      </c>
      <c r="L109" s="491"/>
      <c r="M109" s="8"/>
      <c r="N109" s="8"/>
      <c r="O109" s="9"/>
      <c r="P109" s="492"/>
      <c r="Q109" s="491"/>
      <c r="R109" s="8"/>
      <c r="S109" s="8"/>
      <c r="T109" s="9"/>
      <c r="U109" s="492"/>
      <c r="V109" s="502"/>
      <c r="W109" s="7"/>
      <c r="X109" s="8"/>
      <c r="Y109" s="8"/>
      <c r="Z109" s="9"/>
      <c r="AA109" s="492"/>
      <c r="AB109" s="491"/>
      <c r="AC109" s="8"/>
      <c r="AD109" s="8"/>
      <c r="AE109" s="9"/>
      <c r="AF109" s="492"/>
      <c r="AG109" s="491"/>
      <c r="AH109" s="8"/>
      <c r="AI109" s="8"/>
      <c r="AJ109" s="9"/>
      <c r="AK109" s="492"/>
      <c r="AL109" s="491"/>
      <c r="AM109" s="8"/>
      <c r="AN109" s="8"/>
      <c r="AO109" s="9"/>
      <c r="AP109" s="492"/>
      <c r="AQ109" s="506"/>
      <c r="AR109" s="491"/>
      <c r="AS109" s="8"/>
      <c r="AT109" s="8"/>
      <c r="AU109" s="9"/>
      <c r="AV109" s="9"/>
      <c r="AW109" s="17"/>
      <c r="AX109" s="492"/>
      <c r="AY109" s="491"/>
      <c r="AZ109" s="7"/>
      <c r="BA109" s="9"/>
      <c r="BB109" s="9"/>
      <c r="BC109" s="492"/>
      <c r="BD109" s="491"/>
      <c r="BE109" s="7"/>
      <c r="BF109" s="7"/>
      <c r="BG109" s="7"/>
      <c r="BH109" s="9"/>
      <c r="BI109" s="9"/>
      <c r="BJ109" s="492"/>
      <c r="BK109" s="491"/>
      <c r="BL109" s="7"/>
      <c r="BM109" s="7"/>
      <c r="BN109" s="7"/>
      <c r="BO109" s="7"/>
      <c r="BP109" s="7"/>
      <c r="BQ109" s="7"/>
      <c r="BR109" s="8"/>
      <c r="BS109" s="8"/>
      <c r="BT109" s="509"/>
      <c r="BU109" s="491"/>
      <c r="BV109" s="8"/>
      <c r="BW109" s="509"/>
      <c r="BX109" s="491"/>
      <c r="BY109" s="8"/>
      <c r="BZ109" s="509"/>
      <c r="CA109" s="751"/>
    </row>
    <row r="110" spans="1:79" ht="24.95" customHeight="1">
      <c r="A110" s="468">
        <f>IF('Student DATA Entry'!A107="","",'Student DATA Entry'!A107)</f>
        <v>104</v>
      </c>
      <c r="B110" s="459" t="str">
        <f>IF('Student DATA Entry'!B107="","",'Student DATA Entry'!B107)</f>
        <v/>
      </c>
      <c r="C110" s="459" t="str">
        <f>IF('Student DATA Entry'!C107="","",'Student DATA Entry'!C107)</f>
        <v/>
      </c>
      <c r="D110" s="459" t="str">
        <f>IF('Student DATA Entry'!D107="","",'Student DATA Entry'!D107)</f>
        <v/>
      </c>
      <c r="E110" s="459" t="str">
        <f>IF('Student DATA Entry'!E107="","",'Student DATA Entry'!E107)</f>
        <v/>
      </c>
      <c r="F110" s="460" t="str">
        <f>IF('Student DATA Entry'!K107="","",'Student DATA Entry'!K107)</f>
        <v/>
      </c>
      <c r="G110" s="461" t="str">
        <f>IF('Student DATA Entry'!G107="","",UPPER('Student DATA Entry'!G107))</f>
        <v/>
      </c>
      <c r="H110" s="461" t="str">
        <f>IF('Student DATA Entry'!H107="","",UPPER('Student DATA Entry'!H107))</f>
        <v/>
      </c>
      <c r="I110" s="462" t="str">
        <f>IF('Student DATA Entry'!I107="","",UPPER('Student DATA Entry'!I107))</f>
        <v/>
      </c>
      <c r="J110" s="463" t="str">
        <f>IF('Student DATA Entry'!L107="","",UPPER('Student DATA Entry'!L107))</f>
        <v/>
      </c>
      <c r="K110" s="469" t="str">
        <f>IF('Student DATA Entry'!J107="","",UPPER('Student DATA Entry'!J107))</f>
        <v/>
      </c>
      <c r="L110" s="491"/>
      <c r="M110" s="8"/>
      <c r="N110" s="8"/>
      <c r="O110" s="9"/>
      <c r="P110" s="492"/>
      <c r="Q110" s="491"/>
      <c r="R110" s="8"/>
      <c r="S110" s="8"/>
      <c r="T110" s="9"/>
      <c r="U110" s="492"/>
      <c r="V110" s="502"/>
      <c r="W110" s="7"/>
      <c r="X110" s="8"/>
      <c r="Y110" s="8"/>
      <c r="Z110" s="9"/>
      <c r="AA110" s="492"/>
      <c r="AB110" s="491"/>
      <c r="AC110" s="8"/>
      <c r="AD110" s="8"/>
      <c r="AE110" s="9"/>
      <c r="AF110" s="492"/>
      <c r="AG110" s="491"/>
      <c r="AH110" s="8"/>
      <c r="AI110" s="8"/>
      <c r="AJ110" s="9"/>
      <c r="AK110" s="492"/>
      <c r="AL110" s="491"/>
      <c r="AM110" s="8"/>
      <c r="AN110" s="8"/>
      <c r="AO110" s="9"/>
      <c r="AP110" s="492"/>
      <c r="AQ110" s="506"/>
      <c r="AR110" s="491"/>
      <c r="AS110" s="8"/>
      <c r="AT110" s="8"/>
      <c r="AU110" s="9"/>
      <c r="AV110" s="9"/>
      <c r="AW110" s="17"/>
      <c r="AX110" s="492"/>
      <c r="AY110" s="491"/>
      <c r="AZ110" s="7"/>
      <c r="BA110" s="9"/>
      <c r="BB110" s="9"/>
      <c r="BC110" s="492"/>
      <c r="BD110" s="491"/>
      <c r="BE110" s="7"/>
      <c r="BF110" s="7"/>
      <c r="BG110" s="7"/>
      <c r="BH110" s="9"/>
      <c r="BI110" s="9"/>
      <c r="BJ110" s="492"/>
      <c r="BK110" s="491"/>
      <c r="BL110" s="7"/>
      <c r="BM110" s="7"/>
      <c r="BN110" s="7"/>
      <c r="BO110" s="7"/>
      <c r="BP110" s="7"/>
      <c r="BQ110" s="7"/>
      <c r="BR110" s="8"/>
      <c r="BS110" s="8"/>
      <c r="BT110" s="509"/>
      <c r="BU110" s="491"/>
      <c r="BV110" s="8"/>
      <c r="BW110" s="509"/>
      <c r="BX110" s="491"/>
      <c r="BY110" s="8"/>
      <c r="BZ110" s="509"/>
      <c r="CA110" s="751"/>
    </row>
    <row r="111" spans="1:79" ht="24.95" customHeight="1">
      <c r="A111" s="468">
        <f>IF('Student DATA Entry'!A108="","",'Student DATA Entry'!A108)</f>
        <v>105</v>
      </c>
      <c r="B111" s="459" t="str">
        <f>IF('Student DATA Entry'!B108="","",'Student DATA Entry'!B108)</f>
        <v/>
      </c>
      <c r="C111" s="459" t="str">
        <f>IF('Student DATA Entry'!C108="","",'Student DATA Entry'!C108)</f>
        <v/>
      </c>
      <c r="D111" s="459" t="str">
        <f>IF('Student DATA Entry'!D108="","",'Student DATA Entry'!D108)</f>
        <v/>
      </c>
      <c r="E111" s="459" t="str">
        <f>IF('Student DATA Entry'!E108="","",'Student DATA Entry'!E108)</f>
        <v/>
      </c>
      <c r="F111" s="460" t="str">
        <f>IF('Student DATA Entry'!K108="","",'Student DATA Entry'!K108)</f>
        <v/>
      </c>
      <c r="G111" s="461" t="str">
        <f>IF('Student DATA Entry'!G108="","",UPPER('Student DATA Entry'!G108))</f>
        <v/>
      </c>
      <c r="H111" s="461" t="str">
        <f>IF('Student DATA Entry'!H108="","",UPPER('Student DATA Entry'!H108))</f>
        <v/>
      </c>
      <c r="I111" s="462" t="str">
        <f>IF('Student DATA Entry'!I108="","",UPPER('Student DATA Entry'!I108))</f>
        <v/>
      </c>
      <c r="J111" s="463" t="str">
        <f>IF('Student DATA Entry'!L108="","",UPPER('Student DATA Entry'!L108))</f>
        <v/>
      </c>
      <c r="K111" s="469" t="str">
        <f>IF('Student DATA Entry'!J108="","",UPPER('Student DATA Entry'!J108))</f>
        <v/>
      </c>
      <c r="L111" s="491"/>
      <c r="M111" s="8"/>
      <c r="N111" s="8"/>
      <c r="O111" s="9"/>
      <c r="P111" s="492"/>
      <c r="Q111" s="491"/>
      <c r="R111" s="8"/>
      <c r="S111" s="8"/>
      <c r="T111" s="9"/>
      <c r="U111" s="492"/>
      <c r="V111" s="502"/>
      <c r="W111" s="7"/>
      <c r="X111" s="8"/>
      <c r="Y111" s="8"/>
      <c r="Z111" s="9"/>
      <c r="AA111" s="492"/>
      <c r="AB111" s="491"/>
      <c r="AC111" s="8"/>
      <c r="AD111" s="8"/>
      <c r="AE111" s="9"/>
      <c r="AF111" s="492"/>
      <c r="AG111" s="491"/>
      <c r="AH111" s="8"/>
      <c r="AI111" s="8"/>
      <c r="AJ111" s="9"/>
      <c r="AK111" s="492"/>
      <c r="AL111" s="491"/>
      <c r="AM111" s="8"/>
      <c r="AN111" s="8"/>
      <c r="AO111" s="9"/>
      <c r="AP111" s="492"/>
      <c r="AQ111" s="506"/>
      <c r="AR111" s="491"/>
      <c r="AS111" s="8"/>
      <c r="AT111" s="8"/>
      <c r="AU111" s="9"/>
      <c r="AV111" s="9"/>
      <c r="AW111" s="17"/>
      <c r="AX111" s="492"/>
      <c r="AY111" s="491"/>
      <c r="AZ111" s="7"/>
      <c r="BA111" s="9"/>
      <c r="BB111" s="9"/>
      <c r="BC111" s="492"/>
      <c r="BD111" s="491"/>
      <c r="BE111" s="7"/>
      <c r="BF111" s="7"/>
      <c r="BG111" s="7"/>
      <c r="BH111" s="9"/>
      <c r="BI111" s="9"/>
      <c r="BJ111" s="492"/>
      <c r="BK111" s="491"/>
      <c r="BL111" s="7"/>
      <c r="BM111" s="7"/>
      <c r="BN111" s="7"/>
      <c r="BO111" s="7"/>
      <c r="BP111" s="7"/>
      <c r="BQ111" s="7"/>
      <c r="BR111" s="8"/>
      <c r="BS111" s="8"/>
      <c r="BT111" s="509"/>
      <c r="BU111" s="491"/>
      <c r="BV111" s="8"/>
      <c r="BW111" s="509"/>
      <c r="BX111" s="491"/>
      <c r="BY111" s="8"/>
      <c r="BZ111" s="509"/>
      <c r="CA111" s="751"/>
    </row>
    <row r="112" spans="1:79" ht="24.95" customHeight="1">
      <c r="A112" s="468">
        <f>IF('Student DATA Entry'!A109="","",'Student DATA Entry'!A109)</f>
        <v>106</v>
      </c>
      <c r="B112" s="459" t="str">
        <f>IF('Student DATA Entry'!B109="","",'Student DATA Entry'!B109)</f>
        <v/>
      </c>
      <c r="C112" s="459" t="str">
        <f>IF('Student DATA Entry'!C109="","",'Student DATA Entry'!C109)</f>
        <v/>
      </c>
      <c r="D112" s="459" t="str">
        <f>IF('Student DATA Entry'!D109="","",'Student DATA Entry'!D109)</f>
        <v/>
      </c>
      <c r="E112" s="459" t="str">
        <f>IF('Student DATA Entry'!E109="","",'Student DATA Entry'!E109)</f>
        <v/>
      </c>
      <c r="F112" s="460" t="str">
        <f>IF('Student DATA Entry'!K109="","",'Student DATA Entry'!K109)</f>
        <v/>
      </c>
      <c r="G112" s="461" t="str">
        <f>IF('Student DATA Entry'!G109="","",UPPER('Student DATA Entry'!G109))</f>
        <v/>
      </c>
      <c r="H112" s="461" t="str">
        <f>IF('Student DATA Entry'!H109="","",UPPER('Student DATA Entry'!H109))</f>
        <v/>
      </c>
      <c r="I112" s="462" t="str">
        <f>IF('Student DATA Entry'!I109="","",UPPER('Student DATA Entry'!I109))</f>
        <v/>
      </c>
      <c r="J112" s="463" t="str">
        <f>IF('Student DATA Entry'!L109="","",UPPER('Student DATA Entry'!L109))</f>
        <v/>
      </c>
      <c r="K112" s="469" t="str">
        <f>IF('Student DATA Entry'!J109="","",UPPER('Student DATA Entry'!J109))</f>
        <v/>
      </c>
      <c r="L112" s="491"/>
      <c r="M112" s="8"/>
      <c r="N112" s="8"/>
      <c r="O112" s="9"/>
      <c r="P112" s="492"/>
      <c r="Q112" s="491"/>
      <c r="R112" s="8"/>
      <c r="S112" s="8"/>
      <c r="T112" s="9"/>
      <c r="U112" s="492"/>
      <c r="V112" s="502"/>
      <c r="W112" s="7"/>
      <c r="X112" s="8"/>
      <c r="Y112" s="8"/>
      <c r="Z112" s="9"/>
      <c r="AA112" s="492"/>
      <c r="AB112" s="491"/>
      <c r="AC112" s="8"/>
      <c r="AD112" s="8"/>
      <c r="AE112" s="9"/>
      <c r="AF112" s="492"/>
      <c r="AG112" s="491"/>
      <c r="AH112" s="8"/>
      <c r="AI112" s="8"/>
      <c r="AJ112" s="9"/>
      <c r="AK112" s="492"/>
      <c r="AL112" s="491"/>
      <c r="AM112" s="8"/>
      <c r="AN112" s="8"/>
      <c r="AO112" s="9"/>
      <c r="AP112" s="492"/>
      <c r="AQ112" s="506"/>
      <c r="AR112" s="491"/>
      <c r="AS112" s="8"/>
      <c r="AT112" s="8"/>
      <c r="AU112" s="9"/>
      <c r="AV112" s="9"/>
      <c r="AW112" s="17"/>
      <c r="AX112" s="492"/>
      <c r="AY112" s="491"/>
      <c r="AZ112" s="7"/>
      <c r="BA112" s="9"/>
      <c r="BB112" s="9"/>
      <c r="BC112" s="492"/>
      <c r="BD112" s="491"/>
      <c r="BE112" s="7"/>
      <c r="BF112" s="7"/>
      <c r="BG112" s="7"/>
      <c r="BH112" s="9"/>
      <c r="BI112" s="9"/>
      <c r="BJ112" s="492"/>
      <c r="BK112" s="491"/>
      <c r="BL112" s="7"/>
      <c r="BM112" s="7"/>
      <c r="BN112" s="7"/>
      <c r="BO112" s="7"/>
      <c r="BP112" s="7"/>
      <c r="BQ112" s="7"/>
      <c r="BR112" s="8"/>
      <c r="BS112" s="8"/>
      <c r="BT112" s="509"/>
      <c r="BU112" s="491"/>
      <c r="BV112" s="8"/>
      <c r="BW112" s="509"/>
      <c r="BX112" s="491"/>
      <c r="BY112" s="8"/>
      <c r="BZ112" s="509"/>
      <c r="CA112" s="751"/>
    </row>
    <row r="113" spans="1:79" ht="24.95" customHeight="1">
      <c r="A113" s="468">
        <f>IF('Student DATA Entry'!A110="","",'Student DATA Entry'!A110)</f>
        <v>107</v>
      </c>
      <c r="B113" s="459" t="str">
        <f>IF('Student DATA Entry'!B110="","",'Student DATA Entry'!B110)</f>
        <v/>
      </c>
      <c r="C113" s="459" t="str">
        <f>IF('Student DATA Entry'!C110="","",'Student DATA Entry'!C110)</f>
        <v/>
      </c>
      <c r="D113" s="459" t="str">
        <f>IF('Student DATA Entry'!D110="","",'Student DATA Entry'!D110)</f>
        <v/>
      </c>
      <c r="E113" s="459" t="str">
        <f>IF('Student DATA Entry'!E110="","",'Student DATA Entry'!E110)</f>
        <v/>
      </c>
      <c r="F113" s="460" t="str">
        <f>IF('Student DATA Entry'!K110="","",'Student DATA Entry'!K110)</f>
        <v/>
      </c>
      <c r="G113" s="461" t="str">
        <f>IF('Student DATA Entry'!G110="","",UPPER('Student DATA Entry'!G110))</f>
        <v/>
      </c>
      <c r="H113" s="461" t="str">
        <f>IF('Student DATA Entry'!H110="","",UPPER('Student DATA Entry'!H110))</f>
        <v/>
      </c>
      <c r="I113" s="462" t="str">
        <f>IF('Student DATA Entry'!I110="","",UPPER('Student DATA Entry'!I110))</f>
        <v/>
      </c>
      <c r="J113" s="463" t="str">
        <f>IF('Student DATA Entry'!L110="","",UPPER('Student DATA Entry'!L110))</f>
        <v/>
      </c>
      <c r="K113" s="469" t="str">
        <f>IF('Student DATA Entry'!J110="","",UPPER('Student DATA Entry'!J110))</f>
        <v/>
      </c>
      <c r="L113" s="491"/>
      <c r="M113" s="8"/>
      <c r="N113" s="8"/>
      <c r="O113" s="9"/>
      <c r="P113" s="492"/>
      <c r="Q113" s="491"/>
      <c r="R113" s="8"/>
      <c r="S113" s="8"/>
      <c r="T113" s="9"/>
      <c r="U113" s="492"/>
      <c r="V113" s="502"/>
      <c r="W113" s="7"/>
      <c r="X113" s="8"/>
      <c r="Y113" s="8"/>
      <c r="Z113" s="9"/>
      <c r="AA113" s="492"/>
      <c r="AB113" s="491"/>
      <c r="AC113" s="8"/>
      <c r="AD113" s="8"/>
      <c r="AE113" s="9"/>
      <c r="AF113" s="492"/>
      <c r="AG113" s="491"/>
      <c r="AH113" s="8"/>
      <c r="AI113" s="8"/>
      <c r="AJ113" s="9"/>
      <c r="AK113" s="492"/>
      <c r="AL113" s="491"/>
      <c r="AM113" s="8"/>
      <c r="AN113" s="8"/>
      <c r="AO113" s="9"/>
      <c r="AP113" s="492"/>
      <c r="AQ113" s="506"/>
      <c r="AR113" s="491"/>
      <c r="AS113" s="8"/>
      <c r="AT113" s="8"/>
      <c r="AU113" s="9"/>
      <c r="AV113" s="9"/>
      <c r="AW113" s="17"/>
      <c r="AX113" s="492"/>
      <c r="AY113" s="491"/>
      <c r="AZ113" s="7"/>
      <c r="BA113" s="9"/>
      <c r="BB113" s="9"/>
      <c r="BC113" s="492"/>
      <c r="BD113" s="491"/>
      <c r="BE113" s="7"/>
      <c r="BF113" s="7"/>
      <c r="BG113" s="7"/>
      <c r="BH113" s="9"/>
      <c r="BI113" s="9"/>
      <c r="BJ113" s="492"/>
      <c r="BK113" s="491"/>
      <c r="BL113" s="7"/>
      <c r="BM113" s="7"/>
      <c r="BN113" s="7"/>
      <c r="BO113" s="7"/>
      <c r="BP113" s="7"/>
      <c r="BQ113" s="7"/>
      <c r="BR113" s="8"/>
      <c r="BS113" s="8"/>
      <c r="BT113" s="509"/>
      <c r="BU113" s="491"/>
      <c r="BV113" s="8"/>
      <c r="BW113" s="509"/>
      <c r="BX113" s="491"/>
      <c r="BY113" s="8"/>
      <c r="BZ113" s="509"/>
      <c r="CA113" s="751"/>
    </row>
    <row r="114" spans="1:79" ht="24.95" customHeight="1">
      <c r="A114" s="468">
        <f>IF('Student DATA Entry'!A111="","",'Student DATA Entry'!A111)</f>
        <v>108</v>
      </c>
      <c r="B114" s="459" t="str">
        <f>IF('Student DATA Entry'!B111="","",'Student DATA Entry'!B111)</f>
        <v/>
      </c>
      <c r="C114" s="459" t="str">
        <f>IF('Student DATA Entry'!C111="","",'Student DATA Entry'!C111)</f>
        <v/>
      </c>
      <c r="D114" s="459" t="str">
        <f>IF('Student DATA Entry'!D111="","",'Student DATA Entry'!D111)</f>
        <v/>
      </c>
      <c r="E114" s="459" t="str">
        <f>IF('Student DATA Entry'!E111="","",'Student DATA Entry'!E111)</f>
        <v/>
      </c>
      <c r="F114" s="460" t="str">
        <f>IF('Student DATA Entry'!K111="","",'Student DATA Entry'!K111)</f>
        <v/>
      </c>
      <c r="G114" s="461" t="str">
        <f>IF('Student DATA Entry'!G111="","",UPPER('Student DATA Entry'!G111))</f>
        <v/>
      </c>
      <c r="H114" s="461" t="str">
        <f>IF('Student DATA Entry'!H111="","",UPPER('Student DATA Entry'!H111))</f>
        <v/>
      </c>
      <c r="I114" s="462" t="str">
        <f>IF('Student DATA Entry'!I111="","",UPPER('Student DATA Entry'!I111))</f>
        <v/>
      </c>
      <c r="J114" s="463" t="str">
        <f>IF('Student DATA Entry'!L111="","",UPPER('Student DATA Entry'!L111))</f>
        <v/>
      </c>
      <c r="K114" s="469" t="str">
        <f>IF('Student DATA Entry'!J111="","",UPPER('Student DATA Entry'!J111))</f>
        <v/>
      </c>
      <c r="L114" s="491"/>
      <c r="M114" s="8"/>
      <c r="N114" s="8"/>
      <c r="O114" s="9"/>
      <c r="P114" s="492"/>
      <c r="Q114" s="491"/>
      <c r="R114" s="8"/>
      <c r="S114" s="8"/>
      <c r="T114" s="9"/>
      <c r="U114" s="492"/>
      <c r="V114" s="502"/>
      <c r="W114" s="7"/>
      <c r="X114" s="8"/>
      <c r="Y114" s="8"/>
      <c r="Z114" s="9"/>
      <c r="AA114" s="492"/>
      <c r="AB114" s="491"/>
      <c r="AC114" s="8"/>
      <c r="AD114" s="8"/>
      <c r="AE114" s="9"/>
      <c r="AF114" s="492"/>
      <c r="AG114" s="491"/>
      <c r="AH114" s="8"/>
      <c r="AI114" s="8"/>
      <c r="AJ114" s="9"/>
      <c r="AK114" s="492"/>
      <c r="AL114" s="491"/>
      <c r="AM114" s="8"/>
      <c r="AN114" s="8"/>
      <c r="AO114" s="9"/>
      <c r="AP114" s="492"/>
      <c r="AQ114" s="506"/>
      <c r="AR114" s="491"/>
      <c r="AS114" s="8"/>
      <c r="AT114" s="8"/>
      <c r="AU114" s="9"/>
      <c r="AV114" s="9"/>
      <c r="AW114" s="17"/>
      <c r="AX114" s="492"/>
      <c r="AY114" s="491"/>
      <c r="AZ114" s="7"/>
      <c r="BA114" s="9"/>
      <c r="BB114" s="9"/>
      <c r="BC114" s="492"/>
      <c r="BD114" s="491"/>
      <c r="BE114" s="7"/>
      <c r="BF114" s="7"/>
      <c r="BG114" s="7"/>
      <c r="BH114" s="9"/>
      <c r="BI114" s="9"/>
      <c r="BJ114" s="492"/>
      <c r="BK114" s="491"/>
      <c r="BL114" s="7"/>
      <c r="BM114" s="7"/>
      <c r="BN114" s="7"/>
      <c r="BO114" s="7"/>
      <c r="BP114" s="7"/>
      <c r="BQ114" s="7"/>
      <c r="BR114" s="8"/>
      <c r="BS114" s="8"/>
      <c r="BT114" s="509"/>
      <c r="BU114" s="491"/>
      <c r="BV114" s="8"/>
      <c r="BW114" s="509"/>
      <c r="BX114" s="491"/>
      <c r="BY114" s="8"/>
      <c r="BZ114" s="509"/>
      <c r="CA114" s="751"/>
    </row>
    <row r="115" spans="1:79" ht="24.95" customHeight="1">
      <c r="A115" s="468">
        <f>IF('Student DATA Entry'!A112="","",'Student DATA Entry'!A112)</f>
        <v>109</v>
      </c>
      <c r="B115" s="459" t="str">
        <f>IF('Student DATA Entry'!B112="","",'Student DATA Entry'!B112)</f>
        <v/>
      </c>
      <c r="C115" s="459" t="str">
        <f>IF('Student DATA Entry'!C112="","",'Student DATA Entry'!C112)</f>
        <v/>
      </c>
      <c r="D115" s="459" t="str">
        <f>IF('Student DATA Entry'!D112="","",'Student DATA Entry'!D112)</f>
        <v/>
      </c>
      <c r="E115" s="459" t="str">
        <f>IF('Student DATA Entry'!E112="","",'Student DATA Entry'!E112)</f>
        <v/>
      </c>
      <c r="F115" s="460" t="str">
        <f>IF('Student DATA Entry'!K112="","",'Student DATA Entry'!K112)</f>
        <v/>
      </c>
      <c r="G115" s="461" t="str">
        <f>IF('Student DATA Entry'!G112="","",UPPER('Student DATA Entry'!G112))</f>
        <v/>
      </c>
      <c r="H115" s="461" t="str">
        <f>IF('Student DATA Entry'!H112="","",UPPER('Student DATA Entry'!H112))</f>
        <v/>
      </c>
      <c r="I115" s="462" t="str">
        <f>IF('Student DATA Entry'!I112="","",UPPER('Student DATA Entry'!I112))</f>
        <v/>
      </c>
      <c r="J115" s="463" t="str">
        <f>IF('Student DATA Entry'!L112="","",UPPER('Student DATA Entry'!L112))</f>
        <v/>
      </c>
      <c r="K115" s="469" t="str">
        <f>IF('Student DATA Entry'!J112="","",UPPER('Student DATA Entry'!J112))</f>
        <v/>
      </c>
      <c r="L115" s="491"/>
      <c r="M115" s="8"/>
      <c r="N115" s="8"/>
      <c r="O115" s="9"/>
      <c r="P115" s="492"/>
      <c r="Q115" s="491"/>
      <c r="R115" s="8"/>
      <c r="S115" s="8"/>
      <c r="T115" s="9"/>
      <c r="U115" s="492"/>
      <c r="V115" s="502"/>
      <c r="W115" s="7"/>
      <c r="X115" s="8"/>
      <c r="Y115" s="8"/>
      <c r="Z115" s="9"/>
      <c r="AA115" s="492"/>
      <c r="AB115" s="491"/>
      <c r="AC115" s="8"/>
      <c r="AD115" s="8"/>
      <c r="AE115" s="9"/>
      <c r="AF115" s="492"/>
      <c r="AG115" s="491"/>
      <c r="AH115" s="8"/>
      <c r="AI115" s="8"/>
      <c r="AJ115" s="9"/>
      <c r="AK115" s="492"/>
      <c r="AL115" s="491"/>
      <c r="AM115" s="8"/>
      <c r="AN115" s="8"/>
      <c r="AO115" s="9"/>
      <c r="AP115" s="492"/>
      <c r="AQ115" s="506"/>
      <c r="AR115" s="491"/>
      <c r="AS115" s="8"/>
      <c r="AT115" s="8"/>
      <c r="AU115" s="9"/>
      <c r="AV115" s="9"/>
      <c r="AW115" s="17"/>
      <c r="AX115" s="492"/>
      <c r="AY115" s="491"/>
      <c r="AZ115" s="7"/>
      <c r="BA115" s="9"/>
      <c r="BB115" s="9"/>
      <c r="BC115" s="492"/>
      <c r="BD115" s="491"/>
      <c r="BE115" s="7"/>
      <c r="BF115" s="7"/>
      <c r="BG115" s="7"/>
      <c r="BH115" s="9"/>
      <c r="BI115" s="9"/>
      <c r="BJ115" s="492"/>
      <c r="BK115" s="491"/>
      <c r="BL115" s="7"/>
      <c r="BM115" s="7"/>
      <c r="BN115" s="7"/>
      <c r="BO115" s="7"/>
      <c r="BP115" s="7"/>
      <c r="BQ115" s="7"/>
      <c r="BR115" s="8"/>
      <c r="BS115" s="8"/>
      <c r="BT115" s="509"/>
      <c r="BU115" s="491"/>
      <c r="BV115" s="8"/>
      <c r="BW115" s="509"/>
      <c r="BX115" s="491"/>
      <c r="BY115" s="8"/>
      <c r="BZ115" s="509"/>
      <c r="CA115" s="751"/>
    </row>
    <row r="116" spans="1:79" ht="24.95" customHeight="1">
      <c r="A116" s="468">
        <f>IF('Student DATA Entry'!A113="","",'Student DATA Entry'!A113)</f>
        <v>110</v>
      </c>
      <c r="B116" s="459" t="str">
        <f>IF('Student DATA Entry'!B113="","",'Student DATA Entry'!B113)</f>
        <v/>
      </c>
      <c r="C116" s="459" t="str">
        <f>IF('Student DATA Entry'!C113="","",'Student DATA Entry'!C113)</f>
        <v/>
      </c>
      <c r="D116" s="459" t="str">
        <f>IF('Student DATA Entry'!D113="","",'Student DATA Entry'!D113)</f>
        <v/>
      </c>
      <c r="E116" s="459" t="str">
        <f>IF('Student DATA Entry'!E113="","",'Student DATA Entry'!E113)</f>
        <v/>
      </c>
      <c r="F116" s="460" t="str">
        <f>IF('Student DATA Entry'!K113="","",'Student DATA Entry'!K113)</f>
        <v/>
      </c>
      <c r="G116" s="461" t="str">
        <f>IF('Student DATA Entry'!G113="","",UPPER('Student DATA Entry'!G113))</f>
        <v/>
      </c>
      <c r="H116" s="461" t="str">
        <f>IF('Student DATA Entry'!H113="","",UPPER('Student DATA Entry'!H113))</f>
        <v/>
      </c>
      <c r="I116" s="462" t="str">
        <f>IF('Student DATA Entry'!I113="","",UPPER('Student DATA Entry'!I113))</f>
        <v/>
      </c>
      <c r="J116" s="463" t="str">
        <f>IF('Student DATA Entry'!L113="","",UPPER('Student DATA Entry'!L113))</f>
        <v/>
      </c>
      <c r="K116" s="469" t="str">
        <f>IF('Student DATA Entry'!J113="","",UPPER('Student DATA Entry'!J113))</f>
        <v/>
      </c>
      <c r="L116" s="491"/>
      <c r="M116" s="8"/>
      <c r="N116" s="8"/>
      <c r="O116" s="9"/>
      <c r="P116" s="492"/>
      <c r="Q116" s="491"/>
      <c r="R116" s="8"/>
      <c r="S116" s="8"/>
      <c r="T116" s="9"/>
      <c r="U116" s="492"/>
      <c r="V116" s="502"/>
      <c r="W116" s="7"/>
      <c r="X116" s="8"/>
      <c r="Y116" s="8"/>
      <c r="Z116" s="9"/>
      <c r="AA116" s="492"/>
      <c r="AB116" s="491"/>
      <c r="AC116" s="8"/>
      <c r="AD116" s="8"/>
      <c r="AE116" s="9"/>
      <c r="AF116" s="492"/>
      <c r="AG116" s="491"/>
      <c r="AH116" s="8"/>
      <c r="AI116" s="8"/>
      <c r="AJ116" s="9"/>
      <c r="AK116" s="492"/>
      <c r="AL116" s="491"/>
      <c r="AM116" s="8"/>
      <c r="AN116" s="8"/>
      <c r="AO116" s="9"/>
      <c r="AP116" s="492"/>
      <c r="AQ116" s="506"/>
      <c r="AR116" s="491"/>
      <c r="AS116" s="8"/>
      <c r="AT116" s="8"/>
      <c r="AU116" s="9"/>
      <c r="AV116" s="9"/>
      <c r="AW116" s="17"/>
      <c r="AX116" s="492"/>
      <c r="AY116" s="491"/>
      <c r="AZ116" s="7"/>
      <c r="BA116" s="9"/>
      <c r="BB116" s="9"/>
      <c r="BC116" s="492"/>
      <c r="BD116" s="491"/>
      <c r="BE116" s="7"/>
      <c r="BF116" s="7"/>
      <c r="BG116" s="7"/>
      <c r="BH116" s="9"/>
      <c r="BI116" s="9"/>
      <c r="BJ116" s="492"/>
      <c r="BK116" s="491"/>
      <c r="BL116" s="7"/>
      <c r="BM116" s="7"/>
      <c r="BN116" s="7"/>
      <c r="BO116" s="7"/>
      <c r="BP116" s="7"/>
      <c r="BQ116" s="7"/>
      <c r="BR116" s="8"/>
      <c r="BS116" s="8"/>
      <c r="BT116" s="509"/>
      <c r="BU116" s="491"/>
      <c r="BV116" s="8"/>
      <c r="BW116" s="509"/>
      <c r="BX116" s="491"/>
      <c r="BY116" s="8"/>
      <c r="BZ116" s="509"/>
      <c r="CA116" s="751"/>
    </row>
    <row r="117" spans="1:79" ht="24.95" customHeight="1">
      <c r="A117" s="468">
        <f>IF('Student DATA Entry'!A114="","",'Student DATA Entry'!A114)</f>
        <v>111</v>
      </c>
      <c r="B117" s="459" t="str">
        <f>IF('Student DATA Entry'!B114="","",'Student DATA Entry'!B114)</f>
        <v/>
      </c>
      <c r="C117" s="459" t="str">
        <f>IF('Student DATA Entry'!C114="","",'Student DATA Entry'!C114)</f>
        <v/>
      </c>
      <c r="D117" s="459" t="str">
        <f>IF('Student DATA Entry'!D114="","",'Student DATA Entry'!D114)</f>
        <v/>
      </c>
      <c r="E117" s="459" t="str">
        <f>IF('Student DATA Entry'!E114="","",'Student DATA Entry'!E114)</f>
        <v/>
      </c>
      <c r="F117" s="460" t="str">
        <f>IF('Student DATA Entry'!K114="","",'Student DATA Entry'!K114)</f>
        <v/>
      </c>
      <c r="G117" s="461" t="str">
        <f>IF('Student DATA Entry'!G114="","",UPPER('Student DATA Entry'!G114))</f>
        <v/>
      </c>
      <c r="H117" s="461" t="str">
        <f>IF('Student DATA Entry'!H114="","",UPPER('Student DATA Entry'!H114))</f>
        <v/>
      </c>
      <c r="I117" s="462" t="str">
        <f>IF('Student DATA Entry'!I114="","",UPPER('Student DATA Entry'!I114))</f>
        <v/>
      </c>
      <c r="J117" s="463" t="str">
        <f>IF('Student DATA Entry'!L114="","",UPPER('Student DATA Entry'!L114))</f>
        <v/>
      </c>
      <c r="K117" s="469" t="str">
        <f>IF('Student DATA Entry'!J114="","",UPPER('Student DATA Entry'!J114))</f>
        <v/>
      </c>
      <c r="L117" s="491"/>
      <c r="M117" s="8"/>
      <c r="N117" s="8"/>
      <c r="O117" s="9"/>
      <c r="P117" s="492"/>
      <c r="Q117" s="491"/>
      <c r="R117" s="8"/>
      <c r="S117" s="8"/>
      <c r="T117" s="9"/>
      <c r="U117" s="492"/>
      <c r="V117" s="502"/>
      <c r="W117" s="7"/>
      <c r="X117" s="8"/>
      <c r="Y117" s="8"/>
      <c r="Z117" s="9"/>
      <c r="AA117" s="492"/>
      <c r="AB117" s="491"/>
      <c r="AC117" s="8"/>
      <c r="AD117" s="8"/>
      <c r="AE117" s="9"/>
      <c r="AF117" s="492"/>
      <c r="AG117" s="491"/>
      <c r="AH117" s="8"/>
      <c r="AI117" s="8"/>
      <c r="AJ117" s="9"/>
      <c r="AK117" s="492"/>
      <c r="AL117" s="491"/>
      <c r="AM117" s="8"/>
      <c r="AN117" s="8"/>
      <c r="AO117" s="9"/>
      <c r="AP117" s="492"/>
      <c r="AQ117" s="506"/>
      <c r="AR117" s="491"/>
      <c r="AS117" s="8"/>
      <c r="AT117" s="8"/>
      <c r="AU117" s="9"/>
      <c r="AV117" s="9"/>
      <c r="AW117" s="17"/>
      <c r="AX117" s="492"/>
      <c r="AY117" s="491"/>
      <c r="AZ117" s="7"/>
      <c r="BA117" s="9"/>
      <c r="BB117" s="9"/>
      <c r="BC117" s="492"/>
      <c r="BD117" s="491"/>
      <c r="BE117" s="7"/>
      <c r="BF117" s="7"/>
      <c r="BG117" s="7"/>
      <c r="BH117" s="9"/>
      <c r="BI117" s="9"/>
      <c r="BJ117" s="492"/>
      <c r="BK117" s="491"/>
      <c r="BL117" s="7"/>
      <c r="BM117" s="7"/>
      <c r="BN117" s="7"/>
      <c r="BO117" s="7"/>
      <c r="BP117" s="7"/>
      <c r="BQ117" s="7"/>
      <c r="BR117" s="8"/>
      <c r="BS117" s="8"/>
      <c r="BT117" s="509"/>
      <c r="BU117" s="491"/>
      <c r="BV117" s="8"/>
      <c r="BW117" s="509"/>
      <c r="BX117" s="491"/>
      <c r="BY117" s="8"/>
      <c r="BZ117" s="509"/>
      <c r="CA117" s="751"/>
    </row>
    <row r="118" spans="1:79" ht="24.95" customHeight="1">
      <c r="A118" s="468">
        <f>IF('Student DATA Entry'!A115="","",'Student DATA Entry'!A115)</f>
        <v>112</v>
      </c>
      <c r="B118" s="459" t="str">
        <f>IF('Student DATA Entry'!B115="","",'Student DATA Entry'!B115)</f>
        <v/>
      </c>
      <c r="C118" s="459" t="str">
        <f>IF('Student DATA Entry'!C115="","",'Student DATA Entry'!C115)</f>
        <v/>
      </c>
      <c r="D118" s="459" t="str">
        <f>IF('Student DATA Entry'!D115="","",'Student DATA Entry'!D115)</f>
        <v/>
      </c>
      <c r="E118" s="459" t="str">
        <f>IF('Student DATA Entry'!E115="","",'Student DATA Entry'!E115)</f>
        <v/>
      </c>
      <c r="F118" s="460" t="str">
        <f>IF('Student DATA Entry'!K115="","",'Student DATA Entry'!K115)</f>
        <v/>
      </c>
      <c r="G118" s="461" t="str">
        <f>IF('Student DATA Entry'!G115="","",UPPER('Student DATA Entry'!G115))</f>
        <v/>
      </c>
      <c r="H118" s="461" t="str">
        <f>IF('Student DATA Entry'!H115="","",UPPER('Student DATA Entry'!H115))</f>
        <v/>
      </c>
      <c r="I118" s="462" t="str">
        <f>IF('Student DATA Entry'!I115="","",UPPER('Student DATA Entry'!I115))</f>
        <v/>
      </c>
      <c r="J118" s="463" t="str">
        <f>IF('Student DATA Entry'!L115="","",UPPER('Student DATA Entry'!L115))</f>
        <v/>
      </c>
      <c r="K118" s="469" t="str">
        <f>IF('Student DATA Entry'!J115="","",UPPER('Student DATA Entry'!J115))</f>
        <v/>
      </c>
      <c r="L118" s="491"/>
      <c r="M118" s="8"/>
      <c r="N118" s="8"/>
      <c r="O118" s="9"/>
      <c r="P118" s="492"/>
      <c r="Q118" s="491"/>
      <c r="R118" s="8"/>
      <c r="S118" s="8"/>
      <c r="T118" s="9"/>
      <c r="U118" s="492"/>
      <c r="V118" s="502"/>
      <c r="W118" s="7"/>
      <c r="X118" s="8"/>
      <c r="Y118" s="8"/>
      <c r="Z118" s="9"/>
      <c r="AA118" s="492"/>
      <c r="AB118" s="491"/>
      <c r="AC118" s="8"/>
      <c r="AD118" s="8"/>
      <c r="AE118" s="9"/>
      <c r="AF118" s="492"/>
      <c r="AG118" s="491"/>
      <c r="AH118" s="8"/>
      <c r="AI118" s="8"/>
      <c r="AJ118" s="9"/>
      <c r="AK118" s="492"/>
      <c r="AL118" s="491"/>
      <c r="AM118" s="8"/>
      <c r="AN118" s="8"/>
      <c r="AO118" s="9"/>
      <c r="AP118" s="492"/>
      <c r="AQ118" s="506"/>
      <c r="AR118" s="491"/>
      <c r="AS118" s="8"/>
      <c r="AT118" s="8"/>
      <c r="AU118" s="9"/>
      <c r="AV118" s="9"/>
      <c r="AW118" s="17"/>
      <c r="AX118" s="492"/>
      <c r="AY118" s="491"/>
      <c r="AZ118" s="7"/>
      <c r="BA118" s="9"/>
      <c r="BB118" s="9"/>
      <c r="BC118" s="492"/>
      <c r="BD118" s="491"/>
      <c r="BE118" s="7"/>
      <c r="BF118" s="7"/>
      <c r="BG118" s="7"/>
      <c r="BH118" s="9"/>
      <c r="BI118" s="9"/>
      <c r="BJ118" s="492"/>
      <c r="BK118" s="491"/>
      <c r="BL118" s="7"/>
      <c r="BM118" s="7"/>
      <c r="BN118" s="7"/>
      <c r="BO118" s="7"/>
      <c r="BP118" s="7"/>
      <c r="BQ118" s="7"/>
      <c r="BR118" s="8"/>
      <c r="BS118" s="8"/>
      <c r="BT118" s="509"/>
      <c r="BU118" s="491"/>
      <c r="BV118" s="8"/>
      <c r="BW118" s="509"/>
      <c r="BX118" s="491"/>
      <c r="BY118" s="8"/>
      <c r="BZ118" s="509"/>
      <c r="CA118" s="751"/>
    </row>
    <row r="119" spans="1:79" ht="24.95" customHeight="1">
      <c r="A119" s="468">
        <f>IF('Student DATA Entry'!A116="","",'Student DATA Entry'!A116)</f>
        <v>113</v>
      </c>
      <c r="B119" s="459" t="str">
        <f>IF('Student DATA Entry'!B116="","",'Student DATA Entry'!B116)</f>
        <v/>
      </c>
      <c r="C119" s="459" t="str">
        <f>IF('Student DATA Entry'!C116="","",'Student DATA Entry'!C116)</f>
        <v/>
      </c>
      <c r="D119" s="459" t="str">
        <f>IF('Student DATA Entry'!D116="","",'Student DATA Entry'!D116)</f>
        <v/>
      </c>
      <c r="E119" s="459" t="str">
        <f>IF('Student DATA Entry'!E116="","",'Student DATA Entry'!E116)</f>
        <v/>
      </c>
      <c r="F119" s="460" t="str">
        <f>IF('Student DATA Entry'!K116="","",'Student DATA Entry'!K116)</f>
        <v/>
      </c>
      <c r="G119" s="461" t="str">
        <f>IF('Student DATA Entry'!G116="","",UPPER('Student DATA Entry'!G116))</f>
        <v/>
      </c>
      <c r="H119" s="461" t="str">
        <f>IF('Student DATA Entry'!H116="","",UPPER('Student DATA Entry'!H116))</f>
        <v/>
      </c>
      <c r="I119" s="462" t="str">
        <f>IF('Student DATA Entry'!I116="","",UPPER('Student DATA Entry'!I116))</f>
        <v/>
      </c>
      <c r="J119" s="463" t="str">
        <f>IF('Student DATA Entry'!L116="","",UPPER('Student DATA Entry'!L116))</f>
        <v/>
      </c>
      <c r="K119" s="469" t="str">
        <f>IF('Student DATA Entry'!J116="","",UPPER('Student DATA Entry'!J116))</f>
        <v/>
      </c>
      <c r="L119" s="491"/>
      <c r="M119" s="8"/>
      <c r="N119" s="8"/>
      <c r="O119" s="9"/>
      <c r="P119" s="492"/>
      <c r="Q119" s="491"/>
      <c r="R119" s="8"/>
      <c r="S119" s="8"/>
      <c r="T119" s="9"/>
      <c r="U119" s="492"/>
      <c r="V119" s="502"/>
      <c r="W119" s="7"/>
      <c r="X119" s="8"/>
      <c r="Y119" s="8"/>
      <c r="Z119" s="9"/>
      <c r="AA119" s="492"/>
      <c r="AB119" s="491"/>
      <c r="AC119" s="8"/>
      <c r="AD119" s="8"/>
      <c r="AE119" s="9"/>
      <c r="AF119" s="492"/>
      <c r="AG119" s="491"/>
      <c r="AH119" s="8"/>
      <c r="AI119" s="8"/>
      <c r="AJ119" s="9"/>
      <c r="AK119" s="492"/>
      <c r="AL119" s="491"/>
      <c r="AM119" s="8"/>
      <c r="AN119" s="8"/>
      <c r="AO119" s="9"/>
      <c r="AP119" s="492"/>
      <c r="AQ119" s="506"/>
      <c r="AR119" s="491"/>
      <c r="AS119" s="8"/>
      <c r="AT119" s="8"/>
      <c r="AU119" s="9"/>
      <c r="AV119" s="9"/>
      <c r="AW119" s="17"/>
      <c r="AX119" s="492"/>
      <c r="AY119" s="491"/>
      <c r="AZ119" s="7"/>
      <c r="BA119" s="9"/>
      <c r="BB119" s="9"/>
      <c r="BC119" s="492"/>
      <c r="BD119" s="491"/>
      <c r="BE119" s="7"/>
      <c r="BF119" s="7"/>
      <c r="BG119" s="7"/>
      <c r="BH119" s="9"/>
      <c r="BI119" s="9"/>
      <c r="BJ119" s="492"/>
      <c r="BK119" s="491"/>
      <c r="BL119" s="7"/>
      <c r="BM119" s="7"/>
      <c r="BN119" s="7"/>
      <c r="BO119" s="7"/>
      <c r="BP119" s="7"/>
      <c r="BQ119" s="7"/>
      <c r="BR119" s="8"/>
      <c r="BS119" s="8"/>
      <c r="BT119" s="509"/>
      <c r="BU119" s="491"/>
      <c r="BV119" s="8"/>
      <c r="BW119" s="509"/>
      <c r="BX119" s="491"/>
      <c r="BY119" s="8"/>
      <c r="BZ119" s="509"/>
      <c r="CA119" s="751"/>
    </row>
    <row r="120" spans="1:79" ht="24.95" customHeight="1">
      <c r="A120" s="468">
        <f>IF('Student DATA Entry'!A117="","",'Student DATA Entry'!A117)</f>
        <v>114</v>
      </c>
      <c r="B120" s="459" t="str">
        <f>IF('Student DATA Entry'!B117="","",'Student DATA Entry'!B117)</f>
        <v/>
      </c>
      <c r="C120" s="459" t="str">
        <f>IF('Student DATA Entry'!C117="","",'Student DATA Entry'!C117)</f>
        <v/>
      </c>
      <c r="D120" s="459" t="str">
        <f>IF('Student DATA Entry'!D117="","",'Student DATA Entry'!D117)</f>
        <v/>
      </c>
      <c r="E120" s="459" t="str">
        <f>IF('Student DATA Entry'!E117="","",'Student DATA Entry'!E117)</f>
        <v/>
      </c>
      <c r="F120" s="460" t="str">
        <f>IF('Student DATA Entry'!K117="","",'Student DATA Entry'!K117)</f>
        <v/>
      </c>
      <c r="G120" s="461" t="str">
        <f>IF('Student DATA Entry'!G117="","",UPPER('Student DATA Entry'!G117))</f>
        <v/>
      </c>
      <c r="H120" s="461" t="str">
        <f>IF('Student DATA Entry'!H117="","",UPPER('Student DATA Entry'!H117))</f>
        <v/>
      </c>
      <c r="I120" s="462" t="str">
        <f>IF('Student DATA Entry'!I117="","",UPPER('Student DATA Entry'!I117))</f>
        <v/>
      </c>
      <c r="J120" s="463" t="str">
        <f>IF('Student DATA Entry'!L117="","",UPPER('Student DATA Entry'!L117))</f>
        <v/>
      </c>
      <c r="K120" s="469" t="str">
        <f>IF('Student DATA Entry'!J117="","",UPPER('Student DATA Entry'!J117))</f>
        <v/>
      </c>
      <c r="L120" s="491"/>
      <c r="M120" s="8"/>
      <c r="N120" s="8"/>
      <c r="O120" s="9"/>
      <c r="P120" s="492"/>
      <c r="Q120" s="491"/>
      <c r="R120" s="8"/>
      <c r="S120" s="8"/>
      <c r="T120" s="9"/>
      <c r="U120" s="492"/>
      <c r="V120" s="502"/>
      <c r="W120" s="7"/>
      <c r="X120" s="8"/>
      <c r="Y120" s="8"/>
      <c r="Z120" s="9"/>
      <c r="AA120" s="492"/>
      <c r="AB120" s="491"/>
      <c r="AC120" s="8"/>
      <c r="AD120" s="8"/>
      <c r="AE120" s="9"/>
      <c r="AF120" s="492"/>
      <c r="AG120" s="491"/>
      <c r="AH120" s="8"/>
      <c r="AI120" s="8"/>
      <c r="AJ120" s="9"/>
      <c r="AK120" s="492"/>
      <c r="AL120" s="491"/>
      <c r="AM120" s="8"/>
      <c r="AN120" s="8"/>
      <c r="AO120" s="9"/>
      <c r="AP120" s="492"/>
      <c r="AQ120" s="506"/>
      <c r="AR120" s="491"/>
      <c r="AS120" s="8"/>
      <c r="AT120" s="8"/>
      <c r="AU120" s="9"/>
      <c r="AV120" s="9"/>
      <c r="AW120" s="17"/>
      <c r="AX120" s="492"/>
      <c r="AY120" s="491"/>
      <c r="AZ120" s="7"/>
      <c r="BA120" s="9"/>
      <c r="BB120" s="9"/>
      <c r="BC120" s="492"/>
      <c r="BD120" s="491"/>
      <c r="BE120" s="7"/>
      <c r="BF120" s="7"/>
      <c r="BG120" s="7"/>
      <c r="BH120" s="9"/>
      <c r="BI120" s="9"/>
      <c r="BJ120" s="492"/>
      <c r="BK120" s="491"/>
      <c r="BL120" s="7"/>
      <c r="BM120" s="7"/>
      <c r="BN120" s="7"/>
      <c r="BO120" s="7"/>
      <c r="BP120" s="7"/>
      <c r="BQ120" s="7"/>
      <c r="BR120" s="8"/>
      <c r="BS120" s="8"/>
      <c r="BT120" s="509"/>
      <c r="BU120" s="491"/>
      <c r="BV120" s="8"/>
      <c r="BW120" s="509"/>
      <c r="BX120" s="491"/>
      <c r="BY120" s="8"/>
      <c r="BZ120" s="509"/>
      <c r="CA120" s="751"/>
    </row>
    <row r="121" spans="1:79" ht="24.95" customHeight="1">
      <c r="A121" s="468">
        <f>IF('Student DATA Entry'!A118="","",'Student DATA Entry'!A118)</f>
        <v>115</v>
      </c>
      <c r="B121" s="459" t="str">
        <f>IF('Student DATA Entry'!B118="","",'Student DATA Entry'!B118)</f>
        <v/>
      </c>
      <c r="C121" s="459" t="str">
        <f>IF('Student DATA Entry'!C118="","",'Student DATA Entry'!C118)</f>
        <v/>
      </c>
      <c r="D121" s="459" t="str">
        <f>IF('Student DATA Entry'!D118="","",'Student DATA Entry'!D118)</f>
        <v/>
      </c>
      <c r="E121" s="459" t="str">
        <f>IF('Student DATA Entry'!E118="","",'Student DATA Entry'!E118)</f>
        <v/>
      </c>
      <c r="F121" s="460" t="str">
        <f>IF('Student DATA Entry'!K118="","",'Student DATA Entry'!K118)</f>
        <v/>
      </c>
      <c r="G121" s="461" t="str">
        <f>IF('Student DATA Entry'!G118="","",UPPER('Student DATA Entry'!G118))</f>
        <v/>
      </c>
      <c r="H121" s="461" t="str">
        <f>IF('Student DATA Entry'!H118="","",UPPER('Student DATA Entry'!H118))</f>
        <v/>
      </c>
      <c r="I121" s="462" t="str">
        <f>IF('Student DATA Entry'!I118="","",UPPER('Student DATA Entry'!I118))</f>
        <v/>
      </c>
      <c r="J121" s="463" t="str">
        <f>IF('Student DATA Entry'!L118="","",UPPER('Student DATA Entry'!L118))</f>
        <v/>
      </c>
      <c r="K121" s="469" t="str">
        <f>IF('Student DATA Entry'!J118="","",UPPER('Student DATA Entry'!J118))</f>
        <v/>
      </c>
      <c r="L121" s="491"/>
      <c r="M121" s="8"/>
      <c r="N121" s="8"/>
      <c r="O121" s="9"/>
      <c r="P121" s="492"/>
      <c r="Q121" s="491"/>
      <c r="R121" s="8"/>
      <c r="S121" s="8"/>
      <c r="T121" s="9"/>
      <c r="U121" s="492"/>
      <c r="V121" s="502"/>
      <c r="W121" s="7"/>
      <c r="X121" s="8"/>
      <c r="Y121" s="8"/>
      <c r="Z121" s="9"/>
      <c r="AA121" s="492"/>
      <c r="AB121" s="491"/>
      <c r="AC121" s="8"/>
      <c r="AD121" s="8"/>
      <c r="AE121" s="9"/>
      <c r="AF121" s="492"/>
      <c r="AG121" s="491"/>
      <c r="AH121" s="8"/>
      <c r="AI121" s="8"/>
      <c r="AJ121" s="9"/>
      <c r="AK121" s="492"/>
      <c r="AL121" s="491"/>
      <c r="AM121" s="8"/>
      <c r="AN121" s="8"/>
      <c r="AO121" s="9"/>
      <c r="AP121" s="492"/>
      <c r="AQ121" s="506"/>
      <c r="AR121" s="491"/>
      <c r="AS121" s="8"/>
      <c r="AT121" s="8"/>
      <c r="AU121" s="9"/>
      <c r="AV121" s="9"/>
      <c r="AW121" s="17"/>
      <c r="AX121" s="492"/>
      <c r="AY121" s="491"/>
      <c r="AZ121" s="7"/>
      <c r="BA121" s="9"/>
      <c r="BB121" s="9"/>
      <c r="BC121" s="492"/>
      <c r="BD121" s="491"/>
      <c r="BE121" s="7"/>
      <c r="BF121" s="7"/>
      <c r="BG121" s="7"/>
      <c r="BH121" s="9"/>
      <c r="BI121" s="9"/>
      <c r="BJ121" s="492"/>
      <c r="BK121" s="491"/>
      <c r="BL121" s="7"/>
      <c r="BM121" s="7"/>
      <c r="BN121" s="7"/>
      <c r="BO121" s="7"/>
      <c r="BP121" s="7"/>
      <c r="BQ121" s="7"/>
      <c r="BR121" s="8"/>
      <c r="BS121" s="8"/>
      <c r="BT121" s="509"/>
      <c r="BU121" s="491"/>
      <c r="BV121" s="8"/>
      <c r="BW121" s="509"/>
      <c r="BX121" s="491"/>
      <c r="BY121" s="8"/>
      <c r="BZ121" s="509"/>
      <c r="CA121" s="751"/>
    </row>
    <row r="122" spans="1:79" ht="24.95" customHeight="1">
      <c r="A122" s="468">
        <f>IF('Student DATA Entry'!A119="","",'Student DATA Entry'!A119)</f>
        <v>116</v>
      </c>
      <c r="B122" s="459" t="str">
        <f>IF('Student DATA Entry'!B119="","",'Student DATA Entry'!B119)</f>
        <v/>
      </c>
      <c r="C122" s="459" t="str">
        <f>IF('Student DATA Entry'!C119="","",'Student DATA Entry'!C119)</f>
        <v/>
      </c>
      <c r="D122" s="459" t="str">
        <f>IF('Student DATA Entry'!D119="","",'Student DATA Entry'!D119)</f>
        <v/>
      </c>
      <c r="E122" s="459" t="str">
        <f>IF('Student DATA Entry'!E119="","",'Student DATA Entry'!E119)</f>
        <v/>
      </c>
      <c r="F122" s="460" t="str">
        <f>IF('Student DATA Entry'!K119="","",'Student DATA Entry'!K119)</f>
        <v/>
      </c>
      <c r="G122" s="461" t="str">
        <f>IF('Student DATA Entry'!G119="","",UPPER('Student DATA Entry'!G119))</f>
        <v/>
      </c>
      <c r="H122" s="461" t="str">
        <f>IF('Student DATA Entry'!H119="","",UPPER('Student DATA Entry'!H119))</f>
        <v/>
      </c>
      <c r="I122" s="462" t="str">
        <f>IF('Student DATA Entry'!I119="","",UPPER('Student DATA Entry'!I119))</f>
        <v/>
      </c>
      <c r="J122" s="463" t="str">
        <f>IF('Student DATA Entry'!L119="","",UPPER('Student DATA Entry'!L119))</f>
        <v/>
      </c>
      <c r="K122" s="469" t="str">
        <f>IF('Student DATA Entry'!J119="","",UPPER('Student DATA Entry'!J119))</f>
        <v/>
      </c>
      <c r="L122" s="491"/>
      <c r="M122" s="8"/>
      <c r="N122" s="8"/>
      <c r="O122" s="9"/>
      <c r="P122" s="492"/>
      <c r="Q122" s="491"/>
      <c r="R122" s="8"/>
      <c r="S122" s="8"/>
      <c r="T122" s="9"/>
      <c r="U122" s="492"/>
      <c r="V122" s="502"/>
      <c r="W122" s="7"/>
      <c r="X122" s="8"/>
      <c r="Y122" s="8"/>
      <c r="Z122" s="9"/>
      <c r="AA122" s="492"/>
      <c r="AB122" s="491"/>
      <c r="AC122" s="8"/>
      <c r="AD122" s="8"/>
      <c r="AE122" s="9"/>
      <c r="AF122" s="492"/>
      <c r="AG122" s="491"/>
      <c r="AH122" s="8"/>
      <c r="AI122" s="8"/>
      <c r="AJ122" s="9"/>
      <c r="AK122" s="492"/>
      <c r="AL122" s="491"/>
      <c r="AM122" s="8"/>
      <c r="AN122" s="8"/>
      <c r="AO122" s="9"/>
      <c r="AP122" s="492"/>
      <c r="AQ122" s="506"/>
      <c r="AR122" s="491"/>
      <c r="AS122" s="8"/>
      <c r="AT122" s="8"/>
      <c r="AU122" s="9"/>
      <c r="AV122" s="9"/>
      <c r="AW122" s="17"/>
      <c r="AX122" s="492"/>
      <c r="AY122" s="491"/>
      <c r="AZ122" s="7"/>
      <c r="BA122" s="9"/>
      <c r="BB122" s="9"/>
      <c r="BC122" s="492"/>
      <c r="BD122" s="491"/>
      <c r="BE122" s="7"/>
      <c r="BF122" s="7"/>
      <c r="BG122" s="7"/>
      <c r="BH122" s="9"/>
      <c r="BI122" s="9"/>
      <c r="BJ122" s="492"/>
      <c r="BK122" s="491"/>
      <c r="BL122" s="7"/>
      <c r="BM122" s="7"/>
      <c r="BN122" s="7"/>
      <c r="BO122" s="7"/>
      <c r="BP122" s="7"/>
      <c r="BQ122" s="7"/>
      <c r="BR122" s="8"/>
      <c r="BS122" s="8"/>
      <c r="BT122" s="509"/>
      <c r="BU122" s="491"/>
      <c r="BV122" s="8"/>
      <c r="BW122" s="509"/>
      <c r="BX122" s="491"/>
      <c r="BY122" s="8"/>
      <c r="BZ122" s="509"/>
      <c r="CA122" s="751"/>
    </row>
    <row r="123" spans="1:79" ht="24.95" customHeight="1">
      <c r="A123" s="468">
        <f>IF('Student DATA Entry'!A120="","",'Student DATA Entry'!A120)</f>
        <v>117</v>
      </c>
      <c r="B123" s="459" t="str">
        <f>IF('Student DATA Entry'!B120="","",'Student DATA Entry'!B120)</f>
        <v/>
      </c>
      <c r="C123" s="459" t="str">
        <f>IF('Student DATA Entry'!C120="","",'Student DATA Entry'!C120)</f>
        <v/>
      </c>
      <c r="D123" s="459" t="str">
        <f>IF('Student DATA Entry'!D120="","",'Student DATA Entry'!D120)</f>
        <v/>
      </c>
      <c r="E123" s="459" t="str">
        <f>IF('Student DATA Entry'!E120="","",'Student DATA Entry'!E120)</f>
        <v/>
      </c>
      <c r="F123" s="460" t="str">
        <f>IF('Student DATA Entry'!K120="","",'Student DATA Entry'!K120)</f>
        <v/>
      </c>
      <c r="G123" s="461" t="str">
        <f>IF('Student DATA Entry'!G120="","",UPPER('Student DATA Entry'!G120))</f>
        <v/>
      </c>
      <c r="H123" s="461" t="str">
        <f>IF('Student DATA Entry'!H120="","",UPPER('Student DATA Entry'!H120))</f>
        <v/>
      </c>
      <c r="I123" s="462" t="str">
        <f>IF('Student DATA Entry'!I120="","",UPPER('Student DATA Entry'!I120))</f>
        <v/>
      </c>
      <c r="J123" s="463" t="str">
        <f>IF('Student DATA Entry'!L120="","",UPPER('Student DATA Entry'!L120))</f>
        <v/>
      </c>
      <c r="K123" s="469" t="str">
        <f>IF('Student DATA Entry'!J120="","",UPPER('Student DATA Entry'!J120))</f>
        <v/>
      </c>
      <c r="L123" s="491"/>
      <c r="M123" s="8"/>
      <c r="N123" s="8"/>
      <c r="O123" s="9"/>
      <c r="P123" s="492"/>
      <c r="Q123" s="491"/>
      <c r="R123" s="8"/>
      <c r="S123" s="8"/>
      <c r="T123" s="9"/>
      <c r="U123" s="492"/>
      <c r="V123" s="502"/>
      <c r="W123" s="7"/>
      <c r="X123" s="8"/>
      <c r="Y123" s="8"/>
      <c r="Z123" s="9"/>
      <c r="AA123" s="492"/>
      <c r="AB123" s="491"/>
      <c r="AC123" s="8"/>
      <c r="AD123" s="8"/>
      <c r="AE123" s="9"/>
      <c r="AF123" s="492"/>
      <c r="AG123" s="491"/>
      <c r="AH123" s="8"/>
      <c r="AI123" s="8"/>
      <c r="AJ123" s="9"/>
      <c r="AK123" s="492"/>
      <c r="AL123" s="491"/>
      <c r="AM123" s="8"/>
      <c r="AN123" s="8"/>
      <c r="AO123" s="9"/>
      <c r="AP123" s="492"/>
      <c r="AQ123" s="506"/>
      <c r="AR123" s="491"/>
      <c r="AS123" s="8"/>
      <c r="AT123" s="8"/>
      <c r="AU123" s="9"/>
      <c r="AV123" s="9"/>
      <c r="AW123" s="17"/>
      <c r="AX123" s="492"/>
      <c r="AY123" s="491"/>
      <c r="AZ123" s="7"/>
      <c r="BA123" s="9"/>
      <c r="BB123" s="9"/>
      <c r="BC123" s="492"/>
      <c r="BD123" s="491"/>
      <c r="BE123" s="7"/>
      <c r="BF123" s="7"/>
      <c r="BG123" s="7"/>
      <c r="BH123" s="9"/>
      <c r="BI123" s="9"/>
      <c r="BJ123" s="492"/>
      <c r="BK123" s="491"/>
      <c r="BL123" s="7"/>
      <c r="BM123" s="7"/>
      <c r="BN123" s="7"/>
      <c r="BO123" s="7"/>
      <c r="BP123" s="7"/>
      <c r="BQ123" s="7"/>
      <c r="BR123" s="8"/>
      <c r="BS123" s="8"/>
      <c r="BT123" s="509"/>
      <c r="BU123" s="491"/>
      <c r="BV123" s="8"/>
      <c r="BW123" s="509"/>
      <c r="BX123" s="491"/>
      <c r="BY123" s="8"/>
      <c r="BZ123" s="509"/>
      <c r="CA123" s="751"/>
    </row>
    <row r="124" spans="1:79" ht="24.95" customHeight="1">
      <c r="A124" s="468">
        <f>IF('Student DATA Entry'!A121="","",'Student DATA Entry'!A121)</f>
        <v>118</v>
      </c>
      <c r="B124" s="459" t="str">
        <f>IF('Student DATA Entry'!B121="","",'Student DATA Entry'!B121)</f>
        <v/>
      </c>
      <c r="C124" s="459" t="str">
        <f>IF('Student DATA Entry'!C121="","",'Student DATA Entry'!C121)</f>
        <v/>
      </c>
      <c r="D124" s="459" t="str">
        <f>IF('Student DATA Entry'!D121="","",'Student DATA Entry'!D121)</f>
        <v/>
      </c>
      <c r="E124" s="459" t="str">
        <f>IF('Student DATA Entry'!E121="","",'Student DATA Entry'!E121)</f>
        <v/>
      </c>
      <c r="F124" s="460" t="str">
        <f>IF('Student DATA Entry'!K121="","",'Student DATA Entry'!K121)</f>
        <v/>
      </c>
      <c r="G124" s="461" t="str">
        <f>IF('Student DATA Entry'!G121="","",UPPER('Student DATA Entry'!G121))</f>
        <v/>
      </c>
      <c r="H124" s="461" t="str">
        <f>IF('Student DATA Entry'!H121="","",UPPER('Student DATA Entry'!H121))</f>
        <v/>
      </c>
      <c r="I124" s="462" t="str">
        <f>IF('Student DATA Entry'!I121="","",UPPER('Student DATA Entry'!I121))</f>
        <v/>
      </c>
      <c r="J124" s="463" t="str">
        <f>IF('Student DATA Entry'!L121="","",UPPER('Student DATA Entry'!L121))</f>
        <v/>
      </c>
      <c r="K124" s="469" t="str">
        <f>IF('Student DATA Entry'!J121="","",UPPER('Student DATA Entry'!J121))</f>
        <v/>
      </c>
      <c r="L124" s="491"/>
      <c r="M124" s="8"/>
      <c r="N124" s="8"/>
      <c r="O124" s="9"/>
      <c r="P124" s="492"/>
      <c r="Q124" s="491"/>
      <c r="R124" s="8"/>
      <c r="S124" s="8"/>
      <c r="T124" s="9"/>
      <c r="U124" s="492"/>
      <c r="V124" s="502"/>
      <c r="W124" s="7"/>
      <c r="X124" s="8"/>
      <c r="Y124" s="8"/>
      <c r="Z124" s="9"/>
      <c r="AA124" s="492"/>
      <c r="AB124" s="491"/>
      <c r="AC124" s="8"/>
      <c r="AD124" s="8"/>
      <c r="AE124" s="9"/>
      <c r="AF124" s="492"/>
      <c r="AG124" s="491"/>
      <c r="AH124" s="8"/>
      <c r="AI124" s="8"/>
      <c r="AJ124" s="9"/>
      <c r="AK124" s="492"/>
      <c r="AL124" s="491"/>
      <c r="AM124" s="8"/>
      <c r="AN124" s="8"/>
      <c r="AO124" s="9"/>
      <c r="AP124" s="492"/>
      <c r="AQ124" s="506"/>
      <c r="AR124" s="491"/>
      <c r="AS124" s="8"/>
      <c r="AT124" s="8"/>
      <c r="AU124" s="9"/>
      <c r="AV124" s="9"/>
      <c r="AW124" s="17"/>
      <c r="AX124" s="492"/>
      <c r="AY124" s="491"/>
      <c r="AZ124" s="7"/>
      <c r="BA124" s="9"/>
      <c r="BB124" s="9"/>
      <c r="BC124" s="492"/>
      <c r="BD124" s="491"/>
      <c r="BE124" s="7"/>
      <c r="BF124" s="7"/>
      <c r="BG124" s="7"/>
      <c r="BH124" s="9"/>
      <c r="BI124" s="9"/>
      <c r="BJ124" s="492"/>
      <c r="BK124" s="491"/>
      <c r="BL124" s="7"/>
      <c r="BM124" s="7"/>
      <c r="BN124" s="7"/>
      <c r="BO124" s="7"/>
      <c r="BP124" s="7"/>
      <c r="BQ124" s="7"/>
      <c r="BR124" s="8"/>
      <c r="BS124" s="8"/>
      <c r="BT124" s="509"/>
      <c r="BU124" s="491"/>
      <c r="BV124" s="8"/>
      <c r="BW124" s="509"/>
      <c r="BX124" s="491"/>
      <c r="BY124" s="8"/>
      <c r="BZ124" s="509"/>
      <c r="CA124" s="751"/>
    </row>
    <row r="125" spans="1:79" ht="24.95" customHeight="1">
      <c r="A125" s="468">
        <f>IF('Student DATA Entry'!A122="","",'Student DATA Entry'!A122)</f>
        <v>119</v>
      </c>
      <c r="B125" s="459" t="str">
        <f>IF('Student DATA Entry'!B122="","",'Student DATA Entry'!B122)</f>
        <v/>
      </c>
      <c r="C125" s="459" t="str">
        <f>IF('Student DATA Entry'!C122="","",'Student DATA Entry'!C122)</f>
        <v/>
      </c>
      <c r="D125" s="459" t="str">
        <f>IF('Student DATA Entry'!D122="","",'Student DATA Entry'!D122)</f>
        <v/>
      </c>
      <c r="E125" s="459" t="str">
        <f>IF('Student DATA Entry'!E122="","",'Student DATA Entry'!E122)</f>
        <v/>
      </c>
      <c r="F125" s="460" t="str">
        <f>IF('Student DATA Entry'!K122="","",'Student DATA Entry'!K122)</f>
        <v/>
      </c>
      <c r="G125" s="461" t="str">
        <f>IF('Student DATA Entry'!G122="","",UPPER('Student DATA Entry'!G122))</f>
        <v/>
      </c>
      <c r="H125" s="461" t="str">
        <f>IF('Student DATA Entry'!H122="","",UPPER('Student DATA Entry'!H122))</f>
        <v/>
      </c>
      <c r="I125" s="462" t="str">
        <f>IF('Student DATA Entry'!I122="","",UPPER('Student DATA Entry'!I122))</f>
        <v/>
      </c>
      <c r="J125" s="463" t="str">
        <f>IF('Student DATA Entry'!L122="","",UPPER('Student DATA Entry'!L122))</f>
        <v/>
      </c>
      <c r="K125" s="469" t="str">
        <f>IF('Student DATA Entry'!J122="","",UPPER('Student DATA Entry'!J122))</f>
        <v/>
      </c>
      <c r="L125" s="491"/>
      <c r="M125" s="8"/>
      <c r="N125" s="8"/>
      <c r="O125" s="9"/>
      <c r="P125" s="492"/>
      <c r="Q125" s="491"/>
      <c r="R125" s="8"/>
      <c r="S125" s="8"/>
      <c r="T125" s="9"/>
      <c r="U125" s="492"/>
      <c r="V125" s="502"/>
      <c r="W125" s="7"/>
      <c r="X125" s="8"/>
      <c r="Y125" s="8"/>
      <c r="Z125" s="9"/>
      <c r="AA125" s="492"/>
      <c r="AB125" s="491"/>
      <c r="AC125" s="8"/>
      <c r="AD125" s="8"/>
      <c r="AE125" s="9"/>
      <c r="AF125" s="492"/>
      <c r="AG125" s="491"/>
      <c r="AH125" s="8"/>
      <c r="AI125" s="8"/>
      <c r="AJ125" s="9"/>
      <c r="AK125" s="492"/>
      <c r="AL125" s="491"/>
      <c r="AM125" s="8"/>
      <c r="AN125" s="8"/>
      <c r="AO125" s="9"/>
      <c r="AP125" s="492"/>
      <c r="AQ125" s="506"/>
      <c r="AR125" s="491"/>
      <c r="AS125" s="8"/>
      <c r="AT125" s="8"/>
      <c r="AU125" s="9"/>
      <c r="AV125" s="9"/>
      <c r="AW125" s="17"/>
      <c r="AX125" s="492"/>
      <c r="AY125" s="491"/>
      <c r="AZ125" s="7"/>
      <c r="BA125" s="9"/>
      <c r="BB125" s="9"/>
      <c r="BC125" s="492"/>
      <c r="BD125" s="491"/>
      <c r="BE125" s="7"/>
      <c r="BF125" s="7"/>
      <c r="BG125" s="7"/>
      <c r="BH125" s="9"/>
      <c r="BI125" s="9"/>
      <c r="BJ125" s="492"/>
      <c r="BK125" s="491"/>
      <c r="BL125" s="7"/>
      <c r="BM125" s="7"/>
      <c r="BN125" s="7"/>
      <c r="BO125" s="7"/>
      <c r="BP125" s="7"/>
      <c r="BQ125" s="7"/>
      <c r="BR125" s="8"/>
      <c r="BS125" s="8"/>
      <c r="BT125" s="509"/>
      <c r="BU125" s="491"/>
      <c r="BV125" s="8"/>
      <c r="BW125" s="509"/>
      <c r="BX125" s="491"/>
      <c r="BY125" s="8"/>
      <c r="BZ125" s="509"/>
      <c r="CA125" s="751"/>
    </row>
    <row r="126" spans="1:79" ht="24.95" customHeight="1">
      <c r="A126" s="468">
        <f>IF('Student DATA Entry'!A123="","",'Student DATA Entry'!A123)</f>
        <v>120</v>
      </c>
      <c r="B126" s="459" t="str">
        <f>IF('Student DATA Entry'!B123="","",'Student DATA Entry'!B123)</f>
        <v/>
      </c>
      <c r="C126" s="459" t="str">
        <f>IF('Student DATA Entry'!C123="","",'Student DATA Entry'!C123)</f>
        <v/>
      </c>
      <c r="D126" s="459" t="str">
        <f>IF('Student DATA Entry'!D123="","",'Student DATA Entry'!D123)</f>
        <v/>
      </c>
      <c r="E126" s="459" t="str">
        <f>IF('Student DATA Entry'!E123="","",'Student DATA Entry'!E123)</f>
        <v/>
      </c>
      <c r="F126" s="460" t="str">
        <f>IF('Student DATA Entry'!K123="","",'Student DATA Entry'!K123)</f>
        <v/>
      </c>
      <c r="G126" s="461" t="str">
        <f>IF('Student DATA Entry'!G123="","",UPPER('Student DATA Entry'!G123))</f>
        <v/>
      </c>
      <c r="H126" s="461" t="str">
        <f>IF('Student DATA Entry'!H123="","",UPPER('Student DATA Entry'!H123))</f>
        <v/>
      </c>
      <c r="I126" s="462" t="str">
        <f>IF('Student DATA Entry'!I123="","",UPPER('Student DATA Entry'!I123))</f>
        <v/>
      </c>
      <c r="J126" s="463" t="str">
        <f>IF('Student DATA Entry'!L123="","",UPPER('Student DATA Entry'!L123))</f>
        <v/>
      </c>
      <c r="K126" s="469" t="str">
        <f>IF('Student DATA Entry'!J123="","",UPPER('Student DATA Entry'!J123))</f>
        <v/>
      </c>
      <c r="L126" s="491"/>
      <c r="M126" s="8"/>
      <c r="N126" s="8"/>
      <c r="O126" s="9"/>
      <c r="P126" s="492"/>
      <c r="Q126" s="491"/>
      <c r="R126" s="8"/>
      <c r="S126" s="8"/>
      <c r="T126" s="9"/>
      <c r="U126" s="492"/>
      <c r="V126" s="502"/>
      <c r="W126" s="7"/>
      <c r="X126" s="8"/>
      <c r="Y126" s="8"/>
      <c r="Z126" s="9"/>
      <c r="AA126" s="492"/>
      <c r="AB126" s="491"/>
      <c r="AC126" s="8"/>
      <c r="AD126" s="8"/>
      <c r="AE126" s="9"/>
      <c r="AF126" s="492"/>
      <c r="AG126" s="491"/>
      <c r="AH126" s="8"/>
      <c r="AI126" s="8"/>
      <c r="AJ126" s="9"/>
      <c r="AK126" s="492"/>
      <c r="AL126" s="491"/>
      <c r="AM126" s="8"/>
      <c r="AN126" s="8"/>
      <c r="AO126" s="9"/>
      <c r="AP126" s="492"/>
      <c r="AQ126" s="506"/>
      <c r="AR126" s="491"/>
      <c r="AS126" s="8"/>
      <c r="AT126" s="8"/>
      <c r="AU126" s="9"/>
      <c r="AV126" s="9"/>
      <c r="AW126" s="17"/>
      <c r="AX126" s="492"/>
      <c r="AY126" s="491"/>
      <c r="AZ126" s="7"/>
      <c r="BA126" s="9"/>
      <c r="BB126" s="9"/>
      <c r="BC126" s="492"/>
      <c r="BD126" s="491"/>
      <c r="BE126" s="7"/>
      <c r="BF126" s="7"/>
      <c r="BG126" s="7"/>
      <c r="BH126" s="9"/>
      <c r="BI126" s="9"/>
      <c r="BJ126" s="492"/>
      <c r="BK126" s="491"/>
      <c r="BL126" s="7"/>
      <c r="BM126" s="7"/>
      <c r="BN126" s="7"/>
      <c r="BO126" s="7"/>
      <c r="BP126" s="7"/>
      <c r="BQ126" s="7"/>
      <c r="BR126" s="8"/>
      <c r="BS126" s="8"/>
      <c r="BT126" s="509"/>
      <c r="BU126" s="491"/>
      <c r="BV126" s="8"/>
      <c r="BW126" s="509"/>
      <c r="BX126" s="491"/>
      <c r="BY126" s="8"/>
      <c r="BZ126" s="509"/>
      <c r="CA126" s="751"/>
    </row>
    <row r="127" spans="1:79" ht="24.95" customHeight="1">
      <c r="A127" s="468">
        <f>IF('Student DATA Entry'!A124="","",'Student DATA Entry'!A124)</f>
        <v>121</v>
      </c>
      <c r="B127" s="459" t="str">
        <f>IF('Student DATA Entry'!B124="","",'Student DATA Entry'!B124)</f>
        <v/>
      </c>
      <c r="C127" s="459" t="str">
        <f>IF('Student DATA Entry'!C124="","",'Student DATA Entry'!C124)</f>
        <v/>
      </c>
      <c r="D127" s="459" t="str">
        <f>IF('Student DATA Entry'!D124="","",'Student DATA Entry'!D124)</f>
        <v/>
      </c>
      <c r="E127" s="459" t="str">
        <f>IF('Student DATA Entry'!E124="","",'Student DATA Entry'!E124)</f>
        <v/>
      </c>
      <c r="F127" s="460" t="str">
        <f>IF('Student DATA Entry'!K124="","",'Student DATA Entry'!K124)</f>
        <v/>
      </c>
      <c r="G127" s="461" t="str">
        <f>IF('Student DATA Entry'!G124="","",UPPER('Student DATA Entry'!G124))</f>
        <v/>
      </c>
      <c r="H127" s="461" t="str">
        <f>IF('Student DATA Entry'!H124="","",UPPER('Student DATA Entry'!H124))</f>
        <v/>
      </c>
      <c r="I127" s="462" t="str">
        <f>IF('Student DATA Entry'!I124="","",UPPER('Student DATA Entry'!I124))</f>
        <v/>
      </c>
      <c r="J127" s="463" t="str">
        <f>IF('Student DATA Entry'!L124="","",UPPER('Student DATA Entry'!L124))</f>
        <v/>
      </c>
      <c r="K127" s="469" t="str">
        <f>IF('Student DATA Entry'!J124="","",UPPER('Student DATA Entry'!J124))</f>
        <v/>
      </c>
      <c r="L127" s="491"/>
      <c r="M127" s="8"/>
      <c r="N127" s="8"/>
      <c r="O127" s="9"/>
      <c r="P127" s="492"/>
      <c r="Q127" s="491"/>
      <c r="R127" s="8"/>
      <c r="S127" s="8"/>
      <c r="T127" s="9"/>
      <c r="U127" s="492"/>
      <c r="V127" s="502"/>
      <c r="W127" s="7"/>
      <c r="X127" s="8"/>
      <c r="Y127" s="8"/>
      <c r="Z127" s="9"/>
      <c r="AA127" s="492"/>
      <c r="AB127" s="491"/>
      <c r="AC127" s="8"/>
      <c r="AD127" s="8"/>
      <c r="AE127" s="9"/>
      <c r="AF127" s="492"/>
      <c r="AG127" s="491"/>
      <c r="AH127" s="8"/>
      <c r="AI127" s="8"/>
      <c r="AJ127" s="9"/>
      <c r="AK127" s="492"/>
      <c r="AL127" s="491"/>
      <c r="AM127" s="8"/>
      <c r="AN127" s="8"/>
      <c r="AO127" s="9"/>
      <c r="AP127" s="492"/>
      <c r="AQ127" s="506"/>
      <c r="AR127" s="491"/>
      <c r="AS127" s="8"/>
      <c r="AT127" s="8"/>
      <c r="AU127" s="9"/>
      <c r="AV127" s="9"/>
      <c r="AW127" s="17"/>
      <c r="AX127" s="492"/>
      <c r="AY127" s="491"/>
      <c r="AZ127" s="7"/>
      <c r="BA127" s="9"/>
      <c r="BB127" s="9"/>
      <c r="BC127" s="492"/>
      <c r="BD127" s="491"/>
      <c r="BE127" s="7"/>
      <c r="BF127" s="7"/>
      <c r="BG127" s="7"/>
      <c r="BH127" s="9"/>
      <c r="BI127" s="9"/>
      <c r="BJ127" s="492"/>
      <c r="BK127" s="491"/>
      <c r="BL127" s="7"/>
      <c r="BM127" s="7"/>
      <c r="BN127" s="7"/>
      <c r="BO127" s="7"/>
      <c r="BP127" s="7"/>
      <c r="BQ127" s="7"/>
      <c r="BR127" s="8"/>
      <c r="BS127" s="8"/>
      <c r="BT127" s="509"/>
      <c r="BU127" s="491"/>
      <c r="BV127" s="8"/>
      <c r="BW127" s="509"/>
      <c r="BX127" s="491"/>
      <c r="BY127" s="8"/>
      <c r="BZ127" s="509"/>
      <c r="CA127" s="751"/>
    </row>
    <row r="128" spans="1:79" ht="24.95" customHeight="1">
      <c r="A128" s="468">
        <f>IF('Student DATA Entry'!A125="","",'Student DATA Entry'!A125)</f>
        <v>122</v>
      </c>
      <c r="B128" s="459" t="str">
        <f>IF('Student DATA Entry'!B125="","",'Student DATA Entry'!B125)</f>
        <v/>
      </c>
      <c r="C128" s="459" t="str">
        <f>IF('Student DATA Entry'!C125="","",'Student DATA Entry'!C125)</f>
        <v/>
      </c>
      <c r="D128" s="459" t="str">
        <f>IF('Student DATA Entry'!D125="","",'Student DATA Entry'!D125)</f>
        <v/>
      </c>
      <c r="E128" s="459" t="str">
        <f>IF('Student DATA Entry'!E125="","",'Student DATA Entry'!E125)</f>
        <v/>
      </c>
      <c r="F128" s="460" t="str">
        <f>IF('Student DATA Entry'!K125="","",'Student DATA Entry'!K125)</f>
        <v/>
      </c>
      <c r="G128" s="461" t="str">
        <f>IF('Student DATA Entry'!G125="","",UPPER('Student DATA Entry'!G125))</f>
        <v/>
      </c>
      <c r="H128" s="461" t="str">
        <f>IF('Student DATA Entry'!H125="","",UPPER('Student DATA Entry'!H125))</f>
        <v/>
      </c>
      <c r="I128" s="462" t="str">
        <f>IF('Student DATA Entry'!I125="","",UPPER('Student DATA Entry'!I125))</f>
        <v/>
      </c>
      <c r="J128" s="463" t="str">
        <f>IF('Student DATA Entry'!L125="","",UPPER('Student DATA Entry'!L125))</f>
        <v/>
      </c>
      <c r="K128" s="469" t="str">
        <f>IF('Student DATA Entry'!J125="","",UPPER('Student DATA Entry'!J125))</f>
        <v/>
      </c>
      <c r="L128" s="491"/>
      <c r="M128" s="8"/>
      <c r="N128" s="8"/>
      <c r="O128" s="9"/>
      <c r="P128" s="492"/>
      <c r="Q128" s="491"/>
      <c r="R128" s="8"/>
      <c r="S128" s="8"/>
      <c r="T128" s="9"/>
      <c r="U128" s="492"/>
      <c r="V128" s="502"/>
      <c r="W128" s="7"/>
      <c r="X128" s="8"/>
      <c r="Y128" s="8"/>
      <c r="Z128" s="9"/>
      <c r="AA128" s="492"/>
      <c r="AB128" s="491"/>
      <c r="AC128" s="8"/>
      <c r="AD128" s="8"/>
      <c r="AE128" s="9"/>
      <c r="AF128" s="492"/>
      <c r="AG128" s="491"/>
      <c r="AH128" s="8"/>
      <c r="AI128" s="8"/>
      <c r="AJ128" s="9"/>
      <c r="AK128" s="492"/>
      <c r="AL128" s="491"/>
      <c r="AM128" s="8"/>
      <c r="AN128" s="8"/>
      <c r="AO128" s="9"/>
      <c r="AP128" s="492"/>
      <c r="AQ128" s="506"/>
      <c r="AR128" s="491"/>
      <c r="AS128" s="8"/>
      <c r="AT128" s="8"/>
      <c r="AU128" s="9"/>
      <c r="AV128" s="9"/>
      <c r="AW128" s="17"/>
      <c r="AX128" s="492"/>
      <c r="AY128" s="491"/>
      <c r="AZ128" s="7"/>
      <c r="BA128" s="9"/>
      <c r="BB128" s="9"/>
      <c r="BC128" s="492"/>
      <c r="BD128" s="491"/>
      <c r="BE128" s="7"/>
      <c r="BF128" s="7"/>
      <c r="BG128" s="7"/>
      <c r="BH128" s="9"/>
      <c r="BI128" s="9"/>
      <c r="BJ128" s="492"/>
      <c r="BK128" s="491"/>
      <c r="BL128" s="7"/>
      <c r="BM128" s="7"/>
      <c r="BN128" s="7"/>
      <c r="BO128" s="7"/>
      <c r="BP128" s="7"/>
      <c r="BQ128" s="7"/>
      <c r="BR128" s="8"/>
      <c r="BS128" s="8"/>
      <c r="BT128" s="509"/>
      <c r="BU128" s="491"/>
      <c r="BV128" s="8"/>
      <c r="BW128" s="509"/>
      <c r="BX128" s="491"/>
      <c r="BY128" s="8"/>
      <c r="BZ128" s="509"/>
      <c r="CA128" s="751"/>
    </row>
    <row r="129" spans="1:79" ht="24.95" customHeight="1">
      <c r="A129" s="468">
        <f>IF('Student DATA Entry'!A126="","",'Student DATA Entry'!A126)</f>
        <v>123</v>
      </c>
      <c r="B129" s="459" t="str">
        <f>IF('Student DATA Entry'!B126="","",'Student DATA Entry'!B126)</f>
        <v/>
      </c>
      <c r="C129" s="459" t="str">
        <f>IF('Student DATA Entry'!C126="","",'Student DATA Entry'!C126)</f>
        <v/>
      </c>
      <c r="D129" s="459" t="str">
        <f>IF('Student DATA Entry'!D126="","",'Student DATA Entry'!D126)</f>
        <v/>
      </c>
      <c r="E129" s="459" t="str">
        <f>IF('Student DATA Entry'!E126="","",'Student DATA Entry'!E126)</f>
        <v/>
      </c>
      <c r="F129" s="460" t="str">
        <f>IF('Student DATA Entry'!K126="","",'Student DATA Entry'!K126)</f>
        <v/>
      </c>
      <c r="G129" s="461" t="str">
        <f>IF('Student DATA Entry'!G126="","",UPPER('Student DATA Entry'!G126))</f>
        <v/>
      </c>
      <c r="H129" s="461" t="str">
        <f>IF('Student DATA Entry'!H126="","",UPPER('Student DATA Entry'!H126))</f>
        <v/>
      </c>
      <c r="I129" s="462" t="str">
        <f>IF('Student DATA Entry'!I126="","",UPPER('Student DATA Entry'!I126))</f>
        <v/>
      </c>
      <c r="J129" s="463" t="str">
        <f>IF('Student DATA Entry'!L126="","",UPPER('Student DATA Entry'!L126))</f>
        <v/>
      </c>
      <c r="K129" s="469" t="str">
        <f>IF('Student DATA Entry'!J126="","",UPPER('Student DATA Entry'!J126))</f>
        <v/>
      </c>
      <c r="L129" s="491"/>
      <c r="M129" s="8"/>
      <c r="N129" s="8"/>
      <c r="O129" s="9"/>
      <c r="P129" s="492"/>
      <c r="Q129" s="491"/>
      <c r="R129" s="8"/>
      <c r="S129" s="8"/>
      <c r="T129" s="9"/>
      <c r="U129" s="492"/>
      <c r="V129" s="502"/>
      <c r="W129" s="7"/>
      <c r="X129" s="8"/>
      <c r="Y129" s="8"/>
      <c r="Z129" s="9"/>
      <c r="AA129" s="492"/>
      <c r="AB129" s="491"/>
      <c r="AC129" s="8"/>
      <c r="AD129" s="8"/>
      <c r="AE129" s="9"/>
      <c r="AF129" s="492"/>
      <c r="AG129" s="491"/>
      <c r="AH129" s="8"/>
      <c r="AI129" s="8"/>
      <c r="AJ129" s="9"/>
      <c r="AK129" s="492"/>
      <c r="AL129" s="491"/>
      <c r="AM129" s="8"/>
      <c r="AN129" s="8"/>
      <c r="AO129" s="9"/>
      <c r="AP129" s="492"/>
      <c r="AQ129" s="506"/>
      <c r="AR129" s="491"/>
      <c r="AS129" s="8"/>
      <c r="AT129" s="8"/>
      <c r="AU129" s="9"/>
      <c r="AV129" s="9"/>
      <c r="AW129" s="17"/>
      <c r="AX129" s="492"/>
      <c r="AY129" s="491"/>
      <c r="AZ129" s="7"/>
      <c r="BA129" s="9"/>
      <c r="BB129" s="9"/>
      <c r="BC129" s="492"/>
      <c r="BD129" s="491"/>
      <c r="BE129" s="7"/>
      <c r="BF129" s="7"/>
      <c r="BG129" s="7"/>
      <c r="BH129" s="9"/>
      <c r="BI129" s="9"/>
      <c r="BJ129" s="492"/>
      <c r="BK129" s="491"/>
      <c r="BL129" s="7"/>
      <c r="BM129" s="7"/>
      <c r="BN129" s="7"/>
      <c r="BO129" s="7"/>
      <c r="BP129" s="7"/>
      <c r="BQ129" s="7"/>
      <c r="BR129" s="8"/>
      <c r="BS129" s="8"/>
      <c r="BT129" s="509"/>
      <c r="BU129" s="491"/>
      <c r="BV129" s="8"/>
      <c r="BW129" s="509"/>
      <c r="BX129" s="491"/>
      <c r="BY129" s="8"/>
      <c r="BZ129" s="509"/>
      <c r="CA129" s="751"/>
    </row>
    <row r="130" spans="1:79" ht="24.95" customHeight="1">
      <c r="A130" s="468">
        <f>IF('Student DATA Entry'!A127="","",'Student DATA Entry'!A127)</f>
        <v>124</v>
      </c>
      <c r="B130" s="459" t="str">
        <f>IF('Student DATA Entry'!B127="","",'Student DATA Entry'!B127)</f>
        <v/>
      </c>
      <c r="C130" s="459" t="str">
        <f>IF('Student DATA Entry'!C127="","",'Student DATA Entry'!C127)</f>
        <v/>
      </c>
      <c r="D130" s="459" t="str">
        <f>IF('Student DATA Entry'!D127="","",'Student DATA Entry'!D127)</f>
        <v/>
      </c>
      <c r="E130" s="459" t="str">
        <f>IF('Student DATA Entry'!E127="","",'Student DATA Entry'!E127)</f>
        <v/>
      </c>
      <c r="F130" s="460" t="str">
        <f>IF('Student DATA Entry'!K127="","",'Student DATA Entry'!K127)</f>
        <v/>
      </c>
      <c r="G130" s="461" t="str">
        <f>IF('Student DATA Entry'!G127="","",UPPER('Student DATA Entry'!G127))</f>
        <v/>
      </c>
      <c r="H130" s="461" t="str">
        <f>IF('Student DATA Entry'!H127="","",UPPER('Student DATA Entry'!H127))</f>
        <v/>
      </c>
      <c r="I130" s="462" t="str">
        <f>IF('Student DATA Entry'!I127="","",UPPER('Student DATA Entry'!I127))</f>
        <v/>
      </c>
      <c r="J130" s="463" t="str">
        <f>IF('Student DATA Entry'!L127="","",UPPER('Student DATA Entry'!L127))</f>
        <v/>
      </c>
      <c r="K130" s="469" t="str">
        <f>IF('Student DATA Entry'!J127="","",UPPER('Student DATA Entry'!J127))</f>
        <v/>
      </c>
      <c r="L130" s="491"/>
      <c r="M130" s="8"/>
      <c r="N130" s="8"/>
      <c r="O130" s="9"/>
      <c r="P130" s="492"/>
      <c r="Q130" s="491"/>
      <c r="R130" s="8"/>
      <c r="S130" s="8"/>
      <c r="T130" s="9"/>
      <c r="U130" s="492"/>
      <c r="V130" s="502"/>
      <c r="W130" s="7"/>
      <c r="X130" s="8"/>
      <c r="Y130" s="8"/>
      <c r="Z130" s="9"/>
      <c r="AA130" s="492"/>
      <c r="AB130" s="491"/>
      <c r="AC130" s="8"/>
      <c r="AD130" s="8"/>
      <c r="AE130" s="9"/>
      <c r="AF130" s="492"/>
      <c r="AG130" s="491"/>
      <c r="AH130" s="8"/>
      <c r="AI130" s="8"/>
      <c r="AJ130" s="9"/>
      <c r="AK130" s="492"/>
      <c r="AL130" s="491"/>
      <c r="AM130" s="8"/>
      <c r="AN130" s="8"/>
      <c r="AO130" s="9"/>
      <c r="AP130" s="492"/>
      <c r="AQ130" s="506"/>
      <c r="AR130" s="491"/>
      <c r="AS130" s="8"/>
      <c r="AT130" s="8"/>
      <c r="AU130" s="9"/>
      <c r="AV130" s="9"/>
      <c r="AW130" s="17"/>
      <c r="AX130" s="492"/>
      <c r="AY130" s="491"/>
      <c r="AZ130" s="7"/>
      <c r="BA130" s="9"/>
      <c r="BB130" s="9"/>
      <c r="BC130" s="492"/>
      <c r="BD130" s="491"/>
      <c r="BE130" s="7"/>
      <c r="BF130" s="7"/>
      <c r="BG130" s="7"/>
      <c r="BH130" s="9"/>
      <c r="BI130" s="9"/>
      <c r="BJ130" s="492"/>
      <c r="BK130" s="491"/>
      <c r="BL130" s="7"/>
      <c r="BM130" s="7"/>
      <c r="BN130" s="7"/>
      <c r="BO130" s="7"/>
      <c r="BP130" s="7"/>
      <c r="BQ130" s="7"/>
      <c r="BR130" s="8"/>
      <c r="BS130" s="8"/>
      <c r="BT130" s="509"/>
      <c r="BU130" s="491"/>
      <c r="BV130" s="8"/>
      <c r="BW130" s="509"/>
      <c r="BX130" s="491"/>
      <c r="BY130" s="8"/>
      <c r="BZ130" s="509"/>
      <c r="CA130" s="751"/>
    </row>
    <row r="131" spans="1:79" ht="24.95" customHeight="1">
      <c r="A131" s="468">
        <f>IF('Student DATA Entry'!A128="","",'Student DATA Entry'!A128)</f>
        <v>125</v>
      </c>
      <c r="B131" s="459" t="str">
        <f>IF('Student DATA Entry'!B128="","",'Student DATA Entry'!B128)</f>
        <v/>
      </c>
      <c r="C131" s="459" t="str">
        <f>IF('Student DATA Entry'!C128="","",'Student DATA Entry'!C128)</f>
        <v/>
      </c>
      <c r="D131" s="459" t="str">
        <f>IF('Student DATA Entry'!D128="","",'Student DATA Entry'!D128)</f>
        <v/>
      </c>
      <c r="E131" s="459" t="str">
        <f>IF('Student DATA Entry'!E128="","",'Student DATA Entry'!E128)</f>
        <v/>
      </c>
      <c r="F131" s="460" t="str">
        <f>IF('Student DATA Entry'!K128="","",'Student DATA Entry'!K128)</f>
        <v/>
      </c>
      <c r="G131" s="461" t="str">
        <f>IF('Student DATA Entry'!G128="","",UPPER('Student DATA Entry'!G128))</f>
        <v/>
      </c>
      <c r="H131" s="461" t="str">
        <f>IF('Student DATA Entry'!H128="","",UPPER('Student DATA Entry'!H128))</f>
        <v/>
      </c>
      <c r="I131" s="462" t="str">
        <f>IF('Student DATA Entry'!I128="","",UPPER('Student DATA Entry'!I128))</f>
        <v/>
      </c>
      <c r="J131" s="463" t="str">
        <f>IF('Student DATA Entry'!L128="","",UPPER('Student DATA Entry'!L128))</f>
        <v/>
      </c>
      <c r="K131" s="469" t="str">
        <f>IF('Student DATA Entry'!J128="","",UPPER('Student DATA Entry'!J128))</f>
        <v/>
      </c>
      <c r="L131" s="491"/>
      <c r="M131" s="8"/>
      <c r="N131" s="8"/>
      <c r="O131" s="9"/>
      <c r="P131" s="492"/>
      <c r="Q131" s="491"/>
      <c r="R131" s="8"/>
      <c r="S131" s="8"/>
      <c r="T131" s="9"/>
      <c r="U131" s="492"/>
      <c r="V131" s="502"/>
      <c r="W131" s="7"/>
      <c r="X131" s="8"/>
      <c r="Y131" s="8"/>
      <c r="Z131" s="9"/>
      <c r="AA131" s="492"/>
      <c r="AB131" s="491"/>
      <c r="AC131" s="8"/>
      <c r="AD131" s="8"/>
      <c r="AE131" s="9"/>
      <c r="AF131" s="492"/>
      <c r="AG131" s="491"/>
      <c r="AH131" s="8"/>
      <c r="AI131" s="8"/>
      <c r="AJ131" s="9"/>
      <c r="AK131" s="492"/>
      <c r="AL131" s="491"/>
      <c r="AM131" s="8"/>
      <c r="AN131" s="8"/>
      <c r="AO131" s="9"/>
      <c r="AP131" s="492"/>
      <c r="AQ131" s="506"/>
      <c r="AR131" s="491"/>
      <c r="AS131" s="8"/>
      <c r="AT131" s="8"/>
      <c r="AU131" s="9"/>
      <c r="AV131" s="9"/>
      <c r="AW131" s="17"/>
      <c r="AX131" s="492"/>
      <c r="AY131" s="491"/>
      <c r="AZ131" s="7"/>
      <c r="BA131" s="9"/>
      <c r="BB131" s="9"/>
      <c r="BC131" s="492"/>
      <c r="BD131" s="491"/>
      <c r="BE131" s="7"/>
      <c r="BF131" s="7"/>
      <c r="BG131" s="7"/>
      <c r="BH131" s="9"/>
      <c r="BI131" s="9"/>
      <c r="BJ131" s="492"/>
      <c r="BK131" s="491"/>
      <c r="BL131" s="7"/>
      <c r="BM131" s="7"/>
      <c r="BN131" s="7"/>
      <c r="BO131" s="7"/>
      <c r="BP131" s="7"/>
      <c r="BQ131" s="7"/>
      <c r="BR131" s="8"/>
      <c r="BS131" s="8"/>
      <c r="BT131" s="509"/>
      <c r="BU131" s="491"/>
      <c r="BV131" s="8"/>
      <c r="BW131" s="509"/>
      <c r="BX131" s="491"/>
      <c r="BY131" s="8"/>
      <c r="BZ131" s="509"/>
      <c r="CA131" s="751"/>
    </row>
    <row r="132" spans="1:79" ht="24.95" customHeight="1">
      <c r="A132" s="468">
        <f>IF('Student DATA Entry'!A129="","",'Student DATA Entry'!A129)</f>
        <v>126</v>
      </c>
      <c r="B132" s="459" t="str">
        <f>IF('Student DATA Entry'!B129="","",'Student DATA Entry'!B129)</f>
        <v/>
      </c>
      <c r="C132" s="459" t="str">
        <f>IF('Student DATA Entry'!C129="","",'Student DATA Entry'!C129)</f>
        <v/>
      </c>
      <c r="D132" s="459" t="str">
        <f>IF('Student DATA Entry'!D129="","",'Student DATA Entry'!D129)</f>
        <v/>
      </c>
      <c r="E132" s="459" t="str">
        <f>IF('Student DATA Entry'!E129="","",'Student DATA Entry'!E129)</f>
        <v/>
      </c>
      <c r="F132" s="460" t="str">
        <f>IF('Student DATA Entry'!K129="","",'Student DATA Entry'!K129)</f>
        <v/>
      </c>
      <c r="G132" s="461" t="str">
        <f>IF('Student DATA Entry'!G129="","",UPPER('Student DATA Entry'!G129))</f>
        <v/>
      </c>
      <c r="H132" s="461" t="str">
        <f>IF('Student DATA Entry'!H129="","",UPPER('Student DATA Entry'!H129))</f>
        <v/>
      </c>
      <c r="I132" s="462" t="str">
        <f>IF('Student DATA Entry'!I129="","",UPPER('Student DATA Entry'!I129))</f>
        <v/>
      </c>
      <c r="J132" s="463" t="str">
        <f>IF('Student DATA Entry'!L129="","",UPPER('Student DATA Entry'!L129))</f>
        <v/>
      </c>
      <c r="K132" s="469" t="str">
        <f>IF('Student DATA Entry'!J129="","",UPPER('Student DATA Entry'!J129))</f>
        <v/>
      </c>
      <c r="L132" s="491"/>
      <c r="M132" s="8"/>
      <c r="N132" s="8"/>
      <c r="O132" s="9"/>
      <c r="P132" s="492"/>
      <c r="Q132" s="491"/>
      <c r="R132" s="8"/>
      <c r="S132" s="8"/>
      <c r="T132" s="9"/>
      <c r="U132" s="492"/>
      <c r="V132" s="502"/>
      <c r="W132" s="7"/>
      <c r="X132" s="8"/>
      <c r="Y132" s="8"/>
      <c r="Z132" s="9"/>
      <c r="AA132" s="492"/>
      <c r="AB132" s="491"/>
      <c r="AC132" s="8"/>
      <c r="AD132" s="8"/>
      <c r="AE132" s="9"/>
      <c r="AF132" s="492"/>
      <c r="AG132" s="491"/>
      <c r="AH132" s="8"/>
      <c r="AI132" s="8"/>
      <c r="AJ132" s="9"/>
      <c r="AK132" s="492"/>
      <c r="AL132" s="491"/>
      <c r="AM132" s="8"/>
      <c r="AN132" s="8"/>
      <c r="AO132" s="9"/>
      <c r="AP132" s="492"/>
      <c r="AQ132" s="506"/>
      <c r="AR132" s="491"/>
      <c r="AS132" s="8"/>
      <c r="AT132" s="8"/>
      <c r="AU132" s="9"/>
      <c r="AV132" s="9"/>
      <c r="AW132" s="17"/>
      <c r="AX132" s="492"/>
      <c r="AY132" s="491"/>
      <c r="AZ132" s="7"/>
      <c r="BA132" s="9"/>
      <c r="BB132" s="9"/>
      <c r="BC132" s="492"/>
      <c r="BD132" s="491"/>
      <c r="BE132" s="7"/>
      <c r="BF132" s="7"/>
      <c r="BG132" s="7"/>
      <c r="BH132" s="9"/>
      <c r="BI132" s="9"/>
      <c r="BJ132" s="492"/>
      <c r="BK132" s="491"/>
      <c r="BL132" s="7"/>
      <c r="BM132" s="7"/>
      <c r="BN132" s="7"/>
      <c r="BO132" s="7"/>
      <c r="BP132" s="7"/>
      <c r="BQ132" s="7"/>
      <c r="BR132" s="8"/>
      <c r="BS132" s="8"/>
      <c r="BT132" s="509"/>
      <c r="BU132" s="491"/>
      <c r="BV132" s="8"/>
      <c r="BW132" s="509"/>
      <c r="BX132" s="491"/>
      <c r="BY132" s="8"/>
      <c r="BZ132" s="509"/>
      <c r="CA132" s="751"/>
    </row>
    <row r="133" spans="1:79" ht="24.95" customHeight="1">
      <c r="A133" s="468">
        <f>IF('Student DATA Entry'!A130="","",'Student DATA Entry'!A130)</f>
        <v>127</v>
      </c>
      <c r="B133" s="459" t="str">
        <f>IF('Student DATA Entry'!B130="","",'Student DATA Entry'!B130)</f>
        <v/>
      </c>
      <c r="C133" s="459" t="str">
        <f>IF('Student DATA Entry'!C130="","",'Student DATA Entry'!C130)</f>
        <v/>
      </c>
      <c r="D133" s="459" t="str">
        <f>IF('Student DATA Entry'!D130="","",'Student DATA Entry'!D130)</f>
        <v/>
      </c>
      <c r="E133" s="459" t="str">
        <f>IF('Student DATA Entry'!E130="","",'Student DATA Entry'!E130)</f>
        <v/>
      </c>
      <c r="F133" s="460" t="str">
        <f>IF('Student DATA Entry'!K130="","",'Student DATA Entry'!K130)</f>
        <v/>
      </c>
      <c r="G133" s="461" t="str">
        <f>IF('Student DATA Entry'!G130="","",UPPER('Student DATA Entry'!G130))</f>
        <v/>
      </c>
      <c r="H133" s="461" t="str">
        <f>IF('Student DATA Entry'!H130="","",UPPER('Student DATA Entry'!H130))</f>
        <v/>
      </c>
      <c r="I133" s="462" t="str">
        <f>IF('Student DATA Entry'!I130="","",UPPER('Student DATA Entry'!I130))</f>
        <v/>
      </c>
      <c r="J133" s="463" t="str">
        <f>IF('Student DATA Entry'!L130="","",UPPER('Student DATA Entry'!L130))</f>
        <v/>
      </c>
      <c r="K133" s="469" t="str">
        <f>IF('Student DATA Entry'!J130="","",UPPER('Student DATA Entry'!J130))</f>
        <v/>
      </c>
      <c r="L133" s="491"/>
      <c r="M133" s="8"/>
      <c r="N133" s="8"/>
      <c r="O133" s="9"/>
      <c r="P133" s="492"/>
      <c r="Q133" s="491"/>
      <c r="R133" s="8"/>
      <c r="S133" s="8"/>
      <c r="T133" s="9"/>
      <c r="U133" s="492"/>
      <c r="V133" s="502"/>
      <c r="W133" s="7"/>
      <c r="X133" s="8"/>
      <c r="Y133" s="8"/>
      <c r="Z133" s="9"/>
      <c r="AA133" s="492"/>
      <c r="AB133" s="491"/>
      <c r="AC133" s="8"/>
      <c r="AD133" s="8"/>
      <c r="AE133" s="9"/>
      <c r="AF133" s="492"/>
      <c r="AG133" s="491"/>
      <c r="AH133" s="8"/>
      <c r="AI133" s="8"/>
      <c r="AJ133" s="9"/>
      <c r="AK133" s="492"/>
      <c r="AL133" s="491"/>
      <c r="AM133" s="8"/>
      <c r="AN133" s="8"/>
      <c r="AO133" s="9"/>
      <c r="AP133" s="492"/>
      <c r="AQ133" s="506"/>
      <c r="AR133" s="491"/>
      <c r="AS133" s="8"/>
      <c r="AT133" s="8"/>
      <c r="AU133" s="9"/>
      <c r="AV133" s="9"/>
      <c r="AW133" s="17"/>
      <c r="AX133" s="492"/>
      <c r="AY133" s="491"/>
      <c r="AZ133" s="7"/>
      <c r="BA133" s="9"/>
      <c r="BB133" s="9"/>
      <c r="BC133" s="492"/>
      <c r="BD133" s="491"/>
      <c r="BE133" s="7"/>
      <c r="BF133" s="7"/>
      <c r="BG133" s="7"/>
      <c r="BH133" s="9"/>
      <c r="BI133" s="9"/>
      <c r="BJ133" s="492"/>
      <c r="BK133" s="491"/>
      <c r="BL133" s="7"/>
      <c r="BM133" s="7"/>
      <c r="BN133" s="7"/>
      <c r="BO133" s="7"/>
      <c r="BP133" s="7"/>
      <c r="BQ133" s="7"/>
      <c r="BR133" s="8"/>
      <c r="BS133" s="8"/>
      <c r="BT133" s="509"/>
      <c r="BU133" s="491"/>
      <c r="BV133" s="8"/>
      <c r="BW133" s="509"/>
      <c r="BX133" s="491"/>
      <c r="BY133" s="8"/>
      <c r="BZ133" s="509"/>
      <c r="CA133" s="751"/>
    </row>
    <row r="134" spans="1:79" ht="24.95" customHeight="1">
      <c r="A134" s="468">
        <f>IF('Student DATA Entry'!A131="","",'Student DATA Entry'!A131)</f>
        <v>128</v>
      </c>
      <c r="B134" s="459" t="str">
        <f>IF('Student DATA Entry'!B131="","",'Student DATA Entry'!B131)</f>
        <v/>
      </c>
      <c r="C134" s="459" t="str">
        <f>IF('Student DATA Entry'!C131="","",'Student DATA Entry'!C131)</f>
        <v/>
      </c>
      <c r="D134" s="459" t="str">
        <f>IF('Student DATA Entry'!D131="","",'Student DATA Entry'!D131)</f>
        <v/>
      </c>
      <c r="E134" s="459" t="str">
        <f>IF('Student DATA Entry'!E131="","",'Student DATA Entry'!E131)</f>
        <v/>
      </c>
      <c r="F134" s="460" t="str">
        <f>IF('Student DATA Entry'!K131="","",'Student DATA Entry'!K131)</f>
        <v/>
      </c>
      <c r="G134" s="461" t="str">
        <f>IF('Student DATA Entry'!G131="","",UPPER('Student DATA Entry'!G131))</f>
        <v/>
      </c>
      <c r="H134" s="461" t="str">
        <f>IF('Student DATA Entry'!H131="","",UPPER('Student DATA Entry'!H131))</f>
        <v/>
      </c>
      <c r="I134" s="462" t="str">
        <f>IF('Student DATA Entry'!I131="","",UPPER('Student DATA Entry'!I131))</f>
        <v/>
      </c>
      <c r="J134" s="463" t="str">
        <f>IF('Student DATA Entry'!L131="","",UPPER('Student DATA Entry'!L131))</f>
        <v/>
      </c>
      <c r="K134" s="469" t="str">
        <f>IF('Student DATA Entry'!J131="","",UPPER('Student DATA Entry'!J131))</f>
        <v/>
      </c>
      <c r="L134" s="491"/>
      <c r="M134" s="8"/>
      <c r="N134" s="8"/>
      <c r="O134" s="9"/>
      <c r="P134" s="492"/>
      <c r="Q134" s="491"/>
      <c r="R134" s="8"/>
      <c r="S134" s="8"/>
      <c r="T134" s="9"/>
      <c r="U134" s="492"/>
      <c r="V134" s="502"/>
      <c r="W134" s="7"/>
      <c r="X134" s="8"/>
      <c r="Y134" s="8"/>
      <c r="Z134" s="9"/>
      <c r="AA134" s="492"/>
      <c r="AB134" s="491"/>
      <c r="AC134" s="8"/>
      <c r="AD134" s="8"/>
      <c r="AE134" s="9"/>
      <c r="AF134" s="492"/>
      <c r="AG134" s="491"/>
      <c r="AH134" s="8"/>
      <c r="AI134" s="8"/>
      <c r="AJ134" s="9"/>
      <c r="AK134" s="492"/>
      <c r="AL134" s="491"/>
      <c r="AM134" s="8"/>
      <c r="AN134" s="8"/>
      <c r="AO134" s="9"/>
      <c r="AP134" s="492"/>
      <c r="AQ134" s="506"/>
      <c r="AR134" s="491"/>
      <c r="AS134" s="8"/>
      <c r="AT134" s="8"/>
      <c r="AU134" s="9"/>
      <c r="AV134" s="9"/>
      <c r="AW134" s="17"/>
      <c r="AX134" s="492"/>
      <c r="AY134" s="491"/>
      <c r="AZ134" s="7"/>
      <c r="BA134" s="9"/>
      <c r="BB134" s="9"/>
      <c r="BC134" s="492"/>
      <c r="BD134" s="491"/>
      <c r="BE134" s="7"/>
      <c r="BF134" s="7"/>
      <c r="BG134" s="7"/>
      <c r="BH134" s="9"/>
      <c r="BI134" s="9"/>
      <c r="BJ134" s="492"/>
      <c r="BK134" s="491"/>
      <c r="BL134" s="7"/>
      <c r="BM134" s="7"/>
      <c r="BN134" s="7"/>
      <c r="BO134" s="7"/>
      <c r="BP134" s="7"/>
      <c r="BQ134" s="7"/>
      <c r="BR134" s="8"/>
      <c r="BS134" s="8"/>
      <c r="BT134" s="509"/>
      <c r="BU134" s="491"/>
      <c r="BV134" s="8"/>
      <c r="BW134" s="509"/>
      <c r="BX134" s="491"/>
      <c r="BY134" s="8"/>
      <c r="BZ134" s="509"/>
      <c r="CA134" s="751"/>
    </row>
    <row r="135" spans="1:79" ht="24.95" customHeight="1">
      <c r="A135" s="468">
        <f>IF('Student DATA Entry'!A132="","",'Student DATA Entry'!A132)</f>
        <v>129</v>
      </c>
      <c r="B135" s="459" t="str">
        <f>IF('Student DATA Entry'!B132="","",'Student DATA Entry'!B132)</f>
        <v/>
      </c>
      <c r="C135" s="459" t="str">
        <f>IF('Student DATA Entry'!C132="","",'Student DATA Entry'!C132)</f>
        <v/>
      </c>
      <c r="D135" s="459" t="str">
        <f>IF('Student DATA Entry'!D132="","",'Student DATA Entry'!D132)</f>
        <v/>
      </c>
      <c r="E135" s="459" t="str">
        <f>IF('Student DATA Entry'!E132="","",'Student DATA Entry'!E132)</f>
        <v/>
      </c>
      <c r="F135" s="460" t="str">
        <f>IF('Student DATA Entry'!K132="","",'Student DATA Entry'!K132)</f>
        <v/>
      </c>
      <c r="G135" s="461" t="str">
        <f>IF('Student DATA Entry'!G132="","",UPPER('Student DATA Entry'!G132))</f>
        <v/>
      </c>
      <c r="H135" s="461" t="str">
        <f>IF('Student DATA Entry'!H132="","",UPPER('Student DATA Entry'!H132))</f>
        <v/>
      </c>
      <c r="I135" s="462" t="str">
        <f>IF('Student DATA Entry'!I132="","",UPPER('Student DATA Entry'!I132))</f>
        <v/>
      </c>
      <c r="J135" s="463" t="str">
        <f>IF('Student DATA Entry'!L132="","",UPPER('Student DATA Entry'!L132))</f>
        <v/>
      </c>
      <c r="K135" s="469" t="str">
        <f>IF('Student DATA Entry'!J132="","",UPPER('Student DATA Entry'!J132))</f>
        <v/>
      </c>
      <c r="L135" s="491"/>
      <c r="M135" s="8"/>
      <c r="N135" s="8"/>
      <c r="O135" s="9"/>
      <c r="P135" s="492"/>
      <c r="Q135" s="491"/>
      <c r="R135" s="8"/>
      <c r="S135" s="8"/>
      <c r="T135" s="9"/>
      <c r="U135" s="492"/>
      <c r="V135" s="502"/>
      <c r="W135" s="7"/>
      <c r="X135" s="8"/>
      <c r="Y135" s="8"/>
      <c r="Z135" s="9"/>
      <c r="AA135" s="492"/>
      <c r="AB135" s="491"/>
      <c r="AC135" s="8"/>
      <c r="AD135" s="8"/>
      <c r="AE135" s="9"/>
      <c r="AF135" s="492"/>
      <c r="AG135" s="491"/>
      <c r="AH135" s="8"/>
      <c r="AI135" s="8"/>
      <c r="AJ135" s="9"/>
      <c r="AK135" s="492"/>
      <c r="AL135" s="491"/>
      <c r="AM135" s="8"/>
      <c r="AN135" s="8"/>
      <c r="AO135" s="9"/>
      <c r="AP135" s="492"/>
      <c r="AQ135" s="506"/>
      <c r="AR135" s="491"/>
      <c r="AS135" s="8"/>
      <c r="AT135" s="8"/>
      <c r="AU135" s="9"/>
      <c r="AV135" s="9"/>
      <c r="AW135" s="17"/>
      <c r="AX135" s="492"/>
      <c r="AY135" s="491"/>
      <c r="AZ135" s="7"/>
      <c r="BA135" s="9"/>
      <c r="BB135" s="9"/>
      <c r="BC135" s="492"/>
      <c r="BD135" s="491"/>
      <c r="BE135" s="7"/>
      <c r="BF135" s="7"/>
      <c r="BG135" s="7"/>
      <c r="BH135" s="9"/>
      <c r="BI135" s="9"/>
      <c r="BJ135" s="492"/>
      <c r="BK135" s="491"/>
      <c r="BL135" s="7"/>
      <c r="BM135" s="7"/>
      <c r="BN135" s="7"/>
      <c r="BO135" s="7"/>
      <c r="BP135" s="7"/>
      <c r="BQ135" s="7"/>
      <c r="BR135" s="8"/>
      <c r="BS135" s="8"/>
      <c r="BT135" s="509"/>
      <c r="BU135" s="491"/>
      <c r="BV135" s="8"/>
      <c r="BW135" s="509"/>
      <c r="BX135" s="491"/>
      <c r="BY135" s="8"/>
      <c r="BZ135" s="509"/>
      <c r="CA135" s="751"/>
    </row>
    <row r="136" spans="1:79" ht="24.95" customHeight="1">
      <c r="A136" s="468">
        <f>IF('Student DATA Entry'!A133="","",'Student DATA Entry'!A133)</f>
        <v>130</v>
      </c>
      <c r="B136" s="459" t="str">
        <f>IF('Student DATA Entry'!B133="","",'Student DATA Entry'!B133)</f>
        <v/>
      </c>
      <c r="C136" s="459" t="str">
        <f>IF('Student DATA Entry'!C133="","",'Student DATA Entry'!C133)</f>
        <v/>
      </c>
      <c r="D136" s="459" t="str">
        <f>IF('Student DATA Entry'!D133="","",'Student DATA Entry'!D133)</f>
        <v/>
      </c>
      <c r="E136" s="459" t="str">
        <f>IF('Student DATA Entry'!E133="","",'Student DATA Entry'!E133)</f>
        <v/>
      </c>
      <c r="F136" s="460" t="str">
        <f>IF('Student DATA Entry'!K133="","",'Student DATA Entry'!K133)</f>
        <v/>
      </c>
      <c r="G136" s="461" t="str">
        <f>IF('Student DATA Entry'!G133="","",UPPER('Student DATA Entry'!G133))</f>
        <v/>
      </c>
      <c r="H136" s="461" t="str">
        <f>IF('Student DATA Entry'!H133="","",UPPER('Student DATA Entry'!H133))</f>
        <v/>
      </c>
      <c r="I136" s="462" t="str">
        <f>IF('Student DATA Entry'!I133="","",UPPER('Student DATA Entry'!I133))</f>
        <v/>
      </c>
      <c r="J136" s="463" t="str">
        <f>IF('Student DATA Entry'!L133="","",UPPER('Student DATA Entry'!L133))</f>
        <v/>
      </c>
      <c r="K136" s="469" t="str">
        <f>IF('Student DATA Entry'!J133="","",UPPER('Student DATA Entry'!J133))</f>
        <v/>
      </c>
      <c r="L136" s="491"/>
      <c r="M136" s="8"/>
      <c r="N136" s="8"/>
      <c r="O136" s="9"/>
      <c r="P136" s="492"/>
      <c r="Q136" s="491"/>
      <c r="R136" s="8"/>
      <c r="S136" s="8"/>
      <c r="T136" s="9"/>
      <c r="U136" s="492"/>
      <c r="V136" s="502"/>
      <c r="W136" s="7"/>
      <c r="X136" s="8"/>
      <c r="Y136" s="8"/>
      <c r="Z136" s="9"/>
      <c r="AA136" s="492"/>
      <c r="AB136" s="491"/>
      <c r="AC136" s="8"/>
      <c r="AD136" s="8"/>
      <c r="AE136" s="9"/>
      <c r="AF136" s="492"/>
      <c r="AG136" s="491"/>
      <c r="AH136" s="8"/>
      <c r="AI136" s="8"/>
      <c r="AJ136" s="9"/>
      <c r="AK136" s="492"/>
      <c r="AL136" s="491"/>
      <c r="AM136" s="8"/>
      <c r="AN136" s="8"/>
      <c r="AO136" s="9"/>
      <c r="AP136" s="492"/>
      <c r="AQ136" s="506"/>
      <c r="AR136" s="491"/>
      <c r="AS136" s="8"/>
      <c r="AT136" s="8"/>
      <c r="AU136" s="9"/>
      <c r="AV136" s="9"/>
      <c r="AW136" s="17"/>
      <c r="AX136" s="492"/>
      <c r="AY136" s="491"/>
      <c r="AZ136" s="7"/>
      <c r="BA136" s="9"/>
      <c r="BB136" s="9"/>
      <c r="BC136" s="492"/>
      <c r="BD136" s="491"/>
      <c r="BE136" s="7"/>
      <c r="BF136" s="7"/>
      <c r="BG136" s="7"/>
      <c r="BH136" s="9"/>
      <c r="BI136" s="9"/>
      <c r="BJ136" s="492"/>
      <c r="BK136" s="491"/>
      <c r="BL136" s="7"/>
      <c r="BM136" s="7"/>
      <c r="BN136" s="7"/>
      <c r="BO136" s="7"/>
      <c r="BP136" s="7"/>
      <c r="BQ136" s="7"/>
      <c r="BR136" s="8"/>
      <c r="BS136" s="8"/>
      <c r="BT136" s="509"/>
      <c r="BU136" s="491"/>
      <c r="BV136" s="8"/>
      <c r="BW136" s="509"/>
      <c r="BX136" s="491"/>
      <c r="BY136" s="8"/>
      <c r="BZ136" s="509"/>
      <c r="CA136" s="751"/>
    </row>
    <row r="137" spans="1:79" ht="24.95" customHeight="1">
      <c r="A137" s="468">
        <f>IF('Student DATA Entry'!A134="","",'Student DATA Entry'!A134)</f>
        <v>131</v>
      </c>
      <c r="B137" s="459" t="str">
        <f>IF('Student DATA Entry'!B134="","",'Student DATA Entry'!B134)</f>
        <v/>
      </c>
      <c r="C137" s="459" t="str">
        <f>IF('Student DATA Entry'!C134="","",'Student DATA Entry'!C134)</f>
        <v/>
      </c>
      <c r="D137" s="459" t="str">
        <f>IF('Student DATA Entry'!D134="","",'Student DATA Entry'!D134)</f>
        <v/>
      </c>
      <c r="E137" s="459" t="str">
        <f>IF('Student DATA Entry'!E134="","",'Student DATA Entry'!E134)</f>
        <v/>
      </c>
      <c r="F137" s="460" t="str">
        <f>IF('Student DATA Entry'!K134="","",'Student DATA Entry'!K134)</f>
        <v/>
      </c>
      <c r="G137" s="461" t="str">
        <f>IF('Student DATA Entry'!G134="","",UPPER('Student DATA Entry'!G134))</f>
        <v/>
      </c>
      <c r="H137" s="461" t="str">
        <f>IF('Student DATA Entry'!H134="","",UPPER('Student DATA Entry'!H134))</f>
        <v/>
      </c>
      <c r="I137" s="462" t="str">
        <f>IF('Student DATA Entry'!I134="","",UPPER('Student DATA Entry'!I134))</f>
        <v/>
      </c>
      <c r="J137" s="463" t="str">
        <f>IF('Student DATA Entry'!L134="","",UPPER('Student DATA Entry'!L134))</f>
        <v/>
      </c>
      <c r="K137" s="469" t="str">
        <f>IF('Student DATA Entry'!J134="","",UPPER('Student DATA Entry'!J134))</f>
        <v/>
      </c>
      <c r="L137" s="491"/>
      <c r="M137" s="8"/>
      <c r="N137" s="8"/>
      <c r="O137" s="9"/>
      <c r="P137" s="492"/>
      <c r="Q137" s="491"/>
      <c r="R137" s="8"/>
      <c r="S137" s="8"/>
      <c r="T137" s="9"/>
      <c r="U137" s="492"/>
      <c r="V137" s="502"/>
      <c r="W137" s="7"/>
      <c r="X137" s="8"/>
      <c r="Y137" s="8"/>
      <c r="Z137" s="9"/>
      <c r="AA137" s="492"/>
      <c r="AB137" s="491"/>
      <c r="AC137" s="8"/>
      <c r="AD137" s="8"/>
      <c r="AE137" s="9"/>
      <c r="AF137" s="492"/>
      <c r="AG137" s="491"/>
      <c r="AH137" s="8"/>
      <c r="AI137" s="8"/>
      <c r="AJ137" s="9"/>
      <c r="AK137" s="492"/>
      <c r="AL137" s="491"/>
      <c r="AM137" s="8"/>
      <c r="AN137" s="8"/>
      <c r="AO137" s="9"/>
      <c r="AP137" s="492"/>
      <c r="AQ137" s="506"/>
      <c r="AR137" s="491"/>
      <c r="AS137" s="8"/>
      <c r="AT137" s="8"/>
      <c r="AU137" s="9"/>
      <c r="AV137" s="9"/>
      <c r="AW137" s="17"/>
      <c r="AX137" s="492"/>
      <c r="AY137" s="491"/>
      <c r="AZ137" s="7"/>
      <c r="BA137" s="9"/>
      <c r="BB137" s="9"/>
      <c r="BC137" s="492"/>
      <c r="BD137" s="491"/>
      <c r="BE137" s="7"/>
      <c r="BF137" s="7"/>
      <c r="BG137" s="7"/>
      <c r="BH137" s="9"/>
      <c r="BI137" s="9"/>
      <c r="BJ137" s="492"/>
      <c r="BK137" s="491"/>
      <c r="BL137" s="7"/>
      <c r="BM137" s="7"/>
      <c r="BN137" s="7"/>
      <c r="BO137" s="7"/>
      <c r="BP137" s="7"/>
      <c r="BQ137" s="7"/>
      <c r="BR137" s="8"/>
      <c r="BS137" s="8"/>
      <c r="BT137" s="509"/>
      <c r="BU137" s="491"/>
      <c r="BV137" s="8"/>
      <c r="BW137" s="509"/>
      <c r="BX137" s="491"/>
      <c r="BY137" s="8"/>
      <c r="BZ137" s="509"/>
      <c r="CA137" s="751"/>
    </row>
    <row r="138" spans="1:79" ht="24.95" customHeight="1">
      <c r="A138" s="468">
        <f>IF('Student DATA Entry'!A135="","",'Student DATA Entry'!A135)</f>
        <v>132</v>
      </c>
      <c r="B138" s="459" t="str">
        <f>IF('Student DATA Entry'!B135="","",'Student DATA Entry'!B135)</f>
        <v/>
      </c>
      <c r="C138" s="459" t="str">
        <f>IF('Student DATA Entry'!C135="","",'Student DATA Entry'!C135)</f>
        <v/>
      </c>
      <c r="D138" s="459" t="str">
        <f>IF('Student DATA Entry'!D135="","",'Student DATA Entry'!D135)</f>
        <v/>
      </c>
      <c r="E138" s="459" t="str">
        <f>IF('Student DATA Entry'!E135="","",'Student DATA Entry'!E135)</f>
        <v/>
      </c>
      <c r="F138" s="460" t="str">
        <f>IF('Student DATA Entry'!K135="","",'Student DATA Entry'!K135)</f>
        <v/>
      </c>
      <c r="G138" s="461" t="str">
        <f>IF('Student DATA Entry'!G135="","",UPPER('Student DATA Entry'!G135))</f>
        <v/>
      </c>
      <c r="H138" s="461" t="str">
        <f>IF('Student DATA Entry'!H135="","",UPPER('Student DATA Entry'!H135))</f>
        <v/>
      </c>
      <c r="I138" s="462" t="str">
        <f>IF('Student DATA Entry'!I135="","",UPPER('Student DATA Entry'!I135))</f>
        <v/>
      </c>
      <c r="J138" s="463" t="str">
        <f>IF('Student DATA Entry'!L135="","",UPPER('Student DATA Entry'!L135))</f>
        <v/>
      </c>
      <c r="K138" s="469" t="str">
        <f>IF('Student DATA Entry'!J135="","",UPPER('Student DATA Entry'!J135))</f>
        <v/>
      </c>
      <c r="L138" s="491"/>
      <c r="M138" s="8"/>
      <c r="N138" s="8"/>
      <c r="O138" s="9"/>
      <c r="P138" s="492"/>
      <c r="Q138" s="491"/>
      <c r="R138" s="8"/>
      <c r="S138" s="8"/>
      <c r="T138" s="9"/>
      <c r="U138" s="492"/>
      <c r="V138" s="502"/>
      <c r="W138" s="7"/>
      <c r="X138" s="8"/>
      <c r="Y138" s="8"/>
      <c r="Z138" s="9"/>
      <c r="AA138" s="492"/>
      <c r="AB138" s="491"/>
      <c r="AC138" s="8"/>
      <c r="AD138" s="8"/>
      <c r="AE138" s="9"/>
      <c r="AF138" s="492"/>
      <c r="AG138" s="491"/>
      <c r="AH138" s="8"/>
      <c r="AI138" s="8"/>
      <c r="AJ138" s="9"/>
      <c r="AK138" s="492"/>
      <c r="AL138" s="491"/>
      <c r="AM138" s="8"/>
      <c r="AN138" s="8"/>
      <c r="AO138" s="9"/>
      <c r="AP138" s="492"/>
      <c r="AQ138" s="506"/>
      <c r="AR138" s="491"/>
      <c r="AS138" s="8"/>
      <c r="AT138" s="8"/>
      <c r="AU138" s="9"/>
      <c r="AV138" s="9"/>
      <c r="AW138" s="17"/>
      <c r="AX138" s="492"/>
      <c r="AY138" s="491"/>
      <c r="AZ138" s="7"/>
      <c r="BA138" s="9"/>
      <c r="BB138" s="9"/>
      <c r="BC138" s="492"/>
      <c r="BD138" s="491"/>
      <c r="BE138" s="7"/>
      <c r="BF138" s="7"/>
      <c r="BG138" s="7"/>
      <c r="BH138" s="9"/>
      <c r="BI138" s="9"/>
      <c r="BJ138" s="492"/>
      <c r="BK138" s="491"/>
      <c r="BL138" s="7"/>
      <c r="BM138" s="7"/>
      <c r="BN138" s="7"/>
      <c r="BO138" s="7"/>
      <c r="BP138" s="7"/>
      <c r="BQ138" s="7"/>
      <c r="BR138" s="8"/>
      <c r="BS138" s="8"/>
      <c r="BT138" s="509"/>
      <c r="BU138" s="491"/>
      <c r="BV138" s="8"/>
      <c r="BW138" s="509"/>
      <c r="BX138" s="491"/>
      <c r="BY138" s="8"/>
      <c r="BZ138" s="509"/>
      <c r="CA138" s="751"/>
    </row>
    <row r="139" spans="1:79" ht="24.95" customHeight="1">
      <c r="A139" s="468">
        <f>IF('Student DATA Entry'!A136="","",'Student DATA Entry'!A136)</f>
        <v>133</v>
      </c>
      <c r="B139" s="459" t="str">
        <f>IF('Student DATA Entry'!B136="","",'Student DATA Entry'!B136)</f>
        <v/>
      </c>
      <c r="C139" s="459" t="str">
        <f>IF('Student DATA Entry'!C136="","",'Student DATA Entry'!C136)</f>
        <v/>
      </c>
      <c r="D139" s="459" t="str">
        <f>IF('Student DATA Entry'!D136="","",'Student DATA Entry'!D136)</f>
        <v/>
      </c>
      <c r="E139" s="459" t="str">
        <f>IF('Student DATA Entry'!E136="","",'Student DATA Entry'!E136)</f>
        <v/>
      </c>
      <c r="F139" s="460" t="str">
        <f>IF('Student DATA Entry'!K136="","",'Student DATA Entry'!K136)</f>
        <v/>
      </c>
      <c r="G139" s="461" t="str">
        <f>IF('Student DATA Entry'!G136="","",UPPER('Student DATA Entry'!G136))</f>
        <v/>
      </c>
      <c r="H139" s="461" t="str">
        <f>IF('Student DATA Entry'!H136="","",UPPER('Student DATA Entry'!H136))</f>
        <v/>
      </c>
      <c r="I139" s="462" t="str">
        <f>IF('Student DATA Entry'!I136="","",UPPER('Student DATA Entry'!I136))</f>
        <v/>
      </c>
      <c r="J139" s="463" t="str">
        <f>IF('Student DATA Entry'!L136="","",UPPER('Student DATA Entry'!L136))</f>
        <v/>
      </c>
      <c r="K139" s="469" t="str">
        <f>IF('Student DATA Entry'!J136="","",UPPER('Student DATA Entry'!J136))</f>
        <v/>
      </c>
      <c r="L139" s="491"/>
      <c r="M139" s="8"/>
      <c r="N139" s="8"/>
      <c r="O139" s="9"/>
      <c r="P139" s="492"/>
      <c r="Q139" s="491"/>
      <c r="R139" s="8"/>
      <c r="S139" s="8"/>
      <c r="T139" s="9"/>
      <c r="U139" s="492"/>
      <c r="V139" s="502"/>
      <c r="W139" s="7"/>
      <c r="X139" s="8"/>
      <c r="Y139" s="8"/>
      <c r="Z139" s="9"/>
      <c r="AA139" s="492"/>
      <c r="AB139" s="491"/>
      <c r="AC139" s="8"/>
      <c r="AD139" s="8"/>
      <c r="AE139" s="9"/>
      <c r="AF139" s="492"/>
      <c r="AG139" s="491"/>
      <c r="AH139" s="8"/>
      <c r="AI139" s="8"/>
      <c r="AJ139" s="9"/>
      <c r="AK139" s="492"/>
      <c r="AL139" s="491"/>
      <c r="AM139" s="8"/>
      <c r="AN139" s="8"/>
      <c r="AO139" s="9"/>
      <c r="AP139" s="492"/>
      <c r="AQ139" s="506"/>
      <c r="AR139" s="491"/>
      <c r="AS139" s="8"/>
      <c r="AT139" s="8"/>
      <c r="AU139" s="9"/>
      <c r="AV139" s="9"/>
      <c r="AW139" s="17"/>
      <c r="AX139" s="492"/>
      <c r="AY139" s="491"/>
      <c r="AZ139" s="7"/>
      <c r="BA139" s="9"/>
      <c r="BB139" s="9"/>
      <c r="BC139" s="492"/>
      <c r="BD139" s="491"/>
      <c r="BE139" s="7"/>
      <c r="BF139" s="7"/>
      <c r="BG139" s="7"/>
      <c r="BH139" s="9"/>
      <c r="BI139" s="9"/>
      <c r="BJ139" s="492"/>
      <c r="BK139" s="491"/>
      <c r="BL139" s="7"/>
      <c r="BM139" s="7"/>
      <c r="BN139" s="7"/>
      <c r="BO139" s="7"/>
      <c r="BP139" s="7"/>
      <c r="BQ139" s="7"/>
      <c r="BR139" s="8"/>
      <c r="BS139" s="8"/>
      <c r="BT139" s="509"/>
      <c r="BU139" s="491"/>
      <c r="BV139" s="8"/>
      <c r="BW139" s="509"/>
      <c r="BX139" s="491"/>
      <c r="BY139" s="8"/>
      <c r="BZ139" s="509"/>
      <c r="CA139" s="751"/>
    </row>
    <row r="140" spans="1:79" ht="24.95" customHeight="1">
      <c r="A140" s="468">
        <f>IF('Student DATA Entry'!A137="","",'Student DATA Entry'!A137)</f>
        <v>134</v>
      </c>
      <c r="B140" s="459" t="str">
        <f>IF('Student DATA Entry'!B137="","",'Student DATA Entry'!B137)</f>
        <v/>
      </c>
      <c r="C140" s="459" t="str">
        <f>IF('Student DATA Entry'!C137="","",'Student DATA Entry'!C137)</f>
        <v/>
      </c>
      <c r="D140" s="459" t="str">
        <f>IF('Student DATA Entry'!D137="","",'Student DATA Entry'!D137)</f>
        <v/>
      </c>
      <c r="E140" s="459" t="str">
        <f>IF('Student DATA Entry'!E137="","",'Student DATA Entry'!E137)</f>
        <v/>
      </c>
      <c r="F140" s="460" t="str">
        <f>IF('Student DATA Entry'!K137="","",'Student DATA Entry'!K137)</f>
        <v/>
      </c>
      <c r="G140" s="461" t="str">
        <f>IF('Student DATA Entry'!G137="","",UPPER('Student DATA Entry'!G137))</f>
        <v/>
      </c>
      <c r="H140" s="461" t="str">
        <f>IF('Student DATA Entry'!H137="","",UPPER('Student DATA Entry'!H137))</f>
        <v/>
      </c>
      <c r="I140" s="462" t="str">
        <f>IF('Student DATA Entry'!I137="","",UPPER('Student DATA Entry'!I137))</f>
        <v/>
      </c>
      <c r="J140" s="463" t="str">
        <f>IF('Student DATA Entry'!L137="","",UPPER('Student DATA Entry'!L137))</f>
        <v/>
      </c>
      <c r="K140" s="469" t="str">
        <f>IF('Student DATA Entry'!J137="","",UPPER('Student DATA Entry'!J137))</f>
        <v/>
      </c>
      <c r="L140" s="491"/>
      <c r="M140" s="8"/>
      <c r="N140" s="8"/>
      <c r="O140" s="9"/>
      <c r="P140" s="492"/>
      <c r="Q140" s="491"/>
      <c r="R140" s="8"/>
      <c r="S140" s="8"/>
      <c r="T140" s="9"/>
      <c r="U140" s="492"/>
      <c r="V140" s="502"/>
      <c r="W140" s="7"/>
      <c r="X140" s="8"/>
      <c r="Y140" s="8"/>
      <c r="Z140" s="9"/>
      <c r="AA140" s="492"/>
      <c r="AB140" s="491"/>
      <c r="AC140" s="8"/>
      <c r="AD140" s="8"/>
      <c r="AE140" s="9"/>
      <c r="AF140" s="492"/>
      <c r="AG140" s="491"/>
      <c r="AH140" s="8"/>
      <c r="AI140" s="8"/>
      <c r="AJ140" s="9"/>
      <c r="AK140" s="492"/>
      <c r="AL140" s="491"/>
      <c r="AM140" s="8"/>
      <c r="AN140" s="8"/>
      <c r="AO140" s="9"/>
      <c r="AP140" s="492"/>
      <c r="AQ140" s="506"/>
      <c r="AR140" s="491"/>
      <c r="AS140" s="8"/>
      <c r="AT140" s="8"/>
      <c r="AU140" s="9"/>
      <c r="AV140" s="9"/>
      <c r="AW140" s="17"/>
      <c r="AX140" s="492"/>
      <c r="AY140" s="491"/>
      <c r="AZ140" s="7"/>
      <c r="BA140" s="9"/>
      <c r="BB140" s="9"/>
      <c r="BC140" s="492"/>
      <c r="BD140" s="491"/>
      <c r="BE140" s="7"/>
      <c r="BF140" s="7"/>
      <c r="BG140" s="7"/>
      <c r="BH140" s="9"/>
      <c r="BI140" s="9"/>
      <c r="BJ140" s="492"/>
      <c r="BK140" s="491"/>
      <c r="BL140" s="7"/>
      <c r="BM140" s="7"/>
      <c r="BN140" s="7"/>
      <c r="BO140" s="7"/>
      <c r="BP140" s="7"/>
      <c r="BQ140" s="7"/>
      <c r="BR140" s="8"/>
      <c r="BS140" s="8"/>
      <c r="BT140" s="509"/>
      <c r="BU140" s="491"/>
      <c r="BV140" s="8"/>
      <c r="BW140" s="509"/>
      <c r="BX140" s="491"/>
      <c r="BY140" s="8"/>
      <c r="BZ140" s="509"/>
      <c r="CA140" s="751"/>
    </row>
    <row r="141" spans="1:79" ht="24.95" customHeight="1">
      <c r="A141" s="468">
        <f>IF('Student DATA Entry'!A138="","",'Student DATA Entry'!A138)</f>
        <v>135</v>
      </c>
      <c r="B141" s="459" t="str">
        <f>IF('Student DATA Entry'!B138="","",'Student DATA Entry'!B138)</f>
        <v/>
      </c>
      <c r="C141" s="459" t="str">
        <f>IF('Student DATA Entry'!C138="","",'Student DATA Entry'!C138)</f>
        <v/>
      </c>
      <c r="D141" s="459" t="str">
        <f>IF('Student DATA Entry'!D138="","",'Student DATA Entry'!D138)</f>
        <v/>
      </c>
      <c r="E141" s="459" t="str">
        <f>IF('Student DATA Entry'!E138="","",'Student DATA Entry'!E138)</f>
        <v/>
      </c>
      <c r="F141" s="460" t="str">
        <f>IF('Student DATA Entry'!K138="","",'Student DATA Entry'!K138)</f>
        <v/>
      </c>
      <c r="G141" s="461" t="str">
        <f>IF('Student DATA Entry'!G138="","",UPPER('Student DATA Entry'!G138))</f>
        <v/>
      </c>
      <c r="H141" s="461" t="str">
        <f>IF('Student DATA Entry'!H138="","",UPPER('Student DATA Entry'!H138))</f>
        <v/>
      </c>
      <c r="I141" s="462" t="str">
        <f>IF('Student DATA Entry'!I138="","",UPPER('Student DATA Entry'!I138))</f>
        <v/>
      </c>
      <c r="J141" s="463" t="str">
        <f>IF('Student DATA Entry'!L138="","",UPPER('Student DATA Entry'!L138))</f>
        <v/>
      </c>
      <c r="K141" s="469" t="str">
        <f>IF('Student DATA Entry'!J138="","",UPPER('Student DATA Entry'!J138))</f>
        <v/>
      </c>
      <c r="L141" s="491"/>
      <c r="M141" s="8"/>
      <c r="N141" s="8"/>
      <c r="O141" s="9"/>
      <c r="P141" s="492"/>
      <c r="Q141" s="491"/>
      <c r="R141" s="8"/>
      <c r="S141" s="8"/>
      <c r="T141" s="9"/>
      <c r="U141" s="492"/>
      <c r="V141" s="502"/>
      <c r="W141" s="7"/>
      <c r="X141" s="8"/>
      <c r="Y141" s="8"/>
      <c r="Z141" s="9"/>
      <c r="AA141" s="492"/>
      <c r="AB141" s="491"/>
      <c r="AC141" s="8"/>
      <c r="AD141" s="8"/>
      <c r="AE141" s="9"/>
      <c r="AF141" s="492"/>
      <c r="AG141" s="491"/>
      <c r="AH141" s="8"/>
      <c r="AI141" s="8"/>
      <c r="AJ141" s="9"/>
      <c r="AK141" s="492"/>
      <c r="AL141" s="491"/>
      <c r="AM141" s="8"/>
      <c r="AN141" s="8"/>
      <c r="AO141" s="9"/>
      <c r="AP141" s="492"/>
      <c r="AQ141" s="506"/>
      <c r="AR141" s="491"/>
      <c r="AS141" s="8"/>
      <c r="AT141" s="8"/>
      <c r="AU141" s="9"/>
      <c r="AV141" s="9"/>
      <c r="AW141" s="17"/>
      <c r="AX141" s="492"/>
      <c r="AY141" s="491"/>
      <c r="AZ141" s="7"/>
      <c r="BA141" s="9"/>
      <c r="BB141" s="9"/>
      <c r="BC141" s="492"/>
      <c r="BD141" s="491"/>
      <c r="BE141" s="7"/>
      <c r="BF141" s="7"/>
      <c r="BG141" s="7"/>
      <c r="BH141" s="9"/>
      <c r="BI141" s="9"/>
      <c r="BJ141" s="492"/>
      <c r="BK141" s="491"/>
      <c r="BL141" s="7"/>
      <c r="BM141" s="7"/>
      <c r="BN141" s="7"/>
      <c r="BO141" s="7"/>
      <c r="BP141" s="7"/>
      <c r="BQ141" s="7"/>
      <c r="BR141" s="8"/>
      <c r="BS141" s="8"/>
      <c r="BT141" s="509"/>
      <c r="BU141" s="491"/>
      <c r="BV141" s="8"/>
      <c r="BW141" s="509"/>
      <c r="BX141" s="491"/>
      <c r="BY141" s="8"/>
      <c r="BZ141" s="509"/>
      <c r="CA141" s="751"/>
    </row>
    <row r="142" spans="1:79" ht="24.95" customHeight="1">
      <c r="A142" s="468">
        <f>IF('Student DATA Entry'!A139="","",'Student DATA Entry'!A139)</f>
        <v>136</v>
      </c>
      <c r="B142" s="459" t="str">
        <f>IF('Student DATA Entry'!B139="","",'Student DATA Entry'!B139)</f>
        <v/>
      </c>
      <c r="C142" s="459" t="str">
        <f>IF('Student DATA Entry'!C139="","",'Student DATA Entry'!C139)</f>
        <v/>
      </c>
      <c r="D142" s="459" t="str">
        <f>IF('Student DATA Entry'!D139="","",'Student DATA Entry'!D139)</f>
        <v/>
      </c>
      <c r="E142" s="459" t="str">
        <f>IF('Student DATA Entry'!E139="","",'Student DATA Entry'!E139)</f>
        <v/>
      </c>
      <c r="F142" s="460" t="str">
        <f>IF('Student DATA Entry'!K139="","",'Student DATA Entry'!K139)</f>
        <v/>
      </c>
      <c r="G142" s="461" t="str">
        <f>IF('Student DATA Entry'!G139="","",UPPER('Student DATA Entry'!G139))</f>
        <v/>
      </c>
      <c r="H142" s="461" t="str">
        <f>IF('Student DATA Entry'!H139="","",UPPER('Student DATA Entry'!H139))</f>
        <v/>
      </c>
      <c r="I142" s="462" t="str">
        <f>IF('Student DATA Entry'!I139="","",UPPER('Student DATA Entry'!I139))</f>
        <v/>
      </c>
      <c r="J142" s="463" t="str">
        <f>IF('Student DATA Entry'!L139="","",UPPER('Student DATA Entry'!L139))</f>
        <v/>
      </c>
      <c r="K142" s="469" t="str">
        <f>IF('Student DATA Entry'!J139="","",UPPER('Student DATA Entry'!J139))</f>
        <v/>
      </c>
      <c r="L142" s="491"/>
      <c r="M142" s="8"/>
      <c r="N142" s="8"/>
      <c r="O142" s="9"/>
      <c r="P142" s="492"/>
      <c r="Q142" s="491"/>
      <c r="R142" s="8"/>
      <c r="S142" s="8"/>
      <c r="T142" s="9"/>
      <c r="U142" s="492"/>
      <c r="V142" s="502"/>
      <c r="W142" s="7"/>
      <c r="X142" s="8"/>
      <c r="Y142" s="8"/>
      <c r="Z142" s="9"/>
      <c r="AA142" s="492"/>
      <c r="AB142" s="491"/>
      <c r="AC142" s="8"/>
      <c r="AD142" s="8"/>
      <c r="AE142" s="9"/>
      <c r="AF142" s="492"/>
      <c r="AG142" s="491"/>
      <c r="AH142" s="8"/>
      <c r="AI142" s="8"/>
      <c r="AJ142" s="9"/>
      <c r="AK142" s="492"/>
      <c r="AL142" s="491"/>
      <c r="AM142" s="8"/>
      <c r="AN142" s="8"/>
      <c r="AO142" s="9"/>
      <c r="AP142" s="492"/>
      <c r="AQ142" s="506"/>
      <c r="AR142" s="491"/>
      <c r="AS142" s="8"/>
      <c r="AT142" s="8"/>
      <c r="AU142" s="9"/>
      <c r="AV142" s="9"/>
      <c r="AW142" s="17"/>
      <c r="AX142" s="492"/>
      <c r="AY142" s="491"/>
      <c r="AZ142" s="7"/>
      <c r="BA142" s="9"/>
      <c r="BB142" s="9"/>
      <c r="BC142" s="492"/>
      <c r="BD142" s="491"/>
      <c r="BE142" s="7"/>
      <c r="BF142" s="7"/>
      <c r="BG142" s="7"/>
      <c r="BH142" s="9"/>
      <c r="BI142" s="9"/>
      <c r="BJ142" s="492"/>
      <c r="BK142" s="491"/>
      <c r="BL142" s="7"/>
      <c r="BM142" s="7"/>
      <c r="BN142" s="7"/>
      <c r="BO142" s="7"/>
      <c r="BP142" s="7"/>
      <c r="BQ142" s="7"/>
      <c r="BR142" s="8"/>
      <c r="BS142" s="8"/>
      <c r="BT142" s="509"/>
      <c r="BU142" s="491"/>
      <c r="BV142" s="8"/>
      <c r="BW142" s="509"/>
      <c r="BX142" s="491"/>
      <c r="BY142" s="8"/>
      <c r="BZ142" s="509"/>
      <c r="CA142" s="751"/>
    </row>
    <row r="143" spans="1:79" ht="24.95" customHeight="1">
      <c r="A143" s="468">
        <f>IF('Student DATA Entry'!A140="","",'Student DATA Entry'!A140)</f>
        <v>137</v>
      </c>
      <c r="B143" s="459" t="str">
        <f>IF('Student DATA Entry'!B140="","",'Student DATA Entry'!B140)</f>
        <v/>
      </c>
      <c r="C143" s="459" t="str">
        <f>IF('Student DATA Entry'!C140="","",'Student DATA Entry'!C140)</f>
        <v/>
      </c>
      <c r="D143" s="459" t="str">
        <f>IF('Student DATA Entry'!D140="","",'Student DATA Entry'!D140)</f>
        <v/>
      </c>
      <c r="E143" s="459" t="str">
        <f>IF('Student DATA Entry'!E140="","",'Student DATA Entry'!E140)</f>
        <v/>
      </c>
      <c r="F143" s="460" t="str">
        <f>IF('Student DATA Entry'!K140="","",'Student DATA Entry'!K140)</f>
        <v/>
      </c>
      <c r="G143" s="461" t="str">
        <f>IF('Student DATA Entry'!G140="","",UPPER('Student DATA Entry'!G140))</f>
        <v/>
      </c>
      <c r="H143" s="461" t="str">
        <f>IF('Student DATA Entry'!H140="","",UPPER('Student DATA Entry'!H140))</f>
        <v/>
      </c>
      <c r="I143" s="462" t="str">
        <f>IF('Student DATA Entry'!I140="","",UPPER('Student DATA Entry'!I140))</f>
        <v/>
      </c>
      <c r="J143" s="463" t="str">
        <f>IF('Student DATA Entry'!L140="","",UPPER('Student DATA Entry'!L140))</f>
        <v/>
      </c>
      <c r="K143" s="469" t="str">
        <f>IF('Student DATA Entry'!J140="","",UPPER('Student DATA Entry'!J140))</f>
        <v/>
      </c>
      <c r="L143" s="491"/>
      <c r="M143" s="8"/>
      <c r="N143" s="8"/>
      <c r="O143" s="9"/>
      <c r="P143" s="492"/>
      <c r="Q143" s="491"/>
      <c r="R143" s="8"/>
      <c r="S143" s="8"/>
      <c r="T143" s="9"/>
      <c r="U143" s="492"/>
      <c r="V143" s="502"/>
      <c r="W143" s="7"/>
      <c r="X143" s="8"/>
      <c r="Y143" s="8"/>
      <c r="Z143" s="9"/>
      <c r="AA143" s="492"/>
      <c r="AB143" s="491"/>
      <c r="AC143" s="8"/>
      <c r="AD143" s="8"/>
      <c r="AE143" s="9"/>
      <c r="AF143" s="492"/>
      <c r="AG143" s="491"/>
      <c r="AH143" s="8"/>
      <c r="AI143" s="8"/>
      <c r="AJ143" s="9"/>
      <c r="AK143" s="492"/>
      <c r="AL143" s="491"/>
      <c r="AM143" s="8"/>
      <c r="AN143" s="8"/>
      <c r="AO143" s="9"/>
      <c r="AP143" s="492"/>
      <c r="AQ143" s="506"/>
      <c r="AR143" s="491"/>
      <c r="AS143" s="8"/>
      <c r="AT143" s="8"/>
      <c r="AU143" s="9"/>
      <c r="AV143" s="9"/>
      <c r="AW143" s="17"/>
      <c r="AX143" s="492"/>
      <c r="AY143" s="491"/>
      <c r="AZ143" s="7"/>
      <c r="BA143" s="9"/>
      <c r="BB143" s="9"/>
      <c r="BC143" s="492"/>
      <c r="BD143" s="491"/>
      <c r="BE143" s="7"/>
      <c r="BF143" s="7"/>
      <c r="BG143" s="7"/>
      <c r="BH143" s="9"/>
      <c r="BI143" s="9"/>
      <c r="BJ143" s="492"/>
      <c r="BK143" s="491"/>
      <c r="BL143" s="7"/>
      <c r="BM143" s="7"/>
      <c r="BN143" s="7"/>
      <c r="BO143" s="7"/>
      <c r="BP143" s="7"/>
      <c r="BQ143" s="7"/>
      <c r="BR143" s="8"/>
      <c r="BS143" s="8"/>
      <c r="BT143" s="509"/>
      <c r="BU143" s="491"/>
      <c r="BV143" s="8"/>
      <c r="BW143" s="509"/>
      <c r="BX143" s="491"/>
      <c r="BY143" s="8"/>
      <c r="BZ143" s="509"/>
      <c r="CA143" s="751"/>
    </row>
    <row r="144" spans="1:79" ht="24.95" customHeight="1">
      <c r="A144" s="468">
        <f>IF('Student DATA Entry'!A141="","",'Student DATA Entry'!A141)</f>
        <v>138</v>
      </c>
      <c r="B144" s="459" t="str">
        <f>IF('Student DATA Entry'!B141="","",'Student DATA Entry'!B141)</f>
        <v/>
      </c>
      <c r="C144" s="459" t="str">
        <f>IF('Student DATA Entry'!C141="","",'Student DATA Entry'!C141)</f>
        <v/>
      </c>
      <c r="D144" s="459" t="str">
        <f>IF('Student DATA Entry'!D141="","",'Student DATA Entry'!D141)</f>
        <v/>
      </c>
      <c r="E144" s="459" t="str">
        <f>IF('Student DATA Entry'!E141="","",'Student DATA Entry'!E141)</f>
        <v/>
      </c>
      <c r="F144" s="460" t="str">
        <f>IF('Student DATA Entry'!K141="","",'Student DATA Entry'!K141)</f>
        <v/>
      </c>
      <c r="G144" s="461" t="str">
        <f>IF('Student DATA Entry'!G141="","",UPPER('Student DATA Entry'!G141))</f>
        <v/>
      </c>
      <c r="H144" s="461" t="str">
        <f>IF('Student DATA Entry'!H141="","",UPPER('Student DATA Entry'!H141))</f>
        <v/>
      </c>
      <c r="I144" s="462" t="str">
        <f>IF('Student DATA Entry'!I141="","",UPPER('Student DATA Entry'!I141))</f>
        <v/>
      </c>
      <c r="J144" s="463" t="str">
        <f>IF('Student DATA Entry'!L141="","",UPPER('Student DATA Entry'!L141))</f>
        <v/>
      </c>
      <c r="K144" s="469" t="str">
        <f>IF('Student DATA Entry'!J141="","",UPPER('Student DATA Entry'!J141))</f>
        <v/>
      </c>
      <c r="L144" s="491"/>
      <c r="M144" s="8"/>
      <c r="N144" s="8"/>
      <c r="O144" s="9"/>
      <c r="P144" s="492"/>
      <c r="Q144" s="491"/>
      <c r="R144" s="8"/>
      <c r="S144" s="8"/>
      <c r="T144" s="9"/>
      <c r="U144" s="492"/>
      <c r="V144" s="502"/>
      <c r="W144" s="7"/>
      <c r="X144" s="8"/>
      <c r="Y144" s="8"/>
      <c r="Z144" s="9"/>
      <c r="AA144" s="492"/>
      <c r="AB144" s="491"/>
      <c r="AC144" s="8"/>
      <c r="AD144" s="8"/>
      <c r="AE144" s="9"/>
      <c r="AF144" s="492"/>
      <c r="AG144" s="491"/>
      <c r="AH144" s="8"/>
      <c r="AI144" s="8"/>
      <c r="AJ144" s="9"/>
      <c r="AK144" s="492"/>
      <c r="AL144" s="491"/>
      <c r="AM144" s="8"/>
      <c r="AN144" s="8"/>
      <c r="AO144" s="9"/>
      <c r="AP144" s="492"/>
      <c r="AQ144" s="506"/>
      <c r="AR144" s="491"/>
      <c r="AS144" s="8"/>
      <c r="AT144" s="8"/>
      <c r="AU144" s="9"/>
      <c r="AV144" s="9"/>
      <c r="AW144" s="17"/>
      <c r="AX144" s="492"/>
      <c r="AY144" s="491"/>
      <c r="AZ144" s="7"/>
      <c r="BA144" s="9"/>
      <c r="BB144" s="9"/>
      <c r="BC144" s="492"/>
      <c r="BD144" s="491"/>
      <c r="BE144" s="7"/>
      <c r="BF144" s="7"/>
      <c r="BG144" s="7"/>
      <c r="BH144" s="9"/>
      <c r="BI144" s="9"/>
      <c r="BJ144" s="492"/>
      <c r="BK144" s="491"/>
      <c r="BL144" s="7"/>
      <c r="BM144" s="7"/>
      <c r="BN144" s="7"/>
      <c r="BO144" s="7"/>
      <c r="BP144" s="7"/>
      <c r="BQ144" s="7"/>
      <c r="BR144" s="8"/>
      <c r="BS144" s="8"/>
      <c r="BT144" s="509"/>
      <c r="BU144" s="491"/>
      <c r="BV144" s="8"/>
      <c r="BW144" s="509"/>
      <c r="BX144" s="491"/>
      <c r="BY144" s="8"/>
      <c r="BZ144" s="509"/>
      <c r="CA144" s="751"/>
    </row>
    <row r="145" spans="1:79" ht="24.95" customHeight="1">
      <c r="A145" s="468">
        <f>IF('Student DATA Entry'!A142="","",'Student DATA Entry'!A142)</f>
        <v>139</v>
      </c>
      <c r="B145" s="459" t="str">
        <f>IF('Student DATA Entry'!B142="","",'Student DATA Entry'!B142)</f>
        <v/>
      </c>
      <c r="C145" s="459" t="str">
        <f>IF('Student DATA Entry'!C142="","",'Student DATA Entry'!C142)</f>
        <v/>
      </c>
      <c r="D145" s="459" t="str">
        <f>IF('Student DATA Entry'!D142="","",'Student DATA Entry'!D142)</f>
        <v/>
      </c>
      <c r="E145" s="459" t="str">
        <f>IF('Student DATA Entry'!E142="","",'Student DATA Entry'!E142)</f>
        <v/>
      </c>
      <c r="F145" s="460" t="str">
        <f>IF('Student DATA Entry'!K142="","",'Student DATA Entry'!K142)</f>
        <v/>
      </c>
      <c r="G145" s="461" t="str">
        <f>IF('Student DATA Entry'!G142="","",UPPER('Student DATA Entry'!G142))</f>
        <v/>
      </c>
      <c r="H145" s="461" t="str">
        <f>IF('Student DATA Entry'!H142="","",UPPER('Student DATA Entry'!H142))</f>
        <v/>
      </c>
      <c r="I145" s="462" t="str">
        <f>IF('Student DATA Entry'!I142="","",UPPER('Student DATA Entry'!I142))</f>
        <v/>
      </c>
      <c r="J145" s="463" t="str">
        <f>IF('Student DATA Entry'!L142="","",UPPER('Student DATA Entry'!L142))</f>
        <v/>
      </c>
      <c r="K145" s="469" t="str">
        <f>IF('Student DATA Entry'!J142="","",UPPER('Student DATA Entry'!J142))</f>
        <v/>
      </c>
      <c r="L145" s="491"/>
      <c r="M145" s="8"/>
      <c r="N145" s="8"/>
      <c r="O145" s="9"/>
      <c r="P145" s="492"/>
      <c r="Q145" s="491"/>
      <c r="R145" s="8"/>
      <c r="S145" s="8"/>
      <c r="T145" s="9"/>
      <c r="U145" s="492"/>
      <c r="V145" s="502"/>
      <c r="W145" s="7"/>
      <c r="X145" s="8"/>
      <c r="Y145" s="8"/>
      <c r="Z145" s="9"/>
      <c r="AA145" s="492"/>
      <c r="AB145" s="491"/>
      <c r="AC145" s="8"/>
      <c r="AD145" s="8"/>
      <c r="AE145" s="9"/>
      <c r="AF145" s="492"/>
      <c r="AG145" s="491"/>
      <c r="AH145" s="8"/>
      <c r="AI145" s="8"/>
      <c r="AJ145" s="9"/>
      <c r="AK145" s="492"/>
      <c r="AL145" s="491"/>
      <c r="AM145" s="8"/>
      <c r="AN145" s="8"/>
      <c r="AO145" s="9"/>
      <c r="AP145" s="492"/>
      <c r="AQ145" s="506"/>
      <c r="AR145" s="491"/>
      <c r="AS145" s="8"/>
      <c r="AT145" s="8"/>
      <c r="AU145" s="9"/>
      <c r="AV145" s="9"/>
      <c r="AW145" s="17"/>
      <c r="AX145" s="492"/>
      <c r="AY145" s="491"/>
      <c r="AZ145" s="7"/>
      <c r="BA145" s="9"/>
      <c r="BB145" s="9"/>
      <c r="BC145" s="492"/>
      <c r="BD145" s="491"/>
      <c r="BE145" s="7"/>
      <c r="BF145" s="7"/>
      <c r="BG145" s="7"/>
      <c r="BH145" s="9"/>
      <c r="BI145" s="9"/>
      <c r="BJ145" s="492"/>
      <c r="BK145" s="491"/>
      <c r="BL145" s="7"/>
      <c r="BM145" s="7"/>
      <c r="BN145" s="7"/>
      <c r="BO145" s="7"/>
      <c r="BP145" s="7"/>
      <c r="BQ145" s="7"/>
      <c r="BR145" s="8"/>
      <c r="BS145" s="8"/>
      <c r="BT145" s="509"/>
      <c r="BU145" s="491"/>
      <c r="BV145" s="8"/>
      <c r="BW145" s="509"/>
      <c r="BX145" s="491"/>
      <c r="BY145" s="8"/>
      <c r="BZ145" s="509"/>
      <c r="CA145" s="751"/>
    </row>
    <row r="146" spans="1:79" ht="24.95" customHeight="1">
      <c r="A146" s="468">
        <f>IF('Student DATA Entry'!A143="","",'Student DATA Entry'!A143)</f>
        <v>140</v>
      </c>
      <c r="B146" s="459" t="str">
        <f>IF('Student DATA Entry'!B143="","",'Student DATA Entry'!B143)</f>
        <v/>
      </c>
      <c r="C146" s="459" t="str">
        <f>IF('Student DATA Entry'!C143="","",'Student DATA Entry'!C143)</f>
        <v/>
      </c>
      <c r="D146" s="459" t="str">
        <f>IF('Student DATA Entry'!D143="","",'Student DATA Entry'!D143)</f>
        <v/>
      </c>
      <c r="E146" s="459" t="str">
        <f>IF('Student DATA Entry'!E143="","",'Student DATA Entry'!E143)</f>
        <v/>
      </c>
      <c r="F146" s="460" t="str">
        <f>IF('Student DATA Entry'!K143="","",'Student DATA Entry'!K143)</f>
        <v/>
      </c>
      <c r="G146" s="461" t="str">
        <f>IF('Student DATA Entry'!G143="","",UPPER('Student DATA Entry'!G143))</f>
        <v/>
      </c>
      <c r="H146" s="461" t="str">
        <f>IF('Student DATA Entry'!H143="","",UPPER('Student DATA Entry'!H143))</f>
        <v/>
      </c>
      <c r="I146" s="462" t="str">
        <f>IF('Student DATA Entry'!I143="","",UPPER('Student DATA Entry'!I143))</f>
        <v/>
      </c>
      <c r="J146" s="463" t="str">
        <f>IF('Student DATA Entry'!L143="","",UPPER('Student DATA Entry'!L143))</f>
        <v/>
      </c>
      <c r="K146" s="469" t="str">
        <f>IF('Student DATA Entry'!J143="","",UPPER('Student DATA Entry'!J143))</f>
        <v/>
      </c>
      <c r="L146" s="491"/>
      <c r="M146" s="8"/>
      <c r="N146" s="8"/>
      <c r="O146" s="9"/>
      <c r="P146" s="492"/>
      <c r="Q146" s="491"/>
      <c r="R146" s="8"/>
      <c r="S146" s="8"/>
      <c r="T146" s="9"/>
      <c r="U146" s="492"/>
      <c r="V146" s="502"/>
      <c r="W146" s="7"/>
      <c r="X146" s="8"/>
      <c r="Y146" s="8"/>
      <c r="Z146" s="9"/>
      <c r="AA146" s="492"/>
      <c r="AB146" s="491"/>
      <c r="AC146" s="8"/>
      <c r="AD146" s="8"/>
      <c r="AE146" s="9"/>
      <c r="AF146" s="492"/>
      <c r="AG146" s="491"/>
      <c r="AH146" s="8"/>
      <c r="AI146" s="8"/>
      <c r="AJ146" s="9"/>
      <c r="AK146" s="492"/>
      <c r="AL146" s="491"/>
      <c r="AM146" s="8"/>
      <c r="AN146" s="8"/>
      <c r="AO146" s="9"/>
      <c r="AP146" s="492"/>
      <c r="AQ146" s="506"/>
      <c r="AR146" s="491"/>
      <c r="AS146" s="8"/>
      <c r="AT146" s="8"/>
      <c r="AU146" s="9"/>
      <c r="AV146" s="9"/>
      <c r="AW146" s="17"/>
      <c r="AX146" s="492"/>
      <c r="AY146" s="491"/>
      <c r="AZ146" s="7"/>
      <c r="BA146" s="9"/>
      <c r="BB146" s="9"/>
      <c r="BC146" s="492"/>
      <c r="BD146" s="491"/>
      <c r="BE146" s="7"/>
      <c r="BF146" s="7"/>
      <c r="BG146" s="7"/>
      <c r="BH146" s="9"/>
      <c r="BI146" s="9"/>
      <c r="BJ146" s="492"/>
      <c r="BK146" s="491"/>
      <c r="BL146" s="7"/>
      <c r="BM146" s="7"/>
      <c r="BN146" s="7"/>
      <c r="BO146" s="7"/>
      <c r="BP146" s="7"/>
      <c r="BQ146" s="7"/>
      <c r="BR146" s="8"/>
      <c r="BS146" s="8"/>
      <c r="BT146" s="509"/>
      <c r="BU146" s="491"/>
      <c r="BV146" s="8"/>
      <c r="BW146" s="509"/>
      <c r="BX146" s="491"/>
      <c r="BY146" s="8"/>
      <c r="BZ146" s="509"/>
      <c r="CA146" s="751"/>
    </row>
    <row r="147" spans="1:79" ht="24.95" customHeight="1">
      <c r="A147" s="468">
        <f>IF('Student DATA Entry'!A144="","",'Student DATA Entry'!A144)</f>
        <v>141</v>
      </c>
      <c r="B147" s="459" t="str">
        <f>IF('Student DATA Entry'!B144="","",'Student DATA Entry'!B144)</f>
        <v/>
      </c>
      <c r="C147" s="459" t="str">
        <f>IF('Student DATA Entry'!C144="","",'Student DATA Entry'!C144)</f>
        <v/>
      </c>
      <c r="D147" s="459" t="str">
        <f>IF('Student DATA Entry'!D144="","",'Student DATA Entry'!D144)</f>
        <v/>
      </c>
      <c r="E147" s="459" t="str">
        <f>IF('Student DATA Entry'!E144="","",'Student DATA Entry'!E144)</f>
        <v/>
      </c>
      <c r="F147" s="460" t="str">
        <f>IF('Student DATA Entry'!K144="","",'Student DATA Entry'!K144)</f>
        <v/>
      </c>
      <c r="G147" s="461" t="str">
        <f>IF('Student DATA Entry'!G144="","",UPPER('Student DATA Entry'!G144))</f>
        <v/>
      </c>
      <c r="H147" s="461" t="str">
        <f>IF('Student DATA Entry'!H144="","",UPPER('Student DATA Entry'!H144))</f>
        <v/>
      </c>
      <c r="I147" s="462" t="str">
        <f>IF('Student DATA Entry'!I144="","",UPPER('Student DATA Entry'!I144))</f>
        <v/>
      </c>
      <c r="J147" s="463" t="str">
        <f>IF('Student DATA Entry'!L144="","",UPPER('Student DATA Entry'!L144))</f>
        <v/>
      </c>
      <c r="K147" s="469" t="str">
        <f>IF('Student DATA Entry'!J144="","",UPPER('Student DATA Entry'!J144))</f>
        <v/>
      </c>
      <c r="L147" s="491"/>
      <c r="M147" s="8"/>
      <c r="N147" s="8"/>
      <c r="O147" s="9"/>
      <c r="P147" s="492"/>
      <c r="Q147" s="491"/>
      <c r="R147" s="8"/>
      <c r="S147" s="8"/>
      <c r="T147" s="9"/>
      <c r="U147" s="492"/>
      <c r="V147" s="502"/>
      <c r="W147" s="7"/>
      <c r="X147" s="8"/>
      <c r="Y147" s="8"/>
      <c r="Z147" s="9"/>
      <c r="AA147" s="492"/>
      <c r="AB147" s="491"/>
      <c r="AC147" s="8"/>
      <c r="AD147" s="8"/>
      <c r="AE147" s="9"/>
      <c r="AF147" s="492"/>
      <c r="AG147" s="491"/>
      <c r="AH147" s="8"/>
      <c r="AI147" s="8"/>
      <c r="AJ147" s="9"/>
      <c r="AK147" s="492"/>
      <c r="AL147" s="491"/>
      <c r="AM147" s="8"/>
      <c r="AN147" s="8"/>
      <c r="AO147" s="9"/>
      <c r="AP147" s="492"/>
      <c r="AQ147" s="506"/>
      <c r="AR147" s="491"/>
      <c r="AS147" s="8"/>
      <c r="AT147" s="8"/>
      <c r="AU147" s="9"/>
      <c r="AV147" s="9"/>
      <c r="AW147" s="17"/>
      <c r="AX147" s="492"/>
      <c r="AY147" s="491"/>
      <c r="AZ147" s="7"/>
      <c r="BA147" s="9"/>
      <c r="BB147" s="9"/>
      <c r="BC147" s="492"/>
      <c r="BD147" s="491"/>
      <c r="BE147" s="7"/>
      <c r="BF147" s="7"/>
      <c r="BG147" s="7"/>
      <c r="BH147" s="9"/>
      <c r="BI147" s="9"/>
      <c r="BJ147" s="492"/>
      <c r="BK147" s="491"/>
      <c r="BL147" s="7"/>
      <c r="BM147" s="7"/>
      <c r="BN147" s="7"/>
      <c r="BO147" s="7"/>
      <c r="BP147" s="7"/>
      <c r="BQ147" s="7"/>
      <c r="BR147" s="8"/>
      <c r="BS147" s="8"/>
      <c r="BT147" s="509"/>
      <c r="BU147" s="491"/>
      <c r="BV147" s="8"/>
      <c r="BW147" s="509"/>
      <c r="BX147" s="491"/>
      <c r="BY147" s="8"/>
      <c r="BZ147" s="509"/>
      <c r="CA147" s="751"/>
    </row>
    <row r="148" spans="1:79" ht="24.95" customHeight="1">
      <c r="A148" s="468">
        <f>IF('Student DATA Entry'!A145="","",'Student DATA Entry'!A145)</f>
        <v>142</v>
      </c>
      <c r="B148" s="459" t="str">
        <f>IF('Student DATA Entry'!B145="","",'Student DATA Entry'!B145)</f>
        <v/>
      </c>
      <c r="C148" s="459" t="str">
        <f>IF('Student DATA Entry'!C145="","",'Student DATA Entry'!C145)</f>
        <v/>
      </c>
      <c r="D148" s="459" t="str">
        <f>IF('Student DATA Entry'!D145="","",'Student DATA Entry'!D145)</f>
        <v/>
      </c>
      <c r="E148" s="459" t="str">
        <f>IF('Student DATA Entry'!E145="","",'Student DATA Entry'!E145)</f>
        <v/>
      </c>
      <c r="F148" s="460" t="str">
        <f>IF('Student DATA Entry'!K145="","",'Student DATA Entry'!K145)</f>
        <v/>
      </c>
      <c r="G148" s="461" t="str">
        <f>IF('Student DATA Entry'!G145="","",UPPER('Student DATA Entry'!G145))</f>
        <v/>
      </c>
      <c r="H148" s="461" t="str">
        <f>IF('Student DATA Entry'!H145="","",UPPER('Student DATA Entry'!H145))</f>
        <v/>
      </c>
      <c r="I148" s="462" t="str">
        <f>IF('Student DATA Entry'!I145="","",UPPER('Student DATA Entry'!I145))</f>
        <v/>
      </c>
      <c r="J148" s="463" t="str">
        <f>IF('Student DATA Entry'!L145="","",UPPER('Student DATA Entry'!L145))</f>
        <v/>
      </c>
      <c r="K148" s="469" t="str">
        <f>IF('Student DATA Entry'!J145="","",UPPER('Student DATA Entry'!J145))</f>
        <v/>
      </c>
      <c r="L148" s="491"/>
      <c r="M148" s="8"/>
      <c r="N148" s="8"/>
      <c r="O148" s="9"/>
      <c r="P148" s="492"/>
      <c r="Q148" s="491"/>
      <c r="R148" s="8"/>
      <c r="S148" s="8"/>
      <c r="T148" s="9"/>
      <c r="U148" s="492"/>
      <c r="V148" s="502"/>
      <c r="W148" s="7"/>
      <c r="X148" s="8"/>
      <c r="Y148" s="8"/>
      <c r="Z148" s="9"/>
      <c r="AA148" s="492"/>
      <c r="AB148" s="491"/>
      <c r="AC148" s="8"/>
      <c r="AD148" s="8"/>
      <c r="AE148" s="9"/>
      <c r="AF148" s="492"/>
      <c r="AG148" s="491"/>
      <c r="AH148" s="8"/>
      <c r="AI148" s="8"/>
      <c r="AJ148" s="9"/>
      <c r="AK148" s="492"/>
      <c r="AL148" s="491"/>
      <c r="AM148" s="8"/>
      <c r="AN148" s="8"/>
      <c r="AO148" s="9"/>
      <c r="AP148" s="492"/>
      <c r="AQ148" s="506"/>
      <c r="AR148" s="491"/>
      <c r="AS148" s="8"/>
      <c r="AT148" s="8"/>
      <c r="AU148" s="9"/>
      <c r="AV148" s="9"/>
      <c r="AW148" s="17"/>
      <c r="AX148" s="492"/>
      <c r="AY148" s="491"/>
      <c r="AZ148" s="7"/>
      <c r="BA148" s="9"/>
      <c r="BB148" s="9"/>
      <c r="BC148" s="492"/>
      <c r="BD148" s="491"/>
      <c r="BE148" s="7"/>
      <c r="BF148" s="7"/>
      <c r="BG148" s="7"/>
      <c r="BH148" s="9"/>
      <c r="BI148" s="9"/>
      <c r="BJ148" s="492"/>
      <c r="BK148" s="491"/>
      <c r="BL148" s="7"/>
      <c r="BM148" s="7"/>
      <c r="BN148" s="7"/>
      <c r="BO148" s="7"/>
      <c r="BP148" s="7"/>
      <c r="BQ148" s="7"/>
      <c r="BR148" s="8"/>
      <c r="BS148" s="8"/>
      <c r="BT148" s="509"/>
      <c r="BU148" s="491"/>
      <c r="BV148" s="8"/>
      <c r="BW148" s="509"/>
      <c r="BX148" s="491"/>
      <c r="BY148" s="8"/>
      <c r="BZ148" s="509"/>
      <c r="CA148" s="751"/>
    </row>
    <row r="149" spans="1:79" ht="24.95" customHeight="1">
      <c r="A149" s="468">
        <f>IF('Student DATA Entry'!A146="","",'Student DATA Entry'!A146)</f>
        <v>143</v>
      </c>
      <c r="B149" s="459" t="str">
        <f>IF('Student DATA Entry'!B146="","",'Student DATA Entry'!B146)</f>
        <v/>
      </c>
      <c r="C149" s="459" t="str">
        <f>IF('Student DATA Entry'!C146="","",'Student DATA Entry'!C146)</f>
        <v/>
      </c>
      <c r="D149" s="459" t="str">
        <f>IF('Student DATA Entry'!D146="","",'Student DATA Entry'!D146)</f>
        <v/>
      </c>
      <c r="E149" s="459" t="str">
        <f>IF('Student DATA Entry'!E146="","",'Student DATA Entry'!E146)</f>
        <v/>
      </c>
      <c r="F149" s="460" t="str">
        <f>IF('Student DATA Entry'!K146="","",'Student DATA Entry'!K146)</f>
        <v/>
      </c>
      <c r="G149" s="461" t="str">
        <f>IF('Student DATA Entry'!G146="","",UPPER('Student DATA Entry'!G146))</f>
        <v/>
      </c>
      <c r="H149" s="461" t="str">
        <f>IF('Student DATA Entry'!H146="","",UPPER('Student DATA Entry'!H146))</f>
        <v/>
      </c>
      <c r="I149" s="462" t="str">
        <f>IF('Student DATA Entry'!I146="","",UPPER('Student DATA Entry'!I146))</f>
        <v/>
      </c>
      <c r="J149" s="463" t="str">
        <f>IF('Student DATA Entry'!L146="","",UPPER('Student DATA Entry'!L146))</f>
        <v/>
      </c>
      <c r="K149" s="469" t="str">
        <f>IF('Student DATA Entry'!J146="","",UPPER('Student DATA Entry'!J146))</f>
        <v/>
      </c>
      <c r="L149" s="491"/>
      <c r="M149" s="8"/>
      <c r="N149" s="8"/>
      <c r="O149" s="9"/>
      <c r="P149" s="492"/>
      <c r="Q149" s="491"/>
      <c r="R149" s="8"/>
      <c r="S149" s="8"/>
      <c r="T149" s="9"/>
      <c r="U149" s="492"/>
      <c r="V149" s="502"/>
      <c r="W149" s="7"/>
      <c r="X149" s="8"/>
      <c r="Y149" s="8"/>
      <c r="Z149" s="9"/>
      <c r="AA149" s="492"/>
      <c r="AB149" s="491"/>
      <c r="AC149" s="8"/>
      <c r="AD149" s="8"/>
      <c r="AE149" s="9"/>
      <c r="AF149" s="492"/>
      <c r="AG149" s="491"/>
      <c r="AH149" s="8"/>
      <c r="AI149" s="8"/>
      <c r="AJ149" s="9"/>
      <c r="AK149" s="492"/>
      <c r="AL149" s="491"/>
      <c r="AM149" s="8"/>
      <c r="AN149" s="8"/>
      <c r="AO149" s="9"/>
      <c r="AP149" s="492"/>
      <c r="AQ149" s="506"/>
      <c r="AR149" s="491"/>
      <c r="AS149" s="8"/>
      <c r="AT149" s="8"/>
      <c r="AU149" s="9"/>
      <c r="AV149" s="9"/>
      <c r="AW149" s="17"/>
      <c r="AX149" s="492"/>
      <c r="AY149" s="491"/>
      <c r="AZ149" s="7"/>
      <c r="BA149" s="9"/>
      <c r="BB149" s="9"/>
      <c r="BC149" s="492"/>
      <c r="BD149" s="491"/>
      <c r="BE149" s="7"/>
      <c r="BF149" s="7"/>
      <c r="BG149" s="7"/>
      <c r="BH149" s="9"/>
      <c r="BI149" s="9"/>
      <c r="BJ149" s="492"/>
      <c r="BK149" s="491"/>
      <c r="BL149" s="7"/>
      <c r="BM149" s="7"/>
      <c r="BN149" s="7"/>
      <c r="BO149" s="7"/>
      <c r="BP149" s="7"/>
      <c r="BQ149" s="7"/>
      <c r="BR149" s="8"/>
      <c r="BS149" s="8"/>
      <c r="BT149" s="509"/>
      <c r="BU149" s="491"/>
      <c r="BV149" s="8"/>
      <c r="BW149" s="509"/>
      <c r="BX149" s="491"/>
      <c r="BY149" s="8"/>
      <c r="BZ149" s="509"/>
      <c r="CA149" s="751"/>
    </row>
    <row r="150" spans="1:79" ht="24.95" customHeight="1">
      <c r="A150" s="468">
        <f>IF('Student DATA Entry'!A147="","",'Student DATA Entry'!A147)</f>
        <v>144</v>
      </c>
      <c r="B150" s="459" t="str">
        <f>IF('Student DATA Entry'!B147="","",'Student DATA Entry'!B147)</f>
        <v/>
      </c>
      <c r="C150" s="459" t="str">
        <f>IF('Student DATA Entry'!C147="","",'Student DATA Entry'!C147)</f>
        <v/>
      </c>
      <c r="D150" s="459" t="str">
        <f>IF('Student DATA Entry'!D147="","",'Student DATA Entry'!D147)</f>
        <v/>
      </c>
      <c r="E150" s="459" t="str">
        <f>IF('Student DATA Entry'!E147="","",'Student DATA Entry'!E147)</f>
        <v/>
      </c>
      <c r="F150" s="460" t="str">
        <f>IF('Student DATA Entry'!K147="","",'Student DATA Entry'!K147)</f>
        <v/>
      </c>
      <c r="G150" s="461" t="str">
        <f>IF('Student DATA Entry'!G147="","",UPPER('Student DATA Entry'!G147))</f>
        <v/>
      </c>
      <c r="H150" s="461" t="str">
        <f>IF('Student DATA Entry'!H147="","",UPPER('Student DATA Entry'!H147))</f>
        <v/>
      </c>
      <c r="I150" s="462" t="str">
        <f>IF('Student DATA Entry'!I147="","",UPPER('Student DATA Entry'!I147))</f>
        <v/>
      </c>
      <c r="J150" s="463" t="str">
        <f>IF('Student DATA Entry'!L147="","",UPPER('Student DATA Entry'!L147))</f>
        <v/>
      </c>
      <c r="K150" s="469" t="str">
        <f>IF('Student DATA Entry'!J147="","",UPPER('Student DATA Entry'!J147))</f>
        <v/>
      </c>
      <c r="L150" s="491"/>
      <c r="M150" s="8"/>
      <c r="N150" s="8"/>
      <c r="O150" s="9"/>
      <c r="P150" s="492"/>
      <c r="Q150" s="491"/>
      <c r="R150" s="8"/>
      <c r="S150" s="8"/>
      <c r="T150" s="9"/>
      <c r="U150" s="492"/>
      <c r="V150" s="502"/>
      <c r="W150" s="7"/>
      <c r="X150" s="8"/>
      <c r="Y150" s="8"/>
      <c r="Z150" s="9"/>
      <c r="AA150" s="492"/>
      <c r="AB150" s="491"/>
      <c r="AC150" s="8"/>
      <c r="AD150" s="8"/>
      <c r="AE150" s="9"/>
      <c r="AF150" s="492"/>
      <c r="AG150" s="491"/>
      <c r="AH150" s="8"/>
      <c r="AI150" s="8"/>
      <c r="AJ150" s="9"/>
      <c r="AK150" s="492"/>
      <c r="AL150" s="491"/>
      <c r="AM150" s="8"/>
      <c r="AN150" s="8"/>
      <c r="AO150" s="9"/>
      <c r="AP150" s="492"/>
      <c r="AQ150" s="506"/>
      <c r="AR150" s="491"/>
      <c r="AS150" s="8"/>
      <c r="AT150" s="8"/>
      <c r="AU150" s="9"/>
      <c r="AV150" s="9"/>
      <c r="AW150" s="17"/>
      <c r="AX150" s="492"/>
      <c r="AY150" s="491"/>
      <c r="AZ150" s="7"/>
      <c r="BA150" s="9"/>
      <c r="BB150" s="9"/>
      <c r="BC150" s="492"/>
      <c r="BD150" s="491"/>
      <c r="BE150" s="7"/>
      <c r="BF150" s="7"/>
      <c r="BG150" s="7"/>
      <c r="BH150" s="9"/>
      <c r="BI150" s="9"/>
      <c r="BJ150" s="492"/>
      <c r="BK150" s="491"/>
      <c r="BL150" s="7"/>
      <c r="BM150" s="7"/>
      <c r="BN150" s="7"/>
      <c r="BO150" s="7"/>
      <c r="BP150" s="7"/>
      <c r="BQ150" s="7"/>
      <c r="BR150" s="8"/>
      <c r="BS150" s="8"/>
      <c r="BT150" s="509"/>
      <c r="BU150" s="491"/>
      <c r="BV150" s="8"/>
      <c r="BW150" s="509"/>
      <c r="BX150" s="491"/>
      <c r="BY150" s="8"/>
      <c r="BZ150" s="509"/>
      <c r="CA150" s="751"/>
    </row>
    <row r="151" spans="1:79" ht="24.95" customHeight="1">
      <c r="A151" s="468">
        <f>IF('Student DATA Entry'!A148="","",'Student DATA Entry'!A148)</f>
        <v>145</v>
      </c>
      <c r="B151" s="459" t="str">
        <f>IF('Student DATA Entry'!B148="","",'Student DATA Entry'!B148)</f>
        <v/>
      </c>
      <c r="C151" s="459" t="str">
        <f>IF('Student DATA Entry'!C148="","",'Student DATA Entry'!C148)</f>
        <v/>
      </c>
      <c r="D151" s="459" t="str">
        <f>IF('Student DATA Entry'!D148="","",'Student DATA Entry'!D148)</f>
        <v/>
      </c>
      <c r="E151" s="459" t="str">
        <f>IF('Student DATA Entry'!E148="","",'Student DATA Entry'!E148)</f>
        <v/>
      </c>
      <c r="F151" s="460" t="str">
        <f>IF('Student DATA Entry'!K148="","",'Student DATA Entry'!K148)</f>
        <v/>
      </c>
      <c r="G151" s="461" t="str">
        <f>IF('Student DATA Entry'!G148="","",UPPER('Student DATA Entry'!G148))</f>
        <v/>
      </c>
      <c r="H151" s="461" t="str">
        <f>IF('Student DATA Entry'!H148="","",UPPER('Student DATA Entry'!H148))</f>
        <v/>
      </c>
      <c r="I151" s="462" t="str">
        <f>IF('Student DATA Entry'!I148="","",UPPER('Student DATA Entry'!I148))</f>
        <v/>
      </c>
      <c r="J151" s="463" t="str">
        <f>IF('Student DATA Entry'!L148="","",UPPER('Student DATA Entry'!L148))</f>
        <v/>
      </c>
      <c r="K151" s="469" t="str">
        <f>IF('Student DATA Entry'!J148="","",UPPER('Student DATA Entry'!J148))</f>
        <v/>
      </c>
      <c r="L151" s="491"/>
      <c r="M151" s="8"/>
      <c r="N151" s="8"/>
      <c r="O151" s="9"/>
      <c r="P151" s="492"/>
      <c r="Q151" s="491"/>
      <c r="R151" s="8"/>
      <c r="S151" s="8"/>
      <c r="T151" s="9"/>
      <c r="U151" s="492"/>
      <c r="V151" s="502"/>
      <c r="W151" s="7"/>
      <c r="X151" s="8"/>
      <c r="Y151" s="8"/>
      <c r="Z151" s="9"/>
      <c r="AA151" s="492"/>
      <c r="AB151" s="491"/>
      <c r="AC151" s="8"/>
      <c r="AD151" s="8"/>
      <c r="AE151" s="9"/>
      <c r="AF151" s="492"/>
      <c r="AG151" s="491"/>
      <c r="AH151" s="8"/>
      <c r="AI151" s="8"/>
      <c r="AJ151" s="9"/>
      <c r="AK151" s="492"/>
      <c r="AL151" s="491"/>
      <c r="AM151" s="8"/>
      <c r="AN151" s="8"/>
      <c r="AO151" s="9"/>
      <c r="AP151" s="492"/>
      <c r="AQ151" s="506"/>
      <c r="AR151" s="491"/>
      <c r="AS151" s="8"/>
      <c r="AT151" s="8"/>
      <c r="AU151" s="9"/>
      <c r="AV151" s="9"/>
      <c r="AW151" s="17"/>
      <c r="AX151" s="492"/>
      <c r="AY151" s="491"/>
      <c r="AZ151" s="7"/>
      <c r="BA151" s="9"/>
      <c r="BB151" s="9"/>
      <c r="BC151" s="492"/>
      <c r="BD151" s="491"/>
      <c r="BE151" s="7"/>
      <c r="BF151" s="7"/>
      <c r="BG151" s="7"/>
      <c r="BH151" s="9"/>
      <c r="BI151" s="9"/>
      <c r="BJ151" s="492"/>
      <c r="BK151" s="491"/>
      <c r="BL151" s="7"/>
      <c r="BM151" s="7"/>
      <c r="BN151" s="7"/>
      <c r="BO151" s="7"/>
      <c r="BP151" s="7"/>
      <c r="BQ151" s="7"/>
      <c r="BR151" s="8"/>
      <c r="BS151" s="8"/>
      <c r="BT151" s="509"/>
      <c r="BU151" s="491"/>
      <c r="BV151" s="8"/>
      <c r="BW151" s="509"/>
      <c r="BX151" s="491"/>
      <c r="BY151" s="8"/>
      <c r="BZ151" s="509"/>
      <c r="CA151" s="751"/>
    </row>
    <row r="152" spans="1:79" ht="24.95" customHeight="1">
      <c r="A152" s="468">
        <f>IF('Student DATA Entry'!A149="","",'Student DATA Entry'!A149)</f>
        <v>146</v>
      </c>
      <c r="B152" s="459" t="str">
        <f>IF('Student DATA Entry'!B149="","",'Student DATA Entry'!B149)</f>
        <v/>
      </c>
      <c r="C152" s="459" t="str">
        <f>IF('Student DATA Entry'!C149="","",'Student DATA Entry'!C149)</f>
        <v/>
      </c>
      <c r="D152" s="459" t="str">
        <f>IF('Student DATA Entry'!D149="","",'Student DATA Entry'!D149)</f>
        <v/>
      </c>
      <c r="E152" s="459" t="str">
        <f>IF('Student DATA Entry'!E149="","",'Student DATA Entry'!E149)</f>
        <v/>
      </c>
      <c r="F152" s="460" t="str">
        <f>IF('Student DATA Entry'!K149="","",'Student DATA Entry'!K149)</f>
        <v/>
      </c>
      <c r="G152" s="461" t="str">
        <f>IF('Student DATA Entry'!G149="","",UPPER('Student DATA Entry'!G149))</f>
        <v/>
      </c>
      <c r="H152" s="461" t="str">
        <f>IF('Student DATA Entry'!H149="","",UPPER('Student DATA Entry'!H149))</f>
        <v/>
      </c>
      <c r="I152" s="462" t="str">
        <f>IF('Student DATA Entry'!I149="","",UPPER('Student DATA Entry'!I149))</f>
        <v/>
      </c>
      <c r="J152" s="463" t="str">
        <f>IF('Student DATA Entry'!L149="","",UPPER('Student DATA Entry'!L149))</f>
        <v/>
      </c>
      <c r="K152" s="469" t="str">
        <f>IF('Student DATA Entry'!J149="","",UPPER('Student DATA Entry'!J149))</f>
        <v/>
      </c>
      <c r="L152" s="491"/>
      <c r="M152" s="8"/>
      <c r="N152" s="8"/>
      <c r="O152" s="9"/>
      <c r="P152" s="492"/>
      <c r="Q152" s="491"/>
      <c r="R152" s="8"/>
      <c r="S152" s="8"/>
      <c r="T152" s="9"/>
      <c r="U152" s="492"/>
      <c r="V152" s="502"/>
      <c r="W152" s="7"/>
      <c r="X152" s="8"/>
      <c r="Y152" s="8"/>
      <c r="Z152" s="9"/>
      <c r="AA152" s="492"/>
      <c r="AB152" s="491"/>
      <c r="AC152" s="8"/>
      <c r="AD152" s="8"/>
      <c r="AE152" s="9"/>
      <c r="AF152" s="492"/>
      <c r="AG152" s="491"/>
      <c r="AH152" s="8"/>
      <c r="AI152" s="8"/>
      <c r="AJ152" s="9"/>
      <c r="AK152" s="492"/>
      <c r="AL152" s="491"/>
      <c r="AM152" s="8"/>
      <c r="AN152" s="8"/>
      <c r="AO152" s="9"/>
      <c r="AP152" s="492"/>
      <c r="AQ152" s="506"/>
      <c r="AR152" s="491"/>
      <c r="AS152" s="8"/>
      <c r="AT152" s="8"/>
      <c r="AU152" s="9"/>
      <c r="AV152" s="9"/>
      <c r="AW152" s="17"/>
      <c r="AX152" s="492"/>
      <c r="AY152" s="491"/>
      <c r="AZ152" s="7"/>
      <c r="BA152" s="9"/>
      <c r="BB152" s="9"/>
      <c r="BC152" s="492"/>
      <c r="BD152" s="491"/>
      <c r="BE152" s="7"/>
      <c r="BF152" s="7"/>
      <c r="BG152" s="7"/>
      <c r="BH152" s="9"/>
      <c r="BI152" s="9"/>
      <c r="BJ152" s="492"/>
      <c r="BK152" s="491"/>
      <c r="BL152" s="7"/>
      <c r="BM152" s="7"/>
      <c r="BN152" s="7"/>
      <c r="BO152" s="7"/>
      <c r="BP152" s="7"/>
      <c r="BQ152" s="7"/>
      <c r="BR152" s="8"/>
      <c r="BS152" s="8"/>
      <c r="BT152" s="509"/>
      <c r="BU152" s="491"/>
      <c r="BV152" s="8"/>
      <c r="BW152" s="509"/>
      <c r="BX152" s="491"/>
      <c r="BY152" s="8"/>
      <c r="BZ152" s="509"/>
      <c r="CA152" s="751"/>
    </row>
    <row r="153" spans="1:79" ht="24.95" customHeight="1">
      <c r="A153" s="468">
        <f>IF('Student DATA Entry'!A150="","",'Student DATA Entry'!A150)</f>
        <v>147</v>
      </c>
      <c r="B153" s="459" t="str">
        <f>IF('Student DATA Entry'!B150="","",'Student DATA Entry'!B150)</f>
        <v/>
      </c>
      <c r="C153" s="459" t="str">
        <f>IF('Student DATA Entry'!C150="","",'Student DATA Entry'!C150)</f>
        <v/>
      </c>
      <c r="D153" s="459" t="str">
        <f>IF('Student DATA Entry'!D150="","",'Student DATA Entry'!D150)</f>
        <v/>
      </c>
      <c r="E153" s="459" t="str">
        <f>IF('Student DATA Entry'!E150="","",'Student DATA Entry'!E150)</f>
        <v/>
      </c>
      <c r="F153" s="460" t="str">
        <f>IF('Student DATA Entry'!K150="","",'Student DATA Entry'!K150)</f>
        <v/>
      </c>
      <c r="G153" s="461" t="str">
        <f>IF('Student DATA Entry'!G150="","",UPPER('Student DATA Entry'!G150))</f>
        <v/>
      </c>
      <c r="H153" s="461" t="str">
        <f>IF('Student DATA Entry'!H150="","",UPPER('Student DATA Entry'!H150))</f>
        <v/>
      </c>
      <c r="I153" s="462" t="str">
        <f>IF('Student DATA Entry'!I150="","",UPPER('Student DATA Entry'!I150))</f>
        <v/>
      </c>
      <c r="J153" s="463" t="str">
        <f>IF('Student DATA Entry'!L150="","",UPPER('Student DATA Entry'!L150))</f>
        <v/>
      </c>
      <c r="K153" s="469" t="str">
        <f>IF('Student DATA Entry'!J150="","",UPPER('Student DATA Entry'!J150))</f>
        <v/>
      </c>
      <c r="L153" s="491"/>
      <c r="M153" s="8"/>
      <c r="N153" s="8"/>
      <c r="O153" s="9"/>
      <c r="P153" s="492"/>
      <c r="Q153" s="491"/>
      <c r="R153" s="8"/>
      <c r="S153" s="8"/>
      <c r="T153" s="9"/>
      <c r="U153" s="492"/>
      <c r="V153" s="502"/>
      <c r="W153" s="7"/>
      <c r="X153" s="8"/>
      <c r="Y153" s="8"/>
      <c r="Z153" s="9"/>
      <c r="AA153" s="492"/>
      <c r="AB153" s="491"/>
      <c r="AC153" s="8"/>
      <c r="AD153" s="8"/>
      <c r="AE153" s="9"/>
      <c r="AF153" s="492"/>
      <c r="AG153" s="491"/>
      <c r="AH153" s="8"/>
      <c r="AI153" s="8"/>
      <c r="AJ153" s="9"/>
      <c r="AK153" s="492"/>
      <c r="AL153" s="491"/>
      <c r="AM153" s="8"/>
      <c r="AN153" s="8"/>
      <c r="AO153" s="9"/>
      <c r="AP153" s="492"/>
      <c r="AQ153" s="506"/>
      <c r="AR153" s="491"/>
      <c r="AS153" s="8"/>
      <c r="AT153" s="8"/>
      <c r="AU153" s="9"/>
      <c r="AV153" s="9"/>
      <c r="AW153" s="17"/>
      <c r="AX153" s="492"/>
      <c r="AY153" s="491"/>
      <c r="AZ153" s="7"/>
      <c r="BA153" s="9"/>
      <c r="BB153" s="9"/>
      <c r="BC153" s="492"/>
      <c r="BD153" s="491"/>
      <c r="BE153" s="7"/>
      <c r="BF153" s="7"/>
      <c r="BG153" s="7"/>
      <c r="BH153" s="9"/>
      <c r="BI153" s="9"/>
      <c r="BJ153" s="492"/>
      <c r="BK153" s="491"/>
      <c r="BL153" s="7"/>
      <c r="BM153" s="7"/>
      <c r="BN153" s="7"/>
      <c r="BO153" s="7"/>
      <c r="BP153" s="7"/>
      <c r="BQ153" s="7"/>
      <c r="BR153" s="8"/>
      <c r="BS153" s="8"/>
      <c r="BT153" s="509"/>
      <c r="BU153" s="491"/>
      <c r="BV153" s="8"/>
      <c r="BW153" s="509"/>
      <c r="BX153" s="491"/>
      <c r="BY153" s="8"/>
      <c r="BZ153" s="509"/>
      <c r="CA153" s="751"/>
    </row>
    <row r="154" spans="1:79" ht="24.95" customHeight="1">
      <c r="A154" s="468">
        <f>IF('Student DATA Entry'!A151="","",'Student DATA Entry'!A151)</f>
        <v>148</v>
      </c>
      <c r="B154" s="459" t="str">
        <f>IF('Student DATA Entry'!B151="","",'Student DATA Entry'!B151)</f>
        <v/>
      </c>
      <c r="C154" s="459" t="str">
        <f>IF('Student DATA Entry'!C151="","",'Student DATA Entry'!C151)</f>
        <v/>
      </c>
      <c r="D154" s="459" t="str">
        <f>IF('Student DATA Entry'!D151="","",'Student DATA Entry'!D151)</f>
        <v/>
      </c>
      <c r="E154" s="459" t="str">
        <f>IF('Student DATA Entry'!E151="","",'Student DATA Entry'!E151)</f>
        <v/>
      </c>
      <c r="F154" s="460" t="str">
        <f>IF('Student DATA Entry'!K151="","",'Student DATA Entry'!K151)</f>
        <v/>
      </c>
      <c r="G154" s="461" t="str">
        <f>IF('Student DATA Entry'!G151="","",UPPER('Student DATA Entry'!G151))</f>
        <v/>
      </c>
      <c r="H154" s="461" t="str">
        <f>IF('Student DATA Entry'!H151="","",UPPER('Student DATA Entry'!H151))</f>
        <v/>
      </c>
      <c r="I154" s="462" t="str">
        <f>IF('Student DATA Entry'!I151="","",UPPER('Student DATA Entry'!I151))</f>
        <v/>
      </c>
      <c r="J154" s="463" t="str">
        <f>IF('Student DATA Entry'!L151="","",UPPER('Student DATA Entry'!L151))</f>
        <v/>
      </c>
      <c r="K154" s="469" t="str">
        <f>IF('Student DATA Entry'!J151="","",UPPER('Student DATA Entry'!J151))</f>
        <v/>
      </c>
      <c r="L154" s="491"/>
      <c r="M154" s="8"/>
      <c r="N154" s="8"/>
      <c r="O154" s="9"/>
      <c r="P154" s="492"/>
      <c r="Q154" s="491"/>
      <c r="R154" s="8"/>
      <c r="S154" s="8"/>
      <c r="T154" s="9"/>
      <c r="U154" s="492"/>
      <c r="V154" s="502"/>
      <c r="W154" s="7"/>
      <c r="X154" s="8"/>
      <c r="Y154" s="8"/>
      <c r="Z154" s="9"/>
      <c r="AA154" s="492"/>
      <c r="AB154" s="491"/>
      <c r="AC154" s="8"/>
      <c r="AD154" s="8"/>
      <c r="AE154" s="9"/>
      <c r="AF154" s="492"/>
      <c r="AG154" s="491"/>
      <c r="AH154" s="8"/>
      <c r="AI154" s="8"/>
      <c r="AJ154" s="9"/>
      <c r="AK154" s="492"/>
      <c r="AL154" s="491"/>
      <c r="AM154" s="8"/>
      <c r="AN154" s="8"/>
      <c r="AO154" s="9"/>
      <c r="AP154" s="492"/>
      <c r="AQ154" s="506"/>
      <c r="AR154" s="491"/>
      <c r="AS154" s="8"/>
      <c r="AT154" s="8"/>
      <c r="AU154" s="9"/>
      <c r="AV154" s="9"/>
      <c r="AW154" s="17"/>
      <c r="AX154" s="492"/>
      <c r="AY154" s="491"/>
      <c r="AZ154" s="7"/>
      <c r="BA154" s="9"/>
      <c r="BB154" s="9"/>
      <c r="BC154" s="492"/>
      <c r="BD154" s="491"/>
      <c r="BE154" s="7"/>
      <c r="BF154" s="7"/>
      <c r="BG154" s="7"/>
      <c r="BH154" s="9"/>
      <c r="BI154" s="9"/>
      <c r="BJ154" s="492"/>
      <c r="BK154" s="491"/>
      <c r="BL154" s="7"/>
      <c r="BM154" s="7"/>
      <c r="BN154" s="7"/>
      <c r="BO154" s="7"/>
      <c r="BP154" s="7"/>
      <c r="BQ154" s="7"/>
      <c r="BR154" s="8"/>
      <c r="BS154" s="8"/>
      <c r="BT154" s="509"/>
      <c r="BU154" s="491"/>
      <c r="BV154" s="8"/>
      <c r="BW154" s="509"/>
      <c r="BX154" s="491"/>
      <c r="BY154" s="8"/>
      <c r="BZ154" s="509"/>
      <c r="CA154" s="751"/>
    </row>
    <row r="155" spans="1:79" ht="24.95" customHeight="1">
      <c r="A155" s="468">
        <f>IF('Student DATA Entry'!A152="","",'Student DATA Entry'!A152)</f>
        <v>149</v>
      </c>
      <c r="B155" s="459" t="str">
        <f>IF('Student DATA Entry'!B152="","",'Student DATA Entry'!B152)</f>
        <v/>
      </c>
      <c r="C155" s="459" t="str">
        <f>IF('Student DATA Entry'!C152="","",'Student DATA Entry'!C152)</f>
        <v/>
      </c>
      <c r="D155" s="459" t="str">
        <f>IF('Student DATA Entry'!D152="","",'Student DATA Entry'!D152)</f>
        <v/>
      </c>
      <c r="E155" s="459" t="str">
        <f>IF('Student DATA Entry'!E152="","",'Student DATA Entry'!E152)</f>
        <v/>
      </c>
      <c r="F155" s="460" t="str">
        <f>IF('Student DATA Entry'!K152="","",'Student DATA Entry'!K152)</f>
        <v/>
      </c>
      <c r="G155" s="461" t="str">
        <f>IF('Student DATA Entry'!G152="","",UPPER('Student DATA Entry'!G152))</f>
        <v/>
      </c>
      <c r="H155" s="461" t="str">
        <f>IF('Student DATA Entry'!H152="","",UPPER('Student DATA Entry'!H152))</f>
        <v/>
      </c>
      <c r="I155" s="462" t="str">
        <f>IF('Student DATA Entry'!I152="","",UPPER('Student DATA Entry'!I152))</f>
        <v/>
      </c>
      <c r="J155" s="463" t="str">
        <f>IF('Student DATA Entry'!L152="","",UPPER('Student DATA Entry'!L152))</f>
        <v/>
      </c>
      <c r="K155" s="469" t="str">
        <f>IF('Student DATA Entry'!J152="","",UPPER('Student DATA Entry'!J152))</f>
        <v/>
      </c>
      <c r="L155" s="491"/>
      <c r="M155" s="8"/>
      <c r="N155" s="8"/>
      <c r="O155" s="9"/>
      <c r="P155" s="492"/>
      <c r="Q155" s="491"/>
      <c r="R155" s="8"/>
      <c r="S155" s="8"/>
      <c r="T155" s="9"/>
      <c r="U155" s="492"/>
      <c r="V155" s="502"/>
      <c r="W155" s="7"/>
      <c r="X155" s="8"/>
      <c r="Y155" s="8"/>
      <c r="Z155" s="9"/>
      <c r="AA155" s="492"/>
      <c r="AB155" s="491"/>
      <c r="AC155" s="8"/>
      <c r="AD155" s="8"/>
      <c r="AE155" s="9"/>
      <c r="AF155" s="492"/>
      <c r="AG155" s="491"/>
      <c r="AH155" s="8"/>
      <c r="AI155" s="8"/>
      <c r="AJ155" s="9"/>
      <c r="AK155" s="492"/>
      <c r="AL155" s="491"/>
      <c r="AM155" s="8"/>
      <c r="AN155" s="8"/>
      <c r="AO155" s="9"/>
      <c r="AP155" s="492"/>
      <c r="AQ155" s="506"/>
      <c r="AR155" s="491"/>
      <c r="AS155" s="8"/>
      <c r="AT155" s="8"/>
      <c r="AU155" s="9"/>
      <c r="AV155" s="9"/>
      <c r="AW155" s="17"/>
      <c r="AX155" s="492"/>
      <c r="AY155" s="491"/>
      <c r="AZ155" s="7"/>
      <c r="BA155" s="9"/>
      <c r="BB155" s="9"/>
      <c r="BC155" s="492"/>
      <c r="BD155" s="491"/>
      <c r="BE155" s="7"/>
      <c r="BF155" s="7"/>
      <c r="BG155" s="7"/>
      <c r="BH155" s="9"/>
      <c r="BI155" s="9"/>
      <c r="BJ155" s="492"/>
      <c r="BK155" s="491"/>
      <c r="BL155" s="7"/>
      <c r="BM155" s="7"/>
      <c r="BN155" s="7"/>
      <c r="BO155" s="7"/>
      <c r="BP155" s="7"/>
      <c r="BQ155" s="7"/>
      <c r="BR155" s="8"/>
      <c r="BS155" s="8"/>
      <c r="BT155" s="509"/>
      <c r="BU155" s="491"/>
      <c r="BV155" s="8"/>
      <c r="BW155" s="509"/>
      <c r="BX155" s="491"/>
      <c r="BY155" s="8"/>
      <c r="BZ155" s="509"/>
      <c r="CA155" s="751"/>
    </row>
    <row r="156" spans="1:79" ht="24.95" customHeight="1">
      <c r="A156" s="468">
        <f>IF('Student DATA Entry'!A153="","",'Student DATA Entry'!A153)</f>
        <v>150</v>
      </c>
      <c r="B156" s="459" t="str">
        <f>IF('Student DATA Entry'!B153="","",'Student DATA Entry'!B153)</f>
        <v/>
      </c>
      <c r="C156" s="459" t="str">
        <f>IF('Student DATA Entry'!C153="","",'Student DATA Entry'!C153)</f>
        <v/>
      </c>
      <c r="D156" s="459" t="str">
        <f>IF('Student DATA Entry'!D153="","",'Student DATA Entry'!D153)</f>
        <v/>
      </c>
      <c r="E156" s="459" t="str">
        <f>IF('Student DATA Entry'!E153="","",'Student DATA Entry'!E153)</f>
        <v/>
      </c>
      <c r="F156" s="460" t="str">
        <f>IF('Student DATA Entry'!K153="","",'Student DATA Entry'!K153)</f>
        <v/>
      </c>
      <c r="G156" s="461" t="str">
        <f>IF('Student DATA Entry'!G153="","",UPPER('Student DATA Entry'!G153))</f>
        <v/>
      </c>
      <c r="H156" s="461" t="str">
        <f>IF('Student DATA Entry'!H153="","",UPPER('Student DATA Entry'!H153))</f>
        <v/>
      </c>
      <c r="I156" s="462" t="str">
        <f>IF('Student DATA Entry'!I153="","",UPPER('Student DATA Entry'!I153))</f>
        <v/>
      </c>
      <c r="J156" s="463" t="str">
        <f>IF('Student DATA Entry'!L153="","",UPPER('Student DATA Entry'!L153))</f>
        <v/>
      </c>
      <c r="K156" s="469" t="str">
        <f>IF('Student DATA Entry'!J153="","",UPPER('Student DATA Entry'!J153))</f>
        <v/>
      </c>
      <c r="L156" s="491"/>
      <c r="M156" s="8"/>
      <c r="N156" s="8"/>
      <c r="O156" s="9"/>
      <c r="P156" s="492"/>
      <c r="Q156" s="491"/>
      <c r="R156" s="8"/>
      <c r="S156" s="8"/>
      <c r="T156" s="9"/>
      <c r="U156" s="492"/>
      <c r="V156" s="502"/>
      <c r="W156" s="7"/>
      <c r="X156" s="8"/>
      <c r="Y156" s="8"/>
      <c r="Z156" s="9"/>
      <c r="AA156" s="492"/>
      <c r="AB156" s="491"/>
      <c r="AC156" s="8"/>
      <c r="AD156" s="8"/>
      <c r="AE156" s="9"/>
      <c r="AF156" s="492"/>
      <c r="AG156" s="491"/>
      <c r="AH156" s="8"/>
      <c r="AI156" s="8"/>
      <c r="AJ156" s="9"/>
      <c r="AK156" s="492"/>
      <c r="AL156" s="491"/>
      <c r="AM156" s="8"/>
      <c r="AN156" s="8"/>
      <c r="AO156" s="9"/>
      <c r="AP156" s="492"/>
      <c r="AQ156" s="506"/>
      <c r="AR156" s="491"/>
      <c r="AS156" s="8"/>
      <c r="AT156" s="8"/>
      <c r="AU156" s="9"/>
      <c r="AV156" s="9"/>
      <c r="AW156" s="17"/>
      <c r="AX156" s="492"/>
      <c r="AY156" s="491"/>
      <c r="AZ156" s="7"/>
      <c r="BA156" s="9"/>
      <c r="BB156" s="9"/>
      <c r="BC156" s="492"/>
      <c r="BD156" s="491"/>
      <c r="BE156" s="7"/>
      <c r="BF156" s="7"/>
      <c r="BG156" s="7"/>
      <c r="BH156" s="9"/>
      <c r="BI156" s="9"/>
      <c r="BJ156" s="492"/>
      <c r="BK156" s="491"/>
      <c r="BL156" s="7"/>
      <c r="BM156" s="7"/>
      <c r="BN156" s="7"/>
      <c r="BO156" s="7"/>
      <c r="BP156" s="7"/>
      <c r="BQ156" s="7"/>
      <c r="BR156" s="8"/>
      <c r="BS156" s="8"/>
      <c r="BT156" s="509"/>
      <c r="BU156" s="491"/>
      <c r="BV156" s="8"/>
      <c r="BW156" s="509"/>
      <c r="BX156" s="491"/>
      <c r="BY156" s="8"/>
      <c r="BZ156" s="509"/>
      <c r="CA156" s="751"/>
    </row>
    <row r="157" spans="1:79" ht="24.95" customHeight="1">
      <c r="A157" s="468">
        <f>IF('Student DATA Entry'!A154="","",'Student DATA Entry'!A154)</f>
        <v>151</v>
      </c>
      <c r="B157" s="459" t="str">
        <f>IF('Student DATA Entry'!B154="","",'Student DATA Entry'!B154)</f>
        <v/>
      </c>
      <c r="C157" s="459" t="str">
        <f>IF('Student DATA Entry'!C154="","",'Student DATA Entry'!C154)</f>
        <v/>
      </c>
      <c r="D157" s="459" t="str">
        <f>IF('Student DATA Entry'!D154="","",'Student DATA Entry'!D154)</f>
        <v/>
      </c>
      <c r="E157" s="459" t="str">
        <f>IF('Student DATA Entry'!E154="","",'Student DATA Entry'!E154)</f>
        <v/>
      </c>
      <c r="F157" s="460" t="str">
        <f>IF('Student DATA Entry'!K154="","",'Student DATA Entry'!K154)</f>
        <v/>
      </c>
      <c r="G157" s="461" t="str">
        <f>IF('Student DATA Entry'!G154="","",UPPER('Student DATA Entry'!G154))</f>
        <v/>
      </c>
      <c r="H157" s="461" t="str">
        <f>IF('Student DATA Entry'!H154="","",UPPER('Student DATA Entry'!H154))</f>
        <v/>
      </c>
      <c r="I157" s="462" t="str">
        <f>IF('Student DATA Entry'!I154="","",UPPER('Student DATA Entry'!I154))</f>
        <v/>
      </c>
      <c r="J157" s="463" t="str">
        <f>IF('Student DATA Entry'!L154="","",UPPER('Student DATA Entry'!L154))</f>
        <v/>
      </c>
      <c r="K157" s="469" t="str">
        <f>IF('Student DATA Entry'!J154="","",UPPER('Student DATA Entry'!J154))</f>
        <v/>
      </c>
      <c r="L157" s="491"/>
      <c r="M157" s="8"/>
      <c r="N157" s="8"/>
      <c r="O157" s="9"/>
      <c r="P157" s="492"/>
      <c r="Q157" s="491"/>
      <c r="R157" s="8"/>
      <c r="S157" s="8"/>
      <c r="T157" s="9"/>
      <c r="U157" s="492"/>
      <c r="V157" s="502"/>
      <c r="W157" s="7"/>
      <c r="X157" s="8"/>
      <c r="Y157" s="8"/>
      <c r="Z157" s="9"/>
      <c r="AA157" s="492"/>
      <c r="AB157" s="491"/>
      <c r="AC157" s="8"/>
      <c r="AD157" s="8"/>
      <c r="AE157" s="9"/>
      <c r="AF157" s="492"/>
      <c r="AG157" s="491"/>
      <c r="AH157" s="8"/>
      <c r="AI157" s="8"/>
      <c r="AJ157" s="9"/>
      <c r="AK157" s="492"/>
      <c r="AL157" s="491"/>
      <c r="AM157" s="8"/>
      <c r="AN157" s="8"/>
      <c r="AO157" s="9"/>
      <c r="AP157" s="492"/>
      <c r="AQ157" s="506"/>
      <c r="AR157" s="491"/>
      <c r="AS157" s="8"/>
      <c r="AT157" s="8"/>
      <c r="AU157" s="9"/>
      <c r="AV157" s="9"/>
      <c r="AW157" s="17"/>
      <c r="AX157" s="492"/>
      <c r="AY157" s="491"/>
      <c r="AZ157" s="7"/>
      <c r="BA157" s="9"/>
      <c r="BB157" s="9"/>
      <c r="BC157" s="492"/>
      <c r="BD157" s="491"/>
      <c r="BE157" s="7"/>
      <c r="BF157" s="7"/>
      <c r="BG157" s="7"/>
      <c r="BH157" s="9"/>
      <c r="BI157" s="9"/>
      <c r="BJ157" s="492"/>
      <c r="BK157" s="491"/>
      <c r="BL157" s="7"/>
      <c r="BM157" s="7"/>
      <c r="BN157" s="7"/>
      <c r="BO157" s="7"/>
      <c r="BP157" s="7"/>
      <c r="BQ157" s="7"/>
      <c r="BR157" s="8"/>
      <c r="BS157" s="8"/>
      <c r="BT157" s="509"/>
      <c r="BU157" s="491"/>
      <c r="BV157" s="8"/>
      <c r="BW157" s="509"/>
      <c r="BX157" s="491"/>
      <c r="BY157" s="8"/>
      <c r="BZ157" s="509"/>
      <c r="CA157" s="751"/>
    </row>
    <row r="158" spans="1:79" ht="24.95" customHeight="1">
      <c r="A158" s="468">
        <f>IF('Student DATA Entry'!A155="","",'Student DATA Entry'!A155)</f>
        <v>152</v>
      </c>
      <c r="B158" s="459" t="str">
        <f>IF('Student DATA Entry'!B155="","",'Student DATA Entry'!B155)</f>
        <v/>
      </c>
      <c r="C158" s="459" t="str">
        <f>IF('Student DATA Entry'!C155="","",'Student DATA Entry'!C155)</f>
        <v/>
      </c>
      <c r="D158" s="459" t="str">
        <f>IF('Student DATA Entry'!D155="","",'Student DATA Entry'!D155)</f>
        <v/>
      </c>
      <c r="E158" s="459" t="str">
        <f>IF('Student DATA Entry'!E155="","",'Student DATA Entry'!E155)</f>
        <v/>
      </c>
      <c r="F158" s="460" t="str">
        <f>IF('Student DATA Entry'!K155="","",'Student DATA Entry'!K155)</f>
        <v/>
      </c>
      <c r="G158" s="461" t="str">
        <f>IF('Student DATA Entry'!G155="","",UPPER('Student DATA Entry'!G155))</f>
        <v/>
      </c>
      <c r="H158" s="461" t="str">
        <f>IF('Student DATA Entry'!H155="","",UPPER('Student DATA Entry'!H155))</f>
        <v/>
      </c>
      <c r="I158" s="462" t="str">
        <f>IF('Student DATA Entry'!I155="","",UPPER('Student DATA Entry'!I155))</f>
        <v/>
      </c>
      <c r="J158" s="463" t="str">
        <f>IF('Student DATA Entry'!L155="","",UPPER('Student DATA Entry'!L155))</f>
        <v/>
      </c>
      <c r="K158" s="469" t="str">
        <f>IF('Student DATA Entry'!J155="","",UPPER('Student DATA Entry'!J155))</f>
        <v/>
      </c>
      <c r="L158" s="491"/>
      <c r="M158" s="8"/>
      <c r="N158" s="8"/>
      <c r="O158" s="9"/>
      <c r="P158" s="492"/>
      <c r="Q158" s="491"/>
      <c r="R158" s="8"/>
      <c r="S158" s="8"/>
      <c r="T158" s="9"/>
      <c r="U158" s="492"/>
      <c r="V158" s="502"/>
      <c r="W158" s="7"/>
      <c r="X158" s="8"/>
      <c r="Y158" s="8"/>
      <c r="Z158" s="9"/>
      <c r="AA158" s="492"/>
      <c r="AB158" s="491"/>
      <c r="AC158" s="8"/>
      <c r="AD158" s="8"/>
      <c r="AE158" s="9"/>
      <c r="AF158" s="492"/>
      <c r="AG158" s="491"/>
      <c r="AH158" s="8"/>
      <c r="AI158" s="8"/>
      <c r="AJ158" s="9"/>
      <c r="AK158" s="492"/>
      <c r="AL158" s="491"/>
      <c r="AM158" s="8"/>
      <c r="AN158" s="8"/>
      <c r="AO158" s="9"/>
      <c r="AP158" s="492"/>
      <c r="AQ158" s="506"/>
      <c r="AR158" s="491"/>
      <c r="AS158" s="8"/>
      <c r="AT158" s="8"/>
      <c r="AU158" s="9"/>
      <c r="AV158" s="9"/>
      <c r="AW158" s="17"/>
      <c r="AX158" s="492"/>
      <c r="AY158" s="491"/>
      <c r="AZ158" s="7"/>
      <c r="BA158" s="9"/>
      <c r="BB158" s="9"/>
      <c r="BC158" s="492"/>
      <c r="BD158" s="491"/>
      <c r="BE158" s="7"/>
      <c r="BF158" s="7"/>
      <c r="BG158" s="7"/>
      <c r="BH158" s="9"/>
      <c r="BI158" s="9"/>
      <c r="BJ158" s="492"/>
      <c r="BK158" s="491"/>
      <c r="BL158" s="7"/>
      <c r="BM158" s="7"/>
      <c r="BN158" s="7"/>
      <c r="BO158" s="7"/>
      <c r="BP158" s="7"/>
      <c r="BQ158" s="7"/>
      <c r="BR158" s="8"/>
      <c r="BS158" s="8"/>
      <c r="BT158" s="509"/>
      <c r="BU158" s="491"/>
      <c r="BV158" s="8"/>
      <c r="BW158" s="509"/>
      <c r="BX158" s="491"/>
      <c r="BY158" s="8"/>
      <c r="BZ158" s="509"/>
      <c r="CA158" s="751"/>
    </row>
    <row r="159" spans="1:79" ht="24.95" customHeight="1">
      <c r="A159" s="468">
        <f>IF('Student DATA Entry'!A156="","",'Student DATA Entry'!A156)</f>
        <v>153</v>
      </c>
      <c r="B159" s="459" t="str">
        <f>IF('Student DATA Entry'!B156="","",'Student DATA Entry'!B156)</f>
        <v/>
      </c>
      <c r="C159" s="459" t="str">
        <f>IF('Student DATA Entry'!C156="","",'Student DATA Entry'!C156)</f>
        <v/>
      </c>
      <c r="D159" s="459" t="str">
        <f>IF('Student DATA Entry'!D156="","",'Student DATA Entry'!D156)</f>
        <v/>
      </c>
      <c r="E159" s="459" t="str">
        <f>IF('Student DATA Entry'!E156="","",'Student DATA Entry'!E156)</f>
        <v/>
      </c>
      <c r="F159" s="460" t="str">
        <f>IF('Student DATA Entry'!K156="","",'Student DATA Entry'!K156)</f>
        <v/>
      </c>
      <c r="G159" s="461" t="str">
        <f>IF('Student DATA Entry'!G156="","",UPPER('Student DATA Entry'!G156))</f>
        <v/>
      </c>
      <c r="H159" s="461" t="str">
        <f>IF('Student DATA Entry'!H156="","",UPPER('Student DATA Entry'!H156))</f>
        <v/>
      </c>
      <c r="I159" s="462" t="str">
        <f>IF('Student DATA Entry'!I156="","",UPPER('Student DATA Entry'!I156))</f>
        <v/>
      </c>
      <c r="J159" s="463" t="str">
        <f>IF('Student DATA Entry'!L156="","",UPPER('Student DATA Entry'!L156))</f>
        <v/>
      </c>
      <c r="K159" s="469" t="str">
        <f>IF('Student DATA Entry'!J156="","",UPPER('Student DATA Entry'!J156))</f>
        <v/>
      </c>
      <c r="L159" s="491"/>
      <c r="M159" s="8"/>
      <c r="N159" s="8"/>
      <c r="O159" s="9"/>
      <c r="P159" s="492"/>
      <c r="Q159" s="491"/>
      <c r="R159" s="8"/>
      <c r="S159" s="8"/>
      <c r="T159" s="9"/>
      <c r="U159" s="492"/>
      <c r="V159" s="502"/>
      <c r="W159" s="7"/>
      <c r="X159" s="8"/>
      <c r="Y159" s="8"/>
      <c r="Z159" s="9"/>
      <c r="AA159" s="492"/>
      <c r="AB159" s="491"/>
      <c r="AC159" s="8"/>
      <c r="AD159" s="8"/>
      <c r="AE159" s="9"/>
      <c r="AF159" s="492"/>
      <c r="AG159" s="491"/>
      <c r="AH159" s="8"/>
      <c r="AI159" s="8"/>
      <c r="AJ159" s="9"/>
      <c r="AK159" s="492"/>
      <c r="AL159" s="491"/>
      <c r="AM159" s="8"/>
      <c r="AN159" s="8"/>
      <c r="AO159" s="9"/>
      <c r="AP159" s="492"/>
      <c r="AQ159" s="506"/>
      <c r="AR159" s="491"/>
      <c r="AS159" s="8"/>
      <c r="AT159" s="8"/>
      <c r="AU159" s="9"/>
      <c r="AV159" s="9"/>
      <c r="AW159" s="17"/>
      <c r="AX159" s="492"/>
      <c r="AY159" s="491"/>
      <c r="AZ159" s="7"/>
      <c r="BA159" s="9"/>
      <c r="BB159" s="9"/>
      <c r="BC159" s="492"/>
      <c r="BD159" s="491"/>
      <c r="BE159" s="7"/>
      <c r="BF159" s="7"/>
      <c r="BG159" s="7"/>
      <c r="BH159" s="9"/>
      <c r="BI159" s="9"/>
      <c r="BJ159" s="492"/>
      <c r="BK159" s="491"/>
      <c r="BL159" s="7"/>
      <c r="BM159" s="7"/>
      <c r="BN159" s="7"/>
      <c r="BO159" s="7"/>
      <c r="BP159" s="7"/>
      <c r="BQ159" s="7"/>
      <c r="BR159" s="8"/>
      <c r="BS159" s="8"/>
      <c r="BT159" s="509"/>
      <c r="BU159" s="491"/>
      <c r="BV159" s="8"/>
      <c r="BW159" s="509"/>
      <c r="BX159" s="491"/>
      <c r="BY159" s="8"/>
      <c r="BZ159" s="509"/>
      <c r="CA159" s="751"/>
    </row>
    <row r="160" spans="1:79" ht="24.95" customHeight="1">
      <c r="A160" s="468">
        <f>IF('Student DATA Entry'!A157="","",'Student DATA Entry'!A157)</f>
        <v>154</v>
      </c>
      <c r="B160" s="459" t="str">
        <f>IF('Student DATA Entry'!B157="","",'Student DATA Entry'!B157)</f>
        <v/>
      </c>
      <c r="C160" s="459" t="str">
        <f>IF('Student DATA Entry'!C157="","",'Student DATA Entry'!C157)</f>
        <v/>
      </c>
      <c r="D160" s="459" t="str">
        <f>IF('Student DATA Entry'!D157="","",'Student DATA Entry'!D157)</f>
        <v/>
      </c>
      <c r="E160" s="459" t="str">
        <f>IF('Student DATA Entry'!E157="","",'Student DATA Entry'!E157)</f>
        <v/>
      </c>
      <c r="F160" s="460" t="str">
        <f>IF('Student DATA Entry'!K157="","",'Student DATA Entry'!K157)</f>
        <v/>
      </c>
      <c r="G160" s="461" t="str">
        <f>IF('Student DATA Entry'!G157="","",UPPER('Student DATA Entry'!G157))</f>
        <v/>
      </c>
      <c r="H160" s="461" t="str">
        <f>IF('Student DATA Entry'!H157="","",UPPER('Student DATA Entry'!H157))</f>
        <v/>
      </c>
      <c r="I160" s="462" t="str">
        <f>IF('Student DATA Entry'!I157="","",UPPER('Student DATA Entry'!I157))</f>
        <v/>
      </c>
      <c r="J160" s="463" t="str">
        <f>IF('Student DATA Entry'!L157="","",UPPER('Student DATA Entry'!L157))</f>
        <v/>
      </c>
      <c r="K160" s="469" t="str">
        <f>IF('Student DATA Entry'!J157="","",UPPER('Student DATA Entry'!J157))</f>
        <v/>
      </c>
      <c r="L160" s="491"/>
      <c r="M160" s="8"/>
      <c r="N160" s="8"/>
      <c r="O160" s="9"/>
      <c r="P160" s="492"/>
      <c r="Q160" s="491"/>
      <c r="R160" s="8"/>
      <c r="S160" s="8"/>
      <c r="T160" s="9"/>
      <c r="U160" s="492"/>
      <c r="V160" s="502"/>
      <c r="W160" s="7"/>
      <c r="X160" s="8"/>
      <c r="Y160" s="8"/>
      <c r="Z160" s="9"/>
      <c r="AA160" s="492"/>
      <c r="AB160" s="491"/>
      <c r="AC160" s="8"/>
      <c r="AD160" s="8"/>
      <c r="AE160" s="9"/>
      <c r="AF160" s="492"/>
      <c r="AG160" s="491"/>
      <c r="AH160" s="8"/>
      <c r="AI160" s="8"/>
      <c r="AJ160" s="9"/>
      <c r="AK160" s="492"/>
      <c r="AL160" s="491"/>
      <c r="AM160" s="8"/>
      <c r="AN160" s="8"/>
      <c r="AO160" s="9"/>
      <c r="AP160" s="492"/>
      <c r="AQ160" s="506"/>
      <c r="AR160" s="491"/>
      <c r="AS160" s="8"/>
      <c r="AT160" s="8"/>
      <c r="AU160" s="9"/>
      <c r="AV160" s="9"/>
      <c r="AW160" s="17"/>
      <c r="AX160" s="492"/>
      <c r="AY160" s="491"/>
      <c r="AZ160" s="7"/>
      <c r="BA160" s="9"/>
      <c r="BB160" s="9"/>
      <c r="BC160" s="492"/>
      <c r="BD160" s="491"/>
      <c r="BE160" s="7"/>
      <c r="BF160" s="7"/>
      <c r="BG160" s="7"/>
      <c r="BH160" s="9"/>
      <c r="BI160" s="9"/>
      <c r="BJ160" s="492"/>
      <c r="BK160" s="491"/>
      <c r="BL160" s="7"/>
      <c r="BM160" s="7"/>
      <c r="BN160" s="7"/>
      <c r="BO160" s="7"/>
      <c r="BP160" s="7"/>
      <c r="BQ160" s="7"/>
      <c r="BR160" s="8"/>
      <c r="BS160" s="8"/>
      <c r="BT160" s="509"/>
      <c r="BU160" s="491"/>
      <c r="BV160" s="8"/>
      <c r="BW160" s="509"/>
      <c r="BX160" s="491"/>
      <c r="BY160" s="8"/>
      <c r="BZ160" s="509"/>
      <c r="CA160" s="751"/>
    </row>
    <row r="161" spans="1:79" ht="24.95" customHeight="1">
      <c r="A161" s="468">
        <f>IF('Student DATA Entry'!A158="","",'Student DATA Entry'!A158)</f>
        <v>155</v>
      </c>
      <c r="B161" s="459" t="str">
        <f>IF('Student DATA Entry'!B158="","",'Student DATA Entry'!B158)</f>
        <v/>
      </c>
      <c r="C161" s="459" t="str">
        <f>IF('Student DATA Entry'!C158="","",'Student DATA Entry'!C158)</f>
        <v/>
      </c>
      <c r="D161" s="459" t="str">
        <f>IF('Student DATA Entry'!D158="","",'Student DATA Entry'!D158)</f>
        <v/>
      </c>
      <c r="E161" s="459" t="str">
        <f>IF('Student DATA Entry'!E158="","",'Student DATA Entry'!E158)</f>
        <v/>
      </c>
      <c r="F161" s="460" t="str">
        <f>IF('Student DATA Entry'!K158="","",'Student DATA Entry'!K158)</f>
        <v/>
      </c>
      <c r="G161" s="461" t="str">
        <f>IF('Student DATA Entry'!G158="","",UPPER('Student DATA Entry'!G158))</f>
        <v/>
      </c>
      <c r="H161" s="461" t="str">
        <f>IF('Student DATA Entry'!H158="","",UPPER('Student DATA Entry'!H158))</f>
        <v/>
      </c>
      <c r="I161" s="462" t="str">
        <f>IF('Student DATA Entry'!I158="","",UPPER('Student DATA Entry'!I158))</f>
        <v/>
      </c>
      <c r="J161" s="463" t="str">
        <f>IF('Student DATA Entry'!L158="","",UPPER('Student DATA Entry'!L158))</f>
        <v/>
      </c>
      <c r="K161" s="469" t="str">
        <f>IF('Student DATA Entry'!J158="","",UPPER('Student DATA Entry'!J158))</f>
        <v/>
      </c>
      <c r="L161" s="491"/>
      <c r="M161" s="8"/>
      <c r="N161" s="8"/>
      <c r="O161" s="9"/>
      <c r="P161" s="492"/>
      <c r="Q161" s="491"/>
      <c r="R161" s="8"/>
      <c r="S161" s="8"/>
      <c r="T161" s="9"/>
      <c r="U161" s="492"/>
      <c r="V161" s="502"/>
      <c r="W161" s="7"/>
      <c r="X161" s="8"/>
      <c r="Y161" s="8"/>
      <c r="Z161" s="9"/>
      <c r="AA161" s="492"/>
      <c r="AB161" s="491"/>
      <c r="AC161" s="8"/>
      <c r="AD161" s="8"/>
      <c r="AE161" s="9"/>
      <c r="AF161" s="492"/>
      <c r="AG161" s="491"/>
      <c r="AH161" s="8"/>
      <c r="AI161" s="8"/>
      <c r="AJ161" s="9"/>
      <c r="AK161" s="492"/>
      <c r="AL161" s="491"/>
      <c r="AM161" s="8"/>
      <c r="AN161" s="8"/>
      <c r="AO161" s="9"/>
      <c r="AP161" s="492"/>
      <c r="AQ161" s="506"/>
      <c r="AR161" s="491"/>
      <c r="AS161" s="8"/>
      <c r="AT161" s="8"/>
      <c r="AU161" s="9"/>
      <c r="AV161" s="9"/>
      <c r="AW161" s="17"/>
      <c r="AX161" s="492"/>
      <c r="AY161" s="491"/>
      <c r="AZ161" s="7"/>
      <c r="BA161" s="9"/>
      <c r="BB161" s="9"/>
      <c r="BC161" s="492"/>
      <c r="BD161" s="491"/>
      <c r="BE161" s="7"/>
      <c r="BF161" s="7"/>
      <c r="BG161" s="7"/>
      <c r="BH161" s="9"/>
      <c r="BI161" s="9"/>
      <c r="BJ161" s="492"/>
      <c r="BK161" s="491"/>
      <c r="BL161" s="7"/>
      <c r="BM161" s="7"/>
      <c r="BN161" s="7"/>
      <c r="BO161" s="7"/>
      <c r="BP161" s="7"/>
      <c r="BQ161" s="7"/>
      <c r="BR161" s="8"/>
      <c r="BS161" s="8"/>
      <c r="BT161" s="509"/>
      <c r="BU161" s="491"/>
      <c r="BV161" s="8"/>
      <c r="BW161" s="509"/>
      <c r="BX161" s="491"/>
      <c r="BY161" s="8"/>
      <c r="BZ161" s="509"/>
      <c r="CA161" s="751"/>
    </row>
    <row r="162" spans="1:79" ht="24.95" customHeight="1">
      <c r="A162" s="468">
        <f>IF('Student DATA Entry'!A159="","",'Student DATA Entry'!A159)</f>
        <v>156</v>
      </c>
      <c r="B162" s="459" t="str">
        <f>IF('Student DATA Entry'!B159="","",'Student DATA Entry'!B159)</f>
        <v/>
      </c>
      <c r="C162" s="459" t="str">
        <f>IF('Student DATA Entry'!C159="","",'Student DATA Entry'!C159)</f>
        <v/>
      </c>
      <c r="D162" s="459" t="str">
        <f>IF('Student DATA Entry'!D159="","",'Student DATA Entry'!D159)</f>
        <v/>
      </c>
      <c r="E162" s="459" t="str">
        <f>IF('Student DATA Entry'!E159="","",'Student DATA Entry'!E159)</f>
        <v/>
      </c>
      <c r="F162" s="460" t="str">
        <f>IF('Student DATA Entry'!K159="","",'Student DATA Entry'!K159)</f>
        <v/>
      </c>
      <c r="G162" s="461" t="str">
        <f>IF('Student DATA Entry'!G159="","",UPPER('Student DATA Entry'!G159))</f>
        <v/>
      </c>
      <c r="H162" s="461" t="str">
        <f>IF('Student DATA Entry'!H159="","",UPPER('Student DATA Entry'!H159))</f>
        <v/>
      </c>
      <c r="I162" s="462" t="str">
        <f>IF('Student DATA Entry'!I159="","",UPPER('Student DATA Entry'!I159))</f>
        <v/>
      </c>
      <c r="J162" s="463" t="str">
        <f>IF('Student DATA Entry'!L159="","",UPPER('Student DATA Entry'!L159))</f>
        <v/>
      </c>
      <c r="K162" s="469" t="str">
        <f>IF('Student DATA Entry'!J159="","",UPPER('Student DATA Entry'!J159))</f>
        <v/>
      </c>
      <c r="L162" s="491"/>
      <c r="M162" s="8"/>
      <c r="N162" s="8"/>
      <c r="O162" s="9"/>
      <c r="P162" s="492"/>
      <c r="Q162" s="491"/>
      <c r="R162" s="8"/>
      <c r="S162" s="8"/>
      <c r="T162" s="9"/>
      <c r="U162" s="492"/>
      <c r="V162" s="502"/>
      <c r="W162" s="7"/>
      <c r="X162" s="8"/>
      <c r="Y162" s="8"/>
      <c r="Z162" s="9"/>
      <c r="AA162" s="492"/>
      <c r="AB162" s="491"/>
      <c r="AC162" s="8"/>
      <c r="AD162" s="8"/>
      <c r="AE162" s="9"/>
      <c r="AF162" s="492"/>
      <c r="AG162" s="491"/>
      <c r="AH162" s="8"/>
      <c r="AI162" s="8"/>
      <c r="AJ162" s="9"/>
      <c r="AK162" s="492"/>
      <c r="AL162" s="491"/>
      <c r="AM162" s="8"/>
      <c r="AN162" s="8"/>
      <c r="AO162" s="9"/>
      <c r="AP162" s="492"/>
      <c r="AQ162" s="506"/>
      <c r="AR162" s="491"/>
      <c r="AS162" s="8"/>
      <c r="AT162" s="8"/>
      <c r="AU162" s="9"/>
      <c r="AV162" s="9"/>
      <c r="AW162" s="17"/>
      <c r="AX162" s="492"/>
      <c r="AY162" s="491"/>
      <c r="AZ162" s="7"/>
      <c r="BA162" s="9"/>
      <c r="BB162" s="9"/>
      <c r="BC162" s="492"/>
      <c r="BD162" s="491"/>
      <c r="BE162" s="7"/>
      <c r="BF162" s="7"/>
      <c r="BG162" s="7"/>
      <c r="BH162" s="9"/>
      <c r="BI162" s="9"/>
      <c r="BJ162" s="492"/>
      <c r="BK162" s="491"/>
      <c r="BL162" s="7"/>
      <c r="BM162" s="7"/>
      <c r="BN162" s="7"/>
      <c r="BO162" s="7"/>
      <c r="BP162" s="7"/>
      <c r="BQ162" s="7"/>
      <c r="BR162" s="8"/>
      <c r="BS162" s="8"/>
      <c r="BT162" s="509"/>
      <c r="BU162" s="491"/>
      <c r="BV162" s="8"/>
      <c r="BW162" s="509"/>
      <c r="BX162" s="491"/>
      <c r="BY162" s="8"/>
      <c r="BZ162" s="509"/>
      <c r="CA162" s="751"/>
    </row>
    <row r="163" spans="1:79" ht="24.95" customHeight="1">
      <c r="A163" s="468">
        <f>IF('Student DATA Entry'!A160="","",'Student DATA Entry'!A160)</f>
        <v>157</v>
      </c>
      <c r="B163" s="459" t="str">
        <f>IF('Student DATA Entry'!B160="","",'Student DATA Entry'!B160)</f>
        <v/>
      </c>
      <c r="C163" s="459" t="str">
        <f>IF('Student DATA Entry'!C160="","",'Student DATA Entry'!C160)</f>
        <v/>
      </c>
      <c r="D163" s="459" t="str">
        <f>IF('Student DATA Entry'!D160="","",'Student DATA Entry'!D160)</f>
        <v/>
      </c>
      <c r="E163" s="459" t="str">
        <f>IF('Student DATA Entry'!E160="","",'Student DATA Entry'!E160)</f>
        <v/>
      </c>
      <c r="F163" s="460" t="str">
        <f>IF('Student DATA Entry'!K160="","",'Student DATA Entry'!K160)</f>
        <v/>
      </c>
      <c r="G163" s="461" t="str">
        <f>IF('Student DATA Entry'!G160="","",UPPER('Student DATA Entry'!G160))</f>
        <v/>
      </c>
      <c r="H163" s="461" t="str">
        <f>IF('Student DATA Entry'!H160="","",UPPER('Student DATA Entry'!H160))</f>
        <v/>
      </c>
      <c r="I163" s="462" t="str">
        <f>IF('Student DATA Entry'!I160="","",UPPER('Student DATA Entry'!I160))</f>
        <v/>
      </c>
      <c r="J163" s="463" t="str">
        <f>IF('Student DATA Entry'!L160="","",UPPER('Student DATA Entry'!L160))</f>
        <v/>
      </c>
      <c r="K163" s="469" t="str">
        <f>IF('Student DATA Entry'!J160="","",UPPER('Student DATA Entry'!J160))</f>
        <v/>
      </c>
      <c r="L163" s="491"/>
      <c r="M163" s="8"/>
      <c r="N163" s="8"/>
      <c r="O163" s="9"/>
      <c r="P163" s="492"/>
      <c r="Q163" s="491"/>
      <c r="R163" s="8"/>
      <c r="S163" s="8"/>
      <c r="T163" s="9"/>
      <c r="U163" s="492"/>
      <c r="V163" s="502"/>
      <c r="W163" s="7"/>
      <c r="X163" s="8"/>
      <c r="Y163" s="8"/>
      <c r="Z163" s="9"/>
      <c r="AA163" s="492"/>
      <c r="AB163" s="491"/>
      <c r="AC163" s="8"/>
      <c r="AD163" s="8"/>
      <c r="AE163" s="9"/>
      <c r="AF163" s="492"/>
      <c r="AG163" s="491"/>
      <c r="AH163" s="8"/>
      <c r="AI163" s="8"/>
      <c r="AJ163" s="9"/>
      <c r="AK163" s="492"/>
      <c r="AL163" s="491"/>
      <c r="AM163" s="8"/>
      <c r="AN163" s="8"/>
      <c r="AO163" s="9"/>
      <c r="AP163" s="492"/>
      <c r="AQ163" s="506"/>
      <c r="AR163" s="491"/>
      <c r="AS163" s="8"/>
      <c r="AT163" s="8"/>
      <c r="AU163" s="9"/>
      <c r="AV163" s="9"/>
      <c r="AW163" s="17"/>
      <c r="AX163" s="492"/>
      <c r="AY163" s="491"/>
      <c r="AZ163" s="7"/>
      <c r="BA163" s="9"/>
      <c r="BB163" s="9"/>
      <c r="BC163" s="492"/>
      <c r="BD163" s="491"/>
      <c r="BE163" s="7"/>
      <c r="BF163" s="7"/>
      <c r="BG163" s="7"/>
      <c r="BH163" s="9"/>
      <c r="BI163" s="9"/>
      <c r="BJ163" s="492"/>
      <c r="BK163" s="491"/>
      <c r="BL163" s="7"/>
      <c r="BM163" s="7"/>
      <c r="BN163" s="7"/>
      <c r="BO163" s="7"/>
      <c r="BP163" s="7"/>
      <c r="BQ163" s="7"/>
      <c r="BR163" s="8"/>
      <c r="BS163" s="8"/>
      <c r="BT163" s="509"/>
      <c r="BU163" s="491"/>
      <c r="BV163" s="8"/>
      <c r="BW163" s="509"/>
      <c r="BX163" s="491"/>
      <c r="BY163" s="8"/>
      <c r="BZ163" s="509"/>
      <c r="CA163" s="751"/>
    </row>
    <row r="164" spans="1:79" ht="24.95" customHeight="1">
      <c r="A164" s="468">
        <f>IF('Student DATA Entry'!A161="","",'Student DATA Entry'!A161)</f>
        <v>158</v>
      </c>
      <c r="B164" s="459" t="str">
        <f>IF('Student DATA Entry'!B161="","",'Student DATA Entry'!B161)</f>
        <v/>
      </c>
      <c r="C164" s="459" t="str">
        <f>IF('Student DATA Entry'!C161="","",'Student DATA Entry'!C161)</f>
        <v/>
      </c>
      <c r="D164" s="459" t="str">
        <f>IF('Student DATA Entry'!D161="","",'Student DATA Entry'!D161)</f>
        <v/>
      </c>
      <c r="E164" s="459" t="str">
        <f>IF('Student DATA Entry'!E161="","",'Student DATA Entry'!E161)</f>
        <v/>
      </c>
      <c r="F164" s="460" t="str">
        <f>IF('Student DATA Entry'!K161="","",'Student DATA Entry'!K161)</f>
        <v/>
      </c>
      <c r="G164" s="461" t="str">
        <f>IF('Student DATA Entry'!G161="","",UPPER('Student DATA Entry'!G161))</f>
        <v/>
      </c>
      <c r="H164" s="461" t="str">
        <f>IF('Student DATA Entry'!H161="","",UPPER('Student DATA Entry'!H161))</f>
        <v/>
      </c>
      <c r="I164" s="462" t="str">
        <f>IF('Student DATA Entry'!I161="","",UPPER('Student DATA Entry'!I161))</f>
        <v/>
      </c>
      <c r="J164" s="463" t="str">
        <f>IF('Student DATA Entry'!L161="","",UPPER('Student DATA Entry'!L161))</f>
        <v/>
      </c>
      <c r="K164" s="469" t="str">
        <f>IF('Student DATA Entry'!J161="","",UPPER('Student DATA Entry'!J161))</f>
        <v/>
      </c>
      <c r="L164" s="491"/>
      <c r="M164" s="8"/>
      <c r="N164" s="8"/>
      <c r="O164" s="9"/>
      <c r="P164" s="492"/>
      <c r="Q164" s="491"/>
      <c r="R164" s="8"/>
      <c r="S164" s="8"/>
      <c r="T164" s="9"/>
      <c r="U164" s="492"/>
      <c r="V164" s="502"/>
      <c r="W164" s="7"/>
      <c r="X164" s="8"/>
      <c r="Y164" s="8"/>
      <c r="Z164" s="9"/>
      <c r="AA164" s="492"/>
      <c r="AB164" s="491"/>
      <c r="AC164" s="8"/>
      <c r="AD164" s="8"/>
      <c r="AE164" s="9"/>
      <c r="AF164" s="492"/>
      <c r="AG164" s="491"/>
      <c r="AH164" s="8"/>
      <c r="AI164" s="8"/>
      <c r="AJ164" s="9"/>
      <c r="AK164" s="492"/>
      <c r="AL164" s="491"/>
      <c r="AM164" s="8"/>
      <c r="AN164" s="8"/>
      <c r="AO164" s="9"/>
      <c r="AP164" s="492"/>
      <c r="AQ164" s="506"/>
      <c r="AR164" s="491"/>
      <c r="AS164" s="8"/>
      <c r="AT164" s="8"/>
      <c r="AU164" s="9"/>
      <c r="AV164" s="9"/>
      <c r="AW164" s="17"/>
      <c r="AX164" s="492"/>
      <c r="AY164" s="491"/>
      <c r="AZ164" s="7"/>
      <c r="BA164" s="9"/>
      <c r="BB164" s="9"/>
      <c r="BC164" s="492"/>
      <c r="BD164" s="491"/>
      <c r="BE164" s="7"/>
      <c r="BF164" s="7"/>
      <c r="BG164" s="7"/>
      <c r="BH164" s="9"/>
      <c r="BI164" s="9"/>
      <c r="BJ164" s="492"/>
      <c r="BK164" s="491"/>
      <c r="BL164" s="7"/>
      <c r="BM164" s="7"/>
      <c r="BN164" s="7"/>
      <c r="BO164" s="7"/>
      <c r="BP164" s="7"/>
      <c r="BQ164" s="7"/>
      <c r="BR164" s="8"/>
      <c r="BS164" s="8"/>
      <c r="BT164" s="509"/>
      <c r="BU164" s="491"/>
      <c r="BV164" s="8"/>
      <c r="BW164" s="509"/>
      <c r="BX164" s="491"/>
      <c r="BY164" s="8"/>
      <c r="BZ164" s="509"/>
      <c r="CA164" s="751"/>
    </row>
    <row r="165" spans="1:79" ht="24.95" customHeight="1">
      <c r="A165" s="468">
        <f>IF('Student DATA Entry'!A162="","",'Student DATA Entry'!A162)</f>
        <v>159</v>
      </c>
      <c r="B165" s="459" t="str">
        <f>IF('Student DATA Entry'!B162="","",'Student DATA Entry'!B162)</f>
        <v/>
      </c>
      <c r="C165" s="459" t="str">
        <f>IF('Student DATA Entry'!C162="","",'Student DATA Entry'!C162)</f>
        <v/>
      </c>
      <c r="D165" s="459" t="str">
        <f>IF('Student DATA Entry'!D162="","",'Student DATA Entry'!D162)</f>
        <v/>
      </c>
      <c r="E165" s="459" t="str">
        <f>IF('Student DATA Entry'!E162="","",'Student DATA Entry'!E162)</f>
        <v/>
      </c>
      <c r="F165" s="460" t="str">
        <f>IF('Student DATA Entry'!K162="","",'Student DATA Entry'!K162)</f>
        <v/>
      </c>
      <c r="G165" s="461" t="str">
        <f>IF('Student DATA Entry'!G162="","",UPPER('Student DATA Entry'!G162))</f>
        <v/>
      </c>
      <c r="H165" s="461" t="str">
        <f>IF('Student DATA Entry'!H162="","",UPPER('Student DATA Entry'!H162))</f>
        <v/>
      </c>
      <c r="I165" s="462" t="str">
        <f>IF('Student DATA Entry'!I162="","",UPPER('Student DATA Entry'!I162))</f>
        <v/>
      </c>
      <c r="J165" s="463" t="str">
        <f>IF('Student DATA Entry'!L162="","",UPPER('Student DATA Entry'!L162))</f>
        <v/>
      </c>
      <c r="K165" s="469" t="str">
        <f>IF('Student DATA Entry'!J162="","",UPPER('Student DATA Entry'!J162))</f>
        <v/>
      </c>
      <c r="L165" s="491"/>
      <c r="M165" s="8"/>
      <c r="N165" s="8"/>
      <c r="O165" s="9"/>
      <c r="P165" s="492"/>
      <c r="Q165" s="491"/>
      <c r="R165" s="8"/>
      <c r="S165" s="8"/>
      <c r="T165" s="9"/>
      <c r="U165" s="492"/>
      <c r="V165" s="502"/>
      <c r="W165" s="7"/>
      <c r="X165" s="8"/>
      <c r="Y165" s="8"/>
      <c r="Z165" s="9"/>
      <c r="AA165" s="492"/>
      <c r="AB165" s="491"/>
      <c r="AC165" s="8"/>
      <c r="AD165" s="8"/>
      <c r="AE165" s="9"/>
      <c r="AF165" s="492"/>
      <c r="AG165" s="491"/>
      <c r="AH165" s="8"/>
      <c r="AI165" s="8"/>
      <c r="AJ165" s="9"/>
      <c r="AK165" s="492"/>
      <c r="AL165" s="491"/>
      <c r="AM165" s="8"/>
      <c r="AN165" s="8"/>
      <c r="AO165" s="9"/>
      <c r="AP165" s="492"/>
      <c r="AQ165" s="506"/>
      <c r="AR165" s="491"/>
      <c r="AS165" s="8"/>
      <c r="AT165" s="8"/>
      <c r="AU165" s="9"/>
      <c r="AV165" s="9"/>
      <c r="AW165" s="17"/>
      <c r="AX165" s="492"/>
      <c r="AY165" s="491"/>
      <c r="AZ165" s="7"/>
      <c r="BA165" s="9"/>
      <c r="BB165" s="9"/>
      <c r="BC165" s="492"/>
      <c r="BD165" s="491"/>
      <c r="BE165" s="7"/>
      <c r="BF165" s="7"/>
      <c r="BG165" s="7"/>
      <c r="BH165" s="9"/>
      <c r="BI165" s="9"/>
      <c r="BJ165" s="492"/>
      <c r="BK165" s="491"/>
      <c r="BL165" s="7"/>
      <c r="BM165" s="7"/>
      <c r="BN165" s="7"/>
      <c r="BO165" s="7"/>
      <c r="BP165" s="7"/>
      <c r="BQ165" s="7"/>
      <c r="BR165" s="8"/>
      <c r="BS165" s="8"/>
      <c r="BT165" s="509"/>
      <c r="BU165" s="491"/>
      <c r="BV165" s="8"/>
      <c r="BW165" s="509"/>
      <c r="BX165" s="491"/>
      <c r="BY165" s="8"/>
      <c r="BZ165" s="509"/>
      <c r="CA165" s="751"/>
    </row>
    <row r="166" spans="1:79" ht="24.95" customHeight="1">
      <c r="A166" s="468">
        <f>IF('Student DATA Entry'!A163="","",'Student DATA Entry'!A163)</f>
        <v>160</v>
      </c>
      <c r="B166" s="459" t="str">
        <f>IF('Student DATA Entry'!B163="","",'Student DATA Entry'!B163)</f>
        <v/>
      </c>
      <c r="C166" s="459" t="str">
        <f>IF('Student DATA Entry'!C163="","",'Student DATA Entry'!C163)</f>
        <v/>
      </c>
      <c r="D166" s="459" t="str">
        <f>IF('Student DATA Entry'!D163="","",'Student DATA Entry'!D163)</f>
        <v/>
      </c>
      <c r="E166" s="459" t="str">
        <f>IF('Student DATA Entry'!E163="","",'Student DATA Entry'!E163)</f>
        <v/>
      </c>
      <c r="F166" s="460" t="str">
        <f>IF('Student DATA Entry'!K163="","",'Student DATA Entry'!K163)</f>
        <v/>
      </c>
      <c r="G166" s="461" t="str">
        <f>IF('Student DATA Entry'!G163="","",UPPER('Student DATA Entry'!G163))</f>
        <v/>
      </c>
      <c r="H166" s="461" t="str">
        <f>IF('Student DATA Entry'!H163="","",UPPER('Student DATA Entry'!H163))</f>
        <v/>
      </c>
      <c r="I166" s="462" t="str">
        <f>IF('Student DATA Entry'!I163="","",UPPER('Student DATA Entry'!I163))</f>
        <v/>
      </c>
      <c r="J166" s="463" t="str">
        <f>IF('Student DATA Entry'!L163="","",UPPER('Student DATA Entry'!L163))</f>
        <v/>
      </c>
      <c r="K166" s="469" t="str">
        <f>IF('Student DATA Entry'!J163="","",UPPER('Student DATA Entry'!J163))</f>
        <v/>
      </c>
      <c r="L166" s="491"/>
      <c r="M166" s="8"/>
      <c r="N166" s="8"/>
      <c r="O166" s="9"/>
      <c r="P166" s="492"/>
      <c r="Q166" s="491"/>
      <c r="R166" s="8"/>
      <c r="S166" s="8"/>
      <c r="T166" s="9"/>
      <c r="U166" s="492"/>
      <c r="V166" s="502"/>
      <c r="W166" s="7"/>
      <c r="X166" s="8"/>
      <c r="Y166" s="8"/>
      <c r="Z166" s="9"/>
      <c r="AA166" s="492"/>
      <c r="AB166" s="491"/>
      <c r="AC166" s="8"/>
      <c r="AD166" s="8"/>
      <c r="AE166" s="9"/>
      <c r="AF166" s="492"/>
      <c r="AG166" s="491"/>
      <c r="AH166" s="8"/>
      <c r="AI166" s="8"/>
      <c r="AJ166" s="9"/>
      <c r="AK166" s="492"/>
      <c r="AL166" s="491"/>
      <c r="AM166" s="8"/>
      <c r="AN166" s="8"/>
      <c r="AO166" s="9"/>
      <c r="AP166" s="492"/>
      <c r="AQ166" s="506"/>
      <c r="AR166" s="491"/>
      <c r="AS166" s="8"/>
      <c r="AT166" s="8"/>
      <c r="AU166" s="9"/>
      <c r="AV166" s="9"/>
      <c r="AW166" s="17"/>
      <c r="AX166" s="492"/>
      <c r="AY166" s="491"/>
      <c r="AZ166" s="7"/>
      <c r="BA166" s="9"/>
      <c r="BB166" s="9"/>
      <c r="BC166" s="492"/>
      <c r="BD166" s="491"/>
      <c r="BE166" s="7"/>
      <c r="BF166" s="7"/>
      <c r="BG166" s="7"/>
      <c r="BH166" s="9"/>
      <c r="BI166" s="9"/>
      <c r="BJ166" s="492"/>
      <c r="BK166" s="491"/>
      <c r="BL166" s="7"/>
      <c r="BM166" s="7"/>
      <c r="BN166" s="7"/>
      <c r="BO166" s="7"/>
      <c r="BP166" s="7"/>
      <c r="BQ166" s="7"/>
      <c r="BR166" s="8"/>
      <c r="BS166" s="8"/>
      <c r="BT166" s="509"/>
      <c r="BU166" s="491"/>
      <c r="BV166" s="8"/>
      <c r="BW166" s="509"/>
      <c r="BX166" s="491"/>
      <c r="BY166" s="8"/>
      <c r="BZ166" s="509"/>
      <c r="CA166" s="751"/>
    </row>
    <row r="167" spans="1:79" ht="24.95" customHeight="1">
      <c r="A167" s="468">
        <f>IF('Student DATA Entry'!A164="","",'Student DATA Entry'!A164)</f>
        <v>161</v>
      </c>
      <c r="B167" s="459" t="str">
        <f>IF('Student DATA Entry'!B164="","",'Student DATA Entry'!B164)</f>
        <v/>
      </c>
      <c r="C167" s="459" t="str">
        <f>IF('Student DATA Entry'!C164="","",'Student DATA Entry'!C164)</f>
        <v/>
      </c>
      <c r="D167" s="459" t="str">
        <f>IF('Student DATA Entry'!D164="","",'Student DATA Entry'!D164)</f>
        <v/>
      </c>
      <c r="E167" s="459" t="str">
        <f>IF('Student DATA Entry'!E164="","",'Student DATA Entry'!E164)</f>
        <v/>
      </c>
      <c r="F167" s="460" t="str">
        <f>IF('Student DATA Entry'!K164="","",'Student DATA Entry'!K164)</f>
        <v/>
      </c>
      <c r="G167" s="461" t="str">
        <f>IF('Student DATA Entry'!G164="","",UPPER('Student DATA Entry'!G164))</f>
        <v/>
      </c>
      <c r="H167" s="461" t="str">
        <f>IF('Student DATA Entry'!H164="","",UPPER('Student DATA Entry'!H164))</f>
        <v/>
      </c>
      <c r="I167" s="462" t="str">
        <f>IF('Student DATA Entry'!I164="","",UPPER('Student DATA Entry'!I164))</f>
        <v/>
      </c>
      <c r="J167" s="463" t="str">
        <f>IF('Student DATA Entry'!L164="","",UPPER('Student DATA Entry'!L164))</f>
        <v/>
      </c>
      <c r="K167" s="469" t="str">
        <f>IF('Student DATA Entry'!J164="","",UPPER('Student DATA Entry'!J164))</f>
        <v/>
      </c>
      <c r="L167" s="491"/>
      <c r="M167" s="8"/>
      <c r="N167" s="8"/>
      <c r="O167" s="9"/>
      <c r="P167" s="492"/>
      <c r="Q167" s="491"/>
      <c r="R167" s="8"/>
      <c r="S167" s="8"/>
      <c r="T167" s="9"/>
      <c r="U167" s="492"/>
      <c r="V167" s="502"/>
      <c r="W167" s="7"/>
      <c r="X167" s="8"/>
      <c r="Y167" s="8"/>
      <c r="Z167" s="9"/>
      <c r="AA167" s="492"/>
      <c r="AB167" s="491"/>
      <c r="AC167" s="8"/>
      <c r="AD167" s="8"/>
      <c r="AE167" s="9"/>
      <c r="AF167" s="492"/>
      <c r="AG167" s="491"/>
      <c r="AH167" s="8"/>
      <c r="AI167" s="8"/>
      <c r="AJ167" s="9"/>
      <c r="AK167" s="492"/>
      <c r="AL167" s="491"/>
      <c r="AM167" s="8"/>
      <c r="AN167" s="8"/>
      <c r="AO167" s="9"/>
      <c r="AP167" s="492"/>
      <c r="AQ167" s="506"/>
      <c r="AR167" s="491"/>
      <c r="AS167" s="8"/>
      <c r="AT167" s="8"/>
      <c r="AU167" s="9"/>
      <c r="AV167" s="9"/>
      <c r="AW167" s="17"/>
      <c r="AX167" s="492"/>
      <c r="AY167" s="491"/>
      <c r="AZ167" s="7"/>
      <c r="BA167" s="9"/>
      <c r="BB167" s="9"/>
      <c r="BC167" s="492"/>
      <c r="BD167" s="491"/>
      <c r="BE167" s="7"/>
      <c r="BF167" s="7"/>
      <c r="BG167" s="7"/>
      <c r="BH167" s="9"/>
      <c r="BI167" s="9"/>
      <c r="BJ167" s="492"/>
      <c r="BK167" s="491"/>
      <c r="BL167" s="7"/>
      <c r="BM167" s="7"/>
      <c r="BN167" s="7"/>
      <c r="BO167" s="7"/>
      <c r="BP167" s="7"/>
      <c r="BQ167" s="7"/>
      <c r="BR167" s="8"/>
      <c r="BS167" s="8"/>
      <c r="BT167" s="509"/>
      <c r="BU167" s="491"/>
      <c r="BV167" s="8"/>
      <c r="BW167" s="509"/>
      <c r="BX167" s="491"/>
      <c r="BY167" s="8"/>
      <c r="BZ167" s="509"/>
      <c r="CA167" s="751"/>
    </row>
    <row r="168" spans="1:79" ht="24.95" customHeight="1">
      <c r="A168" s="468">
        <f>IF('Student DATA Entry'!A165="","",'Student DATA Entry'!A165)</f>
        <v>162</v>
      </c>
      <c r="B168" s="459" t="str">
        <f>IF('Student DATA Entry'!B165="","",'Student DATA Entry'!B165)</f>
        <v/>
      </c>
      <c r="C168" s="459" t="str">
        <f>IF('Student DATA Entry'!C165="","",'Student DATA Entry'!C165)</f>
        <v/>
      </c>
      <c r="D168" s="459" t="str">
        <f>IF('Student DATA Entry'!D165="","",'Student DATA Entry'!D165)</f>
        <v/>
      </c>
      <c r="E168" s="459" t="str">
        <f>IF('Student DATA Entry'!E165="","",'Student DATA Entry'!E165)</f>
        <v/>
      </c>
      <c r="F168" s="460" t="str">
        <f>IF('Student DATA Entry'!K165="","",'Student DATA Entry'!K165)</f>
        <v/>
      </c>
      <c r="G168" s="461" t="str">
        <f>IF('Student DATA Entry'!G165="","",UPPER('Student DATA Entry'!G165))</f>
        <v/>
      </c>
      <c r="H168" s="461" t="str">
        <f>IF('Student DATA Entry'!H165="","",UPPER('Student DATA Entry'!H165))</f>
        <v/>
      </c>
      <c r="I168" s="462" t="str">
        <f>IF('Student DATA Entry'!I165="","",UPPER('Student DATA Entry'!I165))</f>
        <v/>
      </c>
      <c r="J168" s="463" t="str">
        <f>IF('Student DATA Entry'!L165="","",UPPER('Student DATA Entry'!L165))</f>
        <v/>
      </c>
      <c r="K168" s="469" t="str">
        <f>IF('Student DATA Entry'!J165="","",UPPER('Student DATA Entry'!J165))</f>
        <v/>
      </c>
      <c r="L168" s="491"/>
      <c r="M168" s="8"/>
      <c r="N168" s="8"/>
      <c r="O168" s="9"/>
      <c r="P168" s="492"/>
      <c r="Q168" s="491"/>
      <c r="R168" s="8"/>
      <c r="S168" s="8"/>
      <c r="T168" s="9"/>
      <c r="U168" s="492"/>
      <c r="V168" s="502"/>
      <c r="W168" s="7"/>
      <c r="X168" s="8"/>
      <c r="Y168" s="8"/>
      <c r="Z168" s="9"/>
      <c r="AA168" s="492"/>
      <c r="AB168" s="491"/>
      <c r="AC168" s="8"/>
      <c r="AD168" s="8"/>
      <c r="AE168" s="9"/>
      <c r="AF168" s="492"/>
      <c r="AG168" s="491"/>
      <c r="AH168" s="8"/>
      <c r="AI168" s="8"/>
      <c r="AJ168" s="9"/>
      <c r="AK168" s="492"/>
      <c r="AL168" s="491"/>
      <c r="AM168" s="8"/>
      <c r="AN168" s="8"/>
      <c r="AO168" s="9"/>
      <c r="AP168" s="492"/>
      <c r="AQ168" s="506"/>
      <c r="AR168" s="491"/>
      <c r="AS168" s="8"/>
      <c r="AT168" s="8"/>
      <c r="AU168" s="9"/>
      <c r="AV168" s="9"/>
      <c r="AW168" s="17"/>
      <c r="AX168" s="492"/>
      <c r="AY168" s="491"/>
      <c r="AZ168" s="7"/>
      <c r="BA168" s="9"/>
      <c r="BB168" s="9"/>
      <c r="BC168" s="492"/>
      <c r="BD168" s="491"/>
      <c r="BE168" s="7"/>
      <c r="BF168" s="7"/>
      <c r="BG168" s="7"/>
      <c r="BH168" s="9"/>
      <c r="BI168" s="9"/>
      <c r="BJ168" s="492"/>
      <c r="BK168" s="491"/>
      <c r="BL168" s="7"/>
      <c r="BM168" s="7"/>
      <c r="BN168" s="7"/>
      <c r="BO168" s="7"/>
      <c r="BP168" s="7"/>
      <c r="BQ168" s="7"/>
      <c r="BR168" s="8"/>
      <c r="BS168" s="8"/>
      <c r="BT168" s="509"/>
      <c r="BU168" s="491"/>
      <c r="BV168" s="8"/>
      <c r="BW168" s="509"/>
      <c r="BX168" s="491"/>
      <c r="BY168" s="8"/>
      <c r="BZ168" s="509"/>
      <c r="CA168" s="751"/>
    </row>
    <row r="169" spans="1:79" ht="24.95" customHeight="1">
      <c r="A169" s="468">
        <f>IF('Student DATA Entry'!A166="","",'Student DATA Entry'!A166)</f>
        <v>163</v>
      </c>
      <c r="B169" s="459" t="str">
        <f>IF('Student DATA Entry'!B166="","",'Student DATA Entry'!B166)</f>
        <v/>
      </c>
      <c r="C169" s="459" t="str">
        <f>IF('Student DATA Entry'!C166="","",'Student DATA Entry'!C166)</f>
        <v/>
      </c>
      <c r="D169" s="459" t="str">
        <f>IF('Student DATA Entry'!D166="","",'Student DATA Entry'!D166)</f>
        <v/>
      </c>
      <c r="E169" s="459" t="str">
        <f>IF('Student DATA Entry'!E166="","",'Student DATA Entry'!E166)</f>
        <v/>
      </c>
      <c r="F169" s="460" t="str">
        <f>IF('Student DATA Entry'!K166="","",'Student DATA Entry'!K166)</f>
        <v/>
      </c>
      <c r="G169" s="461" t="str">
        <f>IF('Student DATA Entry'!G166="","",UPPER('Student DATA Entry'!G166))</f>
        <v/>
      </c>
      <c r="H169" s="461" t="str">
        <f>IF('Student DATA Entry'!H166="","",UPPER('Student DATA Entry'!H166))</f>
        <v/>
      </c>
      <c r="I169" s="462" t="str">
        <f>IF('Student DATA Entry'!I166="","",UPPER('Student DATA Entry'!I166))</f>
        <v/>
      </c>
      <c r="J169" s="463" t="str">
        <f>IF('Student DATA Entry'!L166="","",UPPER('Student DATA Entry'!L166))</f>
        <v/>
      </c>
      <c r="K169" s="469" t="str">
        <f>IF('Student DATA Entry'!J166="","",UPPER('Student DATA Entry'!J166))</f>
        <v/>
      </c>
      <c r="L169" s="491"/>
      <c r="M169" s="8"/>
      <c r="N169" s="8"/>
      <c r="O169" s="9"/>
      <c r="P169" s="492"/>
      <c r="Q169" s="491"/>
      <c r="R169" s="8"/>
      <c r="S169" s="8"/>
      <c r="T169" s="9"/>
      <c r="U169" s="492"/>
      <c r="V169" s="502"/>
      <c r="W169" s="7"/>
      <c r="X169" s="8"/>
      <c r="Y169" s="8"/>
      <c r="Z169" s="9"/>
      <c r="AA169" s="492"/>
      <c r="AB169" s="491"/>
      <c r="AC169" s="8"/>
      <c r="AD169" s="8"/>
      <c r="AE169" s="9"/>
      <c r="AF169" s="492"/>
      <c r="AG169" s="491"/>
      <c r="AH169" s="8"/>
      <c r="AI169" s="8"/>
      <c r="AJ169" s="9"/>
      <c r="AK169" s="492"/>
      <c r="AL169" s="491"/>
      <c r="AM169" s="8"/>
      <c r="AN169" s="8"/>
      <c r="AO169" s="9"/>
      <c r="AP169" s="492"/>
      <c r="AQ169" s="506"/>
      <c r="AR169" s="491"/>
      <c r="AS169" s="8"/>
      <c r="AT169" s="8"/>
      <c r="AU169" s="9"/>
      <c r="AV169" s="9"/>
      <c r="AW169" s="17"/>
      <c r="AX169" s="492"/>
      <c r="AY169" s="491"/>
      <c r="AZ169" s="7"/>
      <c r="BA169" s="9"/>
      <c r="BB169" s="9"/>
      <c r="BC169" s="492"/>
      <c r="BD169" s="491"/>
      <c r="BE169" s="7"/>
      <c r="BF169" s="7"/>
      <c r="BG169" s="7"/>
      <c r="BH169" s="9"/>
      <c r="BI169" s="9"/>
      <c r="BJ169" s="492"/>
      <c r="BK169" s="491"/>
      <c r="BL169" s="7"/>
      <c r="BM169" s="7"/>
      <c r="BN169" s="7"/>
      <c r="BO169" s="7"/>
      <c r="BP169" s="7"/>
      <c r="BQ169" s="7"/>
      <c r="BR169" s="8"/>
      <c r="BS169" s="8"/>
      <c r="BT169" s="509"/>
      <c r="BU169" s="491"/>
      <c r="BV169" s="8"/>
      <c r="BW169" s="509"/>
      <c r="BX169" s="491"/>
      <c r="BY169" s="8"/>
      <c r="BZ169" s="509"/>
      <c r="CA169" s="751"/>
    </row>
    <row r="170" spans="1:79" ht="24.95" customHeight="1">
      <c r="A170" s="468">
        <f>IF('Student DATA Entry'!A167="","",'Student DATA Entry'!A167)</f>
        <v>164</v>
      </c>
      <c r="B170" s="459" t="str">
        <f>IF('Student DATA Entry'!B167="","",'Student DATA Entry'!B167)</f>
        <v/>
      </c>
      <c r="C170" s="459" t="str">
        <f>IF('Student DATA Entry'!C167="","",'Student DATA Entry'!C167)</f>
        <v/>
      </c>
      <c r="D170" s="459" t="str">
        <f>IF('Student DATA Entry'!D167="","",'Student DATA Entry'!D167)</f>
        <v/>
      </c>
      <c r="E170" s="459" t="str">
        <f>IF('Student DATA Entry'!E167="","",'Student DATA Entry'!E167)</f>
        <v/>
      </c>
      <c r="F170" s="460" t="str">
        <f>IF('Student DATA Entry'!K167="","",'Student DATA Entry'!K167)</f>
        <v/>
      </c>
      <c r="G170" s="461" t="str">
        <f>IF('Student DATA Entry'!G167="","",UPPER('Student DATA Entry'!G167))</f>
        <v/>
      </c>
      <c r="H170" s="461" t="str">
        <f>IF('Student DATA Entry'!H167="","",UPPER('Student DATA Entry'!H167))</f>
        <v/>
      </c>
      <c r="I170" s="462" t="str">
        <f>IF('Student DATA Entry'!I167="","",UPPER('Student DATA Entry'!I167))</f>
        <v/>
      </c>
      <c r="J170" s="463" t="str">
        <f>IF('Student DATA Entry'!L167="","",UPPER('Student DATA Entry'!L167))</f>
        <v/>
      </c>
      <c r="K170" s="469" t="str">
        <f>IF('Student DATA Entry'!J167="","",UPPER('Student DATA Entry'!J167))</f>
        <v/>
      </c>
      <c r="L170" s="491"/>
      <c r="M170" s="8"/>
      <c r="N170" s="8"/>
      <c r="O170" s="9"/>
      <c r="P170" s="492"/>
      <c r="Q170" s="491"/>
      <c r="R170" s="8"/>
      <c r="S170" s="8"/>
      <c r="T170" s="9"/>
      <c r="U170" s="492"/>
      <c r="V170" s="502"/>
      <c r="W170" s="7"/>
      <c r="X170" s="8"/>
      <c r="Y170" s="8"/>
      <c r="Z170" s="9"/>
      <c r="AA170" s="492"/>
      <c r="AB170" s="491"/>
      <c r="AC170" s="8"/>
      <c r="AD170" s="8"/>
      <c r="AE170" s="9"/>
      <c r="AF170" s="492"/>
      <c r="AG170" s="491"/>
      <c r="AH170" s="8"/>
      <c r="AI170" s="8"/>
      <c r="AJ170" s="9"/>
      <c r="AK170" s="492"/>
      <c r="AL170" s="491"/>
      <c r="AM170" s="8"/>
      <c r="AN170" s="8"/>
      <c r="AO170" s="9"/>
      <c r="AP170" s="492"/>
      <c r="AQ170" s="506"/>
      <c r="AR170" s="491"/>
      <c r="AS170" s="8"/>
      <c r="AT170" s="8"/>
      <c r="AU170" s="9"/>
      <c r="AV170" s="9"/>
      <c r="AW170" s="17"/>
      <c r="AX170" s="492"/>
      <c r="AY170" s="491"/>
      <c r="AZ170" s="7"/>
      <c r="BA170" s="9"/>
      <c r="BB170" s="9"/>
      <c r="BC170" s="492"/>
      <c r="BD170" s="491"/>
      <c r="BE170" s="7"/>
      <c r="BF170" s="7"/>
      <c r="BG170" s="7"/>
      <c r="BH170" s="9"/>
      <c r="BI170" s="9"/>
      <c r="BJ170" s="492"/>
      <c r="BK170" s="491"/>
      <c r="BL170" s="7"/>
      <c r="BM170" s="7"/>
      <c r="BN170" s="7"/>
      <c r="BO170" s="7"/>
      <c r="BP170" s="7"/>
      <c r="BQ170" s="7"/>
      <c r="BR170" s="8"/>
      <c r="BS170" s="8"/>
      <c r="BT170" s="509"/>
      <c r="BU170" s="491"/>
      <c r="BV170" s="8"/>
      <c r="BW170" s="509"/>
      <c r="BX170" s="491"/>
      <c r="BY170" s="8"/>
      <c r="BZ170" s="509"/>
      <c r="CA170" s="751"/>
    </row>
    <row r="171" spans="1:79" ht="24.95" customHeight="1">
      <c r="A171" s="468">
        <f>IF('Student DATA Entry'!A168="","",'Student DATA Entry'!A168)</f>
        <v>165</v>
      </c>
      <c r="B171" s="459" t="str">
        <f>IF('Student DATA Entry'!B168="","",'Student DATA Entry'!B168)</f>
        <v/>
      </c>
      <c r="C171" s="459" t="str">
        <f>IF('Student DATA Entry'!C168="","",'Student DATA Entry'!C168)</f>
        <v/>
      </c>
      <c r="D171" s="459" t="str">
        <f>IF('Student DATA Entry'!D168="","",'Student DATA Entry'!D168)</f>
        <v/>
      </c>
      <c r="E171" s="459" t="str">
        <f>IF('Student DATA Entry'!E168="","",'Student DATA Entry'!E168)</f>
        <v/>
      </c>
      <c r="F171" s="460" t="str">
        <f>IF('Student DATA Entry'!K168="","",'Student DATA Entry'!K168)</f>
        <v/>
      </c>
      <c r="G171" s="461" t="str">
        <f>IF('Student DATA Entry'!G168="","",UPPER('Student DATA Entry'!G168))</f>
        <v/>
      </c>
      <c r="H171" s="461" t="str">
        <f>IF('Student DATA Entry'!H168="","",UPPER('Student DATA Entry'!H168))</f>
        <v/>
      </c>
      <c r="I171" s="462" t="str">
        <f>IF('Student DATA Entry'!I168="","",UPPER('Student DATA Entry'!I168))</f>
        <v/>
      </c>
      <c r="J171" s="463" t="str">
        <f>IF('Student DATA Entry'!L168="","",UPPER('Student DATA Entry'!L168))</f>
        <v/>
      </c>
      <c r="K171" s="469" t="str">
        <f>IF('Student DATA Entry'!J168="","",UPPER('Student DATA Entry'!J168))</f>
        <v/>
      </c>
      <c r="L171" s="491"/>
      <c r="M171" s="8"/>
      <c r="N171" s="8"/>
      <c r="O171" s="9"/>
      <c r="P171" s="492"/>
      <c r="Q171" s="491"/>
      <c r="R171" s="8"/>
      <c r="S171" s="8"/>
      <c r="T171" s="9"/>
      <c r="U171" s="492"/>
      <c r="V171" s="502"/>
      <c r="W171" s="7"/>
      <c r="X171" s="8"/>
      <c r="Y171" s="8"/>
      <c r="Z171" s="9"/>
      <c r="AA171" s="492"/>
      <c r="AB171" s="491"/>
      <c r="AC171" s="8"/>
      <c r="AD171" s="8"/>
      <c r="AE171" s="9"/>
      <c r="AF171" s="492"/>
      <c r="AG171" s="491"/>
      <c r="AH171" s="8"/>
      <c r="AI171" s="8"/>
      <c r="AJ171" s="9"/>
      <c r="AK171" s="492"/>
      <c r="AL171" s="491"/>
      <c r="AM171" s="8"/>
      <c r="AN171" s="8"/>
      <c r="AO171" s="9"/>
      <c r="AP171" s="492"/>
      <c r="AQ171" s="506"/>
      <c r="AR171" s="491"/>
      <c r="AS171" s="8"/>
      <c r="AT171" s="8"/>
      <c r="AU171" s="9"/>
      <c r="AV171" s="9"/>
      <c r="AW171" s="17"/>
      <c r="AX171" s="492"/>
      <c r="AY171" s="491"/>
      <c r="AZ171" s="7"/>
      <c r="BA171" s="9"/>
      <c r="BB171" s="9"/>
      <c r="BC171" s="492"/>
      <c r="BD171" s="491"/>
      <c r="BE171" s="7"/>
      <c r="BF171" s="7"/>
      <c r="BG171" s="7"/>
      <c r="BH171" s="9"/>
      <c r="BI171" s="9"/>
      <c r="BJ171" s="492"/>
      <c r="BK171" s="491"/>
      <c r="BL171" s="7"/>
      <c r="BM171" s="7"/>
      <c r="BN171" s="7"/>
      <c r="BO171" s="7"/>
      <c r="BP171" s="7"/>
      <c r="BQ171" s="7"/>
      <c r="BR171" s="8"/>
      <c r="BS171" s="8"/>
      <c r="BT171" s="509"/>
      <c r="BU171" s="491"/>
      <c r="BV171" s="8"/>
      <c r="BW171" s="509"/>
      <c r="BX171" s="491"/>
      <c r="BY171" s="8"/>
      <c r="BZ171" s="509"/>
      <c r="CA171" s="751"/>
    </row>
    <row r="172" spans="1:79" ht="24.95" customHeight="1">
      <c r="A172" s="468">
        <f>IF('Student DATA Entry'!A169="","",'Student DATA Entry'!A169)</f>
        <v>166</v>
      </c>
      <c r="B172" s="459" t="str">
        <f>IF('Student DATA Entry'!B169="","",'Student DATA Entry'!B169)</f>
        <v/>
      </c>
      <c r="C172" s="459" t="str">
        <f>IF('Student DATA Entry'!C169="","",'Student DATA Entry'!C169)</f>
        <v/>
      </c>
      <c r="D172" s="459" t="str">
        <f>IF('Student DATA Entry'!D169="","",'Student DATA Entry'!D169)</f>
        <v/>
      </c>
      <c r="E172" s="459" t="str">
        <f>IF('Student DATA Entry'!E169="","",'Student DATA Entry'!E169)</f>
        <v/>
      </c>
      <c r="F172" s="460" t="str">
        <f>IF('Student DATA Entry'!K169="","",'Student DATA Entry'!K169)</f>
        <v/>
      </c>
      <c r="G172" s="461" t="str">
        <f>IF('Student DATA Entry'!G169="","",UPPER('Student DATA Entry'!G169))</f>
        <v/>
      </c>
      <c r="H172" s="461" t="str">
        <f>IF('Student DATA Entry'!H169="","",UPPER('Student DATA Entry'!H169))</f>
        <v/>
      </c>
      <c r="I172" s="462" t="str">
        <f>IF('Student DATA Entry'!I169="","",UPPER('Student DATA Entry'!I169))</f>
        <v/>
      </c>
      <c r="J172" s="463" t="str">
        <f>IF('Student DATA Entry'!L169="","",UPPER('Student DATA Entry'!L169))</f>
        <v/>
      </c>
      <c r="K172" s="469" t="str">
        <f>IF('Student DATA Entry'!J169="","",UPPER('Student DATA Entry'!J169))</f>
        <v/>
      </c>
      <c r="L172" s="491"/>
      <c r="M172" s="8"/>
      <c r="N172" s="8"/>
      <c r="O172" s="9"/>
      <c r="P172" s="492"/>
      <c r="Q172" s="491"/>
      <c r="R172" s="8"/>
      <c r="S172" s="8"/>
      <c r="T172" s="9"/>
      <c r="U172" s="492"/>
      <c r="V172" s="502"/>
      <c r="W172" s="7"/>
      <c r="X172" s="8"/>
      <c r="Y172" s="8"/>
      <c r="Z172" s="9"/>
      <c r="AA172" s="492"/>
      <c r="AB172" s="491"/>
      <c r="AC172" s="8"/>
      <c r="AD172" s="8"/>
      <c r="AE172" s="9"/>
      <c r="AF172" s="492"/>
      <c r="AG172" s="491"/>
      <c r="AH172" s="8"/>
      <c r="AI172" s="8"/>
      <c r="AJ172" s="9"/>
      <c r="AK172" s="492"/>
      <c r="AL172" s="491"/>
      <c r="AM172" s="8"/>
      <c r="AN172" s="8"/>
      <c r="AO172" s="9"/>
      <c r="AP172" s="492"/>
      <c r="AQ172" s="506"/>
      <c r="AR172" s="491"/>
      <c r="AS172" s="8"/>
      <c r="AT172" s="8"/>
      <c r="AU172" s="9"/>
      <c r="AV172" s="9"/>
      <c r="AW172" s="17"/>
      <c r="AX172" s="492"/>
      <c r="AY172" s="491"/>
      <c r="AZ172" s="7"/>
      <c r="BA172" s="9"/>
      <c r="BB172" s="9"/>
      <c r="BC172" s="492"/>
      <c r="BD172" s="491"/>
      <c r="BE172" s="7"/>
      <c r="BF172" s="7"/>
      <c r="BG172" s="7"/>
      <c r="BH172" s="9"/>
      <c r="BI172" s="9"/>
      <c r="BJ172" s="492"/>
      <c r="BK172" s="491"/>
      <c r="BL172" s="7"/>
      <c r="BM172" s="7"/>
      <c r="BN172" s="7"/>
      <c r="BO172" s="7"/>
      <c r="BP172" s="7"/>
      <c r="BQ172" s="7"/>
      <c r="BR172" s="8"/>
      <c r="BS172" s="8"/>
      <c r="BT172" s="509"/>
      <c r="BU172" s="491"/>
      <c r="BV172" s="8"/>
      <c r="BW172" s="509"/>
      <c r="BX172" s="491"/>
      <c r="BY172" s="8"/>
      <c r="BZ172" s="509"/>
      <c r="CA172" s="751"/>
    </row>
    <row r="173" spans="1:79" ht="24.95" customHeight="1">
      <c r="A173" s="468">
        <f>IF('Student DATA Entry'!A170="","",'Student DATA Entry'!A170)</f>
        <v>167</v>
      </c>
      <c r="B173" s="459" t="str">
        <f>IF('Student DATA Entry'!B170="","",'Student DATA Entry'!B170)</f>
        <v/>
      </c>
      <c r="C173" s="459" t="str">
        <f>IF('Student DATA Entry'!C170="","",'Student DATA Entry'!C170)</f>
        <v/>
      </c>
      <c r="D173" s="459" t="str">
        <f>IF('Student DATA Entry'!D170="","",'Student DATA Entry'!D170)</f>
        <v/>
      </c>
      <c r="E173" s="459" t="str">
        <f>IF('Student DATA Entry'!E170="","",'Student DATA Entry'!E170)</f>
        <v/>
      </c>
      <c r="F173" s="460" t="str">
        <f>IF('Student DATA Entry'!K170="","",'Student DATA Entry'!K170)</f>
        <v/>
      </c>
      <c r="G173" s="461" t="str">
        <f>IF('Student DATA Entry'!G170="","",UPPER('Student DATA Entry'!G170))</f>
        <v/>
      </c>
      <c r="H173" s="461" t="str">
        <f>IF('Student DATA Entry'!H170="","",UPPER('Student DATA Entry'!H170))</f>
        <v/>
      </c>
      <c r="I173" s="462" t="str">
        <f>IF('Student DATA Entry'!I170="","",UPPER('Student DATA Entry'!I170))</f>
        <v/>
      </c>
      <c r="J173" s="463" t="str">
        <f>IF('Student DATA Entry'!L170="","",UPPER('Student DATA Entry'!L170))</f>
        <v/>
      </c>
      <c r="K173" s="469" t="str">
        <f>IF('Student DATA Entry'!J170="","",UPPER('Student DATA Entry'!J170))</f>
        <v/>
      </c>
      <c r="L173" s="491"/>
      <c r="M173" s="8"/>
      <c r="N173" s="8"/>
      <c r="O173" s="9"/>
      <c r="P173" s="492"/>
      <c r="Q173" s="491"/>
      <c r="R173" s="8"/>
      <c r="S173" s="8"/>
      <c r="T173" s="9"/>
      <c r="U173" s="492"/>
      <c r="V173" s="502"/>
      <c r="W173" s="7"/>
      <c r="X173" s="8"/>
      <c r="Y173" s="8"/>
      <c r="Z173" s="9"/>
      <c r="AA173" s="492"/>
      <c r="AB173" s="491"/>
      <c r="AC173" s="8"/>
      <c r="AD173" s="8"/>
      <c r="AE173" s="9"/>
      <c r="AF173" s="492"/>
      <c r="AG173" s="491"/>
      <c r="AH173" s="8"/>
      <c r="AI173" s="8"/>
      <c r="AJ173" s="9"/>
      <c r="AK173" s="492"/>
      <c r="AL173" s="491"/>
      <c r="AM173" s="8"/>
      <c r="AN173" s="8"/>
      <c r="AO173" s="9"/>
      <c r="AP173" s="492"/>
      <c r="AQ173" s="506"/>
      <c r="AR173" s="491"/>
      <c r="AS173" s="8"/>
      <c r="AT173" s="8"/>
      <c r="AU173" s="9"/>
      <c r="AV173" s="9"/>
      <c r="AW173" s="17"/>
      <c r="AX173" s="492"/>
      <c r="AY173" s="491"/>
      <c r="AZ173" s="7"/>
      <c r="BA173" s="9"/>
      <c r="BB173" s="9"/>
      <c r="BC173" s="492"/>
      <c r="BD173" s="491"/>
      <c r="BE173" s="7"/>
      <c r="BF173" s="7"/>
      <c r="BG173" s="7"/>
      <c r="BH173" s="9"/>
      <c r="BI173" s="9"/>
      <c r="BJ173" s="492"/>
      <c r="BK173" s="491"/>
      <c r="BL173" s="7"/>
      <c r="BM173" s="7"/>
      <c r="BN173" s="7"/>
      <c r="BO173" s="7"/>
      <c r="BP173" s="7"/>
      <c r="BQ173" s="7"/>
      <c r="BR173" s="8"/>
      <c r="BS173" s="8"/>
      <c r="BT173" s="509"/>
      <c r="BU173" s="491"/>
      <c r="BV173" s="8"/>
      <c r="BW173" s="509"/>
      <c r="BX173" s="491"/>
      <c r="BY173" s="8"/>
      <c r="BZ173" s="509"/>
      <c r="CA173" s="751"/>
    </row>
    <row r="174" spans="1:79" ht="24.95" customHeight="1">
      <c r="A174" s="468">
        <f>IF('Student DATA Entry'!A171="","",'Student DATA Entry'!A171)</f>
        <v>168</v>
      </c>
      <c r="B174" s="459" t="str">
        <f>IF('Student DATA Entry'!B171="","",'Student DATA Entry'!B171)</f>
        <v/>
      </c>
      <c r="C174" s="459" t="str">
        <f>IF('Student DATA Entry'!C171="","",'Student DATA Entry'!C171)</f>
        <v/>
      </c>
      <c r="D174" s="459" t="str">
        <f>IF('Student DATA Entry'!D171="","",'Student DATA Entry'!D171)</f>
        <v/>
      </c>
      <c r="E174" s="459" t="str">
        <f>IF('Student DATA Entry'!E171="","",'Student DATA Entry'!E171)</f>
        <v/>
      </c>
      <c r="F174" s="460" t="str">
        <f>IF('Student DATA Entry'!K171="","",'Student DATA Entry'!K171)</f>
        <v/>
      </c>
      <c r="G174" s="461" t="str">
        <f>IF('Student DATA Entry'!G171="","",UPPER('Student DATA Entry'!G171))</f>
        <v/>
      </c>
      <c r="H174" s="461" t="str">
        <f>IF('Student DATA Entry'!H171="","",UPPER('Student DATA Entry'!H171))</f>
        <v/>
      </c>
      <c r="I174" s="462" t="str">
        <f>IF('Student DATA Entry'!I171="","",UPPER('Student DATA Entry'!I171))</f>
        <v/>
      </c>
      <c r="J174" s="463" t="str">
        <f>IF('Student DATA Entry'!L171="","",UPPER('Student DATA Entry'!L171))</f>
        <v/>
      </c>
      <c r="K174" s="469" t="str">
        <f>IF('Student DATA Entry'!J171="","",UPPER('Student DATA Entry'!J171))</f>
        <v/>
      </c>
      <c r="L174" s="491"/>
      <c r="M174" s="8"/>
      <c r="N174" s="8"/>
      <c r="O174" s="9"/>
      <c r="P174" s="492"/>
      <c r="Q174" s="491"/>
      <c r="R174" s="8"/>
      <c r="S174" s="8"/>
      <c r="T174" s="9"/>
      <c r="U174" s="492"/>
      <c r="V174" s="502"/>
      <c r="W174" s="7"/>
      <c r="X174" s="8"/>
      <c r="Y174" s="8"/>
      <c r="Z174" s="9"/>
      <c r="AA174" s="492"/>
      <c r="AB174" s="491"/>
      <c r="AC174" s="8"/>
      <c r="AD174" s="8"/>
      <c r="AE174" s="9"/>
      <c r="AF174" s="492"/>
      <c r="AG174" s="491"/>
      <c r="AH174" s="8"/>
      <c r="AI174" s="8"/>
      <c r="AJ174" s="9"/>
      <c r="AK174" s="492"/>
      <c r="AL174" s="491"/>
      <c r="AM174" s="8"/>
      <c r="AN174" s="8"/>
      <c r="AO174" s="9"/>
      <c r="AP174" s="492"/>
      <c r="AQ174" s="506"/>
      <c r="AR174" s="491"/>
      <c r="AS174" s="8"/>
      <c r="AT174" s="8"/>
      <c r="AU174" s="9"/>
      <c r="AV174" s="9"/>
      <c r="AW174" s="17"/>
      <c r="AX174" s="492"/>
      <c r="AY174" s="491"/>
      <c r="AZ174" s="7"/>
      <c r="BA174" s="9"/>
      <c r="BB174" s="9"/>
      <c r="BC174" s="492"/>
      <c r="BD174" s="491"/>
      <c r="BE174" s="7"/>
      <c r="BF174" s="7"/>
      <c r="BG174" s="7"/>
      <c r="BH174" s="9"/>
      <c r="BI174" s="9"/>
      <c r="BJ174" s="492"/>
      <c r="BK174" s="491"/>
      <c r="BL174" s="7"/>
      <c r="BM174" s="7"/>
      <c r="BN174" s="7"/>
      <c r="BO174" s="7"/>
      <c r="BP174" s="7"/>
      <c r="BQ174" s="7"/>
      <c r="BR174" s="8"/>
      <c r="BS174" s="8"/>
      <c r="BT174" s="509"/>
      <c r="BU174" s="491"/>
      <c r="BV174" s="8"/>
      <c r="BW174" s="509"/>
      <c r="BX174" s="491"/>
      <c r="BY174" s="8"/>
      <c r="BZ174" s="509"/>
      <c r="CA174" s="751"/>
    </row>
    <row r="175" spans="1:79" ht="24.95" customHeight="1">
      <c r="A175" s="468">
        <f>IF('Student DATA Entry'!A172="","",'Student DATA Entry'!A172)</f>
        <v>169</v>
      </c>
      <c r="B175" s="459" t="str">
        <f>IF('Student DATA Entry'!B172="","",'Student DATA Entry'!B172)</f>
        <v/>
      </c>
      <c r="C175" s="459" t="str">
        <f>IF('Student DATA Entry'!C172="","",'Student DATA Entry'!C172)</f>
        <v/>
      </c>
      <c r="D175" s="459" t="str">
        <f>IF('Student DATA Entry'!D172="","",'Student DATA Entry'!D172)</f>
        <v/>
      </c>
      <c r="E175" s="459" t="str">
        <f>IF('Student DATA Entry'!E172="","",'Student DATA Entry'!E172)</f>
        <v/>
      </c>
      <c r="F175" s="460" t="str">
        <f>IF('Student DATA Entry'!K172="","",'Student DATA Entry'!K172)</f>
        <v/>
      </c>
      <c r="G175" s="461" t="str">
        <f>IF('Student DATA Entry'!G172="","",UPPER('Student DATA Entry'!G172))</f>
        <v/>
      </c>
      <c r="H175" s="461" t="str">
        <f>IF('Student DATA Entry'!H172="","",UPPER('Student DATA Entry'!H172))</f>
        <v/>
      </c>
      <c r="I175" s="462" t="str">
        <f>IF('Student DATA Entry'!I172="","",UPPER('Student DATA Entry'!I172))</f>
        <v/>
      </c>
      <c r="J175" s="463" t="str">
        <f>IF('Student DATA Entry'!L172="","",UPPER('Student DATA Entry'!L172))</f>
        <v/>
      </c>
      <c r="K175" s="469" t="str">
        <f>IF('Student DATA Entry'!J172="","",UPPER('Student DATA Entry'!J172))</f>
        <v/>
      </c>
      <c r="L175" s="491"/>
      <c r="M175" s="8"/>
      <c r="N175" s="8"/>
      <c r="O175" s="9"/>
      <c r="P175" s="492"/>
      <c r="Q175" s="491"/>
      <c r="R175" s="8"/>
      <c r="S175" s="8"/>
      <c r="T175" s="9"/>
      <c r="U175" s="492"/>
      <c r="V175" s="502"/>
      <c r="W175" s="7"/>
      <c r="X175" s="8"/>
      <c r="Y175" s="8"/>
      <c r="Z175" s="9"/>
      <c r="AA175" s="492"/>
      <c r="AB175" s="491"/>
      <c r="AC175" s="8"/>
      <c r="AD175" s="8"/>
      <c r="AE175" s="9"/>
      <c r="AF175" s="492"/>
      <c r="AG175" s="491"/>
      <c r="AH175" s="8"/>
      <c r="AI175" s="8"/>
      <c r="AJ175" s="9"/>
      <c r="AK175" s="492"/>
      <c r="AL175" s="491"/>
      <c r="AM175" s="8"/>
      <c r="AN175" s="8"/>
      <c r="AO175" s="9"/>
      <c r="AP175" s="492"/>
      <c r="AQ175" s="506"/>
      <c r="AR175" s="491"/>
      <c r="AS175" s="8"/>
      <c r="AT175" s="8"/>
      <c r="AU175" s="9"/>
      <c r="AV175" s="9"/>
      <c r="AW175" s="17"/>
      <c r="AX175" s="492"/>
      <c r="AY175" s="491"/>
      <c r="AZ175" s="7"/>
      <c r="BA175" s="9"/>
      <c r="BB175" s="9"/>
      <c r="BC175" s="492"/>
      <c r="BD175" s="491"/>
      <c r="BE175" s="7"/>
      <c r="BF175" s="7"/>
      <c r="BG175" s="7"/>
      <c r="BH175" s="9"/>
      <c r="BI175" s="9"/>
      <c r="BJ175" s="492"/>
      <c r="BK175" s="491"/>
      <c r="BL175" s="7"/>
      <c r="BM175" s="7"/>
      <c r="BN175" s="7"/>
      <c r="BO175" s="7"/>
      <c r="BP175" s="7"/>
      <c r="BQ175" s="7"/>
      <c r="BR175" s="8"/>
      <c r="BS175" s="8"/>
      <c r="BT175" s="509"/>
      <c r="BU175" s="491"/>
      <c r="BV175" s="8"/>
      <c r="BW175" s="509"/>
      <c r="BX175" s="491"/>
      <c r="BY175" s="8"/>
      <c r="BZ175" s="509"/>
      <c r="CA175" s="751"/>
    </row>
    <row r="176" spans="1:79" ht="24.95" customHeight="1">
      <c r="A176" s="468">
        <f>IF('Student DATA Entry'!A173="","",'Student DATA Entry'!A173)</f>
        <v>170</v>
      </c>
      <c r="B176" s="459" t="str">
        <f>IF('Student DATA Entry'!B173="","",'Student DATA Entry'!B173)</f>
        <v/>
      </c>
      <c r="C176" s="459" t="str">
        <f>IF('Student DATA Entry'!C173="","",'Student DATA Entry'!C173)</f>
        <v/>
      </c>
      <c r="D176" s="459" t="str">
        <f>IF('Student DATA Entry'!D173="","",'Student DATA Entry'!D173)</f>
        <v/>
      </c>
      <c r="E176" s="459" t="str">
        <f>IF('Student DATA Entry'!E173="","",'Student DATA Entry'!E173)</f>
        <v/>
      </c>
      <c r="F176" s="460" t="str">
        <f>IF('Student DATA Entry'!K173="","",'Student DATA Entry'!K173)</f>
        <v/>
      </c>
      <c r="G176" s="461" t="str">
        <f>IF('Student DATA Entry'!G173="","",UPPER('Student DATA Entry'!G173))</f>
        <v/>
      </c>
      <c r="H176" s="461" t="str">
        <f>IF('Student DATA Entry'!H173="","",UPPER('Student DATA Entry'!H173))</f>
        <v/>
      </c>
      <c r="I176" s="462" t="str">
        <f>IF('Student DATA Entry'!I173="","",UPPER('Student DATA Entry'!I173))</f>
        <v/>
      </c>
      <c r="J176" s="463" t="str">
        <f>IF('Student DATA Entry'!L173="","",UPPER('Student DATA Entry'!L173))</f>
        <v/>
      </c>
      <c r="K176" s="469" t="str">
        <f>IF('Student DATA Entry'!J173="","",UPPER('Student DATA Entry'!J173))</f>
        <v/>
      </c>
      <c r="L176" s="491"/>
      <c r="M176" s="8"/>
      <c r="N176" s="8"/>
      <c r="O176" s="9"/>
      <c r="P176" s="492"/>
      <c r="Q176" s="491"/>
      <c r="R176" s="8"/>
      <c r="S176" s="8"/>
      <c r="T176" s="9"/>
      <c r="U176" s="492"/>
      <c r="V176" s="502"/>
      <c r="W176" s="7"/>
      <c r="X176" s="8"/>
      <c r="Y176" s="8"/>
      <c r="Z176" s="9"/>
      <c r="AA176" s="492"/>
      <c r="AB176" s="491"/>
      <c r="AC176" s="8"/>
      <c r="AD176" s="8"/>
      <c r="AE176" s="9"/>
      <c r="AF176" s="492"/>
      <c r="AG176" s="491"/>
      <c r="AH176" s="8"/>
      <c r="AI176" s="8"/>
      <c r="AJ176" s="9"/>
      <c r="AK176" s="492"/>
      <c r="AL176" s="491"/>
      <c r="AM176" s="8"/>
      <c r="AN176" s="8"/>
      <c r="AO176" s="9"/>
      <c r="AP176" s="492"/>
      <c r="AQ176" s="506"/>
      <c r="AR176" s="491"/>
      <c r="AS176" s="8"/>
      <c r="AT176" s="8"/>
      <c r="AU176" s="9"/>
      <c r="AV176" s="9"/>
      <c r="AW176" s="17"/>
      <c r="AX176" s="492"/>
      <c r="AY176" s="491"/>
      <c r="AZ176" s="7"/>
      <c r="BA176" s="9"/>
      <c r="BB176" s="9"/>
      <c r="BC176" s="492"/>
      <c r="BD176" s="491"/>
      <c r="BE176" s="7"/>
      <c r="BF176" s="7"/>
      <c r="BG176" s="7"/>
      <c r="BH176" s="9"/>
      <c r="BI176" s="9"/>
      <c r="BJ176" s="492"/>
      <c r="BK176" s="491"/>
      <c r="BL176" s="7"/>
      <c r="BM176" s="7"/>
      <c r="BN176" s="7"/>
      <c r="BO176" s="7"/>
      <c r="BP176" s="7"/>
      <c r="BQ176" s="7"/>
      <c r="BR176" s="8"/>
      <c r="BS176" s="8"/>
      <c r="BT176" s="509"/>
      <c r="BU176" s="491"/>
      <c r="BV176" s="8"/>
      <c r="BW176" s="509"/>
      <c r="BX176" s="491"/>
      <c r="BY176" s="8"/>
      <c r="BZ176" s="509"/>
      <c r="CA176" s="751"/>
    </row>
    <row r="177" spans="1:79" ht="24.95" customHeight="1">
      <c r="A177" s="468">
        <f>IF('Student DATA Entry'!A174="","",'Student DATA Entry'!A174)</f>
        <v>171</v>
      </c>
      <c r="B177" s="459" t="str">
        <f>IF('Student DATA Entry'!B174="","",'Student DATA Entry'!B174)</f>
        <v/>
      </c>
      <c r="C177" s="459" t="str">
        <f>IF('Student DATA Entry'!C174="","",'Student DATA Entry'!C174)</f>
        <v/>
      </c>
      <c r="D177" s="459" t="str">
        <f>IF('Student DATA Entry'!D174="","",'Student DATA Entry'!D174)</f>
        <v/>
      </c>
      <c r="E177" s="459" t="str">
        <f>IF('Student DATA Entry'!E174="","",'Student DATA Entry'!E174)</f>
        <v/>
      </c>
      <c r="F177" s="460" t="str">
        <f>IF('Student DATA Entry'!K174="","",'Student DATA Entry'!K174)</f>
        <v/>
      </c>
      <c r="G177" s="461" t="str">
        <f>IF('Student DATA Entry'!G174="","",UPPER('Student DATA Entry'!G174))</f>
        <v/>
      </c>
      <c r="H177" s="461" t="str">
        <f>IF('Student DATA Entry'!H174="","",UPPER('Student DATA Entry'!H174))</f>
        <v/>
      </c>
      <c r="I177" s="462" t="str">
        <f>IF('Student DATA Entry'!I174="","",UPPER('Student DATA Entry'!I174))</f>
        <v/>
      </c>
      <c r="J177" s="463" t="str">
        <f>IF('Student DATA Entry'!L174="","",UPPER('Student DATA Entry'!L174))</f>
        <v/>
      </c>
      <c r="K177" s="469" t="str">
        <f>IF('Student DATA Entry'!J174="","",UPPER('Student DATA Entry'!J174))</f>
        <v/>
      </c>
      <c r="L177" s="491"/>
      <c r="M177" s="8"/>
      <c r="N177" s="8"/>
      <c r="O177" s="9"/>
      <c r="P177" s="492"/>
      <c r="Q177" s="491"/>
      <c r="R177" s="8"/>
      <c r="S177" s="8"/>
      <c r="T177" s="9"/>
      <c r="U177" s="492"/>
      <c r="V177" s="502"/>
      <c r="W177" s="7"/>
      <c r="X177" s="8"/>
      <c r="Y177" s="8"/>
      <c r="Z177" s="9"/>
      <c r="AA177" s="492"/>
      <c r="AB177" s="491"/>
      <c r="AC177" s="8"/>
      <c r="AD177" s="8"/>
      <c r="AE177" s="9"/>
      <c r="AF177" s="492"/>
      <c r="AG177" s="491"/>
      <c r="AH177" s="8"/>
      <c r="AI177" s="8"/>
      <c r="AJ177" s="9"/>
      <c r="AK177" s="492"/>
      <c r="AL177" s="491"/>
      <c r="AM177" s="8"/>
      <c r="AN177" s="8"/>
      <c r="AO177" s="9"/>
      <c r="AP177" s="492"/>
      <c r="AQ177" s="506"/>
      <c r="AR177" s="491"/>
      <c r="AS177" s="8"/>
      <c r="AT177" s="8"/>
      <c r="AU177" s="9"/>
      <c r="AV177" s="9"/>
      <c r="AW177" s="17"/>
      <c r="AX177" s="492"/>
      <c r="AY177" s="491"/>
      <c r="AZ177" s="7"/>
      <c r="BA177" s="9"/>
      <c r="BB177" s="9"/>
      <c r="BC177" s="492"/>
      <c r="BD177" s="491"/>
      <c r="BE177" s="7"/>
      <c r="BF177" s="7"/>
      <c r="BG177" s="7"/>
      <c r="BH177" s="9"/>
      <c r="BI177" s="9"/>
      <c r="BJ177" s="492"/>
      <c r="BK177" s="491"/>
      <c r="BL177" s="7"/>
      <c r="BM177" s="7"/>
      <c r="BN177" s="7"/>
      <c r="BO177" s="7"/>
      <c r="BP177" s="7"/>
      <c r="BQ177" s="7"/>
      <c r="BR177" s="8"/>
      <c r="BS177" s="8"/>
      <c r="BT177" s="509"/>
      <c r="BU177" s="491"/>
      <c r="BV177" s="8"/>
      <c r="BW177" s="509"/>
      <c r="BX177" s="491"/>
      <c r="BY177" s="8"/>
      <c r="BZ177" s="509"/>
      <c r="CA177" s="751"/>
    </row>
    <row r="178" spans="1:79" ht="24.95" customHeight="1">
      <c r="A178" s="468">
        <f>IF('Student DATA Entry'!A175="","",'Student DATA Entry'!A175)</f>
        <v>172</v>
      </c>
      <c r="B178" s="459" t="str">
        <f>IF('Student DATA Entry'!B175="","",'Student DATA Entry'!B175)</f>
        <v/>
      </c>
      <c r="C178" s="459" t="str">
        <f>IF('Student DATA Entry'!C175="","",'Student DATA Entry'!C175)</f>
        <v/>
      </c>
      <c r="D178" s="459" t="str">
        <f>IF('Student DATA Entry'!D175="","",'Student DATA Entry'!D175)</f>
        <v/>
      </c>
      <c r="E178" s="459" t="str">
        <f>IF('Student DATA Entry'!E175="","",'Student DATA Entry'!E175)</f>
        <v/>
      </c>
      <c r="F178" s="460" t="str">
        <f>IF('Student DATA Entry'!K175="","",'Student DATA Entry'!K175)</f>
        <v/>
      </c>
      <c r="G178" s="461" t="str">
        <f>IF('Student DATA Entry'!G175="","",UPPER('Student DATA Entry'!G175))</f>
        <v/>
      </c>
      <c r="H178" s="461" t="str">
        <f>IF('Student DATA Entry'!H175="","",UPPER('Student DATA Entry'!H175))</f>
        <v/>
      </c>
      <c r="I178" s="462" t="str">
        <f>IF('Student DATA Entry'!I175="","",UPPER('Student DATA Entry'!I175))</f>
        <v/>
      </c>
      <c r="J178" s="463" t="str">
        <f>IF('Student DATA Entry'!L175="","",UPPER('Student DATA Entry'!L175))</f>
        <v/>
      </c>
      <c r="K178" s="469" t="str">
        <f>IF('Student DATA Entry'!J175="","",UPPER('Student DATA Entry'!J175))</f>
        <v/>
      </c>
      <c r="L178" s="491"/>
      <c r="M178" s="8"/>
      <c r="N178" s="8"/>
      <c r="O178" s="9"/>
      <c r="P178" s="492"/>
      <c r="Q178" s="491"/>
      <c r="R178" s="8"/>
      <c r="S178" s="8"/>
      <c r="T178" s="9"/>
      <c r="U178" s="492"/>
      <c r="V178" s="502"/>
      <c r="W178" s="7"/>
      <c r="X178" s="8"/>
      <c r="Y178" s="8"/>
      <c r="Z178" s="9"/>
      <c r="AA178" s="492"/>
      <c r="AB178" s="491"/>
      <c r="AC178" s="8"/>
      <c r="AD178" s="8"/>
      <c r="AE178" s="9"/>
      <c r="AF178" s="492"/>
      <c r="AG178" s="491"/>
      <c r="AH178" s="8"/>
      <c r="AI178" s="8"/>
      <c r="AJ178" s="9"/>
      <c r="AK178" s="492"/>
      <c r="AL178" s="491"/>
      <c r="AM178" s="8"/>
      <c r="AN178" s="8"/>
      <c r="AO178" s="9"/>
      <c r="AP178" s="492"/>
      <c r="AQ178" s="506"/>
      <c r="AR178" s="491"/>
      <c r="AS178" s="8"/>
      <c r="AT178" s="8"/>
      <c r="AU178" s="9"/>
      <c r="AV178" s="9"/>
      <c r="AW178" s="17"/>
      <c r="AX178" s="492"/>
      <c r="AY178" s="491"/>
      <c r="AZ178" s="7"/>
      <c r="BA178" s="9"/>
      <c r="BB178" s="9"/>
      <c r="BC178" s="492"/>
      <c r="BD178" s="491"/>
      <c r="BE178" s="7"/>
      <c r="BF178" s="7"/>
      <c r="BG178" s="7"/>
      <c r="BH178" s="9"/>
      <c r="BI178" s="9"/>
      <c r="BJ178" s="492"/>
      <c r="BK178" s="491"/>
      <c r="BL178" s="7"/>
      <c r="BM178" s="7"/>
      <c r="BN178" s="7"/>
      <c r="BO178" s="7"/>
      <c r="BP178" s="7"/>
      <c r="BQ178" s="7"/>
      <c r="BR178" s="8"/>
      <c r="BS178" s="8"/>
      <c r="BT178" s="509"/>
      <c r="BU178" s="491"/>
      <c r="BV178" s="8"/>
      <c r="BW178" s="509"/>
      <c r="BX178" s="491"/>
      <c r="BY178" s="8"/>
      <c r="BZ178" s="509"/>
      <c r="CA178" s="751"/>
    </row>
    <row r="179" spans="1:79" ht="24.95" customHeight="1">
      <c r="A179" s="468">
        <f>IF('Student DATA Entry'!A176="","",'Student DATA Entry'!A176)</f>
        <v>173</v>
      </c>
      <c r="B179" s="459" t="str">
        <f>IF('Student DATA Entry'!B176="","",'Student DATA Entry'!B176)</f>
        <v/>
      </c>
      <c r="C179" s="459" t="str">
        <f>IF('Student DATA Entry'!C176="","",'Student DATA Entry'!C176)</f>
        <v/>
      </c>
      <c r="D179" s="459" t="str">
        <f>IF('Student DATA Entry'!D176="","",'Student DATA Entry'!D176)</f>
        <v/>
      </c>
      <c r="E179" s="459" t="str">
        <f>IF('Student DATA Entry'!E176="","",'Student DATA Entry'!E176)</f>
        <v/>
      </c>
      <c r="F179" s="460" t="str">
        <f>IF('Student DATA Entry'!K176="","",'Student DATA Entry'!K176)</f>
        <v/>
      </c>
      <c r="G179" s="461" t="str">
        <f>IF('Student DATA Entry'!G176="","",UPPER('Student DATA Entry'!G176))</f>
        <v/>
      </c>
      <c r="H179" s="461" t="str">
        <f>IF('Student DATA Entry'!H176="","",UPPER('Student DATA Entry'!H176))</f>
        <v/>
      </c>
      <c r="I179" s="462" t="str">
        <f>IF('Student DATA Entry'!I176="","",UPPER('Student DATA Entry'!I176))</f>
        <v/>
      </c>
      <c r="J179" s="463" t="str">
        <f>IF('Student DATA Entry'!L176="","",UPPER('Student DATA Entry'!L176))</f>
        <v/>
      </c>
      <c r="K179" s="469" t="str">
        <f>IF('Student DATA Entry'!J176="","",UPPER('Student DATA Entry'!J176))</f>
        <v/>
      </c>
      <c r="L179" s="491"/>
      <c r="M179" s="8"/>
      <c r="N179" s="8"/>
      <c r="O179" s="9"/>
      <c r="P179" s="492"/>
      <c r="Q179" s="491"/>
      <c r="R179" s="8"/>
      <c r="S179" s="8"/>
      <c r="T179" s="9"/>
      <c r="U179" s="492"/>
      <c r="V179" s="502"/>
      <c r="W179" s="7"/>
      <c r="X179" s="8"/>
      <c r="Y179" s="8"/>
      <c r="Z179" s="9"/>
      <c r="AA179" s="492"/>
      <c r="AB179" s="491"/>
      <c r="AC179" s="8"/>
      <c r="AD179" s="8"/>
      <c r="AE179" s="9"/>
      <c r="AF179" s="492"/>
      <c r="AG179" s="491"/>
      <c r="AH179" s="8"/>
      <c r="AI179" s="8"/>
      <c r="AJ179" s="9"/>
      <c r="AK179" s="492"/>
      <c r="AL179" s="491"/>
      <c r="AM179" s="8"/>
      <c r="AN179" s="8"/>
      <c r="AO179" s="9"/>
      <c r="AP179" s="492"/>
      <c r="AQ179" s="506"/>
      <c r="AR179" s="491"/>
      <c r="AS179" s="8"/>
      <c r="AT179" s="8"/>
      <c r="AU179" s="9"/>
      <c r="AV179" s="9"/>
      <c r="AW179" s="17"/>
      <c r="AX179" s="492"/>
      <c r="AY179" s="491"/>
      <c r="AZ179" s="7"/>
      <c r="BA179" s="9"/>
      <c r="BB179" s="9"/>
      <c r="BC179" s="492"/>
      <c r="BD179" s="491"/>
      <c r="BE179" s="7"/>
      <c r="BF179" s="7"/>
      <c r="BG179" s="7"/>
      <c r="BH179" s="9"/>
      <c r="BI179" s="9"/>
      <c r="BJ179" s="492"/>
      <c r="BK179" s="491"/>
      <c r="BL179" s="7"/>
      <c r="BM179" s="7"/>
      <c r="BN179" s="7"/>
      <c r="BO179" s="7"/>
      <c r="BP179" s="7"/>
      <c r="BQ179" s="7"/>
      <c r="BR179" s="8"/>
      <c r="BS179" s="8"/>
      <c r="BT179" s="509"/>
      <c r="BU179" s="491"/>
      <c r="BV179" s="8"/>
      <c r="BW179" s="509"/>
      <c r="BX179" s="491"/>
      <c r="BY179" s="8"/>
      <c r="BZ179" s="509"/>
      <c r="CA179" s="751"/>
    </row>
    <row r="180" spans="1:79" ht="24.95" customHeight="1">
      <c r="A180" s="468">
        <f>IF('Student DATA Entry'!A177="","",'Student DATA Entry'!A177)</f>
        <v>174</v>
      </c>
      <c r="B180" s="459" t="str">
        <f>IF('Student DATA Entry'!B177="","",'Student DATA Entry'!B177)</f>
        <v/>
      </c>
      <c r="C180" s="459" t="str">
        <f>IF('Student DATA Entry'!C177="","",'Student DATA Entry'!C177)</f>
        <v/>
      </c>
      <c r="D180" s="459" t="str">
        <f>IF('Student DATA Entry'!D177="","",'Student DATA Entry'!D177)</f>
        <v/>
      </c>
      <c r="E180" s="459" t="str">
        <f>IF('Student DATA Entry'!E177="","",'Student DATA Entry'!E177)</f>
        <v/>
      </c>
      <c r="F180" s="460" t="str">
        <f>IF('Student DATA Entry'!K177="","",'Student DATA Entry'!K177)</f>
        <v/>
      </c>
      <c r="G180" s="461" t="str">
        <f>IF('Student DATA Entry'!G177="","",UPPER('Student DATA Entry'!G177))</f>
        <v/>
      </c>
      <c r="H180" s="461" t="str">
        <f>IF('Student DATA Entry'!H177="","",UPPER('Student DATA Entry'!H177))</f>
        <v/>
      </c>
      <c r="I180" s="462" t="str">
        <f>IF('Student DATA Entry'!I177="","",UPPER('Student DATA Entry'!I177))</f>
        <v/>
      </c>
      <c r="J180" s="463" t="str">
        <f>IF('Student DATA Entry'!L177="","",UPPER('Student DATA Entry'!L177))</f>
        <v/>
      </c>
      <c r="K180" s="469" t="str">
        <f>IF('Student DATA Entry'!J177="","",UPPER('Student DATA Entry'!J177))</f>
        <v/>
      </c>
      <c r="L180" s="491"/>
      <c r="M180" s="8"/>
      <c r="N180" s="8"/>
      <c r="O180" s="9"/>
      <c r="P180" s="492"/>
      <c r="Q180" s="491"/>
      <c r="R180" s="8"/>
      <c r="S180" s="8"/>
      <c r="T180" s="9"/>
      <c r="U180" s="492"/>
      <c r="V180" s="502"/>
      <c r="W180" s="7"/>
      <c r="X180" s="8"/>
      <c r="Y180" s="8"/>
      <c r="Z180" s="9"/>
      <c r="AA180" s="492"/>
      <c r="AB180" s="491"/>
      <c r="AC180" s="8"/>
      <c r="AD180" s="8"/>
      <c r="AE180" s="9"/>
      <c r="AF180" s="492"/>
      <c r="AG180" s="491"/>
      <c r="AH180" s="8"/>
      <c r="AI180" s="8"/>
      <c r="AJ180" s="9"/>
      <c r="AK180" s="492"/>
      <c r="AL180" s="491"/>
      <c r="AM180" s="8"/>
      <c r="AN180" s="8"/>
      <c r="AO180" s="9"/>
      <c r="AP180" s="492"/>
      <c r="AQ180" s="506"/>
      <c r="AR180" s="491"/>
      <c r="AS180" s="8"/>
      <c r="AT180" s="8"/>
      <c r="AU180" s="9"/>
      <c r="AV180" s="9"/>
      <c r="AW180" s="17"/>
      <c r="AX180" s="492"/>
      <c r="AY180" s="491"/>
      <c r="AZ180" s="7"/>
      <c r="BA180" s="9"/>
      <c r="BB180" s="9"/>
      <c r="BC180" s="492"/>
      <c r="BD180" s="491"/>
      <c r="BE180" s="7"/>
      <c r="BF180" s="7"/>
      <c r="BG180" s="7"/>
      <c r="BH180" s="9"/>
      <c r="BI180" s="9"/>
      <c r="BJ180" s="492"/>
      <c r="BK180" s="491"/>
      <c r="BL180" s="7"/>
      <c r="BM180" s="7"/>
      <c r="BN180" s="7"/>
      <c r="BO180" s="7"/>
      <c r="BP180" s="7"/>
      <c r="BQ180" s="7"/>
      <c r="BR180" s="8"/>
      <c r="BS180" s="8"/>
      <c r="BT180" s="509"/>
      <c r="BU180" s="491"/>
      <c r="BV180" s="8"/>
      <c r="BW180" s="509"/>
      <c r="BX180" s="491"/>
      <c r="BY180" s="8"/>
      <c r="BZ180" s="509"/>
      <c r="CA180" s="751"/>
    </row>
    <row r="181" spans="1:79" ht="24.95" customHeight="1">
      <c r="A181" s="468">
        <f>IF('Student DATA Entry'!A178="","",'Student DATA Entry'!A178)</f>
        <v>175</v>
      </c>
      <c r="B181" s="459" t="str">
        <f>IF('Student DATA Entry'!B178="","",'Student DATA Entry'!B178)</f>
        <v/>
      </c>
      <c r="C181" s="459" t="str">
        <f>IF('Student DATA Entry'!C178="","",'Student DATA Entry'!C178)</f>
        <v/>
      </c>
      <c r="D181" s="459" t="str">
        <f>IF('Student DATA Entry'!D178="","",'Student DATA Entry'!D178)</f>
        <v/>
      </c>
      <c r="E181" s="459" t="str">
        <f>IF('Student DATA Entry'!E178="","",'Student DATA Entry'!E178)</f>
        <v/>
      </c>
      <c r="F181" s="460" t="str">
        <f>IF('Student DATA Entry'!K178="","",'Student DATA Entry'!K178)</f>
        <v/>
      </c>
      <c r="G181" s="461" t="str">
        <f>IF('Student DATA Entry'!G178="","",UPPER('Student DATA Entry'!G178))</f>
        <v/>
      </c>
      <c r="H181" s="461" t="str">
        <f>IF('Student DATA Entry'!H178="","",UPPER('Student DATA Entry'!H178))</f>
        <v/>
      </c>
      <c r="I181" s="462" t="str">
        <f>IF('Student DATA Entry'!I178="","",UPPER('Student DATA Entry'!I178))</f>
        <v/>
      </c>
      <c r="J181" s="463" t="str">
        <f>IF('Student DATA Entry'!L178="","",UPPER('Student DATA Entry'!L178))</f>
        <v/>
      </c>
      <c r="K181" s="469" t="str">
        <f>IF('Student DATA Entry'!J178="","",UPPER('Student DATA Entry'!J178))</f>
        <v/>
      </c>
      <c r="L181" s="491"/>
      <c r="M181" s="8"/>
      <c r="N181" s="8"/>
      <c r="O181" s="9"/>
      <c r="P181" s="492"/>
      <c r="Q181" s="491"/>
      <c r="R181" s="8"/>
      <c r="S181" s="8"/>
      <c r="T181" s="9"/>
      <c r="U181" s="492"/>
      <c r="V181" s="502"/>
      <c r="W181" s="7"/>
      <c r="X181" s="8"/>
      <c r="Y181" s="8"/>
      <c r="Z181" s="9"/>
      <c r="AA181" s="492"/>
      <c r="AB181" s="491"/>
      <c r="AC181" s="8"/>
      <c r="AD181" s="8"/>
      <c r="AE181" s="9"/>
      <c r="AF181" s="492"/>
      <c r="AG181" s="491"/>
      <c r="AH181" s="8"/>
      <c r="AI181" s="8"/>
      <c r="AJ181" s="9"/>
      <c r="AK181" s="492"/>
      <c r="AL181" s="491"/>
      <c r="AM181" s="8"/>
      <c r="AN181" s="8"/>
      <c r="AO181" s="9"/>
      <c r="AP181" s="492"/>
      <c r="AQ181" s="506"/>
      <c r="AR181" s="491"/>
      <c r="AS181" s="8"/>
      <c r="AT181" s="8"/>
      <c r="AU181" s="9"/>
      <c r="AV181" s="9"/>
      <c r="AW181" s="17"/>
      <c r="AX181" s="492"/>
      <c r="AY181" s="491"/>
      <c r="AZ181" s="7"/>
      <c r="BA181" s="9"/>
      <c r="BB181" s="9"/>
      <c r="BC181" s="492"/>
      <c r="BD181" s="491"/>
      <c r="BE181" s="7"/>
      <c r="BF181" s="7"/>
      <c r="BG181" s="7"/>
      <c r="BH181" s="9"/>
      <c r="BI181" s="9"/>
      <c r="BJ181" s="492"/>
      <c r="BK181" s="491"/>
      <c r="BL181" s="7"/>
      <c r="BM181" s="7"/>
      <c r="BN181" s="7"/>
      <c r="BO181" s="7"/>
      <c r="BP181" s="7"/>
      <c r="BQ181" s="7"/>
      <c r="BR181" s="8"/>
      <c r="BS181" s="8"/>
      <c r="BT181" s="509"/>
      <c r="BU181" s="491"/>
      <c r="BV181" s="8"/>
      <c r="BW181" s="509"/>
      <c r="BX181" s="491"/>
      <c r="BY181" s="8"/>
      <c r="BZ181" s="509"/>
      <c r="CA181" s="751"/>
    </row>
    <row r="182" spans="1:79" ht="24.95" customHeight="1">
      <c r="A182" s="468">
        <f>IF('Student DATA Entry'!A179="","",'Student DATA Entry'!A179)</f>
        <v>176</v>
      </c>
      <c r="B182" s="459" t="str">
        <f>IF('Student DATA Entry'!B179="","",'Student DATA Entry'!B179)</f>
        <v/>
      </c>
      <c r="C182" s="459" t="str">
        <f>IF('Student DATA Entry'!C179="","",'Student DATA Entry'!C179)</f>
        <v/>
      </c>
      <c r="D182" s="459" t="str">
        <f>IF('Student DATA Entry'!D179="","",'Student DATA Entry'!D179)</f>
        <v/>
      </c>
      <c r="E182" s="459" t="str">
        <f>IF('Student DATA Entry'!E179="","",'Student DATA Entry'!E179)</f>
        <v/>
      </c>
      <c r="F182" s="460" t="str">
        <f>IF('Student DATA Entry'!K179="","",'Student DATA Entry'!K179)</f>
        <v/>
      </c>
      <c r="G182" s="461" t="str">
        <f>IF('Student DATA Entry'!G179="","",UPPER('Student DATA Entry'!G179))</f>
        <v/>
      </c>
      <c r="H182" s="461" t="str">
        <f>IF('Student DATA Entry'!H179="","",UPPER('Student DATA Entry'!H179))</f>
        <v/>
      </c>
      <c r="I182" s="462" t="str">
        <f>IF('Student DATA Entry'!I179="","",UPPER('Student DATA Entry'!I179))</f>
        <v/>
      </c>
      <c r="J182" s="463" t="str">
        <f>IF('Student DATA Entry'!L179="","",UPPER('Student DATA Entry'!L179))</f>
        <v/>
      </c>
      <c r="K182" s="469" t="str">
        <f>IF('Student DATA Entry'!J179="","",UPPER('Student DATA Entry'!J179))</f>
        <v/>
      </c>
      <c r="L182" s="491"/>
      <c r="M182" s="8"/>
      <c r="N182" s="8"/>
      <c r="O182" s="9"/>
      <c r="P182" s="492"/>
      <c r="Q182" s="491"/>
      <c r="R182" s="8"/>
      <c r="S182" s="8"/>
      <c r="T182" s="9"/>
      <c r="U182" s="492"/>
      <c r="V182" s="502"/>
      <c r="W182" s="7"/>
      <c r="X182" s="8"/>
      <c r="Y182" s="8"/>
      <c r="Z182" s="9"/>
      <c r="AA182" s="492"/>
      <c r="AB182" s="491"/>
      <c r="AC182" s="8"/>
      <c r="AD182" s="8"/>
      <c r="AE182" s="9"/>
      <c r="AF182" s="492"/>
      <c r="AG182" s="491"/>
      <c r="AH182" s="8"/>
      <c r="AI182" s="8"/>
      <c r="AJ182" s="9"/>
      <c r="AK182" s="492"/>
      <c r="AL182" s="491"/>
      <c r="AM182" s="8"/>
      <c r="AN182" s="8"/>
      <c r="AO182" s="9"/>
      <c r="AP182" s="492"/>
      <c r="AQ182" s="506"/>
      <c r="AR182" s="491"/>
      <c r="AS182" s="8"/>
      <c r="AT182" s="8"/>
      <c r="AU182" s="9"/>
      <c r="AV182" s="9"/>
      <c r="AW182" s="17"/>
      <c r="AX182" s="492"/>
      <c r="AY182" s="491"/>
      <c r="AZ182" s="7"/>
      <c r="BA182" s="9"/>
      <c r="BB182" s="9"/>
      <c r="BC182" s="492"/>
      <c r="BD182" s="491"/>
      <c r="BE182" s="7"/>
      <c r="BF182" s="7"/>
      <c r="BG182" s="7"/>
      <c r="BH182" s="9"/>
      <c r="BI182" s="9"/>
      <c r="BJ182" s="492"/>
      <c r="BK182" s="491"/>
      <c r="BL182" s="7"/>
      <c r="BM182" s="7"/>
      <c r="BN182" s="7"/>
      <c r="BO182" s="7"/>
      <c r="BP182" s="7"/>
      <c r="BQ182" s="7"/>
      <c r="BR182" s="8"/>
      <c r="BS182" s="8"/>
      <c r="BT182" s="509"/>
      <c r="BU182" s="491"/>
      <c r="BV182" s="8"/>
      <c r="BW182" s="509"/>
      <c r="BX182" s="491"/>
      <c r="BY182" s="8"/>
      <c r="BZ182" s="509"/>
      <c r="CA182" s="751"/>
    </row>
    <row r="183" spans="1:79" ht="24.95" customHeight="1">
      <c r="A183" s="468">
        <f>IF('Student DATA Entry'!A180="","",'Student DATA Entry'!A180)</f>
        <v>177</v>
      </c>
      <c r="B183" s="459" t="str">
        <f>IF('Student DATA Entry'!B180="","",'Student DATA Entry'!B180)</f>
        <v/>
      </c>
      <c r="C183" s="459" t="str">
        <f>IF('Student DATA Entry'!C180="","",'Student DATA Entry'!C180)</f>
        <v/>
      </c>
      <c r="D183" s="459" t="str">
        <f>IF('Student DATA Entry'!D180="","",'Student DATA Entry'!D180)</f>
        <v/>
      </c>
      <c r="E183" s="459" t="str">
        <f>IF('Student DATA Entry'!E180="","",'Student DATA Entry'!E180)</f>
        <v/>
      </c>
      <c r="F183" s="460" t="str">
        <f>IF('Student DATA Entry'!K180="","",'Student DATA Entry'!K180)</f>
        <v/>
      </c>
      <c r="G183" s="461" t="str">
        <f>IF('Student DATA Entry'!G180="","",UPPER('Student DATA Entry'!G180))</f>
        <v/>
      </c>
      <c r="H183" s="461" t="str">
        <f>IF('Student DATA Entry'!H180="","",UPPER('Student DATA Entry'!H180))</f>
        <v/>
      </c>
      <c r="I183" s="462" t="str">
        <f>IF('Student DATA Entry'!I180="","",UPPER('Student DATA Entry'!I180))</f>
        <v/>
      </c>
      <c r="J183" s="463" t="str">
        <f>IF('Student DATA Entry'!L180="","",UPPER('Student DATA Entry'!L180))</f>
        <v/>
      </c>
      <c r="K183" s="469" t="str">
        <f>IF('Student DATA Entry'!J180="","",UPPER('Student DATA Entry'!J180))</f>
        <v/>
      </c>
      <c r="L183" s="491"/>
      <c r="M183" s="8"/>
      <c r="N183" s="8"/>
      <c r="O183" s="9"/>
      <c r="P183" s="492"/>
      <c r="Q183" s="491"/>
      <c r="R183" s="8"/>
      <c r="S183" s="8"/>
      <c r="T183" s="9"/>
      <c r="U183" s="492"/>
      <c r="V183" s="502"/>
      <c r="W183" s="7"/>
      <c r="X183" s="8"/>
      <c r="Y183" s="8"/>
      <c r="Z183" s="9"/>
      <c r="AA183" s="492"/>
      <c r="AB183" s="491"/>
      <c r="AC183" s="8"/>
      <c r="AD183" s="8"/>
      <c r="AE183" s="9"/>
      <c r="AF183" s="492"/>
      <c r="AG183" s="491"/>
      <c r="AH183" s="8"/>
      <c r="AI183" s="8"/>
      <c r="AJ183" s="9"/>
      <c r="AK183" s="492"/>
      <c r="AL183" s="491"/>
      <c r="AM183" s="8"/>
      <c r="AN183" s="8"/>
      <c r="AO183" s="9"/>
      <c r="AP183" s="492"/>
      <c r="AQ183" s="506"/>
      <c r="AR183" s="491"/>
      <c r="AS183" s="8"/>
      <c r="AT183" s="8"/>
      <c r="AU183" s="9"/>
      <c r="AV183" s="9"/>
      <c r="AW183" s="17"/>
      <c r="AX183" s="492"/>
      <c r="AY183" s="491"/>
      <c r="AZ183" s="7"/>
      <c r="BA183" s="9"/>
      <c r="BB183" s="9"/>
      <c r="BC183" s="492"/>
      <c r="BD183" s="491"/>
      <c r="BE183" s="7"/>
      <c r="BF183" s="7"/>
      <c r="BG183" s="7"/>
      <c r="BH183" s="9"/>
      <c r="BI183" s="9"/>
      <c r="BJ183" s="492"/>
      <c r="BK183" s="491"/>
      <c r="BL183" s="7"/>
      <c r="BM183" s="7"/>
      <c r="BN183" s="7"/>
      <c r="BO183" s="7"/>
      <c r="BP183" s="7"/>
      <c r="BQ183" s="7"/>
      <c r="BR183" s="8"/>
      <c r="BS183" s="8"/>
      <c r="BT183" s="509"/>
      <c r="BU183" s="491"/>
      <c r="BV183" s="8"/>
      <c r="BW183" s="509"/>
      <c r="BX183" s="491"/>
      <c r="BY183" s="8"/>
      <c r="BZ183" s="509"/>
      <c r="CA183" s="751"/>
    </row>
    <row r="184" spans="1:79" ht="24.95" customHeight="1">
      <c r="A184" s="468">
        <f>IF('Student DATA Entry'!A181="","",'Student DATA Entry'!A181)</f>
        <v>178</v>
      </c>
      <c r="B184" s="459" t="str">
        <f>IF('Student DATA Entry'!B181="","",'Student DATA Entry'!B181)</f>
        <v/>
      </c>
      <c r="C184" s="459" t="str">
        <f>IF('Student DATA Entry'!C181="","",'Student DATA Entry'!C181)</f>
        <v/>
      </c>
      <c r="D184" s="459" t="str">
        <f>IF('Student DATA Entry'!D181="","",'Student DATA Entry'!D181)</f>
        <v/>
      </c>
      <c r="E184" s="459" t="str">
        <f>IF('Student DATA Entry'!E181="","",'Student DATA Entry'!E181)</f>
        <v/>
      </c>
      <c r="F184" s="460" t="str">
        <f>IF('Student DATA Entry'!K181="","",'Student DATA Entry'!K181)</f>
        <v/>
      </c>
      <c r="G184" s="461" t="str">
        <f>IF('Student DATA Entry'!G181="","",UPPER('Student DATA Entry'!G181))</f>
        <v/>
      </c>
      <c r="H184" s="461" t="str">
        <f>IF('Student DATA Entry'!H181="","",UPPER('Student DATA Entry'!H181))</f>
        <v/>
      </c>
      <c r="I184" s="462" t="str">
        <f>IF('Student DATA Entry'!I181="","",UPPER('Student DATA Entry'!I181))</f>
        <v/>
      </c>
      <c r="J184" s="463" t="str">
        <f>IF('Student DATA Entry'!L181="","",UPPER('Student DATA Entry'!L181))</f>
        <v/>
      </c>
      <c r="K184" s="469" t="str">
        <f>IF('Student DATA Entry'!J181="","",UPPER('Student DATA Entry'!J181))</f>
        <v/>
      </c>
      <c r="L184" s="491"/>
      <c r="M184" s="8"/>
      <c r="N184" s="8"/>
      <c r="O184" s="9"/>
      <c r="P184" s="492"/>
      <c r="Q184" s="491"/>
      <c r="R184" s="8"/>
      <c r="S184" s="8"/>
      <c r="T184" s="9"/>
      <c r="U184" s="492"/>
      <c r="V184" s="502"/>
      <c r="W184" s="7"/>
      <c r="X184" s="8"/>
      <c r="Y184" s="8"/>
      <c r="Z184" s="9"/>
      <c r="AA184" s="492"/>
      <c r="AB184" s="491"/>
      <c r="AC184" s="8"/>
      <c r="AD184" s="8"/>
      <c r="AE184" s="9"/>
      <c r="AF184" s="492"/>
      <c r="AG184" s="491"/>
      <c r="AH184" s="8"/>
      <c r="AI184" s="8"/>
      <c r="AJ184" s="9"/>
      <c r="AK184" s="492"/>
      <c r="AL184" s="491"/>
      <c r="AM184" s="8"/>
      <c r="AN184" s="8"/>
      <c r="AO184" s="9"/>
      <c r="AP184" s="492"/>
      <c r="AQ184" s="506"/>
      <c r="AR184" s="491"/>
      <c r="AS184" s="8"/>
      <c r="AT184" s="8"/>
      <c r="AU184" s="9"/>
      <c r="AV184" s="9"/>
      <c r="AW184" s="17"/>
      <c r="AX184" s="492"/>
      <c r="AY184" s="491"/>
      <c r="AZ184" s="7"/>
      <c r="BA184" s="9"/>
      <c r="BB184" s="9"/>
      <c r="BC184" s="492"/>
      <c r="BD184" s="491"/>
      <c r="BE184" s="7"/>
      <c r="BF184" s="7"/>
      <c r="BG184" s="7"/>
      <c r="BH184" s="9"/>
      <c r="BI184" s="9"/>
      <c r="BJ184" s="492"/>
      <c r="BK184" s="491"/>
      <c r="BL184" s="7"/>
      <c r="BM184" s="7"/>
      <c r="BN184" s="7"/>
      <c r="BO184" s="7"/>
      <c r="BP184" s="7"/>
      <c r="BQ184" s="7"/>
      <c r="BR184" s="8"/>
      <c r="BS184" s="8"/>
      <c r="BT184" s="509"/>
      <c r="BU184" s="491"/>
      <c r="BV184" s="8"/>
      <c r="BW184" s="509"/>
      <c r="BX184" s="491"/>
      <c r="BY184" s="8"/>
      <c r="BZ184" s="509"/>
      <c r="CA184" s="751"/>
    </row>
    <row r="185" spans="1:79" ht="24.95" customHeight="1">
      <c r="A185" s="468">
        <f>IF('Student DATA Entry'!A182="","",'Student DATA Entry'!A182)</f>
        <v>179</v>
      </c>
      <c r="B185" s="459" t="str">
        <f>IF('Student DATA Entry'!B182="","",'Student DATA Entry'!B182)</f>
        <v/>
      </c>
      <c r="C185" s="459" t="str">
        <f>IF('Student DATA Entry'!C182="","",'Student DATA Entry'!C182)</f>
        <v/>
      </c>
      <c r="D185" s="459" t="str">
        <f>IF('Student DATA Entry'!D182="","",'Student DATA Entry'!D182)</f>
        <v/>
      </c>
      <c r="E185" s="459" t="str">
        <f>IF('Student DATA Entry'!E182="","",'Student DATA Entry'!E182)</f>
        <v/>
      </c>
      <c r="F185" s="460" t="str">
        <f>IF('Student DATA Entry'!K182="","",'Student DATA Entry'!K182)</f>
        <v/>
      </c>
      <c r="G185" s="461" t="str">
        <f>IF('Student DATA Entry'!G182="","",UPPER('Student DATA Entry'!G182))</f>
        <v/>
      </c>
      <c r="H185" s="461" t="str">
        <f>IF('Student DATA Entry'!H182="","",UPPER('Student DATA Entry'!H182))</f>
        <v/>
      </c>
      <c r="I185" s="462" t="str">
        <f>IF('Student DATA Entry'!I182="","",UPPER('Student DATA Entry'!I182))</f>
        <v/>
      </c>
      <c r="J185" s="463" t="str">
        <f>IF('Student DATA Entry'!L182="","",UPPER('Student DATA Entry'!L182))</f>
        <v/>
      </c>
      <c r="K185" s="469" t="str">
        <f>IF('Student DATA Entry'!J182="","",UPPER('Student DATA Entry'!J182))</f>
        <v/>
      </c>
      <c r="L185" s="491"/>
      <c r="M185" s="8"/>
      <c r="N185" s="8"/>
      <c r="O185" s="9"/>
      <c r="P185" s="492"/>
      <c r="Q185" s="491"/>
      <c r="R185" s="8"/>
      <c r="S185" s="8"/>
      <c r="T185" s="9"/>
      <c r="U185" s="492"/>
      <c r="V185" s="502"/>
      <c r="W185" s="7"/>
      <c r="X185" s="8"/>
      <c r="Y185" s="8"/>
      <c r="Z185" s="9"/>
      <c r="AA185" s="492"/>
      <c r="AB185" s="491"/>
      <c r="AC185" s="8"/>
      <c r="AD185" s="8"/>
      <c r="AE185" s="9"/>
      <c r="AF185" s="492"/>
      <c r="AG185" s="491"/>
      <c r="AH185" s="8"/>
      <c r="AI185" s="8"/>
      <c r="AJ185" s="9"/>
      <c r="AK185" s="492"/>
      <c r="AL185" s="491"/>
      <c r="AM185" s="8"/>
      <c r="AN185" s="8"/>
      <c r="AO185" s="9"/>
      <c r="AP185" s="492"/>
      <c r="AQ185" s="506"/>
      <c r="AR185" s="491"/>
      <c r="AS185" s="8"/>
      <c r="AT185" s="8"/>
      <c r="AU185" s="9"/>
      <c r="AV185" s="9"/>
      <c r="AW185" s="17"/>
      <c r="AX185" s="492"/>
      <c r="AY185" s="491"/>
      <c r="AZ185" s="7"/>
      <c r="BA185" s="9"/>
      <c r="BB185" s="9"/>
      <c r="BC185" s="492"/>
      <c r="BD185" s="491"/>
      <c r="BE185" s="7"/>
      <c r="BF185" s="7"/>
      <c r="BG185" s="7"/>
      <c r="BH185" s="9"/>
      <c r="BI185" s="9"/>
      <c r="BJ185" s="492"/>
      <c r="BK185" s="491"/>
      <c r="BL185" s="7"/>
      <c r="BM185" s="7"/>
      <c r="BN185" s="7"/>
      <c r="BO185" s="7"/>
      <c r="BP185" s="7"/>
      <c r="BQ185" s="7"/>
      <c r="BR185" s="8"/>
      <c r="BS185" s="8"/>
      <c r="BT185" s="509"/>
      <c r="BU185" s="491"/>
      <c r="BV185" s="8"/>
      <c r="BW185" s="509"/>
      <c r="BX185" s="491"/>
      <c r="BY185" s="8"/>
      <c r="BZ185" s="509"/>
      <c r="CA185" s="751"/>
    </row>
    <row r="186" spans="1:79" ht="24.95" customHeight="1">
      <c r="A186" s="468">
        <f>IF('Student DATA Entry'!A183="","",'Student DATA Entry'!A183)</f>
        <v>180</v>
      </c>
      <c r="B186" s="459" t="str">
        <f>IF('Student DATA Entry'!B183="","",'Student DATA Entry'!B183)</f>
        <v/>
      </c>
      <c r="C186" s="459" t="str">
        <f>IF('Student DATA Entry'!C183="","",'Student DATA Entry'!C183)</f>
        <v/>
      </c>
      <c r="D186" s="459" t="str">
        <f>IF('Student DATA Entry'!D183="","",'Student DATA Entry'!D183)</f>
        <v/>
      </c>
      <c r="E186" s="459" t="str">
        <f>IF('Student DATA Entry'!E183="","",'Student DATA Entry'!E183)</f>
        <v/>
      </c>
      <c r="F186" s="460" t="str">
        <f>IF('Student DATA Entry'!K183="","",'Student DATA Entry'!K183)</f>
        <v/>
      </c>
      <c r="G186" s="461" t="str">
        <f>IF('Student DATA Entry'!G183="","",UPPER('Student DATA Entry'!G183))</f>
        <v/>
      </c>
      <c r="H186" s="461" t="str">
        <f>IF('Student DATA Entry'!H183="","",UPPER('Student DATA Entry'!H183))</f>
        <v/>
      </c>
      <c r="I186" s="462" t="str">
        <f>IF('Student DATA Entry'!I183="","",UPPER('Student DATA Entry'!I183))</f>
        <v/>
      </c>
      <c r="J186" s="463" t="str">
        <f>IF('Student DATA Entry'!L183="","",UPPER('Student DATA Entry'!L183))</f>
        <v/>
      </c>
      <c r="K186" s="469" t="str">
        <f>IF('Student DATA Entry'!J183="","",UPPER('Student DATA Entry'!J183))</f>
        <v/>
      </c>
      <c r="L186" s="491"/>
      <c r="M186" s="8"/>
      <c r="N186" s="8"/>
      <c r="O186" s="9"/>
      <c r="P186" s="492"/>
      <c r="Q186" s="491"/>
      <c r="R186" s="8"/>
      <c r="S186" s="8"/>
      <c r="T186" s="9"/>
      <c r="U186" s="492"/>
      <c r="V186" s="502"/>
      <c r="W186" s="7"/>
      <c r="X186" s="8"/>
      <c r="Y186" s="8"/>
      <c r="Z186" s="9"/>
      <c r="AA186" s="492"/>
      <c r="AB186" s="491"/>
      <c r="AC186" s="8"/>
      <c r="AD186" s="8"/>
      <c r="AE186" s="9"/>
      <c r="AF186" s="492"/>
      <c r="AG186" s="491"/>
      <c r="AH186" s="8"/>
      <c r="AI186" s="8"/>
      <c r="AJ186" s="9"/>
      <c r="AK186" s="492"/>
      <c r="AL186" s="491"/>
      <c r="AM186" s="8"/>
      <c r="AN186" s="8"/>
      <c r="AO186" s="9"/>
      <c r="AP186" s="492"/>
      <c r="AQ186" s="506"/>
      <c r="AR186" s="491"/>
      <c r="AS186" s="8"/>
      <c r="AT186" s="8"/>
      <c r="AU186" s="9"/>
      <c r="AV186" s="9"/>
      <c r="AW186" s="17"/>
      <c r="AX186" s="492"/>
      <c r="AY186" s="491"/>
      <c r="AZ186" s="7"/>
      <c r="BA186" s="9"/>
      <c r="BB186" s="9"/>
      <c r="BC186" s="492"/>
      <c r="BD186" s="491"/>
      <c r="BE186" s="7"/>
      <c r="BF186" s="7"/>
      <c r="BG186" s="7"/>
      <c r="BH186" s="9"/>
      <c r="BI186" s="9"/>
      <c r="BJ186" s="492"/>
      <c r="BK186" s="491"/>
      <c r="BL186" s="7"/>
      <c r="BM186" s="7"/>
      <c r="BN186" s="7"/>
      <c r="BO186" s="7"/>
      <c r="BP186" s="7"/>
      <c r="BQ186" s="7"/>
      <c r="BR186" s="8"/>
      <c r="BS186" s="8"/>
      <c r="BT186" s="509"/>
      <c r="BU186" s="491"/>
      <c r="BV186" s="8"/>
      <c r="BW186" s="509"/>
      <c r="BX186" s="491"/>
      <c r="BY186" s="8"/>
      <c r="BZ186" s="509"/>
      <c r="CA186" s="751"/>
    </row>
    <row r="187" spans="1:79" ht="24.95" customHeight="1">
      <c r="A187" s="468">
        <f>IF('Student DATA Entry'!A184="","",'Student DATA Entry'!A184)</f>
        <v>181</v>
      </c>
      <c r="B187" s="459" t="str">
        <f>IF('Student DATA Entry'!B184="","",'Student DATA Entry'!B184)</f>
        <v/>
      </c>
      <c r="C187" s="459" t="str">
        <f>IF('Student DATA Entry'!C184="","",'Student DATA Entry'!C184)</f>
        <v/>
      </c>
      <c r="D187" s="459" t="str">
        <f>IF('Student DATA Entry'!D184="","",'Student DATA Entry'!D184)</f>
        <v/>
      </c>
      <c r="E187" s="459" t="str">
        <f>IF('Student DATA Entry'!E184="","",'Student DATA Entry'!E184)</f>
        <v/>
      </c>
      <c r="F187" s="460" t="str">
        <f>IF('Student DATA Entry'!K184="","",'Student DATA Entry'!K184)</f>
        <v/>
      </c>
      <c r="G187" s="461" t="str">
        <f>IF('Student DATA Entry'!G184="","",UPPER('Student DATA Entry'!G184))</f>
        <v/>
      </c>
      <c r="H187" s="461" t="str">
        <f>IF('Student DATA Entry'!H184="","",UPPER('Student DATA Entry'!H184))</f>
        <v/>
      </c>
      <c r="I187" s="462" t="str">
        <f>IF('Student DATA Entry'!I184="","",UPPER('Student DATA Entry'!I184))</f>
        <v/>
      </c>
      <c r="J187" s="463" t="str">
        <f>IF('Student DATA Entry'!L184="","",UPPER('Student DATA Entry'!L184))</f>
        <v/>
      </c>
      <c r="K187" s="469" t="str">
        <f>IF('Student DATA Entry'!J184="","",UPPER('Student DATA Entry'!J184))</f>
        <v/>
      </c>
      <c r="L187" s="491"/>
      <c r="M187" s="8"/>
      <c r="N187" s="8"/>
      <c r="O187" s="9"/>
      <c r="P187" s="492"/>
      <c r="Q187" s="491"/>
      <c r="R187" s="8"/>
      <c r="S187" s="8"/>
      <c r="T187" s="9"/>
      <c r="U187" s="492"/>
      <c r="V187" s="502"/>
      <c r="W187" s="7"/>
      <c r="X187" s="8"/>
      <c r="Y187" s="8"/>
      <c r="Z187" s="9"/>
      <c r="AA187" s="492"/>
      <c r="AB187" s="491"/>
      <c r="AC187" s="8"/>
      <c r="AD187" s="8"/>
      <c r="AE187" s="9"/>
      <c r="AF187" s="492"/>
      <c r="AG187" s="491"/>
      <c r="AH187" s="8"/>
      <c r="AI187" s="8"/>
      <c r="AJ187" s="9"/>
      <c r="AK187" s="492"/>
      <c r="AL187" s="491"/>
      <c r="AM187" s="8"/>
      <c r="AN187" s="8"/>
      <c r="AO187" s="9"/>
      <c r="AP187" s="492"/>
      <c r="AQ187" s="506"/>
      <c r="AR187" s="491"/>
      <c r="AS187" s="8"/>
      <c r="AT187" s="8"/>
      <c r="AU187" s="9"/>
      <c r="AV187" s="9"/>
      <c r="AW187" s="17"/>
      <c r="AX187" s="492"/>
      <c r="AY187" s="491"/>
      <c r="AZ187" s="7"/>
      <c r="BA187" s="9"/>
      <c r="BB187" s="9"/>
      <c r="BC187" s="492"/>
      <c r="BD187" s="491"/>
      <c r="BE187" s="7"/>
      <c r="BF187" s="7"/>
      <c r="BG187" s="7"/>
      <c r="BH187" s="9"/>
      <c r="BI187" s="9"/>
      <c r="BJ187" s="492"/>
      <c r="BK187" s="491"/>
      <c r="BL187" s="7"/>
      <c r="BM187" s="7"/>
      <c r="BN187" s="7"/>
      <c r="BO187" s="7"/>
      <c r="BP187" s="7"/>
      <c r="BQ187" s="7"/>
      <c r="BR187" s="8"/>
      <c r="BS187" s="8"/>
      <c r="BT187" s="509"/>
      <c r="BU187" s="491"/>
      <c r="BV187" s="8"/>
      <c r="BW187" s="509"/>
      <c r="BX187" s="491"/>
      <c r="BY187" s="8"/>
      <c r="BZ187" s="509"/>
      <c r="CA187" s="751"/>
    </row>
    <row r="188" spans="1:79" ht="24.95" customHeight="1">
      <c r="A188" s="468">
        <f>IF('Student DATA Entry'!A185="","",'Student DATA Entry'!A185)</f>
        <v>182</v>
      </c>
      <c r="B188" s="459" t="str">
        <f>IF('Student DATA Entry'!B185="","",'Student DATA Entry'!B185)</f>
        <v/>
      </c>
      <c r="C188" s="459" t="str">
        <f>IF('Student DATA Entry'!C185="","",'Student DATA Entry'!C185)</f>
        <v/>
      </c>
      <c r="D188" s="459" t="str">
        <f>IF('Student DATA Entry'!D185="","",'Student DATA Entry'!D185)</f>
        <v/>
      </c>
      <c r="E188" s="459" t="str">
        <f>IF('Student DATA Entry'!E185="","",'Student DATA Entry'!E185)</f>
        <v/>
      </c>
      <c r="F188" s="460" t="str">
        <f>IF('Student DATA Entry'!K185="","",'Student DATA Entry'!K185)</f>
        <v/>
      </c>
      <c r="G188" s="461" t="str">
        <f>IF('Student DATA Entry'!G185="","",UPPER('Student DATA Entry'!G185))</f>
        <v/>
      </c>
      <c r="H188" s="461" t="str">
        <f>IF('Student DATA Entry'!H185="","",UPPER('Student DATA Entry'!H185))</f>
        <v/>
      </c>
      <c r="I188" s="462" t="str">
        <f>IF('Student DATA Entry'!I185="","",UPPER('Student DATA Entry'!I185))</f>
        <v/>
      </c>
      <c r="J188" s="463" t="str">
        <f>IF('Student DATA Entry'!L185="","",UPPER('Student DATA Entry'!L185))</f>
        <v/>
      </c>
      <c r="K188" s="469" t="str">
        <f>IF('Student DATA Entry'!J185="","",UPPER('Student DATA Entry'!J185))</f>
        <v/>
      </c>
      <c r="L188" s="491"/>
      <c r="M188" s="8"/>
      <c r="N188" s="8"/>
      <c r="O188" s="9"/>
      <c r="P188" s="492"/>
      <c r="Q188" s="491"/>
      <c r="R188" s="8"/>
      <c r="S188" s="8"/>
      <c r="T188" s="9"/>
      <c r="U188" s="492"/>
      <c r="V188" s="502"/>
      <c r="W188" s="7"/>
      <c r="X188" s="8"/>
      <c r="Y188" s="8"/>
      <c r="Z188" s="9"/>
      <c r="AA188" s="492"/>
      <c r="AB188" s="491"/>
      <c r="AC188" s="8"/>
      <c r="AD188" s="8"/>
      <c r="AE188" s="9"/>
      <c r="AF188" s="492"/>
      <c r="AG188" s="491"/>
      <c r="AH188" s="8"/>
      <c r="AI188" s="8"/>
      <c r="AJ188" s="9"/>
      <c r="AK188" s="492"/>
      <c r="AL188" s="491"/>
      <c r="AM188" s="8"/>
      <c r="AN188" s="8"/>
      <c r="AO188" s="9"/>
      <c r="AP188" s="492"/>
      <c r="AQ188" s="506"/>
      <c r="AR188" s="491"/>
      <c r="AS188" s="8"/>
      <c r="AT188" s="8"/>
      <c r="AU188" s="9"/>
      <c r="AV188" s="9"/>
      <c r="AW188" s="17"/>
      <c r="AX188" s="492"/>
      <c r="AY188" s="491"/>
      <c r="AZ188" s="7"/>
      <c r="BA188" s="9"/>
      <c r="BB188" s="9"/>
      <c r="BC188" s="492"/>
      <c r="BD188" s="491"/>
      <c r="BE188" s="7"/>
      <c r="BF188" s="7"/>
      <c r="BG188" s="7"/>
      <c r="BH188" s="9"/>
      <c r="BI188" s="9"/>
      <c r="BJ188" s="492"/>
      <c r="BK188" s="491"/>
      <c r="BL188" s="7"/>
      <c r="BM188" s="7"/>
      <c r="BN188" s="7"/>
      <c r="BO188" s="7"/>
      <c r="BP188" s="7"/>
      <c r="BQ188" s="7"/>
      <c r="BR188" s="8"/>
      <c r="BS188" s="8"/>
      <c r="BT188" s="509"/>
      <c r="BU188" s="491"/>
      <c r="BV188" s="8"/>
      <c r="BW188" s="509"/>
      <c r="BX188" s="491"/>
      <c r="BY188" s="8"/>
      <c r="BZ188" s="509"/>
      <c r="CA188" s="751"/>
    </row>
    <row r="189" spans="1:79" ht="24.95" customHeight="1">
      <c r="A189" s="468">
        <f>IF('Student DATA Entry'!A186="","",'Student DATA Entry'!A186)</f>
        <v>183</v>
      </c>
      <c r="B189" s="459" t="str">
        <f>IF('Student DATA Entry'!B186="","",'Student DATA Entry'!B186)</f>
        <v/>
      </c>
      <c r="C189" s="459" t="str">
        <f>IF('Student DATA Entry'!C186="","",'Student DATA Entry'!C186)</f>
        <v/>
      </c>
      <c r="D189" s="459" t="str">
        <f>IF('Student DATA Entry'!D186="","",'Student DATA Entry'!D186)</f>
        <v/>
      </c>
      <c r="E189" s="459" t="str">
        <f>IF('Student DATA Entry'!E186="","",'Student DATA Entry'!E186)</f>
        <v/>
      </c>
      <c r="F189" s="460" t="str">
        <f>IF('Student DATA Entry'!K186="","",'Student DATA Entry'!K186)</f>
        <v/>
      </c>
      <c r="G189" s="461" t="str">
        <f>IF('Student DATA Entry'!G186="","",UPPER('Student DATA Entry'!G186))</f>
        <v/>
      </c>
      <c r="H189" s="461" t="str">
        <f>IF('Student DATA Entry'!H186="","",UPPER('Student DATA Entry'!H186))</f>
        <v/>
      </c>
      <c r="I189" s="462" t="str">
        <f>IF('Student DATA Entry'!I186="","",UPPER('Student DATA Entry'!I186))</f>
        <v/>
      </c>
      <c r="J189" s="463" t="str">
        <f>IF('Student DATA Entry'!L186="","",UPPER('Student DATA Entry'!L186))</f>
        <v/>
      </c>
      <c r="K189" s="469" t="str">
        <f>IF('Student DATA Entry'!J186="","",UPPER('Student DATA Entry'!J186))</f>
        <v/>
      </c>
      <c r="L189" s="491"/>
      <c r="M189" s="8"/>
      <c r="N189" s="8"/>
      <c r="O189" s="9"/>
      <c r="P189" s="492"/>
      <c r="Q189" s="491"/>
      <c r="R189" s="8"/>
      <c r="S189" s="8"/>
      <c r="T189" s="9"/>
      <c r="U189" s="492"/>
      <c r="V189" s="502"/>
      <c r="W189" s="7"/>
      <c r="X189" s="8"/>
      <c r="Y189" s="8"/>
      <c r="Z189" s="9"/>
      <c r="AA189" s="492"/>
      <c r="AB189" s="491"/>
      <c r="AC189" s="8"/>
      <c r="AD189" s="8"/>
      <c r="AE189" s="9"/>
      <c r="AF189" s="492"/>
      <c r="AG189" s="491"/>
      <c r="AH189" s="8"/>
      <c r="AI189" s="8"/>
      <c r="AJ189" s="9"/>
      <c r="AK189" s="492"/>
      <c r="AL189" s="491"/>
      <c r="AM189" s="8"/>
      <c r="AN189" s="8"/>
      <c r="AO189" s="9"/>
      <c r="AP189" s="492"/>
      <c r="AQ189" s="506"/>
      <c r="AR189" s="491"/>
      <c r="AS189" s="8"/>
      <c r="AT189" s="8"/>
      <c r="AU189" s="9"/>
      <c r="AV189" s="9"/>
      <c r="AW189" s="17"/>
      <c r="AX189" s="492"/>
      <c r="AY189" s="491"/>
      <c r="AZ189" s="7"/>
      <c r="BA189" s="9"/>
      <c r="BB189" s="9"/>
      <c r="BC189" s="492"/>
      <c r="BD189" s="491"/>
      <c r="BE189" s="7"/>
      <c r="BF189" s="7"/>
      <c r="BG189" s="7"/>
      <c r="BH189" s="9"/>
      <c r="BI189" s="9"/>
      <c r="BJ189" s="492"/>
      <c r="BK189" s="491"/>
      <c r="BL189" s="7"/>
      <c r="BM189" s="7"/>
      <c r="BN189" s="7"/>
      <c r="BO189" s="7"/>
      <c r="BP189" s="7"/>
      <c r="BQ189" s="7"/>
      <c r="BR189" s="8"/>
      <c r="BS189" s="8"/>
      <c r="BT189" s="509"/>
      <c r="BU189" s="491"/>
      <c r="BV189" s="8"/>
      <c r="BW189" s="509"/>
      <c r="BX189" s="491"/>
      <c r="BY189" s="8"/>
      <c r="BZ189" s="509"/>
      <c r="CA189" s="751"/>
    </row>
    <row r="190" spans="1:79" ht="24.95" customHeight="1">
      <c r="A190" s="468">
        <f>IF('Student DATA Entry'!A187="","",'Student DATA Entry'!A187)</f>
        <v>184</v>
      </c>
      <c r="B190" s="459" t="str">
        <f>IF('Student DATA Entry'!B187="","",'Student DATA Entry'!B187)</f>
        <v/>
      </c>
      <c r="C190" s="459" t="str">
        <f>IF('Student DATA Entry'!C187="","",'Student DATA Entry'!C187)</f>
        <v/>
      </c>
      <c r="D190" s="459" t="str">
        <f>IF('Student DATA Entry'!D187="","",'Student DATA Entry'!D187)</f>
        <v/>
      </c>
      <c r="E190" s="459" t="str">
        <f>IF('Student DATA Entry'!E187="","",'Student DATA Entry'!E187)</f>
        <v/>
      </c>
      <c r="F190" s="460" t="str">
        <f>IF('Student DATA Entry'!K187="","",'Student DATA Entry'!K187)</f>
        <v/>
      </c>
      <c r="G190" s="461" t="str">
        <f>IF('Student DATA Entry'!G187="","",UPPER('Student DATA Entry'!G187))</f>
        <v/>
      </c>
      <c r="H190" s="461" t="str">
        <f>IF('Student DATA Entry'!H187="","",UPPER('Student DATA Entry'!H187))</f>
        <v/>
      </c>
      <c r="I190" s="462" t="str">
        <f>IF('Student DATA Entry'!I187="","",UPPER('Student DATA Entry'!I187))</f>
        <v/>
      </c>
      <c r="J190" s="463" t="str">
        <f>IF('Student DATA Entry'!L187="","",UPPER('Student DATA Entry'!L187))</f>
        <v/>
      </c>
      <c r="K190" s="469" t="str">
        <f>IF('Student DATA Entry'!J187="","",UPPER('Student DATA Entry'!J187))</f>
        <v/>
      </c>
      <c r="L190" s="491"/>
      <c r="M190" s="8"/>
      <c r="N190" s="8"/>
      <c r="O190" s="9"/>
      <c r="P190" s="492"/>
      <c r="Q190" s="491"/>
      <c r="R190" s="8"/>
      <c r="S190" s="8"/>
      <c r="T190" s="9"/>
      <c r="U190" s="492"/>
      <c r="V190" s="502"/>
      <c r="W190" s="7"/>
      <c r="X190" s="8"/>
      <c r="Y190" s="8"/>
      <c r="Z190" s="9"/>
      <c r="AA190" s="492"/>
      <c r="AB190" s="491"/>
      <c r="AC190" s="8"/>
      <c r="AD190" s="8"/>
      <c r="AE190" s="9"/>
      <c r="AF190" s="492"/>
      <c r="AG190" s="491"/>
      <c r="AH190" s="8"/>
      <c r="AI190" s="8"/>
      <c r="AJ190" s="9"/>
      <c r="AK190" s="492"/>
      <c r="AL190" s="491"/>
      <c r="AM190" s="8"/>
      <c r="AN190" s="8"/>
      <c r="AO190" s="9"/>
      <c r="AP190" s="492"/>
      <c r="AQ190" s="506"/>
      <c r="AR190" s="491"/>
      <c r="AS190" s="8"/>
      <c r="AT190" s="8"/>
      <c r="AU190" s="9"/>
      <c r="AV190" s="9"/>
      <c r="AW190" s="17"/>
      <c r="AX190" s="492"/>
      <c r="AY190" s="491"/>
      <c r="AZ190" s="7"/>
      <c r="BA190" s="9"/>
      <c r="BB190" s="9"/>
      <c r="BC190" s="492"/>
      <c r="BD190" s="491"/>
      <c r="BE190" s="7"/>
      <c r="BF190" s="7"/>
      <c r="BG190" s="7"/>
      <c r="BH190" s="9"/>
      <c r="BI190" s="9"/>
      <c r="BJ190" s="492"/>
      <c r="BK190" s="491"/>
      <c r="BL190" s="7"/>
      <c r="BM190" s="7"/>
      <c r="BN190" s="7"/>
      <c r="BO190" s="7"/>
      <c r="BP190" s="7"/>
      <c r="BQ190" s="7"/>
      <c r="BR190" s="8"/>
      <c r="BS190" s="8"/>
      <c r="BT190" s="509"/>
      <c r="BU190" s="491"/>
      <c r="BV190" s="8"/>
      <c r="BW190" s="509"/>
      <c r="BX190" s="491"/>
      <c r="BY190" s="8"/>
      <c r="BZ190" s="509"/>
      <c r="CA190" s="751"/>
    </row>
    <row r="191" spans="1:79" ht="24.95" customHeight="1">
      <c r="A191" s="468">
        <f>IF('Student DATA Entry'!A188="","",'Student DATA Entry'!A188)</f>
        <v>185</v>
      </c>
      <c r="B191" s="459" t="str">
        <f>IF('Student DATA Entry'!B188="","",'Student DATA Entry'!B188)</f>
        <v/>
      </c>
      <c r="C191" s="459" t="str">
        <f>IF('Student DATA Entry'!C188="","",'Student DATA Entry'!C188)</f>
        <v/>
      </c>
      <c r="D191" s="459" t="str">
        <f>IF('Student DATA Entry'!D188="","",'Student DATA Entry'!D188)</f>
        <v/>
      </c>
      <c r="E191" s="459" t="str">
        <f>IF('Student DATA Entry'!E188="","",'Student DATA Entry'!E188)</f>
        <v/>
      </c>
      <c r="F191" s="460" t="str">
        <f>IF('Student DATA Entry'!K188="","",'Student DATA Entry'!K188)</f>
        <v/>
      </c>
      <c r="G191" s="461" t="str">
        <f>IF('Student DATA Entry'!G188="","",UPPER('Student DATA Entry'!G188))</f>
        <v/>
      </c>
      <c r="H191" s="461" t="str">
        <f>IF('Student DATA Entry'!H188="","",UPPER('Student DATA Entry'!H188))</f>
        <v/>
      </c>
      <c r="I191" s="462" t="str">
        <f>IF('Student DATA Entry'!I188="","",UPPER('Student DATA Entry'!I188))</f>
        <v/>
      </c>
      <c r="J191" s="463" t="str">
        <f>IF('Student DATA Entry'!L188="","",UPPER('Student DATA Entry'!L188))</f>
        <v/>
      </c>
      <c r="K191" s="469" t="str">
        <f>IF('Student DATA Entry'!J188="","",UPPER('Student DATA Entry'!J188))</f>
        <v/>
      </c>
      <c r="L191" s="491"/>
      <c r="M191" s="8"/>
      <c r="N191" s="8"/>
      <c r="O191" s="9"/>
      <c r="P191" s="492"/>
      <c r="Q191" s="491"/>
      <c r="R191" s="8"/>
      <c r="S191" s="8"/>
      <c r="T191" s="9"/>
      <c r="U191" s="492"/>
      <c r="V191" s="502"/>
      <c r="W191" s="7"/>
      <c r="X191" s="8"/>
      <c r="Y191" s="8"/>
      <c r="Z191" s="9"/>
      <c r="AA191" s="492"/>
      <c r="AB191" s="491"/>
      <c r="AC191" s="8"/>
      <c r="AD191" s="8"/>
      <c r="AE191" s="9"/>
      <c r="AF191" s="492"/>
      <c r="AG191" s="491"/>
      <c r="AH191" s="8"/>
      <c r="AI191" s="8"/>
      <c r="AJ191" s="9"/>
      <c r="AK191" s="492"/>
      <c r="AL191" s="491"/>
      <c r="AM191" s="8"/>
      <c r="AN191" s="8"/>
      <c r="AO191" s="9"/>
      <c r="AP191" s="492"/>
      <c r="AQ191" s="506"/>
      <c r="AR191" s="491"/>
      <c r="AS191" s="8"/>
      <c r="AT191" s="8"/>
      <c r="AU191" s="9"/>
      <c r="AV191" s="9"/>
      <c r="AW191" s="17"/>
      <c r="AX191" s="492"/>
      <c r="AY191" s="491"/>
      <c r="AZ191" s="7"/>
      <c r="BA191" s="9"/>
      <c r="BB191" s="9"/>
      <c r="BC191" s="492"/>
      <c r="BD191" s="491"/>
      <c r="BE191" s="7"/>
      <c r="BF191" s="7"/>
      <c r="BG191" s="7"/>
      <c r="BH191" s="9"/>
      <c r="BI191" s="9"/>
      <c r="BJ191" s="492"/>
      <c r="BK191" s="491"/>
      <c r="BL191" s="7"/>
      <c r="BM191" s="7"/>
      <c r="BN191" s="7"/>
      <c r="BO191" s="7"/>
      <c r="BP191" s="7"/>
      <c r="BQ191" s="7"/>
      <c r="BR191" s="8"/>
      <c r="BS191" s="8"/>
      <c r="BT191" s="509"/>
      <c r="BU191" s="491"/>
      <c r="BV191" s="8"/>
      <c r="BW191" s="509"/>
      <c r="BX191" s="491"/>
      <c r="BY191" s="8"/>
      <c r="BZ191" s="509"/>
      <c r="CA191" s="751"/>
    </row>
    <row r="192" spans="1:79" ht="24.95" customHeight="1">
      <c r="A192" s="468">
        <f>IF('Student DATA Entry'!A189="","",'Student DATA Entry'!A189)</f>
        <v>186</v>
      </c>
      <c r="B192" s="459" t="str">
        <f>IF('Student DATA Entry'!B189="","",'Student DATA Entry'!B189)</f>
        <v/>
      </c>
      <c r="C192" s="459" t="str">
        <f>IF('Student DATA Entry'!C189="","",'Student DATA Entry'!C189)</f>
        <v/>
      </c>
      <c r="D192" s="459" t="str">
        <f>IF('Student DATA Entry'!D189="","",'Student DATA Entry'!D189)</f>
        <v/>
      </c>
      <c r="E192" s="459" t="str">
        <f>IF('Student DATA Entry'!E189="","",'Student DATA Entry'!E189)</f>
        <v/>
      </c>
      <c r="F192" s="460" t="str">
        <f>IF('Student DATA Entry'!K189="","",'Student DATA Entry'!K189)</f>
        <v/>
      </c>
      <c r="G192" s="461" t="str">
        <f>IF('Student DATA Entry'!G189="","",UPPER('Student DATA Entry'!G189))</f>
        <v/>
      </c>
      <c r="H192" s="461" t="str">
        <f>IF('Student DATA Entry'!H189="","",UPPER('Student DATA Entry'!H189))</f>
        <v/>
      </c>
      <c r="I192" s="462" t="str">
        <f>IF('Student DATA Entry'!I189="","",UPPER('Student DATA Entry'!I189))</f>
        <v/>
      </c>
      <c r="J192" s="463" t="str">
        <f>IF('Student DATA Entry'!L189="","",UPPER('Student DATA Entry'!L189))</f>
        <v/>
      </c>
      <c r="K192" s="469" t="str">
        <f>IF('Student DATA Entry'!J189="","",UPPER('Student DATA Entry'!J189))</f>
        <v/>
      </c>
      <c r="L192" s="491"/>
      <c r="M192" s="8"/>
      <c r="N192" s="8"/>
      <c r="O192" s="9"/>
      <c r="P192" s="492"/>
      <c r="Q192" s="491"/>
      <c r="R192" s="8"/>
      <c r="S192" s="8"/>
      <c r="T192" s="9"/>
      <c r="U192" s="492"/>
      <c r="V192" s="502"/>
      <c r="W192" s="7"/>
      <c r="X192" s="8"/>
      <c r="Y192" s="8"/>
      <c r="Z192" s="9"/>
      <c r="AA192" s="492"/>
      <c r="AB192" s="491"/>
      <c r="AC192" s="8"/>
      <c r="AD192" s="8"/>
      <c r="AE192" s="9"/>
      <c r="AF192" s="492"/>
      <c r="AG192" s="491"/>
      <c r="AH192" s="8"/>
      <c r="AI192" s="8"/>
      <c r="AJ192" s="9"/>
      <c r="AK192" s="492"/>
      <c r="AL192" s="491"/>
      <c r="AM192" s="8"/>
      <c r="AN192" s="8"/>
      <c r="AO192" s="9"/>
      <c r="AP192" s="492"/>
      <c r="AQ192" s="506"/>
      <c r="AR192" s="491"/>
      <c r="AS192" s="8"/>
      <c r="AT192" s="8"/>
      <c r="AU192" s="9"/>
      <c r="AV192" s="9"/>
      <c r="AW192" s="17"/>
      <c r="AX192" s="492"/>
      <c r="AY192" s="491"/>
      <c r="AZ192" s="7"/>
      <c r="BA192" s="9"/>
      <c r="BB192" s="9"/>
      <c r="BC192" s="492"/>
      <c r="BD192" s="491"/>
      <c r="BE192" s="7"/>
      <c r="BF192" s="7"/>
      <c r="BG192" s="7"/>
      <c r="BH192" s="9"/>
      <c r="BI192" s="9"/>
      <c r="BJ192" s="492"/>
      <c r="BK192" s="491"/>
      <c r="BL192" s="7"/>
      <c r="BM192" s="7"/>
      <c r="BN192" s="7"/>
      <c r="BO192" s="7"/>
      <c r="BP192" s="7"/>
      <c r="BQ192" s="7"/>
      <c r="BR192" s="8"/>
      <c r="BS192" s="8"/>
      <c r="BT192" s="509"/>
      <c r="BU192" s="491"/>
      <c r="BV192" s="8"/>
      <c r="BW192" s="509"/>
      <c r="BX192" s="491"/>
      <c r="BY192" s="8"/>
      <c r="BZ192" s="509"/>
      <c r="CA192" s="751"/>
    </row>
    <row r="193" spans="1:79" ht="24.95" customHeight="1">
      <c r="A193" s="468">
        <f>IF('Student DATA Entry'!A190="","",'Student DATA Entry'!A190)</f>
        <v>187</v>
      </c>
      <c r="B193" s="459" t="str">
        <f>IF('Student DATA Entry'!B190="","",'Student DATA Entry'!B190)</f>
        <v/>
      </c>
      <c r="C193" s="459" t="str">
        <f>IF('Student DATA Entry'!C190="","",'Student DATA Entry'!C190)</f>
        <v/>
      </c>
      <c r="D193" s="459" t="str">
        <f>IF('Student DATA Entry'!D190="","",'Student DATA Entry'!D190)</f>
        <v/>
      </c>
      <c r="E193" s="459" t="str">
        <f>IF('Student DATA Entry'!E190="","",'Student DATA Entry'!E190)</f>
        <v/>
      </c>
      <c r="F193" s="460" t="str">
        <f>IF('Student DATA Entry'!K190="","",'Student DATA Entry'!K190)</f>
        <v/>
      </c>
      <c r="G193" s="461" t="str">
        <f>IF('Student DATA Entry'!G190="","",UPPER('Student DATA Entry'!G190))</f>
        <v/>
      </c>
      <c r="H193" s="461" t="str">
        <f>IF('Student DATA Entry'!H190="","",UPPER('Student DATA Entry'!H190))</f>
        <v/>
      </c>
      <c r="I193" s="462" t="str">
        <f>IF('Student DATA Entry'!I190="","",UPPER('Student DATA Entry'!I190))</f>
        <v/>
      </c>
      <c r="J193" s="463" t="str">
        <f>IF('Student DATA Entry'!L190="","",UPPER('Student DATA Entry'!L190))</f>
        <v/>
      </c>
      <c r="K193" s="469" t="str">
        <f>IF('Student DATA Entry'!J190="","",UPPER('Student DATA Entry'!J190))</f>
        <v/>
      </c>
      <c r="L193" s="491"/>
      <c r="M193" s="8"/>
      <c r="N193" s="8"/>
      <c r="O193" s="9"/>
      <c r="P193" s="492"/>
      <c r="Q193" s="491"/>
      <c r="R193" s="8"/>
      <c r="S193" s="8"/>
      <c r="T193" s="9"/>
      <c r="U193" s="492"/>
      <c r="V193" s="502"/>
      <c r="W193" s="7"/>
      <c r="X193" s="8"/>
      <c r="Y193" s="8"/>
      <c r="Z193" s="9"/>
      <c r="AA193" s="492"/>
      <c r="AB193" s="491"/>
      <c r="AC193" s="8"/>
      <c r="AD193" s="8"/>
      <c r="AE193" s="9"/>
      <c r="AF193" s="492"/>
      <c r="AG193" s="491"/>
      <c r="AH193" s="8"/>
      <c r="AI193" s="8"/>
      <c r="AJ193" s="9"/>
      <c r="AK193" s="492"/>
      <c r="AL193" s="491"/>
      <c r="AM193" s="8"/>
      <c r="AN193" s="8"/>
      <c r="AO193" s="9"/>
      <c r="AP193" s="492"/>
      <c r="AQ193" s="506"/>
      <c r="AR193" s="491"/>
      <c r="AS193" s="8"/>
      <c r="AT193" s="8"/>
      <c r="AU193" s="9"/>
      <c r="AV193" s="9"/>
      <c r="AW193" s="17"/>
      <c r="AX193" s="492"/>
      <c r="AY193" s="491"/>
      <c r="AZ193" s="7"/>
      <c r="BA193" s="9"/>
      <c r="BB193" s="9"/>
      <c r="BC193" s="492"/>
      <c r="BD193" s="491"/>
      <c r="BE193" s="7"/>
      <c r="BF193" s="7"/>
      <c r="BG193" s="7"/>
      <c r="BH193" s="9"/>
      <c r="BI193" s="9"/>
      <c r="BJ193" s="492"/>
      <c r="BK193" s="491"/>
      <c r="BL193" s="7"/>
      <c r="BM193" s="7"/>
      <c r="BN193" s="7"/>
      <c r="BO193" s="7"/>
      <c r="BP193" s="7"/>
      <c r="BQ193" s="7"/>
      <c r="BR193" s="8"/>
      <c r="BS193" s="8"/>
      <c r="BT193" s="509"/>
      <c r="BU193" s="491"/>
      <c r="BV193" s="8"/>
      <c r="BW193" s="509"/>
      <c r="BX193" s="491"/>
      <c r="BY193" s="8"/>
      <c r="BZ193" s="509"/>
      <c r="CA193" s="751"/>
    </row>
    <row r="194" spans="1:79" ht="24.95" customHeight="1">
      <c r="A194" s="468">
        <f>IF('Student DATA Entry'!A191="","",'Student DATA Entry'!A191)</f>
        <v>188</v>
      </c>
      <c r="B194" s="459" t="str">
        <f>IF('Student DATA Entry'!B191="","",'Student DATA Entry'!B191)</f>
        <v/>
      </c>
      <c r="C194" s="459" t="str">
        <f>IF('Student DATA Entry'!C191="","",'Student DATA Entry'!C191)</f>
        <v/>
      </c>
      <c r="D194" s="459" t="str">
        <f>IF('Student DATA Entry'!D191="","",'Student DATA Entry'!D191)</f>
        <v/>
      </c>
      <c r="E194" s="459" t="str">
        <f>IF('Student DATA Entry'!E191="","",'Student DATA Entry'!E191)</f>
        <v/>
      </c>
      <c r="F194" s="460" t="str">
        <f>IF('Student DATA Entry'!K191="","",'Student DATA Entry'!K191)</f>
        <v/>
      </c>
      <c r="G194" s="461" t="str">
        <f>IF('Student DATA Entry'!G191="","",UPPER('Student DATA Entry'!G191))</f>
        <v/>
      </c>
      <c r="H194" s="461" t="str">
        <f>IF('Student DATA Entry'!H191="","",UPPER('Student DATA Entry'!H191))</f>
        <v/>
      </c>
      <c r="I194" s="462" t="str">
        <f>IF('Student DATA Entry'!I191="","",UPPER('Student DATA Entry'!I191))</f>
        <v/>
      </c>
      <c r="J194" s="463" t="str">
        <f>IF('Student DATA Entry'!L191="","",UPPER('Student DATA Entry'!L191))</f>
        <v/>
      </c>
      <c r="K194" s="469" t="str">
        <f>IF('Student DATA Entry'!J191="","",UPPER('Student DATA Entry'!J191))</f>
        <v/>
      </c>
      <c r="L194" s="491"/>
      <c r="M194" s="8"/>
      <c r="N194" s="8"/>
      <c r="O194" s="9"/>
      <c r="P194" s="492"/>
      <c r="Q194" s="491"/>
      <c r="R194" s="8"/>
      <c r="S194" s="8"/>
      <c r="T194" s="9"/>
      <c r="U194" s="492"/>
      <c r="V194" s="502"/>
      <c r="W194" s="7"/>
      <c r="X194" s="8"/>
      <c r="Y194" s="8"/>
      <c r="Z194" s="9"/>
      <c r="AA194" s="492"/>
      <c r="AB194" s="491"/>
      <c r="AC194" s="8"/>
      <c r="AD194" s="8"/>
      <c r="AE194" s="9"/>
      <c r="AF194" s="492"/>
      <c r="AG194" s="491"/>
      <c r="AH194" s="8"/>
      <c r="AI194" s="8"/>
      <c r="AJ194" s="9"/>
      <c r="AK194" s="492"/>
      <c r="AL194" s="491"/>
      <c r="AM194" s="8"/>
      <c r="AN194" s="8"/>
      <c r="AO194" s="9"/>
      <c r="AP194" s="492"/>
      <c r="AQ194" s="506"/>
      <c r="AR194" s="491"/>
      <c r="AS194" s="8"/>
      <c r="AT194" s="8"/>
      <c r="AU194" s="9"/>
      <c r="AV194" s="9"/>
      <c r="AW194" s="17"/>
      <c r="AX194" s="492"/>
      <c r="AY194" s="491"/>
      <c r="AZ194" s="7"/>
      <c r="BA194" s="9"/>
      <c r="BB194" s="9"/>
      <c r="BC194" s="492"/>
      <c r="BD194" s="491"/>
      <c r="BE194" s="7"/>
      <c r="BF194" s="7"/>
      <c r="BG194" s="7"/>
      <c r="BH194" s="9"/>
      <c r="BI194" s="9"/>
      <c r="BJ194" s="492"/>
      <c r="BK194" s="491"/>
      <c r="BL194" s="7"/>
      <c r="BM194" s="7"/>
      <c r="BN194" s="7"/>
      <c r="BO194" s="7"/>
      <c r="BP194" s="7"/>
      <c r="BQ194" s="7"/>
      <c r="BR194" s="8"/>
      <c r="BS194" s="8"/>
      <c r="BT194" s="509"/>
      <c r="BU194" s="491"/>
      <c r="BV194" s="8"/>
      <c r="BW194" s="509"/>
      <c r="BX194" s="491"/>
      <c r="BY194" s="8"/>
      <c r="BZ194" s="509"/>
      <c r="CA194" s="751"/>
    </row>
    <row r="195" spans="1:79" ht="24.95" customHeight="1">
      <c r="A195" s="468">
        <f>IF('Student DATA Entry'!A192="","",'Student DATA Entry'!A192)</f>
        <v>189</v>
      </c>
      <c r="B195" s="459" t="str">
        <f>IF('Student DATA Entry'!B192="","",'Student DATA Entry'!B192)</f>
        <v/>
      </c>
      <c r="C195" s="459" t="str">
        <f>IF('Student DATA Entry'!C192="","",'Student DATA Entry'!C192)</f>
        <v/>
      </c>
      <c r="D195" s="459" t="str">
        <f>IF('Student DATA Entry'!D192="","",'Student DATA Entry'!D192)</f>
        <v/>
      </c>
      <c r="E195" s="459" t="str">
        <f>IF('Student DATA Entry'!E192="","",'Student DATA Entry'!E192)</f>
        <v/>
      </c>
      <c r="F195" s="460" t="str">
        <f>IF('Student DATA Entry'!K192="","",'Student DATA Entry'!K192)</f>
        <v/>
      </c>
      <c r="G195" s="461" t="str">
        <f>IF('Student DATA Entry'!G192="","",UPPER('Student DATA Entry'!G192))</f>
        <v/>
      </c>
      <c r="H195" s="461" t="str">
        <f>IF('Student DATA Entry'!H192="","",UPPER('Student DATA Entry'!H192))</f>
        <v/>
      </c>
      <c r="I195" s="462" t="str">
        <f>IF('Student DATA Entry'!I192="","",UPPER('Student DATA Entry'!I192))</f>
        <v/>
      </c>
      <c r="J195" s="463" t="str">
        <f>IF('Student DATA Entry'!L192="","",UPPER('Student DATA Entry'!L192))</f>
        <v/>
      </c>
      <c r="K195" s="469" t="str">
        <f>IF('Student DATA Entry'!J192="","",UPPER('Student DATA Entry'!J192))</f>
        <v/>
      </c>
      <c r="L195" s="491"/>
      <c r="M195" s="8"/>
      <c r="N195" s="8"/>
      <c r="O195" s="9"/>
      <c r="P195" s="492"/>
      <c r="Q195" s="491"/>
      <c r="R195" s="8"/>
      <c r="S195" s="8"/>
      <c r="T195" s="9"/>
      <c r="U195" s="492"/>
      <c r="V195" s="502"/>
      <c r="W195" s="7"/>
      <c r="X195" s="8"/>
      <c r="Y195" s="8"/>
      <c r="Z195" s="9"/>
      <c r="AA195" s="492"/>
      <c r="AB195" s="491"/>
      <c r="AC195" s="8"/>
      <c r="AD195" s="8"/>
      <c r="AE195" s="9"/>
      <c r="AF195" s="492"/>
      <c r="AG195" s="491"/>
      <c r="AH195" s="8"/>
      <c r="AI195" s="8"/>
      <c r="AJ195" s="9"/>
      <c r="AK195" s="492"/>
      <c r="AL195" s="491"/>
      <c r="AM195" s="8"/>
      <c r="AN195" s="8"/>
      <c r="AO195" s="9"/>
      <c r="AP195" s="492"/>
      <c r="AQ195" s="506"/>
      <c r="AR195" s="491"/>
      <c r="AS195" s="8"/>
      <c r="AT195" s="8"/>
      <c r="AU195" s="9"/>
      <c r="AV195" s="9"/>
      <c r="AW195" s="17"/>
      <c r="AX195" s="492"/>
      <c r="AY195" s="491"/>
      <c r="AZ195" s="7"/>
      <c r="BA195" s="9"/>
      <c r="BB195" s="9"/>
      <c r="BC195" s="492"/>
      <c r="BD195" s="491"/>
      <c r="BE195" s="7"/>
      <c r="BF195" s="7"/>
      <c r="BG195" s="7"/>
      <c r="BH195" s="9"/>
      <c r="BI195" s="9"/>
      <c r="BJ195" s="492"/>
      <c r="BK195" s="491"/>
      <c r="BL195" s="7"/>
      <c r="BM195" s="7"/>
      <c r="BN195" s="7"/>
      <c r="BO195" s="7"/>
      <c r="BP195" s="7"/>
      <c r="BQ195" s="7"/>
      <c r="BR195" s="8"/>
      <c r="BS195" s="8"/>
      <c r="BT195" s="509"/>
      <c r="BU195" s="491"/>
      <c r="BV195" s="8"/>
      <c r="BW195" s="509"/>
      <c r="BX195" s="491"/>
      <c r="BY195" s="8"/>
      <c r="BZ195" s="509"/>
      <c r="CA195" s="751"/>
    </row>
    <row r="196" spans="1:79" ht="24.95" customHeight="1">
      <c r="A196" s="468">
        <f>IF('Student DATA Entry'!A193="","",'Student DATA Entry'!A193)</f>
        <v>190</v>
      </c>
      <c r="B196" s="459" t="str">
        <f>IF('Student DATA Entry'!B193="","",'Student DATA Entry'!B193)</f>
        <v/>
      </c>
      <c r="C196" s="459" t="str">
        <f>IF('Student DATA Entry'!C193="","",'Student DATA Entry'!C193)</f>
        <v/>
      </c>
      <c r="D196" s="459" t="str">
        <f>IF('Student DATA Entry'!D193="","",'Student DATA Entry'!D193)</f>
        <v/>
      </c>
      <c r="E196" s="459" t="str">
        <f>IF('Student DATA Entry'!E193="","",'Student DATA Entry'!E193)</f>
        <v/>
      </c>
      <c r="F196" s="460" t="str">
        <f>IF('Student DATA Entry'!K193="","",'Student DATA Entry'!K193)</f>
        <v/>
      </c>
      <c r="G196" s="461" t="str">
        <f>IF('Student DATA Entry'!G193="","",UPPER('Student DATA Entry'!G193))</f>
        <v/>
      </c>
      <c r="H196" s="461" t="str">
        <f>IF('Student DATA Entry'!H193="","",UPPER('Student DATA Entry'!H193))</f>
        <v/>
      </c>
      <c r="I196" s="462" t="str">
        <f>IF('Student DATA Entry'!I193="","",UPPER('Student DATA Entry'!I193))</f>
        <v/>
      </c>
      <c r="J196" s="463" t="str">
        <f>IF('Student DATA Entry'!L193="","",UPPER('Student DATA Entry'!L193))</f>
        <v/>
      </c>
      <c r="K196" s="469" t="str">
        <f>IF('Student DATA Entry'!J193="","",UPPER('Student DATA Entry'!J193))</f>
        <v/>
      </c>
      <c r="L196" s="491"/>
      <c r="M196" s="8"/>
      <c r="N196" s="8"/>
      <c r="O196" s="9"/>
      <c r="P196" s="492"/>
      <c r="Q196" s="491"/>
      <c r="R196" s="8"/>
      <c r="S196" s="8"/>
      <c r="T196" s="9"/>
      <c r="U196" s="492"/>
      <c r="V196" s="502"/>
      <c r="W196" s="7"/>
      <c r="X196" s="8"/>
      <c r="Y196" s="8"/>
      <c r="Z196" s="9"/>
      <c r="AA196" s="492"/>
      <c r="AB196" s="491"/>
      <c r="AC196" s="8"/>
      <c r="AD196" s="8"/>
      <c r="AE196" s="9"/>
      <c r="AF196" s="492"/>
      <c r="AG196" s="491"/>
      <c r="AH196" s="8"/>
      <c r="AI196" s="8"/>
      <c r="AJ196" s="9"/>
      <c r="AK196" s="492"/>
      <c r="AL196" s="491"/>
      <c r="AM196" s="8"/>
      <c r="AN196" s="8"/>
      <c r="AO196" s="9"/>
      <c r="AP196" s="492"/>
      <c r="AQ196" s="506"/>
      <c r="AR196" s="491"/>
      <c r="AS196" s="8"/>
      <c r="AT196" s="8"/>
      <c r="AU196" s="9"/>
      <c r="AV196" s="9"/>
      <c r="AW196" s="17"/>
      <c r="AX196" s="492"/>
      <c r="AY196" s="491"/>
      <c r="AZ196" s="7"/>
      <c r="BA196" s="9"/>
      <c r="BB196" s="9"/>
      <c r="BC196" s="492"/>
      <c r="BD196" s="491"/>
      <c r="BE196" s="7"/>
      <c r="BF196" s="7"/>
      <c r="BG196" s="7"/>
      <c r="BH196" s="9"/>
      <c r="BI196" s="9"/>
      <c r="BJ196" s="492"/>
      <c r="BK196" s="491"/>
      <c r="BL196" s="7"/>
      <c r="BM196" s="7"/>
      <c r="BN196" s="7"/>
      <c r="BO196" s="7"/>
      <c r="BP196" s="7"/>
      <c r="BQ196" s="7"/>
      <c r="BR196" s="8"/>
      <c r="BS196" s="8"/>
      <c r="BT196" s="509"/>
      <c r="BU196" s="491"/>
      <c r="BV196" s="8"/>
      <c r="BW196" s="509"/>
      <c r="BX196" s="491"/>
      <c r="BY196" s="8"/>
      <c r="BZ196" s="509"/>
      <c r="CA196" s="751"/>
    </row>
    <row r="197" spans="1:79" ht="24.95" customHeight="1">
      <c r="A197" s="468">
        <f>IF('Student DATA Entry'!A194="","",'Student DATA Entry'!A194)</f>
        <v>191</v>
      </c>
      <c r="B197" s="459" t="str">
        <f>IF('Student DATA Entry'!B194="","",'Student DATA Entry'!B194)</f>
        <v/>
      </c>
      <c r="C197" s="459" t="str">
        <f>IF('Student DATA Entry'!C194="","",'Student DATA Entry'!C194)</f>
        <v/>
      </c>
      <c r="D197" s="459" t="str">
        <f>IF('Student DATA Entry'!D194="","",'Student DATA Entry'!D194)</f>
        <v/>
      </c>
      <c r="E197" s="459" t="str">
        <f>IF('Student DATA Entry'!E194="","",'Student DATA Entry'!E194)</f>
        <v/>
      </c>
      <c r="F197" s="460" t="str">
        <f>IF('Student DATA Entry'!K194="","",'Student DATA Entry'!K194)</f>
        <v/>
      </c>
      <c r="G197" s="461" t="str">
        <f>IF('Student DATA Entry'!G194="","",UPPER('Student DATA Entry'!G194))</f>
        <v/>
      </c>
      <c r="H197" s="461" t="str">
        <f>IF('Student DATA Entry'!H194="","",UPPER('Student DATA Entry'!H194))</f>
        <v/>
      </c>
      <c r="I197" s="462" t="str">
        <f>IF('Student DATA Entry'!I194="","",UPPER('Student DATA Entry'!I194))</f>
        <v/>
      </c>
      <c r="J197" s="463" t="str">
        <f>IF('Student DATA Entry'!L194="","",UPPER('Student DATA Entry'!L194))</f>
        <v/>
      </c>
      <c r="K197" s="469" t="str">
        <f>IF('Student DATA Entry'!J194="","",UPPER('Student DATA Entry'!J194))</f>
        <v/>
      </c>
      <c r="L197" s="491"/>
      <c r="M197" s="8"/>
      <c r="N197" s="8"/>
      <c r="O197" s="9"/>
      <c r="P197" s="492"/>
      <c r="Q197" s="491"/>
      <c r="R197" s="8"/>
      <c r="S197" s="8"/>
      <c r="T197" s="9"/>
      <c r="U197" s="492"/>
      <c r="V197" s="502"/>
      <c r="W197" s="7"/>
      <c r="X197" s="8"/>
      <c r="Y197" s="8"/>
      <c r="Z197" s="9"/>
      <c r="AA197" s="492"/>
      <c r="AB197" s="491"/>
      <c r="AC197" s="8"/>
      <c r="AD197" s="8"/>
      <c r="AE197" s="9"/>
      <c r="AF197" s="492"/>
      <c r="AG197" s="491"/>
      <c r="AH197" s="8"/>
      <c r="AI197" s="8"/>
      <c r="AJ197" s="9"/>
      <c r="AK197" s="492"/>
      <c r="AL197" s="491"/>
      <c r="AM197" s="8"/>
      <c r="AN197" s="8"/>
      <c r="AO197" s="9"/>
      <c r="AP197" s="492"/>
      <c r="AQ197" s="506"/>
      <c r="AR197" s="491"/>
      <c r="AS197" s="8"/>
      <c r="AT197" s="8"/>
      <c r="AU197" s="9"/>
      <c r="AV197" s="9"/>
      <c r="AW197" s="17"/>
      <c r="AX197" s="492"/>
      <c r="AY197" s="491"/>
      <c r="AZ197" s="7"/>
      <c r="BA197" s="9"/>
      <c r="BB197" s="9"/>
      <c r="BC197" s="492"/>
      <c r="BD197" s="491"/>
      <c r="BE197" s="7"/>
      <c r="BF197" s="7"/>
      <c r="BG197" s="7"/>
      <c r="BH197" s="9"/>
      <c r="BI197" s="9"/>
      <c r="BJ197" s="492"/>
      <c r="BK197" s="491"/>
      <c r="BL197" s="7"/>
      <c r="BM197" s="7"/>
      <c r="BN197" s="7"/>
      <c r="BO197" s="7"/>
      <c r="BP197" s="7"/>
      <c r="BQ197" s="7"/>
      <c r="BR197" s="8"/>
      <c r="BS197" s="8"/>
      <c r="BT197" s="509"/>
      <c r="BU197" s="491"/>
      <c r="BV197" s="8"/>
      <c r="BW197" s="509"/>
      <c r="BX197" s="491"/>
      <c r="BY197" s="8"/>
      <c r="BZ197" s="509"/>
      <c r="CA197" s="751"/>
    </row>
    <row r="198" spans="1:79" ht="24.95" customHeight="1">
      <c r="A198" s="468">
        <f>IF('Student DATA Entry'!A195="","",'Student DATA Entry'!A195)</f>
        <v>192</v>
      </c>
      <c r="B198" s="459" t="str">
        <f>IF('Student DATA Entry'!B195="","",'Student DATA Entry'!B195)</f>
        <v/>
      </c>
      <c r="C198" s="459" t="str">
        <f>IF('Student DATA Entry'!C195="","",'Student DATA Entry'!C195)</f>
        <v/>
      </c>
      <c r="D198" s="459" t="str">
        <f>IF('Student DATA Entry'!D195="","",'Student DATA Entry'!D195)</f>
        <v/>
      </c>
      <c r="E198" s="459" t="str">
        <f>IF('Student DATA Entry'!E195="","",'Student DATA Entry'!E195)</f>
        <v/>
      </c>
      <c r="F198" s="460" t="str">
        <f>IF('Student DATA Entry'!K195="","",'Student DATA Entry'!K195)</f>
        <v/>
      </c>
      <c r="G198" s="461" t="str">
        <f>IF('Student DATA Entry'!G195="","",UPPER('Student DATA Entry'!G195))</f>
        <v/>
      </c>
      <c r="H198" s="461" t="str">
        <f>IF('Student DATA Entry'!H195="","",UPPER('Student DATA Entry'!H195))</f>
        <v/>
      </c>
      <c r="I198" s="462" t="str">
        <f>IF('Student DATA Entry'!I195="","",UPPER('Student DATA Entry'!I195))</f>
        <v/>
      </c>
      <c r="J198" s="463" t="str">
        <f>IF('Student DATA Entry'!L195="","",UPPER('Student DATA Entry'!L195))</f>
        <v/>
      </c>
      <c r="K198" s="469" t="str">
        <f>IF('Student DATA Entry'!J195="","",UPPER('Student DATA Entry'!J195))</f>
        <v/>
      </c>
      <c r="L198" s="491"/>
      <c r="M198" s="8"/>
      <c r="N198" s="8"/>
      <c r="O198" s="9"/>
      <c r="P198" s="492"/>
      <c r="Q198" s="491"/>
      <c r="R198" s="8"/>
      <c r="S198" s="8"/>
      <c r="T198" s="9"/>
      <c r="U198" s="492"/>
      <c r="V198" s="502"/>
      <c r="W198" s="7"/>
      <c r="X198" s="8"/>
      <c r="Y198" s="8"/>
      <c r="Z198" s="9"/>
      <c r="AA198" s="492"/>
      <c r="AB198" s="491"/>
      <c r="AC198" s="8"/>
      <c r="AD198" s="8"/>
      <c r="AE198" s="9"/>
      <c r="AF198" s="492"/>
      <c r="AG198" s="491"/>
      <c r="AH198" s="8"/>
      <c r="AI198" s="8"/>
      <c r="AJ198" s="9"/>
      <c r="AK198" s="492"/>
      <c r="AL198" s="491"/>
      <c r="AM198" s="8"/>
      <c r="AN198" s="8"/>
      <c r="AO198" s="9"/>
      <c r="AP198" s="492"/>
      <c r="AQ198" s="506"/>
      <c r="AR198" s="491"/>
      <c r="AS198" s="8"/>
      <c r="AT198" s="8"/>
      <c r="AU198" s="9"/>
      <c r="AV198" s="9"/>
      <c r="AW198" s="17"/>
      <c r="AX198" s="492"/>
      <c r="AY198" s="491"/>
      <c r="AZ198" s="7"/>
      <c r="BA198" s="9"/>
      <c r="BB198" s="9"/>
      <c r="BC198" s="492"/>
      <c r="BD198" s="491"/>
      <c r="BE198" s="7"/>
      <c r="BF198" s="7"/>
      <c r="BG198" s="7"/>
      <c r="BH198" s="9"/>
      <c r="BI198" s="9"/>
      <c r="BJ198" s="492"/>
      <c r="BK198" s="491"/>
      <c r="BL198" s="7"/>
      <c r="BM198" s="7"/>
      <c r="BN198" s="7"/>
      <c r="BO198" s="7"/>
      <c r="BP198" s="7"/>
      <c r="BQ198" s="7"/>
      <c r="BR198" s="8"/>
      <c r="BS198" s="8"/>
      <c r="BT198" s="509"/>
      <c r="BU198" s="491"/>
      <c r="BV198" s="8"/>
      <c r="BW198" s="509"/>
      <c r="BX198" s="491"/>
      <c r="BY198" s="8"/>
      <c r="BZ198" s="509"/>
      <c r="CA198" s="751"/>
    </row>
    <row r="199" spans="1:79" ht="24.95" customHeight="1">
      <c r="A199" s="468">
        <f>IF('Student DATA Entry'!A196="","",'Student DATA Entry'!A196)</f>
        <v>193</v>
      </c>
      <c r="B199" s="459" t="str">
        <f>IF('Student DATA Entry'!B196="","",'Student DATA Entry'!B196)</f>
        <v/>
      </c>
      <c r="C199" s="459" t="str">
        <f>IF('Student DATA Entry'!C196="","",'Student DATA Entry'!C196)</f>
        <v/>
      </c>
      <c r="D199" s="459" t="str">
        <f>IF('Student DATA Entry'!D196="","",'Student DATA Entry'!D196)</f>
        <v/>
      </c>
      <c r="E199" s="459" t="str">
        <f>IF('Student DATA Entry'!E196="","",'Student DATA Entry'!E196)</f>
        <v/>
      </c>
      <c r="F199" s="460" t="str">
        <f>IF('Student DATA Entry'!K196="","",'Student DATA Entry'!K196)</f>
        <v/>
      </c>
      <c r="G199" s="461" t="str">
        <f>IF('Student DATA Entry'!G196="","",UPPER('Student DATA Entry'!G196))</f>
        <v/>
      </c>
      <c r="H199" s="461" t="str">
        <f>IF('Student DATA Entry'!H196="","",UPPER('Student DATA Entry'!H196))</f>
        <v/>
      </c>
      <c r="I199" s="462" t="str">
        <f>IF('Student DATA Entry'!I196="","",UPPER('Student DATA Entry'!I196))</f>
        <v/>
      </c>
      <c r="J199" s="463" t="str">
        <f>IF('Student DATA Entry'!L196="","",UPPER('Student DATA Entry'!L196))</f>
        <v/>
      </c>
      <c r="K199" s="469" t="str">
        <f>IF('Student DATA Entry'!J196="","",UPPER('Student DATA Entry'!J196))</f>
        <v/>
      </c>
      <c r="L199" s="491"/>
      <c r="M199" s="8"/>
      <c r="N199" s="8"/>
      <c r="O199" s="9"/>
      <c r="P199" s="492"/>
      <c r="Q199" s="491"/>
      <c r="R199" s="8"/>
      <c r="S199" s="8"/>
      <c r="T199" s="9"/>
      <c r="U199" s="492"/>
      <c r="V199" s="502"/>
      <c r="W199" s="7"/>
      <c r="X199" s="8"/>
      <c r="Y199" s="8"/>
      <c r="Z199" s="9"/>
      <c r="AA199" s="492"/>
      <c r="AB199" s="491"/>
      <c r="AC199" s="8"/>
      <c r="AD199" s="8"/>
      <c r="AE199" s="9"/>
      <c r="AF199" s="492"/>
      <c r="AG199" s="491"/>
      <c r="AH199" s="8"/>
      <c r="AI199" s="8"/>
      <c r="AJ199" s="9"/>
      <c r="AK199" s="492"/>
      <c r="AL199" s="491"/>
      <c r="AM199" s="8"/>
      <c r="AN199" s="8"/>
      <c r="AO199" s="9"/>
      <c r="AP199" s="492"/>
      <c r="AQ199" s="506"/>
      <c r="AR199" s="491"/>
      <c r="AS199" s="8"/>
      <c r="AT199" s="8"/>
      <c r="AU199" s="9"/>
      <c r="AV199" s="9"/>
      <c r="AW199" s="17"/>
      <c r="AX199" s="492"/>
      <c r="AY199" s="491"/>
      <c r="AZ199" s="7"/>
      <c r="BA199" s="9"/>
      <c r="BB199" s="9"/>
      <c r="BC199" s="492"/>
      <c r="BD199" s="491"/>
      <c r="BE199" s="7"/>
      <c r="BF199" s="7"/>
      <c r="BG199" s="7"/>
      <c r="BH199" s="9"/>
      <c r="BI199" s="9"/>
      <c r="BJ199" s="492"/>
      <c r="BK199" s="491"/>
      <c r="BL199" s="7"/>
      <c r="BM199" s="7"/>
      <c r="BN199" s="7"/>
      <c r="BO199" s="7"/>
      <c r="BP199" s="7"/>
      <c r="BQ199" s="7"/>
      <c r="BR199" s="8"/>
      <c r="BS199" s="8"/>
      <c r="BT199" s="509"/>
      <c r="BU199" s="491"/>
      <c r="BV199" s="8"/>
      <c r="BW199" s="509"/>
      <c r="BX199" s="491"/>
      <c r="BY199" s="8"/>
      <c r="BZ199" s="509"/>
      <c r="CA199" s="751"/>
    </row>
    <row r="200" spans="1:79" ht="24.95" customHeight="1">
      <c r="A200" s="468">
        <f>IF('Student DATA Entry'!A197="","",'Student DATA Entry'!A197)</f>
        <v>194</v>
      </c>
      <c r="B200" s="459" t="str">
        <f>IF('Student DATA Entry'!B197="","",'Student DATA Entry'!B197)</f>
        <v/>
      </c>
      <c r="C200" s="459" t="str">
        <f>IF('Student DATA Entry'!C197="","",'Student DATA Entry'!C197)</f>
        <v/>
      </c>
      <c r="D200" s="459" t="str">
        <f>IF('Student DATA Entry'!D197="","",'Student DATA Entry'!D197)</f>
        <v/>
      </c>
      <c r="E200" s="459" t="str">
        <f>IF('Student DATA Entry'!E197="","",'Student DATA Entry'!E197)</f>
        <v/>
      </c>
      <c r="F200" s="460" t="str">
        <f>IF('Student DATA Entry'!K197="","",'Student DATA Entry'!K197)</f>
        <v/>
      </c>
      <c r="G200" s="461" t="str">
        <f>IF('Student DATA Entry'!G197="","",UPPER('Student DATA Entry'!G197))</f>
        <v/>
      </c>
      <c r="H200" s="461" t="str">
        <f>IF('Student DATA Entry'!H197="","",UPPER('Student DATA Entry'!H197))</f>
        <v/>
      </c>
      <c r="I200" s="462" t="str">
        <f>IF('Student DATA Entry'!I197="","",UPPER('Student DATA Entry'!I197))</f>
        <v/>
      </c>
      <c r="J200" s="463" t="str">
        <f>IF('Student DATA Entry'!L197="","",UPPER('Student DATA Entry'!L197))</f>
        <v/>
      </c>
      <c r="K200" s="469" t="str">
        <f>IF('Student DATA Entry'!J197="","",UPPER('Student DATA Entry'!J197))</f>
        <v/>
      </c>
      <c r="L200" s="491"/>
      <c r="M200" s="8"/>
      <c r="N200" s="8"/>
      <c r="O200" s="9"/>
      <c r="P200" s="492"/>
      <c r="Q200" s="491"/>
      <c r="R200" s="8"/>
      <c r="S200" s="8"/>
      <c r="T200" s="9"/>
      <c r="U200" s="492"/>
      <c r="V200" s="502"/>
      <c r="W200" s="7"/>
      <c r="X200" s="8"/>
      <c r="Y200" s="8"/>
      <c r="Z200" s="9"/>
      <c r="AA200" s="492"/>
      <c r="AB200" s="491"/>
      <c r="AC200" s="8"/>
      <c r="AD200" s="8"/>
      <c r="AE200" s="9"/>
      <c r="AF200" s="492"/>
      <c r="AG200" s="491"/>
      <c r="AH200" s="8"/>
      <c r="AI200" s="8"/>
      <c r="AJ200" s="9"/>
      <c r="AK200" s="492"/>
      <c r="AL200" s="491"/>
      <c r="AM200" s="8"/>
      <c r="AN200" s="8"/>
      <c r="AO200" s="9"/>
      <c r="AP200" s="492"/>
      <c r="AQ200" s="506"/>
      <c r="AR200" s="491"/>
      <c r="AS200" s="8"/>
      <c r="AT200" s="8"/>
      <c r="AU200" s="9"/>
      <c r="AV200" s="9"/>
      <c r="AW200" s="17"/>
      <c r="AX200" s="492"/>
      <c r="AY200" s="491"/>
      <c r="AZ200" s="7"/>
      <c r="BA200" s="9"/>
      <c r="BB200" s="9"/>
      <c r="BC200" s="492"/>
      <c r="BD200" s="491"/>
      <c r="BE200" s="7"/>
      <c r="BF200" s="7"/>
      <c r="BG200" s="7"/>
      <c r="BH200" s="9"/>
      <c r="BI200" s="9"/>
      <c r="BJ200" s="492"/>
      <c r="BK200" s="491"/>
      <c r="BL200" s="7"/>
      <c r="BM200" s="7"/>
      <c r="BN200" s="7"/>
      <c r="BO200" s="7"/>
      <c r="BP200" s="7"/>
      <c r="BQ200" s="7"/>
      <c r="BR200" s="8"/>
      <c r="BS200" s="8"/>
      <c r="BT200" s="509"/>
      <c r="BU200" s="491"/>
      <c r="BV200" s="8"/>
      <c r="BW200" s="509"/>
      <c r="BX200" s="491"/>
      <c r="BY200" s="8"/>
      <c r="BZ200" s="509"/>
      <c r="CA200" s="751"/>
    </row>
    <row r="201" spans="1:79" ht="24.95" customHeight="1">
      <c r="A201" s="468">
        <f>IF('Student DATA Entry'!A198="","",'Student DATA Entry'!A198)</f>
        <v>195</v>
      </c>
      <c r="B201" s="459" t="str">
        <f>IF('Student DATA Entry'!B198="","",'Student DATA Entry'!B198)</f>
        <v/>
      </c>
      <c r="C201" s="459" t="str">
        <f>IF('Student DATA Entry'!C198="","",'Student DATA Entry'!C198)</f>
        <v/>
      </c>
      <c r="D201" s="459" t="str">
        <f>IF('Student DATA Entry'!D198="","",'Student DATA Entry'!D198)</f>
        <v/>
      </c>
      <c r="E201" s="459" t="str">
        <f>IF('Student DATA Entry'!E198="","",'Student DATA Entry'!E198)</f>
        <v/>
      </c>
      <c r="F201" s="460" t="str">
        <f>IF('Student DATA Entry'!K198="","",'Student DATA Entry'!K198)</f>
        <v/>
      </c>
      <c r="G201" s="461" t="str">
        <f>IF('Student DATA Entry'!G198="","",UPPER('Student DATA Entry'!G198))</f>
        <v/>
      </c>
      <c r="H201" s="461" t="str">
        <f>IF('Student DATA Entry'!H198="","",UPPER('Student DATA Entry'!H198))</f>
        <v/>
      </c>
      <c r="I201" s="462" t="str">
        <f>IF('Student DATA Entry'!I198="","",UPPER('Student DATA Entry'!I198))</f>
        <v/>
      </c>
      <c r="J201" s="463" t="str">
        <f>IF('Student DATA Entry'!L198="","",UPPER('Student DATA Entry'!L198))</f>
        <v/>
      </c>
      <c r="K201" s="469" t="str">
        <f>IF('Student DATA Entry'!J198="","",UPPER('Student DATA Entry'!J198))</f>
        <v/>
      </c>
      <c r="L201" s="491"/>
      <c r="M201" s="8"/>
      <c r="N201" s="8"/>
      <c r="O201" s="9"/>
      <c r="P201" s="492"/>
      <c r="Q201" s="491"/>
      <c r="R201" s="8"/>
      <c r="S201" s="8"/>
      <c r="T201" s="9"/>
      <c r="U201" s="492"/>
      <c r="V201" s="502"/>
      <c r="W201" s="7"/>
      <c r="X201" s="8"/>
      <c r="Y201" s="8"/>
      <c r="Z201" s="9"/>
      <c r="AA201" s="492"/>
      <c r="AB201" s="491"/>
      <c r="AC201" s="8"/>
      <c r="AD201" s="8"/>
      <c r="AE201" s="9"/>
      <c r="AF201" s="492"/>
      <c r="AG201" s="491"/>
      <c r="AH201" s="8"/>
      <c r="AI201" s="8"/>
      <c r="AJ201" s="9"/>
      <c r="AK201" s="492"/>
      <c r="AL201" s="491"/>
      <c r="AM201" s="8"/>
      <c r="AN201" s="8"/>
      <c r="AO201" s="9"/>
      <c r="AP201" s="492"/>
      <c r="AQ201" s="506"/>
      <c r="AR201" s="491"/>
      <c r="AS201" s="8"/>
      <c r="AT201" s="8"/>
      <c r="AU201" s="9"/>
      <c r="AV201" s="9"/>
      <c r="AW201" s="17"/>
      <c r="AX201" s="492"/>
      <c r="AY201" s="491"/>
      <c r="AZ201" s="7"/>
      <c r="BA201" s="9"/>
      <c r="BB201" s="9"/>
      <c r="BC201" s="492"/>
      <c r="BD201" s="491"/>
      <c r="BE201" s="7"/>
      <c r="BF201" s="7"/>
      <c r="BG201" s="7"/>
      <c r="BH201" s="9"/>
      <c r="BI201" s="9"/>
      <c r="BJ201" s="492"/>
      <c r="BK201" s="491"/>
      <c r="BL201" s="7"/>
      <c r="BM201" s="7"/>
      <c r="BN201" s="7"/>
      <c r="BO201" s="7"/>
      <c r="BP201" s="7"/>
      <c r="BQ201" s="7"/>
      <c r="BR201" s="8"/>
      <c r="BS201" s="8"/>
      <c r="BT201" s="509"/>
      <c r="BU201" s="491"/>
      <c r="BV201" s="8"/>
      <c r="BW201" s="509"/>
      <c r="BX201" s="491"/>
      <c r="BY201" s="8"/>
      <c r="BZ201" s="509"/>
      <c r="CA201" s="751"/>
    </row>
    <row r="202" spans="1:79" ht="24.95" customHeight="1">
      <c r="A202" s="468">
        <f>IF('Student DATA Entry'!A199="","",'Student DATA Entry'!A199)</f>
        <v>196</v>
      </c>
      <c r="B202" s="459" t="str">
        <f>IF('Student DATA Entry'!B199="","",'Student DATA Entry'!B199)</f>
        <v/>
      </c>
      <c r="C202" s="459" t="str">
        <f>IF('Student DATA Entry'!C199="","",'Student DATA Entry'!C199)</f>
        <v/>
      </c>
      <c r="D202" s="459" t="str">
        <f>IF('Student DATA Entry'!D199="","",'Student DATA Entry'!D199)</f>
        <v/>
      </c>
      <c r="E202" s="459" t="str">
        <f>IF('Student DATA Entry'!E199="","",'Student DATA Entry'!E199)</f>
        <v/>
      </c>
      <c r="F202" s="460" t="str">
        <f>IF('Student DATA Entry'!K199="","",'Student DATA Entry'!K199)</f>
        <v/>
      </c>
      <c r="G202" s="461" t="str">
        <f>IF('Student DATA Entry'!G199="","",UPPER('Student DATA Entry'!G199))</f>
        <v/>
      </c>
      <c r="H202" s="461" t="str">
        <f>IF('Student DATA Entry'!H199="","",UPPER('Student DATA Entry'!H199))</f>
        <v/>
      </c>
      <c r="I202" s="462" t="str">
        <f>IF('Student DATA Entry'!I199="","",UPPER('Student DATA Entry'!I199))</f>
        <v/>
      </c>
      <c r="J202" s="463" t="str">
        <f>IF('Student DATA Entry'!L199="","",UPPER('Student DATA Entry'!L199))</f>
        <v/>
      </c>
      <c r="K202" s="469" t="str">
        <f>IF('Student DATA Entry'!J199="","",UPPER('Student DATA Entry'!J199))</f>
        <v/>
      </c>
      <c r="L202" s="491"/>
      <c r="M202" s="8"/>
      <c r="N202" s="8"/>
      <c r="O202" s="9"/>
      <c r="P202" s="492"/>
      <c r="Q202" s="491"/>
      <c r="R202" s="8"/>
      <c r="S202" s="8"/>
      <c r="T202" s="9"/>
      <c r="U202" s="492"/>
      <c r="V202" s="502"/>
      <c r="W202" s="7"/>
      <c r="X202" s="8"/>
      <c r="Y202" s="8"/>
      <c r="Z202" s="9"/>
      <c r="AA202" s="492"/>
      <c r="AB202" s="491"/>
      <c r="AC202" s="8"/>
      <c r="AD202" s="8"/>
      <c r="AE202" s="9"/>
      <c r="AF202" s="492"/>
      <c r="AG202" s="491"/>
      <c r="AH202" s="8"/>
      <c r="AI202" s="8"/>
      <c r="AJ202" s="9"/>
      <c r="AK202" s="492"/>
      <c r="AL202" s="491"/>
      <c r="AM202" s="8"/>
      <c r="AN202" s="8"/>
      <c r="AO202" s="9"/>
      <c r="AP202" s="492"/>
      <c r="AQ202" s="506"/>
      <c r="AR202" s="491"/>
      <c r="AS202" s="8"/>
      <c r="AT202" s="8"/>
      <c r="AU202" s="9"/>
      <c r="AV202" s="9"/>
      <c r="AW202" s="17"/>
      <c r="AX202" s="492"/>
      <c r="AY202" s="491"/>
      <c r="AZ202" s="7"/>
      <c r="BA202" s="9"/>
      <c r="BB202" s="9"/>
      <c r="BC202" s="492"/>
      <c r="BD202" s="491"/>
      <c r="BE202" s="7"/>
      <c r="BF202" s="7"/>
      <c r="BG202" s="7"/>
      <c r="BH202" s="9"/>
      <c r="BI202" s="9"/>
      <c r="BJ202" s="492"/>
      <c r="BK202" s="491"/>
      <c r="BL202" s="7"/>
      <c r="BM202" s="7"/>
      <c r="BN202" s="7"/>
      <c r="BO202" s="7"/>
      <c r="BP202" s="7"/>
      <c r="BQ202" s="7"/>
      <c r="BR202" s="8"/>
      <c r="BS202" s="8"/>
      <c r="BT202" s="509"/>
      <c r="BU202" s="491"/>
      <c r="BV202" s="8"/>
      <c r="BW202" s="509"/>
      <c r="BX202" s="491"/>
      <c r="BY202" s="8"/>
      <c r="BZ202" s="509"/>
      <c r="CA202" s="751"/>
    </row>
    <row r="203" spans="1:79" ht="24.95" customHeight="1">
      <c r="A203" s="468">
        <f>IF('Student DATA Entry'!A200="","",'Student DATA Entry'!A200)</f>
        <v>197</v>
      </c>
      <c r="B203" s="459" t="str">
        <f>IF('Student DATA Entry'!B200="","",'Student DATA Entry'!B200)</f>
        <v/>
      </c>
      <c r="C203" s="459" t="str">
        <f>IF('Student DATA Entry'!C200="","",'Student DATA Entry'!C200)</f>
        <v/>
      </c>
      <c r="D203" s="459" t="str">
        <f>IF('Student DATA Entry'!D200="","",'Student DATA Entry'!D200)</f>
        <v/>
      </c>
      <c r="E203" s="459" t="str">
        <f>IF('Student DATA Entry'!E200="","",'Student DATA Entry'!E200)</f>
        <v/>
      </c>
      <c r="F203" s="460" t="str">
        <f>IF('Student DATA Entry'!K200="","",'Student DATA Entry'!K200)</f>
        <v/>
      </c>
      <c r="G203" s="461" t="str">
        <f>IF('Student DATA Entry'!G200="","",UPPER('Student DATA Entry'!G200))</f>
        <v/>
      </c>
      <c r="H203" s="461" t="str">
        <f>IF('Student DATA Entry'!H200="","",UPPER('Student DATA Entry'!H200))</f>
        <v/>
      </c>
      <c r="I203" s="462" t="str">
        <f>IF('Student DATA Entry'!I200="","",UPPER('Student DATA Entry'!I200))</f>
        <v/>
      </c>
      <c r="J203" s="463" t="str">
        <f>IF('Student DATA Entry'!L200="","",UPPER('Student DATA Entry'!L200))</f>
        <v/>
      </c>
      <c r="K203" s="469" t="str">
        <f>IF('Student DATA Entry'!J200="","",UPPER('Student DATA Entry'!J200))</f>
        <v/>
      </c>
      <c r="L203" s="491"/>
      <c r="M203" s="8"/>
      <c r="N203" s="8"/>
      <c r="O203" s="9"/>
      <c r="P203" s="492"/>
      <c r="Q203" s="491"/>
      <c r="R203" s="8"/>
      <c r="S203" s="8"/>
      <c r="T203" s="9"/>
      <c r="U203" s="492"/>
      <c r="V203" s="502"/>
      <c r="W203" s="7"/>
      <c r="X203" s="8"/>
      <c r="Y203" s="8"/>
      <c r="Z203" s="9"/>
      <c r="AA203" s="492"/>
      <c r="AB203" s="491"/>
      <c r="AC203" s="8"/>
      <c r="AD203" s="8"/>
      <c r="AE203" s="9"/>
      <c r="AF203" s="492"/>
      <c r="AG203" s="491"/>
      <c r="AH203" s="8"/>
      <c r="AI203" s="8"/>
      <c r="AJ203" s="9"/>
      <c r="AK203" s="492"/>
      <c r="AL203" s="491"/>
      <c r="AM203" s="8"/>
      <c r="AN203" s="8"/>
      <c r="AO203" s="9"/>
      <c r="AP203" s="492"/>
      <c r="AQ203" s="506"/>
      <c r="AR203" s="491"/>
      <c r="AS203" s="8"/>
      <c r="AT203" s="8"/>
      <c r="AU203" s="9"/>
      <c r="AV203" s="9"/>
      <c r="AW203" s="17"/>
      <c r="AX203" s="492"/>
      <c r="AY203" s="491"/>
      <c r="AZ203" s="7"/>
      <c r="BA203" s="9"/>
      <c r="BB203" s="9"/>
      <c r="BC203" s="492"/>
      <c r="BD203" s="491"/>
      <c r="BE203" s="7"/>
      <c r="BF203" s="7"/>
      <c r="BG203" s="7"/>
      <c r="BH203" s="9"/>
      <c r="BI203" s="9"/>
      <c r="BJ203" s="492"/>
      <c r="BK203" s="491"/>
      <c r="BL203" s="7"/>
      <c r="BM203" s="7"/>
      <c r="BN203" s="7"/>
      <c r="BO203" s="7"/>
      <c r="BP203" s="7"/>
      <c r="BQ203" s="7"/>
      <c r="BR203" s="8"/>
      <c r="BS203" s="8"/>
      <c r="BT203" s="509"/>
      <c r="BU203" s="491"/>
      <c r="BV203" s="8"/>
      <c r="BW203" s="509"/>
      <c r="BX203" s="491"/>
      <c r="BY203" s="8"/>
      <c r="BZ203" s="509"/>
      <c r="CA203" s="751"/>
    </row>
    <row r="204" spans="1:79" ht="24.95" customHeight="1">
      <c r="A204" s="468">
        <f>IF('Student DATA Entry'!A201="","",'Student DATA Entry'!A201)</f>
        <v>198</v>
      </c>
      <c r="B204" s="459" t="str">
        <f>IF('Student DATA Entry'!B201="","",'Student DATA Entry'!B201)</f>
        <v/>
      </c>
      <c r="C204" s="459" t="str">
        <f>IF('Student DATA Entry'!C201="","",'Student DATA Entry'!C201)</f>
        <v/>
      </c>
      <c r="D204" s="459" t="str">
        <f>IF('Student DATA Entry'!D201="","",'Student DATA Entry'!D201)</f>
        <v/>
      </c>
      <c r="E204" s="459" t="str">
        <f>IF('Student DATA Entry'!E201="","",'Student DATA Entry'!E201)</f>
        <v/>
      </c>
      <c r="F204" s="460" t="str">
        <f>IF('Student DATA Entry'!K201="","",'Student DATA Entry'!K201)</f>
        <v/>
      </c>
      <c r="G204" s="461" t="str">
        <f>IF('Student DATA Entry'!G201="","",UPPER('Student DATA Entry'!G201))</f>
        <v/>
      </c>
      <c r="H204" s="461" t="str">
        <f>IF('Student DATA Entry'!H201="","",UPPER('Student DATA Entry'!H201))</f>
        <v/>
      </c>
      <c r="I204" s="462" t="str">
        <f>IF('Student DATA Entry'!I201="","",UPPER('Student DATA Entry'!I201))</f>
        <v/>
      </c>
      <c r="J204" s="463" t="str">
        <f>IF('Student DATA Entry'!L201="","",UPPER('Student DATA Entry'!L201))</f>
        <v/>
      </c>
      <c r="K204" s="469" t="str">
        <f>IF('Student DATA Entry'!J201="","",UPPER('Student DATA Entry'!J201))</f>
        <v/>
      </c>
      <c r="L204" s="491"/>
      <c r="M204" s="8"/>
      <c r="N204" s="8"/>
      <c r="O204" s="9"/>
      <c r="P204" s="492"/>
      <c r="Q204" s="491"/>
      <c r="R204" s="8"/>
      <c r="S204" s="8"/>
      <c r="T204" s="9"/>
      <c r="U204" s="492"/>
      <c r="V204" s="502"/>
      <c r="W204" s="7"/>
      <c r="X204" s="8"/>
      <c r="Y204" s="8"/>
      <c r="Z204" s="9"/>
      <c r="AA204" s="492"/>
      <c r="AB204" s="491"/>
      <c r="AC204" s="8"/>
      <c r="AD204" s="8"/>
      <c r="AE204" s="9"/>
      <c r="AF204" s="492"/>
      <c r="AG204" s="491"/>
      <c r="AH204" s="8"/>
      <c r="AI204" s="8"/>
      <c r="AJ204" s="9"/>
      <c r="AK204" s="492"/>
      <c r="AL204" s="491"/>
      <c r="AM204" s="8"/>
      <c r="AN204" s="8"/>
      <c r="AO204" s="9"/>
      <c r="AP204" s="492"/>
      <c r="AQ204" s="506"/>
      <c r="AR204" s="491"/>
      <c r="AS204" s="8"/>
      <c r="AT204" s="8"/>
      <c r="AU204" s="9"/>
      <c r="AV204" s="9"/>
      <c r="AW204" s="17"/>
      <c r="AX204" s="492"/>
      <c r="AY204" s="491"/>
      <c r="AZ204" s="7"/>
      <c r="BA204" s="9"/>
      <c r="BB204" s="9"/>
      <c r="BC204" s="492"/>
      <c r="BD204" s="491"/>
      <c r="BE204" s="7"/>
      <c r="BF204" s="7"/>
      <c r="BG204" s="7"/>
      <c r="BH204" s="9"/>
      <c r="BI204" s="9"/>
      <c r="BJ204" s="492"/>
      <c r="BK204" s="491"/>
      <c r="BL204" s="7"/>
      <c r="BM204" s="7"/>
      <c r="BN204" s="7"/>
      <c r="BO204" s="7"/>
      <c r="BP204" s="7"/>
      <c r="BQ204" s="7"/>
      <c r="BR204" s="8"/>
      <c r="BS204" s="8"/>
      <c r="BT204" s="509"/>
      <c r="BU204" s="491"/>
      <c r="BV204" s="8"/>
      <c r="BW204" s="509"/>
      <c r="BX204" s="491"/>
      <c r="BY204" s="8"/>
      <c r="BZ204" s="509"/>
      <c r="CA204" s="751"/>
    </row>
    <row r="205" spans="1:79" ht="24.95" customHeight="1">
      <c r="A205" s="468">
        <f>IF('Student DATA Entry'!A202="","",'Student DATA Entry'!A202)</f>
        <v>199</v>
      </c>
      <c r="B205" s="459" t="str">
        <f>IF('Student DATA Entry'!B202="","",'Student DATA Entry'!B202)</f>
        <v/>
      </c>
      <c r="C205" s="459" t="str">
        <f>IF('Student DATA Entry'!C202="","",'Student DATA Entry'!C202)</f>
        <v/>
      </c>
      <c r="D205" s="459" t="str">
        <f>IF('Student DATA Entry'!D202="","",'Student DATA Entry'!D202)</f>
        <v/>
      </c>
      <c r="E205" s="459" t="str">
        <f>IF('Student DATA Entry'!E202="","",'Student DATA Entry'!E202)</f>
        <v/>
      </c>
      <c r="F205" s="460" t="str">
        <f>IF('Student DATA Entry'!K202="","",'Student DATA Entry'!K202)</f>
        <v/>
      </c>
      <c r="G205" s="461" t="str">
        <f>IF('Student DATA Entry'!G202="","",UPPER('Student DATA Entry'!G202))</f>
        <v/>
      </c>
      <c r="H205" s="461" t="str">
        <f>IF('Student DATA Entry'!H202="","",UPPER('Student DATA Entry'!H202))</f>
        <v/>
      </c>
      <c r="I205" s="462" t="str">
        <f>IF('Student DATA Entry'!I202="","",UPPER('Student DATA Entry'!I202))</f>
        <v/>
      </c>
      <c r="J205" s="463" t="str">
        <f>IF('Student DATA Entry'!L202="","",UPPER('Student DATA Entry'!L202))</f>
        <v/>
      </c>
      <c r="K205" s="469" t="str">
        <f>IF('Student DATA Entry'!J202="","",UPPER('Student DATA Entry'!J202))</f>
        <v/>
      </c>
      <c r="L205" s="491"/>
      <c r="M205" s="8"/>
      <c r="N205" s="8"/>
      <c r="O205" s="9"/>
      <c r="P205" s="492"/>
      <c r="Q205" s="491"/>
      <c r="R205" s="8"/>
      <c r="S205" s="8"/>
      <c r="T205" s="9"/>
      <c r="U205" s="492"/>
      <c r="V205" s="502"/>
      <c r="W205" s="7"/>
      <c r="X205" s="8"/>
      <c r="Y205" s="8"/>
      <c r="Z205" s="9"/>
      <c r="AA205" s="492"/>
      <c r="AB205" s="491"/>
      <c r="AC205" s="8"/>
      <c r="AD205" s="8"/>
      <c r="AE205" s="9"/>
      <c r="AF205" s="492"/>
      <c r="AG205" s="491"/>
      <c r="AH205" s="8"/>
      <c r="AI205" s="8"/>
      <c r="AJ205" s="9"/>
      <c r="AK205" s="492"/>
      <c r="AL205" s="491"/>
      <c r="AM205" s="8"/>
      <c r="AN205" s="8"/>
      <c r="AO205" s="9"/>
      <c r="AP205" s="492"/>
      <c r="AQ205" s="506"/>
      <c r="AR205" s="491"/>
      <c r="AS205" s="8"/>
      <c r="AT205" s="8"/>
      <c r="AU205" s="9"/>
      <c r="AV205" s="9"/>
      <c r="AW205" s="17"/>
      <c r="AX205" s="492"/>
      <c r="AY205" s="491"/>
      <c r="AZ205" s="7"/>
      <c r="BA205" s="9"/>
      <c r="BB205" s="9"/>
      <c r="BC205" s="492"/>
      <c r="BD205" s="491"/>
      <c r="BE205" s="7"/>
      <c r="BF205" s="7"/>
      <c r="BG205" s="7"/>
      <c r="BH205" s="9"/>
      <c r="BI205" s="9"/>
      <c r="BJ205" s="492"/>
      <c r="BK205" s="491"/>
      <c r="BL205" s="7"/>
      <c r="BM205" s="7"/>
      <c r="BN205" s="7"/>
      <c r="BO205" s="7"/>
      <c r="BP205" s="7"/>
      <c r="BQ205" s="7"/>
      <c r="BR205" s="8"/>
      <c r="BS205" s="8"/>
      <c r="BT205" s="509"/>
      <c r="BU205" s="491"/>
      <c r="BV205" s="8"/>
      <c r="BW205" s="509"/>
      <c r="BX205" s="491"/>
      <c r="BY205" s="8"/>
      <c r="BZ205" s="509"/>
      <c r="CA205" s="751"/>
    </row>
    <row r="206" spans="1:79" ht="24.95" customHeight="1" thickBot="1">
      <c r="A206" s="470">
        <f>IF('Student DATA Entry'!A203="","",'Student DATA Entry'!A203)</f>
        <v>200</v>
      </c>
      <c r="B206" s="471" t="str">
        <f>IF('Student DATA Entry'!B203="","",'Student DATA Entry'!B203)</f>
        <v/>
      </c>
      <c r="C206" s="471" t="str">
        <f>IF('Student DATA Entry'!C203="","",'Student DATA Entry'!C203)</f>
        <v/>
      </c>
      <c r="D206" s="471" t="str">
        <f>IF('Student DATA Entry'!D203="","",'Student DATA Entry'!D203)</f>
        <v/>
      </c>
      <c r="E206" s="471" t="str">
        <f>IF('Student DATA Entry'!E203="","",'Student DATA Entry'!E203)</f>
        <v/>
      </c>
      <c r="F206" s="472" t="str">
        <f>IF('Student DATA Entry'!K203="","",'Student DATA Entry'!K203)</f>
        <v/>
      </c>
      <c r="G206" s="473" t="str">
        <f>IF('Student DATA Entry'!G203="","",UPPER('Student DATA Entry'!G203))</f>
        <v/>
      </c>
      <c r="H206" s="473" t="str">
        <f>IF('Student DATA Entry'!H203="","",UPPER('Student DATA Entry'!H203))</f>
        <v/>
      </c>
      <c r="I206" s="474" t="str">
        <f>IF('Student DATA Entry'!I203="","",UPPER('Student DATA Entry'!I203))</f>
        <v/>
      </c>
      <c r="J206" s="475" t="str">
        <f>IF('Student DATA Entry'!L203="","",UPPER('Student DATA Entry'!L203))</f>
        <v/>
      </c>
      <c r="K206" s="476" t="str">
        <f>IF('Student DATA Entry'!J203="","",UPPER('Student DATA Entry'!J203))</f>
        <v/>
      </c>
      <c r="L206" s="493"/>
      <c r="M206" s="494"/>
      <c r="N206" s="494"/>
      <c r="O206" s="495"/>
      <c r="P206" s="497"/>
      <c r="Q206" s="493"/>
      <c r="R206" s="494"/>
      <c r="S206" s="494"/>
      <c r="T206" s="495"/>
      <c r="U206" s="497"/>
      <c r="V206" s="503"/>
      <c r="W206" s="504"/>
      <c r="X206" s="494"/>
      <c r="Y206" s="494"/>
      <c r="Z206" s="495"/>
      <c r="AA206" s="497"/>
      <c r="AB206" s="493"/>
      <c r="AC206" s="494"/>
      <c r="AD206" s="494"/>
      <c r="AE206" s="495"/>
      <c r="AF206" s="497"/>
      <c r="AG206" s="493"/>
      <c r="AH206" s="494"/>
      <c r="AI206" s="494"/>
      <c r="AJ206" s="495"/>
      <c r="AK206" s="497"/>
      <c r="AL206" s="493"/>
      <c r="AM206" s="494"/>
      <c r="AN206" s="494"/>
      <c r="AO206" s="495"/>
      <c r="AP206" s="497"/>
      <c r="AQ206" s="507"/>
      <c r="AR206" s="493"/>
      <c r="AS206" s="494"/>
      <c r="AT206" s="494"/>
      <c r="AU206" s="495"/>
      <c r="AV206" s="495"/>
      <c r="AW206" s="496"/>
      <c r="AX206" s="497"/>
      <c r="AY206" s="493"/>
      <c r="AZ206" s="504"/>
      <c r="BA206" s="495"/>
      <c r="BB206" s="495"/>
      <c r="BC206" s="497"/>
      <c r="BD206" s="493"/>
      <c r="BE206" s="504"/>
      <c r="BF206" s="504"/>
      <c r="BG206" s="504"/>
      <c r="BH206" s="495"/>
      <c r="BI206" s="495"/>
      <c r="BJ206" s="497"/>
      <c r="BK206" s="493"/>
      <c r="BL206" s="504"/>
      <c r="BM206" s="504"/>
      <c r="BN206" s="504"/>
      <c r="BO206" s="504"/>
      <c r="BP206" s="504"/>
      <c r="BQ206" s="504"/>
      <c r="BR206" s="494"/>
      <c r="BS206" s="494"/>
      <c r="BT206" s="510"/>
      <c r="BU206" s="493"/>
      <c r="BV206" s="494"/>
      <c r="BW206" s="510"/>
      <c r="BX206" s="493"/>
      <c r="BY206" s="494"/>
      <c r="BZ206" s="510"/>
      <c r="CA206" s="751"/>
    </row>
    <row r="207" spans="1:79"/>
    <row r="208" spans="1:79"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sheetData>
  <sheetProtection password="D5A2" sheet="1" objects="1" scenarios="1" formatColumns="0" formatRows="0"/>
  <mergeCells count="82">
    <mergeCell ref="BZ4:BZ5"/>
    <mergeCell ref="BY4:BY5"/>
    <mergeCell ref="BU4:BU5"/>
    <mergeCell ref="BV4:BV5"/>
    <mergeCell ref="BW4:BW5"/>
    <mergeCell ref="BX4:BX5"/>
    <mergeCell ref="BK4:BL4"/>
    <mergeCell ref="BM4:BN4"/>
    <mergeCell ref="BO4:BP4"/>
    <mergeCell ref="A4:A6"/>
    <mergeCell ref="B4:B6"/>
    <mergeCell ref="E4:E6"/>
    <mergeCell ref="J3:J6"/>
    <mergeCell ref="AG3:AK3"/>
    <mergeCell ref="AL3:AP3"/>
    <mergeCell ref="A1:I1"/>
    <mergeCell ref="C3:G3"/>
    <mergeCell ref="A2:I2"/>
    <mergeCell ref="G4:G6"/>
    <mergeCell ref="H4:H6"/>
    <mergeCell ref="I4:I6"/>
    <mergeCell ref="F4:F6"/>
    <mergeCell ref="AY1:BZ1"/>
    <mergeCell ref="AQ2:AX2"/>
    <mergeCell ref="AQ3:AX3"/>
    <mergeCell ref="AQ1:AX1"/>
    <mergeCell ref="AR4:AT4"/>
    <mergeCell ref="BK2:BT2"/>
    <mergeCell ref="BK3:BT3"/>
    <mergeCell ref="BU2:BW2"/>
    <mergeCell ref="BX2:BZ2"/>
    <mergeCell ref="BU3:BW3"/>
    <mergeCell ref="BX3:BZ3"/>
    <mergeCell ref="BG4:BH4"/>
    <mergeCell ref="AY4:BA4"/>
    <mergeCell ref="BD3:BJ3"/>
    <mergeCell ref="BI4:BJ4"/>
    <mergeCell ref="AY2:BC2"/>
    <mergeCell ref="BD2:BJ2"/>
    <mergeCell ref="AY3:BC3"/>
    <mergeCell ref="BD4:BF4"/>
    <mergeCell ref="C4:C6"/>
    <mergeCell ref="D4:D6"/>
    <mergeCell ref="Q3:U3"/>
    <mergeCell ref="K3:K6"/>
    <mergeCell ref="Q2:U2"/>
    <mergeCell ref="J1:K2"/>
    <mergeCell ref="L2:P2"/>
    <mergeCell ref="L4:N4"/>
    <mergeCell ref="L3:P3"/>
    <mergeCell ref="AQ4:AQ6"/>
    <mergeCell ref="AU4:AV4"/>
    <mergeCell ref="AW4:AX4"/>
    <mergeCell ref="AL2:AP2"/>
    <mergeCell ref="L1:AP1"/>
    <mergeCell ref="Q4:S4"/>
    <mergeCell ref="W4:Y4"/>
    <mergeCell ref="AB4:AD4"/>
    <mergeCell ref="AG4:AI4"/>
    <mergeCell ref="V4:V6"/>
    <mergeCell ref="AB3:AF3"/>
    <mergeCell ref="AG2:AK2"/>
    <mergeCell ref="AL4:AN4"/>
    <mergeCell ref="V2:AA2"/>
    <mergeCell ref="AB2:AF2"/>
    <mergeCell ref="V3:AA3"/>
    <mergeCell ref="BS4:BT4"/>
    <mergeCell ref="O4:O5"/>
    <mergeCell ref="P4:P5"/>
    <mergeCell ref="T4:T5"/>
    <mergeCell ref="U4:U5"/>
    <mergeCell ref="Z4:Z5"/>
    <mergeCell ref="AA4:AA5"/>
    <mergeCell ref="AE4:AE5"/>
    <mergeCell ref="AF4:AF5"/>
    <mergeCell ref="AJ4:AJ5"/>
    <mergeCell ref="AK4:AK5"/>
    <mergeCell ref="AO4:AO5"/>
    <mergeCell ref="AP4:AP5"/>
    <mergeCell ref="BB4:BB5"/>
    <mergeCell ref="BC4:BC5"/>
    <mergeCell ref="BQ4:BR4"/>
  </mergeCells>
  <conditionalFormatting sqref="CA6">
    <cfRule type="cellIs" dxfId="260" priority="384" operator="equal">
      <formula>0</formula>
    </cfRule>
  </conditionalFormatting>
  <conditionalFormatting sqref="AQ7:AQ206 V7:V206">
    <cfRule type="containsText" dxfId="259" priority="382" stopIfTrue="1" operator="containsText" text="u">
      <formula>NOT(ISERROR(SEARCH("u",V7)))</formula>
    </cfRule>
    <cfRule type="containsText" dxfId="258" priority="383" stopIfTrue="1" operator="containsText" text="s">
      <formula>NOT(ISERROR(SEARCH("s",V7)))</formula>
    </cfRule>
  </conditionalFormatting>
  <conditionalFormatting sqref="AQ7:AQ206 V7:V206">
    <cfRule type="containsText" dxfId="257" priority="380" stopIfTrue="1" operator="containsText" text="u">
      <formula>NOT(ISERROR(SEARCH("u",V7)))</formula>
    </cfRule>
    <cfRule type="containsText" dxfId="256" priority="381" stopIfTrue="1" operator="containsText" text="s">
      <formula>NOT(ISERROR(SEARCH("s",V7)))</formula>
    </cfRule>
  </conditionalFormatting>
  <conditionalFormatting sqref="AQ7:AQ206 V7:V206">
    <cfRule type="containsText" dxfId="255" priority="377" stopIfTrue="1" operator="containsText" text="sd">
      <formula>NOT(ISERROR(SEARCH("sd",V7)))</formula>
    </cfRule>
    <cfRule type="containsText" dxfId="254" priority="378" stopIfTrue="1" operator="containsText" text="p">
      <formula>NOT(ISERROR(SEARCH("p",V7)))</formula>
    </cfRule>
    <cfRule type="containsText" dxfId="253" priority="379" stopIfTrue="1" operator="containsText" text="g">
      <formula>NOT(ISERROR(SEARCH("g",V7)))</formula>
    </cfRule>
  </conditionalFormatting>
  <conditionalFormatting sqref="AR7:AX206">
    <cfRule type="expression" dxfId="252" priority="1">
      <formula>$AQ7=""</formula>
    </cfRule>
  </conditionalFormatting>
  <dataValidations count="4">
    <dataValidation type="custom" operator="lessThanOrEqual" allowBlank="1" showInputMessage="1" showErrorMessage="1" errorTitle="maximum limit crossed" error="अधिकतम पूर्णांक से ज्यादा अंक enter नहीं कर सकते I" sqref="W7:AP206 L7:U206 AR7:BZ206">
      <formula1>OR(L7&lt;=L$6,L7="ML",L7="NA",L7="ab")</formula1>
    </dataValidation>
    <dataValidation type="list" allowBlank="1" showInputMessage="1" showErrorMessage="1" errorTitle="subject code" error="तृतीय भाषा का सीरियल नंबर लिखे " sqref="AQ7:AQ206">
      <formula1>"1, 2, 3, 4, 5, 6, 7, 8, 9, 10, 11"</formula1>
    </dataValidation>
    <dataValidation type="list" allowBlank="1" showInputMessage="1" showErrorMessage="1" errorTitle="subject code" error="तृतीय भाषा का सीरियल नंबर लिखे " sqref="V7:V206">
      <formula1>"1, 2, 3, 4, 5, 6"</formula1>
    </dataValidation>
    <dataValidation type="textLength" errorStyle="warning" operator="lessThanOrEqual" showInputMessage="1" showErrorMessage="1" errorTitle="long name" error="Please decrease the font size of this cell if name does not fit into the column." sqref="I3">
      <formula1>20</formula1>
    </dataValidation>
  </dataValidation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dimension ref="A1:KA252"/>
  <sheetViews>
    <sheetView showGridLines="0" workbookViewId="0">
      <selection activeCell="N10" sqref="N10"/>
    </sheetView>
  </sheetViews>
  <sheetFormatPr defaultColWidth="0" defaultRowHeight="18.75" zeroHeight="1"/>
  <cols>
    <col min="1" max="1" width="4.25" style="49" customWidth="1"/>
    <col min="2" max="2" width="5.875" style="50" customWidth="1"/>
    <col min="3" max="3" width="4.625" style="50" customWidth="1"/>
    <col min="4" max="4" width="5.875" style="50" customWidth="1"/>
    <col min="5" max="5" width="11.375" style="51" customWidth="1"/>
    <col min="6" max="6" width="18" style="52" customWidth="1"/>
    <col min="7" max="7" width="18.875" style="52" customWidth="1"/>
    <col min="8" max="8" width="16.875" style="52" customWidth="1"/>
    <col min="9" max="9" width="6.125" style="53" customWidth="1"/>
    <col min="10" max="10" width="4.625" style="53" customWidth="1"/>
    <col min="11" max="13" width="4.625" style="54" customWidth="1"/>
    <col min="14" max="18" width="4.625" style="55" customWidth="1"/>
    <col min="19" max="24" width="4.625" style="56" hidden="1" customWidth="1"/>
    <col min="25" max="27" width="4.625" style="54" customWidth="1"/>
    <col min="28" max="32" width="4.625" style="55" customWidth="1"/>
    <col min="33" max="38" width="4.625" style="56" hidden="1" customWidth="1"/>
    <col min="39" max="39" width="10.625" style="56" customWidth="1"/>
    <col min="40" max="42" width="4.625" style="54" customWidth="1"/>
    <col min="43" max="43" width="5.875" style="55" customWidth="1"/>
    <col min="44" max="44" width="4.625" style="54" customWidth="1"/>
    <col min="45" max="45" width="4.625" style="55" customWidth="1"/>
    <col min="46" max="46" width="4.625" style="57" customWidth="1"/>
    <col min="47" max="47" width="4.625" style="55" customWidth="1"/>
    <col min="48" max="49" width="4.625" style="56" hidden="1" customWidth="1"/>
    <col min="50" max="51" width="4.625" style="57" hidden="1" customWidth="1"/>
    <col min="52" max="53" width="4.625" style="56" hidden="1" customWidth="1"/>
    <col min="54" max="56" width="4.625" style="54" customWidth="1"/>
    <col min="57" max="57" width="4.625" style="55" customWidth="1"/>
    <col min="58" max="58" width="4.625" style="54" customWidth="1"/>
    <col min="59" max="59" width="4.625" style="55" customWidth="1"/>
    <col min="60" max="60" width="4.625" style="54" customWidth="1"/>
    <col min="61" max="61" width="4.625" style="55" customWidth="1"/>
    <col min="62" max="63" width="4.625" style="56" hidden="1" customWidth="1"/>
    <col min="64" max="65" width="4.625" style="57" hidden="1" customWidth="1"/>
    <col min="66" max="67" width="4.625" style="56" hidden="1" customWidth="1"/>
    <col min="68" max="70" width="4.625" style="54" customWidth="1"/>
    <col min="71" max="71" width="4.625" style="55" customWidth="1"/>
    <col min="72" max="72" width="4.625" style="54" customWidth="1"/>
    <col min="73" max="73" width="4.625" style="57" customWidth="1"/>
    <col min="74" max="75" width="4.625" style="55" customWidth="1"/>
    <col min="76" max="77" width="4.625" style="56" hidden="1" customWidth="1"/>
    <col min="78" max="79" width="4.625" style="57" hidden="1" customWidth="1"/>
    <col min="80" max="82" width="4.625" style="56" hidden="1" customWidth="1"/>
    <col min="83" max="90" width="4.625" style="56" customWidth="1"/>
    <col min="91" max="96" width="4.625" style="56" hidden="1" customWidth="1"/>
    <col min="97" max="97" width="14.5" style="56" customWidth="1"/>
    <col min="98" max="98" width="5.125" style="57" customWidth="1"/>
    <col min="99" max="108" width="4.625" style="57" customWidth="1"/>
    <col min="109" max="109" width="4.625" style="55" customWidth="1"/>
    <col min="110" max="111" width="3.625" style="56" hidden="1" customWidth="1"/>
    <col min="112" max="112" width="4.375" style="56" hidden="1" customWidth="1"/>
    <col min="113" max="128" width="3.625" style="56" hidden="1" customWidth="1"/>
    <col min="129" max="129" width="12" style="56" hidden="1" customWidth="1"/>
    <col min="130" max="136" width="4.75" style="56" customWidth="1"/>
    <col min="137" max="137" width="6" style="56" customWidth="1"/>
    <col min="138" max="138" width="5.125" style="56" customWidth="1"/>
    <col min="139" max="141" width="5.125" style="56" hidden="1" customWidth="1"/>
    <col min="142" max="152" width="4.625" style="56" customWidth="1"/>
    <col min="153" max="153" width="5.25" style="56" customWidth="1"/>
    <col min="154" max="154" width="5.125" style="56" customWidth="1"/>
    <col min="155" max="157" width="5.125" style="56" hidden="1" customWidth="1"/>
    <col min="158" max="171" width="4.625" style="56" customWidth="1"/>
    <col min="172" max="172" width="5.125" style="56" customWidth="1"/>
    <col min="173" max="173" width="4.625" style="56" customWidth="1"/>
    <col min="174" max="176" width="5.125" style="56" hidden="1" customWidth="1"/>
    <col min="177" max="181" width="5.125" style="56" customWidth="1"/>
    <col min="182" max="182" width="5.25" style="56" hidden="1" customWidth="1"/>
    <col min="183" max="184" width="5.125" style="56" hidden="1" customWidth="1"/>
    <col min="185" max="189" width="5.125" style="56" customWidth="1"/>
    <col min="190" max="192" width="5.125" style="56" hidden="1" customWidth="1"/>
    <col min="193" max="193" width="7.375" style="56" customWidth="1"/>
    <col min="194" max="194" width="7.625" style="56" customWidth="1"/>
    <col min="195" max="195" width="8.125" style="56" customWidth="1"/>
    <col min="196" max="198" width="3.375" style="58" customWidth="1"/>
    <col min="199" max="201" width="3.375" style="49" customWidth="1"/>
    <col min="202" max="202" width="3.375" style="49" hidden="1" customWidth="1"/>
    <col min="203" max="221" width="3.375" style="49" customWidth="1"/>
    <col min="222" max="222" width="15.125" style="49" customWidth="1"/>
    <col min="223" max="223" width="17.375" style="49" bestFit="1" customWidth="1"/>
    <col min="224" max="224" width="15.875" style="49" bestFit="1" customWidth="1"/>
    <col min="225" max="225" width="14.125" style="49" customWidth="1"/>
    <col min="226" max="226" width="41.25" style="49" customWidth="1"/>
    <col min="227" max="227" width="15" style="49" customWidth="1"/>
    <col min="228" max="228" width="7.25" style="49" customWidth="1"/>
    <col min="229" max="229" width="5.375" style="49" hidden="1" customWidth="1"/>
    <col min="230" max="230" width="5.375" style="49" customWidth="1"/>
    <col min="231" max="231" width="8.875" style="49" customWidth="1"/>
    <col min="232" max="232" width="7.75" style="49" customWidth="1"/>
    <col min="233" max="233" width="9" style="49" customWidth="1"/>
    <col min="234" max="234" width="9.75" style="49" customWidth="1"/>
    <col min="235" max="235" width="6.5" style="49" customWidth="1"/>
    <col min="236" max="236" width="12.25" style="49" customWidth="1"/>
    <col min="237" max="237" width="11.5" style="49" customWidth="1"/>
    <col min="238" max="238" width="9.125" style="49" customWidth="1"/>
    <col min="239" max="284" width="9.125" style="49" hidden="1" customWidth="1"/>
    <col min="285" max="285" width="11.375" style="49" hidden="1" customWidth="1"/>
    <col min="286" max="16384" width="9.125" style="49" hidden="1"/>
  </cols>
  <sheetData>
    <row r="1" spans="1:287" ht="30.75" customHeight="1"/>
    <row r="2" spans="1:287" s="59" customFormat="1" ht="27.75" customHeight="1">
      <c r="A2" s="1241" t="str">
        <f>IF('School Profile'!D12="Hindi","विद्यालय का नाम :-","Name of School :-")</f>
        <v>विद्यालय का नाम :-</v>
      </c>
      <c r="B2" s="1242"/>
      <c r="C2" s="1242"/>
      <c r="D2" s="1242"/>
      <c r="E2" s="1242"/>
      <c r="F2" s="1243" t="str">
        <f>IF('School Profile'!D12="Hindi",'School Profile'!D9,'School Profile'!D8)</f>
        <v xml:space="preserve">महात्मा गाँधी राजकीय विद्यालय (अंग्रेजी माध्यम) बर, पाली </v>
      </c>
      <c r="G2" s="1244"/>
      <c r="H2" s="1244"/>
      <c r="I2" s="1244"/>
      <c r="J2" s="1244"/>
      <c r="K2" s="1245"/>
      <c r="L2" s="1245"/>
      <c r="M2" s="1245"/>
      <c r="N2" s="1245"/>
      <c r="O2" s="1245"/>
      <c r="P2" s="1245"/>
      <c r="Q2" s="1245"/>
      <c r="R2" s="1246"/>
      <c r="S2" s="522"/>
      <c r="T2" s="522"/>
      <c r="U2" s="522"/>
      <c r="V2" s="522"/>
      <c r="W2" s="522"/>
      <c r="X2" s="522"/>
      <c r="Y2" s="1299"/>
      <c r="Z2" s="1299"/>
      <c r="AA2" s="1299"/>
      <c r="AB2" s="1299"/>
      <c r="AC2" s="1299"/>
      <c r="AD2" s="1299"/>
      <c r="AE2" s="1299"/>
      <c r="AF2" s="1299"/>
      <c r="AG2" s="1299"/>
      <c r="AH2" s="1299"/>
      <c r="AI2" s="1299"/>
      <c r="AJ2" s="1299"/>
      <c r="AK2" s="1299"/>
      <c r="AL2" s="1299"/>
      <c r="AM2" s="1247"/>
      <c r="AN2" s="1247"/>
      <c r="AO2" s="1247"/>
      <c r="AP2" s="1247"/>
      <c r="AQ2" s="1247"/>
      <c r="AR2" s="1247"/>
      <c r="AS2" s="1247"/>
      <c r="AT2" s="1247"/>
      <c r="AU2" s="1247"/>
      <c r="AV2" s="1247"/>
      <c r="AW2" s="1247"/>
      <c r="AX2" s="1247"/>
      <c r="AY2" s="1247"/>
      <c r="AZ2" s="1247"/>
      <c r="BA2" s="1247"/>
      <c r="BB2" s="1247"/>
      <c r="BC2" s="1247"/>
      <c r="BD2" s="1247"/>
      <c r="BE2" s="1247"/>
      <c r="BF2" s="1247"/>
      <c r="BG2" s="1247"/>
      <c r="BH2" s="1247"/>
      <c r="BI2" s="1247"/>
      <c r="BJ2" s="1247"/>
      <c r="BK2" s="1247"/>
      <c r="BL2" s="1247"/>
      <c r="BM2" s="1247"/>
      <c r="BN2" s="1247"/>
      <c r="BO2" s="1247"/>
      <c r="BP2" s="1247"/>
      <c r="BQ2" s="1247"/>
      <c r="BR2" s="1247"/>
      <c r="BS2" s="1247"/>
      <c r="BT2" s="1247"/>
      <c r="BU2" s="1247"/>
      <c r="BV2" s="1247"/>
      <c r="BW2" s="1247"/>
      <c r="BX2" s="1247"/>
      <c r="BY2" s="1247"/>
      <c r="BZ2" s="1247"/>
      <c r="CA2" s="1247"/>
      <c r="CB2" s="1247"/>
      <c r="CC2" s="1247"/>
      <c r="CD2" s="523"/>
      <c r="CE2" s="1247"/>
      <c r="CF2" s="1247"/>
      <c r="CG2" s="1247"/>
      <c r="CH2" s="1247"/>
      <c r="CI2" s="1247"/>
      <c r="CJ2" s="1247"/>
      <c r="CK2" s="1247"/>
      <c r="CL2" s="1247"/>
      <c r="CM2" s="525"/>
      <c r="CN2" s="525"/>
      <c r="CO2" s="525"/>
      <c r="CP2" s="525"/>
      <c r="CQ2" s="525"/>
      <c r="CR2" s="525"/>
      <c r="CS2" s="1300"/>
      <c r="CT2" s="1300"/>
      <c r="CU2" s="1300"/>
      <c r="CV2" s="1300"/>
      <c r="CW2" s="1300"/>
      <c r="CX2" s="1300"/>
      <c r="CY2" s="1300"/>
      <c r="CZ2" s="1300"/>
      <c r="DA2" s="1300"/>
      <c r="DB2" s="1300"/>
      <c r="DC2" s="1300"/>
      <c r="DD2" s="1300"/>
      <c r="DE2" s="1300"/>
      <c r="DF2" s="534"/>
      <c r="DG2" s="534"/>
      <c r="DH2" s="534"/>
      <c r="DI2" s="534"/>
      <c r="DJ2" s="534"/>
      <c r="DK2" s="534"/>
      <c r="DL2" s="534"/>
      <c r="DM2" s="534"/>
      <c r="DN2" s="534"/>
      <c r="DO2" s="534"/>
      <c r="DP2" s="534"/>
      <c r="DQ2" s="534"/>
      <c r="DR2" s="534"/>
      <c r="DS2" s="534"/>
      <c r="DT2" s="534"/>
      <c r="DU2" s="534"/>
      <c r="DV2" s="534"/>
      <c r="DW2" s="534"/>
      <c r="DX2" s="534"/>
      <c r="DY2" s="525"/>
      <c r="DZ2" s="1135"/>
      <c r="EA2" s="1135"/>
      <c r="EB2" s="1135"/>
      <c r="EC2" s="1135"/>
      <c r="ED2" s="1135"/>
      <c r="EE2" s="1135"/>
      <c r="EF2" s="1135"/>
      <c r="EG2" s="1135"/>
      <c r="EH2" s="1135"/>
      <c r="EI2" s="535"/>
      <c r="EJ2" s="535"/>
      <c r="EK2" s="535"/>
      <c r="EL2" s="1135"/>
      <c r="EM2" s="1135"/>
      <c r="EN2" s="1135"/>
      <c r="EO2" s="1135"/>
      <c r="EP2" s="1135"/>
      <c r="EQ2" s="1135"/>
      <c r="ER2" s="1135"/>
      <c r="ES2" s="1135"/>
      <c r="ET2" s="1135"/>
      <c r="EU2" s="1135"/>
      <c r="EV2" s="1135"/>
      <c r="EW2" s="1135"/>
      <c r="EX2" s="1135"/>
      <c r="EY2" s="535"/>
      <c r="EZ2" s="535"/>
      <c r="FA2" s="535"/>
      <c r="FB2" s="1135"/>
      <c r="FC2" s="1135"/>
      <c r="FD2" s="1135"/>
      <c r="FE2" s="1135"/>
      <c r="FF2" s="1135"/>
      <c r="FG2" s="1135"/>
      <c r="FH2" s="1135"/>
      <c r="FI2" s="1135"/>
      <c r="FJ2" s="1135"/>
      <c r="FK2" s="1135"/>
      <c r="FL2" s="1135"/>
      <c r="FM2" s="1135"/>
      <c r="FN2" s="1135"/>
      <c r="FO2" s="1135"/>
      <c r="FP2" s="1135"/>
      <c r="FQ2" s="1135"/>
      <c r="FR2" s="535"/>
      <c r="FS2" s="535"/>
      <c r="FT2" s="535"/>
      <c r="FU2" s="1135"/>
      <c r="FV2" s="1135"/>
      <c r="FW2" s="1135"/>
      <c r="FX2" s="1135"/>
      <c r="FY2" s="1135"/>
      <c r="FZ2" s="535"/>
      <c r="GA2" s="535"/>
      <c r="GB2" s="535"/>
      <c r="GC2" s="1135"/>
      <c r="GD2" s="1135"/>
      <c r="GE2" s="1135"/>
      <c r="GF2" s="1135"/>
      <c r="GG2" s="1135"/>
      <c r="GH2" s="363"/>
      <c r="GI2" s="363"/>
      <c r="GJ2" s="363"/>
      <c r="GK2" s="1263" t="str">
        <f>'Student DATA Entry'!M2</f>
        <v>Total Attendance</v>
      </c>
      <c r="GL2" s="1263"/>
      <c r="GM2" s="1263"/>
      <c r="GN2" s="1161" t="str">
        <f>IF('School Profile'!$D$12="Hindi","विषयवार परिणाम","Subject-wise Result")</f>
        <v>विषयवार परिणाम</v>
      </c>
      <c r="GO2" s="1161"/>
      <c r="GP2" s="1161"/>
      <c r="GQ2" s="1161"/>
      <c r="GR2" s="1161"/>
      <c r="GS2" s="1161"/>
      <c r="GT2" s="1161"/>
      <c r="GU2" s="1161"/>
      <c r="GV2" s="1161"/>
      <c r="GW2" s="1161"/>
      <c r="GX2" s="1161"/>
      <c r="GY2" s="1161"/>
      <c r="GZ2" s="1161"/>
      <c r="HA2" s="1161"/>
      <c r="HB2" s="1161"/>
      <c r="HC2" s="1161"/>
      <c r="HD2" s="1161"/>
      <c r="HE2" s="1161"/>
      <c r="HF2" s="1161"/>
      <c r="HG2" s="1161"/>
      <c r="HH2" s="1161"/>
      <c r="HI2" s="1161"/>
      <c r="HJ2" s="1161"/>
      <c r="HK2" s="1161"/>
      <c r="HL2" s="1161"/>
      <c r="HM2" s="1161"/>
      <c r="HN2" s="1161" t="str">
        <f>IF('School Profile'!$D$12="Hindi","विशेष विवरण","Specifications")</f>
        <v>विशेष विवरण</v>
      </c>
      <c r="HO2" s="1161"/>
      <c r="HP2" s="1161"/>
      <c r="HQ2" s="1161"/>
      <c r="HR2" s="1161"/>
      <c r="HS2" s="1122" t="str">
        <f>IF('School Profile'!$D$12="Hindi","मुख्य परीक्षा परिणाम ","Main Exam Result")</f>
        <v xml:space="preserve">मुख्य परीक्षा परिणाम </v>
      </c>
      <c r="HT2" s="1123"/>
      <c r="HU2" s="1123"/>
      <c r="HV2" s="1123"/>
      <c r="HW2" s="1123"/>
      <c r="HX2" s="1124"/>
      <c r="HY2" s="1302" t="str">
        <f>IF('School Profile'!$D$12="Hindi","पूरक परीक्षा उतीर्ण होने के पश्चात् अंतिम परिणाम","Final Result after Passing the Supplementary Exam")</f>
        <v>पूरक परीक्षा उतीर्ण होने के पश्चात् अंतिम परिणाम</v>
      </c>
      <c r="HZ2" s="1303"/>
      <c r="IA2" s="1303"/>
      <c r="IB2" s="1303"/>
      <c r="IC2" s="1304"/>
    </row>
    <row r="3" spans="1:287" s="62" customFormat="1" ht="27.75" customHeight="1">
      <c r="A3" s="1248" t="str">
        <f>IF('School Profile'!D12="Hindi","कक्षा :-","CLASS :-")</f>
        <v>कक्षा :-</v>
      </c>
      <c r="B3" s="1249"/>
      <c r="C3" s="1249"/>
      <c r="D3" s="1249"/>
      <c r="E3" s="1244" t="s">
        <v>224</v>
      </c>
      <c r="F3" s="1250"/>
      <c r="G3" s="607" t="str">
        <f>IF('School Profile'!D12="Hindi","सत्र  :-","Session :-")</f>
        <v>सत्र  :-</v>
      </c>
      <c r="H3" s="513" t="str">
        <f>IF('Marks Entry'!I3="","",'Marks Entry'!I3)</f>
        <v>2025-2026</v>
      </c>
      <c r="I3" s="511"/>
      <c r="J3" s="512"/>
      <c r="K3" s="1088" t="str">
        <f>IF('Marks Entry'!L2="","",'Marks Entry'!L2)</f>
        <v>हिंदी</v>
      </c>
      <c r="L3" s="1088"/>
      <c r="M3" s="1088"/>
      <c r="N3" s="1088"/>
      <c r="O3" s="1088"/>
      <c r="P3" s="1088"/>
      <c r="Q3" s="1088"/>
      <c r="R3" s="1088"/>
      <c r="S3" s="1088"/>
      <c r="T3" s="1088"/>
      <c r="U3" s="1088"/>
      <c r="V3" s="1088"/>
      <c r="W3" s="1088"/>
      <c r="X3" s="1088"/>
      <c r="Y3" s="1088" t="str">
        <f>IF('Marks Entry'!Q2="","",'Marks Entry'!Q2)</f>
        <v>अंग्रेजी</v>
      </c>
      <c r="Z3" s="1088"/>
      <c r="AA3" s="1088"/>
      <c r="AB3" s="1088"/>
      <c r="AC3" s="1088"/>
      <c r="AD3" s="1088"/>
      <c r="AE3" s="1088"/>
      <c r="AF3" s="1088"/>
      <c r="AG3" s="1088"/>
      <c r="AH3" s="1088"/>
      <c r="AI3" s="1088"/>
      <c r="AJ3" s="1088"/>
      <c r="AK3" s="1088"/>
      <c r="AL3" s="1088"/>
      <c r="AM3" s="518" t="str">
        <f>IF('School Profile'!I9="","",'School Profile'!I9)</f>
        <v>संस्कृत (71)</v>
      </c>
      <c r="AN3" s="1129" t="str">
        <f>IF('School Profile'!I10="","",'School Profile'!I10)</f>
        <v xml:space="preserve">उर्दू (72) </v>
      </c>
      <c r="AO3" s="1176"/>
      <c r="AP3" s="1130"/>
      <c r="AQ3" s="1129" t="str">
        <f>IF('School Profile'!I11="","",'School Profile'!I11)</f>
        <v>गुजराती (73)</v>
      </c>
      <c r="AR3" s="1130"/>
      <c r="AS3" s="1176" t="str">
        <f>IF('School Profile'!I12="","",'School Profile'!I12)</f>
        <v xml:space="preserve">सिंधी (74) </v>
      </c>
      <c r="AT3" s="1176"/>
      <c r="AU3" s="1130"/>
      <c r="AV3" s="1129" t="str">
        <f>IF('School Profile'!I13="","",'School Profile'!I13)</f>
        <v>पंजाबी (75)</v>
      </c>
      <c r="AW3" s="1130"/>
      <c r="AX3" s="1170"/>
      <c r="AY3" s="1170"/>
      <c r="AZ3" s="1170"/>
      <c r="BA3" s="1170"/>
      <c r="BB3" s="1223" t="str">
        <f>IF('Marks Entry'!AB2="","",'Marks Entry'!AB2)</f>
        <v>गणित</v>
      </c>
      <c r="BC3" s="1224"/>
      <c r="BD3" s="1224"/>
      <c r="BE3" s="1224"/>
      <c r="BF3" s="1224"/>
      <c r="BG3" s="1224"/>
      <c r="BH3" s="1224"/>
      <c r="BI3" s="1224"/>
      <c r="BJ3" s="1224"/>
      <c r="BK3" s="1225"/>
      <c r="BL3" s="1301"/>
      <c r="BM3" s="1301"/>
      <c r="BN3" s="1301"/>
      <c r="BO3" s="1301"/>
      <c r="BP3" s="1223" t="str">
        <f>IF('Marks Entry'!AG2="","",'Marks Entry'!AG2)</f>
        <v>विज्ञान</v>
      </c>
      <c r="BQ3" s="1224"/>
      <c r="BR3" s="1224"/>
      <c r="BS3" s="1224"/>
      <c r="BT3" s="1224"/>
      <c r="BU3" s="1224"/>
      <c r="BV3" s="1224"/>
      <c r="BW3" s="1224"/>
      <c r="BX3" s="1224"/>
      <c r="BY3" s="1225"/>
      <c r="BZ3" s="1170"/>
      <c r="CA3" s="1170"/>
      <c r="CB3" s="1170"/>
      <c r="CC3" s="1170"/>
      <c r="CD3" s="60"/>
      <c r="CE3" s="1223" t="str">
        <f>IF('Marks Entry'!AL2="","",'Marks Entry'!AL2)</f>
        <v>सामाजिक विज्ञान</v>
      </c>
      <c r="CF3" s="1224"/>
      <c r="CG3" s="1224"/>
      <c r="CH3" s="1224"/>
      <c r="CI3" s="1224"/>
      <c r="CJ3" s="1224"/>
      <c r="CK3" s="1224"/>
      <c r="CL3" s="1225"/>
      <c r="CM3" s="60"/>
      <c r="CN3" s="1170"/>
      <c r="CO3" s="1170"/>
      <c r="CP3" s="1170"/>
      <c r="CQ3" s="1170"/>
      <c r="CR3" s="61"/>
      <c r="CS3" s="1165" t="str">
        <f>IF('School Profile'!$D$12="Hindi","व्यावसायिक शिक्षा विषय","Vocational Education  Subject")</f>
        <v>व्यावसायिक शिक्षा विषय</v>
      </c>
      <c r="CT3" s="1166"/>
      <c r="CU3" s="1166"/>
      <c r="CV3" s="1166"/>
      <c r="CW3" s="1166"/>
      <c r="CX3" s="1166"/>
      <c r="CY3" s="1166"/>
      <c r="CZ3" s="1166"/>
      <c r="DA3" s="1166"/>
      <c r="DB3" s="1166"/>
      <c r="DC3" s="1166"/>
      <c r="DD3" s="1166"/>
      <c r="DE3" s="1167"/>
      <c r="DF3" s="359"/>
      <c r="DG3" s="359"/>
      <c r="DH3" s="359"/>
      <c r="DI3" s="359"/>
      <c r="DJ3" s="359"/>
      <c r="DK3" s="360"/>
      <c r="DL3" s="1254" t="s">
        <v>15</v>
      </c>
      <c r="DM3" s="1255"/>
      <c r="DN3" s="1255"/>
      <c r="DO3" s="1255"/>
      <c r="DP3" s="1255"/>
      <c r="DQ3" s="1255"/>
      <c r="DR3" s="1256"/>
      <c r="DS3" s="1138" t="s">
        <v>16</v>
      </c>
      <c r="DT3" s="1138" t="s">
        <v>17</v>
      </c>
      <c r="DU3" s="1138" t="s">
        <v>18</v>
      </c>
      <c r="DV3" s="1138" t="s">
        <v>19</v>
      </c>
      <c r="DW3" s="1138" t="s">
        <v>20</v>
      </c>
      <c r="DX3" s="1138" t="s">
        <v>21</v>
      </c>
      <c r="DY3" s="521"/>
      <c r="DZ3" s="1088" t="str">
        <f>IF('Marks Entry'!AY2="","",'Marks Entry'!AY2)</f>
        <v>राजस्थान का स्वंत्रता आन्दोलन व शोर्य परम्परा</v>
      </c>
      <c r="EA3" s="1088"/>
      <c r="EB3" s="1088"/>
      <c r="EC3" s="1088"/>
      <c r="ED3" s="1088"/>
      <c r="EE3" s="1088"/>
      <c r="EF3" s="1088"/>
      <c r="EG3" s="1088"/>
      <c r="EH3" s="1088"/>
      <c r="EI3" s="520"/>
      <c r="EJ3" s="520"/>
      <c r="EK3" s="520"/>
      <c r="EL3" s="1088" t="str">
        <f>IF('Marks Entry'!BD2="","",'Marks Entry'!BD2)</f>
        <v>सूचना प्रोद्योगिकी की अवधारणा - I</v>
      </c>
      <c r="EM3" s="1088"/>
      <c r="EN3" s="1088"/>
      <c r="EO3" s="1088"/>
      <c r="EP3" s="1088"/>
      <c r="EQ3" s="1088"/>
      <c r="ER3" s="1088"/>
      <c r="ES3" s="1088"/>
      <c r="ET3" s="1088"/>
      <c r="EU3" s="1088"/>
      <c r="EV3" s="1088"/>
      <c r="EW3" s="1088"/>
      <c r="EX3" s="1088"/>
      <c r="EY3" s="520"/>
      <c r="EZ3" s="520"/>
      <c r="FA3" s="520"/>
      <c r="FB3" s="1088" t="str">
        <f>IF('Marks Entry'!BK2="","",'Marks Entry'!BK2)</f>
        <v>स्वा. एवं शा. शिक्षा</v>
      </c>
      <c r="FC3" s="1088"/>
      <c r="FD3" s="1088"/>
      <c r="FE3" s="1088"/>
      <c r="FF3" s="1088"/>
      <c r="FG3" s="1088"/>
      <c r="FH3" s="1088"/>
      <c r="FI3" s="1088"/>
      <c r="FJ3" s="1088"/>
      <c r="FK3" s="1088"/>
      <c r="FL3" s="1088"/>
      <c r="FM3" s="1088"/>
      <c r="FN3" s="1088"/>
      <c r="FO3" s="1088"/>
      <c r="FP3" s="1088"/>
      <c r="FQ3" s="1088"/>
      <c r="FR3" s="520"/>
      <c r="FS3" s="520"/>
      <c r="FT3" s="520"/>
      <c r="FU3" s="1088" t="str">
        <f>IF('Marks Entry'!BU2="","",'Marks Entry'!BU2)</f>
        <v>समाजोपयोगी उत्पादन कार्य एवं समाज सेवा</v>
      </c>
      <c r="FV3" s="1088"/>
      <c r="FW3" s="1088"/>
      <c r="FX3" s="1088"/>
      <c r="FY3" s="1088"/>
      <c r="FZ3" s="520"/>
      <c r="GA3" s="520"/>
      <c r="GB3" s="520"/>
      <c r="GC3" s="1088" t="str">
        <f>IF('Marks Entry'!BX2="","",'Marks Entry'!BX2)</f>
        <v>कला शिक्षा</v>
      </c>
      <c r="GD3" s="1088"/>
      <c r="GE3" s="1088"/>
      <c r="GF3" s="1088"/>
      <c r="GG3" s="1088"/>
      <c r="GH3" s="362"/>
      <c r="GI3" s="362"/>
      <c r="GJ3" s="362"/>
      <c r="GK3" s="1263"/>
      <c r="GL3" s="1263"/>
      <c r="GM3" s="1263"/>
      <c r="GN3" s="1161"/>
      <c r="GO3" s="1161"/>
      <c r="GP3" s="1161"/>
      <c r="GQ3" s="1161"/>
      <c r="GR3" s="1161"/>
      <c r="GS3" s="1161"/>
      <c r="GT3" s="1161"/>
      <c r="GU3" s="1161"/>
      <c r="GV3" s="1161"/>
      <c r="GW3" s="1161"/>
      <c r="GX3" s="1161"/>
      <c r="GY3" s="1161"/>
      <c r="GZ3" s="1161"/>
      <c r="HA3" s="1161"/>
      <c r="HB3" s="1161"/>
      <c r="HC3" s="1161"/>
      <c r="HD3" s="1161"/>
      <c r="HE3" s="1161"/>
      <c r="HF3" s="1161"/>
      <c r="HG3" s="1161"/>
      <c r="HH3" s="1161"/>
      <c r="HI3" s="1161"/>
      <c r="HJ3" s="1161"/>
      <c r="HK3" s="1161"/>
      <c r="HL3" s="1161"/>
      <c r="HM3" s="1161"/>
      <c r="HN3" s="1161"/>
      <c r="HO3" s="1161"/>
      <c r="HP3" s="1161"/>
      <c r="HQ3" s="1161"/>
      <c r="HR3" s="1161"/>
      <c r="HS3" s="1125"/>
      <c r="HT3" s="1126"/>
      <c r="HU3" s="1126"/>
      <c r="HV3" s="1126"/>
      <c r="HW3" s="1126"/>
      <c r="HX3" s="1127"/>
      <c r="HY3" s="1305"/>
      <c r="HZ3" s="1306"/>
      <c r="IA3" s="1306"/>
      <c r="IB3" s="1306"/>
      <c r="IC3" s="1307"/>
    </row>
    <row r="4" spans="1:287" s="62" customFormat="1" ht="30" customHeight="1">
      <c r="A4" s="1208" t="str">
        <f>IF('Marks Entry'!A4="","",'Marks Entry'!A4)</f>
        <v xml:space="preserve">क्र. स. </v>
      </c>
      <c r="B4" s="1208" t="str">
        <f>IF('Marks Entry'!B4="","",'Marks Entry'!B4)</f>
        <v>रोल न.</v>
      </c>
      <c r="C4" s="1209" t="str">
        <f>IF('Marks Entry'!D4="","",'Marks Entry'!D4)</f>
        <v>सेक्शन</v>
      </c>
      <c r="D4" s="1209" t="str">
        <f>IF('Marks Entry'!E4="","",'Marks Entry'!E4)</f>
        <v>प्रवेशांक</v>
      </c>
      <c r="E4" s="1209" t="str">
        <f>'Marks Entry'!F4</f>
        <v xml:space="preserve">जन्मतिथि </v>
      </c>
      <c r="F4" s="1211" t="str">
        <f>IF('Marks Entry'!G4="","",'Marks Entry'!G4)</f>
        <v xml:space="preserve">विद्यार्थी का नाम </v>
      </c>
      <c r="G4" s="1211" t="str">
        <f>IF('Marks Entry'!H4="","",'Marks Entry'!H4)</f>
        <v xml:space="preserve">पिता का नाम </v>
      </c>
      <c r="H4" s="1211" t="str">
        <f>IF('Marks Entry'!I4="","",'Marks Entry'!I4)</f>
        <v xml:space="preserve">माता का नाम </v>
      </c>
      <c r="I4" s="1157" t="str">
        <f>'Marks Entry'!J3</f>
        <v xml:space="preserve">वर्ग  </v>
      </c>
      <c r="J4" s="1157" t="str">
        <f>'Marks Entry'!K3</f>
        <v xml:space="preserve">लिंग </v>
      </c>
      <c r="K4" s="1088" t="str">
        <f>IF('School Profile'!$D$12="Hindi","सामयिक परख","Seasonal Exam")</f>
        <v>सामयिक परख</v>
      </c>
      <c r="L4" s="1088"/>
      <c r="M4" s="1088"/>
      <c r="N4" s="1088"/>
      <c r="O4" s="1157" t="str">
        <f>IF('School Profile'!$D$12="Hindi","अर्द्धवार्षिक","Half Yearly")</f>
        <v>अर्द्धवार्षिक</v>
      </c>
      <c r="P4" s="1134" t="str">
        <f>IF('School Profile'!$D$12="Hindi","अर्द्ध वा. तक योग","Total Till H.Y.")</f>
        <v>अर्द्ध वा. तक योग</v>
      </c>
      <c r="Q4" s="1157" t="str">
        <f>IF('School Profile'!$D$12="Hindi","वार्षिक","Yearly")</f>
        <v>वार्षिक</v>
      </c>
      <c r="R4" s="1146" t="str">
        <f>IF('School Profile'!$D$12="Hindi","विषय कुल योग ","Subject Total")</f>
        <v xml:space="preserve">विषय कुल योग </v>
      </c>
      <c r="S4" s="1221" t="s">
        <v>22</v>
      </c>
      <c r="T4" s="1137" t="s">
        <v>22</v>
      </c>
      <c r="U4" s="1140" t="s">
        <v>23</v>
      </c>
      <c r="V4" s="1137" t="s">
        <v>24</v>
      </c>
      <c r="W4" s="1140" t="s">
        <v>25</v>
      </c>
      <c r="X4" s="1140" t="s">
        <v>26</v>
      </c>
      <c r="Y4" s="1088" t="str">
        <f>IF('School Profile'!$D$12="Hindi","सामयिक परख","Seasonal Exam")</f>
        <v>सामयिक परख</v>
      </c>
      <c r="Z4" s="1088"/>
      <c r="AA4" s="1088"/>
      <c r="AB4" s="1088"/>
      <c r="AC4" s="1157" t="str">
        <f>IF('School Profile'!$D$12="Hindi","अर्द्धवार्षिक","Half Yearly")</f>
        <v>अर्द्धवार्षिक</v>
      </c>
      <c r="AD4" s="1134" t="str">
        <f>IF('School Profile'!$D$12="Hindi","अर्द्ध वा. तक योग","Total Till H.Y.")</f>
        <v>अर्द्ध वा. तक योग</v>
      </c>
      <c r="AE4" s="1157" t="str">
        <f>IF('School Profile'!$D$12="Hindi","वार्षिक","Yearly")</f>
        <v>वार्षिक</v>
      </c>
      <c r="AF4" s="1146" t="str">
        <f>IF('School Profile'!$D$12="Hindi","विषय कुल योग ","Subject Total")</f>
        <v xml:space="preserve">विषय कुल योग </v>
      </c>
      <c r="AG4" s="1221" t="s">
        <v>22</v>
      </c>
      <c r="AH4" s="1137" t="s">
        <v>22</v>
      </c>
      <c r="AI4" s="1140" t="s">
        <v>23</v>
      </c>
      <c r="AJ4" s="1137" t="s">
        <v>24</v>
      </c>
      <c r="AK4" s="1140" t="s">
        <v>25</v>
      </c>
      <c r="AL4" s="1140" t="s">
        <v>26</v>
      </c>
      <c r="AM4" s="1088" t="str">
        <f>IF('School Profile'!$D$12="Hindi","तृतीय भाषा के विषय","Third Language Subject")</f>
        <v>तृतीय भाषा के विषय</v>
      </c>
      <c r="AN4" s="1088" t="str">
        <f>IF('School Profile'!$D$12="Hindi","सामयिक परख","Seasonal Exam")</f>
        <v>सामयिक परख</v>
      </c>
      <c r="AO4" s="1088"/>
      <c r="AP4" s="1088"/>
      <c r="AQ4" s="1088"/>
      <c r="AR4" s="1157" t="str">
        <f>IF('School Profile'!$D$12="Hindi","अर्द्धवार्षिक","Half Yearly")</f>
        <v>अर्द्धवार्षिक</v>
      </c>
      <c r="AS4" s="1134" t="str">
        <f>IF('School Profile'!$D$12="Hindi","अर्द्ध वा. तक योग","Total Till H.Y.")</f>
        <v>अर्द्ध वा. तक योग</v>
      </c>
      <c r="AT4" s="1157" t="str">
        <f>IF('School Profile'!$D$12="Hindi","वार्षिक","Yearly")</f>
        <v>वार्षिक</v>
      </c>
      <c r="AU4" s="1146" t="str">
        <f>IF('School Profile'!$D$12="Hindi","विषय कुल योग ","Subject Total")</f>
        <v xml:space="preserve">विषय कुल योग </v>
      </c>
      <c r="AV4" s="1147" t="s">
        <v>22</v>
      </c>
      <c r="AW4" s="1171" t="s">
        <v>22</v>
      </c>
      <c r="AX4" s="1145" t="s">
        <v>23</v>
      </c>
      <c r="AY4" s="1171" t="s">
        <v>24</v>
      </c>
      <c r="AZ4" s="1145" t="s">
        <v>25</v>
      </c>
      <c r="BA4" s="1145" t="s">
        <v>26</v>
      </c>
      <c r="BB4" s="1088" t="str">
        <f>IF('School Profile'!$D$12="Hindi","सामयिक परख","Seasonal Exam")</f>
        <v>सामयिक परख</v>
      </c>
      <c r="BC4" s="1088"/>
      <c r="BD4" s="1088"/>
      <c r="BE4" s="1088"/>
      <c r="BF4" s="1157" t="str">
        <f>IF('School Profile'!$D$12="Hindi","अर्द्धवार्षिक","Half Yearly")</f>
        <v>अर्द्धवार्षिक</v>
      </c>
      <c r="BG4" s="1134" t="str">
        <f>IF('School Profile'!$D$12="Hindi","अर्द्ध वा. तक योग","Total Till H.Y.")</f>
        <v>अर्द्ध वा. तक योग</v>
      </c>
      <c r="BH4" s="1157" t="str">
        <f>IF('School Profile'!$D$12="Hindi","वार्षिक","Yearly")</f>
        <v>वार्षिक</v>
      </c>
      <c r="BI4" s="1146" t="str">
        <f>IF('School Profile'!$D$12="Hindi","विषय कुल योग ","Subject Total")</f>
        <v xml:space="preserve">विषय कुल योग </v>
      </c>
      <c r="BJ4" s="1147" t="s">
        <v>22</v>
      </c>
      <c r="BK4" s="1171" t="s">
        <v>22</v>
      </c>
      <c r="BL4" s="1145" t="s">
        <v>23</v>
      </c>
      <c r="BM4" s="1171" t="s">
        <v>24</v>
      </c>
      <c r="BN4" s="1145" t="s">
        <v>25</v>
      </c>
      <c r="BO4" s="1145" t="s">
        <v>26</v>
      </c>
      <c r="BP4" s="1211" t="str">
        <f>IF('School Profile'!$D$12="Hindi","सामयिक परख","Seasonal Exam")</f>
        <v>सामयिक परख</v>
      </c>
      <c r="BQ4" s="1211"/>
      <c r="BR4" s="1211"/>
      <c r="BS4" s="1211"/>
      <c r="BT4" s="1210" t="str">
        <f>IF('School Profile'!$D$12="Hindi","अर्द्धवार्षिक","Half Yearly")</f>
        <v>अर्द्धवार्षिक</v>
      </c>
      <c r="BU4" s="1264" t="str">
        <f>IF('School Profile'!$D$12="Hindi","अर्द्ध वा. तक योग","Total Till H.Y.")</f>
        <v>अर्द्ध वा. तक योग</v>
      </c>
      <c r="BV4" s="1210" t="str">
        <f>IF('School Profile'!$D$12="Hindi","वार्षिक","Yearly")</f>
        <v>वार्षिक</v>
      </c>
      <c r="BW4" s="1251" t="str">
        <f>IF('School Profile'!$D$12="Hindi","विषय कुल योग ","Subject Total")</f>
        <v xml:space="preserve">विषय कुल योग </v>
      </c>
      <c r="BX4" s="1171" t="s">
        <v>22</v>
      </c>
      <c r="BY4" s="1171" t="s">
        <v>22</v>
      </c>
      <c r="BZ4" s="1145" t="s">
        <v>23</v>
      </c>
      <c r="CA4" s="1171" t="s">
        <v>24</v>
      </c>
      <c r="CB4" s="1145" t="s">
        <v>25</v>
      </c>
      <c r="CC4" s="1145" t="s">
        <v>26</v>
      </c>
      <c r="CD4" s="1171" t="s">
        <v>27</v>
      </c>
      <c r="CE4" s="1088" t="str">
        <f>IF('School Profile'!$D$12="Hindi","सामयिक परख","Seasonal Exam")</f>
        <v>सामयिक परख</v>
      </c>
      <c r="CF4" s="1088"/>
      <c r="CG4" s="1088"/>
      <c r="CH4" s="1088"/>
      <c r="CI4" s="1157" t="str">
        <f>IF('School Profile'!$D$12="Hindi","अर्द्धवार्षिक","Half Yearly")</f>
        <v>अर्द्धवार्षिक</v>
      </c>
      <c r="CJ4" s="1134" t="str">
        <f>IF('School Profile'!$D$12="Hindi","अर्द्ध वा. तक योग","Total Till H.Y.")</f>
        <v>अर्द्ध वा. तक योग</v>
      </c>
      <c r="CK4" s="1157" t="str">
        <f>IF('School Profile'!$D$12="Hindi","वार्षिक","Yearly")</f>
        <v>वार्षिक</v>
      </c>
      <c r="CL4" s="1146" t="str">
        <f>IF('School Profile'!$D$12="Hindi","विषय कुल योग ","Subject Total")</f>
        <v xml:space="preserve">विषय कुल योग </v>
      </c>
      <c r="CM4" s="1171" t="s">
        <v>22</v>
      </c>
      <c r="CN4" s="1171" t="s">
        <v>22</v>
      </c>
      <c r="CO4" s="1145" t="s">
        <v>23</v>
      </c>
      <c r="CP4" s="1171" t="s">
        <v>24</v>
      </c>
      <c r="CQ4" s="1145" t="s">
        <v>25</v>
      </c>
      <c r="CR4" s="1145" t="s">
        <v>26</v>
      </c>
      <c r="CS4" s="1168" t="str">
        <f>IF('School Profile'!$D$12="Hindi","व्यावसायिक शिक्षा के विषय","Vocational Education  Subject")</f>
        <v>व्यावसायिक शिक्षा के विषय</v>
      </c>
      <c r="CT4" s="1131" t="str">
        <f>IF('School Profile'!$D$12="Hindi","सामयिक परख","Seasonal Exam")</f>
        <v>सामयिक परख</v>
      </c>
      <c r="CU4" s="1131"/>
      <c r="CV4" s="1131"/>
      <c r="CW4" s="1131"/>
      <c r="CX4" s="1131" t="str">
        <f>IF('School Profile'!$D$12="Hindi","अर्द्धवार्षिक","Half Yearly")</f>
        <v>अर्द्धवार्षिक</v>
      </c>
      <c r="CY4" s="1131"/>
      <c r="CZ4" s="1131"/>
      <c r="DA4" s="1134" t="str">
        <f>IF('School Profile'!$D$12="Hindi","अर्द्ध वा. तक योग","Total Till H.Y.")</f>
        <v>अर्द्ध वा. तक योग</v>
      </c>
      <c r="DB4" s="1131" t="str">
        <f>IF('School Profile'!$D$12="Hindi","वार्षिक","Yearly")</f>
        <v>वार्षिक</v>
      </c>
      <c r="DC4" s="1131"/>
      <c r="DD4" s="1131"/>
      <c r="DE4" s="1146" t="str">
        <f>IF('School Profile'!$D$12="Hindi","विषय कुल योग ","Subject Total")</f>
        <v xml:space="preserve">विषय कुल योग </v>
      </c>
      <c r="DF4" s="1147" t="s">
        <v>22</v>
      </c>
      <c r="DG4" s="1171" t="s">
        <v>22</v>
      </c>
      <c r="DH4" s="1145" t="s">
        <v>23</v>
      </c>
      <c r="DI4" s="1171" t="s">
        <v>24</v>
      </c>
      <c r="DJ4" s="1145" t="s">
        <v>25</v>
      </c>
      <c r="DK4" s="1145" t="s">
        <v>26</v>
      </c>
      <c r="DL4" s="1257"/>
      <c r="DM4" s="1258"/>
      <c r="DN4" s="1258"/>
      <c r="DO4" s="1258"/>
      <c r="DP4" s="1258"/>
      <c r="DQ4" s="1258"/>
      <c r="DR4" s="1259"/>
      <c r="DS4" s="1138"/>
      <c r="DT4" s="1138"/>
      <c r="DU4" s="1138"/>
      <c r="DV4" s="1138"/>
      <c r="DW4" s="1138"/>
      <c r="DX4" s="1138"/>
      <c r="DY4" s="1141" t="s">
        <v>28</v>
      </c>
      <c r="DZ4" s="1088" t="str">
        <f>IF('School Profile'!$D$12="Hindi","सामयिक परख","Seasonal Exam")</f>
        <v>सामयिक परख</v>
      </c>
      <c r="EA4" s="1088"/>
      <c r="EB4" s="1088"/>
      <c r="EC4" s="1088"/>
      <c r="ED4" s="1157" t="str">
        <f>IF('School Profile'!$D$12="Hindi","अर्द्धवार्षिक","Half Yearly")</f>
        <v>अर्द्धवार्षिक</v>
      </c>
      <c r="EE4" s="1134" t="str">
        <f>IF('School Profile'!$D$12="Hindi","अर्द्ध वा. तक योग","Total Till H.Y.")</f>
        <v>अर्द्ध वा. तक योग</v>
      </c>
      <c r="EF4" s="1157" t="str">
        <f>IF('School Profile'!$D$12="Hindi","वार्षिक","Yearly")</f>
        <v>वार्षिक</v>
      </c>
      <c r="EG4" s="1146" t="str">
        <f>IF('School Profile'!$D$12="Hindi","विषय कुल योग ","Subject Total")</f>
        <v xml:space="preserve">विषय कुल योग </v>
      </c>
      <c r="EH4" s="1143" t="str">
        <f>IF('School Profile'!$D$12="Hindi","विषय ग्रेड","Subject Grade")</f>
        <v>विषय ग्रेड</v>
      </c>
      <c r="EI4" s="1136" t="s">
        <v>22</v>
      </c>
      <c r="EJ4" s="1136" t="s">
        <v>22</v>
      </c>
      <c r="EK4" s="1139" t="s">
        <v>23</v>
      </c>
      <c r="EL4" s="1131" t="str">
        <f>IF('School Profile'!$D$12="Hindi","सामयिक परख","Seasonal Exam")</f>
        <v>सामयिक परख</v>
      </c>
      <c r="EM4" s="1131"/>
      <c r="EN4" s="1131"/>
      <c r="EO4" s="1131"/>
      <c r="EP4" s="1131" t="str">
        <f>IF('School Profile'!$D$12="Hindi","अर्द्धवार्षिक","Half Yearly")</f>
        <v>अर्द्धवार्षिक</v>
      </c>
      <c r="EQ4" s="1131"/>
      <c r="ER4" s="1131"/>
      <c r="ES4" s="1134" t="str">
        <f>IF('School Profile'!$D$12="Hindi","अर्द्ध वा. तक योग","Total Till H.Y.")</f>
        <v>अर्द्ध वा. तक योग</v>
      </c>
      <c r="ET4" s="1131" t="str">
        <f>IF('School Profile'!$D$12="Hindi","वार्षिक","Yearly")</f>
        <v>वार्षिक</v>
      </c>
      <c r="EU4" s="1131"/>
      <c r="EV4" s="1131"/>
      <c r="EW4" s="1146" t="str">
        <f>IF('School Profile'!$D$12="Hindi","विषय कुल योग ","Subject Total")</f>
        <v xml:space="preserve">विषय कुल योग </v>
      </c>
      <c r="EX4" s="1143" t="str">
        <f>IF('School Profile'!$D$12="Hindi","विषय ग्रेड","Subject Grade")</f>
        <v>विषय ग्रेड</v>
      </c>
      <c r="EY4" s="1136" t="s">
        <v>22</v>
      </c>
      <c r="EZ4" s="1136" t="s">
        <v>22</v>
      </c>
      <c r="FA4" s="1139" t="s">
        <v>23</v>
      </c>
      <c r="FB4" s="1129" t="str">
        <f>IF('School Profile'!$D$12="Hindi","प्रथम परख ","First Test")</f>
        <v xml:space="preserve">प्रथम परख </v>
      </c>
      <c r="FC4" s="1130"/>
      <c r="FD4" s="1129" t="str">
        <f>IF('School Profile'!$D$12="Hindi","द्वितीय परख","Second Test")</f>
        <v>द्वितीय परख</v>
      </c>
      <c r="FE4" s="1130"/>
      <c r="FF4" s="1129" t="str">
        <f>IF('School Profile'!$D$12="Hindi","तृतीय परख","Third Test")</f>
        <v>तृतीय परख</v>
      </c>
      <c r="FG4" s="1130"/>
      <c r="FH4" s="1132" t="str">
        <f>IF('School Profile'!$D$12="Hindi","सा. परख योग","Test Total")</f>
        <v>सा. परख योग</v>
      </c>
      <c r="FI4" s="1131" t="str">
        <f>IF('School Profile'!$D$12="Hindi","अर्द्धवार्षिक","Half Yearly")</f>
        <v>अर्द्धवार्षिक</v>
      </c>
      <c r="FJ4" s="1131"/>
      <c r="FK4" s="1131"/>
      <c r="FL4" s="1134" t="str">
        <f>IF('School Profile'!$D$12="Hindi","अर्द्ध वा. तक योग","Total Till H.Y.")</f>
        <v>अर्द्ध वा. तक योग</v>
      </c>
      <c r="FM4" s="1131" t="str">
        <f>IF('School Profile'!$D$12="Hindi","वार्षिक","Yearly")</f>
        <v>वार्षिक</v>
      </c>
      <c r="FN4" s="1131"/>
      <c r="FO4" s="1131"/>
      <c r="FP4" s="1146" t="str">
        <f>IF('School Profile'!$D$12="Hindi","विषय कुल योग ","Subject Total")</f>
        <v xml:space="preserve">विषय कुल योग </v>
      </c>
      <c r="FQ4" s="1143" t="str">
        <f>IF('School Profile'!$D$12="Hindi","विषय ग्रेड","Subject Grade")</f>
        <v>विषय ग्रेड</v>
      </c>
      <c r="FR4" s="1136" t="s">
        <v>22</v>
      </c>
      <c r="FS4" s="1136" t="s">
        <v>22</v>
      </c>
      <c r="FT4" s="1139" t="s">
        <v>23</v>
      </c>
      <c r="FU4" s="1128" t="str">
        <f>IF('School Profile'!$D$12="Hindi","अनिवार्य प्रवृति","Compulsory Tendency")</f>
        <v>अनिवार्य प्रवृति</v>
      </c>
      <c r="FV4" s="1128" t="str">
        <f>IF('School Profile'!$D$12="Hindi","वैकल्पिक प्रवृति","Alternative Tendency")</f>
        <v>वैकल्पिक प्रवृति</v>
      </c>
      <c r="FW4" s="1128" t="str">
        <f>IF('School Profile'!$D$12="Hindi","शिविर","Camp")</f>
        <v>शिविर</v>
      </c>
      <c r="FX4" s="1146" t="str">
        <f>IF('School Profile'!$D$12="Hindi","विषय कुल योग ","Subject Total")</f>
        <v xml:space="preserve">विषय कुल योग </v>
      </c>
      <c r="FY4" s="1143" t="str">
        <f>IF('School Profile'!$D$12="Hindi","विषय ग्रेड","Subject Grade")</f>
        <v>विषय ग्रेड</v>
      </c>
      <c r="FZ4" s="1136" t="s">
        <v>22</v>
      </c>
      <c r="GA4" s="1136" t="s">
        <v>22</v>
      </c>
      <c r="GB4" s="1139" t="s">
        <v>23</v>
      </c>
      <c r="GC4" s="1128" t="str">
        <f>IF('School Profile'!$D$12="Hindi","अनिवार्य प्रवृति","Compulsory Tendency")</f>
        <v>अनिवार्य प्रवृति</v>
      </c>
      <c r="GD4" s="1128" t="str">
        <f>IF('School Profile'!$D$12="Hindi","वैकल्पिक प्रवृति","Alternative Tendency")</f>
        <v>वैकल्पिक प्रवृति</v>
      </c>
      <c r="GE4" s="1128" t="str">
        <f>IF('School Profile'!$D$12="Hindi","शिविर","Camp")</f>
        <v>शिविर</v>
      </c>
      <c r="GF4" s="1146" t="str">
        <f>IF('School Profile'!$D$12="Hindi","विषय कुल योग ","Subject Total")</f>
        <v xml:space="preserve">विषय कुल योग </v>
      </c>
      <c r="GG4" s="1143" t="str">
        <f>IF('School Profile'!$D$12="Hindi","विषय ग्रेड","Subject Grade")</f>
        <v>विषय ग्रेड</v>
      </c>
      <c r="GH4" s="1136" t="s">
        <v>22</v>
      </c>
      <c r="GI4" s="1136" t="s">
        <v>22</v>
      </c>
      <c r="GJ4" s="1139" t="s">
        <v>23</v>
      </c>
      <c r="GK4" s="1157" t="str">
        <f>IF('School Profile'!$D$12="Hindi","कुल कार्य दिवस","Total Working Days")</f>
        <v>कुल कार्य दिवस</v>
      </c>
      <c r="GL4" s="1157" t="str">
        <f>IF('School Profile'!$D$12="Hindi","कुल उपस्थिति","Student's Attendance")</f>
        <v>कुल उपस्थिति</v>
      </c>
      <c r="GM4" s="1209" t="str">
        <f>IF('School Profile'!$D$12="Hindi","उपस्थिति प्रतिशत","Attendance  Percentage")</f>
        <v>उपस्थिति प्रतिशत</v>
      </c>
      <c r="GN4" s="1088" t="str">
        <f>K3</f>
        <v>हिंदी</v>
      </c>
      <c r="GO4" s="1088"/>
      <c r="GP4" s="1088"/>
      <c r="GQ4" s="1088" t="str">
        <f>Y3</f>
        <v>अंग्रेजी</v>
      </c>
      <c r="GR4" s="1088"/>
      <c r="GS4" s="1088"/>
      <c r="GT4" s="63"/>
      <c r="GU4" s="1179" t="str">
        <f>'School Profile'!G9</f>
        <v>तृतीय भाषा</v>
      </c>
      <c r="GV4" s="1179"/>
      <c r="GW4" s="1179"/>
      <c r="GX4" s="1179"/>
      <c r="GY4" s="1179"/>
      <c r="GZ4" s="1179"/>
      <c r="HA4" s="1179"/>
      <c r="HB4" s="1129" t="str">
        <f>BB3</f>
        <v>गणित</v>
      </c>
      <c r="HC4" s="1176"/>
      <c r="HD4" s="1130"/>
      <c r="HE4" s="1129" t="str">
        <f>BP3</f>
        <v>विज्ञान</v>
      </c>
      <c r="HF4" s="1176"/>
      <c r="HG4" s="1130"/>
      <c r="HH4" s="1129" t="str">
        <f>CE3</f>
        <v>सामाजिक विज्ञान</v>
      </c>
      <c r="HI4" s="1176"/>
      <c r="HJ4" s="1130"/>
      <c r="HK4" s="1175" t="str">
        <f>CS3</f>
        <v>व्यावसायिक शिक्षा विषय</v>
      </c>
      <c r="HL4" s="1175"/>
      <c r="HM4" s="1175"/>
      <c r="HN4" s="1131" t="str">
        <f>IF('School Profile'!$D$12="Hindi","अनुतीर्ण विषय","Failed Subject")</f>
        <v>अनुतीर्ण विषय</v>
      </c>
      <c r="HO4" s="1131" t="str">
        <f>IF('School Profile'!$D$12="Hindi","पूरक विषय","Supplementary Subject")</f>
        <v>पूरक विषय</v>
      </c>
      <c r="HP4" s="1131" t="str">
        <f>IF('School Profile'!$D$12="Hindi","सानुग्रह उतीर्ण विषय","Subject Of Grace")</f>
        <v>सानुग्रह उतीर्ण विषय</v>
      </c>
      <c r="HQ4" s="1131" t="str">
        <f>IF('School Profile'!$D$12="Hindi","पुनः परीक्षा के विषय","Subject of Re-Exam")</f>
        <v>पुनः परीक्षा के विषय</v>
      </c>
      <c r="HR4" s="1131" t="str">
        <f>IF('School Profile'!$D$12="Hindi","विशेष योग्यता प्राप्त विषय","Subjects Of Dictation Marks")</f>
        <v>विशेष योग्यता प्राप्त विषय</v>
      </c>
      <c r="HS4" s="1170" t="str">
        <f>IF('School Profile'!$D$12="Hindi","परिणाम :- उतीर्ण/ सा.उतीर्ण/ पूरक/ पुनः परीक्षा/ अनुतीर्ण","Result :- PASS/ BY GRACE PASS/ SUPPLEMENTARY/ RE-EXAM/ FAIL")</f>
        <v>परिणाम :- उतीर्ण/ सा.उतीर्ण/ पूरक/ पुनः परीक्षा/ अनुतीर्ण</v>
      </c>
      <c r="HT4" s="1177" t="str">
        <f>IF('School Profile'!$D$12="Hindi","सर्व योग प्राप्तांक","Grand Total")</f>
        <v>सर्व योग प्राप्तांक</v>
      </c>
      <c r="HU4" s="1178" t="s">
        <v>29</v>
      </c>
      <c r="HV4" s="1172" t="str">
        <f>IF('School Profile'!$D$12="Hindi","श्रेणी","Division")</f>
        <v>श्रेणी</v>
      </c>
      <c r="HW4" s="1308" t="str">
        <f>IF('School Profile'!D12="Hindi","प्रतिशत","Percentage")</f>
        <v>प्रतिशत</v>
      </c>
      <c r="HX4" s="1172" t="str">
        <f>IF('School Profile'!D12="Hindi","कक्षा में स्थान","Position in the Class")</f>
        <v>कक्षा में स्थान</v>
      </c>
      <c r="HY4" s="1196" t="str">
        <f>IF('School Profile'!$D$12="Hindi","पूरक परीक्षा का परिणाम","Result of Supplementary Exam")</f>
        <v>पूरक परीक्षा का परिणाम</v>
      </c>
      <c r="HZ4" s="1196" t="str">
        <f>IF('School Profile'!$D$12="Hindi","पूरक परीक्षा उतीर्ण के बाद प्रतिशत","Percentage  after Passing the Supplementary Exam")</f>
        <v>पूरक परीक्षा उतीर्ण के बाद प्रतिशत</v>
      </c>
      <c r="IA4" s="1199" t="str">
        <f>IF('School Profile'!$D$12="Hindi","श्रेणी","Division")</f>
        <v>श्रेणी</v>
      </c>
      <c r="IB4" s="1196" t="str">
        <f>IF('School Profile'!$D$12="Hindi","पूरक परीक्षा उतीर्ण के पश्चात् परिणाम","Final Result after Passing the Supplementary Exam")</f>
        <v>पूरक परीक्षा उतीर्ण के पश्चात् परिणाम</v>
      </c>
      <c r="IC4" s="1199" t="str">
        <f>IF('School Profile'!$D$12="Hindi","विशेष विवरण","Specifications")</f>
        <v>विशेष विवरण</v>
      </c>
      <c r="IS4" s="1279" t="s">
        <v>58</v>
      </c>
      <c r="IT4" s="1280"/>
      <c r="IU4" s="1280"/>
      <c r="IV4" s="1280"/>
      <c r="IW4" s="1280"/>
      <c r="IX4" s="1280"/>
      <c r="IY4" s="1281"/>
      <c r="IZ4" s="1285" t="s">
        <v>57</v>
      </c>
      <c r="JA4" s="1286"/>
      <c r="JB4" s="1286"/>
      <c r="JC4" s="1286"/>
      <c r="JD4" s="1286"/>
      <c r="JE4" s="1286"/>
      <c r="JF4" s="1287"/>
      <c r="JG4" s="1293" t="s">
        <v>25</v>
      </c>
      <c r="JH4" s="1294"/>
      <c r="JI4" s="1294"/>
      <c r="JJ4" s="1294"/>
      <c r="JK4" s="1294"/>
      <c r="JL4" s="1294"/>
      <c r="JM4" s="1295"/>
      <c r="JN4" s="64"/>
      <c r="JO4" s="64"/>
      <c r="JP4" s="64"/>
      <c r="JQ4" s="1235" t="s">
        <v>59</v>
      </c>
      <c r="JR4" s="1236"/>
      <c r="JS4" s="1236"/>
      <c r="JT4" s="1236"/>
      <c r="JU4" s="1236"/>
      <c r="JV4" s="1236"/>
      <c r="JW4" s="1237"/>
      <c r="JX4" s="1180" t="s">
        <v>30</v>
      </c>
      <c r="JY4" s="1180" t="s">
        <v>29</v>
      </c>
      <c r="JZ4" s="1180" t="s">
        <v>64</v>
      </c>
    </row>
    <row r="5" spans="1:287" s="62" customFormat="1" ht="78.75" customHeight="1">
      <c r="A5" s="1157"/>
      <c r="B5" s="1157"/>
      <c r="C5" s="1210"/>
      <c r="D5" s="1210"/>
      <c r="E5" s="1210"/>
      <c r="F5" s="1088"/>
      <c r="G5" s="1088"/>
      <c r="H5" s="1088"/>
      <c r="I5" s="1157"/>
      <c r="J5" s="1157"/>
      <c r="K5" s="516" t="str">
        <f>IF('School Profile'!$D$12="Hindi","प्रथम परख ","First Test")</f>
        <v xml:space="preserve">प्रथम परख </v>
      </c>
      <c r="L5" s="516" t="str">
        <f>IF('School Profile'!$D$12="Hindi","द्वितीय परख","Second Test")</f>
        <v>द्वितीय परख</v>
      </c>
      <c r="M5" s="516" t="str">
        <f>IF('School Profile'!$D$12="Hindi","तृतीय परख","Third Test")</f>
        <v>तृतीय परख</v>
      </c>
      <c r="N5" s="531" t="str">
        <f>IF('School Profile'!$D$12="Hindi","सा. परख योग","Test Total")</f>
        <v>सा. परख योग</v>
      </c>
      <c r="O5" s="1157"/>
      <c r="P5" s="1134"/>
      <c r="Q5" s="1157"/>
      <c r="R5" s="1146"/>
      <c r="S5" s="1147"/>
      <c r="T5" s="1171"/>
      <c r="U5" s="1145"/>
      <c r="V5" s="1171"/>
      <c r="W5" s="1145"/>
      <c r="X5" s="1145"/>
      <c r="Y5" s="516" t="str">
        <f>IF('School Profile'!$D$12="Hindi","प्रथम परख ","First Test")</f>
        <v xml:space="preserve">प्रथम परख </v>
      </c>
      <c r="Z5" s="516" t="str">
        <f>IF('School Profile'!$D$12="Hindi","द्वितीय परख","Second Test")</f>
        <v>द्वितीय परख</v>
      </c>
      <c r="AA5" s="516" t="str">
        <f>IF('School Profile'!$D$12="Hindi","तृतीय परख","Third Test")</f>
        <v>तृतीय परख</v>
      </c>
      <c r="AB5" s="531" t="str">
        <f>IF('School Profile'!$D$12="Hindi","सा. परख योग","Test Total")</f>
        <v>सा. परख योग</v>
      </c>
      <c r="AC5" s="1157"/>
      <c r="AD5" s="1134"/>
      <c r="AE5" s="1157"/>
      <c r="AF5" s="1146"/>
      <c r="AG5" s="1147"/>
      <c r="AH5" s="1171"/>
      <c r="AI5" s="1145"/>
      <c r="AJ5" s="1171"/>
      <c r="AK5" s="1145"/>
      <c r="AL5" s="1145"/>
      <c r="AM5" s="1088"/>
      <c r="AN5" s="516" t="str">
        <f>IF('School Profile'!$D$12="Hindi","प्रथम परख ","First Test")</f>
        <v xml:space="preserve">प्रथम परख </v>
      </c>
      <c r="AO5" s="516" t="str">
        <f>IF('School Profile'!$D$12="Hindi","द्वितीय परख","Second Test")</f>
        <v>द्वितीय परख</v>
      </c>
      <c r="AP5" s="516" t="str">
        <f>IF('School Profile'!$D$12="Hindi","तृतीय परख","Third Test")</f>
        <v>तृतीय परख</v>
      </c>
      <c r="AQ5" s="531" t="str">
        <f>IF('School Profile'!$D$12="Hindi","सा. परख योग","Test Total")</f>
        <v>सा. परख योग</v>
      </c>
      <c r="AR5" s="1157"/>
      <c r="AS5" s="1134"/>
      <c r="AT5" s="1157"/>
      <c r="AU5" s="1146"/>
      <c r="AV5" s="1147"/>
      <c r="AW5" s="1171"/>
      <c r="AX5" s="1145"/>
      <c r="AY5" s="1171"/>
      <c r="AZ5" s="1145"/>
      <c r="BA5" s="1145"/>
      <c r="BB5" s="516" t="str">
        <f>IF('School Profile'!$D$12="Hindi","प्रथम परख ","First Test")</f>
        <v xml:space="preserve">प्रथम परख </v>
      </c>
      <c r="BC5" s="516" t="str">
        <f>IF('School Profile'!$D$12="Hindi","द्वितीय परख","Second Test")</f>
        <v>द्वितीय परख</v>
      </c>
      <c r="BD5" s="516" t="str">
        <f>IF('School Profile'!$D$12="Hindi","तृतीय परख","Third Test")</f>
        <v>तृतीय परख</v>
      </c>
      <c r="BE5" s="531" t="str">
        <f>IF('School Profile'!$D$12="Hindi","सा. परख योग","Test Total")</f>
        <v>सा. परख योग</v>
      </c>
      <c r="BF5" s="1157"/>
      <c r="BG5" s="1134"/>
      <c r="BH5" s="1157"/>
      <c r="BI5" s="1146"/>
      <c r="BJ5" s="1147"/>
      <c r="BK5" s="1171"/>
      <c r="BL5" s="1145"/>
      <c r="BM5" s="1171"/>
      <c r="BN5" s="1145"/>
      <c r="BO5" s="1145"/>
      <c r="BP5" s="516" t="str">
        <f>IF('School Profile'!$D$12="Hindi","प्रथम परख ","First Test")</f>
        <v xml:space="preserve">प्रथम परख </v>
      </c>
      <c r="BQ5" s="516" t="str">
        <f>IF('School Profile'!$D$12="Hindi","द्वितीय परख","Second Test")</f>
        <v>द्वितीय परख</v>
      </c>
      <c r="BR5" s="516" t="str">
        <f>IF('School Profile'!$D$12="Hindi","तृतीय परख","Third Test")</f>
        <v>तृतीय परख</v>
      </c>
      <c r="BS5" s="517" t="str">
        <f>IF('School Profile'!$D$12="Hindi","सा. परख योग","Test Total")</f>
        <v>सा. परख योग</v>
      </c>
      <c r="BT5" s="1208"/>
      <c r="BU5" s="1265"/>
      <c r="BV5" s="1208"/>
      <c r="BW5" s="1252"/>
      <c r="BX5" s="1171"/>
      <c r="BY5" s="1171"/>
      <c r="BZ5" s="1145"/>
      <c r="CA5" s="1171"/>
      <c r="CB5" s="1145"/>
      <c r="CC5" s="1145"/>
      <c r="CD5" s="1171"/>
      <c r="CE5" s="516" t="str">
        <f>IF('School Profile'!$D$12="Hindi","प्रथम परख ","First Test")</f>
        <v xml:space="preserve">प्रथम परख </v>
      </c>
      <c r="CF5" s="516" t="str">
        <f>IF('School Profile'!$D$12="Hindi","द्वितीय परख","Second Test")</f>
        <v>द्वितीय परख</v>
      </c>
      <c r="CG5" s="516" t="str">
        <f>IF('School Profile'!$D$12="Hindi","तृतीय परख","Third Test")</f>
        <v>तृतीय परख</v>
      </c>
      <c r="CH5" s="531" t="str">
        <f>IF('School Profile'!$D$12="Hindi","सा. परख योग","Test Total")</f>
        <v>सा. परख योग</v>
      </c>
      <c r="CI5" s="1157"/>
      <c r="CJ5" s="1134"/>
      <c r="CK5" s="1157"/>
      <c r="CL5" s="1146"/>
      <c r="CM5" s="1171"/>
      <c r="CN5" s="1171"/>
      <c r="CO5" s="1145"/>
      <c r="CP5" s="1171"/>
      <c r="CQ5" s="1145"/>
      <c r="CR5" s="1145"/>
      <c r="CS5" s="1169"/>
      <c r="CT5" s="519" t="str">
        <f>IF('School Profile'!$D$12="Hindi","प्रथम परख ","First Test")</f>
        <v xml:space="preserve">प्रथम परख </v>
      </c>
      <c r="CU5" s="519" t="str">
        <f>IF('School Profile'!$D$12="Hindi","द्वितीय परख","Second Test")</f>
        <v>द्वितीय परख</v>
      </c>
      <c r="CV5" s="519" t="str">
        <f>IF('School Profile'!$D$12="Hindi","तृतीय परख","Third Test")</f>
        <v>तृतीय परख</v>
      </c>
      <c r="CW5" s="531" t="str">
        <f>IF('School Profile'!$D$12="Hindi","सा. परख योग","Test Total")</f>
        <v>सा. परख योग</v>
      </c>
      <c r="CX5" s="519" t="str">
        <f>IF('School Profile'!$D$12="Hindi","सैद्धान्तिक","Theoretical")</f>
        <v>सैद्धान्तिक</v>
      </c>
      <c r="CY5" s="519" t="str">
        <f>IF('School Profile'!$D$12="Hindi","प्रायोगिक","Practical")</f>
        <v>प्रायोगिक</v>
      </c>
      <c r="CZ5" s="357" t="str">
        <f>IF('School Profile'!$D$12="Hindi","अर्द्धवार्षिक योग","H.Y.  Total")</f>
        <v>अर्द्धवार्षिक योग</v>
      </c>
      <c r="DA5" s="1134"/>
      <c r="DB5" s="519" t="str">
        <f>IF('School Profile'!$D$12="Hindi","सैद्धान्तिक","Theoretical")</f>
        <v>सैद्धान्तिक</v>
      </c>
      <c r="DC5" s="519" t="str">
        <f>IF('School Profile'!$D$12="Hindi","प्रायोगिक","Practical")</f>
        <v>प्रायोगिक</v>
      </c>
      <c r="DD5" s="357" t="str">
        <f>IF('School Profile'!$D$12="Hindi","वार्षिक योग","Yearly  Total")</f>
        <v>वार्षिक योग</v>
      </c>
      <c r="DE5" s="1146"/>
      <c r="DF5" s="1147"/>
      <c r="DG5" s="1171"/>
      <c r="DH5" s="1145"/>
      <c r="DI5" s="1171"/>
      <c r="DJ5" s="1145"/>
      <c r="DK5" s="1145"/>
      <c r="DL5" s="1260"/>
      <c r="DM5" s="1261"/>
      <c r="DN5" s="1261"/>
      <c r="DO5" s="1261"/>
      <c r="DP5" s="1261"/>
      <c r="DQ5" s="1261"/>
      <c r="DR5" s="1262"/>
      <c r="DS5" s="1138"/>
      <c r="DT5" s="1138"/>
      <c r="DU5" s="1138"/>
      <c r="DV5" s="1138"/>
      <c r="DW5" s="1138"/>
      <c r="DX5" s="1138"/>
      <c r="DY5" s="1141"/>
      <c r="DZ5" s="516" t="str">
        <f>IF('School Profile'!$D$12="Hindi","प्रथम परख ","First Test")</f>
        <v xml:space="preserve">प्रथम परख </v>
      </c>
      <c r="EA5" s="516" t="str">
        <f>IF('School Profile'!$D$12="Hindi","द्वितीय परख","Second Test")</f>
        <v>द्वितीय परख</v>
      </c>
      <c r="EB5" s="516" t="str">
        <f>IF('School Profile'!$D$12="Hindi","तृतीय परख","Third Test")</f>
        <v>तृतीय परख</v>
      </c>
      <c r="EC5" s="531" t="str">
        <f>IF('School Profile'!$D$12="Hindi","सा. परख योग","Test Total")</f>
        <v>सा. परख योग</v>
      </c>
      <c r="ED5" s="1157"/>
      <c r="EE5" s="1134"/>
      <c r="EF5" s="1157"/>
      <c r="EG5" s="1146"/>
      <c r="EH5" s="1144"/>
      <c r="EI5" s="1137"/>
      <c r="EJ5" s="1137"/>
      <c r="EK5" s="1140"/>
      <c r="EL5" s="519" t="str">
        <f>IF('School Profile'!$D$12="Hindi","प्रथम परख ","First Test")</f>
        <v xml:space="preserve">प्रथम परख </v>
      </c>
      <c r="EM5" s="519" t="str">
        <f>IF('School Profile'!$D$12="Hindi","द्वितीय परख","Second Test")</f>
        <v>द्वितीय परख</v>
      </c>
      <c r="EN5" s="519" t="str">
        <f>IF('School Profile'!$D$12="Hindi","तृतीय परख","Third Test")</f>
        <v>तृतीय परख</v>
      </c>
      <c r="EO5" s="531" t="str">
        <f>IF('School Profile'!$D$12="Hindi","सा. परख योग","Test Total")</f>
        <v>सा. परख योग</v>
      </c>
      <c r="EP5" s="519" t="str">
        <f>IF('School Profile'!$D$12="Hindi","सैद्धान्तिक","Theoretical")</f>
        <v>सैद्धान्तिक</v>
      </c>
      <c r="EQ5" s="519" t="str">
        <f>IF('School Profile'!$D$12="Hindi","प्रायोगिक","Practical")</f>
        <v>प्रायोगिक</v>
      </c>
      <c r="ER5" s="357" t="str">
        <f>IF('School Profile'!$D$12="Hindi","अर्द्धवार्षिक योग","H.Y.  Total")</f>
        <v>अर्द्धवार्षिक योग</v>
      </c>
      <c r="ES5" s="1134"/>
      <c r="ET5" s="519" t="str">
        <f>IF('School Profile'!$D$12="Hindi","सैद्धान्तिक","Theoretical")</f>
        <v>सैद्धान्तिक</v>
      </c>
      <c r="EU5" s="519" t="str">
        <f>IF('School Profile'!$D$12="Hindi","प्रायोगिक","Practical")</f>
        <v>प्रायोगिक</v>
      </c>
      <c r="EV5" s="357" t="str">
        <f>IF('School Profile'!$D$12="Hindi","वार्षिक योग","Yearly  Total")</f>
        <v>वार्षिक योग</v>
      </c>
      <c r="EW5" s="1146"/>
      <c r="EX5" s="1144"/>
      <c r="EY5" s="1137"/>
      <c r="EZ5" s="1137"/>
      <c r="FA5" s="1140"/>
      <c r="FB5" s="519" t="str">
        <f>IF('School Profile'!$D$12="Hindi","सैद्धान्तिक","Theoretical")</f>
        <v>सैद्धान्तिक</v>
      </c>
      <c r="FC5" s="519" t="str">
        <f>IF('School Profile'!$D$12="Hindi","प्रायोगिक","Practical")</f>
        <v>प्रायोगिक</v>
      </c>
      <c r="FD5" s="519" t="str">
        <f>IF('School Profile'!$D$12="Hindi","सैद्धान्तिक","Theoretical")</f>
        <v>सैद्धान्तिक</v>
      </c>
      <c r="FE5" s="519" t="str">
        <f>IF('School Profile'!$D$12="Hindi","प्रायोगिक","Practical")</f>
        <v>प्रायोगिक</v>
      </c>
      <c r="FF5" s="519" t="str">
        <f>IF('School Profile'!$D$12="Hindi","सैद्धान्तिक","Theoretical")</f>
        <v>सैद्धान्तिक</v>
      </c>
      <c r="FG5" s="519" t="str">
        <f>IF('School Profile'!$D$12="Hindi","प्रायोगिक","Practical")</f>
        <v>प्रायोगिक</v>
      </c>
      <c r="FH5" s="1133"/>
      <c r="FI5" s="519" t="str">
        <f>IF('School Profile'!$D$12="Hindi","सैद्धान्तिक","Theoretical")</f>
        <v>सैद्धान्तिक</v>
      </c>
      <c r="FJ5" s="519" t="str">
        <f>IF('School Profile'!$D$12="Hindi","प्रायोगिक","Practical")</f>
        <v>प्रायोगिक</v>
      </c>
      <c r="FK5" s="357" t="str">
        <f>IF('School Profile'!$D$12="Hindi","अर्द्धवार्षिक योग","H.Y.  Total")</f>
        <v>अर्द्धवार्षिक योग</v>
      </c>
      <c r="FL5" s="1134"/>
      <c r="FM5" s="519" t="str">
        <f>IF('School Profile'!$D$12="Hindi","सैद्धान्तिक","Theoretical")</f>
        <v>सैद्धान्तिक</v>
      </c>
      <c r="FN5" s="519" t="str">
        <f>IF('School Profile'!$D$12="Hindi","प्रायोगिक","Practical")</f>
        <v>प्रायोगिक</v>
      </c>
      <c r="FO5" s="357" t="str">
        <f>IF('School Profile'!$D$12="Hindi","वार्षिक योग","Yearly  Total")</f>
        <v>वार्षिक योग</v>
      </c>
      <c r="FP5" s="1146"/>
      <c r="FQ5" s="1144"/>
      <c r="FR5" s="1137"/>
      <c r="FS5" s="1137"/>
      <c r="FT5" s="1140"/>
      <c r="FU5" s="1128"/>
      <c r="FV5" s="1128"/>
      <c r="FW5" s="1128"/>
      <c r="FX5" s="1146"/>
      <c r="FY5" s="1143"/>
      <c r="FZ5" s="1137"/>
      <c r="GA5" s="1137"/>
      <c r="GB5" s="1140"/>
      <c r="GC5" s="1128"/>
      <c r="GD5" s="1128"/>
      <c r="GE5" s="1128"/>
      <c r="GF5" s="1146"/>
      <c r="GG5" s="1143"/>
      <c r="GH5" s="1137"/>
      <c r="GI5" s="1137"/>
      <c r="GJ5" s="1140"/>
      <c r="GK5" s="1209"/>
      <c r="GL5" s="1209"/>
      <c r="GM5" s="1210"/>
      <c r="GN5" s="1128" t="str">
        <f>GN4</f>
        <v>हिंदी</v>
      </c>
      <c r="GO5" s="1128"/>
      <c r="GP5" s="1128" t="s">
        <v>142</v>
      </c>
      <c r="GQ5" s="1128" t="str">
        <f>GQ4</f>
        <v>अंग्रेजी</v>
      </c>
      <c r="GR5" s="1128"/>
      <c r="GS5" s="1128" t="s">
        <v>142</v>
      </c>
      <c r="GT5" s="1207">
        <f>AM2</f>
        <v>0</v>
      </c>
      <c r="GU5" s="1128" t="str">
        <f>AM3</f>
        <v>संस्कृत (71)</v>
      </c>
      <c r="GV5" s="1128" t="str">
        <f>AN3</f>
        <v xml:space="preserve">उर्दू (72) </v>
      </c>
      <c r="GW5" s="1128" t="str">
        <f>AQ3</f>
        <v>गुजराती (73)</v>
      </c>
      <c r="GX5" s="1128" t="str">
        <f>AS3</f>
        <v xml:space="preserve">सिंधी (74) </v>
      </c>
      <c r="GY5" s="1128" t="str">
        <f>AV3</f>
        <v>पंजाबी (75)</v>
      </c>
      <c r="GZ5" s="1128"/>
      <c r="HA5" s="1128" t="s">
        <v>142</v>
      </c>
      <c r="HB5" s="1207" t="str">
        <f>HB4</f>
        <v>गणित</v>
      </c>
      <c r="HC5" s="1128"/>
      <c r="HD5" s="1128" t="s">
        <v>142</v>
      </c>
      <c r="HE5" s="1207" t="str">
        <f>HE4</f>
        <v>विज्ञान</v>
      </c>
      <c r="HF5" s="1128"/>
      <c r="HG5" s="1128" t="s">
        <v>142</v>
      </c>
      <c r="HH5" s="1207" t="str">
        <f>HH4</f>
        <v>सामाजिक विज्ञान</v>
      </c>
      <c r="HI5" s="1128"/>
      <c r="HJ5" s="1128" t="s">
        <v>142</v>
      </c>
      <c r="HK5" s="1128" t="s">
        <v>155</v>
      </c>
      <c r="HL5" s="1128"/>
      <c r="HM5" s="1128" t="s">
        <v>142</v>
      </c>
      <c r="HN5" s="1131"/>
      <c r="HO5" s="1131"/>
      <c r="HP5" s="1131"/>
      <c r="HQ5" s="1131"/>
      <c r="HR5" s="1131"/>
      <c r="HS5" s="1170"/>
      <c r="HT5" s="1177"/>
      <c r="HU5" s="1178"/>
      <c r="HV5" s="1173"/>
      <c r="HW5" s="1308"/>
      <c r="HX5" s="1173"/>
      <c r="HY5" s="1197"/>
      <c r="HZ5" s="1197"/>
      <c r="IA5" s="1200"/>
      <c r="IB5" s="1197"/>
      <c r="IC5" s="1200"/>
      <c r="IS5" s="1282"/>
      <c r="IT5" s="1283"/>
      <c r="IU5" s="1283"/>
      <c r="IV5" s="1283"/>
      <c r="IW5" s="1283"/>
      <c r="IX5" s="1283"/>
      <c r="IY5" s="1284"/>
      <c r="IZ5" s="1288"/>
      <c r="JA5" s="1289"/>
      <c r="JB5" s="1289"/>
      <c r="JC5" s="1289"/>
      <c r="JD5" s="1289"/>
      <c r="JE5" s="1289"/>
      <c r="JF5" s="1290"/>
      <c r="JG5" s="1296"/>
      <c r="JH5" s="1297"/>
      <c r="JI5" s="1297"/>
      <c r="JJ5" s="1297"/>
      <c r="JK5" s="1297"/>
      <c r="JL5" s="1297"/>
      <c r="JM5" s="1298"/>
      <c r="JN5" s="64"/>
      <c r="JO5" s="64"/>
      <c r="JP5" s="64"/>
      <c r="JQ5" s="1238"/>
      <c r="JR5" s="1239"/>
      <c r="JS5" s="1239"/>
      <c r="JT5" s="1239"/>
      <c r="JU5" s="1239"/>
      <c r="JV5" s="1239"/>
      <c r="JW5" s="1240"/>
      <c r="JX5" s="1180"/>
      <c r="JY5" s="1180"/>
      <c r="JZ5" s="1180"/>
    </row>
    <row r="6" spans="1:287" s="77" customFormat="1" ht="19.5" customHeight="1">
      <c r="A6" s="1157"/>
      <c r="B6" s="1157"/>
      <c r="C6" s="1208"/>
      <c r="D6" s="1208"/>
      <c r="E6" s="1208"/>
      <c r="F6" s="1088"/>
      <c r="G6" s="1088"/>
      <c r="H6" s="1088"/>
      <c r="I6" s="1157"/>
      <c r="J6" s="1157"/>
      <c r="K6" s="526">
        <f>IF('Marks Entry'!L6="","",'Marks Entry'!L6)</f>
        <v>10</v>
      </c>
      <c r="L6" s="526">
        <f>IF('Marks Entry'!M6="","",'Marks Entry'!M6)</f>
        <v>10</v>
      </c>
      <c r="M6" s="526">
        <f>IF('Marks Entry'!N6="","",'Marks Entry'!N6)</f>
        <v>10</v>
      </c>
      <c r="N6" s="527">
        <f>IF(AND(K6="",L6="",M6=""),"",SUM(K6:M6))</f>
        <v>30</v>
      </c>
      <c r="O6" s="526">
        <f>IF('Marks Entry'!O6="","",'Marks Entry'!O6)</f>
        <v>70</v>
      </c>
      <c r="P6" s="528">
        <f>IF(AND(N6="",O6=""),"",SUM(N6,O6))</f>
        <v>100</v>
      </c>
      <c r="Q6" s="526">
        <f>IF('Marks Entry'!P6="","",'Marks Entry'!P6)</f>
        <v>100</v>
      </c>
      <c r="R6" s="530">
        <f>IF(AND(Q6="",P6=""),"",SUM(P6,Q6))</f>
        <v>200</v>
      </c>
      <c r="S6" s="65">
        <f>COUNTIF(K6:M6,"NA")*10</f>
        <v>0</v>
      </c>
      <c r="T6" s="65">
        <f>(COUNTIF(K6:M6,"ML")*10)+(COUNTIF(O6,"ML")*70)+(COUNTIF(Q6,"ML")*100)</f>
        <v>0</v>
      </c>
      <c r="U6" s="66">
        <f>IF(AND(K6="",L6="",M6="",O6="",Q6=""),"",IF(AND(L6="",K6="",M6=""),170-S6-T6,IF(AND(O6=""),130-S6-T6,IF(Q6="",100-S6-T6,200-S6-T6))))</f>
        <v>200</v>
      </c>
      <c r="V6" s="65" t="str">
        <f>IF(OR($B6="NSO",$B6="",Q6=""),"",IF(AND(OR(K6="ab",K6="ml"),OR(L6="ab",L6="ml"),OR(M6="ab",M6="ml")),"AB",IF(AND(OR(K6="NA",K6=""),OR(L6="NA",L6=""),OR(M6="NA",M6="")),"AB",IF(AND(OR(K6="ab",K6="ml"),OR(L6="ab",L6="ml"),OR(O6="ab",O6="ml")),"AB",IF(AND(OR(O6="ab",O6="ml"),OR(Q6="ab",Q6="ml"),OR(O6="ab",Q6="ml")),"AB",IF(AND(OR(Q6="ab",Q6="ml"),OR(K6="ab",K6="ml"),OR(L6="ab",L6="ml")),"AB",""))))))</f>
        <v/>
      </c>
      <c r="W6" s="65" t="str">
        <f>IF(OR($B6="NSO",$B6="",Q6=""),"",IF(OR(V6="AB",Q6="ab"),"AB",IF(Q6="ML","RE",IF(Q6&lt;20%*$Q$6,"F",IF(AND(R6&gt;=36%*U6,Q6&gt;=20),"P",IF(AND(R6&gt;=34%*U6,T6=0,Q6&gt;=20),"G2",IF(AND(R6&gt;=31%*U6,T6=0,Q6&gt;=20),"G1",IF(R6&gt;=25%*U6,"S","F"))))))))</f>
        <v/>
      </c>
      <c r="X6" s="65" t="str">
        <f>IF(OR(W6="",W6=0,W6="S",W6="RE",W6="F",W6="AB"),W6,IF(R6&gt;=75%*U6,"D",IF(R6&gt;=60%*U6,"I",IF(R6&gt;=48%*U6,"II",IF(R6&gt;=36%*U6,"III",W6)))))</f>
        <v/>
      </c>
      <c r="Y6" s="526">
        <f>IF('Marks Entry'!Q6="","",'Marks Entry'!Q6)</f>
        <v>10</v>
      </c>
      <c r="Z6" s="526">
        <f>IF('Marks Entry'!R6="","",'Marks Entry'!R6)</f>
        <v>10</v>
      </c>
      <c r="AA6" s="526">
        <f>IF('Marks Entry'!S6="","",'Marks Entry'!S6)</f>
        <v>10</v>
      </c>
      <c r="AB6" s="527">
        <f>IF(AND(Y6="",Z6="",AA6=""),"",SUM(Y6:AA6))</f>
        <v>30</v>
      </c>
      <c r="AC6" s="526">
        <f>IF('Marks Entry'!T6="","",'Marks Entry'!T6)</f>
        <v>70</v>
      </c>
      <c r="AD6" s="528">
        <f>IF(AND(AB6="",AC6=""),"",SUM(AB6,AC6))</f>
        <v>100</v>
      </c>
      <c r="AE6" s="526">
        <f>IF('Marks Entry'!U6="","",'Marks Entry'!U6)</f>
        <v>100</v>
      </c>
      <c r="AF6" s="530">
        <f>IF(AND(AE6="",AD6=""),"",SUM(AD6,AE6))</f>
        <v>200</v>
      </c>
      <c r="AG6" s="65">
        <f>COUNTIF(Y6:AA6,"NA")*10</f>
        <v>0</v>
      </c>
      <c r="AH6" s="65">
        <f>(COUNTIF(Y6:AA6,"ML")*10)+(COUNTIF(AC6,"ML")*70)+(COUNTIF(AE6,"ML")*100)</f>
        <v>0</v>
      </c>
      <c r="AI6" s="66">
        <f>IF(AND(Y6="",Z6="",AA6="",AC6="",AE6=""),"",IF(AND(Z6="",Y6="",AA6=""),170-AG6-AH6,IF(AND(AC6=""),130-AG6-AH6,IF(AE6="",100-AG6-AH6,200-AG6-AH6))))</f>
        <v>200</v>
      </c>
      <c r="AJ6" s="65" t="str">
        <f>IF(OR($B6="NSO",$B6="",AE6=""),"",IF(AND(OR(Y6="ab",Y6="ml"),OR(Z6="ab",Z6="ml"),OR(AA6="ab",AA6="ml")),"AB",IF(AND(OR(Y6="NA",Y6=""),OR(Z6="NA",Z6=""),OR(AA6="NA",AA6="")),"AB",IF(AND(OR(Y6="ab",Y6="ml"),OR(Z6="ab",Z6="ml"),OR(AC6="ab",AC6="ml")),"AB",IF(AND(OR(AC6="ab",AC6="ml"),OR(AE6="ab",AE6="ml"),OR(AC6="ab",AE6="ml")),"AB",IF(AND(OR(AE6="ab",AE6="ml"),OR(Y6="ab",Y6="ml"),OR(Z6="ab",Z6="ml")),"AB",""))))))</f>
        <v/>
      </c>
      <c r="AK6" s="65" t="str">
        <f>IF(OR($B6="NSO",$B6="",AE6=""),"",IF(OR(AJ6="AB",AE6="ab"),"AB",IF(AE6="ML","RE",IF(AE6&lt;20%*$AE$6,"F",IF(AND(AF6&gt;=36%*AI6,AE6&gt;=20),"P",IF(AND(AF6&gt;=34%*AI6,AH6=0,AE6&gt;=20),"G2",IF(AND(AF6&gt;=31%*AI6,AH6=0,AE6&gt;=20),"G1",IF(AF6&gt;=25%*AI6,"S","F"))))))))</f>
        <v/>
      </c>
      <c r="AL6" s="65" t="str">
        <f>IF(OR(AK6="",AK6=0,AK6="S",AK6="RE",AK6="F",AK6="AB"),AK6,IF(AF6&gt;=75%*AI6,"D",IF(AF6&gt;=60%*AI6,"I",IF(AF6&gt;=48%*AI6,"II",IF(AF6&gt;=36%*AI6,"III",AK6)))))</f>
        <v/>
      </c>
      <c r="AM6" s="533"/>
      <c r="AN6" s="526">
        <f>IF('Marks Entry'!W6="","",'Marks Entry'!W6)</f>
        <v>10</v>
      </c>
      <c r="AO6" s="526">
        <f>IF('Marks Entry'!X6="","",'Marks Entry'!X6)</f>
        <v>10</v>
      </c>
      <c r="AP6" s="526">
        <f>IF('Marks Entry'!Y6="","",'Marks Entry'!Y6)</f>
        <v>10</v>
      </c>
      <c r="AQ6" s="527">
        <f>IF(AND(AN6="",AO6="",AP6=""),"",SUM(AN6:AP6))</f>
        <v>30</v>
      </c>
      <c r="AR6" s="526">
        <f>IF('Marks Entry'!Z6="","",'Marks Entry'!Z6)</f>
        <v>70</v>
      </c>
      <c r="AS6" s="528">
        <f>IF(AND(AQ6="",AR6=""),"",SUM(AQ6,AR6))</f>
        <v>100</v>
      </c>
      <c r="AT6" s="526">
        <f>IF('Marks Entry'!AA6="","",'Marks Entry'!AA6)</f>
        <v>100</v>
      </c>
      <c r="AU6" s="530">
        <f>IF(AND(AT6="",AS6=""),"",SUM(AS6,AT6))</f>
        <v>200</v>
      </c>
      <c r="AV6" s="65">
        <f>COUNTIF(AN6:AP6,"NA")*10</f>
        <v>0</v>
      </c>
      <c r="AW6" s="65">
        <f>(COUNTIF(AN6:AP6,"ML")*10)+(COUNTIF(AR6,"ML")*70)+(COUNTIF(AT6,"ML")*100)</f>
        <v>0</v>
      </c>
      <c r="AX6" s="66">
        <f>IF(AND(AN6="",AO6="",AP6="",AR6="",AT6=""),"",IF(AND(AO6="",AN6="",AP6=""),170-AV6-AW6,IF(AND(AR6=""),130-AV6-AW6,IF(AT6="",100-AV6-AW6,200-AV6-AW6))))</f>
        <v>200</v>
      </c>
      <c r="AY6" s="65" t="str">
        <f>IF(OR($B6="NSO",$B6="",AT6=""),"",IF(AND(OR(AN6="ab",AN6="ml"),OR(AO6="ab",AO6="ml"),OR(AP6="ab",AP6="ml")),"AB",IF(AND(OR(AN6="NA",AN6=""),OR(AO6="NA",AO6=""),OR(AP6="NA",AP6="")),"AB",IF(AND(OR(AN6="ab",AN6="ml"),OR(AO6="ab",AO6="ml"),OR(AR6="ab",AR6="ml")),"AB",IF(AND(OR(AR6="ab",AR6="ml"),OR(AT6="ab",AT6="ml"),OR(AR6="ab",AT6="ml")),"AB",IF(AND(OR(AT6="ab",AT6="ml"),OR(AN6="ab",AN6="ml"),OR(AO6="ab",AO6="ml")),"AB",""))))))</f>
        <v/>
      </c>
      <c r="AZ6" s="65" t="str">
        <f>IF(OR($B6="NSO",$B6="",AT6=""),"",IF(OR(AY6="AB",AT6="ab"),"AB",IF(AT6="ML","RE",IF(AT6&lt;20%*$AT$6,"F",IF(AND(AU6&gt;=36%*AX6,AT6&gt;=20),"P",IF(AND(AU6&gt;=34%*AX6,AW6=0,AT6&gt;=20),"G2",IF(AND(AU6&gt;=31%*AX6,AW6=0,AT6&gt;=20),"G1",IF(AU6&gt;=25%*AX6,"S","F"))))))))</f>
        <v/>
      </c>
      <c r="BA6" s="65" t="str">
        <f>IF(OR(AZ6="",AZ6=0,AZ6="S",AZ6="RE",AZ6="F",AZ6="AB"),AZ6,IF(AU6&gt;=75%*AX6,"D",IF(AU6&gt;=60%*AX6,"I",IF(AU6&gt;=48%*AX6,"II",IF(AU6&gt;=36%*AX6,"III",AZ6)))))</f>
        <v/>
      </c>
      <c r="BB6" s="526">
        <f>IF('Marks Entry'!AB6="","",'Marks Entry'!AB6)</f>
        <v>10</v>
      </c>
      <c r="BC6" s="526">
        <f>IF('Marks Entry'!AC6="","",'Marks Entry'!AC6)</f>
        <v>10</v>
      </c>
      <c r="BD6" s="526">
        <f>IF('Marks Entry'!AD6="","",'Marks Entry'!AD6)</f>
        <v>10</v>
      </c>
      <c r="BE6" s="527">
        <f>IF(AND(BB6="",BC6="",BD6=""),"",SUM(BB6:BD6))</f>
        <v>30</v>
      </c>
      <c r="BF6" s="526">
        <f>IF('Marks Entry'!AE6="","",'Marks Entry'!AE6)</f>
        <v>70</v>
      </c>
      <c r="BG6" s="528">
        <f>IF(AND(BE6="",BF6=""),"",SUM(BE6,BF6))</f>
        <v>100</v>
      </c>
      <c r="BH6" s="526">
        <f>IF('Marks Entry'!AF6="","",'Marks Entry'!AF6)</f>
        <v>100</v>
      </c>
      <c r="BI6" s="530">
        <f>IF(AND(BH6="",BG6=""),"",SUM(BG6,BH6))</f>
        <v>200</v>
      </c>
      <c r="BJ6" s="65">
        <f>COUNTIF(BB6:BD6,"NA")*10</f>
        <v>0</v>
      </c>
      <c r="BK6" s="65">
        <f>(COUNTIF(BB6:BD6,"ML")*10)+(COUNTIF(BF6,"ML")*70)+(COUNTIF(BH6,"ML")*100)</f>
        <v>0</v>
      </c>
      <c r="BL6" s="66">
        <f>IF(AND(BB6="",BC6="",BD6="",BF6="",BH6=""),"",IF(AND(BC6="",BB6="",BD6=""),170-BJ6-BK6,IF(AND(BF6=""),130-BJ6-BK6,IF(BH6="",100-BJ6-BK6,200-BJ6-BK6))))</f>
        <v>200</v>
      </c>
      <c r="BM6" s="65" t="str">
        <f>IF(OR($B6="NSO",$B6="",BH6=""),"",IF(AND(OR(BB6="ab",BB6="ml"),OR(BC6="ab",BC6="ml"),OR(BD6="ab",BD6="ml")),"AB",IF(AND(OR(BB6="NA",BB6=""),OR(BC6="NA",BC6=""),OR(BD6="NA",BD6="")),"AB",IF(AND(OR(BB6="ab",BB6="ml"),OR(BC6="ab",BC6="ml"),OR(BF6="ab",BF6="ml")),"AB",IF(AND(OR(BF6="ab",BF6="ml"),OR(BH6="ab",BH6="ml"),OR(BF6="ab",BH6="ml")),"AB",IF(AND(OR(BH6="ab",BH6="ml"),OR(BB6="ab",BB6="ml"),OR(BC6="ab",BC6="ml")),"AB",""))))))</f>
        <v/>
      </c>
      <c r="BN6" s="65" t="str">
        <f>IF(OR($B6="NSO",$B6="",BH6=""),"",IF(OR(BM6="AB",BH6="ab"),"AB",IF(BH6="ML","RE",IF(BH6&lt;20%*$BH$6,"F",IF(AND(BI6&gt;=36%*BL6,BH6&gt;=20),"P",IF(AND(BI6&gt;=34%*BL6,BK6=0,BH6&gt;=20),"G2",IF(AND(BI6&gt;=31%*BL6,BK6=0,BH6&gt;=20),"G1",IF(BI6&gt;=25%*BL6,"S","F"))))))))</f>
        <v/>
      </c>
      <c r="BO6" s="65" t="str">
        <f>IF(OR(BN6="",BN6=0,BN6="S",BN6="RE",BN6="F",BN6="AB"),BN6,IF(BI6&gt;=75%*BL6,"D",IF(BI6&gt;=60%*BL6,"I",IF(BI6&gt;=48%*BL6,"II",IF(BI6&gt;=36%*BL6,"III",BN6)))))</f>
        <v/>
      </c>
      <c r="BP6" s="68">
        <f>IF('Marks Entry'!AG6="","",'Marks Entry'!AG6)</f>
        <v>10</v>
      </c>
      <c r="BQ6" s="68">
        <f>IF('Marks Entry'!AH6="","",'Marks Entry'!AH6)</f>
        <v>10</v>
      </c>
      <c r="BR6" s="68">
        <f>IF('Marks Entry'!AI6="","",'Marks Entry'!AI6)</f>
        <v>10</v>
      </c>
      <c r="BS6" s="514">
        <f>IF(AND(BP6="",BQ6="",BR6=""),"",SUM(BP6:BR6))</f>
        <v>30</v>
      </c>
      <c r="BT6" s="68">
        <f>IF('Marks Entry'!AJ6="","",'Marks Entry'!AJ6)</f>
        <v>70</v>
      </c>
      <c r="BU6" s="515">
        <f>IF(AND(BS6="",BT6=""),"",SUM(BS6,BT6))</f>
        <v>100</v>
      </c>
      <c r="BV6" s="68">
        <f>IF('Marks Entry'!AK6="","",'Marks Entry'!AK6)</f>
        <v>100</v>
      </c>
      <c r="BW6" s="96">
        <f>IF(AND(BV6="",BU6=""),"",SUM(BU6,BV6))</f>
        <v>200</v>
      </c>
      <c r="BX6" s="65">
        <f>COUNTIF(BP6:BR6,"NA")*10</f>
        <v>0</v>
      </c>
      <c r="BY6" s="65">
        <f>(COUNTIF(BP6:BR6,"ML")*10)+(COUNTIF(BT6,"ML")*70)+(COUNTIF(BV6,"ML")*100)</f>
        <v>0</v>
      </c>
      <c r="BZ6" s="66">
        <f>IF(AND(BP6="",BQ6="",BR6="",BT6="",BV6=""),"",IF(AND(BQ6="",BP6="",BR6=""),170-BX6-BY6,IF(AND(BT6=""),130-BX6-BY6,IF(BV6="",100-BX6-BY6,200-BX6-BY6))))</f>
        <v>200</v>
      </c>
      <c r="CA6" s="65" t="str">
        <f>IF(OR($B6="NSO",$B6="",BV6=""),"",IF(AND(OR(BP6="ab",BP6="ml"),OR(BQ6="ab",BQ6="ml"),OR(BR6="ab",BR6="ml")),"AB",IF(AND(OR(BP6="NA",BP6=""),OR(BQ6="NA",BQ6=""),OR(BR6="NA",BR6="")),"AB",IF(AND(OR(BP6="ab",BP6="ml"),OR(BQ6="ab",BQ6="ml"),OR(BT6="ab",BT6="ml")),"AB",IF(AND(OR(BT6="ab",BT6="ml"),OR(BV6="ab",BV6="ml"),OR(BT6="ab",BV6="ml")),"AB",IF(AND(OR(BV6="ab",BV6="ml"),OR(BP6="ab",BP6="ml"),OR(BQ6="ab",BQ6="ml")),"AB",""))))))</f>
        <v/>
      </c>
      <c r="CB6" s="65" t="str">
        <f>IF(OR($B6="NSO",$B6="",BV6=""),"",IF(OR(CA6="AB",BV6="ab"),"AB",IF(BV6="ML","RE",IF(BV6&lt;20%*$BV$6,"F",IF(AND(BW6&gt;=36%*BZ6,BV6&gt;=20),"P",IF(AND(BW6&gt;=34%*BZ6,BY6=0,BV6&gt;=20),"G2",IF(AND(BW6&gt;=31%*BZ6,BY6=0,BV6&gt;=20),"G1",IF(BW6&gt;=25%*BZ6,"S","F"))))))))</f>
        <v/>
      </c>
      <c r="CC6" s="65" t="str">
        <f>IF(OR(CB6="",CB6=0,CB6="S",CB6="RE",CB6="F",CB6="AB"),CB6,IF(BW6&gt;=75%*BZ6,"D",IF(BW6&gt;=60%*BZ6,"I",IF(BW6&gt;=48%*BZ6,"II",IF(BW6&gt;=36%*BZ6,"III",CB6)))))</f>
        <v/>
      </c>
      <c r="CD6" s="66"/>
      <c r="CE6" s="526">
        <f>IF('Marks Entry'!AL6="","",'Marks Entry'!AL6)</f>
        <v>10</v>
      </c>
      <c r="CF6" s="526">
        <f>IF('Marks Entry'!AM6="","",'Marks Entry'!AM6)</f>
        <v>10</v>
      </c>
      <c r="CG6" s="526">
        <f>IF('Marks Entry'!AN6="","",'Marks Entry'!AN6)</f>
        <v>10</v>
      </c>
      <c r="CH6" s="527">
        <f>IF(AND(CE6="",CF6="",CG6=""),"",SUM(CE6:CG6))</f>
        <v>30</v>
      </c>
      <c r="CI6" s="526">
        <f>IF('Marks Entry'!AO6="","",'Marks Entry'!AO6)</f>
        <v>70</v>
      </c>
      <c r="CJ6" s="528">
        <f>IF(AND(CH6="",CI6=""),"",SUM(CH6,CI6))</f>
        <v>100</v>
      </c>
      <c r="CK6" s="526">
        <f>IF('Marks Entry'!AP6="","",'Marks Entry'!AP6)</f>
        <v>100</v>
      </c>
      <c r="CL6" s="530">
        <f>IF(AND(CK6="",CJ6=""),"",SUM(CJ6,CK6))</f>
        <v>200</v>
      </c>
      <c r="CM6" s="532">
        <f>COUNTIF(CE6:CG6,"NA")*10</f>
        <v>0</v>
      </c>
      <c r="CN6" s="65">
        <f>(COUNTIF(CE6:CG6,"ML")*10)+(COUNTIF(CI6,"ML")*70)+(COUNTIF(CK6,"ML")*100)</f>
        <v>0</v>
      </c>
      <c r="CO6" s="66">
        <f>IF(AND(CE6="",CF6="",CG6="",CI6="",CK6=""),"",IF(AND(CF6="",CE6="",CG6=""),170-CM6-CN6,IF(AND(CI6=""),130-CM6-CN6,IF(CK6="",100-CM6-CN6,200-CM6-CN6))))</f>
        <v>200</v>
      </c>
      <c r="CP6" s="65" t="str">
        <f>IF(OR($B6="NSO",$B6="",CK6=""),"",IF(AND(OR(CE6="ab",CE6="ml"),OR(CF6="ab",CF6="ml"),OR(CG6="ab",CG6="ml")),"AB",IF(AND(OR(CE6="NA",CE6=""),OR(CF6="NA",CF6=""),OR(CG6="NA",CG6="")),"AB",IF(AND(OR(CE6="ab",CE6="ml"),OR(CF6="ab",CF6="ml"),OR(CI6="ab",CI6="ml")),"AB",IF(AND(OR(CI6="ab",CI6="ml"),OR(CK6="ab",CK6="ml"),OR(CI6="ab",CK6="ml")),"AB",IF(AND(OR(CK6="ab",CK6="ml"),OR(CE6="ab",CE6="ml"),OR(CF6="ab",CF6="ml")),"AB",""))))))</f>
        <v/>
      </c>
      <c r="CQ6" s="65" t="str">
        <f>IF(OR($B6="NSO",$B6="",CK6=""),"",IF(OR(CP6="AB",CK6="ab"),"AB",IF(CK6="ML","RE",IF(CK6&lt;20%*$CK$6,"F",IF(AND(CL6&gt;=36%*CO6,CK6&gt;=20),"P",IF(AND(CL6&gt;=34%*CO6,CN6=0,CK6&gt;=20),"G2",IF(AND(CL6&gt;=31%*CO6,CN6=0,CK6&gt;=20),"G1",IF(CL6&gt;=25%*CO6,"S","F"))))))))</f>
        <v/>
      </c>
      <c r="CR6" s="65" t="str">
        <f>IF(OR(CQ6="",CQ6=0,CQ6="S",CQ6="RE",CQ6="F",CQ6="AB"),CQ6,IF(CL6&gt;=75%*CO6,"D",IF(CL6&gt;=60%*CO6,"I",IF(CL6&gt;=48%*CO6,"II",IF(CL6&gt;=36%*CO6,"III",CQ6)))))</f>
        <v/>
      </c>
      <c r="CS6" s="67"/>
      <c r="CT6" s="526">
        <f>IF('Marks Entry'!AR6="","",'Marks Entry'!AR6)</f>
        <v>10</v>
      </c>
      <c r="CU6" s="526">
        <f>IF('Marks Entry'!AS6="","",'Marks Entry'!AS6)</f>
        <v>10</v>
      </c>
      <c r="CV6" s="526">
        <f>IF('Marks Entry'!AT6="","",'Marks Entry'!AT6)</f>
        <v>10</v>
      </c>
      <c r="CW6" s="527">
        <f>IF(AND(CT6="",CU6="",CV6=""),"",SUM(CT6:CV6))</f>
        <v>30</v>
      </c>
      <c r="CX6" s="526">
        <f>IF('Marks Entry'!AU6="","",'Marks Entry'!AU6)</f>
        <v>35</v>
      </c>
      <c r="CY6" s="526">
        <f>IF('Marks Entry'!AV6="","",'Marks Entry'!AV6)</f>
        <v>35</v>
      </c>
      <c r="CZ6" s="528">
        <f>IF(AND(CX6="",CY6=""),"",SUM(CX6,CY6))</f>
        <v>70</v>
      </c>
      <c r="DA6" s="529">
        <f>IF(AND(CW6="",CZ6=""),"",SUM(CW6+CZ6))</f>
        <v>100</v>
      </c>
      <c r="DB6" s="526">
        <f>IF('Marks Entry'!AW6="","",'Marks Entry'!AW6)</f>
        <v>50</v>
      </c>
      <c r="DC6" s="526">
        <f>IF('Marks Entry'!AX6="","",'Marks Entry'!AX6)</f>
        <v>50</v>
      </c>
      <c r="DD6" s="528">
        <f>IF(AND(DB6="",DC6=""),"",SUM(DB6,DC6))</f>
        <v>100</v>
      </c>
      <c r="DE6" s="530">
        <f>IF(AND(DA6="",DD6=""),"",SUM(DA6,DD6))</f>
        <v>200</v>
      </c>
      <c r="DF6" s="532">
        <f>COUNTIF(CX6:CZ6,"NA")*10</f>
        <v>0</v>
      </c>
      <c r="DG6" s="65">
        <f>(COUNTIF(CX6:CZ6,"ML")*10)+(COUNTIF(DB6,"ML")*70)+(COUNTIF(DD6,"ML")*100)</f>
        <v>0</v>
      </c>
      <c r="DH6" s="66">
        <f>IF(AND(CX6="",CY6="",CZ6="",DB6="",DD6=""),"",IF(AND(CY6="",CX6="",CZ6=""),170-DF6-DG6,IF(AND(DB6=""),130-DF6-DG6,IF(DD6="",100-DF6-DG6,200-DF6-DG6))))</f>
        <v>200</v>
      </c>
      <c r="DI6" s="65" t="str">
        <f>IF(OR($B6="NSO",$B6="",DD6=""),"",IF(AND(OR(CX6="ab",CX6="ml"),OR(CY6="ab",CY6="ml"),OR(CZ6="ab",CZ6="ml")),"AB",IF(AND(OR(CX6="NA",CX6=""),OR(CY6="NA",CY6=""),OR(CZ6="NA",CZ6="")),"AB",IF(AND(OR(CX6="ab",CX6="ml"),OR(CY6="ab",CY6="ml"),OR(DB6="ab",DB6="ml")),"AB",IF(AND(OR(DB6="ab",DB6="ml"),OR(DD6="ab",DD6="ml"),OR(DB6="ab",DD6="ml")),"AB",IF(AND(OR(DD6="ab",DD6="ml"),OR(CX6="ab",CX6="ml"),OR(CY6="ab",CY6="ml")),"AB",""))))))</f>
        <v/>
      </c>
      <c r="DJ6" s="65" t="str">
        <f>IF(OR($B6="NSO",$B6="",DD6=""),"",IF(OR(DI6="AB",DD6="ab"),"AB",IF(DD6="ML","RE",IF(DD6&lt;20%*$DD$6,"F",IF(AND(DE6&gt;=36%*DH6,DD6&gt;=20),"P",IF(AND(DE6&gt;=34%*DH6,DG6=0,DD6&gt;=20),"G2",IF(AND(DE6&gt;=31%*DH6,DG6=0,DD6&gt;=20),"G1",IF(DE6&gt;=25%*DH6,"S","F"))))))))</f>
        <v/>
      </c>
      <c r="DK6" s="65" t="str">
        <f>IF(OR(DJ6="",DJ6=0,DJ6="S",DJ6="RE",DJ6="F",DJ6="AB"),DJ6,IF(DE6&gt;=75%*DH6,"D",IF(DE6&gt;=60%*DH6,"I",IF(DE6&gt;=48%*DH6,"II",IF(DE6&gt;=36%*DH6,"III",DJ6)))))</f>
        <v/>
      </c>
      <c r="DL6" s="361" t="s">
        <v>132</v>
      </c>
      <c r="DM6" s="361" t="s">
        <v>133</v>
      </c>
      <c r="DN6" s="361" t="s">
        <v>31</v>
      </c>
      <c r="DO6" s="361" t="s">
        <v>75</v>
      </c>
      <c r="DP6" s="361" t="s">
        <v>31</v>
      </c>
      <c r="DQ6" s="361" t="s">
        <v>153</v>
      </c>
      <c r="DR6" s="361" t="s">
        <v>154</v>
      </c>
      <c r="DS6" s="72" t="s">
        <v>9</v>
      </c>
      <c r="DT6" s="72" t="s">
        <v>31</v>
      </c>
      <c r="DU6" s="72" t="s">
        <v>32</v>
      </c>
      <c r="DV6" s="72" t="s">
        <v>33</v>
      </c>
      <c r="DW6" s="72" t="s">
        <v>34</v>
      </c>
      <c r="DX6" s="73" t="s">
        <v>35</v>
      </c>
      <c r="DY6" s="1142"/>
      <c r="DZ6" s="74">
        <f>IF('Marks Entry'!AY6="","",'Marks Entry'!AY6)</f>
        <v>10</v>
      </c>
      <c r="EA6" s="74">
        <f>IF('Marks Entry'!AZ6="","",'Marks Entry'!AZ6)</f>
        <v>10</v>
      </c>
      <c r="EB6" s="74">
        <f>IF('Marks Entry'!BA6="","",'Marks Entry'!BA6)</f>
        <v>10</v>
      </c>
      <c r="EC6" s="527">
        <f>IF(AND(DZ6="",EA6="",EB6=""),"",SUM(DZ6:EB6))</f>
        <v>30</v>
      </c>
      <c r="ED6" s="74">
        <f>IF('Marks Entry'!BB6="","",'Marks Entry'!BB6)</f>
        <v>70</v>
      </c>
      <c r="EE6" s="528">
        <f>IF(AND(EC6="",ED6=""),"",SUM(EC6,ED6))</f>
        <v>100</v>
      </c>
      <c r="EF6" s="74">
        <f>IF('Marks Entry'!BC6="","",'Marks Entry'!BC6)</f>
        <v>100</v>
      </c>
      <c r="EG6" s="530">
        <f>IF(AND(EF6="",EE6=""),"",SUM(EE6,EF6))</f>
        <v>200</v>
      </c>
      <c r="EH6" s="371"/>
      <c r="EI6" s="370"/>
      <c r="EJ6" s="70"/>
      <c r="EK6" s="71" t="str">
        <f>IF(OR($B6="NSO",$B6=0),"",IF(AND(#REF!="",DW6="",DX6=""),"",IF(AND(DW6="",DX6=""),30-EI6-EJ6,IF(DX6="",60-EI6-EJ6,100-EI6-EJ6))))</f>
        <v/>
      </c>
      <c r="EL6" s="74">
        <f>IF('Marks Entry'!BD6="","",'Marks Entry'!BD6)</f>
        <v>10</v>
      </c>
      <c r="EM6" s="74">
        <f>IF('Marks Entry'!BE6="","",'Marks Entry'!BE6)</f>
        <v>10</v>
      </c>
      <c r="EN6" s="74">
        <f>IF('Marks Entry'!BF6="","",'Marks Entry'!BF6)</f>
        <v>10</v>
      </c>
      <c r="EO6" s="527">
        <f>IF(AND(EL6="",EM6="",EN6=""),"",SUM(EL6:EN6))</f>
        <v>30</v>
      </c>
      <c r="EP6" s="74">
        <f>IF('Marks Entry'!BG6="","",'Marks Entry'!BG6)</f>
        <v>50</v>
      </c>
      <c r="EQ6" s="74">
        <f>IF('Marks Entry'!BH6="","",'Marks Entry'!BH6)</f>
        <v>20</v>
      </c>
      <c r="ER6" s="528">
        <f>IF(AND(EP6="",EQ6=""),"",SUM(EP6,EQ6))</f>
        <v>70</v>
      </c>
      <c r="ES6" s="529">
        <f>IF(AND(EO6="",ER6=""),"",SUM(EO6+ER6))</f>
        <v>100</v>
      </c>
      <c r="ET6" s="74">
        <f>IF('Marks Entry'!BI6="","",'Marks Entry'!BI6)</f>
        <v>70</v>
      </c>
      <c r="EU6" s="74">
        <f>IF('Marks Entry'!BJ6="","",'Marks Entry'!BJ6)</f>
        <v>30</v>
      </c>
      <c r="EV6" s="528">
        <f>IF(AND(ET6="",EU6=""),"",SUM(ET6,EU6))</f>
        <v>100</v>
      </c>
      <c r="EW6" s="530">
        <f>IF(AND(ES6="",EV6=""),"",SUM(ES6,EV6))</f>
        <v>200</v>
      </c>
      <c r="EX6" s="371"/>
      <c r="EY6" s="70"/>
      <c r="EZ6" s="70"/>
      <c r="FA6" s="71" t="str">
        <f>IF(OR($B6="NSO",$B6=0),"",IF(AND(#REF!="",EI6="",EJ6=""),"",IF(AND(EI6="",EJ6=""),30-EY6-EZ6,IF(EJ6="",60-EY6-EZ6,100-EY6-EZ6))))</f>
        <v/>
      </c>
      <c r="FB6" s="74">
        <f>IF('Marks Entry'!BK6="","",'Marks Entry'!BK6)</f>
        <v>10</v>
      </c>
      <c r="FC6" s="74">
        <f>IF('Marks Entry'!BL6="","",'Marks Entry'!BL6)</f>
        <v>8</v>
      </c>
      <c r="FD6" s="74">
        <f>IF('Marks Entry'!BM6="","",'Marks Entry'!BM6)</f>
        <v>10</v>
      </c>
      <c r="FE6" s="74">
        <f>IF('Marks Entry'!BN6="","",'Marks Entry'!BN6)</f>
        <v>7</v>
      </c>
      <c r="FF6" s="74">
        <f>IF('Marks Entry'!BO6="","",'Marks Entry'!BO6)</f>
        <v>10</v>
      </c>
      <c r="FG6" s="74">
        <f>IF('Marks Entry'!BP6="","",'Marks Entry'!BP6)</f>
        <v>15</v>
      </c>
      <c r="FH6" s="527">
        <f>IF(AND(FB6="",FC6="",FE6="",FF6="",FG6=""),"",SUM(FB6:FG6))</f>
        <v>60</v>
      </c>
      <c r="FI6" s="74">
        <f>IF('Marks Entry'!BQ6="","",'Marks Entry'!BQ6)</f>
        <v>25</v>
      </c>
      <c r="FJ6" s="74">
        <f>IF('Marks Entry'!BR6="","",'Marks Entry'!BR6)</f>
        <v>15</v>
      </c>
      <c r="FK6" s="528">
        <f>IF(AND(FI6="",FJ6=""),"",SUM(FI6,FJ6))</f>
        <v>40</v>
      </c>
      <c r="FL6" s="529">
        <f>IF(AND(FH6="",FK6=""),"",SUM(FH6+FK6))</f>
        <v>100</v>
      </c>
      <c r="FM6" s="74">
        <f>IF('Marks Entry'!BS6="","",'Marks Entry'!BS6)</f>
        <v>30</v>
      </c>
      <c r="FN6" s="74">
        <f>IF('Marks Entry'!BT6="","",'Marks Entry'!BT6)</f>
        <v>70</v>
      </c>
      <c r="FO6" s="528">
        <f>IF(AND(FM6="",FN6=""),"",SUM(FM6,FN6))</f>
        <v>100</v>
      </c>
      <c r="FP6" s="530">
        <f>IF(AND(FL6="",FO6=""),"",SUM(FL6,FO6))</f>
        <v>200</v>
      </c>
      <c r="FQ6" s="371"/>
      <c r="FR6" s="70"/>
      <c r="FS6" s="70"/>
      <c r="FT6" s="71" t="str">
        <f>IF(OR($B6="NSO",$B6=0),"",IF(AND(#REF!="",EY6="",EZ6=""),"",IF(AND(EY6="",EZ6=""),30-FR6-FS6,IF(EZ6="",60-FR6-FS6,100-FR6-FS6))))</f>
        <v/>
      </c>
      <c r="FU6" s="74">
        <f>IF('Marks Entry'!BU6="","",'Marks Entry'!BU6)</f>
        <v>25</v>
      </c>
      <c r="FV6" s="74">
        <f>IF('Marks Entry'!BV6="","",'Marks Entry'!BV6)</f>
        <v>45</v>
      </c>
      <c r="FW6" s="74">
        <f>IF('Marks Entry'!BW6="","",'Marks Entry'!BW6)</f>
        <v>30</v>
      </c>
      <c r="FX6" s="75">
        <f>IF(AND(FU6="",FV6="",FW6=""),"",SUM(FU6,FV6,FW6))</f>
        <v>100</v>
      </c>
      <c r="FY6" s="371"/>
      <c r="FZ6" s="70"/>
      <c r="GA6" s="70"/>
      <c r="GB6" s="71" t="str">
        <f>IF(OR($B6="NSO",$B6=0),"",IF(AND(#REF!="",FR6="",FS6=""),"",IF(AND(FR6="",FS6=""),30-FZ6-GA6,IF(FS6="",60-FZ6-GA6,100-FZ6-GA6))))</f>
        <v/>
      </c>
      <c r="GC6" s="74">
        <f>IF('Marks Entry'!BX6="","",'Marks Entry'!BX6)</f>
        <v>25</v>
      </c>
      <c r="GD6" s="74">
        <f>IF('Marks Entry'!BY6="","",'Marks Entry'!BY6)</f>
        <v>60</v>
      </c>
      <c r="GE6" s="74">
        <f>IF('Marks Entry'!BZ6="","",'Marks Entry'!BZ6)</f>
        <v>15</v>
      </c>
      <c r="GF6" s="75">
        <f>IF(AND(GC6="",GD6="",GE6=""),"",SUM(GC6,GD6,GE6))</f>
        <v>100</v>
      </c>
      <c r="GG6" s="371"/>
      <c r="GH6" s="70"/>
      <c r="GI6" s="70"/>
      <c r="GJ6" s="71" t="str">
        <f>IF(OR($B6="NSO",$B6=0),"",IF(AND(#REF!="",FZ6="",GA6=""),"",IF(AND(FZ6="",GA6=""),30-GH6-GI6,IF(GA6="",60-GH6-GI6,100-GH6-GI6))))</f>
        <v/>
      </c>
      <c r="GK6" s="1253"/>
      <c r="GL6" s="1253"/>
      <c r="GM6" s="1253"/>
      <c r="GN6" s="1266"/>
      <c r="GO6" s="1128"/>
      <c r="GP6" s="1128"/>
      <c r="GQ6" s="1128"/>
      <c r="GR6" s="1128"/>
      <c r="GS6" s="1128"/>
      <c r="GT6" s="1207"/>
      <c r="GU6" s="1128"/>
      <c r="GV6" s="1128"/>
      <c r="GW6" s="1128"/>
      <c r="GX6" s="1128"/>
      <c r="GY6" s="1128"/>
      <c r="GZ6" s="1128"/>
      <c r="HA6" s="1128"/>
      <c r="HB6" s="1207"/>
      <c r="HC6" s="1128"/>
      <c r="HD6" s="1128"/>
      <c r="HE6" s="1207"/>
      <c r="HF6" s="1128"/>
      <c r="HG6" s="1128"/>
      <c r="HH6" s="1207"/>
      <c r="HI6" s="1128"/>
      <c r="HJ6" s="1128"/>
      <c r="HK6" s="1128"/>
      <c r="HL6" s="1128"/>
      <c r="HM6" s="1128"/>
      <c r="HN6" s="1131"/>
      <c r="HO6" s="1131"/>
      <c r="HP6" s="1131"/>
      <c r="HQ6" s="1131"/>
      <c r="HR6" s="1131"/>
      <c r="HS6" s="1170"/>
      <c r="HT6" s="542">
        <f>IF(OR(CS6="",DE6=""),SUM(R6,AF6,AU6,BI6,BW6,CL6),IF((CL6/CO6*100)&gt;=(DE6/DH6*100),SUM(R6,AF6,AU6,BI6,BW6,CL6),SUM(R6,AF6,AU6,BI6,BW6,DE6)))</f>
        <v>1200</v>
      </c>
      <c r="HU6" s="76">
        <f>HT6*100/(HT6-CD6)</f>
        <v>100</v>
      </c>
      <c r="HV6" s="1174"/>
      <c r="HW6" s="1172"/>
      <c r="HX6" s="1173"/>
      <c r="HY6" s="1198"/>
      <c r="HZ6" s="1198"/>
      <c r="IA6" s="1201"/>
      <c r="IB6" s="1198"/>
      <c r="IC6" s="1201"/>
      <c r="IS6" s="78" t="s">
        <v>60</v>
      </c>
      <c r="IT6" s="79" t="s">
        <v>61</v>
      </c>
      <c r="IU6" s="80" t="str">
        <f>GU4</f>
        <v>तृतीय भाषा</v>
      </c>
      <c r="IV6" s="80" t="str">
        <f>HB4</f>
        <v>गणित</v>
      </c>
      <c r="IW6" s="80" t="str">
        <f>HE4</f>
        <v>विज्ञान</v>
      </c>
      <c r="IX6" s="80" t="str">
        <f>HH4</f>
        <v>सामाजिक विज्ञान</v>
      </c>
      <c r="IY6" s="80" t="str">
        <f>HK5</f>
        <v>व्यावसायिक शिक्षा</v>
      </c>
      <c r="IZ6" s="81" t="str">
        <f t="shared" ref="IZ6:JF6" si="0">IS6</f>
        <v>fgUnh</v>
      </c>
      <c r="JA6" s="81" t="str">
        <f t="shared" si="0"/>
        <v>vaxzsth</v>
      </c>
      <c r="JB6" s="82" t="str">
        <f t="shared" si="0"/>
        <v>तृतीय भाषा</v>
      </c>
      <c r="JC6" s="82" t="str">
        <f t="shared" si="0"/>
        <v>गणित</v>
      </c>
      <c r="JD6" s="82" t="str">
        <f t="shared" si="0"/>
        <v>विज्ञान</v>
      </c>
      <c r="JE6" s="83" t="str">
        <f t="shared" si="0"/>
        <v>सामाजिक विज्ञान</v>
      </c>
      <c r="JF6" s="83" t="str">
        <f t="shared" si="0"/>
        <v>व्यावसायिक शिक्षा</v>
      </c>
      <c r="JG6" s="84" t="str">
        <f>IS6</f>
        <v>fgUnh</v>
      </c>
      <c r="JH6" s="84" t="str">
        <f>IT6</f>
        <v>vaxzsth</v>
      </c>
      <c r="JI6" s="82" t="str">
        <f>JB6</f>
        <v>तृतीय भाषा</v>
      </c>
      <c r="JJ6" s="82" t="str">
        <f t="shared" ref="JJ6:JM6" si="1">JC6</f>
        <v>गणित</v>
      </c>
      <c r="JK6" s="82" t="str">
        <f t="shared" si="1"/>
        <v>विज्ञान</v>
      </c>
      <c r="JL6" s="82" t="str">
        <f t="shared" si="1"/>
        <v>सामाजिक विज्ञान</v>
      </c>
      <c r="JM6" s="82" t="str">
        <f t="shared" si="1"/>
        <v>व्यावसायिक शिक्षा</v>
      </c>
      <c r="JN6" s="64" t="s">
        <v>63</v>
      </c>
      <c r="JO6" s="64"/>
      <c r="JP6" s="64" t="s">
        <v>62</v>
      </c>
      <c r="JQ6" s="85"/>
      <c r="JR6" s="86"/>
      <c r="JS6" s="86"/>
      <c r="JT6" s="86"/>
      <c r="JU6" s="86"/>
      <c r="JV6" s="413"/>
      <c r="JW6" s="413"/>
      <c r="JX6" s="1180"/>
      <c r="JY6" s="1180"/>
      <c r="JZ6" s="1180"/>
    </row>
    <row r="7" spans="1:287" s="108" customFormat="1" ht="21.95" customHeight="1">
      <c r="A7" s="89">
        <v>1</v>
      </c>
      <c r="B7" s="90">
        <f>IF('Marks Entry'!B7="","",'Marks Entry'!B7)</f>
        <v>901</v>
      </c>
      <c r="C7" s="94" t="str">
        <f>IF('Marks Entry'!D7="","",'Marks Entry'!D7)</f>
        <v>A</v>
      </c>
      <c r="D7" s="91">
        <f>IF('Marks Entry'!E7="","",'Marks Entry'!E7)</f>
        <v>521</v>
      </c>
      <c r="E7" s="92">
        <f>IF('Marks Entry'!F7="","",'Marks Entry'!F7)</f>
        <v>40461</v>
      </c>
      <c r="F7" s="93" t="str">
        <f>IF('Marks Entry'!G7="","",'Marks Entry'!G7)</f>
        <v>RAHUL JAT</v>
      </c>
      <c r="G7" s="93" t="str">
        <f>IF('Marks Entry'!H7="","",'Marks Entry'!H7)</f>
        <v>HL JAT</v>
      </c>
      <c r="H7" s="93" t="str">
        <f>IF('Marks Entry'!I7="","",'Marks Entry'!I7)</f>
        <v>LALI</v>
      </c>
      <c r="I7" s="94" t="str">
        <f>IF('Marks Entry'!J7="","",'Marks Entry'!J7)</f>
        <v>OBC</v>
      </c>
      <c r="J7" s="95" t="str">
        <f>IF('Marks Entry'!K7="","",'Marks Entry'!K7)</f>
        <v>M</v>
      </c>
      <c r="K7" s="68">
        <f>IF('Marks Entry'!L7="","",'Marks Entry'!L7)</f>
        <v>8</v>
      </c>
      <c r="L7" s="68">
        <f>IF('Marks Entry'!M7="","",'Marks Entry'!M7)</f>
        <v>10</v>
      </c>
      <c r="M7" s="68">
        <f>IF('Marks Entry'!N7="","",'Marks Entry'!N7)</f>
        <v>8</v>
      </c>
      <c r="N7" s="514">
        <f>IF(AND(K7="",L7="",M7=""),"",IF(AND(K7="AB",L7="AB",M7="AB"),"AB",IF(AND(K7="ML",L7="ML",M7="ML"),"ML",SUM(K7:M7))))</f>
        <v>26</v>
      </c>
      <c r="O7" s="68">
        <f>IF('Marks Entry'!O7="","",'Marks Entry'!O7)</f>
        <v>46</v>
      </c>
      <c r="P7" s="515">
        <f>IF(AND(N7="",O7=""),"",SUM(N7,O7))</f>
        <v>72</v>
      </c>
      <c r="Q7" s="68">
        <f>IF('Marks Entry'!P7="","",'Marks Entry'!P7)</f>
        <v>70</v>
      </c>
      <c r="R7" s="96">
        <f>IF(AND(P7="",Q7=""),"",SUM(Q7,P7))</f>
        <v>142</v>
      </c>
      <c r="S7" s="65">
        <f>COUNTIF(K7:M7,"NA")*$K$6</f>
        <v>0</v>
      </c>
      <c r="T7" s="65">
        <f>(COUNTIF(K7:M7,"ML")*$K$6)+(COUNTIF(O7,"ML")*$O$6)+(COUNTIF(Q7,"ML")*$Q$6)</f>
        <v>0</v>
      </c>
      <c r="U7" s="66">
        <f>IF(AND(K7="",L7="",M7="",O7="",Q7=""),"",IF(AND(L7="",K7="",M7=""),170-S7-T7,IF(AND(O7=""),130-S7-T7,IF(Q7="",100-S7-T7,200-S7-T7))))</f>
        <v>200</v>
      </c>
      <c r="V7" s="65" t="str">
        <f>IF(OR($B7="NSO",$B7="",Q7=""),"",IF(AND(OR(K7="ab",K7="ml"),OR(L7="ab",L7="ml"),OR(M7="ab",M7="ml")),"AB",IF(AND(OR(K7="NA",K7=""),OR(L7="NA",L7=""),OR(M7="NA",M7="")),"AB",IF(AND(OR(K7="ab",K7="ml"),OR(L7="ab",L7="ml"),OR(O7="ab",O7="ml")),"AB",IF(AND(OR(O7="ab",O7="ml"),OR(Q7="ab",Q7="ml"),OR(O7="ab",Q7="ml")),"AB",IF(AND(OR(Q7="ab",Q7="ml"),OR(K7="ab",K7="ml"),OR(L7="ab",L7="ml")),"AB",""))))))</f>
        <v/>
      </c>
      <c r="W7" s="65" t="str">
        <f>IF(OR($B7="NSO",$B7="",Q7=""),"",IF(OR(V7="AB",Q7="ab"),"AB",IF(Q7="ML","RE",IF(Q7&lt;20%*$Q$6,"F",IF(AND(R7&gt;=36%*U7,Q7&gt;=20%*$Q$6),"P",IF(AND(R7&gt;=34%*U7,T7=0,Q7&gt;=20%*$Q$6),"G2",IF(AND(R7&gt;=31%*U7,T7=0,Q7&gt;=20%*$Q$6),"G1",IF(R7&gt;=25%*U7,"S","F"))))))))</f>
        <v>P</v>
      </c>
      <c r="X7" s="65" t="str">
        <f>IF(OR(W7="",W7=0,W7="S",W7="RE",W7="F",W7="AB"),W7,IF(R7&gt;=75%*U7,"D",IF(R7&gt;=60%*U7,"I",IF(R7&gt;=48%*U7,"II",IF(R7&gt;=36%*U7,"III",W7)))))</f>
        <v>I</v>
      </c>
      <c r="Y7" s="68">
        <f>IF('Marks Entry'!Q7="","",'Marks Entry'!Q7)</f>
        <v>8</v>
      </c>
      <c r="Z7" s="68">
        <f>IF('Marks Entry'!R7="","",'Marks Entry'!R7)</f>
        <v>10</v>
      </c>
      <c r="AA7" s="68">
        <f>IF('Marks Entry'!S7="","",'Marks Entry'!S7)</f>
        <v>10</v>
      </c>
      <c r="AB7" s="514">
        <f t="shared" ref="AB7:AB70" si="2">IF(AND(Y7="",Z7="",AA7=""),"",SUM(Y7:AA7))</f>
        <v>28</v>
      </c>
      <c r="AC7" s="68">
        <f>IF('Marks Entry'!T7="","",'Marks Entry'!T7)</f>
        <v>46</v>
      </c>
      <c r="AD7" s="515">
        <f t="shared" ref="AD7:AD70" si="3">IF(AND(AB7="",AC7=""),"",SUM(AB7,AC7))</f>
        <v>74</v>
      </c>
      <c r="AE7" s="68">
        <f>IF('Marks Entry'!U7="","",'Marks Entry'!U7)</f>
        <v>70</v>
      </c>
      <c r="AF7" s="96">
        <f t="shared" ref="AF7:AF70" si="4">IF(AND(AE7="",AD7=""),"",SUM(AD7,AE7))</f>
        <v>144</v>
      </c>
      <c r="AG7" s="65">
        <f t="shared" ref="AG7:AG70" si="5">COUNTIF(Y7:AA7,"NA")*10</f>
        <v>0</v>
      </c>
      <c r="AH7" s="65">
        <f t="shared" ref="AH7:AH70" si="6">(COUNTIF(Y7:AA7,"ML")*10)+(COUNTIF(AC7,"ML")*70)+(COUNTIF(AE7,"ML")*100)</f>
        <v>0</v>
      </c>
      <c r="AI7" s="66">
        <f t="shared" ref="AI7:AI70" si="7">IF(AND(Y7="",Z7="",AA7="",AC7="",AE7=""),"",IF(AND(Z7="",Y7="",AA7=""),170-AG7-AH7,IF(AND(AC7=""),130-AG7-AH7,IF(AE7="",100-AG7-AH7,200-AG7-AH7))))</f>
        <v>200</v>
      </c>
      <c r="AJ7" s="65" t="str">
        <f t="shared" ref="AJ7:AJ70" si="8">IF(OR($B7="NSO",$B7="",AE7=""),"",IF(AND(OR(Y7="ab",Y7="ml"),OR(Z7="ab",Z7="ml"),OR(AA7="ab",AA7="ml")),"AB",IF(AND(OR(Y7="NA",Y7=""),OR(Z7="NA",Z7=""),OR(AA7="NA",AA7="")),"AB",IF(AND(OR(Y7="ab",Y7="ml"),OR(Z7="ab",Z7="ml"),OR(AC7="ab",AC7="ml")),"AB",IF(AND(OR(AC7="ab",AC7="ml"),OR(AE7="ab",AE7="ml"),OR(AC7="ab",AE7="ml")),"AB",IF(AND(OR(AE7="ab",AE7="ml"),OR(Y7="ab",Y7="ml"),OR(Z7="ab",Z7="ml")),"AB",""))))))</f>
        <v/>
      </c>
      <c r="AK7" s="65" t="str">
        <f t="shared" ref="AK7:AK70" si="9">IF(OR($B7="NSO",$B7="",AE7=""),"",IF(OR(AJ7="AB",AE7="ab"),"AB",IF(AE7="ML","RE",IF(AE7&lt;20%*$AE$6,"F",IF(AND(AF7&gt;=36%*AI7,AE7&gt;=20),"P",IF(AND(AF7&gt;=34%*AI7,AH7=0,AE7&gt;=20),"G2",IF(AND(AF7&gt;=31%*AI7,AH7=0,AE7&gt;=20),"G1",IF(AF7&gt;=25%*AI7,"S","F"))))))))</f>
        <v>P</v>
      </c>
      <c r="AL7" s="65" t="str">
        <f t="shared" ref="AL7:AL70" si="10">IF(OR(AK7="",AK7=0,AK7="S",AK7="RE",AK7="F",AK7="AB"),AK7,IF(AF7&gt;=75%*AI7,"D",IF(AF7&gt;=60%*AI7,"I",IF(AF7&gt;=48%*AI7,"II",IF(AF7&gt;=36%*AI7,"III",AK7)))))</f>
        <v>I</v>
      </c>
      <c r="AM7" s="524" t="str">
        <f>IF('Marks Entry'!V7="","",IF('Marks Entry'!V7=1,'School Profile'!$I$9,IF('Marks Entry'!V7=2,'School Profile'!$I$10,IF('Marks Entry'!V7=3,'School Profile'!$I$11,IF('Marks Entry'!V7=4,'School Profile'!$I$12,IF('Marks Entry'!V7=5,'School Profile'!$I$13,IF('Marks Entry'!V7=6,'School Profile'!$I$14,"")))))))</f>
        <v>संस्कृत (71)</v>
      </c>
      <c r="AN7" s="68">
        <f>IF('Marks Entry'!W7="","",'Marks Entry'!W7)</f>
        <v>8</v>
      </c>
      <c r="AO7" s="68">
        <f>IF('Marks Entry'!X7="","",'Marks Entry'!X7)</f>
        <v>7</v>
      </c>
      <c r="AP7" s="68">
        <f>IF('Marks Entry'!Y7="","",'Marks Entry'!Y7)</f>
        <v>10</v>
      </c>
      <c r="AQ7" s="514">
        <f t="shared" ref="AQ7:AQ70" si="11">IF(AND(AN7="",AO7="",AP7=""),"",SUM(AN7:AP7))</f>
        <v>25</v>
      </c>
      <c r="AR7" s="68">
        <f>IF('Marks Entry'!Z7="","",'Marks Entry'!Z7)</f>
        <v>46</v>
      </c>
      <c r="AS7" s="515">
        <f t="shared" ref="AS7:AS70" si="12">IF(AND(AQ7="",AR7=""),"",SUM(AQ7,AR7))</f>
        <v>71</v>
      </c>
      <c r="AT7" s="68">
        <f>IF('Marks Entry'!AA7="","",'Marks Entry'!AA7)</f>
        <v>70</v>
      </c>
      <c r="AU7" s="96">
        <f t="shared" ref="AU7:AU70" si="13">IF(AND(AT7="",AS7=""),"",SUM(AS7,AT7))</f>
        <v>141</v>
      </c>
      <c r="AV7" s="65">
        <f t="shared" ref="AV7:AV70" si="14">COUNTIF(AN7:AP7,"NA")*10</f>
        <v>0</v>
      </c>
      <c r="AW7" s="65">
        <f t="shared" ref="AW7:AW70" si="15">(COUNTIF(AN7:AP7,"ML")*10)+(COUNTIF(AR7,"ML")*70)+(COUNTIF(AT7,"ML")*100)</f>
        <v>0</v>
      </c>
      <c r="AX7" s="66">
        <f t="shared" ref="AX7:AX70" si="16">IF(AND(AN7="",AO7="",AP7="",AR7="",AT7=""),"",IF(AND(AO7="",AN7="",AP7=""),170-AV7-AW7,IF(AND(AR7=""),130-AV7-AW7,IF(AT7="",100-AV7-AW7,200-AV7-AW7))))</f>
        <v>200</v>
      </c>
      <c r="AY7" s="65" t="str">
        <f t="shared" ref="AY7:AY70" si="17">IF(OR($B7="NSO",$B7="",AT7=""),"",IF(AND(OR(AN7="ab",AN7="ml"),OR(AO7="ab",AO7="ml"),OR(AP7="ab",AP7="ml")),"AB",IF(AND(OR(AN7="NA",AN7=""),OR(AO7="NA",AO7=""),OR(AP7="NA",AP7="")),"AB",IF(AND(OR(AN7="ab",AN7="ml"),OR(AO7="ab",AO7="ml"),OR(AR7="ab",AR7="ml")),"AB",IF(AND(OR(AR7="ab",AR7="ml"),OR(AT7="ab",AT7="ml"),OR(AR7="ab",AT7="ml")),"AB",IF(AND(OR(AT7="ab",AT7="ml"),OR(AN7="ab",AN7="ml"),OR(AO7="ab",AO7="ml")),"AB",""))))))</f>
        <v/>
      </c>
      <c r="AZ7" s="65" t="str">
        <f t="shared" ref="AZ7:AZ70" si="18">IF(OR($B7="NSO",$B7="",AT7=""),"",IF(OR(AY7="AB",AT7="ab"),"AB",IF(AT7="ML","RE",IF(AT7&lt;20%*$AT$6,"F",IF(AND(AU7&gt;=36%*AX7,AT7&gt;=20),"P",IF(AND(AU7&gt;=34%*AX7,AW7=0,AT7&gt;=20),"G2",IF(AND(AU7&gt;=31%*AX7,AW7=0,AT7&gt;=20),"G1",IF(AU7&gt;=25%*AX7,"S","F"))))))))</f>
        <v>P</v>
      </c>
      <c r="BA7" s="65" t="str">
        <f t="shared" ref="BA7:BA70" si="19">IF(OR(AZ7="",AZ7=0,AZ7="S",AZ7="RE",AZ7="F",AZ7="AB"),AZ7,IF(AU7&gt;=75%*AX7,"D",IF(AU7&gt;=60%*AX7,"I",IF(AU7&gt;=48%*AX7,"II",IF(AU7&gt;=36%*AX7,"III",AZ7)))))</f>
        <v>I</v>
      </c>
      <c r="BB7" s="68">
        <f>IF('Marks Entry'!AB7="","",'Marks Entry'!AB7)</f>
        <v>8</v>
      </c>
      <c r="BC7" s="68">
        <f>IF('Marks Entry'!AC7="","",'Marks Entry'!AC7)</f>
        <v>10</v>
      </c>
      <c r="BD7" s="68">
        <f>IF('Marks Entry'!AD7="","",'Marks Entry'!AD7)</f>
        <v>8</v>
      </c>
      <c r="BE7" s="514">
        <f t="shared" ref="BE7:BE70" si="20">IF(AND(BB7="",BC7="",BD7=""),"",SUM(BB7:BD7))</f>
        <v>26</v>
      </c>
      <c r="BF7" s="68">
        <f>IF('Marks Entry'!AE7="","",'Marks Entry'!AE7)</f>
        <v>46</v>
      </c>
      <c r="BG7" s="515">
        <f t="shared" ref="BG7:BG70" si="21">IF(AND(BE7="",BF7=""),"",SUM(BE7,BF7))</f>
        <v>72</v>
      </c>
      <c r="BH7" s="68">
        <f>IF('Marks Entry'!AF7="","",'Marks Entry'!AF7)</f>
        <v>70</v>
      </c>
      <c r="BI7" s="96">
        <f t="shared" ref="BI7:BI70" si="22">IF(AND(BH7="",BG7=""),"",SUM(BG7,BH7))</f>
        <v>142</v>
      </c>
      <c r="BJ7" s="65">
        <f t="shared" ref="BJ7:BJ70" si="23">COUNTIF(BB7:BD7,"NA")*10</f>
        <v>0</v>
      </c>
      <c r="BK7" s="65">
        <f>(COUNTIF(BB7:BD7,"ML")*10)+(COUNTIF(BF7,"ML")*$BF$6)+(COUNTIF(BH7,"ML")*$BH$6)</f>
        <v>0</v>
      </c>
      <c r="BL7" s="66">
        <f t="shared" ref="BL7:BL70" si="24">IF(AND(BB7="",BC7="",BD7="",BF7="",BH7=""),"",IF(AND(BC7="",BB7="",BD7=""),170-BJ7-BK7,IF(AND(BF7=""),130-BJ7-BK7,IF(BH7="",100-BJ7-BK7,200-BJ7-BK7))))</f>
        <v>200</v>
      </c>
      <c r="BM7" s="65" t="str">
        <f t="shared" ref="BM7:BM70" si="25">IF(OR($B7="NSO",$B7="",BH7=""),"",IF(AND(OR(BB7="ab",BB7="ml"),OR(BC7="ab",BC7="ml"),OR(BD7="ab",BD7="ml")),"AB",IF(AND(OR(BB7="NA",BB7=""),OR(BC7="NA",BC7=""),OR(BD7="NA",BD7="")),"AB",IF(AND(OR(BB7="ab",BB7="ml"),OR(BC7="ab",BC7="ml"),OR(BF7="ab",BF7="ml")),"AB",IF(AND(OR(BF7="ab",BF7="ml"),OR(BH7="ab",BH7="ml"),OR(BF7="ab",BH7="ml")),"AB",IF(AND(OR(BH7="ab",BH7="ml"),OR(BB7="ab",BB7="ml"),OR(BC7="ab",BC7="ml")),"AB",""))))))</f>
        <v/>
      </c>
      <c r="BN7" s="65" t="str">
        <f t="shared" ref="BN7:BN70" si="26">IF(OR($B7="NSO",$B7="",BH7=""),"",IF(OR(BM7="AB",BH7="ab"),"AB",IF(BH7="ML","RE",IF(BH7&lt;20%*$BH$6,"F",IF(AND(BI7&gt;=36%*BL7,BH7&gt;=20),"P",IF(AND(BI7&gt;=34%*BL7,BK7=0,BH7&gt;=20),"G2",IF(AND(BI7&gt;=31%*BL7,BK7=0,BH7&gt;=20),"G1",IF(BI7&gt;=25%*BL7,"S","F"))))))))</f>
        <v>P</v>
      </c>
      <c r="BO7" s="65" t="str">
        <f t="shared" ref="BO7:BO70" si="27">IF(OR(BN7="",BN7=0,BN7="S",BN7="RE",BN7="F",BN7="AB"),BN7,IF(BI7&gt;=75%*BL7,"D",IF(BI7&gt;=60%*BL7,"I",IF(BI7&gt;=48%*BL7,"II",IF(BI7&gt;=36%*BL7,"III",BN7)))))</f>
        <v>I</v>
      </c>
      <c r="BP7" s="68">
        <f>IF('Marks Entry'!AG7="","",'Marks Entry'!AG7)</f>
        <v>8</v>
      </c>
      <c r="BQ7" s="68">
        <f>IF('Marks Entry'!AH7="","",'Marks Entry'!AH7)</f>
        <v>10</v>
      </c>
      <c r="BR7" s="68">
        <f>IF('Marks Entry'!AI7="","",'Marks Entry'!AI7)</f>
        <v>9</v>
      </c>
      <c r="BS7" s="514">
        <f t="shared" ref="BS7:BS70" si="28">IF(AND(BP7="",BQ7="",BR7=""),"",SUM(BP7:BR7))</f>
        <v>27</v>
      </c>
      <c r="BT7" s="68">
        <f>IF('Marks Entry'!AJ7="","",'Marks Entry'!AJ7)</f>
        <v>46</v>
      </c>
      <c r="BU7" s="515">
        <f t="shared" ref="BU7:BU70" si="29">IF(AND(BS7="",BT7=""),"",SUM(BS7,BT7))</f>
        <v>73</v>
      </c>
      <c r="BV7" s="68">
        <f>IF('Marks Entry'!AK7="","",'Marks Entry'!AK7)</f>
        <v>70</v>
      </c>
      <c r="BW7" s="96">
        <f t="shared" ref="BW7:BW70" si="30">IF(AND(BV7="",BU7=""),"",SUM(BU7,BV7))</f>
        <v>143</v>
      </c>
      <c r="BX7" s="65">
        <f t="shared" ref="BX7:BX70" si="31">COUNTIF(BP7:BR7,"NA")*10</f>
        <v>0</v>
      </c>
      <c r="BY7" s="65">
        <f t="shared" ref="BY7:BY70" si="32">(COUNTIF(BP7:BR7,"ML")*10)+(COUNTIF(BT7,"ML")*70)+(COUNTIF(BV7,"ML")*100)</f>
        <v>0</v>
      </c>
      <c r="BZ7" s="66">
        <f t="shared" ref="BZ7:BZ70" si="33">IF(AND(BP7="",BQ7="",BR7="",BT7="",BV7=""),"",IF(AND(BQ7="",BP7="",BR7=""),170-BX7-BY7,IF(AND(BT7=""),130-BX7-BY7,IF(BV7="",100-BX7-BY7,200-BX7-BY7))))</f>
        <v>200</v>
      </c>
      <c r="CA7" s="65" t="str">
        <f t="shared" ref="CA7:CA70" si="34">IF(OR($B7="NSO",$B7="",BV7=""),"",IF(AND(OR(BP7="ab",BP7="ml"),OR(BQ7="ab",BQ7="ml"),OR(BR7="ab",BR7="ml")),"AB",IF(AND(OR(BP7="NA",BP7=""),OR(BQ7="NA",BQ7=""),OR(BR7="NA",BR7="")),"AB",IF(AND(OR(BP7="ab",BP7="ml"),OR(BQ7="ab",BQ7="ml"),OR(BT7="ab",BT7="ml")),"AB",IF(AND(OR(BT7="ab",BT7="ml"),OR(BV7="ab",BV7="ml"),OR(BT7="ab",BV7="ml")),"AB",IF(AND(OR(BV7="ab",BV7="ml"),OR(BP7="ab",BP7="ml"),OR(BQ7="ab",BQ7="ml")),"AB",""))))))</f>
        <v/>
      </c>
      <c r="CB7" s="65" t="str">
        <f t="shared" ref="CB7:CB70" si="35">IF(OR($B7="NSO",$B7="",BV7=""),"",IF(OR(CA7="AB",BV7="ab"),"AB",IF(BV7="ML","RE",IF(BV7&lt;20%*$BV$6,"F",IF(AND(BW7&gt;=36%*BZ7,BV7&gt;=20),"P",IF(AND(BW7&gt;=34%*BZ7,BY7=0,BV7&gt;=20),"G2",IF(AND(BW7&gt;=31%*BZ7,BY7=0,BV7&gt;=20),"G1",IF(BW7&gt;=25%*BZ7,"S","F"))))))))</f>
        <v>P</v>
      </c>
      <c r="CC7" s="65" t="str">
        <f t="shared" ref="CC7:CC70" si="36">IF(OR(CB7="",CB7=0,CB7="S",CB7="RE",CB7="F",CB7="AB"),CB7,IF(BW7&gt;=75%*BZ7,"D",IF(BW7&gt;=60%*BZ7,"I",IF(BW7&gt;=48%*BZ7,"II",IF(BW7&gt;=36%*BZ7,"III",CB7)))))</f>
        <v>I</v>
      </c>
      <c r="CD7" s="66">
        <f>SUM(S7,T7,AG7,AH7,AV7,AW7,BJ7,BK7,BX7,BY7,CM7,CN7)</f>
        <v>0</v>
      </c>
      <c r="CE7" s="68">
        <f>IF('Marks Entry'!AL7="","",'Marks Entry'!AL7)</f>
        <v>9</v>
      </c>
      <c r="CF7" s="68">
        <f>IF('Marks Entry'!AM7="","",'Marks Entry'!AM7)</f>
        <v>9</v>
      </c>
      <c r="CG7" s="68">
        <f>IF('Marks Entry'!AN7="","",'Marks Entry'!AN7)</f>
        <v>9</v>
      </c>
      <c r="CH7" s="514">
        <f t="shared" ref="CH7:CH70" si="37">IF(AND(CE7="",CF7="",CG7=""),"",SUM(CE7:CG7))</f>
        <v>27</v>
      </c>
      <c r="CI7" s="68">
        <f>IF('Marks Entry'!AO7="","",'Marks Entry'!AO7)</f>
        <v>46</v>
      </c>
      <c r="CJ7" s="515">
        <f t="shared" ref="CJ7:CJ70" si="38">IF(AND(CH7="",CI7=""),"",SUM(CH7,CI7))</f>
        <v>73</v>
      </c>
      <c r="CK7" s="68">
        <f>IF('Marks Entry'!AP7="","",'Marks Entry'!AP7)</f>
        <v>70</v>
      </c>
      <c r="CL7" s="96">
        <f t="shared" ref="CL7:CL70" si="39">IF(AND(CK7="",CJ7=""),"",SUM(CJ7,CK7))</f>
        <v>143</v>
      </c>
      <c r="CM7" s="65">
        <f t="shared" ref="CM7:CM70" si="40">COUNTIF(CE7:CG7,"NA")*10</f>
        <v>0</v>
      </c>
      <c r="CN7" s="65">
        <f t="shared" ref="CN7:CN70" si="41">(COUNTIF(CE7:CG7,"ML")*10)+(COUNTIF(CI7,"ML")*70)+(COUNTIF(CK7,"ML")*100)</f>
        <v>0</v>
      </c>
      <c r="CO7" s="66">
        <f t="shared" ref="CO7:CO70" si="42">IF(AND(CE7="",CF7="",CG7="",CI7="",CK7=""),"",IF(AND(CF7="",CE7="",CG7=""),170-CM7-CN7,IF(AND(CI7=""),130-CM7-CN7,IF(CK7="",100-CM7-CN7,200-CM7-CN7))))</f>
        <v>200</v>
      </c>
      <c r="CP7" s="65" t="str">
        <f t="shared" ref="CP7:CP70" si="43">IF(OR($B7="NSO",$B7="",CK7=""),"",IF(AND(OR(CE7="ab",CE7="ml"),OR(CF7="ab",CF7="ml"),OR(CG7="ab",CG7="ml")),"AB",IF(AND(OR(CE7="NA",CE7=""),OR(CF7="NA",CF7=""),OR(CG7="NA",CG7="")),"AB",IF(AND(OR(CE7="ab",CE7="ml"),OR(CF7="ab",CF7="ml"),OR(CI7="ab",CI7="ml")),"AB",IF(AND(OR(CI7="ab",CI7="ml"),OR(CK7="ab",CK7="ml"),OR(CI7="ab",CK7="ml")),"AB",IF(AND(OR(CK7="ab",CK7="ml"),OR(CE7="ab",CE7="ml"),OR(CF7="ab",CF7="ml")),"AB",""))))))</f>
        <v/>
      </c>
      <c r="CQ7" s="65" t="str">
        <f t="shared" ref="CQ7:CQ70" si="44">IF(OR($B7="NSO",$B7="",CK7=""),"",IF(OR(CP7="AB",CK7="ab"),"AB",IF(CK7="ML","RE",IF(CK7&lt;20%*$CK$6,"F",IF(AND(CL7&gt;=36%*CO7,CK7&gt;=20),"P",IF(AND(CL7&gt;=34%*CO7,CN7=0,CK7&gt;=20),"G2",IF(AND(CL7&gt;=31%*CO7,CN7=0,CK7&gt;=20),"G1",IF(CL7&gt;=25%*CO7,"S","F"))))))))</f>
        <v>P</v>
      </c>
      <c r="CR7" s="65" t="str">
        <f t="shared" ref="CR7:CR70" si="45">IF(OR(CQ7="",CQ7=0,CQ7="S",CQ7="RE",CQ7="F",CQ7="AB"),CQ7,IF(CL7&gt;=75%*CO7,"D",IF(CL7&gt;=60%*CO7,"I",IF(CL7&gt;=48%*CO7,"II",IF(CL7&gt;=36%*CO7,"III",CQ7)))))</f>
        <v>I</v>
      </c>
      <c r="CS7" s="106" t="str">
        <f>IF('School Profile'!$D$20="NO","",IF('Marks Entry'!AQ7="","",IF('Marks Entry'!AQ7=1,'School Profile'!$I$29,IF('Marks Entry'!AQ7=2,'School Profile'!$I$30,IF('Marks Entry'!AQ7=3,'School Profile'!$I$31,IF('Marks Entry'!AQ7=4,'School Profile'!$I$32,IF('Marks Entry'!AQ7=5,'School Profile'!$I$33,IF('Marks Entry'!AQ7=6,'School Profile'!$I$34,IF('Marks Entry'!AQ7=7,'School Profile'!$I$35,IF('Marks Entry'!AQ7=8,'School Profile'!$I$36,IF('Marks Entry'!AQ7=9,'School Profile'!$I$37,IF('Marks Entry'!AQ7=10,'School Profile'!$I$38,IF('Marks Entry'!AQ7=11,'School Profile'!$I$39,"")))))))))))))</f>
        <v>BEAUTY AND HEALTH</v>
      </c>
      <c r="CT7" s="68">
        <f>IF('School Profile'!$D$20="NO","",IF('Marks Entry'!AR7="","",'Marks Entry'!AR7))</f>
        <v>8</v>
      </c>
      <c r="CU7" s="68">
        <f>IF('School Profile'!$D$20="NO","",IF('Marks Entry'!AS7="","",'Marks Entry'!AS7))</f>
        <v>8</v>
      </c>
      <c r="CV7" s="68">
        <f>IF('School Profile'!$D$20="NO","",IF('Marks Entry'!AT7="","",'Marks Entry'!AT7))</f>
        <v>8</v>
      </c>
      <c r="CW7" s="514">
        <f>IF('School Profile'!$D$20="NO","",IF(AND(CT7="",CU7="",CV7=""),"",SUM(CT7:CV7)))</f>
        <v>24</v>
      </c>
      <c r="CX7" s="68">
        <f>IF('School Profile'!$D$20="NO","",IF('Marks Entry'!AU7="","",'Marks Entry'!AU7))</f>
        <v>31</v>
      </c>
      <c r="CY7" s="68">
        <f>IF('School Profile'!$D$20="NO","",IF('Marks Entry'!AV7="","",'Marks Entry'!AV7))</f>
        <v>32</v>
      </c>
      <c r="CZ7" s="515">
        <f>IF('School Profile'!$D$20="NO","",IF(AND(CX7="",CY7=""),"",SUM(CX7,CY7)))</f>
        <v>63</v>
      </c>
      <c r="DA7" s="69">
        <f>IF('School Profile'!$D$20="NO","",IF(AND(CW7="",CZ7=""),"",SUM(CW7+CZ7)))</f>
        <v>87</v>
      </c>
      <c r="DB7" s="68">
        <f>IF('School Profile'!$D$20="NO","",IF('Marks Entry'!AW7="","",'Marks Entry'!AW7))</f>
        <v>43</v>
      </c>
      <c r="DC7" s="68">
        <f>IF('School Profile'!$D$20="NO","",IF('Marks Entry'!AX7="","",'Marks Entry'!AX7))</f>
        <v>44</v>
      </c>
      <c r="DD7" s="515">
        <f>IF('School Profile'!$D$20="NO","",IF(AND(DB7="",DC7=""),"",SUM(DB7,DC7)))</f>
        <v>87</v>
      </c>
      <c r="DE7" s="96">
        <f>IF('School Profile'!$D$20="NO","",IF(AND(DA7="",DD7=""),"",SUM(DA7,DD7)))</f>
        <v>174</v>
      </c>
      <c r="DF7" s="532">
        <f t="shared" ref="DF7:DF70" si="46">COUNTIF(CX7:CZ7,"NA")*10</f>
        <v>0</v>
      </c>
      <c r="DG7" s="65">
        <f t="shared" ref="DG7:DG70" si="47">(COUNTIF(CX7:CZ7,"ML")*10)+(COUNTIF(DB7,"ML")*70)+(COUNTIF(DD7,"ML")*100)</f>
        <v>0</v>
      </c>
      <c r="DH7" s="66">
        <f t="shared" ref="DH7:DH70" si="48">IF(AND(CX7="",CY7="",CZ7="",DB7="",DD7=""),"",IF(AND(CY7="",CX7="",CZ7=""),170-DF7-DG7,IF(AND(DB7=""),130-DF7-DG7,IF(DD7="",100-DF7-DG7,200-DF7-DG7))))</f>
        <v>200</v>
      </c>
      <c r="DI7" s="65" t="str">
        <f t="shared" ref="DI7:DI70" si="49">IF(OR($B7="NSO",$B7="",DD7=""),"",IF(AND(OR(CX7="ab",CX7="ml"),OR(CY7="ab",CY7="ml"),OR(CZ7="ab",CZ7="ml")),"AB",IF(AND(OR(CX7="NA",CX7=""),OR(CY7="NA",CY7=""),OR(CZ7="NA",CZ7="")),"AB",IF(AND(OR(CX7="ab",CX7="ml"),OR(CY7="ab",CY7="ml"),OR(DB7="ab",DB7="ml")),"AB",IF(AND(OR(DB7="ab",DB7="ml"),OR(DD7="ab",DD7="ml"),OR(DB7="ab",DD7="ml")),"AB",IF(AND(OR(DD7="ab",DD7="ml"),OR(CX7="ab",CX7="ml"),OR(CY7="ab",CY7="ml")),"AB",""))))))</f>
        <v/>
      </c>
      <c r="DJ7" s="65" t="str">
        <f t="shared" ref="DJ7:DJ70" si="50">IF(OR($B7="NSO",$B7="",DD7=""),"",IF(OR(DI7="AB",DD7="ab"),"AB",IF(DD7="ML","RE",IF(DD7&lt;20%*$DD$6,"F",IF(AND(DE7&gt;=36%*DH7,DD7&gt;=20),"P",IF(AND(DE7&gt;=34%*DH7,DG7=0,DD7&gt;=20),"G2",IF(AND(DE7&gt;=31%*DH7,DG7=0,DD7&gt;=20),"G1",IF(DE7&gt;=25%*DH7,"S","F"))))))))</f>
        <v>P</v>
      </c>
      <c r="DK7" s="65" t="str">
        <f t="shared" ref="DK7:DK70" si="51">IF(OR(DJ7="",DJ7=0,DJ7="S",DJ7="RE",DJ7="F",DJ7="AB"),DJ7,IF(DE7&gt;=75%*DH7,"D",IF(DE7&gt;=60%*DH7,"I",IF(DE7&gt;=48%*DH7,"II",IF(DE7&gt;=36%*DH7,"III",DJ7)))))</f>
        <v>D</v>
      </c>
      <c r="DL7" s="97" t="str">
        <f>X7</f>
        <v>I</v>
      </c>
      <c r="DM7" s="97" t="str">
        <f>AL7</f>
        <v>I</v>
      </c>
      <c r="DN7" s="97" t="str">
        <f>BA7</f>
        <v>I</v>
      </c>
      <c r="DO7" s="97" t="str">
        <f>BO7</f>
        <v>I</v>
      </c>
      <c r="DP7" s="97" t="str">
        <f>CC7</f>
        <v>I</v>
      </c>
      <c r="DQ7" s="97" t="str">
        <f>CR7</f>
        <v>I</v>
      </c>
      <c r="DR7" s="97" t="str">
        <f>DK7</f>
        <v>D</v>
      </c>
      <c r="DS7" s="98">
        <f>COUNTIF(DL7:DR7,"F")+COUNTIF(DL7:DR7,"AB")</f>
        <v>0</v>
      </c>
      <c r="DT7" s="98">
        <f>COUNTIF(DL7:DR7,"S")</f>
        <v>0</v>
      </c>
      <c r="DU7" s="98">
        <f>COUNTIF(DL7:DR7,"G1")</f>
        <v>0</v>
      </c>
      <c r="DV7" s="98">
        <f>COUNTIF(DL7:DR7,"G2")</f>
        <v>0</v>
      </c>
      <c r="DW7" s="98">
        <f>COUNTIF(DL7:DR7,"RE")+COUNTIF(DL7:DR7,"REP")</f>
        <v>0</v>
      </c>
      <c r="DX7" s="98" t="str">
        <f>IF(OR(DK7="AB",DK7="F"),"F",IF(OR(DK7="RE"),"RE",""))</f>
        <v/>
      </c>
      <c r="DY7" s="99" t="str">
        <f>IF(B7="NSO","NSO",IF(OR(B7="",B7=0,Q7="",AE7="",AT7="",BH7="",BV7="",CK7=""),"",IF(OR(DS7&gt;0,(DT7+DU7+DV7)&gt;2),"FAIL",IF(DW7&gt;0,"RE-EXAM",IF(OR(DT7&gt;0,DU7&gt;1),"SUPPLEMENTARY",IF(AND(DU7&gt;0,DV7&gt;0),"SUPPLEMENTARY",IF((DU7+DV7)&gt;0,"BY GRACE PASS","PASS")))))))</f>
        <v>PASS</v>
      </c>
      <c r="DZ7" s="74">
        <f>IF('Marks Entry'!AY7="","",'Marks Entry'!AY7)</f>
        <v>10</v>
      </c>
      <c r="EA7" s="74">
        <f>IF('Marks Entry'!AZ7="","",'Marks Entry'!AZ7)</f>
        <v>10</v>
      </c>
      <c r="EB7" s="74">
        <f>IF('Marks Entry'!BA7="","",'Marks Entry'!BA7)</f>
        <v>10</v>
      </c>
      <c r="EC7" s="527">
        <f t="shared" ref="EC7:EC70" si="52">IF(AND(DZ7="",EA7="",EB7=""),"",SUM(DZ7:EB7))</f>
        <v>30</v>
      </c>
      <c r="ED7" s="74">
        <f>IF('Marks Entry'!BB7="","",'Marks Entry'!BB7)</f>
        <v>70</v>
      </c>
      <c r="EE7" s="528">
        <f t="shared" ref="EE7:EE70" si="53">IF(AND(EC7="",ED7=""),"",SUM(EC7,ED7))</f>
        <v>100</v>
      </c>
      <c r="EF7" s="74">
        <f>IF('Marks Entry'!BC7="","",'Marks Entry'!BC7)</f>
        <v>90</v>
      </c>
      <c r="EG7" s="530">
        <f t="shared" ref="EG7:EG70" si="54">IF(AND(EF7="",EE7=""),"",SUM(EE7,EF7))</f>
        <v>190</v>
      </c>
      <c r="EH7" s="368" t="str">
        <f>IF(OR($B7="NSO",$B7=0,EG7=""),"",IF(OR(EG7="AB",EE7="AB",EF7="AB"),"AB",IF(AND(DY7="FAIL",(OR(EG7&lt;36%*EK7))),"D",IF(OR(EF7="ML",EF7&lt;20%*EF$6,EG7&lt;36%*EK7),"D",IF(EG7&gt;80%*EK7,"A",IF(EG7&gt;60%*EK7,"B",IF(EG7&gt;40%*EK7,"C","D")))))))</f>
        <v>A</v>
      </c>
      <c r="EI7" s="65">
        <f>COUNTIF(DZ7:EB7,"NA")*10</f>
        <v>0</v>
      </c>
      <c r="EJ7" s="65">
        <f>(COUNTIF(DZ7:EB7,"ML")*10)+(COUNTIF(ED7,"ML")*70)+(COUNTIF(EF7,"ML")*100)</f>
        <v>0</v>
      </c>
      <c r="EK7" s="66">
        <f>IF(OR($B7="NSO",$B7=0),"",IF(AND(DZ7="",EA7="",EC7="",EE7=""),"",IF(AND(EA7="",EC7="",ED7="",EE7="",EF7=""),($DZ$6)-EI7-EJ7,IF(AND(DZ7="",EC7="",ED7="",EE7="",EF7=""),($EA$6)-EI7-EJ7,IF(AND(EC7="",ED7="",EE7="",EF7=""),($DZ$6+$EA$6)-EI7-EJ7,IF(AND(EE7="",EF7=""),($EC$6+$ED$6)-EI7-EJ7,($EG$6)-EI7-EJ7))))))</f>
        <v>200</v>
      </c>
      <c r="EL7" s="74">
        <f>IF('Marks Entry'!BD7="","",'Marks Entry'!BD7)</f>
        <v>10</v>
      </c>
      <c r="EM7" s="74">
        <f>IF('Marks Entry'!BE7="","",'Marks Entry'!BE7)</f>
        <v>10</v>
      </c>
      <c r="EN7" s="74">
        <f>IF('Marks Entry'!BF7="","",'Marks Entry'!BF7)</f>
        <v>10</v>
      </c>
      <c r="EO7" s="527">
        <f t="shared" ref="EO7:EO70" si="55">IF(AND(EL7="",EM7="",EN7=""),"",SUM(EL7:EN7))</f>
        <v>30</v>
      </c>
      <c r="EP7" s="74">
        <f>IF('Marks Entry'!BG7="","",'Marks Entry'!BG7)</f>
        <v>45</v>
      </c>
      <c r="EQ7" s="74">
        <f>IF('Marks Entry'!BH7="","",'Marks Entry'!BH7)</f>
        <v>12</v>
      </c>
      <c r="ER7" s="528">
        <f t="shared" ref="ER7:ER70" si="56">IF(AND(EP7="",EQ7=""),"",SUM(EP7,EQ7))</f>
        <v>57</v>
      </c>
      <c r="ES7" s="529">
        <f t="shared" ref="ES7:ES70" si="57">IF(AND(EO7="",ER7=""),"",SUM(EO7+ER7))</f>
        <v>87</v>
      </c>
      <c r="ET7" s="74">
        <f>IF('Marks Entry'!BI7="","",'Marks Entry'!BI7)</f>
        <v>63</v>
      </c>
      <c r="EU7" s="74">
        <f>IF('Marks Entry'!BJ7="","",'Marks Entry'!BJ7)</f>
        <v>25</v>
      </c>
      <c r="EV7" s="528">
        <f t="shared" ref="EV7:EV70" si="58">IF(AND(ET7="",EU7=""),"",SUM(ET7,EU7))</f>
        <v>88</v>
      </c>
      <c r="EW7" s="530">
        <f t="shared" ref="EW7:EW70" si="59">IF(AND(ES7="",EV7=""),"",SUM(ES7,EV7))</f>
        <v>175</v>
      </c>
      <c r="EX7" s="368" t="str">
        <f>IF(OR($B7="NSO",$B7=0,EW7=""),"",IF(OR(ET7="AB",EU7="AB",EV7="AB"),"AB",IF(AND($DY7="FAIL",(OR(EW7&lt;36%*FA7))),"D",IF(OR(EV7="ML",EV7&lt;20%*EV$6,EW7&lt;36%*FA7),"D",IF(EW7&gt;80%*FA7,"A",IF(EW7&gt;60%*FA7,"B",IF(EW7&gt;40%*FA7,"C","D")))))))</f>
        <v>A</v>
      </c>
      <c r="EY7" s="65">
        <f>COUNTIF(EL7:EN7,"NA")*10</f>
        <v>0</v>
      </c>
      <c r="EZ7" s="65">
        <f>(COUNTIF(EL7:EN7,"ML")*10)+(COUNTIF(ER7,"ML")*70)+(COUNTIF(EV7,"ML")*100)</f>
        <v>0</v>
      </c>
      <c r="FA7" s="66">
        <f>IF(OR($B7="NSO",$B7=0),"",IF(AND(EL7="",EM7="",EP7="",ET7=""),"",IF(AND(EM7="",EP7="",EQ7="",ET7="",EU7=""),($EL$6)-EY7-EZ7,IF(AND(EL7="",EP7="",EQ7="",ET7="",EU7=""),($EM$6)-EY7-EZ7,IF(AND(EP7="",EQ7="",ET7="",EU7=""),($EL$6+$EM$6)-EY7-EZ7,IF(AND(ET7="",EU7=""),($EP$6+$EQ$6)-EY7-EZ7,($EW$6)-EY7-EZ7))))))</f>
        <v>200</v>
      </c>
      <c r="FB7" s="74">
        <f>IF('Marks Entry'!BK7="","",'Marks Entry'!BK7)</f>
        <v>10</v>
      </c>
      <c r="FC7" s="74">
        <f>IF('Marks Entry'!BL7="","",'Marks Entry'!BL7)</f>
        <v>7</v>
      </c>
      <c r="FD7" s="74">
        <f>IF('Marks Entry'!BM7="","",'Marks Entry'!BM7)</f>
        <v>9</v>
      </c>
      <c r="FE7" s="74">
        <f>IF('Marks Entry'!BN7="","",'Marks Entry'!BN7)</f>
        <v>7</v>
      </c>
      <c r="FF7" s="74">
        <f>IF('Marks Entry'!BO7="","",'Marks Entry'!BO7)</f>
        <v>10</v>
      </c>
      <c r="FG7" s="74">
        <f>IF('Marks Entry'!BP7="","",'Marks Entry'!BP7)</f>
        <v>14</v>
      </c>
      <c r="FH7" s="527">
        <f t="shared" ref="FH7:FH70" si="60">IF(AND(FB7="",FC7="",FE7="",FF7="",FG7=""),"",SUM(FB7:FG7))</f>
        <v>57</v>
      </c>
      <c r="FI7" s="74">
        <f>IF('Marks Entry'!BQ7="","",'Marks Entry'!BQ7)</f>
        <v>20</v>
      </c>
      <c r="FJ7" s="74">
        <f>IF('Marks Entry'!BR7="","",'Marks Entry'!BR7)</f>
        <v>14</v>
      </c>
      <c r="FK7" s="528">
        <f t="shared" ref="FK7:FK70" si="61">IF(AND(FI7="",FJ7=""),"",SUM(FI7,FJ7))</f>
        <v>34</v>
      </c>
      <c r="FL7" s="529">
        <f t="shared" ref="FL7:FL70" si="62">IF(AND(FH7="",FK7=""),"",SUM(FH7+FK7))</f>
        <v>91</v>
      </c>
      <c r="FM7" s="74">
        <f>IF('Marks Entry'!BS7="","",'Marks Entry'!BS7)</f>
        <v>12</v>
      </c>
      <c r="FN7" s="74">
        <f>IF('Marks Entry'!BT7="","",'Marks Entry'!BT7)</f>
        <v>50</v>
      </c>
      <c r="FO7" s="528">
        <f t="shared" ref="FO7:FO70" si="63">IF(AND(FM7="",FN7=""),"",SUM(FM7,FN7))</f>
        <v>62</v>
      </c>
      <c r="FP7" s="530">
        <f t="shared" ref="FP7:FP70" si="64">IF(AND(FL7="",FO7=""),"",SUM(FL7,FO7))</f>
        <v>153</v>
      </c>
      <c r="FQ7" s="368" t="str">
        <f>IF(OR($B7="NSO",$B7=0,FP7=""),"",IF(OR(FM7="AB",FN7="AB",FO7="AB"),"AB",IF(AND($DY7="FAIL",(OR(FP7&lt;36%*FT7))),"D",IF(OR(FO7="ML",FO7&lt;20%*FO$6,FP7&lt;36%*FT7),"D",IF(FP7&gt;80%*FT7,"A",IF(FP7&gt;60%*FT7,"B",IF(FP7&gt;40%*FT7,"C","D")))))))</f>
        <v>B</v>
      </c>
      <c r="FR7" s="65">
        <f>COUNTIF(FB7,"NA")*10+COUNTIF(FD7,"NA")*10+COUNTIF(FF7,"NA")*10</f>
        <v>0</v>
      </c>
      <c r="FS7" s="65">
        <f>(COUNTIF(FB7,"ML")*10)+(COUNTIF(FD7,"ML")*10)+(COUNTIF(FF7,"ML")*10)+(COUNTIF(FI7,"ML")*25)+(COUNTIF(FJ7,"ML")*15)+(COUNTIF(FM7,"ML")*30)+(COUNTIF(FN7,"ML")*70)</f>
        <v>0</v>
      </c>
      <c r="FT7" s="66">
        <f>IF(OR($B7="NSO",$B7=0),"",IF(AND(FB7="",FD7="",FF7="",FI7="",FM7=""),"",IF(AND(FC7="",FI7="",FJ7="",FE7="",FN7=""),($FB$6)-FR7-FS7,IF(AND(FB7="",FI7="",FJ7="",FM7="",FN7=""),($FC$6)-FR7-FS7,IF(AND(FI7="",FJ7="",FM7="",FN7=""),($FB$6+$FC$6)-FR7-FS7,IF(AND(FM7="",FN7=""),($FI$6+$FJ$6)-FR7-FS7,($FP$6)-FR7-FS7))))))</f>
        <v>200</v>
      </c>
      <c r="FU7" s="74">
        <f>IF('Marks Entry'!BU7="","",'Marks Entry'!BU7)</f>
        <v>21</v>
      </c>
      <c r="FV7" s="74">
        <f>IF('Marks Entry'!BV7="","",'Marks Entry'!BV7)</f>
        <v>41</v>
      </c>
      <c r="FW7" s="74">
        <f>IF('Marks Entry'!BW7="","",'Marks Entry'!BW7)</f>
        <v>29</v>
      </c>
      <c r="FX7" s="75">
        <f t="shared" ref="FX7:FX70" si="65">IF(AND(FU7="",FV7="",FW7=""),"",SUM(FU7,FV7,FW7))</f>
        <v>91</v>
      </c>
      <c r="FY7" s="368" t="str">
        <f>IFERROR(IF(OR($B7="NSO",$B7=0,FX7=""),"",IF(OR(FU7="AB",FV7="AB",FW7="AB"),"AB",IF(AND($DY7="FAIL",(OR(FX7&lt;36%*GB7))),"D",IF(OR(FW7="ML",FX7&lt;20%*FX$6,FX7&lt;36%*GB7),"D",IF(FX7&gt;80%*GB7,"A",IF(FX7&gt;60%*GB7,"B",IF(FX7&gt;40%*GB7,"C","D"))))))),"")</f>
        <v>A</v>
      </c>
      <c r="FZ7" s="65">
        <f>COUNTIF(FU7,"NA")*25</f>
        <v>0</v>
      </c>
      <c r="GA7" s="66">
        <f>IF(AND(FW7="",FU7="",FW7=""),(COUNTIF(FU7,"ML")*25+(COUNTIF(FW7,"ML"))*FW$6+(COUNTIF(FV7,"ML"))*FV$6),(COUNTIF(FU7,"ML")*25+(COUNTIF(FW7,"ML"))*FW$6+(COUNTIF(FX7,"ML"))*FX$6))</f>
        <v>0</v>
      </c>
      <c r="GB7" s="66">
        <f>IF(OR($B7="NSO",$B7=0),"",IF(AND(FU7="",FV7="",FW7=""),"",IF(AND(FU7="",FV7="",FW7=""),($FX$6)-FZ7-GA7,IF(AND(FW7=""),($FW$6)-FZ7-GA7,IF(AND(FV7=""),($FV$6)-FZ7-GA7,IF(AND(FU7=""),($FU$6)-FZ7-GA7,($FX$6)-FZ7-GA7))))))</f>
        <v>100</v>
      </c>
      <c r="GC7" s="74">
        <f>IF('Marks Entry'!BX7="","",'Marks Entry'!BX7)</f>
        <v>14</v>
      </c>
      <c r="GD7" s="74">
        <f>IF('Marks Entry'!BY7="","",'Marks Entry'!BY7)</f>
        <v>42</v>
      </c>
      <c r="GE7" s="74">
        <f>IF('Marks Entry'!BZ7="","",'Marks Entry'!BZ7)</f>
        <v>10</v>
      </c>
      <c r="GF7" s="75">
        <f t="shared" ref="GF7" si="66">IF(AND(GC7="",GD7="",GE7=""),"",SUM(GC7,GD7,GE7))</f>
        <v>66</v>
      </c>
      <c r="GG7" s="368" t="str">
        <f>IFERROR(IF(OR($B7="NSO",$B7=0,GF7=""),"",IF(OR(GC7="AB",GD7="AB",GE7="AB"),"AB",IF(AND($DY7="FAIL",(OR(GF7&lt;36%*GJ7))),"D",IF(OR(GE7="ML",GF7&lt;20%*GF$6,GF7&lt;36%*GJ7),"D",IF(GF7&gt;80%*GJ7,"A",IF(GF7&gt;60%*GJ7,"B",IF(GF7&gt;40%*GJ7,"C","D"))))))),"")</f>
        <v>B</v>
      </c>
      <c r="GH7" s="65">
        <f>COUNTIF(GC7,"NA")*25</f>
        <v>0</v>
      </c>
      <c r="GI7" s="66">
        <f>IF(AND(GE7="",GC7="",GE7=""),(COUNTIF(GC7,"ML")*25+(COUNTIF(GE7,"ML"))*GE$6+(COUNTIF(GD7,"ML"))*GD$6),(COUNTIF(GC7,"ML")*25+(COUNTIF(GE7,"ML"))*GE$6+(COUNTIF(GF7,"ML"))*GF$6))</f>
        <v>0</v>
      </c>
      <c r="GJ7" s="66">
        <f>IF(OR($B7="NSO",$B7=0),"",IF(AND(GC7="",GD7="",GE7=""),"",IF(AND(GC7="",GD7="",GE7=""),($GF$6)-GH7-GI7,IF(AND(GE7=""),($GE$6)-GH7-GI7,IF(AND(GD7=""),($GD$6)-GH7-GI7,IF(AND(GC7=""),($GC$6)-GH7-GI7,($GF$6)-GH7-GI7))))))</f>
        <v>100</v>
      </c>
      <c r="GK7" s="100">
        <f>IF(AND(F7="",B7=""),"",IF('Student DATA Entry'!M4="","",'Student DATA Entry'!M4))</f>
        <v>200</v>
      </c>
      <c r="GL7" s="101">
        <f>IF(AND(B7="",F7=""),"",IF('Student DATA Entry'!N4="","",'Student DATA Entry'!N4))</f>
        <v>192</v>
      </c>
      <c r="GM7" s="581">
        <f>IF(OR(GK7=0,GL7=0,GK7="",GL7=""),"",GL7/GK7*100)</f>
        <v>96</v>
      </c>
      <c r="GN7" s="94" t="str">
        <f>IF(AND(DY7="FAIL",(OR(DL7="G1",DL7="G2",DL7="S",DL7="RE"))),"F",IF(AND(DY7="RE-EXAM",(OR(DL7="G1",DL7="G2",DL7="S"))),"S",IF(AND(DY7="SUPPLEMENTARY",(OR(DL7="G1",DL7="G2"))),"S",IF(AND(DY7="BY GRACE PASS",(OR(DL7="G1",DL7="G2"))),"G",DL7))))</f>
        <v>I</v>
      </c>
      <c r="GO7" s="94" t="str">
        <f>IF(GN7="G",",+","")</f>
        <v/>
      </c>
      <c r="GP7" s="102" t="str">
        <f t="shared" ref="GP7:GP38" si="67">IF(GN7="G",ROUNDUP(36%*U7-R7,0),"")</f>
        <v/>
      </c>
      <c r="GQ7" s="94" t="str">
        <f>IF(AND(DY7="FAIL",(OR(DM7="G1",DM7="G2",DM7="S",DM7="RE"))),"F",IF(AND(DY7="RE-EXAM",(OR(DM7="G1",DM7="G2",DM7="S"))),"S",IF(AND(DY7="SUPPLEMENTARY",(OR(DM7="G1",DM7="G2"))),"S",IF(AND(DY7="BY GRACE PASS",(OR(DM7="G1",DM7="G2"))),"G",DM7))))</f>
        <v>I</v>
      </c>
      <c r="GR7" s="103" t="str">
        <f>IF(GQ7="G",",+","")</f>
        <v/>
      </c>
      <c r="GS7" s="102" t="str">
        <f t="shared" ref="GS7:GS38" si="68">IF(GQ7="G",ROUNDUP(36%*AI7-AF7,0),"")</f>
        <v/>
      </c>
      <c r="GT7" s="104" t="str">
        <f>IF(AND(DY7="FAIL",(OR(DN7="G1",DN7="G2",DN7="S",DN7="RE"))),"F",IF(AND(DY7="RE-EXAM",(OR(DN7="G1",DN7="G2",DN7="S"))),"S",IF(AND(DY7="SUPPLEMENTARY",(OR(DN7="G1",DN7="G2"))),"S",IF(AND(DY7="BY GRACE PASS",(OR(DN7="G1",DN7="G2"))),"G",DN7))))</f>
        <v>I</v>
      </c>
      <c r="GU7" s="94" t="str">
        <f>IF('Marks Entry'!V7=1,GT7,"")</f>
        <v>I</v>
      </c>
      <c r="GV7" s="94" t="str">
        <f>IF('Marks Entry'!V7=2,GT7,"")</f>
        <v/>
      </c>
      <c r="GW7" s="94" t="str">
        <f>IF('Marks Entry'!V7=3,GT7,"")</f>
        <v/>
      </c>
      <c r="GX7" s="94" t="str">
        <f>IF('Marks Entry'!V7=4,GT7,"")</f>
        <v/>
      </c>
      <c r="GY7" s="94" t="str">
        <f>IF('Marks Entry'!V7=5,GT7,"")</f>
        <v/>
      </c>
      <c r="GZ7" s="94" t="str">
        <f>IF(GT7="G",",+","")</f>
        <v/>
      </c>
      <c r="HA7" s="105" t="str">
        <f t="shared" ref="HA7:HA38" si="69">IF(GT7="G",ROUNDUP(36%*AX7-AU7,0),"")</f>
        <v/>
      </c>
      <c r="HB7" s="94" t="str">
        <f>IF(AND(DY7="FAIL",(OR(DO7="G1",DO7="G2",DO7="S",DO7="RE",))),"F",IF(AND(DY7="RE-EXAM",(OR(DO7="G1",DO7="G2",DO7="S"))),"S",IF(AND(DY7="SUPPLEMENTARY",(OR(DO7="G1",DO7="G2"))),"S",IF(AND(DY7="BY GRACE PASS",(OR(DO7="G1",DO7="G2"))),"G",DO7))))</f>
        <v>I</v>
      </c>
      <c r="HC7" s="94" t="str">
        <f>IF(HB7="G",",+","")</f>
        <v/>
      </c>
      <c r="HD7" s="105" t="str">
        <f t="shared" ref="HD7:HD38" si="70">IF(HB7="G",ROUNDUP(36%*BL7-BI7,0),"")</f>
        <v/>
      </c>
      <c r="HE7" s="94" t="str">
        <f>IF(AND(DY7="FAIL",(OR(DP7="G1",DP7="G2",DP7="S",DP7="RE"))),"F",IF(AND(DY7="RE-EXAM",(OR(DP7="G1",DP7="G2",DP7="S"))),"S",IF(AND(DY7="SUPPLEMENTARY",(OR(DP7="G1",DP7="G2"))),"S",IF(AND(DY7="BY GRACE PASS",(OR(DP7="G1",DP7="G2"))),"G",DP7))))</f>
        <v>I</v>
      </c>
      <c r="HF7" s="94" t="str">
        <f>IF(HE7="G",",+","")</f>
        <v/>
      </c>
      <c r="HG7" s="105" t="str">
        <f t="shared" ref="HG7:HG38" si="71">IF(HE7="G",ROUNDUP(36%*BZ7-BW7,0),"")</f>
        <v/>
      </c>
      <c r="HH7" s="94" t="str">
        <f>IF(AND(DY7="FAIL",(OR(DQ7="G1",DQ7="G2",DQ7="S",DQ7="RE"))),"F",IF(AND(DY7="RE-EXAM",(OR(DQ7="G1",DQ7="G2",DQ7="S"))),"S",IF(AND(DY7="SUPPLEMENTARY",(OR(DQ7="G1",DQ7="G2"))),"S",IF(AND(DY7="BY GRACE PASS",(OR(DQ7="G1",DQ7="G2"))),"G",DQ7))))</f>
        <v>I</v>
      </c>
      <c r="HI7" s="94" t="str">
        <f>IF(HH7="G",",+","")</f>
        <v/>
      </c>
      <c r="HJ7" s="105" t="str">
        <f t="shared" ref="HJ7:HJ38" si="72">IF(HH7="G",ROUNDUP(36%*CO7-CL7,0),"")</f>
        <v/>
      </c>
      <c r="HK7" s="94" t="str">
        <f>IF(AND(DY7="FAIL",(OR(DR7="G1",DR7="G2",DR7="S",DR7="RE"))),"F",IF(AND(DY7="RE-EXAM",(OR(DR7="G1",DR7="G2",DR7="S"))),"S",IF(AND(DY7="SUPPLEMENTARY",(OR(DR7="G1",DR7="G2"))),"S",IF(AND(DY7="BY GRACE PASS",(OR(DR7="G1",DR7="G2"))),"G",DR7))))</f>
        <v>D</v>
      </c>
      <c r="HL7" s="94" t="str">
        <f>IF(HK7="G",",+","")</f>
        <v/>
      </c>
      <c r="HM7" s="105" t="str">
        <f t="shared" ref="HM7:HM38" si="73">IF(HK7="G",ROUNDUP(36%*DH7-DE7,0),"")</f>
        <v/>
      </c>
      <c r="HN7" s="106" t="str">
        <f>CONCATENATE(IF(GN7="F",$GN$5,IF(GN7="AB",$GN$5,""))," ",IF(GQ7="F",$GQ$5,IF(GQ7="AB",$GQ$5,""))," ",IF(GU7="F",$GU$5,IF(GV7="F",$GV$5,IF(GW7="F",$GW$5,IF(GX7="F",$GX$5,IF(GY7="F",$GY$5,IF(GU7="AB",$GU$5,IF(GV7="AB",$GV$5,IF(GW7="AB",$GW$5,IF(GX7="AB",$GX$5,IF(GY7="AB",$GY$5,""))))))))))," ",IF(HB7="F",$HB$5,IF(HB7="AB",$HB$5,""))," ",IF(HE7="F",$HE$5,IF(HE7="AB",$HE$5,""))," ",,IF(HH7="F",$HH$5,IF(HH7="AB",$HH$5,""))," ",IF(HK7="F",$HK$5,IF(HK7="AB",$HK$5,"")))</f>
        <v xml:space="preserve">      </v>
      </c>
      <c r="HO7" s="106" t="str">
        <f>IF(COUNTIF(DL7:DR7,"F")&gt;0,"",CONCATENATE(IF(GN7="S",$GN$5,"")," ",IF(GQ7="S",$GQ$5,"")," ",IF(GU7="S",$GU$5,IF(GV7="S",$GV$5,IF(GW7="S",$GW$5,IF(GX7="S",$GX$5,IF(GY7="S",$GY$5,"")))))," ",IF(HB7="S",$HB$5,"")," ",IF(HE7="S",$HE$5,"")," ",IF(HH7="S",$HH$5,"")," ",IF(HK7="S",$HK$5,"")))</f>
        <v xml:space="preserve">      </v>
      </c>
      <c r="HP7" s="106" t="str">
        <f>CONCATENATE(IF(GN7="G",$GN$5,"")," ",IF(GQ7="G",$GQ$5,"")," ",IF(GU7="G",$GU$5,IF(GV7="G",$GV$5,IF(GW7="G",$GW$5,IF(GX7="G",$GX$5,IF(GY7="G",$GY$5,"")))))," ",IF(HB7="G",$HB$5,"")," ",IF(HE7="G",$HE$5,"")," ",IF(HH7="G",$HH$5,"")," ",IF(HK7="G",$HK$5,""))</f>
        <v xml:space="preserve">      </v>
      </c>
      <c r="HQ7" s="107" t="str">
        <f>CONCATENATE(IF(GN7="RE",$GN$5,"")," ",IF(GQ7="RE",$GQ$5,"")," ",IF(OR(GU7="RE",GU7="REP"),$GU$5,IF(OR(GV7="RE",GV7="REP"),$GV$5,IF(OR(GW7="RE",GW7="REP"),$GW$5,IF(OR(GX7="RE",GX7="REP"),$GX$5,IF(OR(GY7="RE",GY7="REP"),$GY$5,"")))))," ",IF(OR(HB7="RE",HB7="REP"),$HB$5,"")," ",IF(OR(HE7="RE",HE7="REP"),$HE$5,"")," ",IF(OR(HH7="RE",HH7="REP"),$HH$5,"")," ",IF(OR(HK7="RE",HK7="REP"),$HK$5,""))</f>
        <v xml:space="preserve">      </v>
      </c>
      <c r="HR7" s="88" t="str">
        <f>CONCATENATE(IF(GN7="D",$GN$5,"")," ",IF($GQ7="D",$GQ$5,"")," ",IF(GU7="D",$GU$5,IF(GV7="D",$GV$5,IF(GW7="D",$GW$5,IF(GX7="D",$GX$5,IF(GY7="D",$GY$5,"")))))," ",IF(HB7="D",$HB$5,"")," ",IF(HE7="D",$HE$5,"")," ",IF(HH7="D",$HH$5,"")," ",IF(HK7="D",$HK$5,""))</f>
        <v xml:space="preserve">      व्यावसायिक शिक्षा</v>
      </c>
      <c r="HS7" s="543" t="str">
        <f t="shared" ref="HS7:HS38" si="74">IF(B7="NSO","NSO",IF(AND(OR(DY7="PASS",DY7="BY GRACE PASS",DY7="RE-EXAM"),DX7="F"),"FAIL",IF(AND(OR(DY7="PASS",DY7="BY GRACE PASS"),DX7="RE"),"RE-EXAM",DY7)))</f>
        <v>PASS</v>
      </c>
      <c r="HT7" s="542">
        <f>IF(AND(R7="",AF7="",AU7="",BI7="",BW7=""),"",IF(OR(CS7="",DE7=""),SUM(R7,AF7,AU7,BI7,BW7,CL7),IF((CL7/CO7*100)&gt;=(DE7/DH7*100),SUM(R7,AF7,AU7,BI7,BW7,CL7),SUM(R7,AF7,AU7,BI7,BW7,DE7))))</f>
        <v>886</v>
      </c>
      <c r="HU7" s="541">
        <f>IF(HT7="","",HT7*100/($HT$6-CD7))</f>
        <v>73.833333333333329</v>
      </c>
      <c r="HV7" s="540" t="str">
        <f>IFERROR(IF(HU7="","",IF(AND(HU7&gt;=60,(HS7="PASS")),"1st",IF(AND(HU7&gt;=60,(HS7="BY GRACE PASS")),"1st",IF(AND(HU7&gt;=48,(HS7="PASS")),"2nd",IF(AND(HU7&gt;=48,(HS7="BY GRACE PASS")),"2nd",IF(AND(HU7&gt;=36,(HS7="PASS")),"3rd",IF(AND(HU7&gt;=36,(HS7="BY GRACE PASS")),"3rd",""))))))),"")</f>
        <v>1st</v>
      </c>
      <c r="HW7" s="537">
        <f>IFERROR(IF(OR(HS7="PASS",HS7="BY GRACE PASS"),HU7,""),"")</f>
        <v>73.833333333333329</v>
      </c>
      <c r="HX7" s="539">
        <f>IFERROR(IF(HW7="","",SUMPRODUCT((HW7&lt;HW$7:HW$206)/COUNTIF(HW$7:HW$206,HW$7:HW$206))),"")</f>
        <v>1.0000000000000013</v>
      </c>
      <c r="HY7" s="553" t="str">
        <f>IFERROR(IF(OR(HS7="SUPPLEMENTARY",HS7="RE-EXAM"),'Supp. Result Entry'!AQ5,""),"")</f>
        <v/>
      </c>
      <c r="HZ7" s="538" t="str">
        <f>IF(OR(KA7="",JP7=0),"",IF(JY7="","",JY7))</f>
        <v/>
      </c>
      <c r="IA7" s="88" t="str">
        <f>IF(AND(KA7=""),"",IF(HZ7="","",IF(AND(KA7="FAIL"),"Failed",KA7)))</f>
        <v/>
      </c>
      <c r="IB7" s="88" t="str">
        <f>IF(AND(HZ7="",IA7=""),"",IF(OR(HS7="SUPPLEMENTARY",HS7="RE-EXAM"),'Supp. Result Entry'!AQ5,HS7))</f>
        <v/>
      </c>
      <c r="IC7" s="87"/>
      <c r="IS7" s="109" t="str">
        <f>IF('Supp. Result Entry'!T5="","",'Supp. Result Entry'!$T$4)</f>
        <v/>
      </c>
      <c r="IT7" s="110" t="str">
        <f>IF('Supp. Result Entry'!W5="","",'Supp. Result Entry'!$W$4)</f>
        <v/>
      </c>
      <c r="IU7" s="110" t="str">
        <f>IF('Supp. Result Entry'!Z5="","",'Supp. Result Entry'!$Z$4)</f>
        <v/>
      </c>
      <c r="IV7" s="110" t="str">
        <f>IF('Supp. Result Entry'!AC5="","",'Supp. Result Entry'!$AC$4)</f>
        <v/>
      </c>
      <c r="IW7" s="110" t="str">
        <f>IF('Supp. Result Entry'!AF5="","",'Supp. Result Entry'!$AF$4)</f>
        <v/>
      </c>
      <c r="IX7" s="110" t="str">
        <f>IF('Supp. Result Entry'!AI5="","",'Supp. Result Entry'!$AI$4)</f>
        <v/>
      </c>
      <c r="IY7" s="110" t="str">
        <f>IF('Supp. Result Entry'!AI5="","",'Supp. Result Entry'!$AL$4)</f>
        <v/>
      </c>
      <c r="IZ7" s="110" t="str">
        <f>IF('Supp. Result Entry'!U5="","",'Supp. Result Entry'!U5)</f>
        <v/>
      </c>
      <c r="JA7" s="110" t="str">
        <f>IF('Supp. Result Entry'!X5="","",'Supp. Result Entry'!X5)</f>
        <v/>
      </c>
      <c r="JB7" s="110" t="str">
        <f>IF('Supp. Result Entry'!AA5="","",'Supp. Result Entry'!AA5)</f>
        <v/>
      </c>
      <c r="JC7" s="110" t="str">
        <f>IF('Supp. Result Entry'!AD5="","",'Supp. Result Entry'!AD5)</f>
        <v/>
      </c>
      <c r="JD7" s="110" t="str">
        <f>IF('Supp. Result Entry'!AG5="","",'Supp. Result Entry'!AG5)</f>
        <v/>
      </c>
      <c r="JE7" s="110" t="str">
        <f>IF('Supp. Result Entry'!AJ5="","",'Supp. Result Entry'!AJ5)</f>
        <v/>
      </c>
      <c r="JF7" s="110" t="str">
        <f>IF('Supp. Result Entry'!AM5="","",'Supp. Result Entry'!AM5)</f>
        <v/>
      </c>
      <c r="JG7" s="110" t="str">
        <f>IF('Supp. Result Entry'!V5="","",'Supp. Result Entry'!V5)</f>
        <v/>
      </c>
      <c r="JH7" s="110" t="str">
        <f>IF('Supp. Result Entry'!Y5="","",'Supp. Result Entry'!Y5)</f>
        <v/>
      </c>
      <c r="JI7" s="110" t="str">
        <f>IF('Supp. Result Entry'!AB5="","",'Supp. Result Entry'!AB5)</f>
        <v/>
      </c>
      <c r="JJ7" s="110" t="str">
        <f>IF('Supp. Result Entry'!AE5="","",'Supp. Result Entry'!AE5)</f>
        <v/>
      </c>
      <c r="JK7" s="110" t="str">
        <f>IF('Supp. Result Entry'!AH5="","",'Supp. Result Entry'!AH5)</f>
        <v/>
      </c>
      <c r="JL7" s="110" t="str">
        <f>IF('Supp. Result Entry'!AK5="","",'Supp. Result Entry'!AK5)</f>
        <v/>
      </c>
      <c r="JM7" s="110" t="str">
        <f>IF('Supp. Result Entry'!AN5="","",'Supp. Result Entry'!AN5)</f>
        <v/>
      </c>
      <c r="JN7" s="110">
        <f>COUNTIF('Supp. Result Entry'!K5:Q5,"S")</f>
        <v>0</v>
      </c>
      <c r="JO7" s="110">
        <f>COUNTIF(GN7:HM7,"RE")+COUNTIF(GN7:HM7,"REP")</f>
        <v>0</v>
      </c>
      <c r="JP7" s="110">
        <f>COUNTIF(JG7:JM7,"P")</f>
        <v>0</v>
      </c>
      <c r="JQ7" s="110" t="str">
        <f t="shared" ref="JQ7:JQ70" si="75">IF(OR(JN7=0,JN7&lt;JP7),"",IF(OR(GN7="RE",GN7="REP"),SUM(R7,IZ7),IF(GN7="S",IZ7,R7)))</f>
        <v/>
      </c>
      <c r="JR7" s="110" t="str">
        <f t="shared" ref="JR7:JR70" si="76">IF(OR(JN7=0,JN7&lt;JP7),"",IF(OR(GQ7="RE",GQ7="REP"),SUM(AF7,JA7),IF(GQ7="S",JA7,AF7)))</f>
        <v/>
      </c>
      <c r="JS7" s="110" t="str">
        <f t="shared" ref="JS7:JS70" si="77">IF(OR(JN7=0,JN7&lt;JP7),"",IF(OR(GT7="RE",GT7="REP"),SUM(AU7,JB7),IF(GT7="S",JB7,AU7)))</f>
        <v/>
      </c>
      <c r="JT7" s="110" t="str">
        <f t="shared" ref="JT7:JT70" si="78">IF(OR(JN7=0,JN7&lt;JP7),"",IF(OR(HB7="RE",HB7="REP"),SUM(BI7,JC7),IF(HB7="S",JC7,BI7)))</f>
        <v/>
      </c>
      <c r="JU7" s="110" t="str">
        <f t="shared" ref="JU7:JU70" si="79">IF(OR(JN7=0,JN7&lt;JP7),"",IF(OR(HE7="RE",HE7="REP"),SUM(BW7,JD7),IF(HE7="S",JD7,BW7)))</f>
        <v/>
      </c>
      <c r="JV7" s="110" t="str">
        <f t="shared" ref="JV7:JV70" si="80">IF(OR(JN7=0,JN7&lt;JP7),"",IF(OR(HH7="RE",HH7="REP"),SUM(CL7,JE7),IF(HH7="S",JE7,CL7)))</f>
        <v/>
      </c>
      <c r="JW7" s="110" t="str">
        <f t="shared" ref="JW7:JW70" si="81">IF(OR(JN7=0,JN7&lt;JP7),"",IF(OR(HK7="RE",HK7="REP"),SUM(DE7,JF7),IF(HK7="S",JF7,DE7)))</f>
        <v/>
      </c>
      <c r="JX7" s="110" t="str">
        <f>IF(OR(JN7=0,JN7&lt;JP7),"",SUM(JQ7:JW7))</f>
        <v/>
      </c>
      <c r="JY7" s="110" t="str">
        <f>IF(OR(JN7=0,JN7&lt;JP7),"",JX7/JZ7*100)</f>
        <v/>
      </c>
      <c r="JZ7" s="110" t="str">
        <f t="shared" ref="JZ7:JZ70" si="82">IF(OR(JN7=0,JN7&lt;JP7),"",SUM(($R$6+$AF$6+$AU$6+$BI$6+$BW$6+$CL$6))-(JP7*100))</f>
        <v/>
      </c>
      <c r="KA7" s="108" t="str">
        <f>IF(JY7="","",IF(JY7&gt;=60,"I",IF(JY7&gt;=48,"II",IF(JY7&gt;=36,"III",""))))</f>
        <v/>
      </c>
    </row>
    <row r="8" spans="1:287" s="108" customFormat="1" ht="21.95" customHeight="1">
      <c r="A8" s="89">
        <v>2</v>
      </c>
      <c r="B8" s="90">
        <f>IF('Marks Entry'!B8="","",'Marks Entry'!B8)</f>
        <v>902</v>
      </c>
      <c r="C8" s="94" t="str">
        <f>IF('Marks Entry'!D8="","",'Marks Entry'!D8)</f>
        <v>A</v>
      </c>
      <c r="D8" s="91">
        <f>IF('Marks Entry'!E8="","",'Marks Entry'!E8)</f>
        <v>501</v>
      </c>
      <c r="E8" s="92">
        <f>IF('Marks Entry'!F8="","",'Marks Entry'!F8)</f>
        <v>40065</v>
      </c>
      <c r="F8" s="93" t="str">
        <f>IF('Marks Entry'!G8="","",'Marks Entry'!G8)</f>
        <v>RAM</v>
      </c>
      <c r="G8" s="93" t="str">
        <f>IF('Marks Entry'!H8="","",'Marks Entry'!H8)</f>
        <v>SHYAM</v>
      </c>
      <c r="H8" s="93" t="str">
        <f>IF('Marks Entry'!I8="","",'Marks Entry'!I8)</f>
        <v>SITA</v>
      </c>
      <c r="I8" s="94" t="str">
        <f>IF('Marks Entry'!J8="","",'Marks Entry'!J8)</f>
        <v>OBC</v>
      </c>
      <c r="J8" s="95" t="str">
        <f>IF('Marks Entry'!K8="","",'Marks Entry'!K8)</f>
        <v>M</v>
      </c>
      <c r="K8" s="68">
        <f>IF('Marks Entry'!L8="","",'Marks Entry'!L8)</f>
        <v>8</v>
      </c>
      <c r="L8" s="68">
        <f>IF('Marks Entry'!M8="","",'Marks Entry'!M8)</f>
        <v>9</v>
      </c>
      <c r="M8" s="68">
        <f>IF('Marks Entry'!N8="","",'Marks Entry'!N8)</f>
        <v>9</v>
      </c>
      <c r="N8" s="514">
        <f t="shared" ref="N8:N71" si="83">IF(AND(K8="",L8="",M8=""),"",IF(AND(K8="AB",L8="AB",M8="AB"),"AB",IF(AND(K8="ML",L8="ML",M8="ML"),"ML",SUM(K8:M8))))</f>
        <v>26</v>
      </c>
      <c r="O8" s="68">
        <f>IF('Marks Entry'!O8="","",'Marks Entry'!O8)</f>
        <v>46</v>
      </c>
      <c r="P8" s="515">
        <f t="shared" ref="P8:P71" si="84">IF(AND(N8="",O8=""),"",SUM(N8,O8))</f>
        <v>72</v>
      </c>
      <c r="Q8" s="68">
        <f>IF('Marks Entry'!P8="","",'Marks Entry'!P8)</f>
        <v>65</v>
      </c>
      <c r="R8" s="96">
        <f t="shared" ref="R8:R71" si="85">IF(AND(P8="",Q8=""),"",SUM(Q8,P8))</f>
        <v>137</v>
      </c>
      <c r="S8" s="65">
        <f t="shared" ref="S8:S71" si="86">COUNTIF(K8:M8,"NA")*$K$6</f>
        <v>0</v>
      </c>
      <c r="T8" s="65">
        <f t="shared" ref="T8:T71" si="87">(COUNTIF(K8:M8,"ML")*$K$6)+(COUNTIF(O8,"ML")*$O$6)+(COUNTIF(Q8,"ML")*$Q$6)</f>
        <v>0</v>
      </c>
      <c r="U8" s="66">
        <f t="shared" ref="U8:U70" si="88">IF(AND(K8="",L8="",M8="",O8="",Q8=""),"",IF(AND(L8="",K8="",M8=""),170-S8-T8,IF(AND(O8=""),130-S8-T8,IF(Q8="",100-S8-T8,200-S8-T8))))</f>
        <v>200</v>
      </c>
      <c r="V8" s="65" t="str">
        <f t="shared" ref="V8:V70" si="89">IF(OR($B8="NSO",$B8="",Q8=""),"",IF(AND(OR(K8="ab",K8="ml"),OR(L8="ab",L8="ml"),OR(M8="ab",M8="ml")),"AB",IF(AND(OR(K8="NA",K8=""),OR(L8="NA",L8=""),OR(M8="NA",M8="")),"AB",IF(AND(OR(K8="ab",K8="ml"),OR(L8="ab",L8="ml"),OR(O8="ab",O8="ml")),"AB",IF(AND(OR(O8="ab",O8="ml"),OR(Q8="ab",Q8="ml"),OR(O8="ab",Q8="ml")),"AB",IF(AND(OR(Q8="ab",Q8="ml"),OR(K8="ab",K8="ml"),OR(L8="ab",L8="ml")),"AB",""))))))</f>
        <v/>
      </c>
      <c r="W8" s="65" t="str">
        <f t="shared" ref="W8:W71" si="90">IF(OR($B8="NSO",$B8="",Q8=""),"",IF(OR(V8="AB",Q8="ab"),"AB",IF(Q8="ML","RE",IF(Q8&lt;20%*$Q$6,"F",IF(AND(R8&gt;=36%*U8,Q8&gt;=20%*$Q$6),"P",IF(AND(R8&gt;=34%*U8,T8=0,Q8&gt;=20%*$Q$6),"G2",IF(AND(R8&gt;=31%*U8,T8=0,Q8&gt;=20%*$Q$6),"G1",IF(R8&gt;=25%*U8,"S","F"))))))))</f>
        <v>P</v>
      </c>
      <c r="X8" s="65" t="str">
        <f t="shared" ref="X8:X70" si="91">IF(OR(W8="",W8=0,W8="S",W8="RE",W8="F",W8="AB"),W8,IF(R8&gt;=75%*U8,"D",IF(R8&gt;=60%*U8,"I",IF(R8&gt;=48%*U8,"II",IF(R8&gt;=36%*U8,"III",W8)))))</f>
        <v>I</v>
      </c>
      <c r="Y8" s="68">
        <f>IF('Marks Entry'!Q8="","",'Marks Entry'!Q8)</f>
        <v>8</v>
      </c>
      <c r="Z8" s="68">
        <f>IF('Marks Entry'!R8="","",'Marks Entry'!R8)</f>
        <v>9</v>
      </c>
      <c r="AA8" s="68">
        <f>IF('Marks Entry'!S8="","",'Marks Entry'!S8)</f>
        <v>10</v>
      </c>
      <c r="AB8" s="514">
        <f t="shared" si="2"/>
        <v>27</v>
      </c>
      <c r="AC8" s="68">
        <f>IF('Marks Entry'!T8="","",'Marks Entry'!T8)</f>
        <v>66</v>
      </c>
      <c r="AD8" s="515">
        <f t="shared" si="3"/>
        <v>93</v>
      </c>
      <c r="AE8" s="68">
        <f>IF('Marks Entry'!U8="","",'Marks Entry'!U8)</f>
        <v>95</v>
      </c>
      <c r="AF8" s="96">
        <f t="shared" si="4"/>
        <v>188</v>
      </c>
      <c r="AG8" s="65">
        <f t="shared" si="5"/>
        <v>0</v>
      </c>
      <c r="AH8" s="65">
        <f t="shared" si="6"/>
        <v>0</v>
      </c>
      <c r="AI8" s="66">
        <f t="shared" si="7"/>
        <v>200</v>
      </c>
      <c r="AJ8" s="65" t="str">
        <f t="shared" si="8"/>
        <v/>
      </c>
      <c r="AK8" s="65" t="str">
        <f t="shared" si="9"/>
        <v>P</v>
      </c>
      <c r="AL8" s="65" t="str">
        <f t="shared" si="10"/>
        <v>D</v>
      </c>
      <c r="AM8" s="524" t="str">
        <f>IF('Marks Entry'!V8="","",IF('Marks Entry'!V8=1,'School Profile'!$I$9,IF('Marks Entry'!V8=2,'School Profile'!$I$10,IF('Marks Entry'!V8=3,'School Profile'!$I$11,IF('Marks Entry'!V8=4,'School Profile'!$I$12,IF('Marks Entry'!V8=5,'School Profile'!$I$13,IF('Marks Entry'!V8=6,'School Profile'!$I$14,"")))))))</f>
        <v>संस्कृत (71)</v>
      </c>
      <c r="AN8" s="68">
        <f>IF('Marks Entry'!W8="","",'Marks Entry'!W8)</f>
        <v>8</v>
      </c>
      <c r="AO8" s="68">
        <f>IF('Marks Entry'!X8="","",'Marks Entry'!X8)</f>
        <v>9</v>
      </c>
      <c r="AP8" s="68">
        <f>IF('Marks Entry'!Y8="","",'Marks Entry'!Y8)</f>
        <v>9</v>
      </c>
      <c r="AQ8" s="514">
        <f t="shared" si="11"/>
        <v>26</v>
      </c>
      <c r="AR8" s="68">
        <f>IF('Marks Entry'!Z8="","",'Marks Entry'!Z8)</f>
        <v>62</v>
      </c>
      <c r="AS8" s="515">
        <f t="shared" si="12"/>
        <v>88</v>
      </c>
      <c r="AT8" s="68">
        <f>IF('Marks Entry'!AA8="","",'Marks Entry'!AA8)</f>
        <v>92</v>
      </c>
      <c r="AU8" s="96">
        <f t="shared" si="13"/>
        <v>180</v>
      </c>
      <c r="AV8" s="65">
        <f t="shared" si="14"/>
        <v>0</v>
      </c>
      <c r="AW8" s="65">
        <f t="shared" si="15"/>
        <v>0</v>
      </c>
      <c r="AX8" s="66">
        <f t="shared" si="16"/>
        <v>200</v>
      </c>
      <c r="AY8" s="65" t="str">
        <f t="shared" si="17"/>
        <v/>
      </c>
      <c r="AZ8" s="65" t="str">
        <f t="shared" si="18"/>
        <v>P</v>
      </c>
      <c r="BA8" s="65" t="str">
        <f t="shared" si="19"/>
        <v>D</v>
      </c>
      <c r="BB8" s="68">
        <f>IF('Marks Entry'!AB8="","",'Marks Entry'!AB8)</f>
        <v>8</v>
      </c>
      <c r="BC8" s="68">
        <f>IF('Marks Entry'!AC8="","",'Marks Entry'!AC8)</f>
        <v>9</v>
      </c>
      <c r="BD8" s="68">
        <f>IF('Marks Entry'!AD8="","",'Marks Entry'!AD8)</f>
        <v>8</v>
      </c>
      <c r="BE8" s="514">
        <f t="shared" si="20"/>
        <v>25</v>
      </c>
      <c r="BF8" s="68">
        <f>IF('Marks Entry'!AE8="","",'Marks Entry'!AE8)</f>
        <v>46</v>
      </c>
      <c r="BG8" s="515">
        <f t="shared" si="21"/>
        <v>71</v>
      </c>
      <c r="BH8" s="68">
        <f>IF('Marks Entry'!AF8="","",'Marks Entry'!AF8)</f>
        <v>45</v>
      </c>
      <c r="BI8" s="96">
        <f t="shared" si="22"/>
        <v>116</v>
      </c>
      <c r="BJ8" s="65">
        <f t="shared" si="23"/>
        <v>0</v>
      </c>
      <c r="BK8" s="65">
        <f t="shared" ref="BK8:BK71" si="92">(COUNTIF(BB8:BD8,"ML")*10)+(COUNTIF(BF8,"ML")*$BF$6)+(COUNTIF(BH8,"ML")*$BH$6)</f>
        <v>0</v>
      </c>
      <c r="BL8" s="66">
        <f t="shared" si="24"/>
        <v>200</v>
      </c>
      <c r="BM8" s="65" t="str">
        <f t="shared" si="25"/>
        <v/>
      </c>
      <c r="BN8" s="65" t="str">
        <f t="shared" si="26"/>
        <v>P</v>
      </c>
      <c r="BO8" s="65" t="str">
        <f t="shared" si="27"/>
        <v>II</v>
      </c>
      <c r="BP8" s="68">
        <f>IF('Marks Entry'!AG8="","",'Marks Entry'!AG8)</f>
        <v>8</v>
      </c>
      <c r="BQ8" s="68">
        <f>IF('Marks Entry'!AH8="","",'Marks Entry'!AH8)</f>
        <v>9</v>
      </c>
      <c r="BR8" s="68">
        <f>IF('Marks Entry'!AI8="","",'Marks Entry'!AI8)</f>
        <v>9</v>
      </c>
      <c r="BS8" s="514">
        <f t="shared" si="28"/>
        <v>26</v>
      </c>
      <c r="BT8" s="68">
        <f>IF('Marks Entry'!AJ8="","",'Marks Entry'!AJ8)</f>
        <v>46</v>
      </c>
      <c r="BU8" s="515">
        <f t="shared" si="29"/>
        <v>72</v>
      </c>
      <c r="BV8" s="68">
        <f>IF('Marks Entry'!AK8="","",'Marks Entry'!AK8)</f>
        <v>45</v>
      </c>
      <c r="BW8" s="96">
        <f t="shared" si="30"/>
        <v>117</v>
      </c>
      <c r="BX8" s="65">
        <f t="shared" si="31"/>
        <v>0</v>
      </c>
      <c r="BY8" s="65">
        <f t="shared" si="32"/>
        <v>0</v>
      </c>
      <c r="BZ8" s="66">
        <f t="shared" si="33"/>
        <v>200</v>
      </c>
      <c r="CA8" s="65" t="str">
        <f t="shared" si="34"/>
        <v/>
      </c>
      <c r="CB8" s="65" t="str">
        <f t="shared" si="35"/>
        <v>P</v>
      </c>
      <c r="CC8" s="65" t="str">
        <f t="shared" si="36"/>
        <v>II</v>
      </c>
      <c r="CD8" s="66">
        <f t="shared" ref="CD8:CD38" si="93">SUM(S8,T8,AG8,AH8,AV8,AW8,BJ8,BK8,BX8,BY8,CM8,CN8)</f>
        <v>0</v>
      </c>
      <c r="CE8" s="68">
        <f>IF('Marks Entry'!AL8="","",'Marks Entry'!AL8)</f>
        <v>10</v>
      </c>
      <c r="CF8" s="68">
        <f>IF('Marks Entry'!AM8="","",'Marks Entry'!AM8)</f>
        <v>10</v>
      </c>
      <c r="CG8" s="68">
        <f>IF('Marks Entry'!AN8="","",'Marks Entry'!AN8)</f>
        <v>10</v>
      </c>
      <c r="CH8" s="514">
        <f t="shared" si="37"/>
        <v>30</v>
      </c>
      <c r="CI8" s="68">
        <f>IF('Marks Entry'!AO8="","",'Marks Entry'!AO8)</f>
        <v>46</v>
      </c>
      <c r="CJ8" s="515">
        <f t="shared" si="38"/>
        <v>76</v>
      </c>
      <c r="CK8" s="68">
        <f>IF('Marks Entry'!AP8="","",'Marks Entry'!AP8)</f>
        <v>45</v>
      </c>
      <c r="CL8" s="96">
        <f t="shared" si="39"/>
        <v>121</v>
      </c>
      <c r="CM8" s="65">
        <f t="shared" si="40"/>
        <v>0</v>
      </c>
      <c r="CN8" s="65">
        <f t="shared" si="41"/>
        <v>0</v>
      </c>
      <c r="CO8" s="66">
        <f t="shared" si="42"/>
        <v>200</v>
      </c>
      <c r="CP8" s="65" t="str">
        <f t="shared" si="43"/>
        <v/>
      </c>
      <c r="CQ8" s="65" t="str">
        <f t="shared" si="44"/>
        <v>P</v>
      </c>
      <c r="CR8" s="65" t="str">
        <f t="shared" si="45"/>
        <v>I</v>
      </c>
      <c r="CS8" s="616" t="str">
        <f>IF('School Profile'!$D$20="NO","",IF('Marks Entry'!AQ8="","",IF('Marks Entry'!AQ8=1,'School Profile'!$I$29,IF('Marks Entry'!AQ8=2,'School Profile'!$I$30,IF('Marks Entry'!AQ8=3,'School Profile'!$I$31,IF('Marks Entry'!AQ8=4,'School Profile'!$I$32,IF('Marks Entry'!AQ8=5,'School Profile'!$I$33,IF('Marks Entry'!AQ8=6,'School Profile'!$I$34,IF('Marks Entry'!AQ8=7,'School Profile'!$I$35,IF('Marks Entry'!AQ8=8,'School Profile'!$I$36,IF('Marks Entry'!AQ8=9,'School Profile'!$I$37,IF('Marks Entry'!AQ8=10,'School Profile'!$I$38,IF('Marks Entry'!AQ8=11,'School Profile'!$I$39,"")))))))))))))</f>
        <v>AUTOMOBILE</v>
      </c>
      <c r="CT8" s="68">
        <f>IF('School Profile'!$D$20="NO","",IF('Marks Entry'!AR8="","",'Marks Entry'!AR8))</f>
        <v>4</v>
      </c>
      <c r="CU8" s="68">
        <f>IF('School Profile'!$D$20="NO","",IF('Marks Entry'!AS8="","",'Marks Entry'!AS8))</f>
        <v>4</v>
      </c>
      <c r="CV8" s="68">
        <f>IF('School Profile'!$D$20="NO","",IF('Marks Entry'!AT8="","",'Marks Entry'!AT8))</f>
        <v>4</v>
      </c>
      <c r="CW8" s="514">
        <f>IF('School Profile'!$D$20="NO","",IF(AND(CT8="",CU8="",CV8=""),"",SUM(CT8:CV8)))</f>
        <v>12</v>
      </c>
      <c r="CX8" s="68">
        <f>IF('School Profile'!$D$20="NO","",IF('Marks Entry'!AU8="","",'Marks Entry'!AU8))</f>
        <v>15</v>
      </c>
      <c r="CY8" s="68">
        <f>IF('School Profile'!$D$20="NO","",IF('Marks Entry'!AV8="","",'Marks Entry'!AV8))</f>
        <v>15</v>
      </c>
      <c r="CZ8" s="515">
        <f>IF('School Profile'!$D$20="NO","",IF(AND(CX8="",CY8=""),"",SUM(CX8,CY8)))</f>
        <v>30</v>
      </c>
      <c r="DA8" s="69">
        <f>IF('School Profile'!$D$20="NO","",IF(AND(CW8="",CZ8=""),"",SUM(CW8+CZ8)))</f>
        <v>42</v>
      </c>
      <c r="DB8" s="68">
        <f>IF('School Profile'!$D$20="NO","",IF('Marks Entry'!AW8="","",'Marks Entry'!AW8))</f>
        <v>30</v>
      </c>
      <c r="DC8" s="68">
        <f>IF('School Profile'!$D$20="NO","",IF('Marks Entry'!AX8="","",'Marks Entry'!AX8))</f>
        <v>30</v>
      </c>
      <c r="DD8" s="515">
        <f>IF('School Profile'!$D$20="NO","",IF(AND(DB8="",DC8=""),"",SUM(DB8,DC8)))</f>
        <v>60</v>
      </c>
      <c r="DE8" s="96">
        <f>IF('School Profile'!$D$20="NO","",IF(AND(DA8="",DD8=""),"",SUM(DA8,DD8)))</f>
        <v>102</v>
      </c>
      <c r="DF8" s="532">
        <f t="shared" si="46"/>
        <v>0</v>
      </c>
      <c r="DG8" s="65">
        <f t="shared" si="47"/>
        <v>0</v>
      </c>
      <c r="DH8" s="66">
        <f t="shared" si="48"/>
        <v>200</v>
      </c>
      <c r="DI8" s="65" t="str">
        <f t="shared" si="49"/>
        <v/>
      </c>
      <c r="DJ8" s="65" t="str">
        <f>IF(OR($B8="NSO",$B8="",DD8=""),"",IF(OR(DI8="AB",DD8="ab"),"AB",IF(DD8="ML","RE",IF(DD8&lt;20%*$DD$6,"F",IF(AND(DE8&gt;=36%*DH8,DD8&gt;=20),"P",IF(AND(DE8&gt;=34%*DH8,DG8=0,DD8&gt;=20),"G2",IF(AND(DE8&gt;=31%*DH8,DG8=0,DD8&gt;=20),"G1",IF(DE8&gt;=25%*DH8,"S","F"))))))))</f>
        <v>P</v>
      </c>
      <c r="DK8" s="65" t="str">
        <f t="shared" si="51"/>
        <v>II</v>
      </c>
      <c r="DL8" s="97" t="str">
        <f t="shared" ref="DL8:DL71" si="94">X8</f>
        <v>I</v>
      </c>
      <c r="DM8" s="97" t="str">
        <f t="shared" ref="DM8:DM71" si="95">AL8</f>
        <v>D</v>
      </c>
      <c r="DN8" s="97" t="str">
        <f t="shared" ref="DN8:DN71" si="96">BA8</f>
        <v>D</v>
      </c>
      <c r="DO8" s="97" t="str">
        <f t="shared" ref="DO8:DO71" si="97">BO8</f>
        <v>II</v>
      </c>
      <c r="DP8" s="97" t="str">
        <f t="shared" ref="DP8:DP71" si="98">CC8</f>
        <v>II</v>
      </c>
      <c r="DQ8" s="97" t="str">
        <f t="shared" ref="DQ8:DQ71" si="99">CR8</f>
        <v>I</v>
      </c>
      <c r="DR8" s="97" t="str">
        <f t="shared" ref="DR8:DR71" si="100">DK8</f>
        <v>II</v>
      </c>
      <c r="DS8" s="98">
        <f t="shared" ref="DS8:DS71" si="101">COUNTIF(DL8:DR8,"F")+COUNTIF(DL8:DR8,"AB")</f>
        <v>0</v>
      </c>
      <c r="DT8" s="98">
        <f t="shared" ref="DT8:DT71" si="102">COUNTIF(DL8:DR8,"S")</f>
        <v>0</v>
      </c>
      <c r="DU8" s="98">
        <f t="shared" ref="DU8:DU71" si="103">COUNTIF(DL8:DR8,"G1")</f>
        <v>0</v>
      </c>
      <c r="DV8" s="98">
        <f t="shared" ref="DV8:DV71" si="104">COUNTIF(DL8:DR8,"G2")</f>
        <v>0</v>
      </c>
      <c r="DW8" s="98">
        <f t="shared" ref="DW8:DW71" si="105">COUNTIF(DL8:DR8,"RE")+COUNTIF(DL8:DR8,"REP")</f>
        <v>0</v>
      </c>
      <c r="DX8" s="98" t="str">
        <f t="shared" ref="DX8:DX71" si="106">IF(OR(DK8="AB",DK8="F"),"F",IF(OR(DK8="RE"),"RE",""))</f>
        <v/>
      </c>
      <c r="DY8" s="99" t="str">
        <f t="shared" ref="DY8:DY71" si="107">IF(B8="NSO","NSO",IF(OR(B8="",B8=0,Q8="",AE8="",AT8="",BH8="",BV8="",CK8=""),"",IF(OR(DS8&gt;0,(DT8+DU8+DV8)&gt;2),"FAIL",IF(DW8&gt;0,"RE-EXAM",IF(OR(DT8&gt;0,DU8&gt;1),"SUPPLEMENTARY",IF(AND(DU8&gt;0,DV8&gt;0),"SUPPLEMENTARY",IF((DU8+DV8)&gt;0,"BY GRACE PASS","PASS")))))))</f>
        <v>PASS</v>
      </c>
      <c r="DZ8" s="74">
        <f>IF('Marks Entry'!AY8="","",'Marks Entry'!AY8)</f>
        <v>9</v>
      </c>
      <c r="EA8" s="74">
        <f>IF('Marks Entry'!AZ8="","",'Marks Entry'!AZ8)</f>
        <v>9</v>
      </c>
      <c r="EB8" s="74">
        <f>IF('Marks Entry'!BA8="","",'Marks Entry'!BA8)</f>
        <v>9</v>
      </c>
      <c r="EC8" s="527">
        <f t="shared" si="52"/>
        <v>27</v>
      </c>
      <c r="ED8" s="74">
        <f>IF('Marks Entry'!BB8="","",'Marks Entry'!BB8)</f>
        <v>65</v>
      </c>
      <c r="EE8" s="528">
        <f t="shared" si="53"/>
        <v>92</v>
      </c>
      <c r="EF8" s="74">
        <f>IF('Marks Entry'!BC8="","",'Marks Entry'!BC8)</f>
        <v>85</v>
      </c>
      <c r="EG8" s="530">
        <f t="shared" si="54"/>
        <v>177</v>
      </c>
      <c r="EH8" s="368" t="str">
        <f t="shared" ref="EH8:EH71" si="108">IF(OR($B8="NSO",$B8=0,EG8=""),"",IF(OR(EG8="AB",EE8="AB",EF8="AB"),"AB",IF(AND(DY8="FAIL",(OR(EG8&lt;36%*EK8))),"D",IF(OR(EF8="ML",EF8&lt;20%*EF$6,EG8&lt;36%*EK8),"D",IF(EG8&gt;80%*EK8,"A",IF(EG8&gt;60%*EK8,"B",IF(EG8&gt;40%*EK8,"C","D")))))))</f>
        <v>A</v>
      </c>
      <c r="EI8" s="65">
        <f t="shared" ref="EI8:EI71" si="109">COUNTIF(DZ8:EB8,"NA")*10</f>
        <v>0</v>
      </c>
      <c r="EJ8" s="65">
        <f t="shared" ref="EJ8:EJ71" si="110">(COUNTIF(DZ8:EB8,"ML")*10)+(COUNTIF(ED8,"ML")*70)+(COUNTIF(EF8,"ML")*100)</f>
        <v>0</v>
      </c>
      <c r="EK8" s="66">
        <f t="shared" ref="EK8:EK71" si="111">IF(OR($B8="NSO",$B8=0),"",IF(AND(DZ8="",EA8="",EC8="",EE8=""),"",IF(AND(EA8="",EC8="",ED8="",EE8="",EF8=""),($DZ$6)-EI8-EJ8,IF(AND(DZ8="",EC8="",ED8="",EE8="",EF8=""),($EA$6)-EI8-EJ8,IF(AND(EC8="",ED8="",EE8="",EF8=""),($DZ$6+$EA$6)-EI8-EJ8,IF(AND(EE8="",EF8=""),($EC$6+$ED$6)-EI8-EJ8,($EG$6)-EI8-EJ8))))))</f>
        <v>200</v>
      </c>
      <c r="EL8" s="74">
        <f>IF('Marks Entry'!BD8="","",'Marks Entry'!BD8)</f>
        <v>9</v>
      </c>
      <c r="EM8" s="74">
        <f>IF('Marks Entry'!BE8="","",'Marks Entry'!BE8)</f>
        <v>9</v>
      </c>
      <c r="EN8" s="74">
        <f>IF('Marks Entry'!BF8="","",'Marks Entry'!BF8)</f>
        <v>9</v>
      </c>
      <c r="EO8" s="527">
        <f t="shared" si="55"/>
        <v>27</v>
      </c>
      <c r="EP8" s="74">
        <f>IF('Marks Entry'!BG8="","",'Marks Entry'!BG8)</f>
        <v>46</v>
      </c>
      <c r="EQ8" s="74">
        <f>IF('Marks Entry'!BH8="","",'Marks Entry'!BH8)</f>
        <v>13</v>
      </c>
      <c r="ER8" s="528">
        <f t="shared" si="56"/>
        <v>59</v>
      </c>
      <c r="ES8" s="529">
        <f t="shared" si="57"/>
        <v>86</v>
      </c>
      <c r="ET8" s="74">
        <f>IF('Marks Entry'!BI8="","",'Marks Entry'!BI8)</f>
        <v>65</v>
      </c>
      <c r="EU8" s="74">
        <f>IF('Marks Entry'!BJ8="","",'Marks Entry'!BJ8)</f>
        <v>26</v>
      </c>
      <c r="EV8" s="528">
        <f t="shared" si="58"/>
        <v>91</v>
      </c>
      <c r="EW8" s="530">
        <f t="shared" si="59"/>
        <v>177</v>
      </c>
      <c r="EX8" s="368" t="str">
        <f t="shared" ref="EX8:EX71" si="112">IF(OR($B8="NSO",$B8=0,EW8=""),"",IF(OR(ET8="AB",EU8="AB",EV8="AB"),"AB",IF(AND($DY8="FAIL",(OR(EW8&lt;36%*FA8))),"D",IF(OR(EV8="ML",EV8&lt;20%*EV$6,EW8&lt;36%*FA8),"D",IF(EW8&gt;80%*FA8,"A",IF(EW8&gt;60%*FA8,"B",IF(EW8&gt;40%*FA8,"C","D")))))))</f>
        <v>A</v>
      </c>
      <c r="EY8" s="65">
        <f t="shared" ref="EY8:EY71" si="113">COUNTIF(EL8:EN8,"NA")*10</f>
        <v>0</v>
      </c>
      <c r="EZ8" s="65">
        <f t="shared" ref="EZ8:EZ71" si="114">(COUNTIF(EL8:EN8,"ML")*10)+(COUNTIF(ER8,"ML")*70)+(COUNTIF(EV8,"ML")*100)</f>
        <v>0</v>
      </c>
      <c r="FA8" s="66">
        <f t="shared" ref="FA8:FA71" si="115">IF(OR($B8="NSO",$B8=0),"",IF(AND(EL8="",EM8="",EP8="",ET8=""),"",IF(AND(EM8="",EP8="",EQ8="",ET8="",EU8=""),($EL$6)-EY8-EZ8,IF(AND(EL8="",EP8="",EQ8="",ET8="",EU8=""),($EM$6)-EY8-EZ8,IF(AND(EP8="",EQ8="",ET8="",EU8=""),($EL$6+$EM$6)-EY8-EZ8,IF(AND(ET8="",EU8=""),($EP$6+$EQ$6)-EY8-EZ8,($EW$6)-EY8-EZ8))))))</f>
        <v>200</v>
      </c>
      <c r="FB8" s="74">
        <f>IF('Marks Entry'!BK8="","",'Marks Entry'!BK8)</f>
        <v>9</v>
      </c>
      <c r="FC8" s="74">
        <f>IF('Marks Entry'!BL8="","",'Marks Entry'!BL8)</f>
        <v>7</v>
      </c>
      <c r="FD8" s="74">
        <f>IF('Marks Entry'!BM8="","",'Marks Entry'!BM8)</f>
        <v>9</v>
      </c>
      <c r="FE8" s="74">
        <f>IF('Marks Entry'!BN8="","",'Marks Entry'!BN8)</f>
        <v>6</v>
      </c>
      <c r="FF8" s="74">
        <f>IF('Marks Entry'!BO8="","",'Marks Entry'!BO8)</f>
        <v>9</v>
      </c>
      <c r="FG8" s="74">
        <f>IF('Marks Entry'!BP8="","",'Marks Entry'!BP8)</f>
        <v>14</v>
      </c>
      <c r="FH8" s="527">
        <f t="shared" si="60"/>
        <v>54</v>
      </c>
      <c r="FI8" s="74">
        <f>IF('Marks Entry'!BQ8="","",'Marks Entry'!BQ8)</f>
        <v>21</v>
      </c>
      <c r="FJ8" s="74">
        <f>IF('Marks Entry'!BR8="","",'Marks Entry'!BR8)</f>
        <v>10</v>
      </c>
      <c r="FK8" s="528">
        <f t="shared" si="61"/>
        <v>31</v>
      </c>
      <c r="FL8" s="529">
        <f t="shared" si="62"/>
        <v>85</v>
      </c>
      <c r="FM8" s="74">
        <f>IF('Marks Entry'!BS8="","",'Marks Entry'!BS8)</f>
        <v>11</v>
      </c>
      <c r="FN8" s="74">
        <f>IF('Marks Entry'!BT8="","",'Marks Entry'!BT8)</f>
        <v>52</v>
      </c>
      <c r="FO8" s="528">
        <f t="shared" si="63"/>
        <v>63</v>
      </c>
      <c r="FP8" s="530">
        <f t="shared" si="64"/>
        <v>148</v>
      </c>
      <c r="FQ8" s="368" t="str">
        <f t="shared" ref="FQ8:FQ71" si="116">IF(OR($B8="NSO",$B8=0,FP8=""),"",IF(OR(FM8="AB",FN8="AB",FO8="AB"),"AB",IF(AND($DY8="FAIL",(OR(FP8&lt;36%*FT8))),"D",IF(OR(FO8="ML",FO8&lt;20%*FO$6,FP8&lt;36%*FT8),"D",IF(FP8&gt;80%*FT8,"A",IF(FP8&gt;60%*FT8,"B",IF(FP8&gt;40%*FT8,"C","D")))))))</f>
        <v>B</v>
      </c>
      <c r="FR8" s="65">
        <f t="shared" ref="FR8:FR71" si="117">COUNTIF(FB8,"NA")*10+COUNTIF(FD8,"NA")*10+COUNTIF(FF8,"NA")*10</f>
        <v>0</v>
      </c>
      <c r="FS8" s="65">
        <f t="shared" ref="FS8:FS71" si="118">(COUNTIF(FB8,"ML")*10)+(COUNTIF(FD8,"ML")*10)+(COUNTIF(FF8,"ML")*10)+(COUNTIF(FI8,"ML")*25)+(COUNTIF(FJ8,"ML")*15)+(COUNTIF(FM8,"ML")*30)+(COUNTIF(FN8,"ML")*70)</f>
        <v>0</v>
      </c>
      <c r="FT8" s="66">
        <f t="shared" ref="FT8:FT71" si="119">IF(OR($B8="NSO",$B8=0),"",IF(AND(FB8="",FD8="",FF8="",FI8="",FM8=""),"",IF(AND(FC8="",FI8="",FJ8="",FE8="",FN8=""),($FB$6)-FR8-FS8,IF(AND(FB8="",FI8="",FJ8="",FM8="",FN8=""),($FC$6)-FR8-FS8,IF(AND(FI8="",FJ8="",FM8="",FN8=""),($FB$6+$FC$6)-FR8-FS8,IF(AND(FM8="",FN8=""),($FI$6+$FJ$6)-FR8-FS8,($FP$6)-FR8-FS8))))))</f>
        <v>200</v>
      </c>
      <c r="FU8" s="74">
        <f>IF('Marks Entry'!BU8="","",'Marks Entry'!BU8)</f>
        <v>24</v>
      </c>
      <c r="FV8" s="74">
        <f>IF('Marks Entry'!BV8="","",'Marks Entry'!BV8)</f>
        <v>42</v>
      </c>
      <c r="FW8" s="74">
        <f>IF('Marks Entry'!BW8="","",'Marks Entry'!BW8)</f>
        <v>28</v>
      </c>
      <c r="FX8" s="75">
        <f t="shared" si="65"/>
        <v>94</v>
      </c>
      <c r="FY8" s="368" t="str">
        <f t="shared" ref="FY8:FY71" si="120">IFERROR(IF(OR($B8="NSO",$B8=0,FX8=""),"",IF(OR(FU8="AB",FV8="AB",FW8="AB"),"AB",IF(AND($DY8="FAIL",(OR(FX8&lt;36%*GB8))),"D",IF(OR(FW8="ML",FX8&lt;20%*FX$6,FX8&lt;36%*GB8),"D",IF(FX8&gt;80%*GB8,"A",IF(FX8&gt;60%*GB8,"B",IF(FX8&gt;40%*GB8,"C","D"))))))),"")</f>
        <v>A</v>
      </c>
      <c r="FZ8" s="65">
        <f t="shared" ref="FZ8:FZ71" si="121">COUNTIF(FU8,"NA")*25</f>
        <v>0</v>
      </c>
      <c r="GA8" s="66">
        <f t="shared" ref="GA8:GA71" si="122">IF(AND(FW8="",FU8="",FW8=""),(COUNTIF(FU8,"ML")*25+(COUNTIF(FW8,"ML"))*FW$6+(COUNTIF(FV8,"ML"))*FV$6),(COUNTIF(FU8,"ML")*25+(COUNTIF(FW8,"ML"))*FW$6+(COUNTIF(FX8,"ML"))*FX$6))</f>
        <v>0</v>
      </c>
      <c r="GB8" s="66">
        <f t="shared" ref="GB8:GB71" si="123">IF(OR($B8="NSO",$B8=0),"",IF(AND(FU8="",FV8="",FW8=""),"",IF(AND(FU8="",FV8="",FW8=""),($FX$6)-FZ8-GA8,IF(AND(FW8=""),($FW$6)-FZ8-GA8,IF(AND(FV8=""),($FV$6)-FZ8-GA8,IF(AND(FU8=""),($FU$6)-FZ8-GA8,($FX$6)-FZ8-GA8))))))</f>
        <v>100</v>
      </c>
      <c r="GC8" s="74">
        <f>IF('Marks Entry'!BX8="","",'Marks Entry'!BX8)</f>
        <v>20</v>
      </c>
      <c r="GD8" s="74">
        <f>IF('Marks Entry'!BY8="","",'Marks Entry'!BY8)</f>
        <v>45</v>
      </c>
      <c r="GE8" s="74">
        <f>IF('Marks Entry'!BZ8="","",'Marks Entry'!BZ8)</f>
        <v>10</v>
      </c>
      <c r="GF8" s="75">
        <f t="shared" ref="GF8:GF71" si="124">IF(AND(GC8="",GD8="",GE8=""),"",SUM(GC8,GD8,GE8))</f>
        <v>75</v>
      </c>
      <c r="GG8" s="368" t="str">
        <f t="shared" ref="GG8:GG71" si="125">IFERROR(IF(OR($B8="NSO",$B8=0,GF8=""),"",IF(OR(GC8="AB",GD8="AB",GE8="AB"),"AB",IF(AND($DY8="FAIL",(OR(GF8&lt;36%*GJ8))),"D",IF(OR(GE8="ML",GF8&lt;20%*GF$6,GF8&lt;36%*GJ8),"D",IF(GF8&gt;80%*GJ8,"A",IF(GF8&gt;60%*GJ8,"B",IF(GF8&gt;40%*GJ8,"C","D"))))))),"")</f>
        <v>B</v>
      </c>
      <c r="GH8" s="65">
        <f t="shared" ref="GH8:GH71" si="126">COUNTIF(GC8,"NA")*25</f>
        <v>0</v>
      </c>
      <c r="GI8" s="66">
        <f t="shared" ref="GI8:GI71" si="127">IF(AND(GE8="",GC8="",GE8=""),(COUNTIF(GC8,"ML")*25+(COUNTIF(GE8,"ML"))*GE$6+(COUNTIF(GD8,"ML"))*GD$6),(COUNTIF(GC8,"ML")*25+(COUNTIF(GE8,"ML"))*GE$6+(COUNTIF(GF8,"ML"))*GF$6))</f>
        <v>0</v>
      </c>
      <c r="GJ8" s="66">
        <f t="shared" ref="GJ8:GJ71" si="128">IF(OR($B8="NSO",$B8=0),"",IF(AND(GC8="",GD8="",GE8=""),"",IF(AND(GC8="",GD8="",GE8=""),($GF$6)-GH8-GI8,IF(AND(GE8=""),($GE$6)-GH8-GI8,IF(AND(GD8=""),($GD$6)-GH8-GI8,IF(AND(GC8=""),($GC$6)-GH8-GI8,($GF$6)-GH8-GI8))))))</f>
        <v>100</v>
      </c>
      <c r="GK8" s="100">
        <f>IF(AND(F8="",B8=""),"",IF('Student DATA Entry'!M5="","",'Student DATA Entry'!M5))</f>
        <v>210</v>
      </c>
      <c r="GL8" s="101">
        <f>IF(AND(B8="",F8=""),"",IF('Student DATA Entry'!N5="","",'Student DATA Entry'!N5))</f>
        <v>202</v>
      </c>
      <c r="GM8" s="581">
        <f t="shared" ref="GM8:GM71" si="129">IF(OR(GK8=0,GL8=0,GK8="",GL8=""),"",GL8/GK8*100)</f>
        <v>96.19047619047619</v>
      </c>
      <c r="GN8" s="94" t="str">
        <f t="shared" ref="GN8:GN71" si="130">IF(AND(DY8="FAIL",(OR(DL8="G1",DL8="G2",DL8="S",DL8="RE"))),"F",IF(AND(DY8="RE-EXAM",(OR(DL8="G1",DL8="G2",DL8="S"))),"S",IF(AND(DY8="SUPPLEMENTARY",(OR(DL8="G1",DL8="G2"))),"S",IF(AND(DY8="BY GRACE PASS",(OR(DL8="G1",DL8="G2"))),"G",DL8))))</f>
        <v>I</v>
      </c>
      <c r="GO8" s="94" t="str">
        <f t="shared" ref="GO8:GO71" si="131">IF(GN8="G",",+","")</f>
        <v/>
      </c>
      <c r="GP8" s="102" t="str">
        <f t="shared" si="67"/>
        <v/>
      </c>
      <c r="GQ8" s="94" t="str">
        <f t="shared" ref="GQ8:GQ71" si="132">IF(AND(DY8="vuqRrh.kZ",(OR(DM8="G1",DM8="G2",DM8="S",DM8="RE"))),"F",IF(AND(DY8="iqu% ijh{kk",(OR(DM8="G1",DM8="G2",DM8="S"))),"S",IF(AND(DY8="iwjd",(OR(DM8="G1",DM8="G2"))),"S",IF(AND(DY8="lk- mRrh.kZ",(OR(DM8="G1",DM8="G2"))),"G",DM8))))</f>
        <v>D</v>
      </c>
      <c r="GR8" s="103" t="str">
        <f t="shared" ref="GR8:GR71" si="133">IF(GQ8="G",",+","")</f>
        <v/>
      </c>
      <c r="GS8" s="102" t="str">
        <f t="shared" si="68"/>
        <v/>
      </c>
      <c r="GT8" s="104" t="str">
        <f t="shared" ref="GT8:GT71" si="134">IF(AND(DY8="FAIL",(OR(DN8="G1",DN8="G2",DN8="S",DN8="RE"))),"F",IF(AND(DY8="RE-EXAM",(OR(DN8="G1",DN8="G2",DN8="S"))),"S",IF(AND(DY8="SUPPLEMENTARY",(OR(DN8="G1",DN8="G2"))),"S",IF(AND(DY8="BY GRACE PASS",(OR(DN8="G1",DN8="G2"))),"G",DN8))))</f>
        <v>D</v>
      </c>
      <c r="GU8" s="94" t="str">
        <f>IF('Marks Entry'!V8=1,GT8,"")</f>
        <v>D</v>
      </c>
      <c r="GV8" s="94" t="str">
        <f>IF('Marks Entry'!V8=2,GT8,"")</f>
        <v/>
      </c>
      <c r="GW8" s="94" t="str">
        <f>IF('Marks Entry'!V8=3,GT8,"")</f>
        <v/>
      </c>
      <c r="GX8" s="94" t="str">
        <f>IF('Marks Entry'!V8=4,GT8,"")</f>
        <v/>
      </c>
      <c r="GY8" s="94" t="str">
        <f>IF('Marks Entry'!V8=5,GT8,"")</f>
        <v/>
      </c>
      <c r="GZ8" s="94" t="str">
        <f t="shared" ref="GZ8:GZ71" si="135">IF(GT8="G",",+","")</f>
        <v/>
      </c>
      <c r="HA8" s="105" t="str">
        <f t="shared" si="69"/>
        <v/>
      </c>
      <c r="HB8" s="94" t="str">
        <f t="shared" ref="HB8:HB71" si="136">IF(AND(DY8="FAIL",(OR(DO8="G1",DO8="G2",DO8="S",DO8="RE",))),"F",IF(AND(DY8="RE-EXAM",(OR(DO8="G1",DO8="G2",DO8="S"))),"S",IF(AND(DY8="SUPPLEMENTARY",(OR(DO8="G1",DO8="G2"))),"S",IF(AND(DY8="BY GRACE PASS",(OR(DO8="G1",DO8="G2"))),"G",DO8))))</f>
        <v>II</v>
      </c>
      <c r="HC8" s="94" t="str">
        <f t="shared" ref="HC8:HC71" si="137">IF(HB8="G",",+","")</f>
        <v/>
      </c>
      <c r="HD8" s="105" t="str">
        <f t="shared" si="70"/>
        <v/>
      </c>
      <c r="HE8" s="94" t="str">
        <f t="shared" ref="HE8:HE71" si="138">IF(AND(DY8="FAIL",(OR(DP8="G1",DP8="G2",DP8="S",DP8="RE"))),"F",IF(AND(DY8="RE-EXAM",(OR(DP8="G1",DP8="G2",DP8="S"))),"S",IF(AND(DY8="SUPPLEMENTARY",(OR(DP8="G1",DP8="G2"))),"S",IF(AND(DY8="BY GRACE PASS",(OR(DP8="G1",DP8="G2"))),"G",DP8))))</f>
        <v>II</v>
      </c>
      <c r="HF8" s="94" t="str">
        <f t="shared" ref="HF8:HF71" si="139">IF(HE8="G",",+","")</f>
        <v/>
      </c>
      <c r="HG8" s="105" t="str">
        <f t="shared" si="71"/>
        <v/>
      </c>
      <c r="HH8" s="94" t="str">
        <f t="shared" ref="HH8:HH71" si="140">IF(AND(DY8="FAIL",(OR(DQ8="G1",DQ8="G2",DQ8="S",DQ8="RE"))),"F",IF(AND(DY8="RE-EXAM",(OR(DQ8="G1",DQ8="G2",DQ8="S"))),"S",IF(AND(DY8="SUPPLEMENTARY",(OR(DQ8="G1",DQ8="G2"))),"S",IF(AND(DY8="BY GRACE PASS",(OR(DQ8="G1",DQ8="G2"))),"G",DQ8))))</f>
        <v>I</v>
      </c>
      <c r="HI8" s="94" t="str">
        <f t="shared" ref="HI8:HI71" si="141">IF(HH8="G",",+","")</f>
        <v/>
      </c>
      <c r="HJ8" s="105" t="str">
        <f t="shared" si="72"/>
        <v/>
      </c>
      <c r="HK8" s="94" t="str">
        <f t="shared" ref="HK8:HK71" si="142">IF(AND(DY8="FAIL",(OR(DR8="G1",DR8="G2",DR8="S",DR8="RE"))),"F",IF(AND(DY8="RE-EXAM",(OR(DR8="G1",DR8="G2",DR8="S"))),"S",IF(AND(DY8="SUPPLEMENTARY",(OR(DR8="G1",DR8="G2"))),"S",IF(AND(DY8="BY GRACE PASS",(OR(DR8="G1",DR8="G2"))),"G",DR8))))</f>
        <v>II</v>
      </c>
      <c r="HL8" s="94" t="str">
        <f t="shared" ref="HL8:HL71" si="143">IF(HK8="G",",+","")</f>
        <v/>
      </c>
      <c r="HM8" s="105" t="str">
        <f t="shared" si="73"/>
        <v/>
      </c>
      <c r="HN8" s="367" t="str">
        <f t="shared" ref="HN8:HN71" si="144">CONCATENATE(IF(GN8="F",$GN$5,IF(GN8="AB",$GN$5,""))," ",IF(GQ8="F",$GQ$5,IF(GQ8="AB",$GQ$5,""))," ",IF(GU8="F",$GU$5,IF(GV8="F",$GV$5,IF(GW8="F",$GW$5,IF(GX8="F",$GX$5,IF(GY8="F",$GY$5,IF(GU8="AB",$GU$5,IF(GV8="AB",$GV$5,IF(GW8="AB",$GW$5,IF(GX8="AB",$GX$5,IF(GY8="AB",$GY$5,""))))))))))," ",IF(HB8="F",$HB$5,IF(HB8="AB",$HB$5,""))," ",IF(HE8="F",$HE$5,IF(HE8="AB",$HE$5,""))," ",,IF(HH8="F",$HH$5,IF(HH8="AB",$HH$5,""))," ",IF(HK8="F",$HK$5,IF(HK8="AB",$HK$5,"")))</f>
        <v xml:space="preserve">      </v>
      </c>
      <c r="HO8" s="418" t="str">
        <f t="shared" ref="HO8:HO38" si="145">IF(COUNTIF(DL8:DR8,"F")&gt;0,"",CONCATENATE(IF(GN8="S",$GN$5,"")," ",IF(GQ8="S",$GQ$5,"")," ",IF(GU8="S",$GU$5,IF(GV8="S",$GV$5,IF(GW8="S",$GW$5,IF(GX8="S",$GX$5,IF(GY8="S",$GY$5,"")))))," ",IF(HB8="S",$HB$5,"")," ",IF(HE8="S",$HE$5,"")," ",IF(HH8="S",$HH$5,"")," ",IF(HK8="S",$HK$5,"")))</f>
        <v xml:space="preserve">      </v>
      </c>
      <c r="HP8" s="367" t="str">
        <f t="shared" ref="HP8:HP71" si="146">CONCATENATE(IF(GN8="G",$GN$5,"")," ",IF(GQ8="G",$GQ$5,"")," ",IF(GU8="G",$GU$5,IF(GV8="G",$GV$5,IF(GW8="G",$GW$5,IF(GX8="G",$GX$5,IF(GY8="G",$GY$5,"")))))," ",IF(HB8="G",$HB$5,"")," ",IF(HE8="G",$HE$5,"")," ",IF(HH8="G",$HH$5,"")," ",IF(HK8="G",$HK$5,""))</f>
        <v xml:space="preserve">      </v>
      </c>
      <c r="HQ8" s="107" t="str">
        <f t="shared" ref="HQ8:HQ71" si="147">CONCATENATE(IF(GN8="RE",$GN$5,"")," ",IF(GQ8="RE",$GQ$5,"")," ",IF(OR(GU8="RE",GU8="REP"),$GU$5,IF(OR(GV8="RE",GV8="REP"),$GV$5,IF(OR(GW8="RE",GW8="REP"),$GW$5,IF(OR(GX8="RE",GX8="REP"),$GX$5,IF(OR(GY8="RE",GY8="REP"),$GY$5,"")))))," ",IF(OR(HB8="RE",HB8="REP"),$HB$5,"")," ",IF(OR(HE8="RE",HE8="REP"),$HE$5,"")," ",IF(OR(HH8="RE",HH8="REP"),$HH$5,"")," ",IF(OR(HK8="RE",HK8="REP"),$HK$5,""))</f>
        <v xml:space="preserve">      </v>
      </c>
      <c r="HR8" s="366" t="str">
        <f t="shared" ref="HR8:HR71" si="148">CONCATENATE(IF(GN8="D",$GN$5,"")," ",IF($GQ8="D",$GQ$5,"")," ",IF(GU8="D",$GU$5,IF(GV8="D",$GV$5,IF(GW8="D",$GW$5,IF(GX8="D",$GX$5,IF(GY8="D",$GY$5,"")))))," ",IF(HB8="D",$HB$5,"")," ",IF(HE8="D",$HE$5,"")," ",IF(HH8="D",$HH$5,"")," ",IF(HK8="D",$HK$5,""))</f>
        <v xml:space="preserve"> अंग्रेजी संस्कृत (71)    </v>
      </c>
      <c r="HS8" s="544" t="str">
        <f t="shared" si="74"/>
        <v>PASS</v>
      </c>
      <c r="HT8" s="542">
        <f t="shared" ref="HT8:HT71" si="149">IF(AND(R8="",AF8="",AU8="",BI8="",BW8=""),"",IF(OR(CS8="",DE8=""),SUM(R8,AF8,AU8,BI8,BW8,CL8),IF((CL8/CO8*100)&gt;=(DE8/DH8*100),SUM(R8,AF8,AU8,BI8,BW8,CL8),SUM(R8,AF8,AU8,BI8,BW8,DE8))))</f>
        <v>859</v>
      </c>
      <c r="HU8" s="541">
        <f>IF(HT8="","",HT8*100/($HT$6-CD8))</f>
        <v>71.583333333333329</v>
      </c>
      <c r="HV8" s="540" t="str">
        <f t="shared" ref="HV8:HV71" si="150">IFERROR(IF(HU8="","",IF(AND(HU8&gt;=60,(HS8="PASS")),"1st",IF(AND(HU8&gt;=60,(HS8="BY GRACE PASS")),"1st",IF(AND(HU8&gt;=48,(HS8="PASS")),"2nd",IF(AND(HU8&gt;=48,(HS8="BY GRACE PASS")),"2nd",IF(AND(HU8&gt;=36,(HS8="PASS")),"3rd",IF(AND(HU8&gt;=36,(HS8="BY GRACE PASS")),"3rd",""))))))),"")</f>
        <v>1st</v>
      </c>
      <c r="HW8" s="537">
        <f t="shared" ref="HW8:HW71" si="151">IFERROR(IF(OR(HS8="PASS",HS8="BY GRACE PASS"),HU8,""),"")</f>
        <v>71.583333333333329</v>
      </c>
      <c r="HX8" s="539">
        <f t="shared" ref="HX8:HX71" si="152">IFERROR(IF(HW8="","",SUMPRODUCT((HW8&lt;HW$7:HW$206)/COUNTIF(HW$7:HW$206,HW$7:HW$206))),"")</f>
        <v>2.0000000000000018</v>
      </c>
      <c r="HY8" s="553" t="str">
        <f>IFERROR(IF(OR(HS8="SUPPLEMENTARY",HS8="RE-EXAM"),'Supp. Result Entry'!AQ6,""),"")</f>
        <v/>
      </c>
      <c r="HZ8" s="538" t="str">
        <f t="shared" ref="HZ8:HZ71" si="153">IF(OR(KA8="",JP8=0),"",IF(JY8="","",JY8))</f>
        <v/>
      </c>
      <c r="IA8" s="415" t="str">
        <f t="shared" ref="IA8:IA71" si="154">IF(AND(KA8=""),"",IF(HZ8="","",IF(AND(KA8="FAIL"),"Failed",KA8)))</f>
        <v/>
      </c>
      <c r="IB8" s="415" t="str">
        <f>IF(AND(HZ8="",IA8=""),"",IF(OR(HS8="SUPPLEMENTARY",HS8="RE-EXAM"),'Supp. Result Entry'!AQ6,HS8))</f>
        <v/>
      </c>
      <c r="IC8" s="87"/>
      <c r="IS8" s="109" t="str">
        <f>IF('Supp. Result Entry'!T6="","",'Supp. Result Entry'!$T$4)</f>
        <v/>
      </c>
      <c r="IT8" s="110" t="str">
        <f>IF('Supp. Result Entry'!W6="","",'Supp. Result Entry'!$W$4)</f>
        <v/>
      </c>
      <c r="IU8" s="110" t="str">
        <f>IF('Supp. Result Entry'!Z6="","",'Supp. Result Entry'!$Z$4)</f>
        <v/>
      </c>
      <c r="IV8" s="110" t="str">
        <f>IF('Supp. Result Entry'!AC6="","",'Supp. Result Entry'!$AC$4)</f>
        <v/>
      </c>
      <c r="IW8" s="110" t="str">
        <f>IF('Supp. Result Entry'!AF6="","",'Supp. Result Entry'!$AF$4)</f>
        <v/>
      </c>
      <c r="IX8" s="110" t="str">
        <f>IF('Supp. Result Entry'!AI6="","",'Supp. Result Entry'!$AI$4)</f>
        <v/>
      </c>
      <c r="IY8" s="110" t="str">
        <f>IF('Supp. Result Entry'!AI6="","",'Supp. Result Entry'!$AL$4)</f>
        <v/>
      </c>
      <c r="IZ8" s="110" t="str">
        <f>IF('Supp. Result Entry'!U6="","",'Supp. Result Entry'!U6)</f>
        <v/>
      </c>
      <c r="JA8" s="110" t="str">
        <f>IF('Supp. Result Entry'!X6="","",'Supp. Result Entry'!X6)</f>
        <v/>
      </c>
      <c r="JB8" s="110" t="str">
        <f>IF('Supp. Result Entry'!AA6="","",'Supp. Result Entry'!AA6)</f>
        <v/>
      </c>
      <c r="JC8" s="110" t="str">
        <f>IF('Supp. Result Entry'!AD6="","",'Supp. Result Entry'!AD6)</f>
        <v/>
      </c>
      <c r="JD8" s="110" t="str">
        <f>IF('Supp. Result Entry'!AG6="","",'Supp. Result Entry'!AG6)</f>
        <v/>
      </c>
      <c r="JE8" s="110" t="str">
        <f>IF('Supp. Result Entry'!AJ6="","",'Supp. Result Entry'!AJ6)</f>
        <v/>
      </c>
      <c r="JF8" s="110" t="str">
        <f>IF('Supp. Result Entry'!AM6="","",'Supp. Result Entry'!AM6)</f>
        <v/>
      </c>
      <c r="JG8" s="110" t="str">
        <f>IF('Supp. Result Entry'!V6="","",'Supp. Result Entry'!V6)</f>
        <v/>
      </c>
      <c r="JH8" s="110" t="str">
        <f>IF('Supp. Result Entry'!Y6="","",'Supp. Result Entry'!Y6)</f>
        <v/>
      </c>
      <c r="JI8" s="110" t="str">
        <f>IF('Supp. Result Entry'!AB6="","",'Supp. Result Entry'!AB6)</f>
        <v/>
      </c>
      <c r="JJ8" s="110" t="str">
        <f>IF('Supp. Result Entry'!AE6="","",'Supp. Result Entry'!AE6)</f>
        <v/>
      </c>
      <c r="JK8" s="110" t="str">
        <f>IF('Supp. Result Entry'!AH6="","",'Supp. Result Entry'!AH6)</f>
        <v/>
      </c>
      <c r="JL8" s="110" t="str">
        <f>IF('Supp. Result Entry'!AK6="","",'Supp. Result Entry'!AK6)</f>
        <v/>
      </c>
      <c r="JM8" s="110" t="str">
        <f>IF('Supp. Result Entry'!AN6="","",'Supp. Result Entry'!AN6)</f>
        <v/>
      </c>
      <c r="JN8" s="110">
        <f>COUNTIF('Supp. Result Entry'!K6:Q6,"S")</f>
        <v>0</v>
      </c>
      <c r="JO8" s="110">
        <f t="shared" ref="JO8:JO70" si="155">COUNTIF(GN8:HM8,"RE")+COUNTIF(GN8:HM8,"REP")</f>
        <v>0</v>
      </c>
      <c r="JP8" s="110">
        <f t="shared" ref="JP8:JP71" si="156">COUNTIF(JG8:JM8,"P")</f>
        <v>0</v>
      </c>
      <c r="JQ8" s="110" t="str">
        <f t="shared" si="75"/>
        <v/>
      </c>
      <c r="JR8" s="110" t="str">
        <f t="shared" si="76"/>
        <v/>
      </c>
      <c r="JS8" s="110" t="str">
        <f t="shared" si="77"/>
        <v/>
      </c>
      <c r="JT8" s="110" t="str">
        <f t="shared" si="78"/>
        <v/>
      </c>
      <c r="JU8" s="110" t="str">
        <f t="shared" si="79"/>
        <v/>
      </c>
      <c r="JV8" s="110" t="str">
        <f t="shared" si="80"/>
        <v/>
      </c>
      <c r="JW8" s="110" t="str">
        <f t="shared" si="81"/>
        <v/>
      </c>
      <c r="JX8" s="110" t="str">
        <f t="shared" ref="JX8:JX71" si="157">IF(OR(JN8=0,JN8&lt;JP8),"",SUM(JQ8:JW8))</f>
        <v/>
      </c>
      <c r="JY8" s="110" t="str">
        <f t="shared" ref="JY8:JY71" si="158">IF(OR(JN8=0,JN8&lt;JP8),"",JX8/JZ8*100)</f>
        <v/>
      </c>
      <c r="JZ8" s="110" t="str">
        <f t="shared" si="82"/>
        <v/>
      </c>
      <c r="KA8" s="108" t="str">
        <f t="shared" ref="KA8:KA71" si="159">IF(JY8="","",IF(JY8&gt;=60,"I",IF(JY8&gt;=48,"II",IF(JY8&gt;=36,"III",""))))</f>
        <v/>
      </c>
    </row>
    <row r="9" spans="1:287" s="108" customFormat="1" ht="21.95" customHeight="1">
      <c r="A9" s="89">
        <v>3</v>
      </c>
      <c r="B9" s="90">
        <f>IF('Marks Entry'!B9="","",'Marks Entry'!B9)</f>
        <v>903</v>
      </c>
      <c r="C9" s="94" t="str">
        <f>IF('Marks Entry'!D9="","",'Marks Entry'!D9)</f>
        <v>A</v>
      </c>
      <c r="D9" s="91" t="str">
        <f>IF('Marks Entry'!E9="","",'Marks Entry'!E9)</f>
        <v/>
      </c>
      <c r="E9" s="92">
        <f>IF('Marks Entry'!F9="","",'Marks Entry'!F9)</f>
        <v>41192</v>
      </c>
      <c r="F9" s="93" t="str">
        <f>IF('Marks Entry'!G9="","",'Marks Entry'!G9)</f>
        <v>DINESH</v>
      </c>
      <c r="G9" s="93" t="str">
        <f>IF('Marks Entry'!H9="","",'Marks Entry'!H9)</f>
        <v/>
      </c>
      <c r="H9" s="93" t="str">
        <f>IF('Marks Entry'!I9="","",'Marks Entry'!I9)</f>
        <v/>
      </c>
      <c r="I9" s="94" t="str">
        <f>IF('Marks Entry'!J9="","",'Marks Entry'!J9)</f>
        <v>GEN</v>
      </c>
      <c r="J9" s="95" t="str">
        <f>IF('Marks Entry'!K9="","",'Marks Entry'!K9)</f>
        <v>M</v>
      </c>
      <c r="K9" s="68">
        <f>IF('Marks Entry'!L9="","",'Marks Entry'!L9)</f>
        <v>8</v>
      </c>
      <c r="L9" s="68">
        <f>IF('Marks Entry'!M9="","",'Marks Entry'!M9)</f>
        <v>9</v>
      </c>
      <c r="M9" s="68">
        <f>IF('Marks Entry'!N9="","",'Marks Entry'!N9)</f>
        <v>7</v>
      </c>
      <c r="N9" s="514">
        <f t="shared" si="83"/>
        <v>24</v>
      </c>
      <c r="O9" s="68">
        <f>IF('Marks Entry'!O9="","",'Marks Entry'!O9)</f>
        <v>46</v>
      </c>
      <c r="P9" s="515">
        <f t="shared" si="84"/>
        <v>70</v>
      </c>
      <c r="Q9" s="68">
        <f>IF('Marks Entry'!P9="","",'Marks Entry'!P9)</f>
        <v>13</v>
      </c>
      <c r="R9" s="96">
        <f t="shared" si="85"/>
        <v>83</v>
      </c>
      <c r="S9" s="65">
        <f t="shared" si="86"/>
        <v>0</v>
      </c>
      <c r="T9" s="65">
        <f t="shared" si="87"/>
        <v>0</v>
      </c>
      <c r="U9" s="66">
        <f t="shared" si="88"/>
        <v>200</v>
      </c>
      <c r="V9" s="65" t="str">
        <f t="shared" si="89"/>
        <v/>
      </c>
      <c r="W9" s="65" t="str">
        <f t="shared" si="90"/>
        <v>F</v>
      </c>
      <c r="X9" s="65" t="str">
        <f t="shared" si="91"/>
        <v>F</v>
      </c>
      <c r="Y9" s="68">
        <f>IF('Marks Entry'!Q9="","",'Marks Entry'!Q9)</f>
        <v>8</v>
      </c>
      <c r="Z9" s="68">
        <f>IF('Marks Entry'!R9="","",'Marks Entry'!R9)</f>
        <v>9</v>
      </c>
      <c r="AA9" s="68">
        <f>IF('Marks Entry'!S9="","",'Marks Entry'!S9)</f>
        <v>10</v>
      </c>
      <c r="AB9" s="514">
        <f t="shared" si="2"/>
        <v>27</v>
      </c>
      <c r="AC9" s="68">
        <f>IF('Marks Entry'!T9="","",'Marks Entry'!T9)</f>
        <v>65</v>
      </c>
      <c r="AD9" s="515">
        <f t="shared" si="3"/>
        <v>92</v>
      </c>
      <c r="AE9" s="68">
        <f>IF('Marks Entry'!U9="","",'Marks Entry'!U9)</f>
        <v>95</v>
      </c>
      <c r="AF9" s="96">
        <f t="shared" si="4"/>
        <v>187</v>
      </c>
      <c r="AG9" s="65">
        <f t="shared" si="5"/>
        <v>0</v>
      </c>
      <c r="AH9" s="65">
        <f t="shared" si="6"/>
        <v>0</v>
      </c>
      <c r="AI9" s="66">
        <f t="shared" si="7"/>
        <v>200</v>
      </c>
      <c r="AJ9" s="65" t="str">
        <f t="shared" si="8"/>
        <v/>
      </c>
      <c r="AK9" s="65" t="str">
        <f t="shared" si="9"/>
        <v>P</v>
      </c>
      <c r="AL9" s="65" t="str">
        <f t="shared" si="10"/>
        <v>D</v>
      </c>
      <c r="AM9" s="524" t="str">
        <f>IF('Marks Entry'!V9="","",IF('Marks Entry'!V9=1,'School Profile'!$I$9,IF('Marks Entry'!V9=2,'School Profile'!$I$10,IF('Marks Entry'!V9=3,'School Profile'!$I$11,IF('Marks Entry'!V9=4,'School Profile'!$I$12,IF('Marks Entry'!V9=5,'School Profile'!$I$13,IF('Marks Entry'!V9=6,'School Profile'!$I$14,"")))))))</f>
        <v>संस्कृत (71)</v>
      </c>
      <c r="AN9" s="68">
        <f>IF('Marks Entry'!W9="","",'Marks Entry'!W9)</f>
        <v>8</v>
      </c>
      <c r="AO9" s="68">
        <f>IF('Marks Entry'!X9="","",'Marks Entry'!X9)</f>
        <v>9</v>
      </c>
      <c r="AP9" s="68">
        <f>IF('Marks Entry'!Y9="","",'Marks Entry'!Y9)</f>
        <v>9</v>
      </c>
      <c r="AQ9" s="514">
        <f t="shared" si="11"/>
        <v>26</v>
      </c>
      <c r="AR9" s="68">
        <f>IF('Marks Entry'!Z9="","",'Marks Entry'!Z9)</f>
        <v>46</v>
      </c>
      <c r="AS9" s="515">
        <f t="shared" si="12"/>
        <v>72</v>
      </c>
      <c r="AT9" s="68">
        <f>IF('Marks Entry'!AA9="","",'Marks Entry'!AA9)</f>
        <v>45</v>
      </c>
      <c r="AU9" s="96">
        <f t="shared" si="13"/>
        <v>117</v>
      </c>
      <c r="AV9" s="65">
        <f t="shared" si="14"/>
        <v>0</v>
      </c>
      <c r="AW9" s="65">
        <f t="shared" si="15"/>
        <v>0</v>
      </c>
      <c r="AX9" s="66">
        <f t="shared" si="16"/>
        <v>200</v>
      </c>
      <c r="AY9" s="65" t="str">
        <f t="shared" si="17"/>
        <v/>
      </c>
      <c r="AZ9" s="65" t="str">
        <f t="shared" si="18"/>
        <v>P</v>
      </c>
      <c r="BA9" s="65" t="str">
        <f t="shared" si="19"/>
        <v>II</v>
      </c>
      <c r="BB9" s="68">
        <f>IF('Marks Entry'!AB9="","",'Marks Entry'!AB9)</f>
        <v>8</v>
      </c>
      <c r="BC9" s="68">
        <f>IF('Marks Entry'!AC9="","",'Marks Entry'!AC9)</f>
        <v>9</v>
      </c>
      <c r="BD9" s="68">
        <f>IF('Marks Entry'!AD9="","",'Marks Entry'!AD9)</f>
        <v>8</v>
      </c>
      <c r="BE9" s="514">
        <f t="shared" si="20"/>
        <v>25</v>
      </c>
      <c r="BF9" s="68">
        <f>IF('Marks Entry'!AE9="","",'Marks Entry'!AE9)</f>
        <v>68</v>
      </c>
      <c r="BG9" s="515">
        <f t="shared" si="21"/>
        <v>93</v>
      </c>
      <c r="BH9" s="68">
        <f>IF('Marks Entry'!AF9="","",'Marks Entry'!AF9)</f>
        <v>95</v>
      </c>
      <c r="BI9" s="96">
        <f t="shared" si="22"/>
        <v>188</v>
      </c>
      <c r="BJ9" s="65">
        <f t="shared" si="23"/>
        <v>0</v>
      </c>
      <c r="BK9" s="65">
        <f t="shared" si="92"/>
        <v>0</v>
      </c>
      <c r="BL9" s="66">
        <f t="shared" si="24"/>
        <v>200</v>
      </c>
      <c r="BM9" s="65" t="str">
        <f t="shared" si="25"/>
        <v/>
      </c>
      <c r="BN9" s="65" t="str">
        <f t="shared" si="26"/>
        <v>P</v>
      </c>
      <c r="BO9" s="65" t="str">
        <f t="shared" si="27"/>
        <v>D</v>
      </c>
      <c r="BP9" s="68">
        <f>IF('Marks Entry'!AG9="","",'Marks Entry'!AG9)</f>
        <v>8</v>
      </c>
      <c r="BQ9" s="68">
        <f>IF('Marks Entry'!AH9="","",'Marks Entry'!AH9)</f>
        <v>9</v>
      </c>
      <c r="BR9" s="68">
        <f>IF('Marks Entry'!AI9="","",'Marks Entry'!AI9)</f>
        <v>8</v>
      </c>
      <c r="BS9" s="514">
        <f t="shared" si="28"/>
        <v>25</v>
      </c>
      <c r="BT9" s="68">
        <f>IF('Marks Entry'!AJ9="","",'Marks Entry'!AJ9)</f>
        <v>46</v>
      </c>
      <c r="BU9" s="515">
        <f t="shared" si="29"/>
        <v>71</v>
      </c>
      <c r="BV9" s="68">
        <f>IF('Marks Entry'!AK9="","",'Marks Entry'!AK9)</f>
        <v>45</v>
      </c>
      <c r="BW9" s="96">
        <f t="shared" si="30"/>
        <v>116</v>
      </c>
      <c r="BX9" s="65">
        <f t="shared" si="31"/>
        <v>0</v>
      </c>
      <c r="BY9" s="65">
        <f t="shared" si="32"/>
        <v>0</v>
      </c>
      <c r="BZ9" s="66">
        <f t="shared" si="33"/>
        <v>200</v>
      </c>
      <c r="CA9" s="65" t="str">
        <f t="shared" si="34"/>
        <v/>
      </c>
      <c r="CB9" s="65" t="str">
        <f t="shared" si="35"/>
        <v>P</v>
      </c>
      <c r="CC9" s="65" t="str">
        <f t="shared" si="36"/>
        <v>II</v>
      </c>
      <c r="CD9" s="66">
        <f t="shared" si="93"/>
        <v>0</v>
      </c>
      <c r="CE9" s="68">
        <f>IF('Marks Entry'!AL9="","",'Marks Entry'!AL9)</f>
        <v>8</v>
      </c>
      <c r="CF9" s="68">
        <f>IF('Marks Entry'!AM9="","",'Marks Entry'!AM9)</f>
        <v>8</v>
      </c>
      <c r="CG9" s="68">
        <f>IF('Marks Entry'!AN9="","",'Marks Entry'!AN9)</f>
        <v>8</v>
      </c>
      <c r="CH9" s="514">
        <f t="shared" si="37"/>
        <v>24</v>
      </c>
      <c r="CI9" s="68">
        <f>IF('Marks Entry'!AO9="","",'Marks Entry'!AO9)</f>
        <v>46</v>
      </c>
      <c r="CJ9" s="515">
        <f t="shared" si="38"/>
        <v>70</v>
      </c>
      <c r="CK9" s="68">
        <f>IF('Marks Entry'!AP9="","",'Marks Entry'!AP9)</f>
        <v>45</v>
      </c>
      <c r="CL9" s="96">
        <f t="shared" si="39"/>
        <v>115</v>
      </c>
      <c r="CM9" s="65">
        <f t="shared" si="40"/>
        <v>0</v>
      </c>
      <c r="CN9" s="65">
        <f t="shared" si="41"/>
        <v>0</v>
      </c>
      <c r="CO9" s="66">
        <f t="shared" si="42"/>
        <v>200</v>
      </c>
      <c r="CP9" s="65" t="str">
        <f t="shared" si="43"/>
        <v/>
      </c>
      <c r="CQ9" s="65" t="str">
        <f t="shared" si="44"/>
        <v>P</v>
      </c>
      <c r="CR9" s="65" t="str">
        <f t="shared" si="45"/>
        <v>II</v>
      </c>
      <c r="CS9" s="616" t="str">
        <f>IF('School Profile'!$D$20="NO","",IF('Marks Entry'!AQ9="","",IF('Marks Entry'!AQ9=1,'School Profile'!$I$29,IF('Marks Entry'!AQ9=2,'School Profile'!$I$30,IF('Marks Entry'!AQ9=3,'School Profile'!$I$31,IF('Marks Entry'!AQ9=4,'School Profile'!$I$32,IF('Marks Entry'!AQ9=5,'School Profile'!$I$33,IF('Marks Entry'!AQ9=6,'School Profile'!$I$34,IF('Marks Entry'!AQ9=7,'School Profile'!$I$35,IF('Marks Entry'!AQ9=8,'School Profile'!$I$36,IF('Marks Entry'!AQ9=9,'School Profile'!$I$37,IF('Marks Entry'!AQ9=10,'School Profile'!$I$38,IF('Marks Entry'!AQ9=11,'School Profile'!$I$39,"")))))))))))))</f>
        <v>ELECTRICALS AND ELECTRONICS</v>
      </c>
      <c r="CT9" s="68">
        <f>IF('School Profile'!$D$20="NO","",IF('Marks Entry'!AR9="","",'Marks Entry'!AR9))</f>
        <v>10</v>
      </c>
      <c r="CU9" s="68">
        <f>IF('School Profile'!$D$20="NO","",IF('Marks Entry'!AS9="","",'Marks Entry'!AS9))</f>
        <v>10</v>
      </c>
      <c r="CV9" s="68">
        <f>IF('School Profile'!$D$20="NO","",IF('Marks Entry'!AT9="","",'Marks Entry'!AT9))</f>
        <v>10</v>
      </c>
      <c r="CW9" s="514">
        <f>IF('School Profile'!$D$20="NO","",IF(AND(CT9="",CU9="",CV9=""),"",SUM(CT9:CV9)))</f>
        <v>30</v>
      </c>
      <c r="CX9" s="68">
        <f>IF('School Profile'!$D$20="NO","",IF('Marks Entry'!AU9="","",'Marks Entry'!AU9))</f>
        <v>35</v>
      </c>
      <c r="CY9" s="68">
        <f>IF('School Profile'!$D$20="NO","",IF('Marks Entry'!AV9="","",'Marks Entry'!AV9))</f>
        <v>34</v>
      </c>
      <c r="CZ9" s="515">
        <f>IF('School Profile'!$D$20="NO","",IF(AND(CX9="",CY9=""),"",SUM(CX9,CY9)))</f>
        <v>69</v>
      </c>
      <c r="DA9" s="69">
        <f>IF('School Profile'!$D$20="NO","",IF(AND(CW9="",CZ9=""),"",SUM(CW9+CZ9)))</f>
        <v>99</v>
      </c>
      <c r="DB9" s="68">
        <f>IF('School Profile'!$D$20="NO","",IF('Marks Entry'!AW9="","",'Marks Entry'!AW9))</f>
        <v>45</v>
      </c>
      <c r="DC9" s="68">
        <f>IF('School Profile'!$D$20="NO","",IF('Marks Entry'!AX9="","",'Marks Entry'!AX9))</f>
        <v>46</v>
      </c>
      <c r="DD9" s="515">
        <f>IF('School Profile'!$D$20="NO","",IF(AND(DB9="",DC9=""),"",SUM(DB9,DC9)))</f>
        <v>91</v>
      </c>
      <c r="DE9" s="96">
        <f>IF('School Profile'!$D$20="NO","",IF(AND(DA9="",DD9=""),"",SUM(DA9,DD9)))</f>
        <v>190</v>
      </c>
      <c r="DF9" s="532">
        <f t="shared" si="46"/>
        <v>0</v>
      </c>
      <c r="DG9" s="65">
        <f t="shared" si="47"/>
        <v>0</v>
      </c>
      <c r="DH9" s="66">
        <f t="shared" si="48"/>
        <v>200</v>
      </c>
      <c r="DI9" s="65" t="str">
        <f t="shared" si="49"/>
        <v/>
      </c>
      <c r="DJ9" s="65" t="str">
        <f t="shared" si="50"/>
        <v>P</v>
      </c>
      <c r="DK9" s="65" t="str">
        <f t="shared" si="51"/>
        <v>D</v>
      </c>
      <c r="DL9" s="97" t="str">
        <f t="shared" si="94"/>
        <v>F</v>
      </c>
      <c r="DM9" s="97" t="str">
        <f t="shared" si="95"/>
        <v>D</v>
      </c>
      <c r="DN9" s="97" t="str">
        <f t="shared" si="96"/>
        <v>II</v>
      </c>
      <c r="DO9" s="97" t="str">
        <f t="shared" si="97"/>
        <v>D</v>
      </c>
      <c r="DP9" s="97" t="str">
        <f t="shared" si="98"/>
        <v>II</v>
      </c>
      <c r="DQ9" s="97" t="str">
        <f t="shared" si="99"/>
        <v>II</v>
      </c>
      <c r="DR9" s="97" t="str">
        <f>DK9</f>
        <v>D</v>
      </c>
      <c r="DS9" s="98">
        <f t="shared" si="101"/>
        <v>1</v>
      </c>
      <c r="DT9" s="98">
        <f t="shared" si="102"/>
        <v>0</v>
      </c>
      <c r="DU9" s="98">
        <f t="shared" si="103"/>
        <v>0</v>
      </c>
      <c r="DV9" s="98">
        <f t="shared" si="104"/>
        <v>0</v>
      </c>
      <c r="DW9" s="98">
        <f t="shared" si="105"/>
        <v>0</v>
      </c>
      <c r="DX9" s="98" t="str">
        <f t="shared" si="106"/>
        <v/>
      </c>
      <c r="DY9" s="99" t="str">
        <f t="shared" si="107"/>
        <v>FAIL</v>
      </c>
      <c r="DZ9" s="74">
        <f>IF('Marks Entry'!AY9="","",'Marks Entry'!AY9)</f>
        <v>9</v>
      </c>
      <c r="EA9" s="74">
        <f>IF('Marks Entry'!AZ9="","",'Marks Entry'!AZ9)</f>
        <v>9</v>
      </c>
      <c r="EB9" s="74">
        <f>IF('Marks Entry'!BA9="","",'Marks Entry'!BA9)</f>
        <v>9</v>
      </c>
      <c r="EC9" s="527">
        <f t="shared" si="52"/>
        <v>27</v>
      </c>
      <c r="ED9" s="74">
        <f>IF('Marks Entry'!BB9="","",'Marks Entry'!BB9)</f>
        <v>66</v>
      </c>
      <c r="EE9" s="528">
        <f t="shared" si="53"/>
        <v>93</v>
      </c>
      <c r="EF9" s="74">
        <f>IF('Marks Entry'!BC9="","",'Marks Entry'!BC9)</f>
        <v>91</v>
      </c>
      <c r="EG9" s="530">
        <f t="shared" si="54"/>
        <v>184</v>
      </c>
      <c r="EH9" s="368" t="str">
        <f t="shared" si="108"/>
        <v>A</v>
      </c>
      <c r="EI9" s="65">
        <f t="shared" si="109"/>
        <v>0</v>
      </c>
      <c r="EJ9" s="65">
        <f t="shared" si="110"/>
        <v>0</v>
      </c>
      <c r="EK9" s="66">
        <f t="shared" si="111"/>
        <v>200</v>
      </c>
      <c r="EL9" s="74">
        <f>IF('Marks Entry'!BD9="","",'Marks Entry'!BD9)</f>
        <v>8</v>
      </c>
      <c r="EM9" s="74">
        <f>IF('Marks Entry'!BE9="","",'Marks Entry'!BE9)</f>
        <v>8</v>
      </c>
      <c r="EN9" s="74">
        <f>IF('Marks Entry'!BF9="","",'Marks Entry'!BF9)</f>
        <v>8</v>
      </c>
      <c r="EO9" s="527">
        <f t="shared" si="55"/>
        <v>24</v>
      </c>
      <c r="EP9" s="74">
        <f>IF('Marks Entry'!BG9="","",'Marks Entry'!BG9)</f>
        <v>47</v>
      </c>
      <c r="EQ9" s="74">
        <f>IF('Marks Entry'!BH9="","",'Marks Entry'!BH9)</f>
        <v>16</v>
      </c>
      <c r="ER9" s="528">
        <f t="shared" si="56"/>
        <v>63</v>
      </c>
      <c r="ES9" s="529">
        <f t="shared" si="57"/>
        <v>87</v>
      </c>
      <c r="ET9" s="74">
        <f>IF('Marks Entry'!BI9="","",'Marks Entry'!BI9)</f>
        <v>64</v>
      </c>
      <c r="EU9" s="74">
        <f>IF('Marks Entry'!BJ9="","",'Marks Entry'!BJ9)</f>
        <v>24</v>
      </c>
      <c r="EV9" s="528">
        <f t="shared" si="58"/>
        <v>88</v>
      </c>
      <c r="EW9" s="530">
        <f t="shared" si="59"/>
        <v>175</v>
      </c>
      <c r="EX9" s="368" t="str">
        <f t="shared" si="112"/>
        <v>A</v>
      </c>
      <c r="EY9" s="65">
        <f t="shared" si="113"/>
        <v>0</v>
      </c>
      <c r="EZ9" s="65">
        <f t="shared" si="114"/>
        <v>0</v>
      </c>
      <c r="FA9" s="66">
        <f t="shared" si="115"/>
        <v>200</v>
      </c>
      <c r="FB9" s="74">
        <f>IF('Marks Entry'!BK9="","",'Marks Entry'!BK9)</f>
        <v>9</v>
      </c>
      <c r="FC9" s="74">
        <f>IF('Marks Entry'!BL9="","",'Marks Entry'!BL9)</f>
        <v>7</v>
      </c>
      <c r="FD9" s="74">
        <f>IF('Marks Entry'!BM9="","",'Marks Entry'!BM9)</f>
        <v>9</v>
      </c>
      <c r="FE9" s="74">
        <f>IF('Marks Entry'!BN9="","",'Marks Entry'!BN9)</f>
        <v>6</v>
      </c>
      <c r="FF9" s="74">
        <f>IF('Marks Entry'!BO9="","",'Marks Entry'!BO9)</f>
        <v>9</v>
      </c>
      <c r="FG9" s="74">
        <f>IF('Marks Entry'!BP9="","",'Marks Entry'!BP9)</f>
        <v>14</v>
      </c>
      <c r="FH9" s="527">
        <f t="shared" si="60"/>
        <v>54</v>
      </c>
      <c r="FI9" s="74">
        <f>IF('Marks Entry'!BQ9="","",'Marks Entry'!BQ9)</f>
        <v>21</v>
      </c>
      <c r="FJ9" s="74">
        <f>IF('Marks Entry'!BR9="","",'Marks Entry'!BR9)</f>
        <v>12</v>
      </c>
      <c r="FK9" s="528">
        <f t="shared" si="61"/>
        <v>33</v>
      </c>
      <c r="FL9" s="529">
        <f t="shared" si="62"/>
        <v>87</v>
      </c>
      <c r="FM9" s="74">
        <f>IF('Marks Entry'!BS9="","",'Marks Entry'!BS9)</f>
        <v>20</v>
      </c>
      <c r="FN9" s="74">
        <f>IF('Marks Entry'!BT9="","",'Marks Entry'!BT9)</f>
        <v>54</v>
      </c>
      <c r="FO9" s="528">
        <f t="shared" si="63"/>
        <v>74</v>
      </c>
      <c r="FP9" s="530">
        <f t="shared" si="64"/>
        <v>161</v>
      </c>
      <c r="FQ9" s="368" t="str">
        <f t="shared" si="116"/>
        <v>A</v>
      </c>
      <c r="FR9" s="65">
        <f t="shared" si="117"/>
        <v>0</v>
      </c>
      <c r="FS9" s="65">
        <f t="shared" si="118"/>
        <v>0</v>
      </c>
      <c r="FT9" s="66">
        <f t="shared" si="119"/>
        <v>200</v>
      </c>
      <c r="FU9" s="74">
        <f>IF('Marks Entry'!BU9="","",'Marks Entry'!BU9)</f>
        <v>23</v>
      </c>
      <c r="FV9" s="74">
        <f>IF('Marks Entry'!BV9="","",'Marks Entry'!BV9)</f>
        <v>40</v>
      </c>
      <c r="FW9" s="74">
        <f>IF('Marks Entry'!BW9="","",'Marks Entry'!BW9)</f>
        <v>29</v>
      </c>
      <c r="FX9" s="75">
        <f t="shared" si="65"/>
        <v>92</v>
      </c>
      <c r="FY9" s="368" t="str">
        <f t="shared" si="120"/>
        <v>A</v>
      </c>
      <c r="FZ9" s="65">
        <f t="shared" si="121"/>
        <v>0</v>
      </c>
      <c r="GA9" s="66">
        <f t="shared" si="122"/>
        <v>0</v>
      </c>
      <c r="GB9" s="66">
        <f t="shared" si="123"/>
        <v>100</v>
      </c>
      <c r="GC9" s="74">
        <f>IF('Marks Entry'!BX9="","",'Marks Entry'!BX9)</f>
        <v>21</v>
      </c>
      <c r="GD9" s="74">
        <f>IF('Marks Entry'!BY9="","",'Marks Entry'!BY9)</f>
        <v>48</v>
      </c>
      <c r="GE9" s="74">
        <f>IF('Marks Entry'!BZ9="","",'Marks Entry'!BZ9)</f>
        <v>10</v>
      </c>
      <c r="GF9" s="75">
        <f t="shared" si="124"/>
        <v>79</v>
      </c>
      <c r="GG9" s="368" t="str">
        <f t="shared" si="125"/>
        <v>B</v>
      </c>
      <c r="GH9" s="65">
        <f t="shared" si="126"/>
        <v>0</v>
      </c>
      <c r="GI9" s="66">
        <f t="shared" si="127"/>
        <v>0</v>
      </c>
      <c r="GJ9" s="66">
        <f t="shared" si="128"/>
        <v>100</v>
      </c>
      <c r="GK9" s="100" t="str">
        <f>IF(AND(F9="",B9=""),"",IF('Student DATA Entry'!M6="","",'Student DATA Entry'!M6))</f>
        <v/>
      </c>
      <c r="GL9" s="101" t="str">
        <f>IF(AND(B9="",F9=""),"",IF('Student DATA Entry'!N6="","",'Student DATA Entry'!N6))</f>
        <v/>
      </c>
      <c r="GM9" s="581" t="str">
        <f t="shared" si="129"/>
        <v/>
      </c>
      <c r="GN9" s="94" t="str">
        <f t="shared" si="130"/>
        <v>F</v>
      </c>
      <c r="GO9" s="94" t="str">
        <f t="shared" si="131"/>
        <v/>
      </c>
      <c r="GP9" s="102" t="str">
        <f t="shared" si="67"/>
        <v/>
      </c>
      <c r="GQ9" s="94" t="str">
        <f t="shared" si="132"/>
        <v>D</v>
      </c>
      <c r="GR9" s="103" t="str">
        <f t="shared" si="133"/>
        <v/>
      </c>
      <c r="GS9" s="102" t="str">
        <f t="shared" si="68"/>
        <v/>
      </c>
      <c r="GT9" s="104" t="str">
        <f>IF(AND(DY9="FAIL",(OR(DN9="G1",DN9="G2",DN9="S",DN9="RE"))),"F",IF(AND(DY9="RE-EXAM",(OR(DN9="G1",DN9="G2",DN9="S"))),"S",IF(AND(DY9="SUPPLEMENTARY",(OR(DN9="G1",DN9="G2"))),"S",IF(AND(DY9="BY GRACE PASS",(OR(DN9="G1",DN9="G2"))),"G",DN9))))</f>
        <v>II</v>
      </c>
      <c r="GU9" s="94" t="str">
        <f>IF('Marks Entry'!V9=1,GT9,"")</f>
        <v>II</v>
      </c>
      <c r="GV9" s="94" t="str">
        <f>IF('Marks Entry'!V9=2,GT9,"")</f>
        <v/>
      </c>
      <c r="GW9" s="94" t="str">
        <f>IF('Marks Entry'!V9=3,GT9,"")</f>
        <v/>
      </c>
      <c r="GX9" s="94" t="str">
        <f>IF('Marks Entry'!V9=4,GT9,"")</f>
        <v/>
      </c>
      <c r="GY9" s="94" t="str">
        <f>IF('Marks Entry'!V9=5,GT9,"")</f>
        <v/>
      </c>
      <c r="GZ9" s="94" t="str">
        <f t="shared" si="135"/>
        <v/>
      </c>
      <c r="HA9" s="105" t="str">
        <f t="shared" si="69"/>
        <v/>
      </c>
      <c r="HB9" s="94" t="str">
        <f t="shared" si="136"/>
        <v>D</v>
      </c>
      <c r="HC9" s="94" t="str">
        <f t="shared" si="137"/>
        <v/>
      </c>
      <c r="HD9" s="105" t="str">
        <f t="shared" si="70"/>
        <v/>
      </c>
      <c r="HE9" s="94" t="str">
        <f t="shared" si="138"/>
        <v>II</v>
      </c>
      <c r="HF9" s="94" t="str">
        <f t="shared" si="139"/>
        <v/>
      </c>
      <c r="HG9" s="105" t="str">
        <f t="shared" si="71"/>
        <v/>
      </c>
      <c r="HH9" s="94" t="str">
        <f t="shared" si="140"/>
        <v>II</v>
      </c>
      <c r="HI9" s="94" t="str">
        <f t="shared" si="141"/>
        <v/>
      </c>
      <c r="HJ9" s="105" t="str">
        <f t="shared" si="72"/>
        <v/>
      </c>
      <c r="HK9" s="94" t="str">
        <f t="shared" si="142"/>
        <v>D</v>
      </c>
      <c r="HL9" s="94" t="str">
        <f t="shared" si="143"/>
        <v/>
      </c>
      <c r="HM9" s="105" t="str">
        <f t="shared" si="73"/>
        <v/>
      </c>
      <c r="HN9" s="367" t="str">
        <f t="shared" si="144"/>
        <v xml:space="preserve">हिंदी      </v>
      </c>
      <c r="HO9" s="418" t="str">
        <f t="shared" si="145"/>
        <v/>
      </c>
      <c r="HP9" s="367" t="str">
        <f t="shared" si="146"/>
        <v xml:space="preserve">      </v>
      </c>
      <c r="HQ9" s="107" t="str">
        <f t="shared" si="147"/>
        <v xml:space="preserve">      </v>
      </c>
      <c r="HR9" s="366" t="str">
        <f t="shared" si="148"/>
        <v xml:space="preserve"> अंग्रेजी  गणित   व्यावसायिक शिक्षा</v>
      </c>
      <c r="HS9" s="544" t="str">
        <f t="shared" si="74"/>
        <v>FAIL</v>
      </c>
      <c r="HT9" s="542">
        <f t="shared" si="149"/>
        <v>881</v>
      </c>
      <c r="HU9" s="541">
        <f t="shared" ref="HU9:HU71" si="160">IF(HT9="","",HT9*100/($HT$6-CD9))</f>
        <v>73.416666666666671</v>
      </c>
      <c r="HV9" s="540" t="str">
        <f t="shared" si="150"/>
        <v/>
      </c>
      <c r="HW9" s="537" t="str">
        <f t="shared" si="151"/>
        <v/>
      </c>
      <c r="HX9" s="539" t="str">
        <f t="shared" si="152"/>
        <v/>
      </c>
      <c r="HY9" s="553" t="str">
        <f>IFERROR(IF(OR(HS9="SUPPLEMENTARY",HS9="RE-EXAM"),'Supp. Result Entry'!AQ7,""),"")</f>
        <v/>
      </c>
      <c r="HZ9" s="538" t="str">
        <f t="shared" si="153"/>
        <v/>
      </c>
      <c r="IA9" s="415" t="str">
        <f t="shared" si="154"/>
        <v/>
      </c>
      <c r="IB9" s="415" t="str">
        <f>IF(AND(HZ9="",IA9=""),"",IF(OR(HS9="SUPPLEMENTARY",HS9="RE-EXAM"),'Supp. Result Entry'!AQ7,HS9))</f>
        <v/>
      </c>
      <c r="IC9" s="87"/>
      <c r="IS9" s="109" t="str">
        <f>IF('Supp. Result Entry'!T7="","",'Supp. Result Entry'!$T$4)</f>
        <v/>
      </c>
      <c r="IT9" s="110" t="str">
        <f>IF('Supp. Result Entry'!W7="","",'Supp. Result Entry'!$W$4)</f>
        <v/>
      </c>
      <c r="IU9" s="110" t="str">
        <f>IF('Supp. Result Entry'!Z7="","",'Supp. Result Entry'!$Z$4)</f>
        <v/>
      </c>
      <c r="IV9" s="110" t="str">
        <f>IF('Supp. Result Entry'!AC7="","",'Supp. Result Entry'!$AC$4)</f>
        <v/>
      </c>
      <c r="IW9" s="110" t="str">
        <f>IF('Supp. Result Entry'!AF7="","",'Supp. Result Entry'!$AF$4)</f>
        <v/>
      </c>
      <c r="IX9" s="110" t="str">
        <f>IF('Supp. Result Entry'!AI7="","",'Supp. Result Entry'!$AI$4)</f>
        <v/>
      </c>
      <c r="IY9" s="110" t="str">
        <f>IF('Supp. Result Entry'!AI7="","",'Supp. Result Entry'!$AL$4)</f>
        <v/>
      </c>
      <c r="IZ9" s="110" t="str">
        <f>IF('Supp. Result Entry'!U7="","",'Supp. Result Entry'!U7)</f>
        <v/>
      </c>
      <c r="JA9" s="110" t="str">
        <f>IF('Supp. Result Entry'!X7="","",'Supp. Result Entry'!X7)</f>
        <v/>
      </c>
      <c r="JB9" s="110" t="str">
        <f>IF('Supp. Result Entry'!AA7="","",'Supp. Result Entry'!AA7)</f>
        <v/>
      </c>
      <c r="JC9" s="110" t="str">
        <f>IF('Supp. Result Entry'!AD7="","",'Supp. Result Entry'!AD7)</f>
        <v/>
      </c>
      <c r="JD9" s="110" t="str">
        <f>IF('Supp. Result Entry'!AG7="","",'Supp. Result Entry'!AG7)</f>
        <v/>
      </c>
      <c r="JE9" s="110" t="str">
        <f>IF('Supp. Result Entry'!AJ7="","",'Supp. Result Entry'!AJ7)</f>
        <v/>
      </c>
      <c r="JF9" s="110" t="str">
        <f>IF('Supp. Result Entry'!AM7="","",'Supp. Result Entry'!AM7)</f>
        <v/>
      </c>
      <c r="JG9" s="110" t="str">
        <f>IF('Supp. Result Entry'!V7="","",'Supp. Result Entry'!V7)</f>
        <v/>
      </c>
      <c r="JH9" s="110" t="str">
        <f>IF('Supp. Result Entry'!Y7="","",'Supp. Result Entry'!Y7)</f>
        <v/>
      </c>
      <c r="JI9" s="110" t="str">
        <f>IF('Supp. Result Entry'!AB7="","",'Supp. Result Entry'!AB7)</f>
        <v/>
      </c>
      <c r="JJ9" s="110" t="str">
        <f>IF('Supp. Result Entry'!AE7="","",'Supp. Result Entry'!AE7)</f>
        <v/>
      </c>
      <c r="JK9" s="110" t="str">
        <f>IF('Supp. Result Entry'!AH7="","",'Supp. Result Entry'!AH7)</f>
        <v/>
      </c>
      <c r="JL9" s="110" t="str">
        <f>IF('Supp. Result Entry'!AK7="","",'Supp. Result Entry'!AK7)</f>
        <v/>
      </c>
      <c r="JM9" s="110" t="str">
        <f>IF('Supp. Result Entry'!AN7="","",'Supp. Result Entry'!AN7)</f>
        <v/>
      </c>
      <c r="JN9" s="110">
        <f>COUNTIF('Supp. Result Entry'!K7:Q7,"S")</f>
        <v>0</v>
      </c>
      <c r="JO9" s="110">
        <f t="shared" si="155"/>
        <v>0</v>
      </c>
      <c r="JP9" s="110">
        <f t="shared" si="156"/>
        <v>0</v>
      </c>
      <c r="JQ9" s="110" t="str">
        <f t="shared" si="75"/>
        <v/>
      </c>
      <c r="JR9" s="110" t="str">
        <f t="shared" si="76"/>
        <v/>
      </c>
      <c r="JS9" s="110" t="str">
        <f t="shared" si="77"/>
        <v/>
      </c>
      <c r="JT9" s="110" t="str">
        <f t="shared" si="78"/>
        <v/>
      </c>
      <c r="JU9" s="110" t="str">
        <f t="shared" si="79"/>
        <v/>
      </c>
      <c r="JV9" s="110" t="str">
        <f t="shared" si="80"/>
        <v/>
      </c>
      <c r="JW9" s="110" t="str">
        <f t="shared" si="81"/>
        <v/>
      </c>
      <c r="JX9" s="110" t="str">
        <f t="shared" si="157"/>
        <v/>
      </c>
      <c r="JY9" s="110" t="str">
        <f t="shared" si="158"/>
        <v/>
      </c>
      <c r="JZ9" s="110" t="str">
        <f t="shared" si="82"/>
        <v/>
      </c>
      <c r="KA9" s="108" t="str">
        <f t="shared" si="159"/>
        <v/>
      </c>
    </row>
    <row r="10" spans="1:287" s="108" customFormat="1" ht="21.95" customHeight="1">
      <c r="A10" s="89">
        <v>4</v>
      </c>
      <c r="B10" s="90">
        <f>IF('Marks Entry'!B10="","",'Marks Entry'!B10)</f>
        <v>904</v>
      </c>
      <c r="C10" s="94" t="str">
        <f>IF('Marks Entry'!D10="","",'Marks Entry'!D10)</f>
        <v>A</v>
      </c>
      <c r="D10" s="91" t="str">
        <f>IF('Marks Entry'!E10="","",'Marks Entry'!E10)</f>
        <v/>
      </c>
      <c r="E10" s="92">
        <f>IF('Marks Entry'!F10="","",'Marks Entry'!F10)</f>
        <v>40670</v>
      </c>
      <c r="F10" s="93" t="str">
        <f>IF('Marks Entry'!G10="","",'Marks Entry'!G10)</f>
        <v>RAMESH</v>
      </c>
      <c r="G10" s="93" t="str">
        <f>IF('Marks Entry'!H10="","",'Marks Entry'!H10)</f>
        <v/>
      </c>
      <c r="H10" s="93" t="str">
        <f>IF('Marks Entry'!I10="","",'Marks Entry'!I10)</f>
        <v/>
      </c>
      <c r="I10" s="94" t="str">
        <f>IF('Marks Entry'!J10="","",'Marks Entry'!J10)</f>
        <v>SBC</v>
      </c>
      <c r="J10" s="95" t="str">
        <f>IF('Marks Entry'!K10="","",'Marks Entry'!K10)</f>
        <v>M</v>
      </c>
      <c r="K10" s="68" t="str">
        <f>IF('Marks Entry'!L10="","",'Marks Entry'!L10)</f>
        <v>AB</v>
      </c>
      <c r="L10" s="68">
        <f>IF('Marks Entry'!M10="","",'Marks Entry'!M10)</f>
        <v>9</v>
      </c>
      <c r="M10" s="68">
        <f>IF('Marks Entry'!N10="","",'Marks Entry'!N10)</f>
        <v>4</v>
      </c>
      <c r="N10" s="514">
        <f t="shared" si="83"/>
        <v>13</v>
      </c>
      <c r="O10" s="68">
        <f>IF('Marks Entry'!O10="","",'Marks Entry'!O10)</f>
        <v>46</v>
      </c>
      <c r="P10" s="515">
        <f t="shared" si="84"/>
        <v>59</v>
      </c>
      <c r="Q10" s="68">
        <f>IF('Marks Entry'!P10="","",'Marks Entry'!P10)</f>
        <v>65</v>
      </c>
      <c r="R10" s="96">
        <f t="shared" si="85"/>
        <v>124</v>
      </c>
      <c r="S10" s="65">
        <f t="shared" si="86"/>
        <v>0</v>
      </c>
      <c r="T10" s="65">
        <f t="shared" si="87"/>
        <v>0</v>
      </c>
      <c r="U10" s="66">
        <f t="shared" si="88"/>
        <v>200</v>
      </c>
      <c r="V10" s="65" t="str">
        <f t="shared" si="89"/>
        <v/>
      </c>
      <c r="W10" s="65" t="str">
        <f t="shared" si="90"/>
        <v>P</v>
      </c>
      <c r="X10" s="65" t="str">
        <f t="shared" si="91"/>
        <v>I</v>
      </c>
      <c r="Y10" s="68">
        <f>IF('Marks Entry'!Q10="","",'Marks Entry'!Q10)</f>
        <v>8</v>
      </c>
      <c r="Z10" s="68">
        <f>IF('Marks Entry'!R10="","",'Marks Entry'!R10)</f>
        <v>9</v>
      </c>
      <c r="AA10" s="68">
        <f>IF('Marks Entry'!S10="","",'Marks Entry'!S10)</f>
        <v>10</v>
      </c>
      <c r="AB10" s="514">
        <f t="shared" si="2"/>
        <v>27</v>
      </c>
      <c r="AC10" s="68">
        <f>IF('Marks Entry'!T10="","",'Marks Entry'!T10)</f>
        <v>30</v>
      </c>
      <c r="AD10" s="515">
        <f t="shared" si="3"/>
        <v>57</v>
      </c>
      <c r="AE10" s="68">
        <f>IF('Marks Entry'!U10="","",'Marks Entry'!U10)</f>
        <v>95</v>
      </c>
      <c r="AF10" s="96">
        <f t="shared" si="4"/>
        <v>152</v>
      </c>
      <c r="AG10" s="65">
        <f t="shared" si="5"/>
        <v>0</v>
      </c>
      <c r="AH10" s="65">
        <f t="shared" si="6"/>
        <v>0</v>
      </c>
      <c r="AI10" s="66">
        <f t="shared" si="7"/>
        <v>200</v>
      </c>
      <c r="AJ10" s="65" t="str">
        <f t="shared" si="8"/>
        <v/>
      </c>
      <c r="AK10" s="65" t="str">
        <f t="shared" si="9"/>
        <v>P</v>
      </c>
      <c r="AL10" s="65" t="str">
        <f t="shared" si="10"/>
        <v>D</v>
      </c>
      <c r="AM10" s="524" t="str">
        <f>IF('Marks Entry'!V10="","",IF('Marks Entry'!V10=1,'School Profile'!$I$9,IF('Marks Entry'!V10=2,'School Profile'!$I$10,IF('Marks Entry'!V10=3,'School Profile'!$I$11,IF('Marks Entry'!V10=4,'School Profile'!$I$12,IF('Marks Entry'!V10=5,'School Profile'!$I$13,IF('Marks Entry'!V10=6,'School Profile'!$I$14,"")))))))</f>
        <v>संस्कृत (71)</v>
      </c>
      <c r="AN10" s="68">
        <f>IF('Marks Entry'!W10="","",'Marks Entry'!W10)</f>
        <v>8</v>
      </c>
      <c r="AO10" s="68">
        <f>IF('Marks Entry'!X10="","",'Marks Entry'!X10)</f>
        <v>9</v>
      </c>
      <c r="AP10" s="68">
        <f>IF('Marks Entry'!Y10="","",'Marks Entry'!Y10)</f>
        <v>9</v>
      </c>
      <c r="AQ10" s="514">
        <f t="shared" si="11"/>
        <v>26</v>
      </c>
      <c r="AR10" s="68">
        <f>IF('Marks Entry'!Z10="","",'Marks Entry'!Z10)</f>
        <v>46</v>
      </c>
      <c r="AS10" s="515">
        <f t="shared" si="12"/>
        <v>72</v>
      </c>
      <c r="AT10" s="68">
        <f>IF('Marks Entry'!AA10="","",'Marks Entry'!AA10)</f>
        <v>45</v>
      </c>
      <c r="AU10" s="96">
        <f t="shared" si="13"/>
        <v>117</v>
      </c>
      <c r="AV10" s="65">
        <f t="shared" si="14"/>
        <v>0</v>
      </c>
      <c r="AW10" s="65">
        <f t="shared" si="15"/>
        <v>0</v>
      </c>
      <c r="AX10" s="66">
        <f t="shared" si="16"/>
        <v>200</v>
      </c>
      <c r="AY10" s="65" t="str">
        <f t="shared" si="17"/>
        <v/>
      </c>
      <c r="AZ10" s="65" t="str">
        <f t="shared" si="18"/>
        <v>P</v>
      </c>
      <c r="BA10" s="65" t="str">
        <f t="shared" si="19"/>
        <v>II</v>
      </c>
      <c r="BB10" s="68">
        <f>IF('Marks Entry'!AB10="","",'Marks Entry'!AB10)</f>
        <v>8</v>
      </c>
      <c r="BC10" s="68">
        <f>IF('Marks Entry'!AC10="","",'Marks Entry'!AC10)</f>
        <v>9</v>
      </c>
      <c r="BD10" s="68">
        <f>IF('Marks Entry'!AD10="","",'Marks Entry'!AD10)</f>
        <v>8</v>
      </c>
      <c r="BE10" s="514">
        <f t="shared" si="20"/>
        <v>25</v>
      </c>
      <c r="BF10" s="68">
        <f>IF('Marks Entry'!AE10="","",'Marks Entry'!AE10)</f>
        <v>12</v>
      </c>
      <c r="BG10" s="515">
        <f t="shared" si="21"/>
        <v>37</v>
      </c>
      <c r="BH10" s="68">
        <f>IF('Marks Entry'!AF10="","",'Marks Entry'!AF10)</f>
        <v>34</v>
      </c>
      <c r="BI10" s="96">
        <f t="shared" si="22"/>
        <v>71</v>
      </c>
      <c r="BJ10" s="65">
        <f t="shared" si="23"/>
        <v>0</v>
      </c>
      <c r="BK10" s="65">
        <f t="shared" si="92"/>
        <v>0</v>
      </c>
      <c r="BL10" s="66">
        <f t="shared" si="24"/>
        <v>200</v>
      </c>
      <c r="BM10" s="65" t="str">
        <f t="shared" si="25"/>
        <v/>
      </c>
      <c r="BN10" s="65" t="str">
        <f t="shared" si="26"/>
        <v>G2</v>
      </c>
      <c r="BO10" s="65" t="str">
        <f t="shared" si="27"/>
        <v>G2</v>
      </c>
      <c r="BP10" s="68">
        <f>IF('Marks Entry'!AG10="","",'Marks Entry'!AG10)</f>
        <v>8</v>
      </c>
      <c r="BQ10" s="68">
        <f>IF('Marks Entry'!AH10="","",'Marks Entry'!AH10)</f>
        <v>9</v>
      </c>
      <c r="BR10" s="68">
        <f>IF('Marks Entry'!AI10="","",'Marks Entry'!AI10)</f>
        <v>9</v>
      </c>
      <c r="BS10" s="514">
        <f t="shared" si="28"/>
        <v>26</v>
      </c>
      <c r="BT10" s="68">
        <f>IF('Marks Entry'!AJ10="","",'Marks Entry'!AJ10)</f>
        <v>46</v>
      </c>
      <c r="BU10" s="515">
        <f t="shared" si="29"/>
        <v>72</v>
      </c>
      <c r="BV10" s="68">
        <f>IF('Marks Entry'!AK10="","",'Marks Entry'!AK10)</f>
        <v>45</v>
      </c>
      <c r="BW10" s="96">
        <f t="shared" si="30"/>
        <v>117</v>
      </c>
      <c r="BX10" s="65">
        <f t="shared" si="31"/>
        <v>0</v>
      </c>
      <c r="BY10" s="65">
        <f t="shared" si="32"/>
        <v>0</v>
      </c>
      <c r="BZ10" s="66">
        <f t="shared" si="33"/>
        <v>200</v>
      </c>
      <c r="CA10" s="65" t="str">
        <f t="shared" si="34"/>
        <v/>
      </c>
      <c r="CB10" s="65" t="str">
        <f t="shared" si="35"/>
        <v>P</v>
      </c>
      <c r="CC10" s="65" t="str">
        <f t="shared" si="36"/>
        <v>II</v>
      </c>
      <c r="CD10" s="66">
        <f t="shared" si="93"/>
        <v>0</v>
      </c>
      <c r="CE10" s="68">
        <f>IF('Marks Entry'!AL10="","",'Marks Entry'!AL10)</f>
        <v>7</v>
      </c>
      <c r="CF10" s="68">
        <f>IF('Marks Entry'!AM10="","",'Marks Entry'!AM10)</f>
        <v>7</v>
      </c>
      <c r="CG10" s="68">
        <f>IF('Marks Entry'!AN10="","",'Marks Entry'!AN10)</f>
        <v>7</v>
      </c>
      <c r="CH10" s="514">
        <f t="shared" si="37"/>
        <v>21</v>
      </c>
      <c r="CI10" s="68">
        <f>IF('Marks Entry'!AO10="","",'Marks Entry'!AO10)</f>
        <v>46</v>
      </c>
      <c r="CJ10" s="515">
        <f t="shared" si="38"/>
        <v>67</v>
      </c>
      <c r="CK10" s="68">
        <f>IF('Marks Entry'!AP10="","",'Marks Entry'!AP10)</f>
        <v>45</v>
      </c>
      <c r="CL10" s="96">
        <f t="shared" si="39"/>
        <v>112</v>
      </c>
      <c r="CM10" s="65">
        <f t="shared" si="40"/>
        <v>0</v>
      </c>
      <c r="CN10" s="65">
        <f t="shared" si="41"/>
        <v>0</v>
      </c>
      <c r="CO10" s="66">
        <f t="shared" si="42"/>
        <v>200</v>
      </c>
      <c r="CP10" s="65" t="str">
        <f t="shared" si="43"/>
        <v/>
      </c>
      <c r="CQ10" s="65" t="str">
        <f t="shared" si="44"/>
        <v>P</v>
      </c>
      <c r="CR10" s="65" t="str">
        <f t="shared" si="45"/>
        <v>II</v>
      </c>
      <c r="CS10" s="616" t="str">
        <f>IF('School Profile'!$D$20="NO","",IF('Marks Entry'!AQ10="","",IF('Marks Entry'!AQ10=1,'School Profile'!$I$29,IF('Marks Entry'!AQ10=2,'School Profile'!$I$30,IF('Marks Entry'!AQ10=3,'School Profile'!$I$31,IF('Marks Entry'!AQ10=4,'School Profile'!$I$32,IF('Marks Entry'!AQ10=5,'School Profile'!$I$33,IF('Marks Entry'!AQ10=6,'School Profile'!$I$34,IF('Marks Entry'!AQ10=7,'School Profile'!$I$35,IF('Marks Entry'!AQ10=8,'School Profile'!$I$36,IF('Marks Entry'!AQ10=9,'School Profile'!$I$37,IF('Marks Entry'!AQ10=10,'School Profile'!$I$38,IF('Marks Entry'!AQ10=11,'School Profile'!$I$39,"")))))))))))))</f>
        <v/>
      </c>
      <c r="CT10" s="68" t="str">
        <f>IF('School Profile'!$D$20="NO","",IF('Marks Entry'!AR10="","",'Marks Entry'!AR10))</f>
        <v/>
      </c>
      <c r="CU10" s="68" t="str">
        <f>IF('School Profile'!$D$20="NO","",IF('Marks Entry'!AS10="","",'Marks Entry'!AS10))</f>
        <v/>
      </c>
      <c r="CV10" s="68" t="str">
        <f>IF('School Profile'!$D$20="NO","",IF('Marks Entry'!AT10="","",'Marks Entry'!AT10))</f>
        <v/>
      </c>
      <c r="CW10" s="514" t="str">
        <f>IF('School Profile'!$D$20="NO","",IF(AND(CT10="",CU10="",CV10=""),"",SUM(CT10:CV10)))</f>
        <v/>
      </c>
      <c r="CX10" s="68" t="str">
        <f>IF('School Profile'!$D$20="NO","",IF('Marks Entry'!AU10="","",'Marks Entry'!AU10))</f>
        <v/>
      </c>
      <c r="CY10" s="68" t="str">
        <f>IF('School Profile'!$D$20="NO","",IF('Marks Entry'!AV10="","",'Marks Entry'!AV10))</f>
        <v/>
      </c>
      <c r="CZ10" s="515" t="str">
        <f>IF('School Profile'!$D$20="NO","",IF(AND(CX10="",CY10=""),"",SUM(CX10,CY10)))</f>
        <v/>
      </c>
      <c r="DA10" s="69" t="str">
        <f>IF('School Profile'!$D$20="NO","",IF(AND(CW10="",CZ10=""),"",SUM(CW10+CZ10)))</f>
        <v/>
      </c>
      <c r="DB10" s="68" t="str">
        <f>IF('School Profile'!$D$20="NO","",IF('Marks Entry'!AW10="","",'Marks Entry'!AW10))</f>
        <v/>
      </c>
      <c r="DC10" s="68" t="str">
        <f>IF('School Profile'!$D$20="NO","",IF('Marks Entry'!AX10="","",'Marks Entry'!AX10))</f>
        <v/>
      </c>
      <c r="DD10" s="515" t="str">
        <f>IF('School Profile'!$D$20="NO","",IF(AND(DB10="",DC10=""),"",SUM(DB10,DC10)))</f>
        <v/>
      </c>
      <c r="DE10" s="96" t="str">
        <f>IF('School Profile'!$D$20="NO","",IF(AND(DA10="",DD10=""),"",SUM(DA10,DD10)))</f>
        <v/>
      </c>
      <c r="DF10" s="532">
        <f t="shared" si="46"/>
        <v>0</v>
      </c>
      <c r="DG10" s="65">
        <f t="shared" si="47"/>
        <v>0</v>
      </c>
      <c r="DH10" s="66" t="str">
        <f t="shared" si="48"/>
        <v/>
      </c>
      <c r="DI10" s="65" t="str">
        <f t="shared" si="49"/>
        <v/>
      </c>
      <c r="DJ10" s="65" t="str">
        <f t="shared" si="50"/>
        <v/>
      </c>
      <c r="DK10" s="65" t="str">
        <f t="shared" si="51"/>
        <v/>
      </c>
      <c r="DL10" s="97" t="str">
        <f t="shared" si="94"/>
        <v>I</v>
      </c>
      <c r="DM10" s="97" t="str">
        <f t="shared" si="95"/>
        <v>D</v>
      </c>
      <c r="DN10" s="97" t="str">
        <f t="shared" si="96"/>
        <v>II</v>
      </c>
      <c r="DO10" s="97" t="str">
        <f t="shared" si="97"/>
        <v>G2</v>
      </c>
      <c r="DP10" s="97" t="str">
        <f t="shared" si="98"/>
        <v>II</v>
      </c>
      <c r="DQ10" s="97" t="str">
        <f t="shared" si="99"/>
        <v>II</v>
      </c>
      <c r="DR10" s="97" t="str">
        <f t="shared" si="100"/>
        <v/>
      </c>
      <c r="DS10" s="98">
        <f t="shared" si="101"/>
        <v>0</v>
      </c>
      <c r="DT10" s="98">
        <f t="shared" si="102"/>
        <v>0</v>
      </c>
      <c r="DU10" s="98">
        <f t="shared" si="103"/>
        <v>0</v>
      </c>
      <c r="DV10" s="98">
        <f t="shared" si="104"/>
        <v>1</v>
      </c>
      <c r="DW10" s="98">
        <f t="shared" si="105"/>
        <v>0</v>
      </c>
      <c r="DX10" s="98" t="str">
        <f t="shared" si="106"/>
        <v/>
      </c>
      <c r="DY10" s="99" t="str">
        <f t="shared" si="107"/>
        <v>BY GRACE PASS</v>
      </c>
      <c r="DZ10" s="74">
        <f>IF('Marks Entry'!AY10="","",'Marks Entry'!AY10)</f>
        <v>9</v>
      </c>
      <c r="EA10" s="74">
        <f>IF('Marks Entry'!AZ10="","",'Marks Entry'!AZ10)</f>
        <v>9</v>
      </c>
      <c r="EB10" s="74">
        <f>IF('Marks Entry'!BA10="","",'Marks Entry'!BA10)</f>
        <v>9</v>
      </c>
      <c r="EC10" s="527">
        <f t="shared" si="52"/>
        <v>27</v>
      </c>
      <c r="ED10" s="74">
        <f>IF('Marks Entry'!BB10="","",'Marks Entry'!BB10)</f>
        <v>66</v>
      </c>
      <c r="EE10" s="528">
        <f t="shared" si="53"/>
        <v>93</v>
      </c>
      <c r="EF10" s="74">
        <f>IF('Marks Entry'!BC10="","",'Marks Entry'!BC10)</f>
        <v>91</v>
      </c>
      <c r="EG10" s="530">
        <f t="shared" si="54"/>
        <v>184</v>
      </c>
      <c r="EH10" s="368" t="str">
        <f t="shared" si="108"/>
        <v>A</v>
      </c>
      <c r="EI10" s="65">
        <f t="shared" si="109"/>
        <v>0</v>
      </c>
      <c r="EJ10" s="65">
        <f t="shared" si="110"/>
        <v>0</v>
      </c>
      <c r="EK10" s="66">
        <f t="shared" si="111"/>
        <v>200</v>
      </c>
      <c r="EL10" s="74">
        <f>IF('Marks Entry'!BD10="","",'Marks Entry'!BD10)</f>
        <v>8</v>
      </c>
      <c r="EM10" s="74">
        <f>IF('Marks Entry'!BE10="","",'Marks Entry'!BE10)</f>
        <v>8</v>
      </c>
      <c r="EN10" s="74">
        <f>IF('Marks Entry'!BF10="","",'Marks Entry'!BF10)</f>
        <v>8</v>
      </c>
      <c r="EO10" s="527">
        <f t="shared" si="55"/>
        <v>24</v>
      </c>
      <c r="EP10" s="74">
        <f>IF('Marks Entry'!BG10="","",'Marks Entry'!BG10)</f>
        <v>48</v>
      </c>
      <c r="EQ10" s="74">
        <f>IF('Marks Entry'!BH10="","",'Marks Entry'!BH10)</f>
        <v>15</v>
      </c>
      <c r="ER10" s="528">
        <f t="shared" si="56"/>
        <v>63</v>
      </c>
      <c r="ES10" s="529">
        <f t="shared" si="57"/>
        <v>87</v>
      </c>
      <c r="ET10" s="74">
        <f>IF('Marks Entry'!BI10="","",'Marks Entry'!BI10)</f>
        <v>62</v>
      </c>
      <c r="EU10" s="74">
        <f>IF('Marks Entry'!BJ10="","",'Marks Entry'!BJ10)</f>
        <v>27</v>
      </c>
      <c r="EV10" s="528">
        <f t="shared" si="58"/>
        <v>89</v>
      </c>
      <c r="EW10" s="530">
        <f t="shared" si="59"/>
        <v>176</v>
      </c>
      <c r="EX10" s="368" t="str">
        <f t="shared" si="112"/>
        <v>A</v>
      </c>
      <c r="EY10" s="65">
        <f t="shared" si="113"/>
        <v>0</v>
      </c>
      <c r="EZ10" s="65">
        <f t="shared" si="114"/>
        <v>0</v>
      </c>
      <c r="FA10" s="66">
        <f t="shared" si="115"/>
        <v>200</v>
      </c>
      <c r="FB10" s="74">
        <f>IF('Marks Entry'!BK10="","",'Marks Entry'!BK10)</f>
        <v>9</v>
      </c>
      <c r="FC10" s="74">
        <f>IF('Marks Entry'!BL10="","",'Marks Entry'!BL10)</f>
        <v>7</v>
      </c>
      <c r="FD10" s="74">
        <f>IF('Marks Entry'!BM10="","",'Marks Entry'!BM10)</f>
        <v>9</v>
      </c>
      <c r="FE10" s="74">
        <f>IF('Marks Entry'!BN10="","",'Marks Entry'!BN10)</f>
        <v>6</v>
      </c>
      <c r="FF10" s="74">
        <f>IF('Marks Entry'!BO10="","",'Marks Entry'!BO10)</f>
        <v>9</v>
      </c>
      <c r="FG10" s="74">
        <f>IF('Marks Entry'!BP10="","",'Marks Entry'!BP10)</f>
        <v>14</v>
      </c>
      <c r="FH10" s="527">
        <f t="shared" si="60"/>
        <v>54</v>
      </c>
      <c r="FI10" s="74">
        <f>IF('Marks Entry'!BQ10="","",'Marks Entry'!BQ10)</f>
        <v>21</v>
      </c>
      <c r="FJ10" s="74">
        <f>IF('Marks Entry'!BR10="","",'Marks Entry'!BR10)</f>
        <v>13</v>
      </c>
      <c r="FK10" s="528">
        <f t="shared" si="61"/>
        <v>34</v>
      </c>
      <c r="FL10" s="529">
        <f t="shared" si="62"/>
        <v>88</v>
      </c>
      <c r="FM10" s="74">
        <f>IF('Marks Entry'!BS10="","",'Marks Entry'!BS10)</f>
        <v>23</v>
      </c>
      <c r="FN10" s="74">
        <f>IF('Marks Entry'!BT10="","",'Marks Entry'!BT10)</f>
        <v>56</v>
      </c>
      <c r="FO10" s="528">
        <f t="shared" si="63"/>
        <v>79</v>
      </c>
      <c r="FP10" s="530">
        <f t="shared" si="64"/>
        <v>167</v>
      </c>
      <c r="FQ10" s="368" t="str">
        <f t="shared" si="116"/>
        <v>A</v>
      </c>
      <c r="FR10" s="65">
        <f t="shared" si="117"/>
        <v>0</v>
      </c>
      <c r="FS10" s="65">
        <f t="shared" si="118"/>
        <v>0</v>
      </c>
      <c r="FT10" s="66">
        <f t="shared" si="119"/>
        <v>200</v>
      </c>
      <c r="FU10" s="74">
        <f>IF('Marks Entry'!BU10="","",'Marks Entry'!BU10)</f>
        <v>24</v>
      </c>
      <c r="FV10" s="74">
        <f>IF('Marks Entry'!BV10="","",'Marks Entry'!BV10)</f>
        <v>44</v>
      </c>
      <c r="FW10" s="74">
        <f>IF('Marks Entry'!BW10="","",'Marks Entry'!BW10)</f>
        <v>28</v>
      </c>
      <c r="FX10" s="75">
        <f t="shared" si="65"/>
        <v>96</v>
      </c>
      <c r="FY10" s="368" t="str">
        <f t="shared" si="120"/>
        <v>A</v>
      </c>
      <c r="FZ10" s="65">
        <f t="shared" si="121"/>
        <v>0</v>
      </c>
      <c r="GA10" s="66">
        <f t="shared" si="122"/>
        <v>0</v>
      </c>
      <c r="GB10" s="66">
        <f t="shared" si="123"/>
        <v>100</v>
      </c>
      <c r="GC10" s="74">
        <f>IF('Marks Entry'!BX10="","",'Marks Entry'!BX10)</f>
        <v>25</v>
      </c>
      <c r="GD10" s="74">
        <f>IF('Marks Entry'!BY10="","",'Marks Entry'!BY10)</f>
        <v>47</v>
      </c>
      <c r="GE10" s="74">
        <f>IF('Marks Entry'!BZ10="","",'Marks Entry'!BZ10)</f>
        <v>9</v>
      </c>
      <c r="GF10" s="75">
        <f t="shared" si="124"/>
        <v>81</v>
      </c>
      <c r="GG10" s="368" t="str">
        <f t="shared" si="125"/>
        <v>A</v>
      </c>
      <c r="GH10" s="65">
        <f t="shared" si="126"/>
        <v>0</v>
      </c>
      <c r="GI10" s="66">
        <f t="shared" si="127"/>
        <v>0</v>
      </c>
      <c r="GJ10" s="66">
        <f t="shared" si="128"/>
        <v>100</v>
      </c>
      <c r="GK10" s="100" t="str">
        <f>IF(AND(F10="",B10=""),"",IF('Student DATA Entry'!M7="","",'Student DATA Entry'!M7))</f>
        <v/>
      </c>
      <c r="GL10" s="101" t="str">
        <f>IF(AND(B10="",F10=""),"",IF('Student DATA Entry'!N7="","",'Student DATA Entry'!N7))</f>
        <v/>
      </c>
      <c r="GM10" s="581" t="str">
        <f t="shared" si="129"/>
        <v/>
      </c>
      <c r="GN10" s="94" t="str">
        <f t="shared" si="130"/>
        <v>I</v>
      </c>
      <c r="GO10" s="94" t="str">
        <f t="shared" si="131"/>
        <v/>
      </c>
      <c r="GP10" s="102" t="str">
        <f t="shared" si="67"/>
        <v/>
      </c>
      <c r="GQ10" s="94" t="str">
        <f t="shared" si="132"/>
        <v>D</v>
      </c>
      <c r="GR10" s="103" t="str">
        <f t="shared" si="133"/>
        <v/>
      </c>
      <c r="GS10" s="102" t="str">
        <f t="shared" si="68"/>
        <v/>
      </c>
      <c r="GT10" s="104" t="str">
        <f t="shared" si="134"/>
        <v>II</v>
      </c>
      <c r="GU10" s="94" t="str">
        <f>IF('Marks Entry'!V10=1,GT10,"")</f>
        <v>II</v>
      </c>
      <c r="GV10" s="94" t="str">
        <f>IF('Marks Entry'!V10=2,GT10,"")</f>
        <v/>
      </c>
      <c r="GW10" s="94" t="str">
        <f>IF('Marks Entry'!V10=3,GT10,"")</f>
        <v/>
      </c>
      <c r="GX10" s="94" t="str">
        <f>IF('Marks Entry'!V10=4,GT10,"")</f>
        <v/>
      </c>
      <c r="GY10" s="94" t="str">
        <f>IF('Marks Entry'!V10=5,GT10,"")</f>
        <v/>
      </c>
      <c r="GZ10" s="94" t="str">
        <f t="shared" si="135"/>
        <v/>
      </c>
      <c r="HA10" s="105" t="str">
        <f t="shared" si="69"/>
        <v/>
      </c>
      <c r="HB10" s="94" t="str">
        <f t="shared" si="136"/>
        <v>G</v>
      </c>
      <c r="HC10" s="94" t="str">
        <f t="shared" si="137"/>
        <v>,+</v>
      </c>
      <c r="HD10" s="105">
        <f t="shared" si="70"/>
        <v>1</v>
      </c>
      <c r="HE10" s="94" t="str">
        <f t="shared" si="138"/>
        <v>II</v>
      </c>
      <c r="HF10" s="94" t="str">
        <f t="shared" si="139"/>
        <v/>
      </c>
      <c r="HG10" s="105" t="str">
        <f t="shared" si="71"/>
        <v/>
      </c>
      <c r="HH10" s="94" t="str">
        <f t="shared" si="140"/>
        <v>II</v>
      </c>
      <c r="HI10" s="94" t="str">
        <f t="shared" si="141"/>
        <v/>
      </c>
      <c r="HJ10" s="105" t="str">
        <f t="shared" si="72"/>
        <v/>
      </c>
      <c r="HK10" s="94" t="str">
        <f t="shared" si="142"/>
        <v/>
      </c>
      <c r="HL10" s="94" t="str">
        <f t="shared" si="143"/>
        <v/>
      </c>
      <c r="HM10" s="105" t="str">
        <f t="shared" si="73"/>
        <v/>
      </c>
      <c r="HN10" s="367" t="str">
        <f t="shared" si="144"/>
        <v xml:space="preserve">      </v>
      </c>
      <c r="HO10" s="418" t="str">
        <f t="shared" si="145"/>
        <v xml:space="preserve">      </v>
      </c>
      <c r="HP10" s="367" t="str">
        <f t="shared" si="146"/>
        <v xml:space="preserve">   गणित   </v>
      </c>
      <c r="HQ10" s="107" t="str">
        <f t="shared" si="147"/>
        <v xml:space="preserve">      </v>
      </c>
      <c r="HR10" s="366" t="str">
        <f t="shared" si="148"/>
        <v xml:space="preserve"> अंग्रेजी     </v>
      </c>
      <c r="HS10" s="544" t="str">
        <f t="shared" si="74"/>
        <v>BY GRACE PASS</v>
      </c>
      <c r="HT10" s="542">
        <f t="shared" si="149"/>
        <v>693</v>
      </c>
      <c r="HU10" s="541">
        <f t="shared" si="160"/>
        <v>57.75</v>
      </c>
      <c r="HV10" s="540" t="str">
        <f t="shared" si="150"/>
        <v>2nd</v>
      </c>
      <c r="HW10" s="537">
        <f t="shared" si="151"/>
        <v>57.75</v>
      </c>
      <c r="HX10" s="539">
        <f t="shared" si="152"/>
        <v>15.000000000000075</v>
      </c>
      <c r="HY10" s="553" t="str">
        <f>IFERROR(IF(OR(HS10="SUPPLEMENTARY",HS10="RE-EXAM"),'Supp. Result Entry'!AQ8,""),"")</f>
        <v/>
      </c>
      <c r="HZ10" s="538" t="str">
        <f t="shared" si="153"/>
        <v/>
      </c>
      <c r="IA10" s="415" t="str">
        <f t="shared" si="154"/>
        <v/>
      </c>
      <c r="IB10" s="415" t="str">
        <f>IF(AND(HZ10="",IA10=""),"",IF(OR(HS10="SUPPLEMENTARY",HS10="RE-EXAM"),'Supp. Result Entry'!AQ8,HS10))</f>
        <v/>
      </c>
      <c r="IC10" s="87"/>
      <c r="IS10" s="109" t="str">
        <f>IF('Supp. Result Entry'!T8="","",'Supp. Result Entry'!$T$4)</f>
        <v/>
      </c>
      <c r="IT10" s="110" t="str">
        <f>IF('Supp. Result Entry'!W8="","",'Supp. Result Entry'!$W$4)</f>
        <v/>
      </c>
      <c r="IU10" s="110" t="str">
        <f>IF('Supp. Result Entry'!Z8="","",'Supp. Result Entry'!$Z$4)</f>
        <v/>
      </c>
      <c r="IV10" s="110" t="str">
        <f>IF('Supp. Result Entry'!AC8="","",'Supp. Result Entry'!$AC$4)</f>
        <v/>
      </c>
      <c r="IW10" s="110" t="str">
        <f>IF('Supp. Result Entry'!AF8="","",'Supp. Result Entry'!$AF$4)</f>
        <v/>
      </c>
      <c r="IX10" s="110" t="str">
        <f>IF('Supp. Result Entry'!AI8="","",'Supp. Result Entry'!$AI$4)</f>
        <v/>
      </c>
      <c r="IY10" s="110" t="str">
        <f>IF('Supp. Result Entry'!AI8="","",'Supp. Result Entry'!$AL$4)</f>
        <v/>
      </c>
      <c r="IZ10" s="110" t="str">
        <f>IF('Supp. Result Entry'!U8="","",'Supp. Result Entry'!U8)</f>
        <v/>
      </c>
      <c r="JA10" s="110" t="str">
        <f>IF('Supp. Result Entry'!X8="","",'Supp. Result Entry'!X8)</f>
        <v/>
      </c>
      <c r="JB10" s="110" t="str">
        <f>IF('Supp. Result Entry'!AA8="","",'Supp. Result Entry'!AA8)</f>
        <v/>
      </c>
      <c r="JC10" s="110" t="str">
        <f>IF('Supp. Result Entry'!AD8="","",'Supp. Result Entry'!AD8)</f>
        <v/>
      </c>
      <c r="JD10" s="110" t="str">
        <f>IF('Supp. Result Entry'!AG8="","",'Supp. Result Entry'!AG8)</f>
        <v/>
      </c>
      <c r="JE10" s="110" t="str">
        <f>IF('Supp. Result Entry'!AJ8="","",'Supp. Result Entry'!AJ8)</f>
        <v/>
      </c>
      <c r="JF10" s="110" t="str">
        <f>IF('Supp. Result Entry'!AM8="","",'Supp. Result Entry'!AM8)</f>
        <v/>
      </c>
      <c r="JG10" s="110" t="str">
        <f>IF('Supp. Result Entry'!V8="","",'Supp. Result Entry'!V8)</f>
        <v/>
      </c>
      <c r="JH10" s="110" t="str">
        <f>IF('Supp. Result Entry'!Y8="","",'Supp. Result Entry'!Y8)</f>
        <v/>
      </c>
      <c r="JI10" s="110" t="str">
        <f>IF('Supp. Result Entry'!AB8="","",'Supp. Result Entry'!AB8)</f>
        <v/>
      </c>
      <c r="JJ10" s="110" t="str">
        <f>IF('Supp. Result Entry'!AE8="","",'Supp. Result Entry'!AE8)</f>
        <v/>
      </c>
      <c r="JK10" s="110" t="str">
        <f>IF('Supp. Result Entry'!AH8="","",'Supp. Result Entry'!AH8)</f>
        <v/>
      </c>
      <c r="JL10" s="110" t="str">
        <f>IF('Supp. Result Entry'!AK8="","",'Supp. Result Entry'!AK8)</f>
        <v/>
      </c>
      <c r="JM10" s="110" t="str">
        <f>IF('Supp. Result Entry'!AN8="","",'Supp. Result Entry'!AN8)</f>
        <v/>
      </c>
      <c r="JN10" s="110">
        <f>COUNTIF('Supp. Result Entry'!K8:Q8,"S")</f>
        <v>0</v>
      </c>
      <c r="JO10" s="110">
        <f t="shared" si="155"/>
        <v>0</v>
      </c>
      <c r="JP10" s="110">
        <f t="shared" si="156"/>
        <v>0</v>
      </c>
      <c r="JQ10" s="110" t="str">
        <f t="shared" si="75"/>
        <v/>
      </c>
      <c r="JR10" s="110" t="str">
        <f t="shared" si="76"/>
        <v/>
      </c>
      <c r="JS10" s="110" t="str">
        <f t="shared" si="77"/>
        <v/>
      </c>
      <c r="JT10" s="110" t="str">
        <f t="shared" si="78"/>
        <v/>
      </c>
      <c r="JU10" s="110" t="str">
        <f t="shared" si="79"/>
        <v/>
      </c>
      <c r="JV10" s="110" t="str">
        <f t="shared" si="80"/>
        <v/>
      </c>
      <c r="JW10" s="110" t="str">
        <f t="shared" si="81"/>
        <v/>
      </c>
      <c r="JX10" s="110" t="str">
        <f t="shared" si="157"/>
        <v/>
      </c>
      <c r="JY10" s="110" t="str">
        <f t="shared" si="158"/>
        <v/>
      </c>
      <c r="JZ10" s="110" t="str">
        <f t="shared" si="82"/>
        <v/>
      </c>
      <c r="KA10" s="108" t="str">
        <f t="shared" si="159"/>
        <v/>
      </c>
    </row>
    <row r="11" spans="1:287" s="108" customFormat="1" ht="21.95" customHeight="1">
      <c r="A11" s="89">
        <v>5</v>
      </c>
      <c r="B11" s="90">
        <f>IF('Marks Entry'!B11="","",'Marks Entry'!B11)</f>
        <v>905</v>
      </c>
      <c r="C11" s="94" t="str">
        <f>IF('Marks Entry'!D11="","",'Marks Entry'!D11)</f>
        <v>A</v>
      </c>
      <c r="D11" s="91" t="str">
        <f>IF('Marks Entry'!E11="","",'Marks Entry'!E11)</f>
        <v/>
      </c>
      <c r="E11" s="92">
        <f>IF('Marks Entry'!F11="","",'Marks Entry'!F11)</f>
        <v>41525</v>
      </c>
      <c r="F11" s="93" t="str">
        <f>IF('Marks Entry'!G11="","",'Marks Entry'!G11)</f>
        <v>SHYAM</v>
      </c>
      <c r="G11" s="93" t="str">
        <f>IF('Marks Entry'!H11="","",'Marks Entry'!H11)</f>
        <v/>
      </c>
      <c r="H11" s="93" t="str">
        <f>IF('Marks Entry'!I11="","",'Marks Entry'!I11)</f>
        <v/>
      </c>
      <c r="I11" s="94" t="str">
        <f>IF('Marks Entry'!J11="","",'Marks Entry'!J11)</f>
        <v>SC</v>
      </c>
      <c r="J11" s="95" t="str">
        <f>IF('Marks Entry'!K11="","",'Marks Entry'!K11)</f>
        <v>M</v>
      </c>
      <c r="K11" s="68">
        <f>IF('Marks Entry'!L11="","",'Marks Entry'!L11)</f>
        <v>8</v>
      </c>
      <c r="L11" s="68">
        <f>IF('Marks Entry'!M11="","",'Marks Entry'!M11)</f>
        <v>9</v>
      </c>
      <c r="M11" s="68">
        <f>IF('Marks Entry'!N11="","",'Marks Entry'!N11)</f>
        <v>8</v>
      </c>
      <c r="N11" s="514">
        <f t="shared" si="83"/>
        <v>25</v>
      </c>
      <c r="O11" s="68">
        <f>IF('Marks Entry'!O11="","",'Marks Entry'!O11)</f>
        <v>46</v>
      </c>
      <c r="P11" s="515">
        <f t="shared" si="84"/>
        <v>71</v>
      </c>
      <c r="Q11" s="68">
        <f>IF('Marks Entry'!P11="","",'Marks Entry'!P11)</f>
        <v>65</v>
      </c>
      <c r="R11" s="96">
        <f t="shared" si="85"/>
        <v>136</v>
      </c>
      <c r="S11" s="65">
        <f t="shared" si="86"/>
        <v>0</v>
      </c>
      <c r="T11" s="65">
        <f t="shared" si="87"/>
        <v>0</v>
      </c>
      <c r="U11" s="66">
        <f t="shared" si="88"/>
        <v>200</v>
      </c>
      <c r="V11" s="65" t="str">
        <f t="shared" si="89"/>
        <v/>
      </c>
      <c r="W11" s="65" t="str">
        <f t="shared" si="90"/>
        <v>P</v>
      </c>
      <c r="X11" s="65" t="str">
        <f t="shared" si="91"/>
        <v>I</v>
      </c>
      <c r="Y11" s="68">
        <f>IF('Marks Entry'!Q11="","",'Marks Entry'!Q11)</f>
        <v>8</v>
      </c>
      <c r="Z11" s="68">
        <f>IF('Marks Entry'!R11="","",'Marks Entry'!R11)</f>
        <v>9</v>
      </c>
      <c r="AA11" s="68">
        <f>IF('Marks Entry'!S11="","",'Marks Entry'!S11)</f>
        <v>10</v>
      </c>
      <c r="AB11" s="514">
        <f t="shared" si="2"/>
        <v>27</v>
      </c>
      <c r="AC11" s="68">
        <f>IF('Marks Entry'!T11="","",'Marks Entry'!T11)</f>
        <v>61</v>
      </c>
      <c r="AD11" s="515">
        <f t="shared" si="3"/>
        <v>88</v>
      </c>
      <c r="AE11" s="68">
        <f>IF('Marks Entry'!U11="","",'Marks Entry'!U11)</f>
        <v>45</v>
      </c>
      <c r="AF11" s="96">
        <f t="shared" si="4"/>
        <v>133</v>
      </c>
      <c r="AG11" s="65">
        <f t="shared" si="5"/>
        <v>0</v>
      </c>
      <c r="AH11" s="65">
        <f t="shared" si="6"/>
        <v>0</v>
      </c>
      <c r="AI11" s="66">
        <f t="shared" si="7"/>
        <v>200</v>
      </c>
      <c r="AJ11" s="65" t="str">
        <f t="shared" si="8"/>
        <v/>
      </c>
      <c r="AK11" s="65" t="str">
        <f t="shared" si="9"/>
        <v>P</v>
      </c>
      <c r="AL11" s="65" t="str">
        <f t="shared" si="10"/>
        <v>I</v>
      </c>
      <c r="AM11" s="524" t="str">
        <f>IF('Marks Entry'!V11="","",IF('Marks Entry'!V11=1,'School Profile'!$I$9,IF('Marks Entry'!V11=2,'School Profile'!$I$10,IF('Marks Entry'!V11=3,'School Profile'!$I$11,IF('Marks Entry'!V11=4,'School Profile'!$I$12,IF('Marks Entry'!V11=5,'School Profile'!$I$13,IF('Marks Entry'!V11=6,'School Profile'!$I$14,"")))))))</f>
        <v xml:space="preserve">उर्दू (72) </v>
      </c>
      <c r="AN11" s="68">
        <f>IF('Marks Entry'!W11="","",'Marks Entry'!W11)</f>
        <v>8</v>
      </c>
      <c r="AO11" s="68">
        <f>IF('Marks Entry'!X11="","",'Marks Entry'!X11)</f>
        <v>9</v>
      </c>
      <c r="AP11" s="68">
        <f>IF('Marks Entry'!Y11="","",'Marks Entry'!Y11)</f>
        <v>8</v>
      </c>
      <c r="AQ11" s="514">
        <f t="shared" si="11"/>
        <v>25</v>
      </c>
      <c r="AR11" s="68">
        <f>IF('Marks Entry'!Z11="","",'Marks Entry'!Z11)</f>
        <v>46</v>
      </c>
      <c r="AS11" s="515">
        <f t="shared" si="12"/>
        <v>71</v>
      </c>
      <c r="AT11" s="68">
        <f>IF('Marks Entry'!AA11="","",'Marks Entry'!AA11)</f>
        <v>45</v>
      </c>
      <c r="AU11" s="96">
        <f t="shared" si="13"/>
        <v>116</v>
      </c>
      <c r="AV11" s="65">
        <f t="shared" si="14"/>
        <v>0</v>
      </c>
      <c r="AW11" s="65">
        <f t="shared" si="15"/>
        <v>0</v>
      </c>
      <c r="AX11" s="66">
        <f t="shared" si="16"/>
        <v>200</v>
      </c>
      <c r="AY11" s="65" t="str">
        <f t="shared" si="17"/>
        <v/>
      </c>
      <c r="AZ11" s="65" t="str">
        <f t="shared" si="18"/>
        <v>P</v>
      </c>
      <c r="BA11" s="65" t="str">
        <f t="shared" si="19"/>
        <v>II</v>
      </c>
      <c r="BB11" s="68">
        <f>IF('Marks Entry'!AB11="","",'Marks Entry'!AB11)</f>
        <v>8</v>
      </c>
      <c r="BC11" s="68">
        <f>IF('Marks Entry'!AC11="","",'Marks Entry'!AC11)</f>
        <v>9</v>
      </c>
      <c r="BD11" s="68">
        <f>IF('Marks Entry'!AD11="","",'Marks Entry'!AD11)</f>
        <v>9</v>
      </c>
      <c r="BE11" s="514">
        <f t="shared" si="20"/>
        <v>26</v>
      </c>
      <c r="BF11" s="68">
        <f>IF('Marks Entry'!AE11="","",'Marks Entry'!AE11)</f>
        <v>46</v>
      </c>
      <c r="BG11" s="515">
        <f t="shared" si="21"/>
        <v>72</v>
      </c>
      <c r="BH11" s="68">
        <f>IF('Marks Entry'!AF11="","",'Marks Entry'!AF11)</f>
        <v>45</v>
      </c>
      <c r="BI11" s="96">
        <f t="shared" si="22"/>
        <v>117</v>
      </c>
      <c r="BJ11" s="65">
        <f t="shared" si="23"/>
        <v>0</v>
      </c>
      <c r="BK11" s="65">
        <f t="shared" si="92"/>
        <v>0</v>
      </c>
      <c r="BL11" s="66">
        <f t="shared" si="24"/>
        <v>200</v>
      </c>
      <c r="BM11" s="65" t="str">
        <f t="shared" si="25"/>
        <v/>
      </c>
      <c r="BN11" s="65" t="str">
        <f t="shared" si="26"/>
        <v>P</v>
      </c>
      <c r="BO11" s="65" t="str">
        <f t="shared" si="27"/>
        <v>II</v>
      </c>
      <c r="BP11" s="68">
        <f>IF('Marks Entry'!AG11="","",'Marks Entry'!AG11)</f>
        <v>8</v>
      </c>
      <c r="BQ11" s="68">
        <f>IF('Marks Entry'!AH11="","",'Marks Entry'!AH11)</f>
        <v>9</v>
      </c>
      <c r="BR11" s="68">
        <f>IF('Marks Entry'!AI11="","",'Marks Entry'!AI11)</f>
        <v>10</v>
      </c>
      <c r="BS11" s="514">
        <f t="shared" si="28"/>
        <v>27</v>
      </c>
      <c r="BT11" s="68">
        <f>IF('Marks Entry'!AJ11="","",'Marks Entry'!AJ11)</f>
        <v>46</v>
      </c>
      <c r="BU11" s="515">
        <f t="shared" si="29"/>
        <v>73</v>
      </c>
      <c r="BV11" s="68">
        <f>IF('Marks Entry'!AK11="","",'Marks Entry'!AK11)</f>
        <v>45</v>
      </c>
      <c r="BW11" s="96">
        <f t="shared" si="30"/>
        <v>118</v>
      </c>
      <c r="BX11" s="65">
        <f t="shared" si="31"/>
        <v>0</v>
      </c>
      <c r="BY11" s="65">
        <f t="shared" si="32"/>
        <v>0</v>
      </c>
      <c r="BZ11" s="66">
        <f t="shared" si="33"/>
        <v>200</v>
      </c>
      <c r="CA11" s="65" t="str">
        <f t="shared" si="34"/>
        <v/>
      </c>
      <c r="CB11" s="65" t="str">
        <f>IF(OR($B11="NSO",$B11="",BV11=""),"",IF(OR(CA11="AB",BV11="ab"),"AB",IF(BV11="ML","RE",IF(BV11&lt;20%*$BV$6,"F",IF(AND(BW11&gt;=36%*BZ11,BV11&gt;=20),"P",IF(AND(BW11&gt;=34%*BZ11,BY11=0,BV11&gt;=20),"G2",IF(AND(BW11&gt;=31%*BZ11,BY11=0,BV11&gt;=20),"G1",IF(BW11&gt;=25%*BZ11,"S","F"))))))))</f>
        <v>P</v>
      </c>
      <c r="CC11" s="65" t="str">
        <f t="shared" si="36"/>
        <v>II</v>
      </c>
      <c r="CD11" s="66">
        <f t="shared" si="93"/>
        <v>0</v>
      </c>
      <c r="CE11" s="68">
        <f>IF('Marks Entry'!AL11="","",'Marks Entry'!AL11)</f>
        <v>6</v>
      </c>
      <c r="CF11" s="68">
        <f>IF('Marks Entry'!AM11="","",'Marks Entry'!AM11)</f>
        <v>6</v>
      </c>
      <c r="CG11" s="68">
        <f>IF('Marks Entry'!AN11="","",'Marks Entry'!AN11)</f>
        <v>6</v>
      </c>
      <c r="CH11" s="514">
        <f t="shared" si="37"/>
        <v>18</v>
      </c>
      <c r="CI11" s="68">
        <f>IF('Marks Entry'!AO11="","",'Marks Entry'!AO11)</f>
        <v>46</v>
      </c>
      <c r="CJ11" s="515">
        <f t="shared" si="38"/>
        <v>64</v>
      </c>
      <c r="CK11" s="68">
        <f>IF('Marks Entry'!AP11="","",'Marks Entry'!AP11)</f>
        <v>45</v>
      </c>
      <c r="CL11" s="96">
        <f t="shared" si="39"/>
        <v>109</v>
      </c>
      <c r="CM11" s="65">
        <f t="shared" si="40"/>
        <v>0</v>
      </c>
      <c r="CN11" s="65">
        <f t="shared" si="41"/>
        <v>0</v>
      </c>
      <c r="CO11" s="66">
        <f t="shared" si="42"/>
        <v>200</v>
      </c>
      <c r="CP11" s="65" t="str">
        <f t="shared" si="43"/>
        <v/>
      </c>
      <c r="CQ11" s="65" t="str">
        <f>IF(OR($B11="NSO",$B11="",CK11=""),"",IF(OR(CP11="AB",CK11="ab"),"AB",IF(CK11="ML","RE",IF(CK11&lt;20%*$CK$6,"F",IF(AND(CL11&gt;=36%*CO11,CK11&gt;=20),"P",IF(AND(CL11&gt;=34%*CO11,CN11=0,CK11&gt;=20),"G2",IF(AND(CL11&gt;=31%*CO11,CN11=0,CK11&gt;=20),"G1",IF(CL11&gt;=25%*CO11,"S","F"))))))))</f>
        <v>P</v>
      </c>
      <c r="CR11" s="65" t="str">
        <f t="shared" si="45"/>
        <v>II</v>
      </c>
      <c r="CS11" s="616" t="str">
        <f>IF('School Profile'!$D$20="NO","",IF('Marks Entry'!AQ11="","",IF('Marks Entry'!AQ11=1,'School Profile'!$I$29,IF('Marks Entry'!AQ11=2,'School Profile'!$I$30,IF('Marks Entry'!AQ11=3,'School Profile'!$I$31,IF('Marks Entry'!AQ11=4,'School Profile'!$I$32,IF('Marks Entry'!AQ11=5,'School Profile'!$I$33,IF('Marks Entry'!AQ11=6,'School Profile'!$I$34,IF('Marks Entry'!AQ11=7,'School Profile'!$I$35,IF('Marks Entry'!AQ11=8,'School Profile'!$I$36,IF('Marks Entry'!AQ11=9,'School Profile'!$I$37,IF('Marks Entry'!AQ11=10,'School Profile'!$I$38,IF('Marks Entry'!AQ11=11,'School Profile'!$I$39,"")))))))))))))</f>
        <v/>
      </c>
      <c r="CT11" s="68" t="str">
        <f>IF('School Profile'!$D$20="NO","",IF('Marks Entry'!AR11="","",'Marks Entry'!AR11))</f>
        <v/>
      </c>
      <c r="CU11" s="68" t="str">
        <f>IF('School Profile'!$D$20="NO","",IF('Marks Entry'!AS11="","",'Marks Entry'!AS11))</f>
        <v/>
      </c>
      <c r="CV11" s="68" t="str">
        <f>IF('School Profile'!$D$20="NO","",IF('Marks Entry'!AT11="","",'Marks Entry'!AT11))</f>
        <v/>
      </c>
      <c r="CW11" s="514" t="str">
        <f>IF('School Profile'!$D$20="NO","",IF(AND(CT11="",CU11="",CV11=""),"",SUM(CT11:CV11)))</f>
        <v/>
      </c>
      <c r="CX11" s="68" t="str">
        <f>IF('School Profile'!$D$20="NO","",IF('Marks Entry'!AU11="","",'Marks Entry'!AU11))</f>
        <v/>
      </c>
      <c r="CY11" s="68" t="str">
        <f>IF('School Profile'!$D$20="NO","",IF('Marks Entry'!AV11="","",'Marks Entry'!AV11))</f>
        <v/>
      </c>
      <c r="CZ11" s="515" t="str">
        <f>IF('School Profile'!$D$20="NO","",IF(AND(CX11="",CY11=""),"",SUM(CX11,CY11)))</f>
        <v/>
      </c>
      <c r="DA11" s="69" t="str">
        <f>IF('School Profile'!$D$20="NO","",IF(AND(CW11="",CZ11=""),"",SUM(CW11+CZ11)))</f>
        <v/>
      </c>
      <c r="DB11" s="68" t="str">
        <f>IF('School Profile'!$D$20="NO","",IF('Marks Entry'!AW11="","",'Marks Entry'!AW11))</f>
        <v/>
      </c>
      <c r="DC11" s="68" t="str">
        <f>IF('School Profile'!$D$20="NO","",IF('Marks Entry'!AX11="","",'Marks Entry'!AX11))</f>
        <v/>
      </c>
      <c r="DD11" s="515" t="str">
        <f>IF('School Profile'!$D$20="NO","",IF(AND(DB11="",DC11=""),"",SUM(DB11,DC11)))</f>
        <v/>
      </c>
      <c r="DE11" s="96" t="str">
        <f>IF('School Profile'!$D$20="NO","",IF(AND(DA11="",DD11=""),"",SUM(DA11,DD11)))</f>
        <v/>
      </c>
      <c r="DF11" s="532">
        <f t="shared" si="46"/>
        <v>0</v>
      </c>
      <c r="DG11" s="65">
        <f t="shared" si="47"/>
        <v>0</v>
      </c>
      <c r="DH11" s="66" t="str">
        <f t="shared" si="48"/>
        <v/>
      </c>
      <c r="DI11" s="65" t="str">
        <f t="shared" si="49"/>
        <v/>
      </c>
      <c r="DJ11" s="65" t="str">
        <f t="shared" si="50"/>
        <v/>
      </c>
      <c r="DK11" s="65" t="str">
        <f t="shared" si="51"/>
        <v/>
      </c>
      <c r="DL11" s="97" t="str">
        <f t="shared" si="94"/>
        <v>I</v>
      </c>
      <c r="DM11" s="97" t="str">
        <f t="shared" si="95"/>
        <v>I</v>
      </c>
      <c r="DN11" s="97" t="str">
        <f t="shared" si="96"/>
        <v>II</v>
      </c>
      <c r="DO11" s="97" t="str">
        <f t="shared" si="97"/>
        <v>II</v>
      </c>
      <c r="DP11" s="97" t="str">
        <f t="shared" si="98"/>
        <v>II</v>
      </c>
      <c r="DQ11" s="97" t="str">
        <f t="shared" si="99"/>
        <v>II</v>
      </c>
      <c r="DR11" s="97" t="str">
        <f t="shared" si="100"/>
        <v/>
      </c>
      <c r="DS11" s="98">
        <f t="shared" si="101"/>
        <v>0</v>
      </c>
      <c r="DT11" s="98">
        <f t="shared" si="102"/>
        <v>0</v>
      </c>
      <c r="DU11" s="98">
        <f t="shared" si="103"/>
        <v>0</v>
      </c>
      <c r="DV11" s="98">
        <f t="shared" si="104"/>
        <v>0</v>
      </c>
      <c r="DW11" s="98">
        <f t="shared" si="105"/>
        <v>0</v>
      </c>
      <c r="DX11" s="98" t="str">
        <f t="shared" si="106"/>
        <v/>
      </c>
      <c r="DY11" s="99" t="str">
        <f t="shared" si="107"/>
        <v>PASS</v>
      </c>
      <c r="DZ11" s="74">
        <f>IF('Marks Entry'!AY11="","",'Marks Entry'!AY11)</f>
        <v>9</v>
      </c>
      <c r="EA11" s="74">
        <f>IF('Marks Entry'!AZ11="","",'Marks Entry'!AZ11)</f>
        <v>9</v>
      </c>
      <c r="EB11" s="74">
        <f>IF('Marks Entry'!BA11="","",'Marks Entry'!BA11)</f>
        <v>9</v>
      </c>
      <c r="EC11" s="527">
        <f t="shared" si="52"/>
        <v>27</v>
      </c>
      <c r="ED11" s="74">
        <f>IF('Marks Entry'!BB11="","",'Marks Entry'!BB11)</f>
        <v>66</v>
      </c>
      <c r="EE11" s="528">
        <f t="shared" si="53"/>
        <v>93</v>
      </c>
      <c r="EF11" s="74">
        <f>IF('Marks Entry'!BC11="","",'Marks Entry'!BC11)</f>
        <v>91</v>
      </c>
      <c r="EG11" s="530">
        <f t="shared" si="54"/>
        <v>184</v>
      </c>
      <c r="EH11" s="368" t="str">
        <f t="shared" si="108"/>
        <v>A</v>
      </c>
      <c r="EI11" s="65">
        <f t="shared" si="109"/>
        <v>0</v>
      </c>
      <c r="EJ11" s="65">
        <f t="shared" si="110"/>
        <v>0</v>
      </c>
      <c r="EK11" s="66">
        <f t="shared" si="111"/>
        <v>200</v>
      </c>
      <c r="EL11" s="74">
        <f>IF('Marks Entry'!BD11="","",'Marks Entry'!BD11)</f>
        <v>8</v>
      </c>
      <c r="EM11" s="74">
        <f>IF('Marks Entry'!BE11="","",'Marks Entry'!BE11)</f>
        <v>8</v>
      </c>
      <c r="EN11" s="74">
        <f>IF('Marks Entry'!BF11="","",'Marks Entry'!BF11)</f>
        <v>8</v>
      </c>
      <c r="EO11" s="527">
        <f t="shared" si="55"/>
        <v>24</v>
      </c>
      <c r="EP11" s="74">
        <f>IF('Marks Entry'!BG11="","",'Marks Entry'!BG11)</f>
        <v>49</v>
      </c>
      <c r="EQ11" s="74">
        <f>IF('Marks Entry'!BH11="","",'Marks Entry'!BH11)</f>
        <v>14</v>
      </c>
      <c r="ER11" s="528">
        <f t="shared" si="56"/>
        <v>63</v>
      </c>
      <c r="ES11" s="529">
        <f t="shared" si="57"/>
        <v>87</v>
      </c>
      <c r="ET11" s="74">
        <f>IF('Marks Entry'!BI11="","",'Marks Entry'!BI11)</f>
        <v>63</v>
      </c>
      <c r="EU11" s="74">
        <f>IF('Marks Entry'!BJ11="","",'Marks Entry'!BJ11)</f>
        <v>27</v>
      </c>
      <c r="EV11" s="528">
        <f t="shared" si="58"/>
        <v>90</v>
      </c>
      <c r="EW11" s="530">
        <f t="shared" si="59"/>
        <v>177</v>
      </c>
      <c r="EX11" s="368" t="str">
        <f t="shared" si="112"/>
        <v>A</v>
      </c>
      <c r="EY11" s="65">
        <f t="shared" si="113"/>
        <v>0</v>
      </c>
      <c r="EZ11" s="65">
        <f t="shared" si="114"/>
        <v>0</v>
      </c>
      <c r="FA11" s="66">
        <f t="shared" si="115"/>
        <v>200</v>
      </c>
      <c r="FB11" s="74">
        <f>IF('Marks Entry'!BK11="","",'Marks Entry'!BK11)</f>
        <v>9</v>
      </c>
      <c r="FC11" s="74">
        <f>IF('Marks Entry'!BL11="","",'Marks Entry'!BL11)</f>
        <v>7</v>
      </c>
      <c r="FD11" s="74">
        <f>IF('Marks Entry'!BM11="","",'Marks Entry'!BM11)</f>
        <v>9</v>
      </c>
      <c r="FE11" s="74">
        <f>IF('Marks Entry'!BN11="","",'Marks Entry'!BN11)</f>
        <v>6</v>
      </c>
      <c r="FF11" s="74">
        <f>IF('Marks Entry'!BO11="","",'Marks Entry'!BO11)</f>
        <v>9</v>
      </c>
      <c r="FG11" s="74">
        <f>IF('Marks Entry'!BP11="","",'Marks Entry'!BP11)</f>
        <v>14</v>
      </c>
      <c r="FH11" s="527">
        <f t="shared" si="60"/>
        <v>54</v>
      </c>
      <c r="FI11" s="74">
        <f>IF('Marks Entry'!BQ11="","",'Marks Entry'!BQ11)</f>
        <v>21</v>
      </c>
      <c r="FJ11" s="74">
        <f>IF('Marks Entry'!BR11="","",'Marks Entry'!BR11)</f>
        <v>14</v>
      </c>
      <c r="FK11" s="528">
        <f t="shared" si="61"/>
        <v>35</v>
      </c>
      <c r="FL11" s="529">
        <f t="shared" si="62"/>
        <v>89</v>
      </c>
      <c r="FM11" s="74">
        <f>IF('Marks Entry'!BS11="","",'Marks Entry'!BS11)</f>
        <v>26</v>
      </c>
      <c r="FN11" s="74">
        <f>IF('Marks Entry'!BT11="","",'Marks Entry'!BT11)</f>
        <v>58</v>
      </c>
      <c r="FO11" s="528">
        <f t="shared" si="63"/>
        <v>84</v>
      </c>
      <c r="FP11" s="530">
        <f t="shared" si="64"/>
        <v>173</v>
      </c>
      <c r="FQ11" s="368" t="str">
        <f t="shared" si="116"/>
        <v>A</v>
      </c>
      <c r="FR11" s="65">
        <f t="shared" si="117"/>
        <v>0</v>
      </c>
      <c r="FS11" s="65">
        <f t="shared" si="118"/>
        <v>0</v>
      </c>
      <c r="FT11" s="66">
        <f t="shared" si="119"/>
        <v>200</v>
      </c>
      <c r="FU11" s="74">
        <f>IF('Marks Entry'!BU11="","",'Marks Entry'!BU11)</f>
        <v>21</v>
      </c>
      <c r="FV11" s="74">
        <f>IF('Marks Entry'!BV11="","",'Marks Entry'!BV11)</f>
        <v>41</v>
      </c>
      <c r="FW11" s="74">
        <f>IF('Marks Entry'!BW11="","",'Marks Entry'!BW11)</f>
        <v>25</v>
      </c>
      <c r="FX11" s="75">
        <f t="shared" si="65"/>
        <v>87</v>
      </c>
      <c r="FY11" s="368" t="str">
        <f t="shared" si="120"/>
        <v>A</v>
      </c>
      <c r="FZ11" s="65">
        <f t="shared" si="121"/>
        <v>0</v>
      </c>
      <c r="GA11" s="66">
        <f t="shared" si="122"/>
        <v>0</v>
      </c>
      <c r="GB11" s="66">
        <f t="shared" si="123"/>
        <v>100</v>
      </c>
      <c r="GC11" s="74">
        <f>IF('Marks Entry'!BX11="","",'Marks Entry'!BX11)</f>
        <v>24</v>
      </c>
      <c r="GD11" s="74">
        <f>IF('Marks Entry'!BY11="","",'Marks Entry'!BY11)</f>
        <v>56</v>
      </c>
      <c r="GE11" s="74">
        <f>IF('Marks Entry'!BZ11="","",'Marks Entry'!BZ11)</f>
        <v>11</v>
      </c>
      <c r="GF11" s="75">
        <f t="shared" si="124"/>
        <v>91</v>
      </c>
      <c r="GG11" s="368" t="str">
        <f t="shared" si="125"/>
        <v>A</v>
      </c>
      <c r="GH11" s="65">
        <f t="shared" si="126"/>
        <v>0</v>
      </c>
      <c r="GI11" s="66">
        <f t="shared" si="127"/>
        <v>0</v>
      </c>
      <c r="GJ11" s="66">
        <f t="shared" si="128"/>
        <v>100</v>
      </c>
      <c r="GK11" s="100" t="str">
        <f>IF(AND(F11="",B11=""),"",IF('Student DATA Entry'!M8="","",'Student DATA Entry'!M8))</f>
        <v/>
      </c>
      <c r="GL11" s="101" t="str">
        <f>IF(AND(B11="",F11=""),"",IF('Student DATA Entry'!N8="","",'Student DATA Entry'!N8))</f>
        <v/>
      </c>
      <c r="GM11" s="581" t="str">
        <f t="shared" si="129"/>
        <v/>
      </c>
      <c r="GN11" s="94" t="str">
        <f t="shared" si="130"/>
        <v>I</v>
      </c>
      <c r="GO11" s="94" t="str">
        <f t="shared" si="131"/>
        <v/>
      </c>
      <c r="GP11" s="102" t="str">
        <f t="shared" si="67"/>
        <v/>
      </c>
      <c r="GQ11" s="94" t="str">
        <f t="shared" si="132"/>
        <v>I</v>
      </c>
      <c r="GR11" s="103" t="str">
        <f t="shared" si="133"/>
        <v/>
      </c>
      <c r="GS11" s="102" t="str">
        <f t="shared" si="68"/>
        <v/>
      </c>
      <c r="GT11" s="104" t="str">
        <f t="shared" si="134"/>
        <v>II</v>
      </c>
      <c r="GU11" s="94" t="str">
        <f>IF('Marks Entry'!V11=1,GT11,"")</f>
        <v/>
      </c>
      <c r="GV11" s="94" t="str">
        <f>IF('Marks Entry'!V11=2,GT11,"")</f>
        <v>II</v>
      </c>
      <c r="GW11" s="94" t="str">
        <f>IF('Marks Entry'!V11=3,GT11,"")</f>
        <v/>
      </c>
      <c r="GX11" s="94" t="str">
        <f>IF('Marks Entry'!V11=4,GT11,"")</f>
        <v/>
      </c>
      <c r="GY11" s="94" t="str">
        <f>IF('Marks Entry'!V11=5,GT11,"")</f>
        <v/>
      </c>
      <c r="GZ11" s="94" t="str">
        <f t="shared" si="135"/>
        <v/>
      </c>
      <c r="HA11" s="105" t="str">
        <f t="shared" si="69"/>
        <v/>
      </c>
      <c r="HB11" s="94" t="str">
        <f t="shared" si="136"/>
        <v>II</v>
      </c>
      <c r="HC11" s="94" t="str">
        <f t="shared" si="137"/>
        <v/>
      </c>
      <c r="HD11" s="105" t="str">
        <f t="shared" si="70"/>
        <v/>
      </c>
      <c r="HE11" s="94" t="str">
        <f t="shared" si="138"/>
        <v>II</v>
      </c>
      <c r="HF11" s="94" t="str">
        <f t="shared" si="139"/>
        <v/>
      </c>
      <c r="HG11" s="105" t="str">
        <f t="shared" si="71"/>
        <v/>
      </c>
      <c r="HH11" s="94" t="str">
        <f t="shared" si="140"/>
        <v>II</v>
      </c>
      <c r="HI11" s="94" t="str">
        <f t="shared" si="141"/>
        <v/>
      </c>
      <c r="HJ11" s="105" t="str">
        <f t="shared" si="72"/>
        <v/>
      </c>
      <c r="HK11" s="94" t="str">
        <f t="shared" si="142"/>
        <v/>
      </c>
      <c r="HL11" s="94" t="str">
        <f t="shared" si="143"/>
        <v/>
      </c>
      <c r="HM11" s="105" t="str">
        <f t="shared" si="73"/>
        <v/>
      </c>
      <c r="HN11" s="367" t="str">
        <f t="shared" si="144"/>
        <v xml:space="preserve">      </v>
      </c>
      <c r="HO11" s="418" t="str">
        <f t="shared" si="145"/>
        <v xml:space="preserve">      </v>
      </c>
      <c r="HP11" s="367" t="str">
        <f t="shared" si="146"/>
        <v xml:space="preserve">      </v>
      </c>
      <c r="HQ11" s="107" t="str">
        <f t="shared" si="147"/>
        <v xml:space="preserve">      </v>
      </c>
      <c r="HR11" s="366" t="str">
        <f t="shared" si="148"/>
        <v xml:space="preserve">      </v>
      </c>
      <c r="HS11" s="544" t="str">
        <f t="shared" si="74"/>
        <v>PASS</v>
      </c>
      <c r="HT11" s="542">
        <f t="shared" si="149"/>
        <v>729</v>
      </c>
      <c r="HU11" s="541">
        <f t="shared" si="160"/>
        <v>60.75</v>
      </c>
      <c r="HV11" s="540" t="str">
        <f t="shared" si="150"/>
        <v>1st</v>
      </c>
      <c r="HW11" s="537">
        <f t="shared" si="151"/>
        <v>60.75</v>
      </c>
      <c r="HX11" s="539">
        <f t="shared" si="152"/>
        <v>11.000000000000082</v>
      </c>
      <c r="HY11" s="553" t="str">
        <f>IFERROR(IF(OR(HS11="SUPPLEMENTARY",HS11="RE-EXAM"),'Supp. Result Entry'!AQ9,""),"")</f>
        <v/>
      </c>
      <c r="HZ11" s="538" t="str">
        <f t="shared" si="153"/>
        <v/>
      </c>
      <c r="IA11" s="415" t="str">
        <f t="shared" si="154"/>
        <v/>
      </c>
      <c r="IB11" s="415" t="str">
        <f>IF(AND(HZ11="",IA11=""),"",IF(OR(HS11="SUPPLEMENTARY",HS11="RE-EXAM"),'Supp. Result Entry'!AQ9,HS11))</f>
        <v/>
      </c>
      <c r="IC11" s="87"/>
      <c r="IS11" s="109" t="str">
        <f>IF('Supp. Result Entry'!T9="","",'Supp. Result Entry'!$T$4)</f>
        <v/>
      </c>
      <c r="IT11" s="110" t="str">
        <f>IF('Supp. Result Entry'!W9="","",'Supp. Result Entry'!$W$4)</f>
        <v/>
      </c>
      <c r="IU11" s="110" t="str">
        <f>IF('Supp. Result Entry'!Z9="","",'Supp. Result Entry'!$Z$4)</f>
        <v/>
      </c>
      <c r="IV11" s="110" t="str">
        <f>IF('Supp. Result Entry'!AC9="","",'Supp. Result Entry'!$AC$4)</f>
        <v/>
      </c>
      <c r="IW11" s="110" t="str">
        <f>IF('Supp. Result Entry'!AF9="","",'Supp. Result Entry'!$AF$4)</f>
        <v/>
      </c>
      <c r="IX11" s="110" t="str">
        <f>IF('Supp. Result Entry'!AI9="","",'Supp. Result Entry'!$AI$4)</f>
        <v/>
      </c>
      <c r="IY11" s="110" t="str">
        <f>IF('Supp. Result Entry'!AI9="","",'Supp. Result Entry'!$AL$4)</f>
        <v/>
      </c>
      <c r="IZ11" s="110" t="str">
        <f>IF('Supp. Result Entry'!U9="","",'Supp. Result Entry'!U9)</f>
        <v/>
      </c>
      <c r="JA11" s="110" t="str">
        <f>IF('Supp. Result Entry'!X9="","",'Supp. Result Entry'!X9)</f>
        <v/>
      </c>
      <c r="JB11" s="110" t="str">
        <f>IF('Supp. Result Entry'!AA9="","",'Supp. Result Entry'!AA9)</f>
        <v/>
      </c>
      <c r="JC11" s="110" t="str">
        <f>IF('Supp. Result Entry'!AD9="","",'Supp. Result Entry'!AD9)</f>
        <v/>
      </c>
      <c r="JD11" s="110" t="str">
        <f>IF('Supp. Result Entry'!AG9="","",'Supp. Result Entry'!AG9)</f>
        <v/>
      </c>
      <c r="JE11" s="110" t="str">
        <f>IF('Supp. Result Entry'!AJ9="","",'Supp. Result Entry'!AJ9)</f>
        <v/>
      </c>
      <c r="JF11" s="110" t="str">
        <f>IF('Supp. Result Entry'!AM9="","",'Supp. Result Entry'!AM9)</f>
        <v/>
      </c>
      <c r="JG11" s="110" t="str">
        <f>IF('Supp. Result Entry'!V9="","",'Supp. Result Entry'!V9)</f>
        <v/>
      </c>
      <c r="JH11" s="110" t="str">
        <f>IF('Supp. Result Entry'!Y9="","",'Supp. Result Entry'!Y9)</f>
        <v/>
      </c>
      <c r="JI11" s="110" t="str">
        <f>IF('Supp. Result Entry'!AB9="","",'Supp. Result Entry'!AB9)</f>
        <v/>
      </c>
      <c r="JJ11" s="110" t="str">
        <f>IF('Supp. Result Entry'!AE9="","",'Supp. Result Entry'!AE9)</f>
        <v/>
      </c>
      <c r="JK11" s="110" t="str">
        <f>IF('Supp. Result Entry'!AH9="","",'Supp. Result Entry'!AH9)</f>
        <v/>
      </c>
      <c r="JL11" s="110" t="str">
        <f>IF('Supp. Result Entry'!AK9="","",'Supp. Result Entry'!AK9)</f>
        <v/>
      </c>
      <c r="JM11" s="110" t="str">
        <f>IF('Supp. Result Entry'!AN9="","",'Supp. Result Entry'!AN9)</f>
        <v/>
      </c>
      <c r="JN11" s="110">
        <f>COUNTIF('Supp. Result Entry'!K9:Q9,"S")</f>
        <v>0</v>
      </c>
      <c r="JO11" s="110">
        <f t="shared" si="155"/>
        <v>0</v>
      </c>
      <c r="JP11" s="110">
        <f t="shared" si="156"/>
        <v>0</v>
      </c>
      <c r="JQ11" s="110" t="str">
        <f t="shared" si="75"/>
        <v/>
      </c>
      <c r="JR11" s="110" t="str">
        <f t="shared" si="76"/>
        <v/>
      </c>
      <c r="JS11" s="110" t="str">
        <f t="shared" si="77"/>
        <v/>
      </c>
      <c r="JT11" s="110" t="str">
        <f t="shared" si="78"/>
        <v/>
      </c>
      <c r="JU11" s="110" t="str">
        <f t="shared" si="79"/>
        <v/>
      </c>
      <c r="JV11" s="110" t="str">
        <f t="shared" si="80"/>
        <v/>
      </c>
      <c r="JW11" s="110" t="str">
        <f t="shared" si="81"/>
        <v/>
      </c>
      <c r="JX11" s="110" t="str">
        <f t="shared" si="157"/>
        <v/>
      </c>
      <c r="JY11" s="110" t="str">
        <f t="shared" si="158"/>
        <v/>
      </c>
      <c r="JZ11" s="110" t="str">
        <f t="shared" si="82"/>
        <v/>
      </c>
      <c r="KA11" s="108" t="str">
        <f t="shared" si="159"/>
        <v/>
      </c>
    </row>
    <row r="12" spans="1:287" s="108" customFormat="1" ht="21.95" customHeight="1">
      <c r="A12" s="89">
        <v>6</v>
      </c>
      <c r="B12" s="90">
        <f>IF('Marks Entry'!B12="","",'Marks Entry'!B12)</f>
        <v>906</v>
      </c>
      <c r="C12" s="94" t="str">
        <f>IF('Marks Entry'!D12="","",'Marks Entry'!D12)</f>
        <v>A</v>
      </c>
      <c r="D12" s="91" t="str">
        <f>IF('Marks Entry'!E12="","",'Marks Entry'!E12)</f>
        <v/>
      </c>
      <c r="E12" s="92">
        <f>IF('Marks Entry'!F12="","",'Marks Entry'!F12)</f>
        <v>40933</v>
      </c>
      <c r="F12" s="93" t="str">
        <f>IF('Marks Entry'!G12="","",'Marks Entry'!G12)</f>
        <v>GITA</v>
      </c>
      <c r="G12" s="93" t="str">
        <f>IF('Marks Entry'!H12="","",'Marks Entry'!H12)</f>
        <v/>
      </c>
      <c r="H12" s="93" t="str">
        <f>IF('Marks Entry'!I12="","",'Marks Entry'!I12)</f>
        <v/>
      </c>
      <c r="I12" s="94" t="str">
        <f>IF('Marks Entry'!J12="","",'Marks Entry'!J12)</f>
        <v>OBC</v>
      </c>
      <c r="J12" s="95" t="str">
        <f>IF('Marks Entry'!K12="","",'Marks Entry'!K12)</f>
        <v>F</v>
      </c>
      <c r="K12" s="68" t="str">
        <f>IF('Marks Entry'!L12="","",'Marks Entry'!L12)</f>
        <v>NA</v>
      </c>
      <c r="L12" s="68">
        <f>IF('Marks Entry'!M12="","",'Marks Entry'!M12)</f>
        <v>9</v>
      </c>
      <c r="M12" s="68">
        <f>IF('Marks Entry'!N12="","",'Marks Entry'!N12)</f>
        <v>7</v>
      </c>
      <c r="N12" s="514">
        <f t="shared" si="83"/>
        <v>16</v>
      </c>
      <c r="O12" s="68">
        <f>IF('Marks Entry'!O12="","",'Marks Entry'!O12)</f>
        <v>46</v>
      </c>
      <c r="P12" s="515">
        <f t="shared" si="84"/>
        <v>62</v>
      </c>
      <c r="Q12" s="68">
        <f>IF('Marks Entry'!P12="","",'Marks Entry'!P12)</f>
        <v>65</v>
      </c>
      <c r="R12" s="96">
        <f t="shared" si="85"/>
        <v>127</v>
      </c>
      <c r="S12" s="65">
        <f t="shared" si="86"/>
        <v>10</v>
      </c>
      <c r="T12" s="65">
        <f t="shared" si="87"/>
        <v>0</v>
      </c>
      <c r="U12" s="66">
        <f t="shared" si="88"/>
        <v>190</v>
      </c>
      <c r="V12" s="65" t="str">
        <f t="shared" si="89"/>
        <v/>
      </c>
      <c r="W12" s="65" t="str">
        <f t="shared" si="90"/>
        <v>P</v>
      </c>
      <c r="X12" s="65" t="str">
        <f t="shared" si="91"/>
        <v>I</v>
      </c>
      <c r="Y12" s="68">
        <f>IF('Marks Entry'!Q12="","",'Marks Entry'!Q12)</f>
        <v>8</v>
      </c>
      <c r="Z12" s="68">
        <f>IF('Marks Entry'!R12="","",'Marks Entry'!R12)</f>
        <v>9</v>
      </c>
      <c r="AA12" s="68">
        <f>IF('Marks Entry'!S12="","",'Marks Entry'!S12)</f>
        <v>10</v>
      </c>
      <c r="AB12" s="514">
        <f t="shared" si="2"/>
        <v>27</v>
      </c>
      <c r="AC12" s="68">
        <f>IF('Marks Entry'!T12="","",'Marks Entry'!T12)</f>
        <v>62</v>
      </c>
      <c r="AD12" s="515">
        <f t="shared" si="3"/>
        <v>89</v>
      </c>
      <c r="AE12" s="68">
        <f>IF('Marks Entry'!U12="","",'Marks Entry'!U12)</f>
        <v>95</v>
      </c>
      <c r="AF12" s="96">
        <f t="shared" si="4"/>
        <v>184</v>
      </c>
      <c r="AG12" s="65">
        <f t="shared" si="5"/>
        <v>0</v>
      </c>
      <c r="AH12" s="65">
        <f t="shared" si="6"/>
        <v>0</v>
      </c>
      <c r="AI12" s="66">
        <f t="shared" si="7"/>
        <v>200</v>
      </c>
      <c r="AJ12" s="65" t="str">
        <f t="shared" si="8"/>
        <v/>
      </c>
      <c r="AK12" s="65" t="str">
        <f t="shared" si="9"/>
        <v>P</v>
      </c>
      <c r="AL12" s="65" t="str">
        <f t="shared" si="10"/>
        <v>D</v>
      </c>
      <c r="AM12" s="524" t="str">
        <f>IF('Marks Entry'!V12="","",IF('Marks Entry'!V12=1,'School Profile'!$I$9,IF('Marks Entry'!V12=2,'School Profile'!$I$10,IF('Marks Entry'!V12=3,'School Profile'!$I$11,IF('Marks Entry'!V12=4,'School Profile'!$I$12,IF('Marks Entry'!V12=5,'School Profile'!$I$13,IF('Marks Entry'!V12=6,'School Profile'!$I$14,"")))))))</f>
        <v xml:space="preserve">उर्दू (72) </v>
      </c>
      <c r="AN12" s="68">
        <f>IF('Marks Entry'!W12="","",'Marks Entry'!W12)</f>
        <v>8</v>
      </c>
      <c r="AO12" s="68">
        <f>IF('Marks Entry'!X12="","",'Marks Entry'!X12)</f>
        <v>9</v>
      </c>
      <c r="AP12" s="68">
        <f>IF('Marks Entry'!Y12="","",'Marks Entry'!Y12)</f>
        <v>8</v>
      </c>
      <c r="AQ12" s="514">
        <f t="shared" si="11"/>
        <v>25</v>
      </c>
      <c r="AR12" s="68">
        <f>IF('Marks Entry'!Z12="","",'Marks Entry'!Z12)</f>
        <v>46</v>
      </c>
      <c r="AS12" s="515">
        <f t="shared" si="12"/>
        <v>71</v>
      </c>
      <c r="AT12" s="68">
        <f>IF('Marks Entry'!AA12="","",'Marks Entry'!AA12)</f>
        <v>45</v>
      </c>
      <c r="AU12" s="96">
        <f t="shared" si="13"/>
        <v>116</v>
      </c>
      <c r="AV12" s="65">
        <f t="shared" si="14"/>
        <v>0</v>
      </c>
      <c r="AW12" s="65">
        <f t="shared" si="15"/>
        <v>0</v>
      </c>
      <c r="AX12" s="66">
        <f t="shared" si="16"/>
        <v>200</v>
      </c>
      <c r="AY12" s="65" t="str">
        <f t="shared" si="17"/>
        <v/>
      </c>
      <c r="AZ12" s="65" t="str">
        <f t="shared" si="18"/>
        <v>P</v>
      </c>
      <c r="BA12" s="65" t="str">
        <f t="shared" si="19"/>
        <v>II</v>
      </c>
      <c r="BB12" s="68">
        <f>IF('Marks Entry'!AB12="","",'Marks Entry'!AB12)</f>
        <v>8</v>
      </c>
      <c r="BC12" s="68">
        <f>IF('Marks Entry'!AC12="","",'Marks Entry'!AC12)</f>
        <v>9</v>
      </c>
      <c r="BD12" s="68">
        <f>IF('Marks Entry'!AD12="","",'Marks Entry'!AD12)</f>
        <v>9</v>
      </c>
      <c r="BE12" s="514">
        <f t="shared" si="20"/>
        <v>26</v>
      </c>
      <c r="BF12" s="68">
        <f>IF('Marks Entry'!AE12="","",'Marks Entry'!AE12)</f>
        <v>46</v>
      </c>
      <c r="BG12" s="515">
        <f t="shared" si="21"/>
        <v>72</v>
      </c>
      <c r="BH12" s="68">
        <f>IF('Marks Entry'!AF12="","",'Marks Entry'!AF12)</f>
        <v>45</v>
      </c>
      <c r="BI12" s="96">
        <f t="shared" si="22"/>
        <v>117</v>
      </c>
      <c r="BJ12" s="65">
        <f t="shared" si="23"/>
        <v>0</v>
      </c>
      <c r="BK12" s="65">
        <f t="shared" si="92"/>
        <v>0</v>
      </c>
      <c r="BL12" s="66">
        <f t="shared" si="24"/>
        <v>200</v>
      </c>
      <c r="BM12" s="65" t="str">
        <f t="shared" si="25"/>
        <v/>
      </c>
      <c r="BN12" s="65" t="str">
        <f>IF(OR($B12="NSO",$B12="",BH12=""),"",IF(OR(BM12="AB",BH12="ab"),"AB",IF(BH12="ML","RE",IF(BH12&lt;20%*$BH$6,"F",IF(AND(BI12&gt;=36%*BL12,BH12&gt;=20),"P",IF(AND(BI12&gt;=34%*BL12,BK12=0,BH12&gt;=20),"G2",IF(AND(BI12&gt;=31%*BL12,BK12=0,BH12&gt;=20),"G1",IF(BI12&gt;=25%*BL12,"S","F"))))))))</f>
        <v>P</v>
      </c>
      <c r="BO12" s="65" t="str">
        <f t="shared" si="27"/>
        <v>II</v>
      </c>
      <c r="BP12" s="68">
        <f>IF('Marks Entry'!AG12="","",'Marks Entry'!AG12)</f>
        <v>8</v>
      </c>
      <c r="BQ12" s="68">
        <f>IF('Marks Entry'!AH12="","",'Marks Entry'!AH12)</f>
        <v>9</v>
      </c>
      <c r="BR12" s="68">
        <f>IF('Marks Entry'!AI12="","",'Marks Entry'!AI12)</f>
        <v>10</v>
      </c>
      <c r="BS12" s="514">
        <f t="shared" si="28"/>
        <v>27</v>
      </c>
      <c r="BT12" s="68">
        <f>IF('Marks Entry'!AJ12="","",'Marks Entry'!AJ12)</f>
        <v>46</v>
      </c>
      <c r="BU12" s="515">
        <f t="shared" si="29"/>
        <v>73</v>
      </c>
      <c r="BV12" s="68">
        <f>IF('Marks Entry'!AK12="","",'Marks Entry'!AK12)</f>
        <v>45</v>
      </c>
      <c r="BW12" s="96">
        <f t="shared" si="30"/>
        <v>118</v>
      </c>
      <c r="BX12" s="65">
        <f t="shared" si="31"/>
        <v>0</v>
      </c>
      <c r="BY12" s="65">
        <f t="shared" si="32"/>
        <v>0</v>
      </c>
      <c r="BZ12" s="66">
        <f t="shared" si="33"/>
        <v>200</v>
      </c>
      <c r="CA12" s="65" t="str">
        <f t="shared" si="34"/>
        <v/>
      </c>
      <c r="CB12" s="65" t="str">
        <f t="shared" si="35"/>
        <v>P</v>
      </c>
      <c r="CC12" s="65" t="str">
        <f t="shared" si="36"/>
        <v>II</v>
      </c>
      <c r="CD12" s="66">
        <f t="shared" si="93"/>
        <v>10</v>
      </c>
      <c r="CE12" s="68">
        <f>IF('Marks Entry'!AL12="","",'Marks Entry'!AL12)</f>
        <v>8</v>
      </c>
      <c r="CF12" s="68">
        <f>IF('Marks Entry'!AM12="","",'Marks Entry'!AM12)</f>
        <v>8</v>
      </c>
      <c r="CG12" s="68">
        <f>IF('Marks Entry'!AN12="","",'Marks Entry'!AN12)</f>
        <v>8</v>
      </c>
      <c r="CH12" s="514">
        <f t="shared" si="37"/>
        <v>24</v>
      </c>
      <c r="CI12" s="68">
        <f>IF('Marks Entry'!AO12="","",'Marks Entry'!AO12)</f>
        <v>46</v>
      </c>
      <c r="CJ12" s="515">
        <f t="shared" si="38"/>
        <v>70</v>
      </c>
      <c r="CK12" s="68">
        <f>IF('Marks Entry'!AP12="","",'Marks Entry'!AP12)</f>
        <v>45</v>
      </c>
      <c r="CL12" s="96">
        <f t="shared" si="39"/>
        <v>115</v>
      </c>
      <c r="CM12" s="65">
        <f t="shared" si="40"/>
        <v>0</v>
      </c>
      <c r="CN12" s="65">
        <f t="shared" si="41"/>
        <v>0</v>
      </c>
      <c r="CO12" s="66">
        <f t="shared" si="42"/>
        <v>200</v>
      </c>
      <c r="CP12" s="65" t="str">
        <f t="shared" si="43"/>
        <v/>
      </c>
      <c r="CQ12" s="65" t="str">
        <f t="shared" si="44"/>
        <v>P</v>
      </c>
      <c r="CR12" s="65" t="str">
        <f t="shared" si="45"/>
        <v>II</v>
      </c>
      <c r="CS12" s="616" t="str">
        <f>IF('School Profile'!$D$20="NO","",IF('Marks Entry'!AQ12="","",IF('Marks Entry'!AQ12=1,'School Profile'!$I$29,IF('Marks Entry'!AQ12=2,'School Profile'!$I$30,IF('Marks Entry'!AQ12=3,'School Profile'!$I$31,IF('Marks Entry'!AQ12=4,'School Profile'!$I$32,IF('Marks Entry'!AQ12=5,'School Profile'!$I$33,IF('Marks Entry'!AQ12=6,'School Profile'!$I$34,IF('Marks Entry'!AQ12=7,'School Profile'!$I$35,IF('Marks Entry'!AQ12=8,'School Profile'!$I$36,IF('Marks Entry'!AQ12=9,'School Profile'!$I$37,IF('Marks Entry'!AQ12=10,'School Profile'!$I$38,IF('Marks Entry'!AQ12=11,'School Profile'!$I$39,"")))))))))))))</f>
        <v/>
      </c>
      <c r="CT12" s="68" t="str">
        <f>IF('School Profile'!$D$20="NO","",IF('Marks Entry'!AR12="","",'Marks Entry'!AR12))</f>
        <v/>
      </c>
      <c r="CU12" s="68" t="str">
        <f>IF('School Profile'!$D$20="NO","",IF('Marks Entry'!AS12="","",'Marks Entry'!AS12))</f>
        <v/>
      </c>
      <c r="CV12" s="68" t="str">
        <f>IF('School Profile'!$D$20="NO","",IF('Marks Entry'!AT12="","",'Marks Entry'!AT12))</f>
        <v/>
      </c>
      <c r="CW12" s="514" t="str">
        <f>IF('School Profile'!$D$20="NO","",IF(AND(CT12="",CU12="",CV12=""),"",SUM(CT12:CV12)))</f>
        <v/>
      </c>
      <c r="CX12" s="68" t="str">
        <f>IF('School Profile'!$D$20="NO","",IF('Marks Entry'!AU12="","",'Marks Entry'!AU12))</f>
        <v/>
      </c>
      <c r="CY12" s="68" t="str">
        <f>IF('School Profile'!$D$20="NO","",IF('Marks Entry'!AV12="","",'Marks Entry'!AV12))</f>
        <v/>
      </c>
      <c r="CZ12" s="515" t="str">
        <f>IF('School Profile'!$D$20="NO","",IF(AND(CX12="",CY12=""),"",SUM(CX12,CY12)))</f>
        <v/>
      </c>
      <c r="DA12" s="69" t="str">
        <f>IF('School Profile'!$D$20="NO","",IF(AND(CW12="",CZ12=""),"",SUM(CW12+CZ12)))</f>
        <v/>
      </c>
      <c r="DB12" s="68" t="str">
        <f>IF('School Profile'!$D$20="NO","",IF('Marks Entry'!AW12="","",'Marks Entry'!AW12))</f>
        <v/>
      </c>
      <c r="DC12" s="68" t="str">
        <f>IF('School Profile'!$D$20="NO","",IF('Marks Entry'!AX12="","",'Marks Entry'!AX12))</f>
        <v/>
      </c>
      <c r="DD12" s="515" t="str">
        <f>IF('School Profile'!$D$20="NO","",IF(AND(DB12="",DC12=""),"",SUM(DB12,DC12)))</f>
        <v/>
      </c>
      <c r="DE12" s="96" t="str">
        <f>IF('School Profile'!$D$20="NO","",IF(AND(DA12="",DD12=""),"",SUM(DA12,DD12)))</f>
        <v/>
      </c>
      <c r="DF12" s="532">
        <f t="shared" si="46"/>
        <v>0</v>
      </c>
      <c r="DG12" s="65">
        <f t="shared" si="47"/>
        <v>0</v>
      </c>
      <c r="DH12" s="66" t="str">
        <f t="shared" si="48"/>
        <v/>
      </c>
      <c r="DI12" s="65" t="str">
        <f t="shared" si="49"/>
        <v/>
      </c>
      <c r="DJ12" s="65" t="str">
        <f t="shared" si="50"/>
        <v/>
      </c>
      <c r="DK12" s="65" t="str">
        <f t="shared" si="51"/>
        <v/>
      </c>
      <c r="DL12" s="97" t="str">
        <f t="shared" si="94"/>
        <v>I</v>
      </c>
      <c r="DM12" s="97" t="str">
        <f t="shared" si="95"/>
        <v>D</v>
      </c>
      <c r="DN12" s="97" t="str">
        <f t="shared" si="96"/>
        <v>II</v>
      </c>
      <c r="DO12" s="97" t="str">
        <f t="shared" si="97"/>
        <v>II</v>
      </c>
      <c r="DP12" s="97" t="str">
        <f t="shared" si="98"/>
        <v>II</v>
      </c>
      <c r="DQ12" s="97" t="str">
        <f t="shared" si="99"/>
        <v>II</v>
      </c>
      <c r="DR12" s="97" t="str">
        <f>DK12</f>
        <v/>
      </c>
      <c r="DS12" s="98">
        <f t="shared" si="101"/>
        <v>0</v>
      </c>
      <c r="DT12" s="98">
        <f t="shared" si="102"/>
        <v>0</v>
      </c>
      <c r="DU12" s="98">
        <f t="shared" si="103"/>
        <v>0</v>
      </c>
      <c r="DV12" s="98">
        <f t="shared" si="104"/>
        <v>0</v>
      </c>
      <c r="DW12" s="98">
        <f t="shared" si="105"/>
        <v>0</v>
      </c>
      <c r="DX12" s="98" t="str">
        <f t="shared" si="106"/>
        <v/>
      </c>
      <c r="DY12" s="99" t="str">
        <f t="shared" si="107"/>
        <v>PASS</v>
      </c>
      <c r="DZ12" s="74">
        <f>IF('Marks Entry'!AY12="","",'Marks Entry'!AY12)</f>
        <v>9</v>
      </c>
      <c r="EA12" s="74">
        <f>IF('Marks Entry'!AZ12="","",'Marks Entry'!AZ12)</f>
        <v>9</v>
      </c>
      <c r="EB12" s="74">
        <f>IF('Marks Entry'!BA12="","",'Marks Entry'!BA12)</f>
        <v>9</v>
      </c>
      <c r="EC12" s="527">
        <f t="shared" si="52"/>
        <v>27</v>
      </c>
      <c r="ED12" s="74">
        <f>IF('Marks Entry'!BB12="","",'Marks Entry'!BB12)</f>
        <v>66</v>
      </c>
      <c r="EE12" s="528">
        <f t="shared" si="53"/>
        <v>93</v>
      </c>
      <c r="EF12" s="74">
        <f>IF('Marks Entry'!BC12="","",'Marks Entry'!BC12)</f>
        <v>91</v>
      </c>
      <c r="EG12" s="530">
        <f t="shared" si="54"/>
        <v>184</v>
      </c>
      <c r="EH12" s="368" t="str">
        <f t="shared" si="108"/>
        <v>A</v>
      </c>
      <c r="EI12" s="65">
        <f t="shared" si="109"/>
        <v>0</v>
      </c>
      <c r="EJ12" s="65">
        <f t="shared" si="110"/>
        <v>0</v>
      </c>
      <c r="EK12" s="66">
        <f t="shared" si="111"/>
        <v>200</v>
      </c>
      <c r="EL12" s="74">
        <f>IF('Marks Entry'!BD12="","",'Marks Entry'!BD12)</f>
        <v>8</v>
      </c>
      <c r="EM12" s="74">
        <f>IF('Marks Entry'!BE12="","",'Marks Entry'!BE12)</f>
        <v>8</v>
      </c>
      <c r="EN12" s="74">
        <f>IF('Marks Entry'!BF12="","",'Marks Entry'!BF12)</f>
        <v>8</v>
      </c>
      <c r="EO12" s="527">
        <f t="shared" si="55"/>
        <v>24</v>
      </c>
      <c r="EP12" s="74">
        <f>IF('Marks Entry'!BG12="","",'Marks Entry'!BG12)</f>
        <v>41</v>
      </c>
      <c r="EQ12" s="74">
        <f>IF('Marks Entry'!BH12="","",'Marks Entry'!BH12)</f>
        <v>19</v>
      </c>
      <c r="ER12" s="528">
        <f t="shared" si="56"/>
        <v>60</v>
      </c>
      <c r="ES12" s="529">
        <f t="shared" si="57"/>
        <v>84</v>
      </c>
      <c r="ET12" s="74">
        <f>IF('Marks Entry'!BI12="","",'Marks Entry'!BI12)</f>
        <v>61</v>
      </c>
      <c r="EU12" s="74">
        <f>IF('Marks Entry'!BJ12="","",'Marks Entry'!BJ12)</f>
        <v>27</v>
      </c>
      <c r="EV12" s="528">
        <f t="shared" si="58"/>
        <v>88</v>
      </c>
      <c r="EW12" s="530">
        <f t="shared" si="59"/>
        <v>172</v>
      </c>
      <c r="EX12" s="368" t="str">
        <f t="shared" si="112"/>
        <v>A</v>
      </c>
      <c r="EY12" s="65">
        <f t="shared" si="113"/>
        <v>0</v>
      </c>
      <c r="EZ12" s="65">
        <f t="shared" si="114"/>
        <v>0</v>
      </c>
      <c r="FA12" s="66">
        <f t="shared" si="115"/>
        <v>200</v>
      </c>
      <c r="FB12" s="74">
        <f>IF('Marks Entry'!BK12="","",'Marks Entry'!BK12)</f>
        <v>9</v>
      </c>
      <c r="FC12" s="74">
        <f>IF('Marks Entry'!BL12="","",'Marks Entry'!BL12)</f>
        <v>7</v>
      </c>
      <c r="FD12" s="74">
        <f>IF('Marks Entry'!BM12="","",'Marks Entry'!BM12)</f>
        <v>9</v>
      </c>
      <c r="FE12" s="74">
        <f>IF('Marks Entry'!BN12="","",'Marks Entry'!BN12)</f>
        <v>6</v>
      </c>
      <c r="FF12" s="74">
        <f>IF('Marks Entry'!BO12="","",'Marks Entry'!BO12)</f>
        <v>9</v>
      </c>
      <c r="FG12" s="74">
        <f>IF('Marks Entry'!BP12="","",'Marks Entry'!BP12)</f>
        <v>14</v>
      </c>
      <c r="FH12" s="527">
        <f t="shared" si="60"/>
        <v>54</v>
      </c>
      <c r="FI12" s="74">
        <f>IF('Marks Entry'!BQ12="","",'Marks Entry'!BQ12)</f>
        <v>21</v>
      </c>
      <c r="FJ12" s="74">
        <f>IF('Marks Entry'!BR12="","",'Marks Entry'!BR12)</f>
        <v>15</v>
      </c>
      <c r="FK12" s="528">
        <f t="shared" si="61"/>
        <v>36</v>
      </c>
      <c r="FL12" s="529">
        <f t="shared" si="62"/>
        <v>90</v>
      </c>
      <c r="FM12" s="74">
        <f>IF('Marks Entry'!BS12="","",'Marks Entry'!BS12)</f>
        <v>29</v>
      </c>
      <c r="FN12" s="74">
        <f>IF('Marks Entry'!BT12="","",'Marks Entry'!BT12)</f>
        <v>59</v>
      </c>
      <c r="FO12" s="528">
        <f t="shared" si="63"/>
        <v>88</v>
      </c>
      <c r="FP12" s="530">
        <f t="shared" si="64"/>
        <v>178</v>
      </c>
      <c r="FQ12" s="368" t="str">
        <f t="shared" si="116"/>
        <v>A</v>
      </c>
      <c r="FR12" s="65">
        <f t="shared" si="117"/>
        <v>0</v>
      </c>
      <c r="FS12" s="65">
        <f t="shared" si="118"/>
        <v>0</v>
      </c>
      <c r="FT12" s="66">
        <f t="shared" si="119"/>
        <v>200</v>
      </c>
      <c r="FU12" s="74">
        <f>IF('Marks Entry'!BU12="","",'Marks Entry'!BU12)</f>
        <v>20</v>
      </c>
      <c r="FV12" s="74">
        <f>IF('Marks Entry'!BV12="","",'Marks Entry'!BV12)</f>
        <v>40</v>
      </c>
      <c r="FW12" s="74">
        <f>IF('Marks Entry'!BW12="","",'Marks Entry'!BW12)</f>
        <v>20</v>
      </c>
      <c r="FX12" s="75">
        <f t="shared" si="65"/>
        <v>80</v>
      </c>
      <c r="FY12" s="368" t="str">
        <f t="shared" si="120"/>
        <v>B</v>
      </c>
      <c r="FZ12" s="65">
        <f t="shared" si="121"/>
        <v>0</v>
      </c>
      <c r="GA12" s="66">
        <f t="shared" si="122"/>
        <v>0</v>
      </c>
      <c r="GB12" s="66">
        <f t="shared" si="123"/>
        <v>100</v>
      </c>
      <c r="GC12" s="74">
        <f>IF('Marks Entry'!BX12="","",'Marks Entry'!BX12)</f>
        <v>21</v>
      </c>
      <c r="GD12" s="74">
        <f>IF('Marks Entry'!BY12="","",'Marks Entry'!BY12)</f>
        <v>52</v>
      </c>
      <c r="GE12" s="74">
        <f>IF('Marks Entry'!BZ12="","",'Marks Entry'!BZ12)</f>
        <v>12</v>
      </c>
      <c r="GF12" s="75">
        <f t="shared" si="124"/>
        <v>85</v>
      </c>
      <c r="GG12" s="368" t="str">
        <f t="shared" si="125"/>
        <v>A</v>
      </c>
      <c r="GH12" s="65">
        <f t="shared" si="126"/>
        <v>0</v>
      </c>
      <c r="GI12" s="66">
        <f t="shared" si="127"/>
        <v>0</v>
      </c>
      <c r="GJ12" s="66">
        <f t="shared" si="128"/>
        <v>100</v>
      </c>
      <c r="GK12" s="100" t="str">
        <f>IF(AND(F12="",B12=""),"",IF('Student DATA Entry'!M9="","",'Student DATA Entry'!M9))</f>
        <v/>
      </c>
      <c r="GL12" s="101" t="str">
        <f>IF(AND(B12="",F12=""),"",IF('Student DATA Entry'!N9="","",'Student DATA Entry'!N9))</f>
        <v/>
      </c>
      <c r="GM12" s="581" t="str">
        <f t="shared" si="129"/>
        <v/>
      </c>
      <c r="GN12" s="94" t="str">
        <f t="shared" si="130"/>
        <v>I</v>
      </c>
      <c r="GO12" s="94" t="str">
        <f t="shared" si="131"/>
        <v/>
      </c>
      <c r="GP12" s="102" t="str">
        <f t="shared" si="67"/>
        <v/>
      </c>
      <c r="GQ12" s="94" t="str">
        <f t="shared" si="132"/>
        <v>D</v>
      </c>
      <c r="GR12" s="103" t="str">
        <f t="shared" si="133"/>
        <v/>
      </c>
      <c r="GS12" s="102" t="str">
        <f t="shared" si="68"/>
        <v/>
      </c>
      <c r="GT12" s="104" t="str">
        <f t="shared" si="134"/>
        <v>II</v>
      </c>
      <c r="GU12" s="94" t="str">
        <f>IF('Marks Entry'!V12=1,GT12,"")</f>
        <v/>
      </c>
      <c r="GV12" s="94" t="str">
        <f>IF('Marks Entry'!V12=2,GT12,"")</f>
        <v>II</v>
      </c>
      <c r="GW12" s="94" t="str">
        <f>IF('Marks Entry'!V12=3,GT12,"")</f>
        <v/>
      </c>
      <c r="GX12" s="94" t="str">
        <f>IF('Marks Entry'!V12=4,GT12,"")</f>
        <v/>
      </c>
      <c r="GY12" s="94" t="str">
        <f>IF('Marks Entry'!V12=5,GT12,"")</f>
        <v/>
      </c>
      <c r="GZ12" s="94" t="str">
        <f t="shared" si="135"/>
        <v/>
      </c>
      <c r="HA12" s="105" t="str">
        <f t="shared" si="69"/>
        <v/>
      </c>
      <c r="HB12" s="94" t="str">
        <f t="shared" si="136"/>
        <v>II</v>
      </c>
      <c r="HC12" s="94" t="str">
        <f t="shared" si="137"/>
        <v/>
      </c>
      <c r="HD12" s="105" t="str">
        <f t="shared" si="70"/>
        <v/>
      </c>
      <c r="HE12" s="94" t="str">
        <f t="shared" si="138"/>
        <v>II</v>
      </c>
      <c r="HF12" s="94" t="str">
        <f t="shared" si="139"/>
        <v/>
      </c>
      <c r="HG12" s="105" t="str">
        <f t="shared" si="71"/>
        <v/>
      </c>
      <c r="HH12" s="94" t="str">
        <f t="shared" si="140"/>
        <v>II</v>
      </c>
      <c r="HI12" s="94" t="str">
        <f t="shared" si="141"/>
        <v/>
      </c>
      <c r="HJ12" s="105" t="str">
        <f t="shared" si="72"/>
        <v/>
      </c>
      <c r="HK12" s="94" t="str">
        <f t="shared" si="142"/>
        <v/>
      </c>
      <c r="HL12" s="94" t="str">
        <f t="shared" si="143"/>
        <v/>
      </c>
      <c r="HM12" s="105" t="str">
        <f t="shared" si="73"/>
        <v/>
      </c>
      <c r="HN12" s="367" t="str">
        <f t="shared" si="144"/>
        <v xml:space="preserve">      </v>
      </c>
      <c r="HO12" s="418" t="str">
        <f t="shared" si="145"/>
        <v xml:space="preserve">      </v>
      </c>
      <c r="HP12" s="367" t="str">
        <f t="shared" si="146"/>
        <v xml:space="preserve">      </v>
      </c>
      <c r="HQ12" s="107" t="str">
        <f t="shared" si="147"/>
        <v xml:space="preserve">      </v>
      </c>
      <c r="HR12" s="366" t="str">
        <f t="shared" si="148"/>
        <v xml:space="preserve"> अंग्रेजी     </v>
      </c>
      <c r="HS12" s="544" t="str">
        <f t="shared" si="74"/>
        <v>PASS</v>
      </c>
      <c r="HT12" s="542">
        <f t="shared" si="149"/>
        <v>777</v>
      </c>
      <c r="HU12" s="541">
        <f t="shared" si="160"/>
        <v>65.294117647058826</v>
      </c>
      <c r="HV12" s="540" t="str">
        <f t="shared" si="150"/>
        <v>1st</v>
      </c>
      <c r="HW12" s="537">
        <f t="shared" si="151"/>
        <v>65.294117647058826</v>
      </c>
      <c r="HX12" s="539">
        <f t="shared" si="152"/>
        <v>4.0000000000000018</v>
      </c>
      <c r="HY12" s="553" t="str">
        <f>IFERROR(IF(OR(HS12="SUPPLEMENTARY",HS12="RE-EXAM"),'Supp. Result Entry'!AQ10,""),"")</f>
        <v/>
      </c>
      <c r="HZ12" s="538" t="str">
        <f t="shared" si="153"/>
        <v/>
      </c>
      <c r="IA12" s="415" t="str">
        <f t="shared" si="154"/>
        <v/>
      </c>
      <c r="IB12" s="415" t="str">
        <f>IF(AND(HZ12="",IA12=""),"",IF(OR(HS12="SUPPLEMENTARY",HS12="RE-EXAM"),'Supp. Result Entry'!AQ10,HS12))</f>
        <v/>
      </c>
      <c r="IC12" s="87"/>
      <c r="IS12" s="109" t="str">
        <f>IF('Supp. Result Entry'!T10="","",'Supp. Result Entry'!$T$4)</f>
        <v/>
      </c>
      <c r="IT12" s="110" t="str">
        <f>IF('Supp. Result Entry'!W10="","",'Supp. Result Entry'!$W$4)</f>
        <v/>
      </c>
      <c r="IU12" s="110" t="str">
        <f>IF('Supp. Result Entry'!Z10="","",'Supp. Result Entry'!$Z$4)</f>
        <v/>
      </c>
      <c r="IV12" s="110" t="str">
        <f>IF('Supp. Result Entry'!AC10="","",'Supp. Result Entry'!$AC$4)</f>
        <v/>
      </c>
      <c r="IW12" s="110" t="str">
        <f>IF('Supp. Result Entry'!AF10="","",'Supp. Result Entry'!$AF$4)</f>
        <v/>
      </c>
      <c r="IX12" s="110" t="str">
        <f>IF('Supp. Result Entry'!AI10="","",'Supp. Result Entry'!$AI$4)</f>
        <v/>
      </c>
      <c r="IY12" s="110" t="str">
        <f>IF('Supp. Result Entry'!AI10="","",'Supp. Result Entry'!$AL$4)</f>
        <v/>
      </c>
      <c r="IZ12" s="110" t="str">
        <f>IF('Supp. Result Entry'!U10="","",'Supp. Result Entry'!U10)</f>
        <v/>
      </c>
      <c r="JA12" s="110" t="str">
        <f>IF('Supp. Result Entry'!X10="","",'Supp. Result Entry'!X10)</f>
        <v/>
      </c>
      <c r="JB12" s="110" t="str">
        <f>IF('Supp. Result Entry'!AA10="","",'Supp. Result Entry'!AA10)</f>
        <v/>
      </c>
      <c r="JC12" s="110" t="str">
        <f>IF('Supp. Result Entry'!AD10="","",'Supp. Result Entry'!AD10)</f>
        <v/>
      </c>
      <c r="JD12" s="110" t="str">
        <f>IF('Supp. Result Entry'!AG10="","",'Supp. Result Entry'!AG10)</f>
        <v/>
      </c>
      <c r="JE12" s="110" t="str">
        <f>IF('Supp. Result Entry'!AJ10="","",'Supp. Result Entry'!AJ10)</f>
        <v/>
      </c>
      <c r="JF12" s="110" t="str">
        <f>IF('Supp. Result Entry'!AM10="","",'Supp. Result Entry'!AM10)</f>
        <v/>
      </c>
      <c r="JG12" s="110" t="str">
        <f>IF('Supp. Result Entry'!V10="","",'Supp. Result Entry'!V10)</f>
        <v/>
      </c>
      <c r="JH12" s="110" t="str">
        <f>IF('Supp. Result Entry'!Y10="","",'Supp. Result Entry'!Y10)</f>
        <v/>
      </c>
      <c r="JI12" s="110" t="str">
        <f>IF('Supp. Result Entry'!AB10="","",'Supp. Result Entry'!AB10)</f>
        <v/>
      </c>
      <c r="JJ12" s="110" t="str">
        <f>IF('Supp. Result Entry'!AE10="","",'Supp. Result Entry'!AE10)</f>
        <v/>
      </c>
      <c r="JK12" s="110" t="str">
        <f>IF('Supp. Result Entry'!AH10="","",'Supp. Result Entry'!AH10)</f>
        <v/>
      </c>
      <c r="JL12" s="110" t="str">
        <f>IF('Supp. Result Entry'!AK10="","",'Supp. Result Entry'!AK10)</f>
        <v/>
      </c>
      <c r="JM12" s="110" t="str">
        <f>IF('Supp. Result Entry'!AN10="","",'Supp. Result Entry'!AN10)</f>
        <v/>
      </c>
      <c r="JN12" s="110">
        <f>COUNTIF('Supp. Result Entry'!K10:Q10,"S")</f>
        <v>0</v>
      </c>
      <c r="JO12" s="110">
        <f t="shared" si="155"/>
        <v>0</v>
      </c>
      <c r="JP12" s="110">
        <f t="shared" si="156"/>
        <v>0</v>
      </c>
      <c r="JQ12" s="110" t="str">
        <f t="shared" si="75"/>
        <v/>
      </c>
      <c r="JR12" s="110" t="str">
        <f t="shared" si="76"/>
        <v/>
      </c>
      <c r="JS12" s="110" t="str">
        <f t="shared" si="77"/>
        <v/>
      </c>
      <c r="JT12" s="110" t="str">
        <f t="shared" si="78"/>
        <v/>
      </c>
      <c r="JU12" s="110" t="str">
        <f t="shared" si="79"/>
        <v/>
      </c>
      <c r="JV12" s="110" t="str">
        <f t="shared" si="80"/>
        <v/>
      </c>
      <c r="JW12" s="110" t="str">
        <f t="shared" si="81"/>
        <v/>
      </c>
      <c r="JX12" s="110" t="str">
        <f t="shared" si="157"/>
        <v/>
      </c>
      <c r="JY12" s="110" t="str">
        <f t="shared" si="158"/>
        <v/>
      </c>
      <c r="JZ12" s="110" t="str">
        <f t="shared" si="82"/>
        <v/>
      </c>
      <c r="KA12" s="108" t="str">
        <f t="shared" si="159"/>
        <v/>
      </c>
    </row>
    <row r="13" spans="1:287" s="108" customFormat="1" ht="21.95" customHeight="1">
      <c r="A13" s="89">
        <v>7</v>
      </c>
      <c r="B13" s="90">
        <f>IF('Marks Entry'!B13="","",'Marks Entry'!B13)</f>
        <v>907</v>
      </c>
      <c r="C13" s="94" t="str">
        <f>IF('Marks Entry'!D13="","",'Marks Entry'!D13)</f>
        <v>A</v>
      </c>
      <c r="D13" s="91" t="str">
        <f>IF('Marks Entry'!E13="","",'Marks Entry'!E13)</f>
        <v/>
      </c>
      <c r="E13" s="92">
        <f>IF('Marks Entry'!F13="","",'Marks Entry'!F13)</f>
        <v>41317</v>
      </c>
      <c r="F13" s="93" t="str">
        <f>IF('Marks Entry'!G13="","",'Marks Entry'!G13)</f>
        <v>MITA</v>
      </c>
      <c r="G13" s="93" t="str">
        <f>IF('Marks Entry'!H13="","",'Marks Entry'!H13)</f>
        <v/>
      </c>
      <c r="H13" s="93" t="str">
        <f>IF('Marks Entry'!I13="","",'Marks Entry'!I13)</f>
        <v/>
      </c>
      <c r="I13" s="94" t="str">
        <f>IF('Marks Entry'!J13="","",'Marks Entry'!J13)</f>
        <v>GEN</v>
      </c>
      <c r="J13" s="95" t="str">
        <f>IF('Marks Entry'!K13="","",'Marks Entry'!K13)</f>
        <v>F</v>
      </c>
      <c r="K13" s="68">
        <f>IF('Marks Entry'!L13="","",'Marks Entry'!L13)</f>
        <v>8</v>
      </c>
      <c r="L13" s="68" t="str">
        <f>IF('Marks Entry'!M13="","",'Marks Entry'!M13)</f>
        <v>ML</v>
      </c>
      <c r="M13" s="68">
        <f>IF('Marks Entry'!N13="","",'Marks Entry'!N13)</f>
        <v>8</v>
      </c>
      <c r="N13" s="514">
        <f t="shared" si="83"/>
        <v>16</v>
      </c>
      <c r="O13" s="68">
        <f>IF('Marks Entry'!O13="","",'Marks Entry'!O13)</f>
        <v>46</v>
      </c>
      <c r="P13" s="515">
        <f t="shared" si="84"/>
        <v>62</v>
      </c>
      <c r="Q13" s="68">
        <f>IF('Marks Entry'!P13="","",'Marks Entry'!P13)</f>
        <v>65</v>
      </c>
      <c r="R13" s="96">
        <f t="shared" si="85"/>
        <v>127</v>
      </c>
      <c r="S13" s="65">
        <f t="shared" si="86"/>
        <v>0</v>
      </c>
      <c r="T13" s="65">
        <f t="shared" si="87"/>
        <v>10</v>
      </c>
      <c r="U13" s="66">
        <f t="shared" si="88"/>
        <v>190</v>
      </c>
      <c r="V13" s="65" t="str">
        <f t="shared" si="89"/>
        <v/>
      </c>
      <c r="W13" s="65" t="str">
        <f t="shared" si="90"/>
        <v>P</v>
      </c>
      <c r="X13" s="65" t="str">
        <f t="shared" si="91"/>
        <v>I</v>
      </c>
      <c r="Y13" s="68">
        <f>IF('Marks Entry'!Q13="","",'Marks Entry'!Q13)</f>
        <v>8</v>
      </c>
      <c r="Z13" s="68">
        <f>IF('Marks Entry'!R13="","",'Marks Entry'!R13)</f>
        <v>9</v>
      </c>
      <c r="AA13" s="68">
        <f>IF('Marks Entry'!S13="","",'Marks Entry'!S13)</f>
        <v>9</v>
      </c>
      <c r="AB13" s="514">
        <f t="shared" si="2"/>
        <v>26</v>
      </c>
      <c r="AC13" s="68">
        <f>IF('Marks Entry'!T13="","",'Marks Entry'!T13)</f>
        <v>60</v>
      </c>
      <c r="AD13" s="515">
        <f t="shared" si="3"/>
        <v>86</v>
      </c>
      <c r="AE13" s="68">
        <f>IF('Marks Entry'!U13="","",'Marks Entry'!U13)</f>
        <v>60</v>
      </c>
      <c r="AF13" s="96">
        <f t="shared" si="4"/>
        <v>146</v>
      </c>
      <c r="AG13" s="65">
        <f t="shared" si="5"/>
        <v>0</v>
      </c>
      <c r="AH13" s="65">
        <f t="shared" si="6"/>
        <v>0</v>
      </c>
      <c r="AI13" s="66">
        <f t="shared" si="7"/>
        <v>200</v>
      </c>
      <c r="AJ13" s="65" t="str">
        <f t="shared" si="8"/>
        <v/>
      </c>
      <c r="AK13" s="65" t="str">
        <f t="shared" si="9"/>
        <v>P</v>
      </c>
      <c r="AL13" s="65" t="str">
        <f t="shared" si="10"/>
        <v>I</v>
      </c>
      <c r="AM13" s="524" t="str">
        <f>IF('Marks Entry'!V13="","",IF('Marks Entry'!V13=1,'School Profile'!$I$9,IF('Marks Entry'!V13=2,'School Profile'!$I$10,IF('Marks Entry'!V13=3,'School Profile'!$I$11,IF('Marks Entry'!V13=4,'School Profile'!$I$12,IF('Marks Entry'!V13=5,'School Profile'!$I$13,IF('Marks Entry'!V13=6,'School Profile'!$I$14,"")))))))</f>
        <v>गुजराती (73)</v>
      </c>
      <c r="AN13" s="68">
        <f>IF('Marks Entry'!W13="","",'Marks Entry'!W13)</f>
        <v>8</v>
      </c>
      <c r="AO13" s="68">
        <f>IF('Marks Entry'!X13="","",'Marks Entry'!X13)</f>
        <v>9</v>
      </c>
      <c r="AP13" s="68">
        <f>IF('Marks Entry'!Y13="","",'Marks Entry'!Y13)</f>
        <v>8</v>
      </c>
      <c r="AQ13" s="514">
        <f t="shared" si="11"/>
        <v>25</v>
      </c>
      <c r="AR13" s="68">
        <f>IF('Marks Entry'!Z13="","",'Marks Entry'!Z13)</f>
        <v>46</v>
      </c>
      <c r="AS13" s="515">
        <f t="shared" si="12"/>
        <v>71</v>
      </c>
      <c r="AT13" s="68">
        <f>IF('Marks Entry'!AA13="","",'Marks Entry'!AA13)</f>
        <v>45</v>
      </c>
      <c r="AU13" s="96">
        <f t="shared" si="13"/>
        <v>116</v>
      </c>
      <c r="AV13" s="65">
        <f t="shared" si="14"/>
        <v>0</v>
      </c>
      <c r="AW13" s="65">
        <f t="shared" si="15"/>
        <v>0</v>
      </c>
      <c r="AX13" s="66">
        <f t="shared" si="16"/>
        <v>200</v>
      </c>
      <c r="AY13" s="65" t="str">
        <f t="shared" si="17"/>
        <v/>
      </c>
      <c r="AZ13" s="65" t="str">
        <f t="shared" si="18"/>
        <v>P</v>
      </c>
      <c r="BA13" s="65" t="str">
        <f t="shared" si="19"/>
        <v>II</v>
      </c>
      <c r="BB13" s="68">
        <f>IF('Marks Entry'!AB13="","",'Marks Entry'!AB13)</f>
        <v>4</v>
      </c>
      <c r="BC13" s="68">
        <f>IF('Marks Entry'!AC13="","",'Marks Entry'!AC13)</f>
        <v>4</v>
      </c>
      <c r="BD13" s="68">
        <f>IF('Marks Entry'!AD13="","",'Marks Entry'!AD13)</f>
        <v>9</v>
      </c>
      <c r="BE13" s="514">
        <f t="shared" si="20"/>
        <v>17</v>
      </c>
      <c r="BF13" s="68">
        <f>IF('Marks Entry'!AE13="","",'Marks Entry'!AE13)</f>
        <v>9</v>
      </c>
      <c r="BG13" s="515">
        <f t="shared" si="21"/>
        <v>26</v>
      </c>
      <c r="BH13" s="68">
        <f>IF('Marks Entry'!AF13="","",'Marks Entry'!AF13)</f>
        <v>34</v>
      </c>
      <c r="BI13" s="96">
        <f t="shared" si="22"/>
        <v>60</v>
      </c>
      <c r="BJ13" s="65">
        <f t="shared" si="23"/>
        <v>0</v>
      </c>
      <c r="BK13" s="65">
        <f t="shared" si="92"/>
        <v>0</v>
      </c>
      <c r="BL13" s="66">
        <f t="shared" si="24"/>
        <v>200</v>
      </c>
      <c r="BM13" s="65" t="str">
        <f t="shared" si="25"/>
        <v/>
      </c>
      <c r="BN13" s="65" t="str">
        <f t="shared" si="26"/>
        <v>S</v>
      </c>
      <c r="BO13" s="65" t="str">
        <f t="shared" si="27"/>
        <v>S</v>
      </c>
      <c r="BP13" s="68">
        <f>IF('Marks Entry'!AG13="","",'Marks Entry'!AG13)</f>
        <v>8</v>
      </c>
      <c r="BQ13" s="68">
        <f>IF('Marks Entry'!AH13="","",'Marks Entry'!AH13)</f>
        <v>9</v>
      </c>
      <c r="BR13" s="68">
        <f>IF('Marks Entry'!AI13="","",'Marks Entry'!AI13)</f>
        <v>10</v>
      </c>
      <c r="BS13" s="514">
        <f t="shared" si="28"/>
        <v>27</v>
      </c>
      <c r="BT13" s="68">
        <f>IF('Marks Entry'!AJ13="","",'Marks Entry'!AJ13)</f>
        <v>46</v>
      </c>
      <c r="BU13" s="515">
        <f t="shared" si="29"/>
        <v>73</v>
      </c>
      <c r="BV13" s="68">
        <f>IF('Marks Entry'!AK13="","",'Marks Entry'!AK13)</f>
        <v>45</v>
      </c>
      <c r="BW13" s="96">
        <f t="shared" si="30"/>
        <v>118</v>
      </c>
      <c r="BX13" s="65">
        <f t="shared" si="31"/>
        <v>0</v>
      </c>
      <c r="BY13" s="65">
        <f t="shared" si="32"/>
        <v>0</v>
      </c>
      <c r="BZ13" s="66">
        <f t="shared" si="33"/>
        <v>200</v>
      </c>
      <c r="CA13" s="65" t="str">
        <f t="shared" si="34"/>
        <v/>
      </c>
      <c r="CB13" s="65" t="str">
        <f t="shared" si="35"/>
        <v>P</v>
      </c>
      <c r="CC13" s="65" t="str">
        <f t="shared" si="36"/>
        <v>II</v>
      </c>
      <c r="CD13" s="66">
        <f t="shared" si="93"/>
        <v>10</v>
      </c>
      <c r="CE13" s="68">
        <f>IF('Marks Entry'!AL13="","",'Marks Entry'!AL13)</f>
        <v>10</v>
      </c>
      <c r="CF13" s="68">
        <f>IF('Marks Entry'!AM13="","",'Marks Entry'!AM13)</f>
        <v>10</v>
      </c>
      <c r="CG13" s="68">
        <f>IF('Marks Entry'!AN13="","",'Marks Entry'!AN13)</f>
        <v>10</v>
      </c>
      <c r="CH13" s="514">
        <f t="shared" si="37"/>
        <v>30</v>
      </c>
      <c r="CI13" s="68">
        <f>IF('Marks Entry'!AO13="","",'Marks Entry'!AO13)</f>
        <v>46</v>
      </c>
      <c r="CJ13" s="515">
        <f t="shared" si="38"/>
        <v>76</v>
      </c>
      <c r="CK13" s="68">
        <f>IF('Marks Entry'!AP13="","",'Marks Entry'!AP13)</f>
        <v>45</v>
      </c>
      <c r="CL13" s="96">
        <f t="shared" si="39"/>
        <v>121</v>
      </c>
      <c r="CM13" s="65">
        <f t="shared" si="40"/>
        <v>0</v>
      </c>
      <c r="CN13" s="65">
        <f t="shared" si="41"/>
        <v>0</v>
      </c>
      <c r="CO13" s="66">
        <f t="shared" si="42"/>
        <v>200</v>
      </c>
      <c r="CP13" s="65" t="str">
        <f t="shared" si="43"/>
        <v/>
      </c>
      <c r="CQ13" s="65" t="str">
        <f t="shared" si="44"/>
        <v>P</v>
      </c>
      <c r="CR13" s="65" t="str">
        <f t="shared" si="45"/>
        <v>I</v>
      </c>
      <c r="CS13" s="616" t="str">
        <f>IF('School Profile'!$D$20="NO","",IF('Marks Entry'!AQ13="","",IF('Marks Entry'!AQ13=1,'School Profile'!$I$29,IF('Marks Entry'!AQ13=2,'School Profile'!$I$30,IF('Marks Entry'!AQ13=3,'School Profile'!$I$31,IF('Marks Entry'!AQ13=4,'School Profile'!$I$32,IF('Marks Entry'!AQ13=5,'School Profile'!$I$33,IF('Marks Entry'!AQ13=6,'School Profile'!$I$34,IF('Marks Entry'!AQ13=7,'School Profile'!$I$35,IF('Marks Entry'!AQ13=8,'School Profile'!$I$36,IF('Marks Entry'!AQ13=9,'School Profile'!$I$37,IF('Marks Entry'!AQ13=10,'School Profile'!$I$38,IF('Marks Entry'!AQ13=11,'School Profile'!$I$39,"")))))))))))))</f>
        <v/>
      </c>
      <c r="CT13" s="68" t="str">
        <f>IF('School Profile'!$D$20="NO","",IF('Marks Entry'!AR13="","",'Marks Entry'!AR13))</f>
        <v/>
      </c>
      <c r="CU13" s="68" t="str">
        <f>IF('School Profile'!$D$20="NO","",IF('Marks Entry'!AS13="","",'Marks Entry'!AS13))</f>
        <v/>
      </c>
      <c r="CV13" s="68" t="str">
        <f>IF('School Profile'!$D$20="NO","",IF('Marks Entry'!AT13="","",'Marks Entry'!AT13))</f>
        <v/>
      </c>
      <c r="CW13" s="514" t="str">
        <f>IF('School Profile'!$D$20="NO","",IF(AND(CT13="",CU13="",CV13=""),"",SUM(CT13:CV13)))</f>
        <v/>
      </c>
      <c r="CX13" s="68" t="str">
        <f>IF('School Profile'!$D$20="NO","",IF('Marks Entry'!AU13="","",'Marks Entry'!AU13))</f>
        <v/>
      </c>
      <c r="CY13" s="68" t="str">
        <f>IF('School Profile'!$D$20="NO","",IF('Marks Entry'!AV13="","",'Marks Entry'!AV13))</f>
        <v/>
      </c>
      <c r="CZ13" s="515" t="str">
        <f>IF('School Profile'!$D$20="NO","",IF(AND(CX13="",CY13=""),"",SUM(CX13,CY13)))</f>
        <v/>
      </c>
      <c r="DA13" s="69" t="str">
        <f>IF('School Profile'!$D$20="NO","",IF(AND(CW13="",CZ13=""),"",SUM(CW13+CZ13)))</f>
        <v/>
      </c>
      <c r="DB13" s="68" t="str">
        <f>IF('School Profile'!$D$20="NO","",IF('Marks Entry'!AW13="","",'Marks Entry'!AW13))</f>
        <v/>
      </c>
      <c r="DC13" s="68" t="str">
        <f>IF('School Profile'!$D$20="NO","",IF('Marks Entry'!AX13="","",'Marks Entry'!AX13))</f>
        <v/>
      </c>
      <c r="DD13" s="515" t="str">
        <f>IF('School Profile'!$D$20="NO","",IF(AND(DB13="",DC13=""),"",SUM(DB13,DC13)))</f>
        <v/>
      </c>
      <c r="DE13" s="96" t="str">
        <f>IF('School Profile'!$D$20="NO","",IF(AND(DA13="",DD13=""),"",SUM(DA13,DD13)))</f>
        <v/>
      </c>
      <c r="DF13" s="532">
        <f t="shared" si="46"/>
        <v>0</v>
      </c>
      <c r="DG13" s="65">
        <f t="shared" si="47"/>
        <v>0</v>
      </c>
      <c r="DH13" s="66" t="str">
        <f t="shared" si="48"/>
        <v/>
      </c>
      <c r="DI13" s="65" t="str">
        <f t="shared" si="49"/>
        <v/>
      </c>
      <c r="DJ13" s="65" t="str">
        <f t="shared" si="50"/>
        <v/>
      </c>
      <c r="DK13" s="65" t="str">
        <f t="shared" si="51"/>
        <v/>
      </c>
      <c r="DL13" s="97" t="str">
        <f t="shared" si="94"/>
        <v>I</v>
      </c>
      <c r="DM13" s="97" t="str">
        <f t="shared" si="95"/>
        <v>I</v>
      </c>
      <c r="DN13" s="97" t="str">
        <f t="shared" si="96"/>
        <v>II</v>
      </c>
      <c r="DO13" s="97" t="str">
        <f t="shared" si="97"/>
        <v>S</v>
      </c>
      <c r="DP13" s="97" t="str">
        <f t="shared" si="98"/>
        <v>II</v>
      </c>
      <c r="DQ13" s="97" t="str">
        <f t="shared" si="99"/>
        <v>I</v>
      </c>
      <c r="DR13" s="97" t="str">
        <f t="shared" si="100"/>
        <v/>
      </c>
      <c r="DS13" s="98">
        <f t="shared" si="101"/>
        <v>0</v>
      </c>
      <c r="DT13" s="98">
        <f t="shared" si="102"/>
        <v>1</v>
      </c>
      <c r="DU13" s="98">
        <f t="shared" si="103"/>
        <v>0</v>
      </c>
      <c r="DV13" s="98">
        <f t="shared" si="104"/>
        <v>0</v>
      </c>
      <c r="DW13" s="98">
        <f t="shared" si="105"/>
        <v>0</v>
      </c>
      <c r="DX13" s="98" t="str">
        <f t="shared" si="106"/>
        <v/>
      </c>
      <c r="DY13" s="99" t="str">
        <f t="shared" si="107"/>
        <v>SUPPLEMENTARY</v>
      </c>
      <c r="DZ13" s="74">
        <f>IF('Marks Entry'!AY13="","",'Marks Entry'!AY13)</f>
        <v>9</v>
      </c>
      <c r="EA13" s="74">
        <f>IF('Marks Entry'!AZ13="","",'Marks Entry'!AZ13)</f>
        <v>9</v>
      </c>
      <c r="EB13" s="74">
        <f>IF('Marks Entry'!BA13="","",'Marks Entry'!BA13)</f>
        <v>9</v>
      </c>
      <c r="EC13" s="527">
        <f t="shared" si="52"/>
        <v>27</v>
      </c>
      <c r="ED13" s="74">
        <f>IF('Marks Entry'!BB13="","",'Marks Entry'!BB13)</f>
        <v>66</v>
      </c>
      <c r="EE13" s="528">
        <f t="shared" si="53"/>
        <v>93</v>
      </c>
      <c r="EF13" s="74">
        <f>IF('Marks Entry'!BC13="","",'Marks Entry'!BC13)</f>
        <v>91</v>
      </c>
      <c r="EG13" s="530">
        <f t="shared" si="54"/>
        <v>184</v>
      </c>
      <c r="EH13" s="368" t="str">
        <f t="shared" si="108"/>
        <v>A</v>
      </c>
      <c r="EI13" s="65">
        <f t="shared" si="109"/>
        <v>0</v>
      </c>
      <c r="EJ13" s="65">
        <f t="shared" si="110"/>
        <v>0</v>
      </c>
      <c r="EK13" s="66">
        <f t="shared" si="111"/>
        <v>200</v>
      </c>
      <c r="EL13" s="74">
        <f>IF('Marks Entry'!BD13="","",'Marks Entry'!BD13)</f>
        <v>8</v>
      </c>
      <c r="EM13" s="74">
        <f>IF('Marks Entry'!BE13="","",'Marks Entry'!BE13)</f>
        <v>8</v>
      </c>
      <c r="EN13" s="74">
        <f>IF('Marks Entry'!BF13="","",'Marks Entry'!BF13)</f>
        <v>8</v>
      </c>
      <c r="EO13" s="527">
        <f t="shared" si="55"/>
        <v>24</v>
      </c>
      <c r="EP13" s="74">
        <f>IF('Marks Entry'!BG13="","",'Marks Entry'!BG13)</f>
        <v>40</v>
      </c>
      <c r="EQ13" s="74">
        <f>IF('Marks Entry'!BH13="","",'Marks Entry'!BH13)</f>
        <v>17</v>
      </c>
      <c r="ER13" s="528">
        <f t="shared" si="56"/>
        <v>57</v>
      </c>
      <c r="ES13" s="529">
        <f t="shared" si="57"/>
        <v>81</v>
      </c>
      <c r="ET13" s="74">
        <f>IF('Marks Entry'!BI13="","",'Marks Entry'!BI13)</f>
        <v>60</v>
      </c>
      <c r="EU13" s="74">
        <f>IF('Marks Entry'!BJ13="","",'Marks Entry'!BJ13)</f>
        <v>27</v>
      </c>
      <c r="EV13" s="528">
        <f t="shared" si="58"/>
        <v>87</v>
      </c>
      <c r="EW13" s="530">
        <f t="shared" si="59"/>
        <v>168</v>
      </c>
      <c r="EX13" s="368" t="str">
        <f t="shared" si="112"/>
        <v>A</v>
      </c>
      <c r="EY13" s="65">
        <f t="shared" si="113"/>
        <v>0</v>
      </c>
      <c r="EZ13" s="65">
        <f t="shared" si="114"/>
        <v>0</v>
      </c>
      <c r="FA13" s="66">
        <f t="shared" si="115"/>
        <v>200</v>
      </c>
      <c r="FB13" s="74">
        <f>IF('Marks Entry'!BK13="","",'Marks Entry'!BK13)</f>
        <v>9</v>
      </c>
      <c r="FC13" s="74">
        <f>IF('Marks Entry'!BL13="","",'Marks Entry'!BL13)</f>
        <v>7</v>
      </c>
      <c r="FD13" s="74">
        <f>IF('Marks Entry'!BM13="","",'Marks Entry'!BM13)</f>
        <v>9</v>
      </c>
      <c r="FE13" s="74">
        <f>IF('Marks Entry'!BN13="","",'Marks Entry'!BN13)</f>
        <v>6</v>
      </c>
      <c r="FF13" s="74">
        <f>IF('Marks Entry'!BO13="","",'Marks Entry'!BO13)</f>
        <v>9</v>
      </c>
      <c r="FG13" s="74">
        <f>IF('Marks Entry'!BP13="","",'Marks Entry'!BP13)</f>
        <v>14</v>
      </c>
      <c r="FH13" s="527">
        <f t="shared" si="60"/>
        <v>54</v>
      </c>
      <c r="FI13" s="74">
        <f>IF('Marks Entry'!BQ13="","",'Marks Entry'!BQ13)</f>
        <v>21</v>
      </c>
      <c r="FJ13" s="74">
        <f>IF('Marks Entry'!BR13="","",'Marks Entry'!BR13)</f>
        <v>12</v>
      </c>
      <c r="FK13" s="528">
        <f t="shared" si="61"/>
        <v>33</v>
      </c>
      <c r="FL13" s="529">
        <f t="shared" si="62"/>
        <v>87</v>
      </c>
      <c r="FM13" s="74">
        <f>IF('Marks Entry'!BS13="","",'Marks Entry'!BS13)</f>
        <v>27</v>
      </c>
      <c r="FN13" s="74">
        <f>IF('Marks Entry'!BT13="","",'Marks Entry'!BT13)</f>
        <v>57</v>
      </c>
      <c r="FO13" s="528">
        <f t="shared" si="63"/>
        <v>84</v>
      </c>
      <c r="FP13" s="530">
        <f t="shared" si="64"/>
        <v>171</v>
      </c>
      <c r="FQ13" s="368" t="str">
        <f t="shared" si="116"/>
        <v>A</v>
      </c>
      <c r="FR13" s="65">
        <f t="shared" si="117"/>
        <v>0</v>
      </c>
      <c r="FS13" s="65">
        <f t="shared" si="118"/>
        <v>0</v>
      </c>
      <c r="FT13" s="66">
        <f t="shared" si="119"/>
        <v>200</v>
      </c>
      <c r="FU13" s="74">
        <f>IF('Marks Entry'!BU13="","",'Marks Entry'!BU13)</f>
        <v>20</v>
      </c>
      <c r="FV13" s="74">
        <f>IF('Marks Entry'!BV13="","",'Marks Entry'!BV13)</f>
        <v>40</v>
      </c>
      <c r="FW13" s="74">
        <f>IF('Marks Entry'!BW13="","",'Marks Entry'!BW13)</f>
        <v>20</v>
      </c>
      <c r="FX13" s="75">
        <f t="shared" si="65"/>
        <v>80</v>
      </c>
      <c r="FY13" s="368" t="str">
        <f t="shared" si="120"/>
        <v>B</v>
      </c>
      <c r="FZ13" s="65">
        <f t="shared" si="121"/>
        <v>0</v>
      </c>
      <c r="GA13" s="66">
        <f t="shared" si="122"/>
        <v>0</v>
      </c>
      <c r="GB13" s="66">
        <f t="shared" si="123"/>
        <v>100</v>
      </c>
      <c r="GC13" s="74">
        <f>IF('Marks Entry'!BX13="","",'Marks Entry'!BX13)</f>
        <v>20</v>
      </c>
      <c r="GD13" s="74">
        <f>IF('Marks Entry'!BY13="","",'Marks Entry'!BY13)</f>
        <v>54</v>
      </c>
      <c r="GE13" s="74">
        <f>IF('Marks Entry'!BZ13="","",'Marks Entry'!BZ13)</f>
        <v>14</v>
      </c>
      <c r="GF13" s="75">
        <f t="shared" si="124"/>
        <v>88</v>
      </c>
      <c r="GG13" s="368" t="str">
        <f t="shared" si="125"/>
        <v>A</v>
      </c>
      <c r="GH13" s="65">
        <f t="shared" si="126"/>
        <v>0</v>
      </c>
      <c r="GI13" s="66">
        <f t="shared" si="127"/>
        <v>0</v>
      </c>
      <c r="GJ13" s="66">
        <f t="shared" si="128"/>
        <v>100</v>
      </c>
      <c r="GK13" s="100" t="str">
        <f>IF(AND(F13="",B13=""),"",IF('Student DATA Entry'!M10="","",'Student DATA Entry'!M10))</f>
        <v/>
      </c>
      <c r="GL13" s="101" t="str">
        <f>IF(AND(B13="",F13=""),"",IF('Student DATA Entry'!N10="","",'Student DATA Entry'!N10))</f>
        <v/>
      </c>
      <c r="GM13" s="581" t="str">
        <f t="shared" si="129"/>
        <v/>
      </c>
      <c r="GN13" s="94" t="str">
        <f t="shared" si="130"/>
        <v>I</v>
      </c>
      <c r="GO13" s="94" t="str">
        <f t="shared" si="131"/>
        <v/>
      </c>
      <c r="GP13" s="102" t="str">
        <f t="shared" si="67"/>
        <v/>
      </c>
      <c r="GQ13" s="94" t="str">
        <f t="shared" si="132"/>
        <v>I</v>
      </c>
      <c r="GR13" s="103" t="str">
        <f t="shared" si="133"/>
        <v/>
      </c>
      <c r="GS13" s="102" t="str">
        <f t="shared" si="68"/>
        <v/>
      </c>
      <c r="GT13" s="104" t="str">
        <f t="shared" si="134"/>
        <v>II</v>
      </c>
      <c r="GU13" s="94" t="str">
        <f>IF('Marks Entry'!V13=1,GT13,"")</f>
        <v/>
      </c>
      <c r="GV13" s="94" t="str">
        <f>IF('Marks Entry'!V13=2,GT13,"")</f>
        <v/>
      </c>
      <c r="GW13" s="94" t="str">
        <f>IF('Marks Entry'!V13=3,GT13,"")</f>
        <v>II</v>
      </c>
      <c r="GX13" s="94" t="str">
        <f>IF('Marks Entry'!V13=4,GT13,"")</f>
        <v/>
      </c>
      <c r="GY13" s="94" t="str">
        <f>IF('Marks Entry'!V13=5,GT13,"")</f>
        <v/>
      </c>
      <c r="GZ13" s="94" t="str">
        <f t="shared" si="135"/>
        <v/>
      </c>
      <c r="HA13" s="105" t="str">
        <f t="shared" si="69"/>
        <v/>
      </c>
      <c r="HB13" s="94" t="str">
        <f t="shared" si="136"/>
        <v>S</v>
      </c>
      <c r="HC13" s="94" t="str">
        <f t="shared" si="137"/>
        <v/>
      </c>
      <c r="HD13" s="105" t="str">
        <f t="shared" si="70"/>
        <v/>
      </c>
      <c r="HE13" s="94" t="str">
        <f t="shared" si="138"/>
        <v>II</v>
      </c>
      <c r="HF13" s="94" t="str">
        <f t="shared" si="139"/>
        <v/>
      </c>
      <c r="HG13" s="105" t="str">
        <f t="shared" si="71"/>
        <v/>
      </c>
      <c r="HH13" s="94" t="str">
        <f t="shared" si="140"/>
        <v>I</v>
      </c>
      <c r="HI13" s="94" t="str">
        <f t="shared" si="141"/>
        <v/>
      </c>
      <c r="HJ13" s="105" t="str">
        <f t="shared" si="72"/>
        <v/>
      </c>
      <c r="HK13" s="94" t="str">
        <f t="shared" si="142"/>
        <v/>
      </c>
      <c r="HL13" s="94" t="str">
        <f t="shared" si="143"/>
        <v/>
      </c>
      <c r="HM13" s="105" t="str">
        <f t="shared" si="73"/>
        <v/>
      </c>
      <c r="HN13" s="367" t="str">
        <f t="shared" si="144"/>
        <v xml:space="preserve">      </v>
      </c>
      <c r="HO13" s="418" t="str">
        <f t="shared" si="145"/>
        <v xml:space="preserve">   गणित   </v>
      </c>
      <c r="HP13" s="367" t="str">
        <f t="shared" si="146"/>
        <v xml:space="preserve">      </v>
      </c>
      <c r="HQ13" s="107" t="str">
        <f t="shared" si="147"/>
        <v xml:space="preserve">      </v>
      </c>
      <c r="HR13" s="366" t="str">
        <f t="shared" si="148"/>
        <v xml:space="preserve">      </v>
      </c>
      <c r="HS13" s="544" t="str">
        <f t="shared" si="74"/>
        <v>SUPPLEMENTARY</v>
      </c>
      <c r="HT13" s="542">
        <f t="shared" si="149"/>
        <v>688</v>
      </c>
      <c r="HU13" s="541">
        <f t="shared" si="160"/>
        <v>57.815126050420169</v>
      </c>
      <c r="HV13" s="540" t="str">
        <f t="shared" si="150"/>
        <v/>
      </c>
      <c r="HW13" s="537" t="str">
        <f t="shared" si="151"/>
        <v/>
      </c>
      <c r="HX13" s="539" t="str">
        <f t="shared" si="152"/>
        <v/>
      </c>
      <c r="HY13" s="553" t="str">
        <f>IFERROR(IF(OR(HS13="SUPPLEMENTARY",HS13="RE-EXAM"),'Supp. Result Entry'!AQ11,""),"")</f>
        <v>PASS</v>
      </c>
      <c r="HZ13" s="538">
        <f t="shared" si="153"/>
        <v>60.363636363636367</v>
      </c>
      <c r="IA13" s="415" t="str">
        <f t="shared" si="154"/>
        <v>I</v>
      </c>
      <c r="IB13" s="415" t="str">
        <f>IF(AND(HZ13="",IA13=""),"",IF(OR(HS13="SUPPLEMENTARY",HS13="RE-EXAM"),'Supp. Result Entry'!AQ11,HS13))</f>
        <v>PASS</v>
      </c>
      <c r="IC13" s="87"/>
      <c r="IS13" s="109" t="str">
        <f>IF('Supp. Result Entry'!T11="","",'Supp. Result Entry'!$T$4)</f>
        <v/>
      </c>
      <c r="IT13" s="110" t="str">
        <f>IF('Supp. Result Entry'!W11="","",'Supp. Result Entry'!$W$4)</f>
        <v/>
      </c>
      <c r="IU13" s="110" t="str">
        <f>IF('Supp. Result Entry'!Z11="","",'Supp. Result Entry'!$Z$4)</f>
        <v/>
      </c>
      <c r="IV13" s="110">
        <f>IF('Supp. Result Entry'!AC11="","",'Supp. Result Entry'!$AC$4)</f>
        <v>100</v>
      </c>
      <c r="IW13" s="110" t="str">
        <f>IF('Supp. Result Entry'!AF11="","",'Supp. Result Entry'!$AF$4)</f>
        <v/>
      </c>
      <c r="IX13" s="110" t="str">
        <f>IF('Supp. Result Entry'!AI11="","",'Supp. Result Entry'!$AI$4)</f>
        <v/>
      </c>
      <c r="IY13" s="110" t="str">
        <f>IF('Supp. Result Entry'!AI11="","",'Supp. Result Entry'!$AL$4)</f>
        <v/>
      </c>
      <c r="IZ13" s="110" t="str">
        <f>IF('Supp. Result Entry'!U11="","",'Supp. Result Entry'!U11)</f>
        <v/>
      </c>
      <c r="JA13" s="110" t="str">
        <f>IF('Supp. Result Entry'!X11="","",'Supp. Result Entry'!X11)</f>
        <v/>
      </c>
      <c r="JB13" s="110" t="str">
        <f>IF('Supp. Result Entry'!AA11="","",'Supp. Result Entry'!AA11)</f>
        <v/>
      </c>
      <c r="JC13" s="110">
        <f>IF('Supp. Result Entry'!AD11="","",'Supp. Result Entry'!AD11)</f>
        <v>36</v>
      </c>
      <c r="JD13" s="110" t="str">
        <f>IF('Supp. Result Entry'!AG11="","",'Supp. Result Entry'!AG11)</f>
        <v/>
      </c>
      <c r="JE13" s="110" t="str">
        <f>IF('Supp. Result Entry'!AJ11="","",'Supp. Result Entry'!AJ11)</f>
        <v/>
      </c>
      <c r="JF13" s="110" t="str">
        <f>IF('Supp. Result Entry'!AM11="","",'Supp. Result Entry'!AM11)</f>
        <v/>
      </c>
      <c r="JG13" s="110" t="str">
        <f>IF('Supp. Result Entry'!V11="","",'Supp. Result Entry'!V11)</f>
        <v/>
      </c>
      <c r="JH13" s="110" t="str">
        <f>IF('Supp. Result Entry'!Y11="","",'Supp. Result Entry'!Y11)</f>
        <v/>
      </c>
      <c r="JI13" s="110" t="str">
        <f>IF('Supp. Result Entry'!AB11="","",'Supp. Result Entry'!AB11)</f>
        <v/>
      </c>
      <c r="JJ13" s="110" t="str">
        <f>IF('Supp. Result Entry'!AE11="","",'Supp. Result Entry'!AE11)</f>
        <v>P</v>
      </c>
      <c r="JK13" s="110" t="str">
        <f>IF('Supp. Result Entry'!AH11="","",'Supp. Result Entry'!AH11)</f>
        <v/>
      </c>
      <c r="JL13" s="110" t="str">
        <f>IF('Supp. Result Entry'!AK11="","",'Supp. Result Entry'!AK11)</f>
        <v/>
      </c>
      <c r="JM13" s="110" t="str">
        <f>IF('Supp. Result Entry'!AN11="","",'Supp. Result Entry'!AN11)</f>
        <v/>
      </c>
      <c r="JN13" s="110">
        <f>COUNTIF('Supp. Result Entry'!K11:Q11,"S")</f>
        <v>1</v>
      </c>
      <c r="JO13" s="110">
        <f t="shared" si="155"/>
        <v>0</v>
      </c>
      <c r="JP13" s="110">
        <f>COUNTIF(JG13:JM13,"P")</f>
        <v>1</v>
      </c>
      <c r="JQ13" s="110">
        <f t="shared" si="75"/>
        <v>127</v>
      </c>
      <c r="JR13" s="110">
        <f t="shared" si="76"/>
        <v>146</v>
      </c>
      <c r="JS13" s="110">
        <f t="shared" si="77"/>
        <v>116</v>
      </c>
      <c r="JT13" s="110">
        <f t="shared" si="78"/>
        <v>36</v>
      </c>
      <c r="JU13" s="110">
        <f t="shared" si="79"/>
        <v>118</v>
      </c>
      <c r="JV13" s="110">
        <f t="shared" si="80"/>
        <v>121</v>
      </c>
      <c r="JW13" s="110" t="str">
        <f t="shared" si="81"/>
        <v/>
      </c>
      <c r="JX13" s="110">
        <f t="shared" si="157"/>
        <v>664</v>
      </c>
      <c r="JY13" s="110">
        <f>IF(OR(JN13=0,JN13&lt;JP13),"",JX13/JZ13*100)</f>
        <v>60.363636363636367</v>
      </c>
      <c r="JZ13" s="110">
        <f t="shared" si="82"/>
        <v>1100</v>
      </c>
      <c r="KA13" s="108" t="str">
        <f t="shared" si="159"/>
        <v>I</v>
      </c>
    </row>
    <row r="14" spans="1:287" s="108" customFormat="1" ht="21.95" customHeight="1">
      <c r="A14" s="89">
        <v>8</v>
      </c>
      <c r="B14" s="90">
        <f>IF('Marks Entry'!B14="","",'Marks Entry'!B14)</f>
        <v>908</v>
      </c>
      <c r="C14" s="94" t="str">
        <f>IF('Marks Entry'!D14="","",'Marks Entry'!D14)</f>
        <v>A</v>
      </c>
      <c r="D14" s="91" t="str">
        <f>IF('Marks Entry'!E14="","",'Marks Entry'!E14)</f>
        <v/>
      </c>
      <c r="E14" s="92">
        <f>IF('Marks Entry'!F14="","",'Marks Entry'!F14)</f>
        <v>40282</v>
      </c>
      <c r="F14" s="93" t="str">
        <f>IF('Marks Entry'!G14="","",'Marks Entry'!G14)</f>
        <v>SITA</v>
      </c>
      <c r="G14" s="93" t="str">
        <f>IF('Marks Entry'!H14="","",'Marks Entry'!H14)</f>
        <v/>
      </c>
      <c r="H14" s="93" t="str">
        <f>IF('Marks Entry'!I14="","",'Marks Entry'!I14)</f>
        <v/>
      </c>
      <c r="I14" s="94" t="str">
        <f>IF('Marks Entry'!J14="","",'Marks Entry'!J14)</f>
        <v>MIN</v>
      </c>
      <c r="J14" s="95" t="str">
        <f>IF('Marks Entry'!K14="","",'Marks Entry'!K14)</f>
        <v>F</v>
      </c>
      <c r="K14" s="68">
        <f>IF('Marks Entry'!L14="","",'Marks Entry'!L14)</f>
        <v>8</v>
      </c>
      <c r="L14" s="68">
        <f>IF('Marks Entry'!M14="","",'Marks Entry'!M14)</f>
        <v>9</v>
      </c>
      <c r="M14" s="68">
        <f>IF('Marks Entry'!N14="","",'Marks Entry'!N14)</f>
        <v>9</v>
      </c>
      <c r="N14" s="514">
        <f t="shared" si="83"/>
        <v>26</v>
      </c>
      <c r="O14" s="68">
        <f>IF('Marks Entry'!O14="","",'Marks Entry'!O14)</f>
        <v>46</v>
      </c>
      <c r="P14" s="515">
        <f t="shared" si="84"/>
        <v>72</v>
      </c>
      <c r="Q14" s="68">
        <f>IF('Marks Entry'!P14="","",'Marks Entry'!P14)</f>
        <v>65</v>
      </c>
      <c r="R14" s="96">
        <f t="shared" si="85"/>
        <v>137</v>
      </c>
      <c r="S14" s="65">
        <f t="shared" si="86"/>
        <v>0</v>
      </c>
      <c r="T14" s="65">
        <f t="shared" si="87"/>
        <v>0</v>
      </c>
      <c r="U14" s="66">
        <f t="shared" si="88"/>
        <v>200</v>
      </c>
      <c r="V14" s="65" t="str">
        <f t="shared" si="89"/>
        <v/>
      </c>
      <c r="W14" s="65" t="str">
        <f t="shared" si="90"/>
        <v>P</v>
      </c>
      <c r="X14" s="65" t="str">
        <f t="shared" si="91"/>
        <v>I</v>
      </c>
      <c r="Y14" s="68">
        <f>IF('Marks Entry'!Q14="","",'Marks Entry'!Q14)</f>
        <v>8</v>
      </c>
      <c r="Z14" s="68">
        <f>IF('Marks Entry'!R14="","",'Marks Entry'!R14)</f>
        <v>9</v>
      </c>
      <c r="AA14" s="68">
        <f>IF('Marks Entry'!S14="","",'Marks Entry'!S14)</f>
        <v>9</v>
      </c>
      <c r="AB14" s="514">
        <f t="shared" si="2"/>
        <v>26</v>
      </c>
      <c r="AC14" s="68">
        <f>IF('Marks Entry'!T14="","",'Marks Entry'!T14)</f>
        <v>60</v>
      </c>
      <c r="AD14" s="515">
        <f t="shared" si="3"/>
        <v>86</v>
      </c>
      <c r="AE14" s="68">
        <f>IF('Marks Entry'!U14="","",'Marks Entry'!U14)</f>
        <v>95</v>
      </c>
      <c r="AF14" s="96">
        <f t="shared" si="4"/>
        <v>181</v>
      </c>
      <c r="AG14" s="65">
        <f t="shared" si="5"/>
        <v>0</v>
      </c>
      <c r="AH14" s="65">
        <f t="shared" si="6"/>
        <v>0</v>
      </c>
      <c r="AI14" s="66">
        <f t="shared" si="7"/>
        <v>200</v>
      </c>
      <c r="AJ14" s="65" t="str">
        <f t="shared" si="8"/>
        <v/>
      </c>
      <c r="AK14" s="65" t="str">
        <f t="shared" si="9"/>
        <v>P</v>
      </c>
      <c r="AL14" s="65" t="str">
        <f t="shared" si="10"/>
        <v>D</v>
      </c>
      <c r="AM14" s="524" t="str">
        <f>IF('Marks Entry'!V14="","",IF('Marks Entry'!V14=1,'School Profile'!$I$9,IF('Marks Entry'!V14=2,'School Profile'!$I$10,IF('Marks Entry'!V14=3,'School Profile'!$I$11,IF('Marks Entry'!V14=4,'School Profile'!$I$12,IF('Marks Entry'!V14=5,'School Profile'!$I$13,IF('Marks Entry'!V14=6,'School Profile'!$I$14,"")))))))</f>
        <v>गुजराती (73)</v>
      </c>
      <c r="AN14" s="68">
        <f>IF('Marks Entry'!W14="","",'Marks Entry'!W14)</f>
        <v>8</v>
      </c>
      <c r="AO14" s="68">
        <f>IF('Marks Entry'!X14="","",'Marks Entry'!X14)</f>
        <v>9</v>
      </c>
      <c r="AP14" s="68">
        <f>IF('Marks Entry'!Y14="","",'Marks Entry'!Y14)</f>
        <v>8</v>
      </c>
      <c r="AQ14" s="514">
        <f t="shared" si="11"/>
        <v>25</v>
      </c>
      <c r="AR14" s="68">
        <f>IF('Marks Entry'!Z14="","",'Marks Entry'!Z14)</f>
        <v>58</v>
      </c>
      <c r="AS14" s="515">
        <f t="shared" si="12"/>
        <v>83</v>
      </c>
      <c r="AT14" s="68">
        <f>IF('Marks Entry'!AA14="","",'Marks Entry'!AA14)</f>
        <v>95</v>
      </c>
      <c r="AU14" s="96">
        <f t="shared" si="13"/>
        <v>178</v>
      </c>
      <c r="AV14" s="65">
        <f t="shared" si="14"/>
        <v>0</v>
      </c>
      <c r="AW14" s="65">
        <f t="shared" si="15"/>
        <v>0</v>
      </c>
      <c r="AX14" s="66">
        <f t="shared" si="16"/>
        <v>200</v>
      </c>
      <c r="AY14" s="65" t="str">
        <f t="shared" si="17"/>
        <v/>
      </c>
      <c r="AZ14" s="65" t="str">
        <f t="shared" si="18"/>
        <v>P</v>
      </c>
      <c r="BA14" s="65" t="str">
        <f t="shared" si="19"/>
        <v>D</v>
      </c>
      <c r="BB14" s="68">
        <f>IF('Marks Entry'!AB14="","",'Marks Entry'!AB14)</f>
        <v>8</v>
      </c>
      <c r="BC14" s="68">
        <f>IF('Marks Entry'!AC14="","",'Marks Entry'!AC14)</f>
        <v>9</v>
      </c>
      <c r="BD14" s="68">
        <f>IF('Marks Entry'!AD14="","",'Marks Entry'!AD14)</f>
        <v>9</v>
      </c>
      <c r="BE14" s="514">
        <f t="shared" si="20"/>
        <v>26</v>
      </c>
      <c r="BF14" s="68">
        <f>IF('Marks Entry'!AE14="","",'Marks Entry'!AE14)</f>
        <v>46</v>
      </c>
      <c r="BG14" s="515">
        <f t="shared" si="21"/>
        <v>72</v>
      </c>
      <c r="BH14" s="68">
        <f>IF('Marks Entry'!AF14="","",'Marks Entry'!AF14)</f>
        <v>45</v>
      </c>
      <c r="BI14" s="96">
        <f t="shared" si="22"/>
        <v>117</v>
      </c>
      <c r="BJ14" s="65">
        <f t="shared" si="23"/>
        <v>0</v>
      </c>
      <c r="BK14" s="65">
        <f t="shared" si="92"/>
        <v>0</v>
      </c>
      <c r="BL14" s="66">
        <f t="shared" si="24"/>
        <v>200</v>
      </c>
      <c r="BM14" s="65" t="str">
        <f t="shared" si="25"/>
        <v/>
      </c>
      <c r="BN14" s="65" t="str">
        <f t="shared" si="26"/>
        <v>P</v>
      </c>
      <c r="BO14" s="65" t="str">
        <f t="shared" si="27"/>
        <v>II</v>
      </c>
      <c r="BP14" s="68">
        <f>IF('Marks Entry'!AG14="","",'Marks Entry'!AG14)</f>
        <v>8</v>
      </c>
      <c r="BQ14" s="68">
        <f>IF('Marks Entry'!AH14="","",'Marks Entry'!AH14)</f>
        <v>9</v>
      </c>
      <c r="BR14" s="68">
        <f>IF('Marks Entry'!AI14="","",'Marks Entry'!AI14)</f>
        <v>10</v>
      </c>
      <c r="BS14" s="514">
        <f t="shared" si="28"/>
        <v>27</v>
      </c>
      <c r="BT14" s="68">
        <f>IF('Marks Entry'!AJ14="","",'Marks Entry'!AJ14)</f>
        <v>46</v>
      </c>
      <c r="BU14" s="515">
        <f t="shared" si="29"/>
        <v>73</v>
      </c>
      <c r="BV14" s="68">
        <f>IF('Marks Entry'!AK14="","",'Marks Entry'!AK14)</f>
        <v>45</v>
      </c>
      <c r="BW14" s="96">
        <f t="shared" si="30"/>
        <v>118</v>
      </c>
      <c r="BX14" s="65">
        <f t="shared" si="31"/>
        <v>0</v>
      </c>
      <c r="BY14" s="65">
        <f t="shared" si="32"/>
        <v>0</v>
      </c>
      <c r="BZ14" s="66">
        <f t="shared" si="33"/>
        <v>200</v>
      </c>
      <c r="CA14" s="65" t="str">
        <f t="shared" si="34"/>
        <v/>
      </c>
      <c r="CB14" s="65" t="str">
        <f t="shared" si="35"/>
        <v>P</v>
      </c>
      <c r="CC14" s="65" t="str">
        <f t="shared" si="36"/>
        <v>II</v>
      </c>
      <c r="CD14" s="66">
        <f t="shared" si="93"/>
        <v>0</v>
      </c>
      <c r="CE14" s="68">
        <f>IF('Marks Entry'!AL14="","",'Marks Entry'!AL14)</f>
        <v>8</v>
      </c>
      <c r="CF14" s="68">
        <f>IF('Marks Entry'!AM14="","",'Marks Entry'!AM14)</f>
        <v>8</v>
      </c>
      <c r="CG14" s="68">
        <f>IF('Marks Entry'!AN14="","",'Marks Entry'!AN14)</f>
        <v>8</v>
      </c>
      <c r="CH14" s="514">
        <f t="shared" si="37"/>
        <v>24</v>
      </c>
      <c r="CI14" s="68">
        <f>IF('Marks Entry'!AO14="","",'Marks Entry'!AO14)</f>
        <v>46</v>
      </c>
      <c r="CJ14" s="515">
        <f t="shared" si="38"/>
        <v>70</v>
      </c>
      <c r="CK14" s="68">
        <f>IF('Marks Entry'!AP14="","",'Marks Entry'!AP14)</f>
        <v>45</v>
      </c>
      <c r="CL14" s="96">
        <f t="shared" si="39"/>
        <v>115</v>
      </c>
      <c r="CM14" s="65">
        <f t="shared" si="40"/>
        <v>0</v>
      </c>
      <c r="CN14" s="65">
        <f t="shared" si="41"/>
        <v>0</v>
      </c>
      <c r="CO14" s="66">
        <f t="shared" si="42"/>
        <v>200</v>
      </c>
      <c r="CP14" s="65" t="str">
        <f t="shared" si="43"/>
        <v/>
      </c>
      <c r="CQ14" s="65" t="str">
        <f t="shared" si="44"/>
        <v>P</v>
      </c>
      <c r="CR14" s="65" t="str">
        <f t="shared" si="45"/>
        <v>II</v>
      </c>
      <c r="CS14" s="616" t="str">
        <f>IF('School Profile'!$D$20="NO","",IF('Marks Entry'!AQ14="","",IF('Marks Entry'!AQ14=1,'School Profile'!$I$29,IF('Marks Entry'!AQ14=2,'School Profile'!$I$30,IF('Marks Entry'!AQ14=3,'School Profile'!$I$31,IF('Marks Entry'!AQ14=4,'School Profile'!$I$32,IF('Marks Entry'!AQ14=5,'School Profile'!$I$33,IF('Marks Entry'!AQ14=6,'School Profile'!$I$34,IF('Marks Entry'!AQ14=7,'School Profile'!$I$35,IF('Marks Entry'!AQ14=8,'School Profile'!$I$36,IF('Marks Entry'!AQ14=9,'School Profile'!$I$37,IF('Marks Entry'!AQ14=10,'School Profile'!$I$38,IF('Marks Entry'!AQ14=11,'School Profile'!$I$39,"")))))))))))))</f>
        <v/>
      </c>
      <c r="CT14" s="68" t="str">
        <f>IF('School Profile'!$D$20="NO","",IF('Marks Entry'!AR14="","",'Marks Entry'!AR14))</f>
        <v/>
      </c>
      <c r="CU14" s="68" t="str">
        <f>IF('School Profile'!$D$20="NO","",IF('Marks Entry'!AS14="","",'Marks Entry'!AS14))</f>
        <v/>
      </c>
      <c r="CV14" s="68" t="str">
        <f>IF('School Profile'!$D$20="NO","",IF('Marks Entry'!AT14="","",'Marks Entry'!AT14))</f>
        <v/>
      </c>
      <c r="CW14" s="514" t="str">
        <f>IF('School Profile'!$D$20="NO","",IF(AND(CT14="",CU14="",CV14=""),"",SUM(CT14:CV14)))</f>
        <v/>
      </c>
      <c r="CX14" s="68" t="str">
        <f>IF('School Profile'!$D$20="NO","",IF('Marks Entry'!AU14="","",'Marks Entry'!AU14))</f>
        <v/>
      </c>
      <c r="CY14" s="68" t="str">
        <f>IF('School Profile'!$D$20="NO","",IF('Marks Entry'!AV14="","",'Marks Entry'!AV14))</f>
        <v/>
      </c>
      <c r="CZ14" s="515" t="str">
        <f>IF('School Profile'!$D$20="NO","",IF(AND(CX14="",CY14=""),"",SUM(CX14,CY14)))</f>
        <v/>
      </c>
      <c r="DA14" s="69" t="str">
        <f>IF('School Profile'!$D$20="NO","",IF(AND(CW14="",CZ14=""),"",SUM(CW14+CZ14)))</f>
        <v/>
      </c>
      <c r="DB14" s="68" t="str">
        <f>IF('School Profile'!$D$20="NO","",IF('Marks Entry'!AW14="","",'Marks Entry'!AW14))</f>
        <v/>
      </c>
      <c r="DC14" s="68" t="str">
        <f>IF('School Profile'!$D$20="NO","",IF('Marks Entry'!AX14="","",'Marks Entry'!AX14))</f>
        <v/>
      </c>
      <c r="DD14" s="515" t="str">
        <f>IF('School Profile'!$D$20="NO","",IF(AND(DB14="",DC14=""),"",SUM(DB14,DC14)))</f>
        <v/>
      </c>
      <c r="DE14" s="96" t="str">
        <f>IF('School Profile'!$D$20="NO","",IF(AND(DA14="",DD14=""),"",SUM(DA14,DD14)))</f>
        <v/>
      </c>
      <c r="DF14" s="532">
        <f t="shared" si="46"/>
        <v>0</v>
      </c>
      <c r="DG14" s="65">
        <f t="shared" si="47"/>
        <v>0</v>
      </c>
      <c r="DH14" s="66" t="str">
        <f t="shared" si="48"/>
        <v/>
      </c>
      <c r="DI14" s="65" t="str">
        <f t="shared" si="49"/>
        <v/>
      </c>
      <c r="DJ14" s="65" t="str">
        <f t="shared" si="50"/>
        <v/>
      </c>
      <c r="DK14" s="65" t="str">
        <f t="shared" si="51"/>
        <v/>
      </c>
      <c r="DL14" s="97" t="str">
        <f t="shared" si="94"/>
        <v>I</v>
      </c>
      <c r="DM14" s="97" t="str">
        <f t="shared" si="95"/>
        <v>D</v>
      </c>
      <c r="DN14" s="97" t="str">
        <f t="shared" si="96"/>
        <v>D</v>
      </c>
      <c r="DO14" s="97" t="str">
        <f t="shared" si="97"/>
        <v>II</v>
      </c>
      <c r="DP14" s="97" t="str">
        <f t="shared" si="98"/>
        <v>II</v>
      </c>
      <c r="DQ14" s="97" t="str">
        <f t="shared" si="99"/>
        <v>II</v>
      </c>
      <c r="DR14" s="97" t="str">
        <f t="shared" si="100"/>
        <v/>
      </c>
      <c r="DS14" s="98">
        <f t="shared" si="101"/>
        <v>0</v>
      </c>
      <c r="DT14" s="98">
        <f t="shared" si="102"/>
        <v>0</v>
      </c>
      <c r="DU14" s="98">
        <f t="shared" si="103"/>
        <v>0</v>
      </c>
      <c r="DV14" s="98">
        <f t="shared" si="104"/>
        <v>0</v>
      </c>
      <c r="DW14" s="98">
        <f t="shared" si="105"/>
        <v>0</v>
      </c>
      <c r="DX14" s="98" t="str">
        <f t="shared" si="106"/>
        <v/>
      </c>
      <c r="DY14" s="99" t="str">
        <f t="shared" si="107"/>
        <v>PASS</v>
      </c>
      <c r="DZ14" s="74">
        <f>IF('Marks Entry'!AY14="","",'Marks Entry'!AY14)</f>
        <v>9</v>
      </c>
      <c r="EA14" s="74">
        <f>IF('Marks Entry'!AZ14="","",'Marks Entry'!AZ14)</f>
        <v>9</v>
      </c>
      <c r="EB14" s="74">
        <f>IF('Marks Entry'!BA14="","",'Marks Entry'!BA14)</f>
        <v>9</v>
      </c>
      <c r="EC14" s="527">
        <f t="shared" si="52"/>
        <v>27</v>
      </c>
      <c r="ED14" s="74">
        <f>IF('Marks Entry'!BB14="","",'Marks Entry'!BB14)</f>
        <v>66</v>
      </c>
      <c r="EE14" s="528">
        <f t="shared" si="53"/>
        <v>93</v>
      </c>
      <c r="EF14" s="74">
        <f>IF('Marks Entry'!BC14="","",'Marks Entry'!BC14)</f>
        <v>91</v>
      </c>
      <c r="EG14" s="530">
        <f t="shared" si="54"/>
        <v>184</v>
      </c>
      <c r="EH14" s="368" t="str">
        <f t="shared" si="108"/>
        <v>A</v>
      </c>
      <c r="EI14" s="65">
        <f t="shared" si="109"/>
        <v>0</v>
      </c>
      <c r="EJ14" s="65">
        <f t="shared" si="110"/>
        <v>0</v>
      </c>
      <c r="EK14" s="66">
        <f t="shared" si="111"/>
        <v>200</v>
      </c>
      <c r="EL14" s="74">
        <f>IF('Marks Entry'!BD14="","",'Marks Entry'!BD14)</f>
        <v>8</v>
      </c>
      <c r="EM14" s="74">
        <f>IF('Marks Entry'!BE14="","",'Marks Entry'!BE14)</f>
        <v>8</v>
      </c>
      <c r="EN14" s="74">
        <f>IF('Marks Entry'!BF14="","",'Marks Entry'!BF14)</f>
        <v>8</v>
      </c>
      <c r="EO14" s="527">
        <f t="shared" si="55"/>
        <v>24</v>
      </c>
      <c r="EP14" s="74">
        <f>IF('Marks Entry'!BG14="","",'Marks Entry'!BG14)</f>
        <v>45</v>
      </c>
      <c r="EQ14" s="74">
        <f>IF('Marks Entry'!BH14="","",'Marks Entry'!BH14)</f>
        <v>18</v>
      </c>
      <c r="ER14" s="528">
        <f t="shared" si="56"/>
        <v>63</v>
      </c>
      <c r="ES14" s="529">
        <f t="shared" si="57"/>
        <v>87</v>
      </c>
      <c r="ET14" s="74">
        <f>IF('Marks Entry'!BI14="","",'Marks Entry'!BI14)</f>
        <v>69</v>
      </c>
      <c r="EU14" s="74">
        <f>IF('Marks Entry'!BJ14="","",'Marks Entry'!BJ14)</f>
        <v>27</v>
      </c>
      <c r="EV14" s="528">
        <f t="shared" si="58"/>
        <v>96</v>
      </c>
      <c r="EW14" s="530">
        <f t="shared" si="59"/>
        <v>183</v>
      </c>
      <c r="EX14" s="368" t="str">
        <f t="shared" si="112"/>
        <v>A</v>
      </c>
      <c r="EY14" s="65">
        <f t="shared" si="113"/>
        <v>0</v>
      </c>
      <c r="EZ14" s="65">
        <f t="shared" si="114"/>
        <v>0</v>
      </c>
      <c r="FA14" s="66">
        <f t="shared" si="115"/>
        <v>200</v>
      </c>
      <c r="FB14" s="74">
        <f>IF('Marks Entry'!BK14="","",'Marks Entry'!BK14)</f>
        <v>9</v>
      </c>
      <c r="FC14" s="74">
        <f>IF('Marks Entry'!BL14="","",'Marks Entry'!BL14)</f>
        <v>7</v>
      </c>
      <c r="FD14" s="74">
        <f>IF('Marks Entry'!BM14="","",'Marks Entry'!BM14)</f>
        <v>9</v>
      </c>
      <c r="FE14" s="74">
        <f>IF('Marks Entry'!BN14="","",'Marks Entry'!BN14)</f>
        <v>6</v>
      </c>
      <c r="FF14" s="74">
        <f>IF('Marks Entry'!BO14="","",'Marks Entry'!BO14)</f>
        <v>9</v>
      </c>
      <c r="FG14" s="74">
        <f>IF('Marks Entry'!BP14="","",'Marks Entry'!BP14)</f>
        <v>14</v>
      </c>
      <c r="FH14" s="527">
        <f t="shared" si="60"/>
        <v>54</v>
      </c>
      <c r="FI14" s="74">
        <f>IF('Marks Entry'!BQ14="","",'Marks Entry'!BQ14)</f>
        <v>21</v>
      </c>
      <c r="FJ14" s="74">
        <f>IF('Marks Entry'!BR14="","",'Marks Entry'!BR14)</f>
        <v>10</v>
      </c>
      <c r="FK14" s="528">
        <f t="shared" si="61"/>
        <v>31</v>
      </c>
      <c r="FL14" s="529">
        <f t="shared" si="62"/>
        <v>85</v>
      </c>
      <c r="FM14" s="74">
        <f>IF('Marks Entry'!BS14="","",'Marks Entry'!BS14)</f>
        <v>28</v>
      </c>
      <c r="FN14" s="74">
        <f>IF('Marks Entry'!BT14="","",'Marks Entry'!BT14)</f>
        <v>62</v>
      </c>
      <c r="FO14" s="528">
        <f t="shared" si="63"/>
        <v>90</v>
      </c>
      <c r="FP14" s="530">
        <f t="shared" si="64"/>
        <v>175</v>
      </c>
      <c r="FQ14" s="368" t="str">
        <f t="shared" si="116"/>
        <v>A</v>
      </c>
      <c r="FR14" s="65">
        <f t="shared" si="117"/>
        <v>0</v>
      </c>
      <c r="FS14" s="65">
        <f t="shared" si="118"/>
        <v>0</v>
      </c>
      <c r="FT14" s="66">
        <f t="shared" si="119"/>
        <v>200</v>
      </c>
      <c r="FU14" s="74">
        <f>IF('Marks Entry'!BU14="","",'Marks Entry'!BU14)</f>
        <v>20</v>
      </c>
      <c r="FV14" s="74">
        <f>IF('Marks Entry'!BV14="","",'Marks Entry'!BV14)</f>
        <v>40</v>
      </c>
      <c r="FW14" s="74">
        <f>IF('Marks Entry'!BW14="","",'Marks Entry'!BW14)</f>
        <v>20</v>
      </c>
      <c r="FX14" s="75">
        <f t="shared" si="65"/>
        <v>80</v>
      </c>
      <c r="FY14" s="368" t="str">
        <f t="shared" si="120"/>
        <v>B</v>
      </c>
      <c r="FZ14" s="65">
        <f t="shared" si="121"/>
        <v>0</v>
      </c>
      <c r="GA14" s="66">
        <f t="shared" si="122"/>
        <v>0</v>
      </c>
      <c r="GB14" s="66">
        <f t="shared" si="123"/>
        <v>100</v>
      </c>
      <c r="GC14" s="74">
        <f>IF('Marks Entry'!BX14="","",'Marks Entry'!BX14)</f>
        <v>23</v>
      </c>
      <c r="GD14" s="74">
        <f>IF('Marks Entry'!BY14="","",'Marks Entry'!BY14)</f>
        <v>58</v>
      </c>
      <c r="GE14" s="74">
        <f>IF('Marks Entry'!BZ14="","",'Marks Entry'!BZ14)</f>
        <v>15</v>
      </c>
      <c r="GF14" s="75">
        <f t="shared" si="124"/>
        <v>96</v>
      </c>
      <c r="GG14" s="368" t="str">
        <f t="shared" si="125"/>
        <v>A</v>
      </c>
      <c r="GH14" s="65">
        <f t="shared" si="126"/>
        <v>0</v>
      </c>
      <c r="GI14" s="66">
        <f t="shared" si="127"/>
        <v>0</v>
      </c>
      <c r="GJ14" s="66">
        <f t="shared" si="128"/>
        <v>100</v>
      </c>
      <c r="GK14" s="100" t="str">
        <f>IF(AND(F14="",B14=""),"",IF('Student DATA Entry'!M11="","",'Student DATA Entry'!M11))</f>
        <v/>
      </c>
      <c r="GL14" s="101" t="str">
        <f>IF(AND(B14="",F14=""),"",IF('Student DATA Entry'!N11="","",'Student DATA Entry'!N11))</f>
        <v/>
      </c>
      <c r="GM14" s="581" t="str">
        <f t="shared" si="129"/>
        <v/>
      </c>
      <c r="GN14" s="94" t="str">
        <f t="shared" si="130"/>
        <v>I</v>
      </c>
      <c r="GO14" s="94" t="str">
        <f t="shared" si="131"/>
        <v/>
      </c>
      <c r="GP14" s="102" t="str">
        <f t="shared" si="67"/>
        <v/>
      </c>
      <c r="GQ14" s="94" t="str">
        <f t="shared" si="132"/>
        <v>D</v>
      </c>
      <c r="GR14" s="103" t="str">
        <f t="shared" si="133"/>
        <v/>
      </c>
      <c r="GS14" s="102" t="str">
        <f t="shared" si="68"/>
        <v/>
      </c>
      <c r="GT14" s="104" t="str">
        <f t="shared" si="134"/>
        <v>D</v>
      </c>
      <c r="GU14" s="94" t="str">
        <f>IF('Marks Entry'!V14=1,GT14,"")</f>
        <v/>
      </c>
      <c r="GV14" s="94" t="str">
        <f>IF('Marks Entry'!V14=2,GT14,"")</f>
        <v/>
      </c>
      <c r="GW14" s="94" t="str">
        <f>IF('Marks Entry'!V14=3,GT14,"")</f>
        <v>D</v>
      </c>
      <c r="GX14" s="94" t="str">
        <f>IF('Marks Entry'!V14=4,GT14,"")</f>
        <v/>
      </c>
      <c r="GY14" s="94" t="str">
        <f>IF('Marks Entry'!V14=5,GT14,"")</f>
        <v/>
      </c>
      <c r="GZ14" s="94" t="str">
        <f t="shared" si="135"/>
        <v/>
      </c>
      <c r="HA14" s="105" t="str">
        <f t="shared" si="69"/>
        <v/>
      </c>
      <c r="HB14" s="94" t="str">
        <f t="shared" si="136"/>
        <v>II</v>
      </c>
      <c r="HC14" s="94" t="str">
        <f t="shared" si="137"/>
        <v/>
      </c>
      <c r="HD14" s="105" t="str">
        <f t="shared" si="70"/>
        <v/>
      </c>
      <c r="HE14" s="94" t="str">
        <f t="shared" si="138"/>
        <v>II</v>
      </c>
      <c r="HF14" s="94" t="str">
        <f t="shared" si="139"/>
        <v/>
      </c>
      <c r="HG14" s="105" t="str">
        <f t="shared" si="71"/>
        <v/>
      </c>
      <c r="HH14" s="94" t="str">
        <f t="shared" si="140"/>
        <v>II</v>
      </c>
      <c r="HI14" s="94" t="str">
        <f t="shared" si="141"/>
        <v/>
      </c>
      <c r="HJ14" s="105" t="str">
        <f t="shared" si="72"/>
        <v/>
      </c>
      <c r="HK14" s="94" t="str">
        <f t="shared" si="142"/>
        <v/>
      </c>
      <c r="HL14" s="94" t="str">
        <f t="shared" si="143"/>
        <v/>
      </c>
      <c r="HM14" s="105" t="str">
        <f t="shared" si="73"/>
        <v/>
      </c>
      <c r="HN14" s="367" t="str">
        <f t="shared" si="144"/>
        <v xml:space="preserve">      </v>
      </c>
      <c r="HO14" s="418" t="str">
        <f t="shared" si="145"/>
        <v xml:space="preserve">      </v>
      </c>
      <c r="HP14" s="367" t="str">
        <f t="shared" si="146"/>
        <v xml:space="preserve">      </v>
      </c>
      <c r="HQ14" s="107" t="str">
        <f t="shared" si="147"/>
        <v xml:space="preserve">      </v>
      </c>
      <c r="HR14" s="366" t="str">
        <f t="shared" si="148"/>
        <v xml:space="preserve"> अंग्रेजी गुजराती (73)    </v>
      </c>
      <c r="HS14" s="544" t="str">
        <f t="shared" si="74"/>
        <v>PASS</v>
      </c>
      <c r="HT14" s="542">
        <f t="shared" si="149"/>
        <v>846</v>
      </c>
      <c r="HU14" s="541">
        <f t="shared" si="160"/>
        <v>70.5</v>
      </c>
      <c r="HV14" s="540" t="str">
        <f t="shared" si="150"/>
        <v>1st</v>
      </c>
      <c r="HW14" s="537">
        <f t="shared" si="151"/>
        <v>70.5</v>
      </c>
      <c r="HX14" s="539">
        <f t="shared" si="152"/>
        <v>3.0000000000000018</v>
      </c>
      <c r="HY14" s="553" t="str">
        <f>IFERROR(IF(OR(HS14="SUPPLEMENTARY",HS14="RE-EXAM"),'Supp. Result Entry'!AQ12,""),"")</f>
        <v/>
      </c>
      <c r="HZ14" s="538" t="str">
        <f t="shared" si="153"/>
        <v/>
      </c>
      <c r="IA14" s="415" t="str">
        <f t="shared" si="154"/>
        <v/>
      </c>
      <c r="IB14" s="415" t="str">
        <f>IF(AND(HZ14="",IA14=""),"",IF(OR(HS14="SUPPLEMENTARY",HS14="RE-EXAM"),'Supp. Result Entry'!AQ12,HS14))</f>
        <v/>
      </c>
      <c r="IC14" s="87"/>
      <c r="IS14" s="109" t="str">
        <f>IF('Supp. Result Entry'!T12="","",'Supp. Result Entry'!$T$4)</f>
        <v/>
      </c>
      <c r="IT14" s="110" t="str">
        <f>IF('Supp. Result Entry'!W12="","",'Supp. Result Entry'!$W$4)</f>
        <v/>
      </c>
      <c r="IU14" s="110" t="str">
        <f>IF('Supp. Result Entry'!Z12="","",'Supp. Result Entry'!$Z$4)</f>
        <v/>
      </c>
      <c r="IV14" s="110" t="str">
        <f>IF('Supp. Result Entry'!AC12="","",'Supp. Result Entry'!$AC$4)</f>
        <v/>
      </c>
      <c r="IW14" s="110" t="str">
        <f>IF('Supp. Result Entry'!AF12="","",'Supp. Result Entry'!$AF$4)</f>
        <v/>
      </c>
      <c r="IX14" s="110" t="str">
        <f>IF('Supp. Result Entry'!AI12="","",'Supp. Result Entry'!$AI$4)</f>
        <v/>
      </c>
      <c r="IY14" s="110" t="str">
        <f>IF('Supp. Result Entry'!AI12="","",'Supp. Result Entry'!$AL$4)</f>
        <v/>
      </c>
      <c r="IZ14" s="110" t="str">
        <f>IF('Supp. Result Entry'!U12="","",'Supp. Result Entry'!U12)</f>
        <v/>
      </c>
      <c r="JA14" s="110" t="str">
        <f>IF('Supp. Result Entry'!X12="","",'Supp. Result Entry'!X12)</f>
        <v/>
      </c>
      <c r="JB14" s="110" t="str">
        <f>IF('Supp. Result Entry'!AA12="","",'Supp. Result Entry'!AA12)</f>
        <v/>
      </c>
      <c r="JC14" s="110" t="str">
        <f>IF('Supp. Result Entry'!AD12="","",'Supp. Result Entry'!AD12)</f>
        <v/>
      </c>
      <c r="JD14" s="110" t="str">
        <f>IF('Supp. Result Entry'!AG12="","",'Supp. Result Entry'!AG12)</f>
        <v/>
      </c>
      <c r="JE14" s="110" t="str">
        <f>IF('Supp. Result Entry'!AJ12="","",'Supp. Result Entry'!AJ12)</f>
        <v/>
      </c>
      <c r="JF14" s="110" t="str">
        <f>IF('Supp. Result Entry'!AM12="","",'Supp. Result Entry'!AM12)</f>
        <v/>
      </c>
      <c r="JG14" s="110" t="str">
        <f>IF('Supp. Result Entry'!V12="","",'Supp. Result Entry'!V12)</f>
        <v/>
      </c>
      <c r="JH14" s="110" t="str">
        <f>IF('Supp. Result Entry'!Y12="","",'Supp. Result Entry'!Y12)</f>
        <v/>
      </c>
      <c r="JI14" s="110" t="str">
        <f>IF('Supp. Result Entry'!AB12="","",'Supp. Result Entry'!AB12)</f>
        <v/>
      </c>
      <c r="JJ14" s="110" t="str">
        <f>IF('Supp. Result Entry'!AE12="","",'Supp. Result Entry'!AE12)</f>
        <v/>
      </c>
      <c r="JK14" s="110" t="str">
        <f>IF('Supp. Result Entry'!AH12="","",'Supp. Result Entry'!AH12)</f>
        <v/>
      </c>
      <c r="JL14" s="110" t="str">
        <f>IF('Supp. Result Entry'!AK12="","",'Supp. Result Entry'!AK12)</f>
        <v/>
      </c>
      <c r="JM14" s="110" t="str">
        <f>IF('Supp. Result Entry'!AN12="","",'Supp. Result Entry'!AN12)</f>
        <v/>
      </c>
      <c r="JN14" s="110">
        <f>COUNTIF('Supp. Result Entry'!K12:Q12,"S")</f>
        <v>0</v>
      </c>
      <c r="JO14" s="110">
        <f t="shared" si="155"/>
        <v>0</v>
      </c>
      <c r="JP14" s="110">
        <f t="shared" si="156"/>
        <v>0</v>
      </c>
      <c r="JQ14" s="110" t="str">
        <f t="shared" si="75"/>
        <v/>
      </c>
      <c r="JR14" s="110" t="str">
        <f t="shared" si="76"/>
        <v/>
      </c>
      <c r="JS14" s="110" t="str">
        <f t="shared" si="77"/>
        <v/>
      </c>
      <c r="JT14" s="110" t="str">
        <f t="shared" si="78"/>
        <v/>
      </c>
      <c r="JU14" s="110" t="str">
        <f t="shared" si="79"/>
        <v/>
      </c>
      <c r="JV14" s="110" t="str">
        <f t="shared" si="80"/>
        <v/>
      </c>
      <c r="JW14" s="110" t="str">
        <f t="shared" si="81"/>
        <v/>
      </c>
      <c r="JX14" s="110" t="str">
        <f t="shared" si="157"/>
        <v/>
      </c>
      <c r="JY14" s="110" t="str">
        <f t="shared" si="158"/>
        <v/>
      </c>
      <c r="JZ14" s="110" t="str">
        <f t="shared" si="82"/>
        <v/>
      </c>
      <c r="KA14" s="108" t="str">
        <f t="shared" si="159"/>
        <v/>
      </c>
    </row>
    <row r="15" spans="1:287" s="108" customFormat="1" ht="21.95" customHeight="1">
      <c r="A15" s="89">
        <v>9</v>
      </c>
      <c r="B15" s="90">
        <f>IF('Marks Entry'!B15="","",'Marks Entry'!B15)</f>
        <v>909</v>
      </c>
      <c r="C15" s="94" t="str">
        <f>IF('Marks Entry'!D15="","",'Marks Entry'!D15)</f>
        <v>A</v>
      </c>
      <c r="D15" s="91" t="str">
        <f>IF('Marks Entry'!E15="","",'Marks Entry'!E15)</f>
        <v/>
      </c>
      <c r="E15" s="92">
        <f>IF('Marks Entry'!F15="","",'Marks Entry'!F15)</f>
        <v>40065</v>
      </c>
      <c r="F15" s="93" t="str">
        <f>IF('Marks Entry'!G15="","",'Marks Entry'!G15)</f>
        <v>RITA</v>
      </c>
      <c r="G15" s="93" t="str">
        <f>IF('Marks Entry'!H15="","",'Marks Entry'!H15)</f>
        <v/>
      </c>
      <c r="H15" s="93" t="str">
        <f>IF('Marks Entry'!I15="","",'Marks Entry'!I15)</f>
        <v/>
      </c>
      <c r="I15" s="94" t="str">
        <f>IF('Marks Entry'!J15="","",'Marks Entry'!J15)</f>
        <v>SBC</v>
      </c>
      <c r="J15" s="95" t="str">
        <f>IF('Marks Entry'!K15="","",'Marks Entry'!K15)</f>
        <v>F</v>
      </c>
      <c r="K15" s="68" t="str">
        <f>IF('Marks Entry'!L15="","",'Marks Entry'!L15)</f>
        <v/>
      </c>
      <c r="L15" s="68" t="str">
        <f>IF('Marks Entry'!M15="","",'Marks Entry'!M15)</f>
        <v/>
      </c>
      <c r="M15" s="68">
        <f>IF('Marks Entry'!N15="","",'Marks Entry'!N15)</f>
        <v>8</v>
      </c>
      <c r="N15" s="514">
        <f t="shared" si="83"/>
        <v>8</v>
      </c>
      <c r="O15" s="68">
        <f>IF('Marks Entry'!O15="","",'Marks Entry'!O15)</f>
        <v>46</v>
      </c>
      <c r="P15" s="515">
        <f t="shared" si="84"/>
        <v>54</v>
      </c>
      <c r="Q15" s="68">
        <f>IF('Marks Entry'!P15="","",'Marks Entry'!P15)</f>
        <v>65</v>
      </c>
      <c r="R15" s="96">
        <f t="shared" si="85"/>
        <v>119</v>
      </c>
      <c r="S15" s="65">
        <f t="shared" si="86"/>
        <v>0</v>
      </c>
      <c r="T15" s="65">
        <f t="shared" si="87"/>
        <v>0</v>
      </c>
      <c r="U15" s="66">
        <f t="shared" si="88"/>
        <v>200</v>
      </c>
      <c r="V15" s="65" t="str">
        <f t="shared" si="89"/>
        <v/>
      </c>
      <c r="W15" s="65" t="str">
        <f t="shared" si="90"/>
        <v>P</v>
      </c>
      <c r="X15" s="65" t="str">
        <f t="shared" si="91"/>
        <v>II</v>
      </c>
      <c r="Y15" s="68">
        <f>IF('Marks Entry'!Q15="","",'Marks Entry'!Q15)</f>
        <v>8</v>
      </c>
      <c r="Z15" s="68">
        <f>IF('Marks Entry'!R15="","",'Marks Entry'!R15)</f>
        <v>9</v>
      </c>
      <c r="AA15" s="68">
        <f>IF('Marks Entry'!S15="","",'Marks Entry'!S15)</f>
        <v>9</v>
      </c>
      <c r="AB15" s="514">
        <f t="shared" si="2"/>
        <v>26</v>
      </c>
      <c r="AC15" s="68">
        <f>IF('Marks Entry'!T15="","",'Marks Entry'!T15)</f>
        <v>60</v>
      </c>
      <c r="AD15" s="515">
        <f t="shared" si="3"/>
        <v>86</v>
      </c>
      <c r="AE15" s="68">
        <f>IF('Marks Entry'!U15="","",'Marks Entry'!U15)</f>
        <v>85</v>
      </c>
      <c r="AF15" s="96">
        <f t="shared" si="4"/>
        <v>171</v>
      </c>
      <c r="AG15" s="65">
        <f t="shared" si="5"/>
        <v>0</v>
      </c>
      <c r="AH15" s="65">
        <f t="shared" si="6"/>
        <v>0</v>
      </c>
      <c r="AI15" s="66">
        <f t="shared" si="7"/>
        <v>200</v>
      </c>
      <c r="AJ15" s="65" t="str">
        <f t="shared" si="8"/>
        <v/>
      </c>
      <c r="AK15" s="65" t="str">
        <f t="shared" si="9"/>
        <v>P</v>
      </c>
      <c r="AL15" s="65" t="str">
        <f t="shared" si="10"/>
        <v>D</v>
      </c>
      <c r="AM15" s="524" t="str">
        <f>IF('Marks Entry'!V15="","",IF('Marks Entry'!V15=1,'School Profile'!$I$9,IF('Marks Entry'!V15=2,'School Profile'!$I$10,IF('Marks Entry'!V15=3,'School Profile'!$I$11,IF('Marks Entry'!V15=4,'School Profile'!$I$12,IF('Marks Entry'!V15=5,'School Profile'!$I$13,IF('Marks Entry'!V15=6,'School Profile'!$I$14,"")))))))</f>
        <v xml:space="preserve">उर्दू (72) </v>
      </c>
      <c r="AN15" s="68">
        <f>IF('Marks Entry'!W15="","",'Marks Entry'!W15)</f>
        <v>8</v>
      </c>
      <c r="AO15" s="68">
        <f>IF('Marks Entry'!X15="","",'Marks Entry'!X15)</f>
        <v>9</v>
      </c>
      <c r="AP15" s="68">
        <f>IF('Marks Entry'!Y15="","",'Marks Entry'!Y15)</f>
        <v>8</v>
      </c>
      <c r="AQ15" s="514">
        <f t="shared" si="11"/>
        <v>25</v>
      </c>
      <c r="AR15" s="68">
        <f>IF('Marks Entry'!Z15="","",'Marks Entry'!Z15)</f>
        <v>46</v>
      </c>
      <c r="AS15" s="515">
        <f t="shared" si="12"/>
        <v>71</v>
      </c>
      <c r="AT15" s="68">
        <f>IF('Marks Entry'!AA15="","",'Marks Entry'!AA15)</f>
        <v>45</v>
      </c>
      <c r="AU15" s="96">
        <f t="shared" si="13"/>
        <v>116</v>
      </c>
      <c r="AV15" s="65">
        <f t="shared" si="14"/>
        <v>0</v>
      </c>
      <c r="AW15" s="65">
        <f t="shared" si="15"/>
        <v>0</v>
      </c>
      <c r="AX15" s="66">
        <f t="shared" si="16"/>
        <v>200</v>
      </c>
      <c r="AY15" s="65" t="str">
        <f t="shared" si="17"/>
        <v/>
      </c>
      <c r="AZ15" s="65" t="str">
        <f t="shared" si="18"/>
        <v>P</v>
      </c>
      <c r="BA15" s="65" t="str">
        <f t="shared" si="19"/>
        <v>II</v>
      </c>
      <c r="BB15" s="68">
        <f>IF('Marks Entry'!AB15="","",'Marks Entry'!AB15)</f>
        <v>8</v>
      </c>
      <c r="BC15" s="68">
        <f>IF('Marks Entry'!AC15="","",'Marks Entry'!AC15)</f>
        <v>9</v>
      </c>
      <c r="BD15" s="68">
        <f>IF('Marks Entry'!AD15="","",'Marks Entry'!AD15)</f>
        <v>9</v>
      </c>
      <c r="BE15" s="514">
        <f t="shared" si="20"/>
        <v>26</v>
      </c>
      <c r="BF15" s="68">
        <f>IF('Marks Entry'!AE15="","",'Marks Entry'!AE15)</f>
        <v>16</v>
      </c>
      <c r="BG15" s="515">
        <f t="shared" si="21"/>
        <v>42</v>
      </c>
      <c r="BH15" s="68">
        <f>IF('Marks Entry'!AF15="","",'Marks Entry'!AF15)</f>
        <v>45</v>
      </c>
      <c r="BI15" s="96">
        <f t="shared" si="22"/>
        <v>87</v>
      </c>
      <c r="BJ15" s="65">
        <f t="shared" si="23"/>
        <v>0</v>
      </c>
      <c r="BK15" s="65">
        <f t="shared" si="92"/>
        <v>0</v>
      </c>
      <c r="BL15" s="66">
        <f t="shared" si="24"/>
        <v>200</v>
      </c>
      <c r="BM15" s="65" t="str">
        <f t="shared" si="25"/>
        <v/>
      </c>
      <c r="BN15" s="65" t="str">
        <f t="shared" si="26"/>
        <v>P</v>
      </c>
      <c r="BO15" s="65" t="str">
        <f t="shared" si="27"/>
        <v>III</v>
      </c>
      <c r="BP15" s="68">
        <f>IF('Marks Entry'!AG15="","",'Marks Entry'!AG15)</f>
        <v>8</v>
      </c>
      <c r="BQ15" s="68">
        <f>IF('Marks Entry'!AH15="","",'Marks Entry'!AH15)</f>
        <v>9</v>
      </c>
      <c r="BR15" s="68">
        <f>IF('Marks Entry'!AI15="","",'Marks Entry'!AI15)</f>
        <v>8</v>
      </c>
      <c r="BS15" s="514">
        <f t="shared" si="28"/>
        <v>25</v>
      </c>
      <c r="BT15" s="68">
        <f>IF('Marks Entry'!AJ15="","",'Marks Entry'!AJ15)</f>
        <v>46</v>
      </c>
      <c r="BU15" s="515">
        <f t="shared" si="29"/>
        <v>71</v>
      </c>
      <c r="BV15" s="68">
        <f>IF('Marks Entry'!AK15="","",'Marks Entry'!AK15)</f>
        <v>45</v>
      </c>
      <c r="BW15" s="96">
        <f t="shared" si="30"/>
        <v>116</v>
      </c>
      <c r="BX15" s="65">
        <f t="shared" si="31"/>
        <v>0</v>
      </c>
      <c r="BY15" s="65">
        <f t="shared" si="32"/>
        <v>0</v>
      </c>
      <c r="BZ15" s="66">
        <f t="shared" si="33"/>
        <v>200</v>
      </c>
      <c r="CA15" s="65" t="str">
        <f t="shared" si="34"/>
        <v/>
      </c>
      <c r="CB15" s="65" t="str">
        <f t="shared" si="35"/>
        <v>P</v>
      </c>
      <c r="CC15" s="65" t="str">
        <f t="shared" si="36"/>
        <v>II</v>
      </c>
      <c r="CD15" s="66">
        <f t="shared" si="93"/>
        <v>0</v>
      </c>
      <c r="CE15" s="68">
        <f>IF('Marks Entry'!AL15="","",'Marks Entry'!AL15)</f>
        <v>8</v>
      </c>
      <c r="CF15" s="68">
        <f>IF('Marks Entry'!AM15="","",'Marks Entry'!AM15)</f>
        <v>8</v>
      </c>
      <c r="CG15" s="68">
        <f>IF('Marks Entry'!AN15="","",'Marks Entry'!AN15)</f>
        <v>8</v>
      </c>
      <c r="CH15" s="514">
        <f t="shared" si="37"/>
        <v>24</v>
      </c>
      <c r="CI15" s="68">
        <f>IF('Marks Entry'!AO15="","",'Marks Entry'!AO15)</f>
        <v>46</v>
      </c>
      <c r="CJ15" s="515">
        <f t="shared" si="38"/>
        <v>70</v>
      </c>
      <c r="CK15" s="68">
        <f>IF('Marks Entry'!AP15="","",'Marks Entry'!AP15)</f>
        <v>45</v>
      </c>
      <c r="CL15" s="96">
        <f t="shared" si="39"/>
        <v>115</v>
      </c>
      <c r="CM15" s="65">
        <f t="shared" si="40"/>
        <v>0</v>
      </c>
      <c r="CN15" s="65">
        <f t="shared" si="41"/>
        <v>0</v>
      </c>
      <c r="CO15" s="66">
        <f t="shared" si="42"/>
        <v>200</v>
      </c>
      <c r="CP15" s="65" t="str">
        <f t="shared" si="43"/>
        <v/>
      </c>
      <c r="CQ15" s="65" t="str">
        <f t="shared" si="44"/>
        <v>P</v>
      </c>
      <c r="CR15" s="65" t="str">
        <f t="shared" si="45"/>
        <v>II</v>
      </c>
      <c r="CS15" s="616" t="str">
        <f>IF('School Profile'!$D$20="NO","",IF('Marks Entry'!AQ15="","",IF('Marks Entry'!AQ15=1,'School Profile'!$I$29,IF('Marks Entry'!AQ15=2,'School Profile'!$I$30,IF('Marks Entry'!AQ15=3,'School Profile'!$I$31,IF('Marks Entry'!AQ15=4,'School Profile'!$I$32,IF('Marks Entry'!AQ15=5,'School Profile'!$I$33,IF('Marks Entry'!AQ15=6,'School Profile'!$I$34,IF('Marks Entry'!AQ15=7,'School Profile'!$I$35,IF('Marks Entry'!AQ15=8,'School Profile'!$I$36,IF('Marks Entry'!AQ15=9,'School Profile'!$I$37,IF('Marks Entry'!AQ15=10,'School Profile'!$I$38,IF('Marks Entry'!AQ15=11,'School Profile'!$I$39,"")))))))))))))</f>
        <v/>
      </c>
      <c r="CT15" s="68" t="str">
        <f>IF('School Profile'!$D$20="NO","",IF('Marks Entry'!AR15="","",'Marks Entry'!AR15))</f>
        <v/>
      </c>
      <c r="CU15" s="68" t="str">
        <f>IF('School Profile'!$D$20="NO","",IF('Marks Entry'!AS15="","",'Marks Entry'!AS15))</f>
        <v/>
      </c>
      <c r="CV15" s="68" t="str">
        <f>IF('School Profile'!$D$20="NO","",IF('Marks Entry'!AT15="","",'Marks Entry'!AT15))</f>
        <v/>
      </c>
      <c r="CW15" s="514" t="str">
        <f>IF('School Profile'!$D$20="NO","",IF(AND(CT15="",CU15="",CV15=""),"",SUM(CT15:CV15)))</f>
        <v/>
      </c>
      <c r="CX15" s="68" t="str">
        <f>IF('School Profile'!$D$20="NO","",IF('Marks Entry'!AU15="","",'Marks Entry'!AU15))</f>
        <v/>
      </c>
      <c r="CY15" s="68" t="str">
        <f>IF('School Profile'!$D$20="NO","",IF('Marks Entry'!AV15="","",'Marks Entry'!AV15))</f>
        <v/>
      </c>
      <c r="CZ15" s="515" t="str">
        <f>IF('School Profile'!$D$20="NO","",IF(AND(CX15="",CY15=""),"",SUM(CX15,CY15)))</f>
        <v/>
      </c>
      <c r="DA15" s="69" t="str">
        <f>IF('School Profile'!$D$20="NO","",IF(AND(CW15="",CZ15=""),"",SUM(CW15+CZ15)))</f>
        <v/>
      </c>
      <c r="DB15" s="68" t="str">
        <f>IF('School Profile'!$D$20="NO","",IF('Marks Entry'!AW15="","",'Marks Entry'!AW15))</f>
        <v/>
      </c>
      <c r="DC15" s="68" t="str">
        <f>IF('School Profile'!$D$20="NO","",IF('Marks Entry'!AX15="","",'Marks Entry'!AX15))</f>
        <v/>
      </c>
      <c r="DD15" s="515" t="str">
        <f>IF('School Profile'!$D$20="NO","",IF(AND(DB15="",DC15=""),"",SUM(DB15,DC15)))</f>
        <v/>
      </c>
      <c r="DE15" s="96" t="str">
        <f>IF('School Profile'!$D$20="NO","",IF(AND(DA15="",DD15=""),"",SUM(DA15,DD15)))</f>
        <v/>
      </c>
      <c r="DF15" s="532">
        <f t="shared" si="46"/>
        <v>0</v>
      </c>
      <c r="DG15" s="65">
        <f t="shared" si="47"/>
        <v>0</v>
      </c>
      <c r="DH15" s="66" t="str">
        <f t="shared" si="48"/>
        <v/>
      </c>
      <c r="DI15" s="65" t="str">
        <f t="shared" si="49"/>
        <v/>
      </c>
      <c r="DJ15" s="65" t="str">
        <f t="shared" si="50"/>
        <v/>
      </c>
      <c r="DK15" s="65" t="str">
        <f t="shared" si="51"/>
        <v/>
      </c>
      <c r="DL15" s="97" t="str">
        <f t="shared" si="94"/>
        <v>II</v>
      </c>
      <c r="DM15" s="97" t="str">
        <f t="shared" si="95"/>
        <v>D</v>
      </c>
      <c r="DN15" s="97" t="str">
        <f t="shared" si="96"/>
        <v>II</v>
      </c>
      <c r="DO15" s="97" t="str">
        <f t="shared" si="97"/>
        <v>III</v>
      </c>
      <c r="DP15" s="97" t="str">
        <f t="shared" si="98"/>
        <v>II</v>
      </c>
      <c r="DQ15" s="97" t="str">
        <f t="shared" si="99"/>
        <v>II</v>
      </c>
      <c r="DR15" s="97" t="str">
        <f t="shared" si="100"/>
        <v/>
      </c>
      <c r="DS15" s="98">
        <f t="shared" si="101"/>
        <v>0</v>
      </c>
      <c r="DT15" s="98">
        <f t="shared" si="102"/>
        <v>0</v>
      </c>
      <c r="DU15" s="98">
        <f t="shared" si="103"/>
        <v>0</v>
      </c>
      <c r="DV15" s="98">
        <f t="shared" si="104"/>
        <v>0</v>
      </c>
      <c r="DW15" s="98">
        <f t="shared" si="105"/>
        <v>0</v>
      </c>
      <c r="DX15" s="98" t="str">
        <f t="shared" si="106"/>
        <v/>
      </c>
      <c r="DY15" s="99" t="str">
        <f t="shared" si="107"/>
        <v>PASS</v>
      </c>
      <c r="DZ15" s="74">
        <f>IF('Marks Entry'!AY15="","",'Marks Entry'!AY15)</f>
        <v>9</v>
      </c>
      <c r="EA15" s="74">
        <f>IF('Marks Entry'!AZ15="","",'Marks Entry'!AZ15)</f>
        <v>9</v>
      </c>
      <c r="EB15" s="74">
        <f>IF('Marks Entry'!BA15="","",'Marks Entry'!BA15)</f>
        <v>9</v>
      </c>
      <c r="EC15" s="527">
        <f t="shared" si="52"/>
        <v>27</v>
      </c>
      <c r="ED15" s="74">
        <f>IF('Marks Entry'!BB15="","",'Marks Entry'!BB15)</f>
        <v>66</v>
      </c>
      <c r="EE15" s="528">
        <f t="shared" si="53"/>
        <v>93</v>
      </c>
      <c r="EF15" s="74">
        <f>IF('Marks Entry'!BC15="","",'Marks Entry'!BC15)</f>
        <v>91</v>
      </c>
      <c r="EG15" s="530">
        <f t="shared" si="54"/>
        <v>184</v>
      </c>
      <c r="EH15" s="368" t="str">
        <f t="shared" si="108"/>
        <v>A</v>
      </c>
      <c r="EI15" s="65">
        <f t="shared" si="109"/>
        <v>0</v>
      </c>
      <c r="EJ15" s="65">
        <f t="shared" si="110"/>
        <v>0</v>
      </c>
      <c r="EK15" s="66">
        <f t="shared" si="111"/>
        <v>200</v>
      </c>
      <c r="EL15" s="74">
        <f>IF('Marks Entry'!BD15="","",'Marks Entry'!BD15)</f>
        <v>8</v>
      </c>
      <c r="EM15" s="74">
        <f>IF('Marks Entry'!BE15="","",'Marks Entry'!BE15)</f>
        <v>8</v>
      </c>
      <c r="EN15" s="74">
        <f>IF('Marks Entry'!BF15="","",'Marks Entry'!BF15)</f>
        <v>8</v>
      </c>
      <c r="EO15" s="527">
        <f t="shared" si="55"/>
        <v>24</v>
      </c>
      <c r="EP15" s="74">
        <f>IF('Marks Entry'!BG15="","",'Marks Entry'!BG15)</f>
        <v>46</v>
      </c>
      <c r="EQ15" s="74">
        <f>IF('Marks Entry'!BH15="","",'Marks Entry'!BH15)</f>
        <v>14</v>
      </c>
      <c r="ER15" s="528">
        <f t="shared" si="56"/>
        <v>60</v>
      </c>
      <c r="ES15" s="529">
        <f t="shared" si="57"/>
        <v>84</v>
      </c>
      <c r="ET15" s="74">
        <f>IF('Marks Entry'!BI15="","",'Marks Entry'!BI15)</f>
        <v>68</v>
      </c>
      <c r="EU15" s="74">
        <f>IF('Marks Entry'!BJ15="","",'Marks Entry'!BJ15)</f>
        <v>27</v>
      </c>
      <c r="EV15" s="528">
        <f t="shared" si="58"/>
        <v>95</v>
      </c>
      <c r="EW15" s="530">
        <f t="shared" si="59"/>
        <v>179</v>
      </c>
      <c r="EX15" s="368" t="str">
        <f t="shared" si="112"/>
        <v>A</v>
      </c>
      <c r="EY15" s="65">
        <f t="shared" si="113"/>
        <v>0</v>
      </c>
      <c r="EZ15" s="65">
        <f t="shared" si="114"/>
        <v>0</v>
      </c>
      <c r="FA15" s="66">
        <f t="shared" si="115"/>
        <v>200</v>
      </c>
      <c r="FB15" s="74">
        <f>IF('Marks Entry'!BK15="","",'Marks Entry'!BK15)</f>
        <v>9</v>
      </c>
      <c r="FC15" s="74">
        <f>IF('Marks Entry'!BL15="","",'Marks Entry'!BL15)</f>
        <v>7</v>
      </c>
      <c r="FD15" s="74">
        <f>IF('Marks Entry'!BM15="","",'Marks Entry'!BM15)</f>
        <v>9</v>
      </c>
      <c r="FE15" s="74">
        <f>IF('Marks Entry'!BN15="","",'Marks Entry'!BN15)</f>
        <v>6</v>
      </c>
      <c r="FF15" s="74">
        <f>IF('Marks Entry'!BO15="","",'Marks Entry'!BO15)</f>
        <v>9</v>
      </c>
      <c r="FG15" s="74">
        <f>IF('Marks Entry'!BP15="","",'Marks Entry'!BP15)</f>
        <v>14</v>
      </c>
      <c r="FH15" s="527">
        <f t="shared" si="60"/>
        <v>54</v>
      </c>
      <c r="FI15" s="74">
        <f>IF('Marks Entry'!BQ15="","",'Marks Entry'!BQ15)</f>
        <v>21</v>
      </c>
      <c r="FJ15" s="74">
        <f>IF('Marks Entry'!BR15="","",'Marks Entry'!BR15)</f>
        <v>12</v>
      </c>
      <c r="FK15" s="528">
        <f t="shared" si="61"/>
        <v>33</v>
      </c>
      <c r="FL15" s="529">
        <f t="shared" si="62"/>
        <v>87</v>
      </c>
      <c r="FM15" s="74">
        <f>IF('Marks Entry'!BS15="","",'Marks Entry'!BS15)</f>
        <v>24</v>
      </c>
      <c r="FN15" s="74">
        <f>IF('Marks Entry'!BT15="","",'Marks Entry'!BT15)</f>
        <v>63</v>
      </c>
      <c r="FO15" s="528">
        <f t="shared" si="63"/>
        <v>87</v>
      </c>
      <c r="FP15" s="530">
        <f t="shared" si="64"/>
        <v>174</v>
      </c>
      <c r="FQ15" s="368" t="str">
        <f t="shared" si="116"/>
        <v>A</v>
      </c>
      <c r="FR15" s="65">
        <f t="shared" si="117"/>
        <v>0</v>
      </c>
      <c r="FS15" s="65">
        <f t="shared" si="118"/>
        <v>0</v>
      </c>
      <c r="FT15" s="66">
        <f t="shared" si="119"/>
        <v>200</v>
      </c>
      <c r="FU15" s="74">
        <f>IF('Marks Entry'!BU15="","",'Marks Entry'!BU15)</f>
        <v>20</v>
      </c>
      <c r="FV15" s="74">
        <f>IF('Marks Entry'!BV15="","",'Marks Entry'!BV15)</f>
        <v>40</v>
      </c>
      <c r="FW15" s="74">
        <f>IF('Marks Entry'!BW15="","",'Marks Entry'!BW15)</f>
        <v>20</v>
      </c>
      <c r="FX15" s="75">
        <f t="shared" si="65"/>
        <v>80</v>
      </c>
      <c r="FY15" s="368" t="str">
        <f t="shared" si="120"/>
        <v>B</v>
      </c>
      <c r="FZ15" s="65">
        <f t="shared" si="121"/>
        <v>0</v>
      </c>
      <c r="GA15" s="66">
        <f t="shared" si="122"/>
        <v>0</v>
      </c>
      <c r="GB15" s="66">
        <f t="shared" si="123"/>
        <v>100</v>
      </c>
      <c r="GC15" s="74">
        <f>IF('Marks Entry'!BX15="","",'Marks Entry'!BX15)</f>
        <v>20</v>
      </c>
      <c r="GD15" s="74">
        <f>IF('Marks Entry'!BY15="","",'Marks Entry'!BY15)</f>
        <v>59</v>
      </c>
      <c r="GE15" s="74">
        <f>IF('Marks Entry'!BZ15="","",'Marks Entry'!BZ15)</f>
        <v>10</v>
      </c>
      <c r="GF15" s="75">
        <f t="shared" si="124"/>
        <v>89</v>
      </c>
      <c r="GG15" s="368" t="str">
        <f t="shared" si="125"/>
        <v>A</v>
      </c>
      <c r="GH15" s="65">
        <f t="shared" si="126"/>
        <v>0</v>
      </c>
      <c r="GI15" s="66">
        <f t="shared" si="127"/>
        <v>0</v>
      </c>
      <c r="GJ15" s="66">
        <f t="shared" si="128"/>
        <v>100</v>
      </c>
      <c r="GK15" s="100" t="str">
        <f>IF(AND(F15="",B15=""),"",IF('Student DATA Entry'!M12="","",'Student DATA Entry'!M12))</f>
        <v/>
      </c>
      <c r="GL15" s="101" t="str">
        <f>IF(AND(B15="",F15=""),"",IF('Student DATA Entry'!N12="","",'Student DATA Entry'!N12))</f>
        <v/>
      </c>
      <c r="GM15" s="581" t="str">
        <f t="shared" si="129"/>
        <v/>
      </c>
      <c r="GN15" s="94" t="str">
        <f t="shared" si="130"/>
        <v>II</v>
      </c>
      <c r="GO15" s="94" t="str">
        <f t="shared" si="131"/>
        <v/>
      </c>
      <c r="GP15" s="102" t="str">
        <f t="shared" si="67"/>
        <v/>
      </c>
      <c r="GQ15" s="94" t="str">
        <f t="shared" si="132"/>
        <v>D</v>
      </c>
      <c r="GR15" s="103" t="str">
        <f t="shared" si="133"/>
        <v/>
      </c>
      <c r="GS15" s="102" t="str">
        <f t="shared" si="68"/>
        <v/>
      </c>
      <c r="GT15" s="104" t="str">
        <f t="shared" si="134"/>
        <v>II</v>
      </c>
      <c r="GU15" s="94" t="str">
        <f>IF('Marks Entry'!V15=1,GT15,"")</f>
        <v/>
      </c>
      <c r="GV15" s="94" t="str">
        <f>IF('Marks Entry'!V15=2,GT15,"")</f>
        <v>II</v>
      </c>
      <c r="GW15" s="94" t="str">
        <f>IF('Marks Entry'!V15=3,GT15,"")</f>
        <v/>
      </c>
      <c r="GX15" s="94" t="str">
        <f>IF('Marks Entry'!V15=4,GT15,"")</f>
        <v/>
      </c>
      <c r="GY15" s="94" t="str">
        <f>IF('Marks Entry'!V15=5,GT15,"")</f>
        <v/>
      </c>
      <c r="GZ15" s="94" t="str">
        <f t="shared" si="135"/>
        <v/>
      </c>
      <c r="HA15" s="105" t="str">
        <f t="shared" si="69"/>
        <v/>
      </c>
      <c r="HB15" s="94" t="str">
        <f t="shared" si="136"/>
        <v>III</v>
      </c>
      <c r="HC15" s="94" t="str">
        <f t="shared" si="137"/>
        <v/>
      </c>
      <c r="HD15" s="105" t="str">
        <f t="shared" si="70"/>
        <v/>
      </c>
      <c r="HE15" s="94" t="str">
        <f t="shared" si="138"/>
        <v>II</v>
      </c>
      <c r="HF15" s="94" t="str">
        <f t="shared" si="139"/>
        <v/>
      </c>
      <c r="HG15" s="105" t="str">
        <f t="shared" si="71"/>
        <v/>
      </c>
      <c r="HH15" s="94" t="str">
        <f t="shared" si="140"/>
        <v>II</v>
      </c>
      <c r="HI15" s="94" t="str">
        <f t="shared" si="141"/>
        <v/>
      </c>
      <c r="HJ15" s="105" t="str">
        <f t="shared" si="72"/>
        <v/>
      </c>
      <c r="HK15" s="94" t="str">
        <f t="shared" si="142"/>
        <v/>
      </c>
      <c r="HL15" s="94" t="str">
        <f t="shared" si="143"/>
        <v/>
      </c>
      <c r="HM15" s="105" t="str">
        <f t="shared" si="73"/>
        <v/>
      </c>
      <c r="HN15" s="367" t="str">
        <f t="shared" si="144"/>
        <v xml:space="preserve">      </v>
      </c>
      <c r="HO15" s="418" t="str">
        <f t="shared" si="145"/>
        <v xml:space="preserve">      </v>
      </c>
      <c r="HP15" s="367" t="str">
        <f t="shared" si="146"/>
        <v xml:space="preserve">      </v>
      </c>
      <c r="HQ15" s="107" t="str">
        <f t="shared" si="147"/>
        <v xml:space="preserve">      </v>
      </c>
      <c r="HR15" s="366" t="str">
        <f>CONCATENATE(IF(GN15="D",$GN$5,"")," ",IF($GQ15="D",$GQ$5,"")," ",IF(GU15="D",$GU$5,IF(GV15="D",$GV$5,IF(GW15="D",$GW$5,IF(GX15="D",$GX$5,IF(GY15="D",$GY$5,"")))))," ",IF(HB15="D",$HB$5,"")," ",IF(HE15="D",$HE$5,"")," ",IF(HH15="D",$HH$5,"")," ",IF(HK15="D",$HK$5,""))</f>
        <v xml:space="preserve"> अंग्रेजी     </v>
      </c>
      <c r="HS15" s="544" t="str">
        <f t="shared" si="74"/>
        <v>PASS</v>
      </c>
      <c r="HT15" s="542">
        <f t="shared" si="149"/>
        <v>724</v>
      </c>
      <c r="HU15" s="541">
        <f t="shared" si="160"/>
        <v>60.333333333333336</v>
      </c>
      <c r="HV15" s="540" t="str">
        <f t="shared" si="150"/>
        <v>1st</v>
      </c>
      <c r="HW15" s="537">
        <f t="shared" si="151"/>
        <v>60.333333333333336</v>
      </c>
      <c r="HX15" s="539">
        <f t="shared" si="152"/>
        <v>12.00000000000008</v>
      </c>
      <c r="HY15" s="553" t="str">
        <f>IFERROR(IF(OR(HS15="SUPPLEMENTARY",HS15="RE-EXAM"),'Supp. Result Entry'!AQ13,""),"")</f>
        <v/>
      </c>
      <c r="HZ15" s="538" t="str">
        <f t="shared" si="153"/>
        <v/>
      </c>
      <c r="IA15" s="415" t="str">
        <f t="shared" si="154"/>
        <v/>
      </c>
      <c r="IB15" s="415" t="str">
        <f>IF(AND(HZ15="",IA15=""),"",IF(OR(HS15="SUPPLEMENTARY",HS15="RE-EXAM"),'Supp. Result Entry'!AQ13,HS15))</f>
        <v/>
      </c>
      <c r="IC15" s="87"/>
      <c r="IS15" s="109" t="str">
        <f>IF('Supp. Result Entry'!T13="","",'Supp. Result Entry'!$T$4)</f>
        <v/>
      </c>
      <c r="IT15" s="110" t="str">
        <f>IF('Supp. Result Entry'!W13="","",'Supp. Result Entry'!$W$4)</f>
        <v/>
      </c>
      <c r="IU15" s="110" t="str">
        <f>IF('Supp. Result Entry'!Z13="","",'Supp. Result Entry'!$Z$4)</f>
        <v/>
      </c>
      <c r="IV15" s="110" t="str">
        <f>IF('Supp. Result Entry'!AC13="","",'Supp. Result Entry'!$AC$4)</f>
        <v/>
      </c>
      <c r="IW15" s="110" t="str">
        <f>IF('Supp. Result Entry'!AF13="","",'Supp. Result Entry'!$AF$4)</f>
        <v/>
      </c>
      <c r="IX15" s="110" t="str">
        <f>IF('Supp. Result Entry'!AI13="","",'Supp. Result Entry'!$AI$4)</f>
        <v/>
      </c>
      <c r="IY15" s="110" t="str">
        <f>IF('Supp. Result Entry'!AI13="","",'Supp. Result Entry'!$AL$4)</f>
        <v/>
      </c>
      <c r="IZ15" s="110" t="str">
        <f>IF('Supp. Result Entry'!U13="","",'Supp. Result Entry'!U13)</f>
        <v/>
      </c>
      <c r="JA15" s="110" t="str">
        <f>IF('Supp. Result Entry'!X13="","",'Supp. Result Entry'!X13)</f>
        <v/>
      </c>
      <c r="JB15" s="110" t="str">
        <f>IF('Supp. Result Entry'!AA13="","",'Supp. Result Entry'!AA13)</f>
        <v/>
      </c>
      <c r="JC15" s="110" t="str">
        <f>IF('Supp. Result Entry'!AD13="","",'Supp. Result Entry'!AD13)</f>
        <v/>
      </c>
      <c r="JD15" s="110" t="str">
        <f>IF('Supp. Result Entry'!AG13="","",'Supp. Result Entry'!AG13)</f>
        <v/>
      </c>
      <c r="JE15" s="110" t="str">
        <f>IF('Supp. Result Entry'!AJ13="","",'Supp. Result Entry'!AJ13)</f>
        <v/>
      </c>
      <c r="JF15" s="110" t="str">
        <f>IF('Supp. Result Entry'!AM13="","",'Supp. Result Entry'!AM13)</f>
        <v/>
      </c>
      <c r="JG15" s="110" t="str">
        <f>IF('Supp. Result Entry'!V13="","",'Supp. Result Entry'!V13)</f>
        <v/>
      </c>
      <c r="JH15" s="110" t="str">
        <f>IF('Supp. Result Entry'!Y13="","",'Supp. Result Entry'!Y13)</f>
        <v/>
      </c>
      <c r="JI15" s="110" t="str">
        <f>IF('Supp. Result Entry'!AB13="","",'Supp. Result Entry'!AB13)</f>
        <v/>
      </c>
      <c r="JJ15" s="110" t="str">
        <f>IF('Supp. Result Entry'!AE13="","",'Supp. Result Entry'!AE13)</f>
        <v/>
      </c>
      <c r="JK15" s="110" t="str">
        <f>IF('Supp. Result Entry'!AH13="","",'Supp. Result Entry'!AH13)</f>
        <v/>
      </c>
      <c r="JL15" s="110" t="str">
        <f>IF('Supp. Result Entry'!AK13="","",'Supp. Result Entry'!AK13)</f>
        <v/>
      </c>
      <c r="JM15" s="110" t="str">
        <f>IF('Supp. Result Entry'!AN13="","",'Supp. Result Entry'!AN13)</f>
        <v/>
      </c>
      <c r="JN15" s="110">
        <f>COUNTIF('Supp. Result Entry'!K13:Q13,"S")</f>
        <v>0</v>
      </c>
      <c r="JO15" s="110">
        <f t="shared" si="155"/>
        <v>0</v>
      </c>
      <c r="JP15" s="110">
        <f t="shared" si="156"/>
        <v>0</v>
      </c>
      <c r="JQ15" s="110" t="str">
        <f t="shared" si="75"/>
        <v/>
      </c>
      <c r="JR15" s="110" t="str">
        <f t="shared" si="76"/>
        <v/>
      </c>
      <c r="JS15" s="110" t="str">
        <f t="shared" si="77"/>
        <v/>
      </c>
      <c r="JT15" s="110" t="str">
        <f t="shared" si="78"/>
        <v/>
      </c>
      <c r="JU15" s="110" t="str">
        <f t="shared" si="79"/>
        <v/>
      </c>
      <c r="JV15" s="110" t="str">
        <f t="shared" si="80"/>
        <v/>
      </c>
      <c r="JW15" s="110" t="str">
        <f t="shared" si="81"/>
        <v/>
      </c>
      <c r="JX15" s="110" t="str">
        <f t="shared" si="157"/>
        <v/>
      </c>
      <c r="JY15" s="110" t="str">
        <f t="shared" si="158"/>
        <v/>
      </c>
      <c r="JZ15" s="110" t="str">
        <f t="shared" si="82"/>
        <v/>
      </c>
      <c r="KA15" s="108" t="str">
        <f t="shared" si="159"/>
        <v/>
      </c>
    </row>
    <row r="16" spans="1:287" s="108" customFormat="1" ht="21.95" customHeight="1">
      <c r="A16" s="89">
        <v>10</v>
      </c>
      <c r="B16" s="90">
        <f>IF('Marks Entry'!B16="","",'Marks Entry'!B16)</f>
        <v>910</v>
      </c>
      <c r="C16" s="94" t="str">
        <f>IF('Marks Entry'!D16="","",'Marks Entry'!D16)</f>
        <v>A</v>
      </c>
      <c r="D16" s="91" t="str">
        <f>IF('Marks Entry'!E16="","",'Marks Entry'!E16)</f>
        <v/>
      </c>
      <c r="E16" s="92">
        <f>IF('Marks Entry'!F16="","",'Marks Entry'!F16)</f>
        <v>40737</v>
      </c>
      <c r="F16" s="93" t="str">
        <f>IF('Marks Entry'!G16="","",'Marks Entry'!G16)</f>
        <v>SONU</v>
      </c>
      <c r="G16" s="93" t="str">
        <f>IF('Marks Entry'!H16="","",'Marks Entry'!H16)</f>
        <v/>
      </c>
      <c r="H16" s="93" t="str">
        <f>IF('Marks Entry'!I16="","",'Marks Entry'!I16)</f>
        <v/>
      </c>
      <c r="I16" s="94" t="str">
        <f>IF('Marks Entry'!J16="","",'Marks Entry'!J16)</f>
        <v>ST</v>
      </c>
      <c r="J16" s="95" t="str">
        <f>IF('Marks Entry'!K16="","",'Marks Entry'!K16)</f>
        <v>F</v>
      </c>
      <c r="K16" s="68">
        <f>IF('Marks Entry'!L16="","",'Marks Entry'!L16)</f>
        <v>8</v>
      </c>
      <c r="L16" s="68">
        <f>IF('Marks Entry'!M16="","",'Marks Entry'!M16)</f>
        <v>9</v>
      </c>
      <c r="M16" s="68">
        <f>IF('Marks Entry'!N16="","",'Marks Entry'!N16)</f>
        <v>7</v>
      </c>
      <c r="N16" s="514">
        <f t="shared" si="83"/>
        <v>24</v>
      </c>
      <c r="O16" s="68">
        <f>IF('Marks Entry'!O16="","",'Marks Entry'!O16)</f>
        <v>46</v>
      </c>
      <c r="P16" s="515">
        <f t="shared" si="84"/>
        <v>70</v>
      </c>
      <c r="Q16" s="68">
        <f>IF('Marks Entry'!P16="","",'Marks Entry'!P16)</f>
        <v>65</v>
      </c>
      <c r="R16" s="96">
        <f t="shared" si="85"/>
        <v>135</v>
      </c>
      <c r="S16" s="65">
        <f t="shared" si="86"/>
        <v>0</v>
      </c>
      <c r="T16" s="65">
        <f t="shared" si="87"/>
        <v>0</v>
      </c>
      <c r="U16" s="66">
        <f t="shared" si="88"/>
        <v>200</v>
      </c>
      <c r="V16" s="65" t="str">
        <f t="shared" si="89"/>
        <v/>
      </c>
      <c r="W16" s="65" t="str">
        <f t="shared" si="90"/>
        <v>P</v>
      </c>
      <c r="X16" s="65" t="str">
        <f t="shared" si="91"/>
        <v>I</v>
      </c>
      <c r="Y16" s="68">
        <f>IF('Marks Entry'!Q16="","",'Marks Entry'!Q16)</f>
        <v>8</v>
      </c>
      <c r="Z16" s="68">
        <f>IF('Marks Entry'!R16="","",'Marks Entry'!R16)</f>
        <v>9</v>
      </c>
      <c r="AA16" s="68">
        <f>IF('Marks Entry'!S16="","",'Marks Entry'!S16)</f>
        <v>9</v>
      </c>
      <c r="AB16" s="514">
        <f t="shared" si="2"/>
        <v>26</v>
      </c>
      <c r="AC16" s="68">
        <f>IF('Marks Entry'!T16="","",'Marks Entry'!T16)</f>
        <v>30</v>
      </c>
      <c r="AD16" s="515">
        <f t="shared" si="3"/>
        <v>56</v>
      </c>
      <c r="AE16" s="68">
        <f>IF('Marks Entry'!U16="","",'Marks Entry'!U16)</f>
        <v>30</v>
      </c>
      <c r="AF16" s="96">
        <f t="shared" si="4"/>
        <v>86</v>
      </c>
      <c r="AG16" s="65">
        <f t="shared" si="5"/>
        <v>0</v>
      </c>
      <c r="AH16" s="65">
        <f t="shared" si="6"/>
        <v>0</v>
      </c>
      <c r="AI16" s="66">
        <f t="shared" si="7"/>
        <v>200</v>
      </c>
      <c r="AJ16" s="65" t="str">
        <f t="shared" si="8"/>
        <v/>
      </c>
      <c r="AK16" s="65" t="str">
        <f t="shared" si="9"/>
        <v>P</v>
      </c>
      <c r="AL16" s="65" t="str">
        <f t="shared" si="10"/>
        <v>III</v>
      </c>
      <c r="AM16" s="524" t="str">
        <f>IF('Marks Entry'!V16="","",IF('Marks Entry'!V16=1,'School Profile'!$I$9,IF('Marks Entry'!V16=2,'School Profile'!$I$10,IF('Marks Entry'!V16=3,'School Profile'!$I$11,IF('Marks Entry'!V16=4,'School Profile'!$I$12,IF('Marks Entry'!V16=5,'School Profile'!$I$13,IF('Marks Entry'!V16=6,'School Profile'!$I$14,"")))))))</f>
        <v>संस्कृत (71)</v>
      </c>
      <c r="AN16" s="68">
        <f>IF('Marks Entry'!W16="","",'Marks Entry'!W16)</f>
        <v>8</v>
      </c>
      <c r="AO16" s="68">
        <f>IF('Marks Entry'!X16="","",'Marks Entry'!X16)</f>
        <v>9</v>
      </c>
      <c r="AP16" s="68">
        <f>IF('Marks Entry'!Y16="","",'Marks Entry'!Y16)</f>
        <v>7</v>
      </c>
      <c r="AQ16" s="514">
        <f t="shared" si="11"/>
        <v>24</v>
      </c>
      <c r="AR16" s="68">
        <f>IF('Marks Entry'!Z16="","",'Marks Entry'!Z16)</f>
        <v>46</v>
      </c>
      <c r="AS16" s="515">
        <f t="shared" si="12"/>
        <v>70</v>
      </c>
      <c r="AT16" s="68">
        <f>IF('Marks Entry'!AA16="","",'Marks Entry'!AA16)</f>
        <v>45</v>
      </c>
      <c r="AU16" s="96">
        <f t="shared" si="13"/>
        <v>115</v>
      </c>
      <c r="AV16" s="65">
        <f t="shared" si="14"/>
        <v>0</v>
      </c>
      <c r="AW16" s="65">
        <f t="shared" si="15"/>
        <v>0</v>
      </c>
      <c r="AX16" s="66">
        <f t="shared" si="16"/>
        <v>200</v>
      </c>
      <c r="AY16" s="65" t="str">
        <f t="shared" si="17"/>
        <v/>
      </c>
      <c r="AZ16" s="65" t="str">
        <f t="shared" si="18"/>
        <v>P</v>
      </c>
      <c r="BA16" s="65" t="str">
        <f t="shared" si="19"/>
        <v>II</v>
      </c>
      <c r="BB16" s="68">
        <f>IF('Marks Entry'!AB16="","",'Marks Entry'!AB16)</f>
        <v>8</v>
      </c>
      <c r="BC16" s="68">
        <f>IF('Marks Entry'!AC16="","",'Marks Entry'!AC16)</f>
        <v>9</v>
      </c>
      <c r="BD16" s="68">
        <f>IF('Marks Entry'!AD16="","",'Marks Entry'!AD16)</f>
        <v>10</v>
      </c>
      <c r="BE16" s="514">
        <f t="shared" si="20"/>
        <v>27</v>
      </c>
      <c r="BF16" s="68">
        <f>IF('Marks Entry'!AE16="","",'Marks Entry'!AE16)</f>
        <v>15</v>
      </c>
      <c r="BG16" s="515">
        <f t="shared" si="21"/>
        <v>42</v>
      </c>
      <c r="BH16" s="68">
        <f>IF('Marks Entry'!AF16="","",'Marks Entry'!AF16)</f>
        <v>25</v>
      </c>
      <c r="BI16" s="96">
        <f t="shared" si="22"/>
        <v>67</v>
      </c>
      <c r="BJ16" s="65">
        <f t="shared" si="23"/>
        <v>0</v>
      </c>
      <c r="BK16" s="65">
        <f t="shared" si="92"/>
        <v>0</v>
      </c>
      <c r="BL16" s="66">
        <f t="shared" si="24"/>
        <v>200</v>
      </c>
      <c r="BM16" s="65" t="str">
        <f t="shared" si="25"/>
        <v/>
      </c>
      <c r="BN16" s="65" t="str">
        <f t="shared" si="26"/>
        <v>G1</v>
      </c>
      <c r="BO16" s="65" t="str">
        <f t="shared" si="27"/>
        <v>G1</v>
      </c>
      <c r="BP16" s="68">
        <f>IF('Marks Entry'!AG16="","",'Marks Entry'!AG16)</f>
        <v>8</v>
      </c>
      <c r="BQ16" s="68">
        <f>IF('Marks Entry'!AH16="","",'Marks Entry'!AH16)</f>
        <v>9</v>
      </c>
      <c r="BR16" s="68">
        <f>IF('Marks Entry'!AI16="","",'Marks Entry'!AI16)</f>
        <v>7</v>
      </c>
      <c r="BS16" s="514">
        <f t="shared" si="28"/>
        <v>24</v>
      </c>
      <c r="BT16" s="68">
        <f>IF('Marks Entry'!AJ16="","",'Marks Entry'!AJ16)</f>
        <v>46</v>
      </c>
      <c r="BU16" s="515">
        <f t="shared" si="29"/>
        <v>70</v>
      </c>
      <c r="BV16" s="68">
        <f>IF('Marks Entry'!AK16="","",'Marks Entry'!AK16)</f>
        <v>45</v>
      </c>
      <c r="BW16" s="96">
        <f t="shared" si="30"/>
        <v>115</v>
      </c>
      <c r="BX16" s="65">
        <f t="shared" si="31"/>
        <v>0</v>
      </c>
      <c r="BY16" s="65">
        <f t="shared" si="32"/>
        <v>0</v>
      </c>
      <c r="BZ16" s="66">
        <f t="shared" si="33"/>
        <v>200</v>
      </c>
      <c r="CA16" s="65" t="str">
        <f t="shared" si="34"/>
        <v/>
      </c>
      <c r="CB16" s="65" t="str">
        <f t="shared" si="35"/>
        <v>P</v>
      </c>
      <c r="CC16" s="65" t="str">
        <f t="shared" si="36"/>
        <v>II</v>
      </c>
      <c r="CD16" s="66">
        <f t="shared" si="93"/>
        <v>0</v>
      </c>
      <c r="CE16" s="68">
        <f>IF('Marks Entry'!AL16="","",'Marks Entry'!AL16)</f>
        <v>8</v>
      </c>
      <c r="CF16" s="68">
        <f>IF('Marks Entry'!AM16="","",'Marks Entry'!AM16)</f>
        <v>8</v>
      </c>
      <c r="CG16" s="68">
        <f>IF('Marks Entry'!AN16="","",'Marks Entry'!AN16)</f>
        <v>8</v>
      </c>
      <c r="CH16" s="514">
        <f t="shared" si="37"/>
        <v>24</v>
      </c>
      <c r="CI16" s="68">
        <f>IF('Marks Entry'!AO16="","",'Marks Entry'!AO16)</f>
        <v>46</v>
      </c>
      <c r="CJ16" s="515">
        <f t="shared" si="38"/>
        <v>70</v>
      </c>
      <c r="CK16" s="68">
        <f>IF('Marks Entry'!AP16="","",'Marks Entry'!AP16)</f>
        <v>45</v>
      </c>
      <c r="CL16" s="96">
        <f t="shared" si="39"/>
        <v>115</v>
      </c>
      <c r="CM16" s="65">
        <f t="shared" si="40"/>
        <v>0</v>
      </c>
      <c r="CN16" s="65">
        <f t="shared" si="41"/>
        <v>0</v>
      </c>
      <c r="CO16" s="66">
        <f t="shared" si="42"/>
        <v>200</v>
      </c>
      <c r="CP16" s="65" t="str">
        <f t="shared" si="43"/>
        <v/>
      </c>
      <c r="CQ16" s="65" t="str">
        <f t="shared" si="44"/>
        <v>P</v>
      </c>
      <c r="CR16" s="65" t="str">
        <f t="shared" si="45"/>
        <v>II</v>
      </c>
      <c r="CS16" s="616" t="str">
        <f>IF('School Profile'!$D$20="NO","",IF('Marks Entry'!AQ16="","",IF('Marks Entry'!AQ16=1,'School Profile'!$I$29,IF('Marks Entry'!AQ16=2,'School Profile'!$I$30,IF('Marks Entry'!AQ16=3,'School Profile'!$I$31,IF('Marks Entry'!AQ16=4,'School Profile'!$I$32,IF('Marks Entry'!AQ16=5,'School Profile'!$I$33,IF('Marks Entry'!AQ16=6,'School Profile'!$I$34,IF('Marks Entry'!AQ16=7,'School Profile'!$I$35,IF('Marks Entry'!AQ16=8,'School Profile'!$I$36,IF('Marks Entry'!AQ16=9,'School Profile'!$I$37,IF('Marks Entry'!AQ16=10,'School Profile'!$I$38,IF('Marks Entry'!AQ16=11,'School Profile'!$I$39,"")))))))))))))</f>
        <v/>
      </c>
      <c r="CT16" s="68" t="str">
        <f>IF('School Profile'!$D$20="NO","",IF('Marks Entry'!AR16="","",'Marks Entry'!AR16))</f>
        <v/>
      </c>
      <c r="CU16" s="68" t="str">
        <f>IF('School Profile'!$D$20="NO","",IF('Marks Entry'!AS16="","",'Marks Entry'!AS16))</f>
        <v/>
      </c>
      <c r="CV16" s="68" t="str">
        <f>IF('School Profile'!$D$20="NO","",IF('Marks Entry'!AT16="","",'Marks Entry'!AT16))</f>
        <v/>
      </c>
      <c r="CW16" s="514" t="str">
        <f>IF('School Profile'!$D$20="NO","",IF(AND(CT16="",CU16="",CV16=""),"",SUM(CT16:CV16)))</f>
        <v/>
      </c>
      <c r="CX16" s="68" t="str">
        <f>IF('School Profile'!$D$20="NO","",IF('Marks Entry'!AU16="","",'Marks Entry'!AU16))</f>
        <v/>
      </c>
      <c r="CY16" s="68" t="str">
        <f>IF('School Profile'!$D$20="NO","",IF('Marks Entry'!AV16="","",'Marks Entry'!AV16))</f>
        <v/>
      </c>
      <c r="CZ16" s="515" t="str">
        <f>IF('School Profile'!$D$20="NO","",IF(AND(CX16="",CY16=""),"",SUM(CX16,CY16)))</f>
        <v/>
      </c>
      <c r="DA16" s="69" t="str">
        <f>IF('School Profile'!$D$20="NO","",IF(AND(CW16="",CZ16=""),"",SUM(CW16+CZ16)))</f>
        <v/>
      </c>
      <c r="DB16" s="68" t="str">
        <f>IF('School Profile'!$D$20="NO","",IF('Marks Entry'!AW16="","",'Marks Entry'!AW16))</f>
        <v/>
      </c>
      <c r="DC16" s="68" t="str">
        <f>IF('School Profile'!$D$20="NO","",IF('Marks Entry'!AX16="","",'Marks Entry'!AX16))</f>
        <v/>
      </c>
      <c r="DD16" s="515" t="str">
        <f>IF('School Profile'!$D$20="NO","",IF(AND(DB16="",DC16=""),"",SUM(DB16,DC16)))</f>
        <v/>
      </c>
      <c r="DE16" s="96" t="str">
        <f>IF('School Profile'!$D$20="NO","",IF(AND(DA16="",DD16=""),"",SUM(DA16,DD16)))</f>
        <v/>
      </c>
      <c r="DF16" s="532">
        <f t="shared" si="46"/>
        <v>0</v>
      </c>
      <c r="DG16" s="65">
        <f t="shared" si="47"/>
        <v>0</v>
      </c>
      <c r="DH16" s="66" t="str">
        <f t="shared" si="48"/>
        <v/>
      </c>
      <c r="DI16" s="65" t="str">
        <f t="shared" si="49"/>
        <v/>
      </c>
      <c r="DJ16" s="65" t="str">
        <f t="shared" si="50"/>
        <v/>
      </c>
      <c r="DK16" s="65" t="str">
        <f t="shared" si="51"/>
        <v/>
      </c>
      <c r="DL16" s="97" t="str">
        <f t="shared" si="94"/>
        <v>I</v>
      </c>
      <c r="DM16" s="97" t="str">
        <f t="shared" si="95"/>
        <v>III</v>
      </c>
      <c r="DN16" s="97" t="str">
        <f t="shared" si="96"/>
        <v>II</v>
      </c>
      <c r="DO16" s="97" t="str">
        <f t="shared" si="97"/>
        <v>G1</v>
      </c>
      <c r="DP16" s="97" t="str">
        <f t="shared" si="98"/>
        <v>II</v>
      </c>
      <c r="DQ16" s="97" t="str">
        <f t="shared" si="99"/>
        <v>II</v>
      </c>
      <c r="DR16" s="97" t="str">
        <f t="shared" si="100"/>
        <v/>
      </c>
      <c r="DS16" s="98">
        <f t="shared" si="101"/>
        <v>0</v>
      </c>
      <c r="DT16" s="98">
        <f t="shared" si="102"/>
        <v>0</v>
      </c>
      <c r="DU16" s="98">
        <f t="shared" si="103"/>
        <v>1</v>
      </c>
      <c r="DV16" s="98">
        <f t="shared" si="104"/>
        <v>0</v>
      </c>
      <c r="DW16" s="98">
        <f t="shared" si="105"/>
        <v>0</v>
      </c>
      <c r="DX16" s="98" t="str">
        <f t="shared" si="106"/>
        <v/>
      </c>
      <c r="DY16" s="99" t="str">
        <f t="shared" si="107"/>
        <v>BY GRACE PASS</v>
      </c>
      <c r="DZ16" s="74">
        <f>IF('Marks Entry'!AY16="","",'Marks Entry'!AY16)</f>
        <v>9</v>
      </c>
      <c r="EA16" s="74">
        <f>IF('Marks Entry'!AZ16="","",'Marks Entry'!AZ16)</f>
        <v>9</v>
      </c>
      <c r="EB16" s="74">
        <f>IF('Marks Entry'!BA16="","",'Marks Entry'!BA16)</f>
        <v>9</v>
      </c>
      <c r="EC16" s="527">
        <f t="shared" si="52"/>
        <v>27</v>
      </c>
      <c r="ED16" s="74">
        <f>IF('Marks Entry'!BB16="","",'Marks Entry'!BB16)</f>
        <v>66</v>
      </c>
      <c r="EE16" s="528">
        <f t="shared" si="53"/>
        <v>93</v>
      </c>
      <c r="EF16" s="74">
        <f>IF('Marks Entry'!BC16="","",'Marks Entry'!BC16)</f>
        <v>91</v>
      </c>
      <c r="EG16" s="530">
        <f t="shared" si="54"/>
        <v>184</v>
      </c>
      <c r="EH16" s="368" t="str">
        <f t="shared" si="108"/>
        <v>A</v>
      </c>
      <c r="EI16" s="65">
        <f t="shared" si="109"/>
        <v>0</v>
      </c>
      <c r="EJ16" s="65">
        <f t="shared" si="110"/>
        <v>0</v>
      </c>
      <c r="EK16" s="66">
        <f t="shared" si="111"/>
        <v>200</v>
      </c>
      <c r="EL16" s="74">
        <f>IF('Marks Entry'!BD16="","",'Marks Entry'!BD16)</f>
        <v>8</v>
      </c>
      <c r="EM16" s="74">
        <f>IF('Marks Entry'!BE16="","",'Marks Entry'!BE16)</f>
        <v>8</v>
      </c>
      <c r="EN16" s="74">
        <f>IF('Marks Entry'!BF16="","",'Marks Entry'!BF16)</f>
        <v>8</v>
      </c>
      <c r="EO16" s="527">
        <f t="shared" si="55"/>
        <v>24</v>
      </c>
      <c r="EP16" s="74">
        <f>IF('Marks Entry'!BG16="","",'Marks Entry'!BG16)</f>
        <v>41</v>
      </c>
      <c r="EQ16" s="74">
        <f>IF('Marks Entry'!BH16="","",'Marks Entry'!BH16)</f>
        <v>15</v>
      </c>
      <c r="ER16" s="528">
        <f t="shared" si="56"/>
        <v>56</v>
      </c>
      <c r="ES16" s="529">
        <f t="shared" si="57"/>
        <v>80</v>
      </c>
      <c r="ET16" s="74">
        <f>IF('Marks Entry'!BI16="","",'Marks Entry'!BI16)</f>
        <v>56</v>
      </c>
      <c r="EU16" s="74">
        <f>IF('Marks Entry'!BJ16="","",'Marks Entry'!BJ16)</f>
        <v>27</v>
      </c>
      <c r="EV16" s="528">
        <f t="shared" si="58"/>
        <v>83</v>
      </c>
      <c r="EW16" s="530">
        <f t="shared" si="59"/>
        <v>163</v>
      </c>
      <c r="EX16" s="368" t="str">
        <f t="shared" si="112"/>
        <v>A</v>
      </c>
      <c r="EY16" s="65">
        <f t="shared" si="113"/>
        <v>0</v>
      </c>
      <c r="EZ16" s="65">
        <f t="shared" si="114"/>
        <v>0</v>
      </c>
      <c r="FA16" s="66">
        <f t="shared" si="115"/>
        <v>200</v>
      </c>
      <c r="FB16" s="74">
        <f>IF('Marks Entry'!BK16="","",'Marks Entry'!BK16)</f>
        <v>9</v>
      </c>
      <c r="FC16" s="74">
        <f>IF('Marks Entry'!BL16="","",'Marks Entry'!BL16)</f>
        <v>7</v>
      </c>
      <c r="FD16" s="74">
        <f>IF('Marks Entry'!BM16="","",'Marks Entry'!BM16)</f>
        <v>9</v>
      </c>
      <c r="FE16" s="74">
        <f>IF('Marks Entry'!BN16="","",'Marks Entry'!BN16)</f>
        <v>6</v>
      </c>
      <c r="FF16" s="74">
        <f>IF('Marks Entry'!BO16="","",'Marks Entry'!BO16)</f>
        <v>9</v>
      </c>
      <c r="FG16" s="74">
        <f>IF('Marks Entry'!BP16="","",'Marks Entry'!BP16)</f>
        <v>14</v>
      </c>
      <c r="FH16" s="527">
        <f t="shared" si="60"/>
        <v>54</v>
      </c>
      <c r="FI16" s="74">
        <f>IF('Marks Entry'!BQ16="","",'Marks Entry'!BQ16)</f>
        <v>21</v>
      </c>
      <c r="FJ16" s="74">
        <f>IF('Marks Entry'!BR16="","",'Marks Entry'!BR16)</f>
        <v>13</v>
      </c>
      <c r="FK16" s="528">
        <f t="shared" si="61"/>
        <v>34</v>
      </c>
      <c r="FL16" s="529">
        <f t="shared" si="62"/>
        <v>88</v>
      </c>
      <c r="FM16" s="74">
        <f>IF('Marks Entry'!BS16="","",'Marks Entry'!BS16)</f>
        <v>25</v>
      </c>
      <c r="FN16" s="74">
        <f>IF('Marks Entry'!BT16="","",'Marks Entry'!BT16)</f>
        <v>69</v>
      </c>
      <c r="FO16" s="528">
        <f t="shared" si="63"/>
        <v>94</v>
      </c>
      <c r="FP16" s="530">
        <f t="shared" si="64"/>
        <v>182</v>
      </c>
      <c r="FQ16" s="368" t="str">
        <f t="shared" si="116"/>
        <v>A</v>
      </c>
      <c r="FR16" s="65">
        <f t="shared" si="117"/>
        <v>0</v>
      </c>
      <c r="FS16" s="65">
        <f t="shared" si="118"/>
        <v>0</v>
      </c>
      <c r="FT16" s="66">
        <f t="shared" si="119"/>
        <v>200</v>
      </c>
      <c r="FU16" s="74">
        <f>IF('Marks Entry'!BU16="","",'Marks Entry'!BU16)</f>
        <v>20</v>
      </c>
      <c r="FV16" s="74">
        <f>IF('Marks Entry'!BV16="","",'Marks Entry'!BV16)</f>
        <v>40</v>
      </c>
      <c r="FW16" s="74">
        <f>IF('Marks Entry'!BW16="","",'Marks Entry'!BW16)</f>
        <v>20</v>
      </c>
      <c r="FX16" s="75">
        <f t="shared" si="65"/>
        <v>80</v>
      </c>
      <c r="FY16" s="368" t="str">
        <f t="shared" si="120"/>
        <v>B</v>
      </c>
      <c r="FZ16" s="65">
        <f t="shared" si="121"/>
        <v>0</v>
      </c>
      <c r="GA16" s="66">
        <f t="shared" si="122"/>
        <v>0</v>
      </c>
      <c r="GB16" s="66">
        <f t="shared" si="123"/>
        <v>100</v>
      </c>
      <c r="GC16" s="74">
        <f>IF('Marks Entry'!BX16="","",'Marks Entry'!BX16)</f>
        <v>20</v>
      </c>
      <c r="GD16" s="74">
        <f>IF('Marks Entry'!BY16="","",'Marks Entry'!BY16)</f>
        <v>45</v>
      </c>
      <c r="GE16" s="74">
        <f>IF('Marks Entry'!BZ16="","",'Marks Entry'!BZ16)</f>
        <v>15</v>
      </c>
      <c r="GF16" s="75">
        <f t="shared" si="124"/>
        <v>80</v>
      </c>
      <c r="GG16" s="368" t="str">
        <f t="shared" si="125"/>
        <v>B</v>
      </c>
      <c r="GH16" s="65">
        <f t="shared" si="126"/>
        <v>0</v>
      </c>
      <c r="GI16" s="66">
        <f t="shared" si="127"/>
        <v>0</v>
      </c>
      <c r="GJ16" s="66">
        <f t="shared" si="128"/>
        <v>100</v>
      </c>
      <c r="GK16" s="100" t="str">
        <f>IF(AND(F16="",B16=""),"",IF('Student DATA Entry'!M13="","",'Student DATA Entry'!M13))</f>
        <v/>
      </c>
      <c r="GL16" s="101" t="str">
        <f>IF(AND(B16="",F16=""),"",IF('Student DATA Entry'!N13="","",'Student DATA Entry'!N13))</f>
        <v/>
      </c>
      <c r="GM16" s="581" t="str">
        <f t="shared" si="129"/>
        <v/>
      </c>
      <c r="GN16" s="94" t="str">
        <f t="shared" si="130"/>
        <v>I</v>
      </c>
      <c r="GO16" s="94" t="str">
        <f t="shared" si="131"/>
        <v/>
      </c>
      <c r="GP16" s="102" t="str">
        <f t="shared" si="67"/>
        <v/>
      </c>
      <c r="GQ16" s="94" t="str">
        <f t="shared" si="132"/>
        <v>III</v>
      </c>
      <c r="GR16" s="103" t="str">
        <f t="shared" si="133"/>
        <v/>
      </c>
      <c r="GS16" s="102" t="str">
        <f t="shared" si="68"/>
        <v/>
      </c>
      <c r="GT16" s="104" t="str">
        <f t="shared" si="134"/>
        <v>II</v>
      </c>
      <c r="GU16" s="94" t="str">
        <f>IF('Marks Entry'!V16=1,GT16,"")</f>
        <v>II</v>
      </c>
      <c r="GV16" s="94" t="str">
        <f>IF('Marks Entry'!V16=2,GT16,"")</f>
        <v/>
      </c>
      <c r="GW16" s="94" t="str">
        <f>IF('Marks Entry'!V16=3,GT16,"")</f>
        <v/>
      </c>
      <c r="GX16" s="94" t="str">
        <f>IF('Marks Entry'!V16=4,GT16,"")</f>
        <v/>
      </c>
      <c r="GY16" s="94" t="str">
        <f>IF('Marks Entry'!V16=5,GT16,"")</f>
        <v/>
      </c>
      <c r="GZ16" s="94" t="str">
        <f t="shared" si="135"/>
        <v/>
      </c>
      <c r="HA16" s="105" t="str">
        <f t="shared" si="69"/>
        <v/>
      </c>
      <c r="HB16" s="94" t="str">
        <f t="shared" si="136"/>
        <v>G</v>
      </c>
      <c r="HC16" s="94" t="str">
        <f t="shared" si="137"/>
        <v>,+</v>
      </c>
      <c r="HD16" s="105">
        <f t="shared" si="70"/>
        <v>5</v>
      </c>
      <c r="HE16" s="94" t="str">
        <f t="shared" si="138"/>
        <v>II</v>
      </c>
      <c r="HF16" s="94" t="str">
        <f t="shared" si="139"/>
        <v/>
      </c>
      <c r="HG16" s="105" t="str">
        <f t="shared" si="71"/>
        <v/>
      </c>
      <c r="HH16" s="94" t="str">
        <f t="shared" si="140"/>
        <v>II</v>
      </c>
      <c r="HI16" s="94" t="str">
        <f t="shared" si="141"/>
        <v/>
      </c>
      <c r="HJ16" s="105" t="str">
        <f t="shared" si="72"/>
        <v/>
      </c>
      <c r="HK16" s="94" t="str">
        <f t="shared" si="142"/>
        <v/>
      </c>
      <c r="HL16" s="94" t="str">
        <f t="shared" si="143"/>
        <v/>
      </c>
      <c r="HM16" s="105" t="str">
        <f t="shared" si="73"/>
        <v/>
      </c>
      <c r="HN16" s="367" t="str">
        <f t="shared" si="144"/>
        <v xml:space="preserve">      </v>
      </c>
      <c r="HO16" s="418" t="str">
        <f t="shared" si="145"/>
        <v xml:space="preserve">      </v>
      </c>
      <c r="HP16" s="367" t="str">
        <f t="shared" si="146"/>
        <v xml:space="preserve">   गणित   </v>
      </c>
      <c r="HQ16" s="107" t="str">
        <f t="shared" si="147"/>
        <v xml:space="preserve">      </v>
      </c>
      <c r="HR16" s="366" t="str">
        <f t="shared" si="148"/>
        <v xml:space="preserve">      </v>
      </c>
      <c r="HS16" s="544" t="str">
        <f t="shared" si="74"/>
        <v>BY GRACE PASS</v>
      </c>
      <c r="HT16" s="542">
        <f t="shared" si="149"/>
        <v>633</v>
      </c>
      <c r="HU16" s="541">
        <f t="shared" si="160"/>
        <v>52.75</v>
      </c>
      <c r="HV16" s="540" t="str">
        <f t="shared" si="150"/>
        <v>2nd</v>
      </c>
      <c r="HW16" s="537">
        <f t="shared" si="151"/>
        <v>52.75</v>
      </c>
      <c r="HX16" s="539">
        <f t="shared" si="152"/>
        <v>17.999999999999773</v>
      </c>
      <c r="HY16" s="553" t="str">
        <f>IFERROR(IF(OR(HS16="SUPPLEMENTARY",HS16="RE-EXAM"),'Supp. Result Entry'!AQ14,""),"")</f>
        <v/>
      </c>
      <c r="HZ16" s="538" t="str">
        <f t="shared" si="153"/>
        <v/>
      </c>
      <c r="IA16" s="415" t="str">
        <f t="shared" si="154"/>
        <v/>
      </c>
      <c r="IB16" s="415" t="str">
        <f>IF(AND(HZ16="",IA16=""),"",IF(OR(HS16="SUPPLEMENTARY",HS16="RE-EXAM"),'Supp. Result Entry'!AQ14,HS16))</f>
        <v/>
      </c>
      <c r="IC16" s="87"/>
      <c r="IS16" s="109" t="str">
        <f>IF('Supp. Result Entry'!T14="","",'Supp. Result Entry'!$T$4)</f>
        <v/>
      </c>
      <c r="IT16" s="110" t="str">
        <f>IF('Supp. Result Entry'!W14="","",'Supp. Result Entry'!$W$4)</f>
        <v/>
      </c>
      <c r="IU16" s="110" t="str">
        <f>IF('Supp. Result Entry'!Z14="","",'Supp. Result Entry'!$Z$4)</f>
        <v/>
      </c>
      <c r="IV16" s="110" t="str">
        <f>IF('Supp. Result Entry'!AC14="","",'Supp. Result Entry'!$AC$4)</f>
        <v/>
      </c>
      <c r="IW16" s="110" t="str">
        <f>IF('Supp. Result Entry'!AF14="","",'Supp. Result Entry'!$AF$4)</f>
        <v/>
      </c>
      <c r="IX16" s="110" t="str">
        <f>IF('Supp. Result Entry'!AI14="","",'Supp. Result Entry'!$AI$4)</f>
        <v/>
      </c>
      <c r="IY16" s="110" t="str">
        <f>IF('Supp. Result Entry'!AI14="","",'Supp. Result Entry'!$AL$4)</f>
        <v/>
      </c>
      <c r="IZ16" s="110" t="str">
        <f>IF('Supp. Result Entry'!U14="","",'Supp. Result Entry'!U14)</f>
        <v/>
      </c>
      <c r="JA16" s="110" t="str">
        <f>IF('Supp. Result Entry'!X14="","",'Supp. Result Entry'!X14)</f>
        <v/>
      </c>
      <c r="JB16" s="110" t="str">
        <f>IF('Supp. Result Entry'!AA14="","",'Supp. Result Entry'!AA14)</f>
        <v/>
      </c>
      <c r="JC16" s="110" t="str">
        <f>IF('Supp. Result Entry'!AD14="","",'Supp. Result Entry'!AD14)</f>
        <v/>
      </c>
      <c r="JD16" s="110" t="str">
        <f>IF('Supp. Result Entry'!AG14="","",'Supp. Result Entry'!AG14)</f>
        <v/>
      </c>
      <c r="JE16" s="110" t="str">
        <f>IF('Supp. Result Entry'!AJ14="","",'Supp. Result Entry'!AJ14)</f>
        <v/>
      </c>
      <c r="JF16" s="110" t="str">
        <f>IF('Supp. Result Entry'!AM14="","",'Supp. Result Entry'!AM14)</f>
        <v/>
      </c>
      <c r="JG16" s="110" t="str">
        <f>IF('Supp. Result Entry'!V14="","",'Supp. Result Entry'!V14)</f>
        <v/>
      </c>
      <c r="JH16" s="110" t="str">
        <f>IF('Supp. Result Entry'!Y14="","",'Supp. Result Entry'!Y14)</f>
        <v/>
      </c>
      <c r="JI16" s="110" t="str">
        <f>IF('Supp. Result Entry'!AB14="","",'Supp. Result Entry'!AB14)</f>
        <v/>
      </c>
      <c r="JJ16" s="110" t="str">
        <f>IF('Supp. Result Entry'!AE14="","",'Supp. Result Entry'!AE14)</f>
        <v/>
      </c>
      <c r="JK16" s="110" t="str">
        <f>IF('Supp. Result Entry'!AH14="","",'Supp. Result Entry'!AH14)</f>
        <v/>
      </c>
      <c r="JL16" s="110" t="str">
        <f>IF('Supp. Result Entry'!AK14="","",'Supp. Result Entry'!AK14)</f>
        <v/>
      </c>
      <c r="JM16" s="110" t="str">
        <f>IF('Supp. Result Entry'!AN14="","",'Supp. Result Entry'!AN14)</f>
        <v/>
      </c>
      <c r="JN16" s="110">
        <f>COUNTIF('Supp. Result Entry'!K14:Q14,"S")</f>
        <v>0</v>
      </c>
      <c r="JO16" s="110">
        <f t="shared" si="155"/>
        <v>0</v>
      </c>
      <c r="JP16" s="110">
        <f t="shared" si="156"/>
        <v>0</v>
      </c>
      <c r="JQ16" s="110" t="str">
        <f t="shared" si="75"/>
        <v/>
      </c>
      <c r="JR16" s="110" t="str">
        <f t="shared" si="76"/>
        <v/>
      </c>
      <c r="JS16" s="110" t="str">
        <f t="shared" si="77"/>
        <v/>
      </c>
      <c r="JT16" s="110" t="str">
        <f t="shared" si="78"/>
        <v/>
      </c>
      <c r="JU16" s="110" t="str">
        <f t="shared" si="79"/>
        <v/>
      </c>
      <c r="JV16" s="110" t="str">
        <f t="shared" si="80"/>
        <v/>
      </c>
      <c r="JW16" s="110" t="str">
        <f t="shared" si="81"/>
        <v/>
      </c>
      <c r="JX16" s="110" t="str">
        <f t="shared" si="157"/>
        <v/>
      </c>
      <c r="JY16" s="110" t="str">
        <f t="shared" si="158"/>
        <v/>
      </c>
      <c r="JZ16" s="110" t="str">
        <f t="shared" si="82"/>
        <v/>
      </c>
      <c r="KA16" s="108" t="str">
        <f t="shared" si="159"/>
        <v/>
      </c>
    </row>
    <row r="17" spans="1:287" s="108" customFormat="1" ht="21.95" customHeight="1">
      <c r="A17" s="89">
        <v>11</v>
      </c>
      <c r="B17" s="90">
        <f>IF('Marks Entry'!B17="","",'Marks Entry'!B17)</f>
        <v>911</v>
      </c>
      <c r="C17" s="94" t="str">
        <f>IF('Marks Entry'!D17="","",'Marks Entry'!D17)</f>
        <v>A</v>
      </c>
      <c r="D17" s="91" t="str">
        <f>IF('Marks Entry'!E17="","",'Marks Entry'!E17)</f>
        <v/>
      </c>
      <c r="E17" s="92">
        <f>IF('Marks Entry'!F17="","",'Marks Entry'!F17)</f>
        <v>41878</v>
      </c>
      <c r="F17" s="93" t="str">
        <f>IF('Marks Entry'!G17="","",'Marks Entry'!G17)</f>
        <v>MONU</v>
      </c>
      <c r="G17" s="93" t="str">
        <f>IF('Marks Entry'!H17="","",'Marks Entry'!H17)</f>
        <v/>
      </c>
      <c r="H17" s="93" t="str">
        <f>IF('Marks Entry'!I17="","",'Marks Entry'!I17)</f>
        <v/>
      </c>
      <c r="I17" s="94" t="str">
        <f>IF('Marks Entry'!J17="","",'Marks Entry'!J17)</f>
        <v>SC</v>
      </c>
      <c r="J17" s="95" t="str">
        <f>IF('Marks Entry'!K17="","",'Marks Entry'!K17)</f>
        <v>M</v>
      </c>
      <c r="K17" s="68" t="str">
        <f>IF('Marks Entry'!L17="","",'Marks Entry'!L17)</f>
        <v/>
      </c>
      <c r="L17" s="68" t="str">
        <f>IF('Marks Entry'!M17="","",'Marks Entry'!M17)</f>
        <v/>
      </c>
      <c r="M17" s="68" t="str">
        <f>IF('Marks Entry'!N17="","",'Marks Entry'!N17)</f>
        <v/>
      </c>
      <c r="N17" s="514" t="str">
        <f t="shared" si="83"/>
        <v/>
      </c>
      <c r="O17" s="68">
        <f>IF('Marks Entry'!O17="","",'Marks Entry'!O17)</f>
        <v>46</v>
      </c>
      <c r="P17" s="515">
        <f t="shared" si="84"/>
        <v>46</v>
      </c>
      <c r="Q17" s="68">
        <f>IF('Marks Entry'!P17="","",'Marks Entry'!P17)</f>
        <v>65</v>
      </c>
      <c r="R17" s="96">
        <f t="shared" si="85"/>
        <v>111</v>
      </c>
      <c r="S17" s="65">
        <f t="shared" si="86"/>
        <v>0</v>
      </c>
      <c r="T17" s="65">
        <f t="shared" si="87"/>
        <v>0</v>
      </c>
      <c r="U17" s="66">
        <f t="shared" si="88"/>
        <v>170</v>
      </c>
      <c r="V17" s="65" t="str">
        <f t="shared" si="89"/>
        <v>AB</v>
      </c>
      <c r="W17" s="65" t="str">
        <f t="shared" si="90"/>
        <v>AB</v>
      </c>
      <c r="X17" s="65" t="str">
        <f t="shared" si="91"/>
        <v>AB</v>
      </c>
      <c r="Y17" s="68">
        <f>IF('Marks Entry'!Q17="","",'Marks Entry'!Q17)</f>
        <v>8</v>
      </c>
      <c r="Z17" s="68">
        <f>IF('Marks Entry'!R17="","",'Marks Entry'!R17)</f>
        <v>9</v>
      </c>
      <c r="AA17" s="68">
        <f>IF('Marks Entry'!S17="","",'Marks Entry'!S17)</f>
        <v>9</v>
      </c>
      <c r="AB17" s="514">
        <f t="shared" si="2"/>
        <v>26</v>
      </c>
      <c r="AC17" s="68">
        <f>IF('Marks Entry'!T17="","",'Marks Entry'!T17)</f>
        <v>60</v>
      </c>
      <c r="AD17" s="515">
        <f t="shared" si="3"/>
        <v>86</v>
      </c>
      <c r="AE17" s="68">
        <f>IF('Marks Entry'!U17="","",'Marks Entry'!U17)</f>
        <v>85</v>
      </c>
      <c r="AF17" s="96">
        <f t="shared" si="4"/>
        <v>171</v>
      </c>
      <c r="AG17" s="65">
        <f t="shared" si="5"/>
        <v>0</v>
      </c>
      <c r="AH17" s="65">
        <f t="shared" si="6"/>
        <v>0</v>
      </c>
      <c r="AI17" s="66">
        <f t="shared" si="7"/>
        <v>200</v>
      </c>
      <c r="AJ17" s="65" t="str">
        <f t="shared" si="8"/>
        <v/>
      </c>
      <c r="AK17" s="65" t="str">
        <f t="shared" si="9"/>
        <v>P</v>
      </c>
      <c r="AL17" s="65" t="str">
        <f t="shared" si="10"/>
        <v>D</v>
      </c>
      <c r="AM17" s="524" t="str">
        <f>IF('Marks Entry'!V17="","",IF('Marks Entry'!V17=1,'School Profile'!$I$9,IF('Marks Entry'!V17=2,'School Profile'!$I$10,IF('Marks Entry'!V17=3,'School Profile'!$I$11,IF('Marks Entry'!V17=4,'School Profile'!$I$12,IF('Marks Entry'!V17=5,'School Profile'!$I$13,IF('Marks Entry'!V17=6,'School Profile'!$I$14,"")))))))</f>
        <v>संस्कृत (71)</v>
      </c>
      <c r="AN17" s="68">
        <f>IF('Marks Entry'!W17="","",'Marks Entry'!W17)</f>
        <v>8</v>
      </c>
      <c r="AO17" s="68">
        <f>IF('Marks Entry'!X17="","",'Marks Entry'!X17)</f>
        <v>9</v>
      </c>
      <c r="AP17" s="68">
        <f>IF('Marks Entry'!Y17="","",'Marks Entry'!Y17)</f>
        <v>7</v>
      </c>
      <c r="AQ17" s="514">
        <f t="shared" si="11"/>
        <v>24</v>
      </c>
      <c r="AR17" s="68">
        <f>IF('Marks Entry'!Z17="","",'Marks Entry'!Z17)</f>
        <v>46</v>
      </c>
      <c r="AS17" s="515">
        <f t="shared" si="12"/>
        <v>70</v>
      </c>
      <c r="AT17" s="68">
        <f>IF('Marks Entry'!AA17="","",'Marks Entry'!AA17)</f>
        <v>45</v>
      </c>
      <c r="AU17" s="96">
        <f t="shared" si="13"/>
        <v>115</v>
      </c>
      <c r="AV17" s="65">
        <f t="shared" si="14"/>
        <v>0</v>
      </c>
      <c r="AW17" s="65">
        <f t="shared" si="15"/>
        <v>0</v>
      </c>
      <c r="AX17" s="66">
        <f t="shared" si="16"/>
        <v>200</v>
      </c>
      <c r="AY17" s="65" t="str">
        <f t="shared" si="17"/>
        <v/>
      </c>
      <c r="AZ17" s="65" t="str">
        <f t="shared" si="18"/>
        <v>P</v>
      </c>
      <c r="BA17" s="65" t="str">
        <f t="shared" si="19"/>
        <v>II</v>
      </c>
      <c r="BB17" s="68">
        <f>IF('Marks Entry'!AB17="","",'Marks Entry'!AB17)</f>
        <v>8</v>
      </c>
      <c r="BC17" s="68">
        <f>IF('Marks Entry'!AC17="","",'Marks Entry'!AC17)</f>
        <v>9</v>
      </c>
      <c r="BD17" s="68">
        <f>IF('Marks Entry'!AD17="","",'Marks Entry'!AD17)</f>
        <v>10</v>
      </c>
      <c r="BE17" s="514">
        <f t="shared" si="20"/>
        <v>27</v>
      </c>
      <c r="BF17" s="68">
        <f>IF('Marks Entry'!AE17="","",'Marks Entry'!AE17)</f>
        <v>46</v>
      </c>
      <c r="BG17" s="515">
        <f t="shared" si="21"/>
        <v>73</v>
      </c>
      <c r="BH17" s="68">
        <f>IF('Marks Entry'!AF17="","",'Marks Entry'!AF17)</f>
        <v>45</v>
      </c>
      <c r="BI17" s="96">
        <f t="shared" si="22"/>
        <v>118</v>
      </c>
      <c r="BJ17" s="65">
        <f t="shared" si="23"/>
        <v>0</v>
      </c>
      <c r="BK17" s="65">
        <f t="shared" si="92"/>
        <v>0</v>
      </c>
      <c r="BL17" s="66">
        <f t="shared" si="24"/>
        <v>200</v>
      </c>
      <c r="BM17" s="65" t="str">
        <f t="shared" si="25"/>
        <v/>
      </c>
      <c r="BN17" s="65" t="str">
        <f t="shared" si="26"/>
        <v>P</v>
      </c>
      <c r="BO17" s="65" t="str">
        <f t="shared" si="27"/>
        <v>II</v>
      </c>
      <c r="BP17" s="68">
        <f>IF('Marks Entry'!AG17="","",'Marks Entry'!AG17)</f>
        <v>8</v>
      </c>
      <c r="BQ17" s="68">
        <f>IF('Marks Entry'!AH17="","",'Marks Entry'!AH17)</f>
        <v>9</v>
      </c>
      <c r="BR17" s="68">
        <f>IF('Marks Entry'!AI17="","",'Marks Entry'!AI17)</f>
        <v>7</v>
      </c>
      <c r="BS17" s="514">
        <f t="shared" si="28"/>
        <v>24</v>
      </c>
      <c r="BT17" s="68">
        <f>IF('Marks Entry'!AJ17="","",'Marks Entry'!AJ17)</f>
        <v>46</v>
      </c>
      <c r="BU17" s="515">
        <f t="shared" si="29"/>
        <v>70</v>
      </c>
      <c r="BV17" s="68">
        <f>IF('Marks Entry'!AK17="","",'Marks Entry'!AK17)</f>
        <v>45</v>
      </c>
      <c r="BW17" s="96">
        <f t="shared" si="30"/>
        <v>115</v>
      </c>
      <c r="BX17" s="65">
        <f t="shared" si="31"/>
        <v>0</v>
      </c>
      <c r="BY17" s="65">
        <f t="shared" si="32"/>
        <v>0</v>
      </c>
      <c r="BZ17" s="66">
        <f t="shared" si="33"/>
        <v>200</v>
      </c>
      <c r="CA17" s="65" t="str">
        <f t="shared" si="34"/>
        <v/>
      </c>
      <c r="CB17" s="65" t="str">
        <f t="shared" si="35"/>
        <v>P</v>
      </c>
      <c r="CC17" s="65" t="str">
        <f t="shared" si="36"/>
        <v>II</v>
      </c>
      <c r="CD17" s="66">
        <f t="shared" si="93"/>
        <v>0</v>
      </c>
      <c r="CE17" s="68">
        <f>IF('Marks Entry'!AL17="","",'Marks Entry'!AL17)</f>
        <v>8</v>
      </c>
      <c r="CF17" s="68">
        <f>IF('Marks Entry'!AM17="","",'Marks Entry'!AM17)</f>
        <v>8</v>
      </c>
      <c r="CG17" s="68">
        <f>IF('Marks Entry'!AN17="","",'Marks Entry'!AN17)</f>
        <v>8</v>
      </c>
      <c r="CH17" s="514">
        <f t="shared" si="37"/>
        <v>24</v>
      </c>
      <c r="CI17" s="68">
        <f>IF('Marks Entry'!AO17="","",'Marks Entry'!AO17)</f>
        <v>46</v>
      </c>
      <c r="CJ17" s="515">
        <f t="shared" si="38"/>
        <v>70</v>
      </c>
      <c r="CK17" s="68">
        <f>IF('Marks Entry'!AP17="","",'Marks Entry'!AP17)</f>
        <v>45</v>
      </c>
      <c r="CL17" s="96">
        <f t="shared" si="39"/>
        <v>115</v>
      </c>
      <c r="CM17" s="65">
        <f t="shared" si="40"/>
        <v>0</v>
      </c>
      <c r="CN17" s="65">
        <f t="shared" si="41"/>
        <v>0</v>
      </c>
      <c r="CO17" s="66">
        <f t="shared" si="42"/>
        <v>200</v>
      </c>
      <c r="CP17" s="65" t="str">
        <f t="shared" si="43"/>
        <v/>
      </c>
      <c r="CQ17" s="65" t="str">
        <f t="shared" si="44"/>
        <v>P</v>
      </c>
      <c r="CR17" s="65" t="str">
        <f t="shared" si="45"/>
        <v>II</v>
      </c>
      <c r="CS17" s="616" t="str">
        <f>IF('School Profile'!$D$20="NO","",IF('Marks Entry'!AQ17="","",IF('Marks Entry'!AQ17=1,'School Profile'!$I$29,IF('Marks Entry'!AQ17=2,'School Profile'!$I$30,IF('Marks Entry'!AQ17=3,'School Profile'!$I$31,IF('Marks Entry'!AQ17=4,'School Profile'!$I$32,IF('Marks Entry'!AQ17=5,'School Profile'!$I$33,IF('Marks Entry'!AQ17=6,'School Profile'!$I$34,IF('Marks Entry'!AQ17=7,'School Profile'!$I$35,IF('Marks Entry'!AQ17=8,'School Profile'!$I$36,IF('Marks Entry'!AQ17=9,'School Profile'!$I$37,IF('Marks Entry'!AQ17=10,'School Profile'!$I$38,IF('Marks Entry'!AQ17=11,'School Profile'!$I$39,"")))))))))))))</f>
        <v/>
      </c>
      <c r="CT17" s="68" t="str">
        <f>IF('School Profile'!$D$20="NO","",IF('Marks Entry'!AR17="","",'Marks Entry'!AR17))</f>
        <v/>
      </c>
      <c r="CU17" s="68" t="str">
        <f>IF('School Profile'!$D$20="NO","",IF('Marks Entry'!AS17="","",'Marks Entry'!AS17))</f>
        <v/>
      </c>
      <c r="CV17" s="68" t="str">
        <f>IF('School Profile'!$D$20="NO","",IF('Marks Entry'!AT17="","",'Marks Entry'!AT17))</f>
        <v/>
      </c>
      <c r="CW17" s="514" t="str">
        <f>IF('School Profile'!$D$20="NO","",IF(AND(CT17="",CU17="",CV17=""),"",SUM(CT17:CV17)))</f>
        <v/>
      </c>
      <c r="CX17" s="68" t="str">
        <f>IF('School Profile'!$D$20="NO","",IF('Marks Entry'!AU17="","",'Marks Entry'!AU17))</f>
        <v/>
      </c>
      <c r="CY17" s="68" t="str">
        <f>IF('School Profile'!$D$20="NO","",IF('Marks Entry'!AV17="","",'Marks Entry'!AV17))</f>
        <v/>
      </c>
      <c r="CZ17" s="515" t="str">
        <f>IF('School Profile'!$D$20="NO","",IF(AND(CX17="",CY17=""),"",SUM(CX17,CY17)))</f>
        <v/>
      </c>
      <c r="DA17" s="69" t="str">
        <f>IF('School Profile'!$D$20="NO","",IF(AND(CW17="",CZ17=""),"",SUM(CW17+CZ17)))</f>
        <v/>
      </c>
      <c r="DB17" s="68" t="str">
        <f>IF('School Profile'!$D$20="NO","",IF('Marks Entry'!AW17="","",'Marks Entry'!AW17))</f>
        <v/>
      </c>
      <c r="DC17" s="68" t="str">
        <f>IF('School Profile'!$D$20="NO","",IF('Marks Entry'!AX17="","",'Marks Entry'!AX17))</f>
        <v/>
      </c>
      <c r="DD17" s="515" t="str">
        <f>IF('School Profile'!$D$20="NO","",IF(AND(DB17="",DC17=""),"",SUM(DB17,DC17)))</f>
        <v/>
      </c>
      <c r="DE17" s="96" t="str">
        <f>IF('School Profile'!$D$20="NO","",IF(AND(DA17="",DD17=""),"",SUM(DA17,DD17)))</f>
        <v/>
      </c>
      <c r="DF17" s="532">
        <f t="shared" si="46"/>
        <v>0</v>
      </c>
      <c r="DG17" s="65">
        <f t="shared" si="47"/>
        <v>0</v>
      </c>
      <c r="DH17" s="66" t="str">
        <f t="shared" si="48"/>
        <v/>
      </c>
      <c r="DI17" s="65" t="str">
        <f t="shared" si="49"/>
        <v/>
      </c>
      <c r="DJ17" s="65" t="str">
        <f t="shared" si="50"/>
        <v/>
      </c>
      <c r="DK17" s="65" t="str">
        <f t="shared" si="51"/>
        <v/>
      </c>
      <c r="DL17" s="97" t="str">
        <f t="shared" si="94"/>
        <v>AB</v>
      </c>
      <c r="DM17" s="97" t="str">
        <f t="shared" si="95"/>
        <v>D</v>
      </c>
      <c r="DN17" s="97" t="str">
        <f t="shared" si="96"/>
        <v>II</v>
      </c>
      <c r="DO17" s="97" t="str">
        <f t="shared" si="97"/>
        <v>II</v>
      </c>
      <c r="DP17" s="97" t="str">
        <f t="shared" si="98"/>
        <v>II</v>
      </c>
      <c r="DQ17" s="97" t="str">
        <f t="shared" si="99"/>
        <v>II</v>
      </c>
      <c r="DR17" s="97" t="str">
        <f t="shared" si="100"/>
        <v/>
      </c>
      <c r="DS17" s="98">
        <f t="shared" si="101"/>
        <v>1</v>
      </c>
      <c r="DT17" s="98">
        <f t="shared" si="102"/>
        <v>0</v>
      </c>
      <c r="DU17" s="98">
        <f t="shared" si="103"/>
        <v>0</v>
      </c>
      <c r="DV17" s="98">
        <f t="shared" si="104"/>
        <v>0</v>
      </c>
      <c r="DW17" s="98">
        <f t="shared" si="105"/>
        <v>0</v>
      </c>
      <c r="DX17" s="98" t="str">
        <f t="shared" si="106"/>
        <v/>
      </c>
      <c r="DY17" s="99" t="str">
        <f t="shared" si="107"/>
        <v>FAIL</v>
      </c>
      <c r="DZ17" s="74">
        <f>IF('Marks Entry'!AY17="","",'Marks Entry'!AY17)</f>
        <v>9</v>
      </c>
      <c r="EA17" s="74">
        <f>IF('Marks Entry'!AZ17="","",'Marks Entry'!AZ17)</f>
        <v>9</v>
      </c>
      <c r="EB17" s="74">
        <f>IF('Marks Entry'!BA17="","",'Marks Entry'!BA17)</f>
        <v>9</v>
      </c>
      <c r="EC17" s="527">
        <f t="shared" si="52"/>
        <v>27</v>
      </c>
      <c r="ED17" s="74">
        <f>IF('Marks Entry'!BB17="","",'Marks Entry'!BB17)</f>
        <v>66</v>
      </c>
      <c r="EE17" s="528">
        <f t="shared" si="53"/>
        <v>93</v>
      </c>
      <c r="EF17" s="74">
        <f>IF('Marks Entry'!BC17="","",'Marks Entry'!BC17)</f>
        <v>91</v>
      </c>
      <c r="EG17" s="530">
        <f t="shared" si="54"/>
        <v>184</v>
      </c>
      <c r="EH17" s="368" t="str">
        <f t="shared" si="108"/>
        <v>A</v>
      </c>
      <c r="EI17" s="65">
        <f t="shared" si="109"/>
        <v>0</v>
      </c>
      <c r="EJ17" s="65">
        <f t="shared" si="110"/>
        <v>0</v>
      </c>
      <c r="EK17" s="66">
        <f t="shared" si="111"/>
        <v>200</v>
      </c>
      <c r="EL17" s="74">
        <f>IF('Marks Entry'!BD17="","",'Marks Entry'!BD17)</f>
        <v>8</v>
      </c>
      <c r="EM17" s="74">
        <f>IF('Marks Entry'!BE17="","",'Marks Entry'!BE17)</f>
        <v>8</v>
      </c>
      <c r="EN17" s="74">
        <f>IF('Marks Entry'!BF17="","",'Marks Entry'!BF17)</f>
        <v>8</v>
      </c>
      <c r="EO17" s="527">
        <f t="shared" si="55"/>
        <v>24</v>
      </c>
      <c r="EP17" s="74">
        <f>IF('Marks Entry'!BG17="","",'Marks Entry'!BG17)</f>
        <v>42</v>
      </c>
      <c r="EQ17" s="74">
        <f>IF('Marks Entry'!BH17="","",'Marks Entry'!BH17)</f>
        <v>18</v>
      </c>
      <c r="ER17" s="528">
        <f t="shared" si="56"/>
        <v>60</v>
      </c>
      <c r="ES17" s="529">
        <f t="shared" si="57"/>
        <v>84</v>
      </c>
      <c r="ET17" s="74">
        <f>IF('Marks Entry'!BI17="","",'Marks Entry'!BI17)</f>
        <v>58</v>
      </c>
      <c r="EU17" s="74">
        <f>IF('Marks Entry'!BJ17="","",'Marks Entry'!BJ17)</f>
        <v>27</v>
      </c>
      <c r="EV17" s="528">
        <f t="shared" si="58"/>
        <v>85</v>
      </c>
      <c r="EW17" s="530">
        <f t="shared" si="59"/>
        <v>169</v>
      </c>
      <c r="EX17" s="368" t="str">
        <f t="shared" si="112"/>
        <v>A</v>
      </c>
      <c r="EY17" s="65">
        <f t="shared" si="113"/>
        <v>0</v>
      </c>
      <c r="EZ17" s="65">
        <f t="shared" si="114"/>
        <v>0</v>
      </c>
      <c r="FA17" s="66">
        <f t="shared" si="115"/>
        <v>200</v>
      </c>
      <c r="FB17" s="74">
        <f>IF('Marks Entry'!BK17="","",'Marks Entry'!BK17)</f>
        <v>9</v>
      </c>
      <c r="FC17" s="74">
        <f>IF('Marks Entry'!BL17="","",'Marks Entry'!BL17)</f>
        <v>7</v>
      </c>
      <c r="FD17" s="74">
        <f>IF('Marks Entry'!BM17="","",'Marks Entry'!BM17)</f>
        <v>9</v>
      </c>
      <c r="FE17" s="74">
        <f>IF('Marks Entry'!BN17="","",'Marks Entry'!BN17)</f>
        <v>6</v>
      </c>
      <c r="FF17" s="74">
        <f>IF('Marks Entry'!BO17="","",'Marks Entry'!BO17)</f>
        <v>9</v>
      </c>
      <c r="FG17" s="74">
        <f>IF('Marks Entry'!BP17="","",'Marks Entry'!BP17)</f>
        <v>14</v>
      </c>
      <c r="FH17" s="527">
        <f t="shared" si="60"/>
        <v>54</v>
      </c>
      <c r="FI17" s="74">
        <f>IF('Marks Entry'!BQ17="","",'Marks Entry'!BQ17)</f>
        <v>21</v>
      </c>
      <c r="FJ17" s="74">
        <f>IF('Marks Entry'!BR17="","",'Marks Entry'!BR17)</f>
        <v>12</v>
      </c>
      <c r="FK17" s="528">
        <f t="shared" si="61"/>
        <v>33</v>
      </c>
      <c r="FL17" s="529">
        <f t="shared" si="62"/>
        <v>87</v>
      </c>
      <c r="FM17" s="74">
        <f>IF('Marks Entry'!BS17="","",'Marks Entry'!BS17)</f>
        <v>20</v>
      </c>
      <c r="FN17" s="74">
        <f>IF('Marks Entry'!BT17="","",'Marks Entry'!BT17)</f>
        <v>68</v>
      </c>
      <c r="FO17" s="528">
        <f t="shared" si="63"/>
        <v>88</v>
      </c>
      <c r="FP17" s="530">
        <f t="shared" si="64"/>
        <v>175</v>
      </c>
      <c r="FQ17" s="368" t="str">
        <f t="shared" si="116"/>
        <v>A</v>
      </c>
      <c r="FR17" s="65">
        <f t="shared" si="117"/>
        <v>0</v>
      </c>
      <c r="FS17" s="65">
        <f t="shared" si="118"/>
        <v>0</v>
      </c>
      <c r="FT17" s="66">
        <f t="shared" si="119"/>
        <v>200</v>
      </c>
      <c r="FU17" s="74">
        <f>IF('Marks Entry'!BU17="","",'Marks Entry'!BU17)</f>
        <v>20</v>
      </c>
      <c r="FV17" s="74">
        <f>IF('Marks Entry'!BV17="","",'Marks Entry'!BV17)</f>
        <v>40</v>
      </c>
      <c r="FW17" s="74">
        <f>IF('Marks Entry'!BW17="","",'Marks Entry'!BW17)</f>
        <v>20</v>
      </c>
      <c r="FX17" s="75">
        <f t="shared" si="65"/>
        <v>80</v>
      </c>
      <c r="FY17" s="368" t="str">
        <f t="shared" si="120"/>
        <v>B</v>
      </c>
      <c r="FZ17" s="65">
        <f t="shared" si="121"/>
        <v>0</v>
      </c>
      <c r="GA17" s="66">
        <f t="shared" si="122"/>
        <v>0</v>
      </c>
      <c r="GB17" s="66">
        <f t="shared" si="123"/>
        <v>100</v>
      </c>
      <c r="GC17" s="74">
        <f>IF('Marks Entry'!BX17="","",'Marks Entry'!BX17)</f>
        <v>20</v>
      </c>
      <c r="GD17" s="74">
        <f>IF('Marks Entry'!BY17="","",'Marks Entry'!BY17)</f>
        <v>45</v>
      </c>
      <c r="GE17" s="74">
        <f>IF('Marks Entry'!BZ17="","",'Marks Entry'!BZ17)</f>
        <v>14</v>
      </c>
      <c r="GF17" s="75">
        <f t="shared" si="124"/>
        <v>79</v>
      </c>
      <c r="GG17" s="368" t="str">
        <f t="shared" si="125"/>
        <v>B</v>
      </c>
      <c r="GH17" s="65">
        <f t="shared" si="126"/>
        <v>0</v>
      </c>
      <c r="GI17" s="66">
        <f t="shared" si="127"/>
        <v>0</v>
      </c>
      <c r="GJ17" s="66">
        <f t="shared" si="128"/>
        <v>100</v>
      </c>
      <c r="GK17" s="100" t="str">
        <f>IF(AND(F17="",B17=""),"",IF('Student DATA Entry'!M14="","",'Student DATA Entry'!M14))</f>
        <v/>
      </c>
      <c r="GL17" s="101" t="str">
        <f>IF(AND(B17="",F17=""),"",IF('Student DATA Entry'!N14="","",'Student DATA Entry'!N14))</f>
        <v/>
      </c>
      <c r="GM17" s="581" t="str">
        <f t="shared" si="129"/>
        <v/>
      </c>
      <c r="GN17" s="94" t="str">
        <f t="shared" si="130"/>
        <v>AB</v>
      </c>
      <c r="GO17" s="94" t="str">
        <f t="shared" si="131"/>
        <v/>
      </c>
      <c r="GP17" s="102" t="str">
        <f t="shared" si="67"/>
        <v/>
      </c>
      <c r="GQ17" s="94" t="str">
        <f t="shared" si="132"/>
        <v>D</v>
      </c>
      <c r="GR17" s="103" t="str">
        <f t="shared" si="133"/>
        <v/>
      </c>
      <c r="GS17" s="102" t="str">
        <f t="shared" si="68"/>
        <v/>
      </c>
      <c r="GT17" s="104" t="str">
        <f t="shared" si="134"/>
        <v>II</v>
      </c>
      <c r="GU17" s="94" t="str">
        <f>IF('Marks Entry'!V17=1,GT17,"")</f>
        <v>II</v>
      </c>
      <c r="GV17" s="94" t="str">
        <f>IF('Marks Entry'!V17=2,GT17,"")</f>
        <v/>
      </c>
      <c r="GW17" s="94" t="str">
        <f>IF('Marks Entry'!V17=3,GT17,"")</f>
        <v/>
      </c>
      <c r="GX17" s="94" t="str">
        <f>IF('Marks Entry'!V17=4,GT17,"")</f>
        <v/>
      </c>
      <c r="GY17" s="94" t="str">
        <f>IF('Marks Entry'!V17=5,GT17,"")</f>
        <v/>
      </c>
      <c r="GZ17" s="94" t="str">
        <f t="shared" si="135"/>
        <v/>
      </c>
      <c r="HA17" s="105" t="str">
        <f t="shared" si="69"/>
        <v/>
      </c>
      <c r="HB17" s="94" t="str">
        <f t="shared" si="136"/>
        <v>II</v>
      </c>
      <c r="HC17" s="94" t="str">
        <f t="shared" si="137"/>
        <v/>
      </c>
      <c r="HD17" s="105" t="str">
        <f t="shared" si="70"/>
        <v/>
      </c>
      <c r="HE17" s="94" t="str">
        <f t="shared" si="138"/>
        <v>II</v>
      </c>
      <c r="HF17" s="94" t="str">
        <f t="shared" si="139"/>
        <v/>
      </c>
      <c r="HG17" s="105" t="str">
        <f t="shared" si="71"/>
        <v/>
      </c>
      <c r="HH17" s="94" t="str">
        <f t="shared" si="140"/>
        <v>II</v>
      </c>
      <c r="HI17" s="94" t="str">
        <f t="shared" si="141"/>
        <v/>
      </c>
      <c r="HJ17" s="105" t="str">
        <f t="shared" si="72"/>
        <v/>
      </c>
      <c r="HK17" s="94" t="str">
        <f t="shared" si="142"/>
        <v/>
      </c>
      <c r="HL17" s="94" t="str">
        <f t="shared" si="143"/>
        <v/>
      </c>
      <c r="HM17" s="105" t="str">
        <f t="shared" si="73"/>
        <v/>
      </c>
      <c r="HN17" s="367" t="str">
        <f t="shared" si="144"/>
        <v xml:space="preserve">हिंदी      </v>
      </c>
      <c r="HO17" s="418" t="str">
        <f t="shared" si="145"/>
        <v xml:space="preserve">      </v>
      </c>
      <c r="HP17" s="367" t="str">
        <f t="shared" si="146"/>
        <v xml:space="preserve">      </v>
      </c>
      <c r="HQ17" s="107" t="str">
        <f t="shared" si="147"/>
        <v xml:space="preserve">      </v>
      </c>
      <c r="HR17" s="366" t="str">
        <f t="shared" si="148"/>
        <v xml:space="preserve"> अंग्रेजी     </v>
      </c>
      <c r="HS17" s="544" t="str">
        <f t="shared" si="74"/>
        <v>FAIL</v>
      </c>
      <c r="HT17" s="542">
        <f t="shared" si="149"/>
        <v>745</v>
      </c>
      <c r="HU17" s="541">
        <f t="shared" si="160"/>
        <v>62.083333333333336</v>
      </c>
      <c r="HV17" s="540" t="str">
        <f t="shared" si="150"/>
        <v/>
      </c>
      <c r="HW17" s="537" t="str">
        <f t="shared" si="151"/>
        <v/>
      </c>
      <c r="HX17" s="539" t="str">
        <f t="shared" si="152"/>
        <v/>
      </c>
      <c r="HY17" s="553" t="str">
        <f>IFERROR(IF(OR(HS17="SUPPLEMENTARY",HS17="RE-EXAM"),'Supp. Result Entry'!AQ15,""),"")</f>
        <v/>
      </c>
      <c r="HZ17" s="538" t="str">
        <f t="shared" si="153"/>
        <v/>
      </c>
      <c r="IA17" s="415" t="str">
        <f t="shared" si="154"/>
        <v/>
      </c>
      <c r="IB17" s="415" t="str">
        <f>IF(AND(HZ17="",IA17=""),"",IF(OR(HS17="SUPPLEMENTARY",HS17="RE-EXAM"),'Supp. Result Entry'!AQ15,HS17))</f>
        <v/>
      </c>
      <c r="IC17" s="87"/>
      <c r="IS17" s="109" t="str">
        <f>IF('Supp. Result Entry'!T15="","",'Supp. Result Entry'!$T$4)</f>
        <v/>
      </c>
      <c r="IT17" s="110" t="str">
        <f>IF('Supp. Result Entry'!W15="","",'Supp. Result Entry'!$W$4)</f>
        <v/>
      </c>
      <c r="IU17" s="110" t="str">
        <f>IF('Supp. Result Entry'!Z15="","",'Supp. Result Entry'!$Z$4)</f>
        <v/>
      </c>
      <c r="IV17" s="110" t="str">
        <f>IF('Supp. Result Entry'!AC15="","",'Supp. Result Entry'!$AC$4)</f>
        <v/>
      </c>
      <c r="IW17" s="110" t="str">
        <f>IF('Supp. Result Entry'!AF15="","",'Supp. Result Entry'!$AF$4)</f>
        <v/>
      </c>
      <c r="IX17" s="110" t="str">
        <f>IF('Supp. Result Entry'!AI15="","",'Supp. Result Entry'!$AI$4)</f>
        <v/>
      </c>
      <c r="IY17" s="110" t="str">
        <f>IF('Supp. Result Entry'!AI15="","",'Supp. Result Entry'!$AL$4)</f>
        <v/>
      </c>
      <c r="IZ17" s="110" t="str">
        <f>IF('Supp. Result Entry'!U15="","",'Supp. Result Entry'!U15)</f>
        <v/>
      </c>
      <c r="JA17" s="110" t="str">
        <f>IF('Supp. Result Entry'!X15="","",'Supp. Result Entry'!X15)</f>
        <v/>
      </c>
      <c r="JB17" s="110" t="str">
        <f>IF('Supp. Result Entry'!AA15="","",'Supp. Result Entry'!AA15)</f>
        <v/>
      </c>
      <c r="JC17" s="110" t="str">
        <f>IF('Supp. Result Entry'!AD15="","",'Supp. Result Entry'!AD15)</f>
        <v/>
      </c>
      <c r="JD17" s="110" t="str">
        <f>IF('Supp. Result Entry'!AG15="","",'Supp. Result Entry'!AG15)</f>
        <v/>
      </c>
      <c r="JE17" s="110" t="str">
        <f>IF('Supp. Result Entry'!AJ15="","",'Supp. Result Entry'!AJ15)</f>
        <v/>
      </c>
      <c r="JF17" s="110" t="str">
        <f>IF('Supp. Result Entry'!AM15="","",'Supp. Result Entry'!AM15)</f>
        <v/>
      </c>
      <c r="JG17" s="110" t="str">
        <f>IF('Supp. Result Entry'!V15="","",'Supp. Result Entry'!V15)</f>
        <v/>
      </c>
      <c r="JH17" s="110" t="str">
        <f>IF('Supp. Result Entry'!Y15="","",'Supp. Result Entry'!Y15)</f>
        <v/>
      </c>
      <c r="JI17" s="110" t="str">
        <f>IF('Supp. Result Entry'!AB15="","",'Supp. Result Entry'!AB15)</f>
        <v/>
      </c>
      <c r="JJ17" s="110" t="str">
        <f>IF('Supp. Result Entry'!AE15="","",'Supp. Result Entry'!AE15)</f>
        <v/>
      </c>
      <c r="JK17" s="110" t="str">
        <f>IF('Supp. Result Entry'!AH15="","",'Supp. Result Entry'!AH15)</f>
        <v/>
      </c>
      <c r="JL17" s="110" t="str">
        <f>IF('Supp. Result Entry'!AK15="","",'Supp. Result Entry'!AK15)</f>
        <v/>
      </c>
      <c r="JM17" s="110" t="str">
        <f>IF('Supp. Result Entry'!AN15="","",'Supp. Result Entry'!AN15)</f>
        <v/>
      </c>
      <c r="JN17" s="110">
        <f>COUNTIF('Supp. Result Entry'!K15:Q15,"S")</f>
        <v>0</v>
      </c>
      <c r="JO17" s="110">
        <f t="shared" si="155"/>
        <v>0</v>
      </c>
      <c r="JP17" s="110">
        <f t="shared" si="156"/>
        <v>0</v>
      </c>
      <c r="JQ17" s="110" t="str">
        <f t="shared" si="75"/>
        <v/>
      </c>
      <c r="JR17" s="110" t="str">
        <f t="shared" si="76"/>
        <v/>
      </c>
      <c r="JS17" s="110" t="str">
        <f t="shared" si="77"/>
        <v/>
      </c>
      <c r="JT17" s="110" t="str">
        <f t="shared" si="78"/>
        <v/>
      </c>
      <c r="JU17" s="110" t="str">
        <f t="shared" si="79"/>
        <v/>
      </c>
      <c r="JV17" s="110" t="str">
        <f t="shared" si="80"/>
        <v/>
      </c>
      <c r="JW17" s="110" t="str">
        <f t="shared" si="81"/>
        <v/>
      </c>
      <c r="JX17" s="110" t="str">
        <f t="shared" si="157"/>
        <v/>
      </c>
      <c r="JY17" s="110" t="str">
        <f t="shared" si="158"/>
        <v/>
      </c>
      <c r="JZ17" s="110" t="str">
        <f t="shared" si="82"/>
        <v/>
      </c>
      <c r="KA17" s="108" t="str">
        <f t="shared" si="159"/>
        <v/>
      </c>
    </row>
    <row r="18" spans="1:287" s="108" customFormat="1" ht="21.95" customHeight="1">
      <c r="A18" s="89">
        <v>12</v>
      </c>
      <c r="B18" s="90">
        <f>IF('Marks Entry'!B18="","",'Marks Entry'!B18)</f>
        <v>912</v>
      </c>
      <c r="C18" s="94" t="str">
        <f>IF('Marks Entry'!D18="","",'Marks Entry'!D18)</f>
        <v>A</v>
      </c>
      <c r="D18" s="91" t="str">
        <f>IF('Marks Entry'!E18="","",'Marks Entry'!E18)</f>
        <v/>
      </c>
      <c r="E18" s="92" t="str">
        <f>IF('Marks Entry'!F18="","",'Marks Entry'!F18)</f>
        <v/>
      </c>
      <c r="F18" s="93" t="str">
        <f>IF('Marks Entry'!G18="","",'Marks Entry'!G18)</f>
        <v>JAY</v>
      </c>
      <c r="G18" s="93" t="str">
        <f>IF('Marks Entry'!H18="","",'Marks Entry'!H18)</f>
        <v/>
      </c>
      <c r="H18" s="93" t="str">
        <f>IF('Marks Entry'!I18="","",'Marks Entry'!I18)</f>
        <v/>
      </c>
      <c r="I18" s="94" t="str">
        <f>IF('Marks Entry'!J18="","",'Marks Entry'!J18)</f>
        <v/>
      </c>
      <c r="J18" s="95" t="str">
        <f>IF('Marks Entry'!K18="","",'Marks Entry'!K18)</f>
        <v/>
      </c>
      <c r="K18" s="68">
        <f>IF('Marks Entry'!L18="","",'Marks Entry'!L18)</f>
        <v>7</v>
      </c>
      <c r="L18" s="68">
        <f>IF('Marks Entry'!M18="","",'Marks Entry'!M18)</f>
        <v>8</v>
      </c>
      <c r="M18" s="68">
        <f>IF('Marks Entry'!N18="","",'Marks Entry'!N18)</f>
        <v>7</v>
      </c>
      <c r="N18" s="514">
        <f t="shared" si="83"/>
        <v>22</v>
      </c>
      <c r="O18" s="68">
        <f>IF('Marks Entry'!O18="","",'Marks Entry'!O18)</f>
        <v>47</v>
      </c>
      <c r="P18" s="515">
        <f t="shared" si="84"/>
        <v>69</v>
      </c>
      <c r="Q18" s="68">
        <f>IF('Marks Entry'!P18="","",'Marks Entry'!P18)</f>
        <v>65</v>
      </c>
      <c r="R18" s="96">
        <f t="shared" si="85"/>
        <v>134</v>
      </c>
      <c r="S18" s="65">
        <f t="shared" si="86"/>
        <v>0</v>
      </c>
      <c r="T18" s="65">
        <f t="shared" si="87"/>
        <v>0</v>
      </c>
      <c r="U18" s="66">
        <f t="shared" si="88"/>
        <v>200</v>
      </c>
      <c r="V18" s="65" t="str">
        <f t="shared" si="89"/>
        <v/>
      </c>
      <c r="W18" s="65" t="str">
        <f t="shared" si="90"/>
        <v>P</v>
      </c>
      <c r="X18" s="65" t="str">
        <f t="shared" si="91"/>
        <v>I</v>
      </c>
      <c r="Y18" s="68">
        <f>IF('Marks Entry'!Q18="","",'Marks Entry'!Q18)</f>
        <v>8</v>
      </c>
      <c r="Z18" s="68">
        <f>IF('Marks Entry'!R18="","",'Marks Entry'!R18)</f>
        <v>9</v>
      </c>
      <c r="AA18" s="68">
        <f>IF('Marks Entry'!S18="","",'Marks Entry'!S18)</f>
        <v>9</v>
      </c>
      <c r="AB18" s="514">
        <f t="shared" si="2"/>
        <v>26</v>
      </c>
      <c r="AC18" s="68">
        <f>IF('Marks Entry'!T18="","",'Marks Entry'!T18)</f>
        <v>60</v>
      </c>
      <c r="AD18" s="515">
        <f t="shared" si="3"/>
        <v>86</v>
      </c>
      <c r="AE18" s="68">
        <f>IF('Marks Entry'!U18="","",'Marks Entry'!U18)</f>
        <v>85</v>
      </c>
      <c r="AF18" s="96">
        <f t="shared" si="4"/>
        <v>171</v>
      </c>
      <c r="AG18" s="65">
        <f t="shared" si="5"/>
        <v>0</v>
      </c>
      <c r="AH18" s="65">
        <f t="shared" si="6"/>
        <v>0</v>
      </c>
      <c r="AI18" s="66">
        <f t="shared" si="7"/>
        <v>200</v>
      </c>
      <c r="AJ18" s="65" t="str">
        <f t="shared" si="8"/>
        <v/>
      </c>
      <c r="AK18" s="65" t="str">
        <f t="shared" si="9"/>
        <v>P</v>
      </c>
      <c r="AL18" s="65" t="str">
        <f t="shared" si="10"/>
        <v>D</v>
      </c>
      <c r="AM18" s="524" t="str">
        <f>IF('Marks Entry'!V18="","",IF('Marks Entry'!V18=1,'School Profile'!$I$9,IF('Marks Entry'!V18=2,'School Profile'!$I$10,IF('Marks Entry'!V18=3,'School Profile'!$I$11,IF('Marks Entry'!V18=4,'School Profile'!$I$12,IF('Marks Entry'!V18=5,'School Profile'!$I$13,IF('Marks Entry'!V18=6,'School Profile'!$I$14,"")))))))</f>
        <v>संस्कृत (71)</v>
      </c>
      <c r="AN18" s="68">
        <f>IF('Marks Entry'!W18="","",'Marks Entry'!W18)</f>
        <v>8</v>
      </c>
      <c r="AO18" s="68">
        <f>IF('Marks Entry'!X18="","",'Marks Entry'!X18)</f>
        <v>9</v>
      </c>
      <c r="AP18" s="68">
        <f>IF('Marks Entry'!Y18="","",'Marks Entry'!Y18)</f>
        <v>7</v>
      </c>
      <c r="AQ18" s="514">
        <f t="shared" si="11"/>
        <v>24</v>
      </c>
      <c r="AR18" s="68">
        <f>IF('Marks Entry'!Z18="","",'Marks Entry'!Z18)</f>
        <v>46</v>
      </c>
      <c r="AS18" s="515">
        <f t="shared" si="12"/>
        <v>70</v>
      </c>
      <c r="AT18" s="68">
        <f>IF('Marks Entry'!AA18="","",'Marks Entry'!AA18)</f>
        <v>45</v>
      </c>
      <c r="AU18" s="96">
        <f t="shared" si="13"/>
        <v>115</v>
      </c>
      <c r="AV18" s="65">
        <f t="shared" si="14"/>
        <v>0</v>
      </c>
      <c r="AW18" s="65">
        <f t="shared" si="15"/>
        <v>0</v>
      </c>
      <c r="AX18" s="66">
        <f t="shared" si="16"/>
        <v>200</v>
      </c>
      <c r="AY18" s="65" t="str">
        <f t="shared" si="17"/>
        <v/>
      </c>
      <c r="AZ18" s="65" t="str">
        <f t="shared" si="18"/>
        <v>P</v>
      </c>
      <c r="BA18" s="65" t="str">
        <f t="shared" si="19"/>
        <v>II</v>
      </c>
      <c r="BB18" s="68">
        <f>IF('Marks Entry'!AB18="","",'Marks Entry'!AB18)</f>
        <v>8</v>
      </c>
      <c r="BC18" s="68">
        <f>IF('Marks Entry'!AC18="","",'Marks Entry'!AC18)</f>
        <v>9</v>
      </c>
      <c r="BD18" s="68">
        <f>IF('Marks Entry'!AD18="","",'Marks Entry'!AD18)</f>
        <v>10</v>
      </c>
      <c r="BE18" s="514">
        <f t="shared" si="20"/>
        <v>27</v>
      </c>
      <c r="BF18" s="68">
        <f>IF('Marks Entry'!AE18="","",'Marks Entry'!AE18)</f>
        <v>20</v>
      </c>
      <c r="BG18" s="515">
        <f t="shared" si="21"/>
        <v>47</v>
      </c>
      <c r="BH18" s="68">
        <f>IF('Marks Entry'!AF18="","",'Marks Entry'!AF18)</f>
        <v>21</v>
      </c>
      <c r="BI18" s="96">
        <f t="shared" si="22"/>
        <v>68</v>
      </c>
      <c r="BJ18" s="65">
        <f t="shared" si="23"/>
        <v>0</v>
      </c>
      <c r="BK18" s="65">
        <f t="shared" si="92"/>
        <v>0</v>
      </c>
      <c r="BL18" s="66">
        <f t="shared" si="24"/>
        <v>200</v>
      </c>
      <c r="BM18" s="65" t="str">
        <f t="shared" si="25"/>
        <v/>
      </c>
      <c r="BN18" s="65" t="str">
        <f t="shared" si="26"/>
        <v>G2</v>
      </c>
      <c r="BO18" s="65" t="str">
        <f t="shared" si="27"/>
        <v>G2</v>
      </c>
      <c r="BP18" s="68">
        <f>IF('Marks Entry'!AG18="","",'Marks Entry'!AG18)</f>
        <v>8</v>
      </c>
      <c r="BQ18" s="68">
        <f>IF('Marks Entry'!AH18="","",'Marks Entry'!AH18)</f>
        <v>9</v>
      </c>
      <c r="BR18" s="68">
        <f>IF('Marks Entry'!AI18="","",'Marks Entry'!AI18)</f>
        <v>7</v>
      </c>
      <c r="BS18" s="514">
        <f t="shared" si="28"/>
        <v>24</v>
      </c>
      <c r="BT18" s="68">
        <f>IF('Marks Entry'!AJ18="","",'Marks Entry'!AJ18)</f>
        <v>46</v>
      </c>
      <c r="BU18" s="515">
        <f t="shared" si="29"/>
        <v>70</v>
      </c>
      <c r="BV18" s="68">
        <f>IF('Marks Entry'!AK18="","",'Marks Entry'!AK18)</f>
        <v>45</v>
      </c>
      <c r="BW18" s="96">
        <f t="shared" si="30"/>
        <v>115</v>
      </c>
      <c r="BX18" s="65">
        <f t="shared" si="31"/>
        <v>0</v>
      </c>
      <c r="BY18" s="65">
        <f t="shared" si="32"/>
        <v>0</v>
      </c>
      <c r="BZ18" s="66">
        <f t="shared" si="33"/>
        <v>200</v>
      </c>
      <c r="CA18" s="65" t="str">
        <f t="shared" si="34"/>
        <v/>
      </c>
      <c r="CB18" s="65" t="str">
        <f t="shared" si="35"/>
        <v>P</v>
      </c>
      <c r="CC18" s="65" t="str">
        <f t="shared" si="36"/>
        <v>II</v>
      </c>
      <c r="CD18" s="66">
        <f t="shared" si="93"/>
        <v>0</v>
      </c>
      <c r="CE18" s="68">
        <f>IF('Marks Entry'!AL18="","",'Marks Entry'!AL18)</f>
        <v>8</v>
      </c>
      <c r="CF18" s="68">
        <f>IF('Marks Entry'!AM18="","",'Marks Entry'!AM18)</f>
        <v>8</v>
      </c>
      <c r="CG18" s="68">
        <f>IF('Marks Entry'!AN18="","",'Marks Entry'!AN18)</f>
        <v>8</v>
      </c>
      <c r="CH18" s="514">
        <f t="shared" si="37"/>
        <v>24</v>
      </c>
      <c r="CI18" s="68">
        <f>IF('Marks Entry'!AO18="","",'Marks Entry'!AO18)</f>
        <v>46</v>
      </c>
      <c r="CJ18" s="515">
        <f t="shared" si="38"/>
        <v>70</v>
      </c>
      <c r="CK18" s="68">
        <f>IF('Marks Entry'!AP18="","",'Marks Entry'!AP18)</f>
        <v>45</v>
      </c>
      <c r="CL18" s="96">
        <f t="shared" si="39"/>
        <v>115</v>
      </c>
      <c r="CM18" s="65">
        <f t="shared" si="40"/>
        <v>0</v>
      </c>
      <c r="CN18" s="65">
        <f t="shared" si="41"/>
        <v>0</v>
      </c>
      <c r="CO18" s="66">
        <f t="shared" si="42"/>
        <v>200</v>
      </c>
      <c r="CP18" s="65" t="str">
        <f t="shared" si="43"/>
        <v/>
      </c>
      <c r="CQ18" s="65" t="str">
        <f t="shared" si="44"/>
        <v>P</v>
      </c>
      <c r="CR18" s="65" t="str">
        <f t="shared" si="45"/>
        <v>II</v>
      </c>
      <c r="CS18" s="616" t="str">
        <f>IF('School Profile'!$D$20="NO","",IF('Marks Entry'!AQ18="","",IF('Marks Entry'!AQ18=1,'School Profile'!$I$29,IF('Marks Entry'!AQ18=2,'School Profile'!$I$30,IF('Marks Entry'!AQ18=3,'School Profile'!$I$31,IF('Marks Entry'!AQ18=4,'School Profile'!$I$32,IF('Marks Entry'!AQ18=5,'School Profile'!$I$33,IF('Marks Entry'!AQ18=6,'School Profile'!$I$34,IF('Marks Entry'!AQ18=7,'School Profile'!$I$35,IF('Marks Entry'!AQ18=8,'School Profile'!$I$36,IF('Marks Entry'!AQ18=9,'School Profile'!$I$37,IF('Marks Entry'!AQ18=10,'School Profile'!$I$38,IF('Marks Entry'!AQ18=11,'School Profile'!$I$39,"")))))))))))))</f>
        <v/>
      </c>
      <c r="CT18" s="68" t="str">
        <f>IF('School Profile'!$D$20="NO","",IF('Marks Entry'!AR18="","",'Marks Entry'!AR18))</f>
        <v/>
      </c>
      <c r="CU18" s="68" t="str">
        <f>IF('School Profile'!$D$20="NO","",IF('Marks Entry'!AS18="","",'Marks Entry'!AS18))</f>
        <v/>
      </c>
      <c r="CV18" s="68" t="str">
        <f>IF('School Profile'!$D$20="NO","",IF('Marks Entry'!AT18="","",'Marks Entry'!AT18))</f>
        <v/>
      </c>
      <c r="CW18" s="514" t="str">
        <f>IF('School Profile'!$D$20="NO","",IF(AND(CT18="",CU18="",CV18=""),"",SUM(CT18:CV18)))</f>
        <v/>
      </c>
      <c r="CX18" s="68" t="str">
        <f>IF('School Profile'!$D$20="NO","",IF('Marks Entry'!AU18="","",'Marks Entry'!AU18))</f>
        <v/>
      </c>
      <c r="CY18" s="68" t="str">
        <f>IF('School Profile'!$D$20="NO","",IF('Marks Entry'!AV18="","",'Marks Entry'!AV18))</f>
        <v/>
      </c>
      <c r="CZ18" s="515" t="str">
        <f>IF('School Profile'!$D$20="NO","",IF(AND(CX18="",CY18=""),"",SUM(CX18,CY18)))</f>
        <v/>
      </c>
      <c r="DA18" s="69" t="str">
        <f>IF('School Profile'!$D$20="NO","",IF(AND(CW18="",CZ18=""),"",SUM(CW18+CZ18)))</f>
        <v/>
      </c>
      <c r="DB18" s="68" t="str">
        <f>IF('School Profile'!$D$20="NO","",IF('Marks Entry'!AW18="","",'Marks Entry'!AW18))</f>
        <v/>
      </c>
      <c r="DC18" s="68" t="str">
        <f>IF('School Profile'!$D$20="NO","",IF('Marks Entry'!AX18="","",'Marks Entry'!AX18))</f>
        <v/>
      </c>
      <c r="DD18" s="515" t="str">
        <f>IF('School Profile'!$D$20="NO","",IF(AND(DB18="",DC18=""),"",SUM(DB18,DC18)))</f>
        <v/>
      </c>
      <c r="DE18" s="96" t="str">
        <f>IF('School Profile'!$D$20="NO","",IF(AND(DA18="",DD18=""),"",SUM(DA18,DD18)))</f>
        <v/>
      </c>
      <c r="DF18" s="532">
        <f t="shared" si="46"/>
        <v>0</v>
      </c>
      <c r="DG18" s="65">
        <f t="shared" si="47"/>
        <v>0</v>
      </c>
      <c r="DH18" s="66" t="str">
        <f t="shared" si="48"/>
        <v/>
      </c>
      <c r="DI18" s="65" t="str">
        <f t="shared" si="49"/>
        <v/>
      </c>
      <c r="DJ18" s="65" t="str">
        <f t="shared" si="50"/>
        <v/>
      </c>
      <c r="DK18" s="65" t="str">
        <f t="shared" si="51"/>
        <v/>
      </c>
      <c r="DL18" s="97" t="str">
        <f t="shared" si="94"/>
        <v>I</v>
      </c>
      <c r="DM18" s="97" t="str">
        <f t="shared" si="95"/>
        <v>D</v>
      </c>
      <c r="DN18" s="97" t="str">
        <f t="shared" si="96"/>
        <v>II</v>
      </c>
      <c r="DO18" s="97" t="str">
        <f t="shared" si="97"/>
        <v>G2</v>
      </c>
      <c r="DP18" s="97" t="str">
        <f t="shared" si="98"/>
        <v>II</v>
      </c>
      <c r="DQ18" s="97" t="str">
        <f t="shared" si="99"/>
        <v>II</v>
      </c>
      <c r="DR18" s="97" t="str">
        <f t="shared" si="100"/>
        <v/>
      </c>
      <c r="DS18" s="98">
        <f t="shared" si="101"/>
        <v>0</v>
      </c>
      <c r="DT18" s="98">
        <f t="shared" si="102"/>
        <v>0</v>
      </c>
      <c r="DU18" s="98">
        <f t="shared" si="103"/>
        <v>0</v>
      </c>
      <c r="DV18" s="98">
        <f t="shared" si="104"/>
        <v>1</v>
      </c>
      <c r="DW18" s="98">
        <f t="shared" si="105"/>
        <v>0</v>
      </c>
      <c r="DX18" s="98" t="str">
        <f t="shared" si="106"/>
        <v/>
      </c>
      <c r="DY18" s="99" t="str">
        <f t="shared" si="107"/>
        <v>BY GRACE PASS</v>
      </c>
      <c r="DZ18" s="74">
        <f>IF('Marks Entry'!AY18="","",'Marks Entry'!AY18)</f>
        <v>9</v>
      </c>
      <c r="EA18" s="74">
        <f>IF('Marks Entry'!AZ18="","",'Marks Entry'!AZ18)</f>
        <v>9</v>
      </c>
      <c r="EB18" s="74">
        <f>IF('Marks Entry'!BA18="","",'Marks Entry'!BA18)</f>
        <v>9</v>
      </c>
      <c r="EC18" s="527">
        <f t="shared" si="52"/>
        <v>27</v>
      </c>
      <c r="ED18" s="74">
        <f>IF('Marks Entry'!BB18="","",'Marks Entry'!BB18)</f>
        <v>66</v>
      </c>
      <c r="EE18" s="528">
        <f t="shared" si="53"/>
        <v>93</v>
      </c>
      <c r="EF18" s="74">
        <f>IF('Marks Entry'!BC18="","",'Marks Entry'!BC18)</f>
        <v>91</v>
      </c>
      <c r="EG18" s="530">
        <f t="shared" si="54"/>
        <v>184</v>
      </c>
      <c r="EH18" s="368" t="str">
        <f t="shared" si="108"/>
        <v>A</v>
      </c>
      <c r="EI18" s="65">
        <f t="shared" si="109"/>
        <v>0</v>
      </c>
      <c r="EJ18" s="65">
        <f t="shared" si="110"/>
        <v>0</v>
      </c>
      <c r="EK18" s="66">
        <f t="shared" si="111"/>
        <v>200</v>
      </c>
      <c r="EL18" s="74">
        <f>IF('Marks Entry'!BD18="","",'Marks Entry'!BD18)</f>
        <v>8</v>
      </c>
      <c r="EM18" s="74">
        <f>IF('Marks Entry'!BE18="","",'Marks Entry'!BE18)</f>
        <v>8</v>
      </c>
      <c r="EN18" s="74">
        <f>IF('Marks Entry'!BF18="","",'Marks Entry'!BF18)</f>
        <v>8</v>
      </c>
      <c r="EO18" s="527">
        <f t="shared" si="55"/>
        <v>24</v>
      </c>
      <c r="EP18" s="74">
        <f>IF('Marks Entry'!BG18="","",'Marks Entry'!BG18)</f>
        <v>20</v>
      </c>
      <c r="EQ18" s="74">
        <f>IF('Marks Entry'!BH18="","",'Marks Entry'!BH18)</f>
        <v>15</v>
      </c>
      <c r="ER18" s="528">
        <f t="shared" si="56"/>
        <v>35</v>
      </c>
      <c r="ES18" s="529">
        <f t="shared" si="57"/>
        <v>59</v>
      </c>
      <c r="ET18" s="74">
        <f>IF('Marks Entry'!BI18="","",'Marks Entry'!BI18)</f>
        <v>54</v>
      </c>
      <c r="EU18" s="74">
        <f>IF('Marks Entry'!BJ18="","",'Marks Entry'!BJ18)</f>
        <v>27</v>
      </c>
      <c r="EV18" s="528">
        <f t="shared" si="58"/>
        <v>81</v>
      </c>
      <c r="EW18" s="530">
        <f t="shared" si="59"/>
        <v>140</v>
      </c>
      <c r="EX18" s="368" t="str">
        <f t="shared" si="112"/>
        <v>B</v>
      </c>
      <c r="EY18" s="65">
        <f t="shared" si="113"/>
        <v>0</v>
      </c>
      <c r="EZ18" s="65">
        <f t="shared" si="114"/>
        <v>0</v>
      </c>
      <c r="FA18" s="66">
        <f t="shared" si="115"/>
        <v>200</v>
      </c>
      <c r="FB18" s="74">
        <f>IF('Marks Entry'!BK18="","",'Marks Entry'!BK18)</f>
        <v>9</v>
      </c>
      <c r="FC18" s="74">
        <f>IF('Marks Entry'!BL18="","",'Marks Entry'!BL18)</f>
        <v>7</v>
      </c>
      <c r="FD18" s="74">
        <f>IF('Marks Entry'!BM18="","",'Marks Entry'!BM18)</f>
        <v>9</v>
      </c>
      <c r="FE18" s="74">
        <f>IF('Marks Entry'!BN18="","",'Marks Entry'!BN18)</f>
        <v>6</v>
      </c>
      <c r="FF18" s="74">
        <f>IF('Marks Entry'!BO18="","",'Marks Entry'!BO18)</f>
        <v>9</v>
      </c>
      <c r="FG18" s="74">
        <f>IF('Marks Entry'!BP18="","",'Marks Entry'!BP18)</f>
        <v>14</v>
      </c>
      <c r="FH18" s="527">
        <f t="shared" si="60"/>
        <v>54</v>
      </c>
      <c r="FI18" s="74">
        <f>IF('Marks Entry'!BQ18="","",'Marks Entry'!BQ18)</f>
        <v>21</v>
      </c>
      <c r="FJ18" s="74">
        <f>IF('Marks Entry'!BR18="","",'Marks Entry'!BR18)</f>
        <v>14</v>
      </c>
      <c r="FK18" s="528">
        <f t="shared" si="61"/>
        <v>35</v>
      </c>
      <c r="FL18" s="529">
        <f t="shared" si="62"/>
        <v>89</v>
      </c>
      <c r="FM18" s="74">
        <f>IF('Marks Entry'!BS18="","",'Marks Entry'!BS18)</f>
        <v>21</v>
      </c>
      <c r="FN18" s="74">
        <f>IF('Marks Entry'!BT18="","",'Marks Entry'!BT18)</f>
        <v>65</v>
      </c>
      <c r="FO18" s="528">
        <f t="shared" si="63"/>
        <v>86</v>
      </c>
      <c r="FP18" s="530">
        <f t="shared" si="64"/>
        <v>175</v>
      </c>
      <c r="FQ18" s="368" t="str">
        <f t="shared" si="116"/>
        <v>A</v>
      </c>
      <c r="FR18" s="65">
        <f t="shared" si="117"/>
        <v>0</v>
      </c>
      <c r="FS18" s="65">
        <f t="shared" si="118"/>
        <v>0</v>
      </c>
      <c r="FT18" s="66">
        <f t="shared" si="119"/>
        <v>200</v>
      </c>
      <c r="FU18" s="74">
        <f>IF('Marks Entry'!BU18="","",'Marks Entry'!BU18)</f>
        <v>20</v>
      </c>
      <c r="FV18" s="74">
        <f>IF('Marks Entry'!BV18="","",'Marks Entry'!BV18)</f>
        <v>40</v>
      </c>
      <c r="FW18" s="74">
        <f>IF('Marks Entry'!BW18="","",'Marks Entry'!BW18)</f>
        <v>20</v>
      </c>
      <c r="FX18" s="75">
        <f t="shared" si="65"/>
        <v>80</v>
      </c>
      <c r="FY18" s="368" t="str">
        <f t="shared" si="120"/>
        <v>B</v>
      </c>
      <c r="FZ18" s="65">
        <f t="shared" si="121"/>
        <v>0</v>
      </c>
      <c r="GA18" s="66">
        <f t="shared" si="122"/>
        <v>0</v>
      </c>
      <c r="GB18" s="66">
        <f t="shared" si="123"/>
        <v>100</v>
      </c>
      <c r="GC18" s="74">
        <f>IF('Marks Entry'!BX18="","",'Marks Entry'!BX18)</f>
        <v>20</v>
      </c>
      <c r="GD18" s="74">
        <f>IF('Marks Entry'!BY18="","",'Marks Entry'!BY18)</f>
        <v>35</v>
      </c>
      <c r="GE18" s="74">
        <f>IF('Marks Entry'!BZ18="","",'Marks Entry'!BZ18)</f>
        <v>10</v>
      </c>
      <c r="GF18" s="75">
        <f t="shared" si="124"/>
        <v>65</v>
      </c>
      <c r="GG18" s="368" t="str">
        <f t="shared" si="125"/>
        <v>B</v>
      </c>
      <c r="GH18" s="65">
        <f t="shared" si="126"/>
        <v>0</v>
      </c>
      <c r="GI18" s="66">
        <f t="shared" si="127"/>
        <v>0</v>
      </c>
      <c r="GJ18" s="66">
        <f t="shared" si="128"/>
        <v>100</v>
      </c>
      <c r="GK18" s="100" t="str">
        <f>IF(AND(F18="",B18=""),"",IF('Student DATA Entry'!M15="","",'Student DATA Entry'!M15))</f>
        <v/>
      </c>
      <c r="GL18" s="101" t="str">
        <f>IF(AND(B18="",F18=""),"",IF('Student DATA Entry'!N15="","",'Student DATA Entry'!N15))</f>
        <v/>
      </c>
      <c r="GM18" s="581" t="str">
        <f t="shared" si="129"/>
        <v/>
      </c>
      <c r="GN18" s="94" t="str">
        <f t="shared" si="130"/>
        <v>I</v>
      </c>
      <c r="GO18" s="94" t="str">
        <f t="shared" si="131"/>
        <v/>
      </c>
      <c r="GP18" s="102" t="str">
        <f t="shared" si="67"/>
        <v/>
      </c>
      <c r="GQ18" s="94" t="str">
        <f t="shared" si="132"/>
        <v>D</v>
      </c>
      <c r="GR18" s="103" t="str">
        <f t="shared" si="133"/>
        <v/>
      </c>
      <c r="GS18" s="102" t="str">
        <f t="shared" si="68"/>
        <v/>
      </c>
      <c r="GT18" s="104" t="str">
        <f t="shared" si="134"/>
        <v>II</v>
      </c>
      <c r="GU18" s="94" t="str">
        <f>IF('Marks Entry'!V18=1,GT18,"")</f>
        <v>II</v>
      </c>
      <c r="GV18" s="94" t="str">
        <f>IF('Marks Entry'!V18=2,GT18,"")</f>
        <v/>
      </c>
      <c r="GW18" s="94" t="str">
        <f>IF('Marks Entry'!V18=3,GT18,"")</f>
        <v/>
      </c>
      <c r="GX18" s="94" t="str">
        <f>IF('Marks Entry'!V18=4,GT18,"")</f>
        <v/>
      </c>
      <c r="GY18" s="94" t="str">
        <f>IF('Marks Entry'!V18=5,GT18,"")</f>
        <v/>
      </c>
      <c r="GZ18" s="94" t="str">
        <f t="shared" si="135"/>
        <v/>
      </c>
      <c r="HA18" s="105" t="str">
        <f t="shared" si="69"/>
        <v/>
      </c>
      <c r="HB18" s="94" t="str">
        <f t="shared" si="136"/>
        <v>G</v>
      </c>
      <c r="HC18" s="94" t="str">
        <f t="shared" si="137"/>
        <v>,+</v>
      </c>
      <c r="HD18" s="105">
        <f t="shared" si="70"/>
        <v>4</v>
      </c>
      <c r="HE18" s="94" t="str">
        <f t="shared" si="138"/>
        <v>II</v>
      </c>
      <c r="HF18" s="94" t="str">
        <f t="shared" si="139"/>
        <v/>
      </c>
      <c r="HG18" s="105" t="str">
        <f t="shared" si="71"/>
        <v/>
      </c>
      <c r="HH18" s="94" t="str">
        <f t="shared" si="140"/>
        <v>II</v>
      </c>
      <c r="HI18" s="94" t="str">
        <f t="shared" si="141"/>
        <v/>
      </c>
      <c r="HJ18" s="105" t="str">
        <f t="shared" si="72"/>
        <v/>
      </c>
      <c r="HK18" s="94" t="str">
        <f t="shared" si="142"/>
        <v/>
      </c>
      <c r="HL18" s="94" t="str">
        <f t="shared" si="143"/>
        <v/>
      </c>
      <c r="HM18" s="105" t="str">
        <f t="shared" si="73"/>
        <v/>
      </c>
      <c r="HN18" s="367" t="str">
        <f t="shared" si="144"/>
        <v xml:space="preserve">      </v>
      </c>
      <c r="HO18" s="418" t="str">
        <f t="shared" si="145"/>
        <v xml:space="preserve">      </v>
      </c>
      <c r="HP18" s="367" t="str">
        <f t="shared" si="146"/>
        <v xml:space="preserve">   गणित   </v>
      </c>
      <c r="HQ18" s="107" t="str">
        <f t="shared" si="147"/>
        <v xml:space="preserve">      </v>
      </c>
      <c r="HR18" s="366" t="str">
        <f t="shared" si="148"/>
        <v xml:space="preserve"> अंग्रेजी     </v>
      </c>
      <c r="HS18" s="544" t="str">
        <f t="shared" si="74"/>
        <v>BY GRACE PASS</v>
      </c>
      <c r="HT18" s="542">
        <f t="shared" si="149"/>
        <v>718</v>
      </c>
      <c r="HU18" s="541">
        <f t="shared" si="160"/>
        <v>59.833333333333336</v>
      </c>
      <c r="HV18" s="540" t="str">
        <f t="shared" si="150"/>
        <v>2nd</v>
      </c>
      <c r="HW18" s="537">
        <f t="shared" si="151"/>
        <v>59.833333333333336</v>
      </c>
      <c r="HX18" s="539">
        <f t="shared" si="152"/>
        <v>14.000000000000078</v>
      </c>
      <c r="HY18" s="553" t="str">
        <f>IFERROR(IF(OR(HS18="SUPPLEMENTARY",HS18="RE-EXAM"),'Supp. Result Entry'!AQ16,""),"")</f>
        <v/>
      </c>
      <c r="HZ18" s="538" t="str">
        <f t="shared" si="153"/>
        <v/>
      </c>
      <c r="IA18" s="415" t="str">
        <f t="shared" si="154"/>
        <v/>
      </c>
      <c r="IB18" s="415" t="str">
        <f>IF(AND(HZ18="",IA18=""),"",IF(OR(HS18="SUPPLEMENTARY",HS18="RE-EXAM"),'Supp. Result Entry'!AQ16,HS18))</f>
        <v/>
      </c>
      <c r="IC18" s="87"/>
      <c r="IS18" s="109" t="str">
        <f>IF('Supp. Result Entry'!T16="","",'Supp. Result Entry'!$T$4)</f>
        <v/>
      </c>
      <c r="IT18" s="110" t="str">
        <f>IF('Supp. Result Entry'!W16="","",'Supp. Result Entry'!$W$4)</f>
        <v/>
      </c>
      <c r="IU18" s="110" t="str">
        <f>IF('Supp. Result Entry'!Z16="","",'Supp. Result Entry'!$Z$4)</f>
        <v/>
      </c>
      <c r="IV18" s="110" t="str">
        <f>IF('Supp. Result Entry'!AC16="","",'Supp. Result Entry'!$AC$4)</f>
        <v/>
      </c>
      <c r="IW18" s="110" t="str">
        <f>IF('Supp. Result Entry'!AF16="","",'Supp. Result Entry'!$AF$4)</f>
        <v/>
      </c>
      <c r="IX18" s="110" t="str">
        <f>IF('Supp. Result Entry'!AI16="","",'Supp. Result Entry'!$AI$4)</f>
        <v/>
      </c>
      <c r="IY18" s="110" t="str">
        <f>IF('Supp. Result Entry'!AI16="","",'Supp. Result Entry'!$AL$4)</f>
        <v/>
      </c>
      <c r="IZ18" s="110" t="str">
        <f>IF('Supp. Result Entry'!U16="","",'Supp. Result Entry'!U16)</f>
        <v/>
      </c>
      <c r="JA18" s="110" t="str">
        <f>IF('Supp. Result Entry'!X16="","",'Supp. Result Entry'!X16)</f>
        <v/>
      </c>
      <c r="JB18" s="110" t="str">
        <f>IF('Supp. Result Entry'!AA16="","",'Supp. Result Entry'!AA16)</f>
        <v/>
      </c>
      <c r="JC18" s="110" t="str">
        <f>IF('Supp. Result Entry'!AD16="","",'Supp. Result Entry'!AD16)</f>
        <v/>
      </c>
      <c r="JD18" s="110" t="str">
        <f>IF('Supp. Result Entry'!AG16="","",'Supp. Result Entry'!AG16)</f>
        <v/>
      </c>
      <c r="JE18" s="110" t="str">
        <f>IF('Supp. Result Entry'!AJ16="","",'Supp. Result Entry'!AJ16)</f>
        <v/>
      </c>
      <c r="JF18" s="110" t="str">
        <f>IF('Supp. Result Entry'!AM16="","",'Supp. Result Entry'!AM16)</f>
        <v/>
      </c>
      <c r="JG18" s="110" t="str">
        <f>IF('Supp. Result Entry'!V16="","",'Supp. Result Entry'!V16)</f>
        <v/>
      </c>
      <c r="JH18" s="110" t="str">
        <f>IF('Supp. Result Entry'!Y16="","",'Supp. Result Entry'!Y16)</f>
        <v/>
      </c>
      <c r="JI18" s="110" t="str">
        <f>IF('Supp. Result Entry'!AB16="","",'Supp. Result Entry'!AB16)</f>
        <v/>
      </c>
      <c r="JJ18" s="110" t="str">
        <f>IF('Supp. Result Entry'!AE16="","",'Supp. Result Entry'!AE16)</f>
        <v/>
      </c>
      <c r="JK18" s="110" t="str">
        <f>IF('Supp. Result Entry'!AH16="","",'Supp. Result Entry'!AH16)</f>
        <v/>
      </c>
      <c r="JL18" s="110" t="str">
        <f>IF('Supp. Result Entry'!AK16="","",'Supp. Result Entry'!AK16)</f>
        <v/>
      </c>
      <c r="JM18" s="110" t="str">
        <f>IF('Supp. Result Entry'!AN16="","",'Supp. Result Entry'!AN16)</f>
        <v/>
      </c>
      <c r="JN18" s="110">
        <f>COUNTIF('Supp. Result Entry'!K16:Q16,"S")</f>
        <v>0</v>
      </c>
      <c r="JO18" s="110">
        <f t="shared" si="155"/>
        <v>0</v>
      </c>
      <c r="JP18" s="110">
        <f t="shared" si="156"/>
        <v>0</v>
      </c>
      <c r="JQ18" s="110" t="str">
        <f t="shared" si="75"/>
        <v/>
      </c>
      <c r="JR18" s="110" t="str">
        <f t="shared" si="76"/>
        <v/>
      </c>
      <c r="JS18" s="110" t="str">
        <f t="shared" si="77"/>
        <v/>
      </c>
      <c r="JT18" s="110" t="str">
        <f t="shared" si="78"/>
        <v/>
      </c>
      <c r="JU18" s="110" t="str">
        <f t="shared" si="79"/>
        <v/>
      </c>
      <c r="JV18" s="110" t="str">
        <f t="shared" si="80"/>
        <v/>
      </c>
      <c r="JW18" s="110" t="str">
        <f t="shared" si="81"/>
        <v/>
      </c>
      <c r="JX18" s="110" t="str">
        <f t="shared" si="157"/>
        <v/>
      </c>
      <c r="JY18" s="110" t="str">
        <f t="shared" si="158"/>
        <v/>
      </c>
      <c r="JZ18" s="110" t="str">
        <f t="shared" si="82"/>
        <v/>
      </c>
      <c r="KA18" s="108" t="str">
        <f t="shared" si="159"/>
        <v/>
      </c>
    </row>
    <row r="19" spans="1:287" s="108" customFormat="1" ht="21.95" customHeight="1">
      <c r="A19" s="89">
        <v>13</v>
      </c>
      <c r="B19" s="90">
        <f>IF('Marks Entry'!B19="","",'Marks Entry'!B19)</f>
        <v>913</v>
      </c>
      <c r="C19" s="94" t="str">
        <f>IF('Marks Entry'!D19="","",'Marks Entry'!D19)</f>
        <v>A</v>
      </c>
      <c r="D19" s="91" t="str">
        <f>IF('Marks Entry'!E19="","",'Marks Entry'!E19)</f>
        <v/>
      </c>
      <c r="E19" s="92" t="str">
        <f>IF('Marks Entry'!F19="","",'Marks Entry'!F19)</f>
        <v/>
      </c>
      <c r="F19" s="93" t="str">
        <f>IF('Marks Entry'!G19="","",'Marks Entry'!G19)</f>
        <v>VIRU</v>
      </c>
      <c r="G19" s="93" t="str">
        <f>IF('Marks Entry'!H19="","",'Marks Entry'!H19)</f>
        <v/>
      </c>
      <c r="H19" s="93" t="str">
        <f>IF('Marks Entry'!I19="","",'Marks Entry'!I19)</f>
        <v/>
      </c>
      <c r="I19" s="94" t="str">
        <f>IF('Marks Entry'!J19="","",'Marks Entry'!J19)</f>
        <v/>
      </c>
      <c r="J19" s="95" t="str">
        <f>IF('Marks Entry'!K19="","",'Marks Entry'!K19)</f>
        <v/>
      </c>
      <c r="K19" s="68">
        <f>IF('Marks Entry'!L19="","",'Marks Entry'!L19)</f>
        <v>8</v>
      </c>
      <c r="L19" s="68">
        <f>IF('Marks Entry'!M19="","",'Marks Entry'!M19)</f>
        <v>9</v>
      </c>
      <c r="M19" s="68">
        <f>IF('Marks Entry'!N19="","",'Marks Entry'!N19)</f>
        <v>5</v>
      </c>
      <c r="N19" s="514">
        <f t="shared" si="83"/>
        <v>22</v>
      </c>
      <c r="O19" s="68" t="str">
        <f>IF('Marks Entry'!O19="","",'Marks Entry'!O19)</f>
        <v/>
      </c>
      <c r="P19" s="515">
        <f t="shared" si="84"/>
        <v>22</v>
      </c>
      <c r="Q19" s="68">
        <f>IF('Marks Entry'!P19="","",'Marks Entry'!P19)</f>
        <v>65</v>
      </c>
      <c r="R19" s="96">
        <f t="shared" si="85"/>
        <v>87</v>
      </c>
      <c r="S19" s="65">
        <f t="shared" si="86"/>
        <v>0</v>
      </c>
      <c r="T19" s="65">
        <f t="shared" si="87"/>
        <v>0</v>
      </c>
      <c r="U19" s="66">
        <f t="shared" si="88"/>
        <v>130</v>
      </c>
      <c r="V19" s="65" t="str">
        <f t="shared" si="89"/>
        <v/>
      </c>
      <c r="W19" s="65" t="str">
        <f t="shared" si="90"/>
        <v>P</v>
      </c>
      <c r="X19" s="65" t="str">
        <f t="shared" si="91"/>
        <v>I</v>
      </c>
      <c r="Y19" s="68">
        <f>IF('Marks Entry'!Q19="","",'Marks Entry'!Q19)</f>
        <v>8</v>
      </c>
      <c r="Z19" s="68">
        <f>IF('Marks Entry'!R19="","",'Marks Entry'!R19)</f>
        <v>9</v>
      </c>
      <c r="AA19" s="68">
        <f>IF('Marks Entry'!S19="","",'Marks Entry'!S19)</f>
        <v>9</v>
      </c>
      <c r="AB19" s="514">
        <f t="shared" si="2"/>
        <v>26</v>
      </c>
      <c r="AC19" s="68">
        <f>IF('Marks Entry'!T19="","",'Marks Entry'!T19)</f>
        <v>60</v>
      </c>
      <c r="AD19" s="515">
        <f t="shared" si="3"/>
        <v>86</v>
      </c>
      <c r="AE19" s="68">
        <f>IF('Marks Entry'!U19="","",'Marks Entry'!U19)</f>
        <v>85</v>
      </c>
      <c r="AF19" s="96">
        <f t="shared" si="4"/>
        <v>171</v>
      </c>
      <c r="AG19" s="65">
        <f t="shared" si="5"/>
        <v>0</v>
      </c>
      <c r="AH19" s="65">
        <f t="shared" si="6"/>
        <v>0</v>
      </c>
      <c r="AI19" s="66">
        <f t="shared" si="7"/>
        <v>200</v>
      </c>
      <c r="AJ19" s="65" t="str">
        <f t="shared" si="8"/>
        <v/>
      </c>
      <c r="AK19" s="65" t="str">
        <f t="shared" si="9"/>
        <v>P</v>
      </c>
      <c r="AL19" s="65" t="str">
        <f t="shared" si="10"/>
        <v>D</v>
      </c>
      <c r="AM19" s="524" t="str">
        <f>IF('Marks Entry'!V19="","",IF('Marks Entry'!V19=1,'School Profile'!$I$9,IF('Marks Entry'!V19=2,'School Profile'!$I$10,IF('Marks Entry'!V19=3,'School Profile'!$I$11,IF('Marks Entry'!V19=4,'School Profile'!$I$12,IF('Marks Entry'!V19=5,'School Profile'!$I$13,IF('Marks Entry'!V19=6,'School Profile'!$I$14,"")))))))</f>
        <v xml:space="preserve">उर्दू (72) </v>
      </c>
      <c r="AN19" s="68">
        <f>IF('Marks Entry'!W19="","",'Marks Entry'!W19)</f>
        <v>8</v>
      </c>
      <c r="AO19" s="68">
        <f>IF('Marks Entry'!X19="","",'Marks Entry'!X19)</f>
        <v>9</v>
      </c>
      <c r="AP19" s="68">
        <f>IF('Marks Entry'!Y19="","",'Marks Entry'!Y19)</f>
        <v>7</v>
      </c>
      <c r="AQ19" s="514">
        <f t="shared" si="11"/>
        <v>24</v>
      </c>
      <c r="AR19" s="68">
        <f>IF('Marks Entry'!Z19="","",'Marks Entry'!Z19)</f>
        <v>46</v>
      </c>
      <c r="AS19" s="515">
        <f t="shared" si="12"/>
        <v>70</v>
      </c>
      <c r="AT19" s="68">
        <f>IF('Marks Entry'!AA19="","",'Marks Entry'!AA19)</f>
        <v>45</v>
      </c>
      <c r="AU19" s="96">
        <f t="shared" si="13"/>
        <v>115</v>
      </c>
      <c r="AV19" s="65">
        <f t="shared" si="14"/>
        <v>0</v>
      </c>
      <c r="AW19" s="65">
        <f t="shared" si="15"/>
        <v>0</v>
      </c>
      <c r="AX19" s="66">
        <f t="shared" si="16"/>
        <v>200</v>
      </c>
      <c r="AY19" s="65" t="str">
        <f t="shared" si="17"/>
        <v/>
      </c>
      <c r="AZ19" s="65" t="str">
        <f t="shared" si="18"/>
        <v>P</v>
      </c>
      <c r="BA19" s="65" t="str">
        <f t="shared" si="19"/>
        <v>II</v>
      </c>
      <c r="BB19" s="68">
        <f>IF('Marks Entry'!AB19="","",'Marks Entry'!AB19)</f>
        <v>8</v>
      </c>
      <c r="BC19" s="68">
        <f>IF('Marks Entry'!AC19="","",'Marks Entry'!AC19)</f>
        <v>9</v>
      </c>
      <c r="BD19" s="68">
        <f>IF('Marks Entry'!AD19="","",'Marks Entry'!AD19)</f>
        <v>10</v>
      </c>
      <c r="BE19" s="514">
        <f t="shared" si="20"/>
        <v>27</v>
      </c>
      <c r="BF19" s="68">
        <f>IF('Marks Entry'!AE19="","",'Marks Entry'!AE19)</f>
        <v>46</v>
      </c>
      <c r="BG19" s="515">
        <f t="shared" si="21"/>
        <v>73</v>
      </c>
      <c r="BH19" s="68">
        <f>IF('Marks Entry'!AF19="","",'Marks Entry'!AF19)</f>
        <v>45</v>
      </c>
      <c r="BI19" s="96">
        <f t="shared" si="22"/>
        <v>118</v>
      </c>
      <c r="BJ19" s="65">
        <f t="shared" si="23"/>
        <v>0</v>
      </c>
      <c r="BK19" s="65">
        <f t="shared" si="92"/>
        <v>0</v>
      </c>
      <c r="BL19" s="66">
        <f t="shared" si="24"/>
        <v>200</v>
      </c>
      <c r="BM19" s="65" t="str">
        <f t="shared" si="25"/>
        <v/>
      </c>
      <c r="BN19" s="65" t="str">
        <f t="shared" si="26"/>
        <v>P</v>
      </c>
      <c r="BO19" s="65" t="str">
        <f t="shared" si="27"/>
        <v>II</v>
      </c>
      <c r="BP19" s="68">
        <f>IF('Marks Entry'!AG19="","",'Marks Entry'!AG19)</f>
        <v>8</v>
      </c>
      <c r="BQ19" s="68">
        <f>IF('Marks Entry'!AH19="","",'Marks Entry'!AH19)</f>
        <v>9</v>
      </c>
      <c r="BR19" s="68">
        <f>IF('Marks Entry'!AI19="","",'Marks Entry'!AI19)</f>
        <v>7</v>
      </c>
      <c r="BS19" s="514">
        <f t="shared" si="28"/>
        <v>24</v>
      </c>
      <c r="BT19" s="68">
        <f>IF('Marks Entry'!AJ19="","",'Marks Entry'!AJ19)</f>
        <v>46</v>
      </c>
      <c r="BU19" s="515">
        <f t="shared" si="29"/>
        <v>70</v>
      </c>
      <c r="BV19" s="68">
        <f>IF('Marks Entry'!AK19="","",'Marks Entry'!AK19)</f>
        <v>45</v>
      </c>
      <c r="BW19" s="96">
        <f t="shared" si="30"/>
        <v>115</v>
      </c>
      <c r="BX19" s="65">
        <f t="shared" si="31"/>
        <v>0</v>
      </c>
      <c r="BY19" s="65">
        <f t="shared" si="32"/>
        <v>0</v>
      </c>
      <c r="BZ19" s="66">
        <f t="shared" si="33"/>
        <v>200</v>
      </c>
      <c r="CA19" s="65" t="str">
        <f t="shared" si="34"/>
        <v/>
      </c>
      <c r="CB19" s="65" t="str">
        <f t="shared" si="35"/>
        <v>P</v>
      </c>
      <c r="CC19" s="65" t="str">
        <f t="shared" si="36"/>
        <v>II</v>
      </c>
      <c r="CD19" s="66">
        <f t="shared" si="93"/>
        <v>0</v>
      </c>
      <c r="CE19" s="68">
        <f>IF('Marks Entry'!AL19="","",'Marks Entry'!AL19)</f>
        <v>8</v>
      </c>
      <c r="CF19" s="68">
        <f>IF('Marks Entry'!AM19="","",'Marks Entry'!AM19)</f>
        <v>8</v>
      </c>
      <c r="CG19" s="68">
        <f>IF('Marks Entry'!AN19="","",'Marks Entry'!AN19)</f>
        <v>8</v>
      </c>
      <c r="CH19" s="514">
        <f t="shared" si="37"/>
        <v>24</v>
      </c>
      <c r="CI19" s="68">
        <f>IF('Marks Entry'!AO19="","",'Marks Entry'!AO19)</f>
        <v>46</v>
      </c>
      <c r="CJ19" s="515">
        <f t="shared" si="38"/>
        <v>70</v>
      </c>
      <c r="CK19" s="68">
        <f>IF('Marks Entry'!AP19="","",'Marks Entry'!AP19)</f>
        <v>45</v>
      </c>
      <c r="CL19" s="96">
        <f t="shared" si="39"/>
        <v>115</v>
      </c>
      <c r="CM19" s="65">
        <f t="shared" si="40"/>
        <v>0</v>
      </c>
      <c r="CN19" s="65">
        <f t="shared" si="41"/>
        <v>0</v>
      </c>
      <c r="CO19" s="66">
        <f t="shared" si="42"/>
        <v>200</v>
      </c>
      <c r="CP19" s="65" t="str">
        <f t="shared" si="43"/>
        <v/>
      </c>
      <c r="CQ19" s="65" t="str">
        <f t="shared" si="44"/>
        <v>P</v>
      </c>
      <c r="CR19" s="65" t="str">
        <f t="shared" si="45"/>
        <v>II</v>
      </c>
      <c r="CS19" s="616" t="str">
        <f>IF('School Profile'!$D$20="NO","",IF('Marks Entry'!AQ19="","",IF('Marks Entry'!AQ19=1,'School Profile'!$I$29,IF('Marks Entry'!AQ19=2,'School Profile'!$I$30,IF('Marks Entry'!AQ19=3,'School Profile'!$I$31,IF('Marks Entry'!AQ19=4,'School Profile'!$I$32,IF('Marks Entry'!AQ19=5,'School Profile'!$I$33,IF('Marks Entry'!AQ19=6,'School Profile'!$I$34,IF('Marks Entry'!AQ19=7,'School Profile'!$I$35,IF('Marks Entry'!AQ19=8,'School Profile'!$I$36,IF('Marks Entry'!AQ19=9,'School Profile'!$I$37,IF('Marks Entry'!AQ19=10,'School Profile'!$I$38,IF('Marks Entry'!AQ19=11,'School Profile'!$I$39,"")))))))))))))</f>
        <v/>
      </c>
      <c r="CT19" s="68" t="str">
        <f>IF('School Profile'!$D$20="NO","",IF('Marks Entry'!AR19="","",'Marks Entry'!AR19))</f>
        <v/>
      </c>
      <c r="CU19" s="68" t="str">
        <f>IF('School Profile'!$D$20="NO","",IF('Marks Entry'!AS19="","",'Marks Entry'!AS19))</f>
        <v/>
      </c>
      <c r="CV19" s="68" t="str">
        <f>IF('School Profile'!$D$20="NO","",IF('Marks Entry'!AT19="","",'Marks Entry'!AT19))</f>
        <v/>
      </c>
      <c r="CW19" s="514" t="str">
        <f>IF('School Profile'!$D$20="NO","",IF(AND(CT19="",CU19="",CV19=""),"",SUM(CT19:CV19)))</f>
        <v/>
      </c>
      <c r="CX19" s="68" t="str">
        <f>IF('School Profile'!$D$20="NO","",IF('Marks Entry'!AU19="","",'Marks Entry'!AU19))</f>
        <v/>
      </c>
      <c r="CY19" s="68" t="str">
        <f>IF('School Profile'!$D$20="NO","",IF('Marks Entry'!AV19="","",'Marks Entry'!AV19))</f>
        <v/>
      </c>
      <c r="CZ19" s="515" t="str">
        <f>IF('School Profile'!$D$20="NO","",IF(AND(CX19="",CY19=""),"",SUM(CX19,CY19)))</f>
        <v/>
      </c>
      <c r="DA19" s="69" t="str">
        <f>IF('School Profile'!$D$20="NO","",IF(AND(CW19="",CZ19=""),"",SUM(CW19+CZ19)))</f>
        <v/>
      </c>
      <c r="DB19" s="68" t="str">
        <f>IF('School Profile'!$D$20="NO","",IF('Marks Entry'!AW19="","",'Marks Entry'!AW19))</f>
        <v/>
      </c>
      <c r="DC19" s="68" t="str">
        <f>IF('School Profile'!$D$20="NO","",IF('Marks Entry'!AX19="","",'Marks Entry'!AX19))</f>
        <v/>
      </c>
      <c r="DD19" s="515" t="str">
        <f>IF('School Profile'!$D$20="NO","",IF(AND(DB19="",DC19=""),"",SUM(DB19,DC19)))</f>
        <v/>
      </c>
      <c r="DE19" s="96" t="str">
        <f>IF('School Profile'!$D$20="NO","",IF(AND(DA19="",DD19=""),"",SUM(DA19,DD19)))</f>
        <v/>
      </c>
      <c r="DF19" s="532">
        <f t="shared" si="46"/>
        <v>0</v>
      </c>
      <c r="DG19" s="65">
        <f t="shared" si="47"/>
        <v>0</v>
      </c>
      <c r="DH19" s="66" t="str">
        <f t="shared" si="48"/>
        <v/>
      </c>
      <c r="DI19" s="65" t="str">
        <f t="shared" si="49"/>
        <v/>
      </c>
      <c r="DJ19" s="65" t="str">
        <f t="shared" si="50"/>
        <v/>
      </c>
      <c r="DK19" s="65" t="str">
        <f t="shared" si="51"/>
        <v/>
      </c>
      <c r="DL19" s="97" t="str">
        <f t="shared" si="94"/>
        <v>I</v>
      </c>
      <c r="DM19" s="97" t="str">
        <f t="shared" si="95"/>
        <v>D</v>
      </c>
      <c r="DN19" s="97" t="str">
        <f t="shared" si="96"/>
        <v>II</v>
      </c>
      <c r="DO19" s="97" t="str">
        <f t="shared" si="97"/>
        <v>II</v>
      </c>
      <c r="DP19" s="97" t="str">
        <f t="shared" si="98"/>
        <v>II</v>
      </c>
      <c r="DQ19" s="97" t="str">
        <f t="shared" si="99"/>
        <v>II</v>
      </c>
      <c r="DR19" s="97" t="str">
        <f t="shared" si="100"/>
        <v/>
      </c>
      <c r="DS19" s="98">
        <f t="shared" si="101"/>
        <v>0</v>
      </c>
      <c r="DT19" s="98">
        <f t="shared" si="102"/>
        <v>0</v>
      </c>
      <c r="DU19" s="98">
        <f t="shared" si="103"/>
        <v>0</v>
      </c>
      <c r="DV19" s="98">
        <f t="shared" si="104"/>
        <v>0</v>
      </c>
      <c r="DW19" s="98">
        <f t="shared" si="105"/>
        <v>0</v>
      </c>
      <c r="DX19" s="98" t="str">
        <f t="shared" si="106"/>
        <v/>
      </c>
      <c r="DY19" s="99" t="str">
        <f t="shared" si="107"/>
        <v>PASS</v>
      </c>
      <c r="DZ19" s="74">
        <f>IF('Marks Entry'!AY19="","",'Marks Entry'!AY19)</f>
        <v>9</v>
      </c>
      <c r="EA19" s="74">
        <f>IF('Marks Entry'!AZ19="","",'Marks Entry'!AZ19)</f>
        <v>9</v>
      </c>
      <c r="EB19" s="74">
        <f>IF('Marks Entry'!BA19="","",'Marks Entry'!BA19)</f>
        <v>9</v>
      </c>
      <c r="EC19" s="527">
        <f t="shared" si="52"/>
        <v>27</v>
      </c>
      <c r="ED19" s="74">
        <f>IF('Marks Entry'!BB19="","",'Marks Entry'!BB19)</f>
        <v>66</v>
      </c>
      <c r="EE19" s="528">
        <f t="shared" si="53"/>
        <v>93</v>
      </c>
      <c r="EF19" s="74">
        <f>IF('Marks Entry'!BC19="","",'Marks Entry'!BC19)</f>
        <v>91</v>
      </c>
      <c r="EG19" s="530">
        <f t="shared" si="54"/>
        <v>184</v>
      </c>
      <c r="EH19" s="368" t="str">
        <f t="shared" si="108"/>
        <v>A</v>
      </c>
      <c r="EI19" s="65">
        <f t="shared" si="109"/>
        <v>0</v>
      </c>
      <c r="EJ19" s="65">
        <f t="shared" si="110"/>
        <v>0</v>
      </c>
      <c r="EK19" s="66">
        <f t="shared" si="111"/>
        <v>200</v>
      </c>
      <c r="EL19" s="74">
        <f>IF('Marks Entry'!BD19="","",'Marks Entry'!BD19)</f>
        <v>8</v>
      </c>
      <c r="EM19" s="74">
        <f>IF('Marks Entry'!BE19="","",'Marks Entry'!BE19)</f>
        <v>8</v>
      </c>
      <c r="EN19" s="74">
        <f>IF('Marks Entry'!BF19="","",'Marks Entry'!BF19)</f>
        <v>8</v>
      </c>
      <c r="EO19" s="527">
        <f t="shared" si="55"/>
        <v>24</v>
      </c>
      <c r="EP19" s="74">
        <f>IF('Marks Entry'!BG19="","",'Marks Entry'!BG19)</f>
        <v>26</v>
      </c>
      <c r="EQ19" s="74">
        <f>IF('Marks Entry'!BH19="","",'Marks Entry'!BH19)</f>
        <v>14</v>
      </c>
      <c r="ER19" s="528">
        <f t="shared" si="56"/>
        <v>40</v>
      </c>
      <c r="ES19" s="529">
        <f t="shared" si="57"/>
        <v>64</v>
      </c>
      <c r="ET19" s="74">
        <f>IF('Marks Entry'!BI19="","",'Marks Entry'!BI19)</f>
        <v>59</v>
      </c>
      <c r="EU19" s="74">
        <f>IF('Marks Entry'!BJ19="","",'Marks Entry'!BJ19)</f>
        <v>27</v>
      </c>
      <c r="EV19" s="528">
        <f t="shared" si="58"/>
        <v>86</v>
      </c>
      <c r="EW19" s="530">
        <f t="shared" si="59"/>
        <v>150</v>
      </c>
      <c r="EX19" s="368" t="str">
        <f t="shared" si="112"/>
        <v>B</v>
      </c>
      <c r="EY19" s="65">
        <f t="shared" si="113"/>
        <v>0</v>
      </c>
      <c r="EZ19" s="65">
        <f t="shared" si="114"/>
        <v>0</v>
      </c>
      <c r="FA19" s="66">
        <f t="shared" si="115"/>
        <v>200</v>
      </c>
      <c r="FB19" s="74">
        <f>IF('Marks Entry'!BK19="","",'Marks Entry'!BK19)</f>
        <v>9</v>
      </c>
      <c r="FC19" s="74">
        <f>IF('Marks Entry'!BL19="","",'Marks Entry'!BL19)</f>
        <v>7</v>
      </c>
      <c r="FD19" s="74">
        <f>IF('Marks Entry'!BM19="","",'Marks Entry'!BM19)</f>
        <v>9</v>
      </c>
      <c r="FE19" s="74">
        <f>IF('Marks Entry'!BN19="","",'Marks Entry'!BN19)</f>
        <v>6</v>
      </c>
      <c r="FF19" s="74">
        <f>IF('Marks Entry'!BO19="","",'Marks Entry'!BO19)</f>
        <v>9</v>
      </c>
      <c r="FG19" s="74">
        <f>IF('Marks Entry'!BP19="","",'Marks Entry'!BP19)</f>
        <v>14</v>
      </c>
      <c r="FH19" s="527">
        <f t="shared" si="60"/>
        <v>54</v>
      </c>
      <c r="FI19" s="74">
        <f>IF('Marks Entry'!BQ19="","",'Marks Entry'!BQ19)</f>
        <v>21</v>
      </c>
      <c r="FJ19" s="74">
        <f>IF('Marks Entry'!BR19="","",'Marks Entry'!BR19)</f>
        <v>15</v>
      </c>
      <c r="FK19" s="528">
        <f t="shared" si="61"/>
        <v>36</v>
      </c>
      <c r="FL19" s="529">
        <f t="shared" si="62"/>
        <v>90</v>
      </c>
      <c r="FM19" s="74">
        <f>IF('Marks Entry'!BS19="","",'Marks Entry'!BS19)</f>
        <v>25</v>
      </c>
      <c r="FN19" s="74">
        <f>IF('Marks Entry'!BT19="","",'Marks Entry'!BT19)</f>
        <v>62</v>
      </c>
      <c r="FO19" s="528">
        <f t="shared" si="63"/>
        <v>87</v>
      </c>
      <c r="FP19" s="530">
        <f t="shared" si="64"/>
        <v>177</v>
      </c>
      <c r="FQ19" s="368" t="str">
        <f t="shared" si="116"/>
        <v>A</v>
      </c>
      <c r="FR19" s="65">
        <f t="shared" si="117"/>
        <v>0</v>
      </c>
      <c r="FS19" s="65">
        <f t="shared" si="118"/>
        <v>0</v>
      </c>
      <c r="FT19" s="66">
        <f t="shared" si="119"/>
        <v>200</v>
      </c>
      <c r="FU19" s="74">
        <f>IF('Marks Entry'!BU19="","",'Marks Entry'!BU19)</f>
        <v>20</v>
      </c>
      <c r="FV19" s="74">
        <f>IF('Marks Entry'!BV19="","",'Marks Entry'!BV19)</f>
        <v>40</v>
      </c>
      <c r="FW19" s="74">
        <f>IF('Marks Entry'!BW19="","",'Marks Entry'!BW19)</f>
        <v>20</v>
      </c>
      <c r="FX19" s="75">
        <f t="shared" si="65"/>
        <v>80</v>
      </c>
      <c r="FY19" s="368" t="str">
        <f t="shared" si="120"/>
        <v>B</v>
      </c>
      <c r="FZ19" s="65">
        <f t="shared" si="121"/>
        <v>0</v>
      </c>
      <c r="GA19" s="66">
        <f t="shared" si="122"/>
        <v>0</v>
      </c>
      <c r="GB19" s="66">
        <f t="shared" si="123"/>
        <v>100</v>
      </c>
      <c r="GC19" s="74">
        <f>IF('Marks Entry'!BX19="","",'Marks Entry'!BX19)</f>
        <v>20</v>
      </c>
      <c r="GD19" s="74">
        <f>IF('Marks Entry'!BY19="","",'Marks Entry'!BY19)</f>
        <v>36</v>
      </c>
      <c r="GE19" s="74">
        <f>IF('Marks Entry'!BZ19="","",'Marks Entry'!BZ19)</f>
        <v>10</v>
      </c>
      <c r="GF19" s="75">
        <f t="shared" si="124"/>
        <v>66</v>
      </c>
      <c r="GG19" s="368" t="str">
        <f t="shared" si="125"/>
        <v>B</v>
      </c>
      <c r="GH19" s="65">
        <f t="shared" si="126"/>
        <v>0</v>
      </c>
      <c r="GI19" s="66">
        <f t="shared" si="127"/>
        <v>0</v>
      </c>
      <c r="GJ19" s="66">
        <f t="shared" si="128"/>
        <v>100</v>
      </c>
      <c r="GK19" s="100" t="str">
        <f>IF(AND(F19="",B19=""),"",IF('Student DATA Entry'!M16="","",'Student DATA Entry'!M16))</f>
        <v/>
      </c>
      <c r="GL19" s="101" t="str">
        <f>IF(AND(B19="",F19=""),"",IF('Student DATA Entry'!N16="","",'Student DATA Entry'!N16))</f>
        <v/>
      </c>
      <c r="GM19" s="581" t="str">
        <f t="shared" si="129"/>
        <v/>
      </c>
      <c r="GN19" s="94" t="str">
        <f t="shared" si="130"/>
        <v>I</v>
      </c>
      <c r="GO19" s="94" t="str">
        <f t="shared" si="131"/>
        <v/>
      </c>
      <c r="GP19" s="102" t="str">
        <f t="shared" si="67"/>
        <v/>
      </c>
      <c r="GQ19" s="94" t="str">
        <f t="shared" si="132"/>
        <v>D</v>
      </c>
      <c r="GR19" s="103" t="str">
        <f t="shared" si="133"/>
        <v/>
      </c>
      <c r="GS19" s="102" t="str">
        <f t="shared" si="68"/>
        <v/>
      </c>
      <c r="GT19" s="104" t="str">
        <f t="shared" si="134"/>
        <v>II</v>
      </c>
      <c r="GU19" s="94" t="str">
        <f>IF('Marks Entry'!V19=1,GT19,"")</f>
        <v/>
      </c>
      <c r="GV19" s="94" t="str">
        <f>IF('Marks Entry'!V19=2,GT19,"")</f>
        <v>II</v>
      </c>
      <c r="GW19" s="94" t="str">
        <f>IF('Marks Entry'!V19=3,GT19,"")</f>
        <v/>
      </c>
      <c r="GX19" s="94" t="str">
        <f>IF('Marks Entry'!V19=4,GT19,"")</f>
        <v/>
      </c>
      <c r="GY19" s="94" t="str">
        <f>IF('Marks Entry'!V19=5,GT19,"")</f>
        <v/>
      </c>
      <c r="GZ19" s="94" t="str">
        <f t="shared" si="135"/>
        <v/>
      </c>
      <c r="HA19" s="105" t="str">
        <f t="shared" si="69"/>
        <v/>
      </c>
      <c r="HB19" s="94" t="str">
        <f t="shared" si="136"/>
        <v>II</v>
      </c>
      <c r="HC19" s="94" t="str">
        <f t="shared" si="137"/>
        <v/>
      </c>
      <c r="HD19" s="105" t="str">
        <f t="shared" si="70"/>
        <v/>
      </c>
      <c r="HE19" s="94" t="str">
        <f t="shared" si="138"/>
        <v>II</v>
      </c>
      <c r="HF19" s="94" t="str">
        <f t="shared" si="139"/>
        <v/>
      </c>
      <c r="HG19" s="105" t="str">
        <f t="shared" si="71"/>
        <v/>
      </c>
      <c r="HH19" s="94" t="str">
        <f t="shared" si="140"/>
        <v>II</v>
      </c>
      <c r="HI19" s="94" t="str">
        <f t="shared" si="141"/>
        <v/>
      </c>
      <c r="HJ19" s="105" t="str">
        <f t="shared" si="72"/>
        <v/>
      </c>
      <c r="HK19" s="94" t="str">
        <f t="shared" si="142"/>
        <v/>
      </c>
      <c r="HL19" s="94" t="str">
        <f t="shared" si="143"/>
        <v/>
      </c>
      <c r="HM19" s="105" t="str">
        <f t="shared" si="73"/>
        <v/>
      </c>
      <c r="HN19" s="367" t="str">
        <f t="shared" si="144"/>
        <v xml:space="preserve">      </v>
      </c>
      <c r="HO19" s="418" t="str">
        <f t="shared" si="145"/>
        <v xml:space="preserve">      </v>
      </c>
      <c r="HP19" s="367" t="str">
        <f t="shared" si="146"/>
        <v xml:space="preserve">      </v>
      </c>
      <c r="HQ19" s="107" t="str">
        <f t="shared" si="147"/>
        <v xml:space="preserve">      </v>
      </c>
      <c r="HR19" s="366" t="str">
        <f t="shared" si="148"/>
        <v xml:space="preserve"> अंग्रेजी     </v>
      </c>
      <c r="HS19" s="544" t="str">
        <f t="shared" si="74"/>
        <v>PASS</v>
      </c>
      <c r="HT19" s="542">
        <f t="shared" si="149"/>
        <v>721</v>
      </c>
      <c r="HU19" s="541">
        <f t="shared" si="160"/>
        <v>60.083333333333336</v>
      </c>
      <c r="HV19" s="540" t="str">
        <f t="shared" si="150"/>
        <v>1st</v>
      </c>
      <c r="HW19" s="537">
        <f t="shared" si="151"/>
        <v>60.083333333333336</v>
      </c>
      <c r="HX19" s="539">
        <f t="shared" si="152"/>
        <v>13.000000000000078</v>
      </c>
      <c r="HY19" s="553" t="str">
        <f>IFERROR(IF(OR(HS19="SUPPLEMENTARY",HS19="RE-EXAM"),'Supp. Result Entry'!AQ17,""),"")</f>
        <v/>
      </c>
      <c r="HZ19" s="538" t="str">
        <f t="shared" si="153"/>
        <v/>
      </c>
      <c r="IA19" s="415" t="str">
        <f t="shared" si="154"/>
        <v/>
      </c>
      <c r="IB19" s="415" t="str">
        <f>IF(AND(HZ19="",IA19=""),"",IF(OR(HS19="SUPPLEMENTARY",HS19="RE-EXAM"),'Supp. Result Entry'!AQ17,HS19))</f>
        <v/>
      </c>
      <c r="IC19" s="87"/>
      <c r="IS19" s="109" t="str">
        <f>IF('Supp. Result Entry'!T17="","",'Supp. Result Entry'!$T$4)</f>
        <v/>
      </c>
      <c r="IT19" s="110" t="str">
        <f>IF('Supp. Result Entry'!W17="","",'Supp. Result Entry'!$W$4)</f>
        <v/>
      </c>
      <c r="IU19" s="110" t="str">
        <f>IF('Supp. Result Entry'!Z17="","",'Supp. Result Entry'!$Z$4)</f>
        <v/>
      </c>
      <c r="IV19" s="110" t="str">
        <f>IF('Supp. Result Entry'!AC17="","",'Supp. Result Entry'!$AC$4)</f>
        <v/>
      </c>
      <c r="IW19" s="110" t="str">
        <f>IF('Supp. Result Entry'!AF17="","",'Supp. Result Entry'!$AF$4)</f>
        <v/>
      </c>
      <c r="IX19" s="110" t="str">
        <f>IF('Supp. Result Entry'!AI17="","",'Supp. Result Entry'!$AI$4)</f>
        <v/>
      </c>
      <c r="IY19" s="110" t="str">
        <f>IF('Supp. Result Entry'!AI17="","",'Supp. Result Entry'!$AL$4)</f>
        <v/>
      </c>
      <c r="IZ19" s="110" t="str">
        <f>IF('Supp. Result Entry'!U17="","",'Supp. Result Entry'!U17)</f>
        <v/>
      </c>
      <c r="JA19" s="110" t="str">
        <f>IF('Supp. Result Entry'!X17="","",'Supp. Result Entry'!X17)</f>
        <v/>
      </c>
      <c r="JB19" s="110" t="str">
        <f>IF('Supp. Result Entry'!AA17="","",'Supp. Result Entry'!AA17)</f>
        <v/>
      </c>
      <c r="JC19" s="110" t="str">
        <f>IF('Supp. Result Entry'!AD17="","",'Supp. Result Entry'!AD17)</f>
        <v/>
      </c>
      <c r="JD19" s="110" t="str">
        <f>IF('Supp. Result Entry'!AG17="","",'Supp. Result Entry'!AG17)</f>
        <v/>
      </c>
      <c r="JE19" s="110" t="str">
        <f>IF('Supp. Result Entry'!AJ17="","",'Supp. Result Entry'!AJ17)</f>
        <v/>
      </c>
      <c r="JF19" s="110" t="str">
        <f>IF('Supp. Result Entry'!AM17="","",'Supp. Result Entry'!AM17)</f>
        <v/>
      </c>
      <c r="JG19" s="110" t="str">
        <f>IF('Supp. Result Entry'!V17="","",'Supp. Result Entry'!V17)</f>
        <v/>
      </c>
      <c r="JH19" s="110" t="str">
        <f>IF('Supp. Result Entry'!Y17="","",'Supp. Result Entry'!Y17)</f>
        <v/>
      </c>
      <c r="JI19" s="110" t="str">
        <f>IF('Supp. Result Entry'!AB17="","",'Supp. Result Entry'!AB17)</f>
        <v/>
      </c>
      <c r="JJ19" s="110" t="str">
        <f>IF('Supp. Result Entry'!AE17="","",'Supp. Result Entry'!AE17)</f>
        <v/>
      </c>
      <c r="JK19" s="110" t="str">
        <f>IF('Supp. Result Entry'!AH17="","",'Supp. Result Entry'!AH17)</f>
        <v/>
      </c>
      <c r="JL19" s="110" t="str">
        <f>IF('Supp. Result Entry'!AK17="","",'Supp. Result Entry'!AK17)</f>
        <v/>
      </c>
      <c r="JM19" s="110" t="str">
        <f>IF('Supp. Result Entry'!AN17="","",'Supp. Result Entry'!AN17)</f>
        <v/>
      </c>
      <c r="JN19" s="110">
        <f>COUNTIF('Supp. Result Entry'!K17:Q17,"S")</f>
        <v>0</v>
      </c>
      <c r="JO19" s="110">
        <f t="shared" si="155"/>
        <v>0</v>
      </c>
      <c r="JP19" s="110">
        <f t="shared" si="156"/>
        <v>0</v>
      </c>
      <c r="JQ19" s="110" t="str">
        <f t="shared" si="75"/>
        <v/>
      </c>
      <c r="JR19" s="110" t="str">
        <f t="shared" si="76"/>
        <v/>
      </c>
      <c r="JS19" s="110" t="str">
        <f t="shared" si="77"/>
        <v/>
      </c>
      <c r="JT19" s="110" t="str">
        <f t="shared" si="78"/>
        <v/>
      </c>
      <c r="JU19" s="110" t="str">
        <f t="shared" si="79"/>
        <v/>
      </c>
      <c r="JV19" s="110" t="str">
        <f t="shared" si="80"/>
        <v/>
      </c>
      <c r="JW19" s="110" t="str">
        <f t="shared" si="81"/>
        <v/>
      </c>
      <c r="JX19" s="110" t="str">
        <f t="shared" si="157"/>
        <v/>
      </c>
      <c r="JY19" s="110" t="str">
        <f t="shared" si="158"/>
        <v/>
      </c>
      <c r="JZ19" s="110" t="str">
        <f t="shared" si="82"/>
        <v/>
      </c>
      <c r="KA19" s="108" t="str">
        <f t="shared" si="159"/>
        <v/>
      </c>
    </row>
    <row r="20" spans="1:287" s="108" customFormat="1" ht="21.95" customHeight="1">
      <c r="A20" s="89">
        <v>14</v>
      </c>
      <c r="B20" s="90">
        <f>IF('Marks Entry'!B20="","",'Marks Entry'!B20)</f>
        <v>914</v>
      </c>
      <c r="C20" s="94" t="str">
        <f>IF('Marks Entry'!D20="","",'Marks Entry'!D20)</f>
        <v>A</v>
      </c>
      <c r="D20" s="91" t="str">
        <f>IF('Marks Entry'!E20="","",'Marks Entry'!E20)</f>
        <v/>
      </c>
      <c r="E20" s="92" t="str">
        <f>IF('Marks Entry'!F20="","",'Marks Entry'!F20)</f>
        <v/>
      </c>
      <c r="F20" s="93" t="str">
        <f>IF('Marks Entry'!G20="","",'Marks Entry'!G20)</f>
        <v>ANIL</v>
      </c>
      <c r="G20" s="93" t="str">
        <f>IF('Marks Entry'!H20="","",'Marks Entry'!H20)</f>
        <v/>
      </c>
      <c r="H20" s="93" t="str">
        <f>IF('Marks Entry'!I20="","",'Marks Entry'!I20)</f>
        <v/>
      </c>
      <c r="I20" s="94" t="str">
        <f>IF('Marks Entry'!J20="","",'Marks Entry'!J20)</f>
        <v/>
      </c>
      <c r="J20" s="95" t="str">
        <f>IF('Marks Entry'!K20="","",'Marks Entry'!K20)</f>
        <v/>
      </c>
      <c r="K20" s="68">
        <f>IF('Marks Entry'!L20="","",'Marks Entry'!L20)</f>
        <v>8</v>
      </c>
      <c r="L20" s="68">
        <f>IF('Marks Entry'!M20="","",'Marks Entry'!M20)</f>
        <v>9</v>
      </c>
      <c r="M20" s="68">
        <f>IF('Marks Entry'!N20="","",'Marks Entry'!N20)</f>
        <v>7</v>
      </c>
      <c r="N20" s="514">
        <f t="shared" si="83"/>
        <v>24</v>
      </c>
      <c r="O20" s="68">
        <f>IF('Marks Entry'!O20="","",'Marks Entry'!O20)</f>
        <v>46</v>
      </c>
      <c r="P20" s="515">
        <f t="shared" si="84"/>
        <v>70</v>
      </c>
      <c r="Q20" s="68">
        <f>IF('Marks Entry'!P20="","",'Marks Entry'!P20)</f>
        <v>65</v>
      </c>
      <c r="R20" s="96">
        <f t="shared" si="85"/>
        <v>135</v>
      </c>
      <c r="S20" s="65">
        <f t="shared" si="86"/>
        <v>0</v>
      </c>
      <c r="T20" s="65">
        <f t="shared" si="87"/>
        <v>0</v>
      </c>
      <c r="U20" s="66">
        <f t="shared" si="88"/>
        <v>200</v>
      </c>
      <c r="V20" s="65" t="str">
        <f t="shared" si="89"/>
        <v/>
      </c>
      <c r="W20" s="65" t="str">
        <f t="shared" si="90"/>
        <v>P</v>
      </c>
      <c r="X20" s="65" t="str">
        <f t="shared" si="91"/>
        <v>I</v>
      </c>
      <c r="Y20" s="68">
        <f>IF('Marks Entry'!Q20="","",'Marks Entry'!Q20)</f>
        <v>8</v>
      </c>
      <c r="Z20" s="68">
        <f>IF('Marks Entry'!R20="","",'Marks Entry'!R20)</f>
        <v>9</v>
      </c>
      <c r="AA20" s="68">
        <f>IF('Marks Entry'!S20="","",'Marks Entry'!S20)</f>
        <v>8</v>
      </c>
      <c r="AB20" s="514">
        <f t="shared" si="2"/>
        <v>25</v>
      </c>
      <c r="AC20" s="68">
        <f>IF('Marks Entry'!T20="","",'Marks Entry'!T20)</f>
        <v>60</v>
      </c>
      <c r="AD20" s="515">
        <f t="shared" si="3"/>
        <v>85</v>
      </c>
      <c r="AE20" s="68">
        <f>IF('Marks Entry'!U20="","",'Marks Entry'!U20)</f>
        <v>85</v>
      </c>
      <c r="AF20" s="96">
        <f t="shared" si="4"/>
        <v>170</v>
      </c>
      <c r="AG20" s="65">
        <f t="shared" si="5"/>
        <v>0</v>
      </c>
      <c r="AH20" s="65">
        <f t="shared" si="6"/>
        <v>0</v>
      </c>
      <c r="AI20" s="66">
        <f t="shared" si="7"/>
        <v>200</v>
      </c>
      <c r="AJ20" s="65" t="str">
        <f t="shared" si="8"/>
        <v/>
      </c>
      <c r="AK20" s="65" t="str">
        <f t="shared" si="9"/>
        <v>P</v>
      </c>
      <c r="AL20" s="65" t="str">
        <f t="shared" si="10"/>
        <v>D</v>
      </c>
      <c r="AM20" s="524" t="str">
        <f>IF('Marks Entry'!V20="","",IF('Marks Entry'!V20=1,'School Profile'!$I$9,IF('Marks Entry'!V20=2,'School Profile'!$I$10,IF('Marks Entry'!V20=3,'School Profile'!$I$11,IF('Marks Entry'!V20=4,'School Profile'!$I$12,IF('Marks Entry'!V20=5,'School Profile'!$I$13,IF('Marks Entry'!V20=6,'School Profile'!$I$14,"")))))))</f>
        <v xml:space="preserve">सिंधी (74) </v>
      </c>
      <c r="AN20" s="68">
        <f>IF('Marks Entry'!W20="","",'Marks Entry'!W20)</f>
        <v>8</v>
      </c>
      <c r="AO20" s="68">
        <f>IF('Marks Entry'!X20="","",'Marks Entry'!X20)</f>
        <v>9</v>
      </c>
      <c r="AP20" s="68">
        <f>IF('Marks Entry'!Y20="","",'Marks Entry'!Y20)</f>
        <v>8</v>
      </c>
      <c r="AQ20" s="514">
        <f t="shared" si="11"/>
        <v>25</v>
      </c>
      <c r="AR20" s="68">
        <f>IF('Marks Entry'!Z20="","",'Marks Entry'!Z20)</f>
        <v>46</v>
      </c>
      <c r="AS20" s="515">
        <f t="shared" si="12"/>
        <v>71</v>
      </c>
      <c r="AT20" s="68">
        <f>IF('Marks Entry'!AA20="","",'Marks Entry'!AA20)</f>
        <v>45</v>
      </c>
      <c r="AU20" s="96">
        <f t="shared" si="13"/>
        <v>116</v>
      </c>
      <c r="AV20" s="65">
        <f t="shared" si="14"/>
        <v>0</v>
      </c>
      <c r="AW20" s="65">
        <f t="shared" si="15"/>
        <v>0</v>
      </c>
      <c r="AX20" s="66">
        <f t="shared" si="16"/>
        <v>200</v>
      </c>
      <c r="AY20" s="65" t="str">
        <f t="shared" si="17"/>
        <v/>
      </c>
      <c r="AZ20" s="65" t="str">
        <f t="shared" si="18"/>
        <v>P</v>
      </c>
      <c r="BA20" s="65" t="str">
        <f t="shared" si="19"/>
        <v>II</v>
      </c>
      <c r="BB20" s="68">
        <f>IF('Marks Entry'!AB20="","",'Marks Entry'!AB20)</f>
        <v>8</v>
      </c>
      <c r="BC20" s="68">
        <f>IF('Marks Entry'!AC20="","",'Marks Entry'!AC20)</f>
        <v>9</v>
      </c>
      <c r="BD20" s="68">
        <f>IF('Marks Entry'!AD20="","",'Marks Entry'!AD20)</f>
        <v>8</v>
      </c>
      <c r="BE20" s="514">
        <f t="shared" si="20"/>
        <v>25</v>
      </c>
      <c r="BF20" s="68">
        <f>IF('Marks Entry'!AE20="","",'Marks Entry'!AE20)</f>
        <v>20</v>
      </c>
      <c r="BG20" s="515">
        <f t="shared" si="21"/>
        <v>45</v>
      </c>
      <c r="BH20" s="68">
        <f>IF('Marks Entry'!AF20="","",'Marks Entry'!AF20)</f>
        <v>26</v>
      </c>
      <c r="BI20" s="96">
        <f t="shared" si="22"/>
        <v>71</v>
      </c>
      <c r="BJ20" s="65">
        <f t="shared" si="23"/>
        <v>0</v>
      </c>
      <c r="BK20" s="65">
        <f t="shared" si="92"/>
        <v>0</v>
      </c>
      <c r="BL20" s="66">
        <f t="shared" si="24"/>
        <v>200</v>
      </c>
      <c r="BM20" s="65" t="str">
        <f t="shared" si="25"/>
        <v/>
      </c>
      <c r="BN20" s="65" t="str">
        <f t="shared" si="26"/>
        <v>G2</v>
      </c>
      <c r="BO20" s="65" t="str">
        <f t="shared" si="27"/>
        <v>G2</v>
      </c>
      <c r="BP20" s="68">
        <f>IF('Marks Entry'!AG20="","",'Marks Entry'!AG20)</f>
        <v>8</v>
      </c>
      <c r="BQ20" s="68">
        <f>IF('Marks Entry'!AH20="","",'Marks Entry'!AH20)</f>
        <v>9</v>
      </c>
      <c r="BR20" s="68">
        <f>IF('Marks Entry'!AI20="","",'Marks Entry'!AI20)</f>
        <v>7</v>
      </c>
      <c r="BS20" s="514">
        <f t="shared" si="28"/>
        <v>24</v>
      </c>
      <c r="BT20" s="68">
        <f>IF('Marks Entry'!AJ20="","",'Marks Entry'!AJ20)</f>
        <v>20</v>
      </c>
      <c r="BU20" s="515">
        <f t="shared" si="29"/>
        <v>44</v>
      </c>
      <c r="BV20" s="68">
        <f>IF('Marks Entry'!AK20="","",'Marks Entry'!AK20)</f>
        <v>27</v>
      </c>
      <c r="BW20" s="96">
        <f t="shared" si="30"/>
        <v>71</v>
      </c>
      <c r="BX20" s="65">
        <f t="shared" si="31"/>
        <v>0</v>
      </c>
      <c r="BY20" s="65">
        <f t="shared" si="32"/>
        <v>0</v>
      </c>
      <c r="BZ20" s="66">
        <f t="shared" si="33"/>
        <v>200</v>
      </c>
      <c r="CA20" s="65" t="str">
        <f t="shared" si="34"/>
        <v/>
      </c>
      <c r="CB20" s="65" t="str">
        <f t="shared" si="35"/>
        <v>G2</v>
      </c>
      <c r="CC20" s="65" t="str">
        <f t="shared" si="36"/>
        <v>G2</v>
      </c>
      <c r="CD20" s="66">
        <f t="shared" si="93"/>
        <v>0</v>
      </c>
      <c r="CE20" s="68">
        <f>IF('Marks Entry'!AL20="","",'Marks Entry'!AL20)</f>
        <v>8</v>
      </c>
      <c r="CF20" s="68">
        <f>IF('Marks Entry'!AM20="","",'Marks Entry'!AM20)</f>
        <v>8</v>
      </c>
      <c r="CG20" s="68">
        <f>IF('Marks Entry'!AN20="","",'Marks Entry'!AN20)</f>
        <v>8</v>
      </c>
      <c r="CH20" s="514">
        <f t="shared" si="37"/>
        <v>24</v>
      </c>
      <c r="CI20" s="68">
        <f>IF('Marks Entry'!AO20="","",'Marks Entry'!AO20)</f>
        <v>46</v>
      </c>
      <c r="CJ20" s="515">
        <f t="shared" si="38"/>
        <v>70</v>
      </c>
      <c r="CK20" s="68">
        <f>IF('Marks Entry'!AP20="","",'Marks Entry'!AP20)</f>
        <v>45</v>
      </c>
      <c r="CL20" s="96">
        <f t="shared" si="39"/>
        <v>115</v>
      </c>
      <c r="CM20" s="65">
        <f t="shared" si="40"/>
        <v>0</v>
      </c>
      <c r="CN20" s="65">
        <f t="shared" si="41"/>
        <v>0</v>
      </c>
      <c r="CO20" s="66">
        <f t="shared" si="42"/>
        <v>200</v>
      </c>
      <c r="CP20" s="65" t="str">
        <f t="shared" si="43"/>
        <v/>
      </c>
      <c r="CQ20" s="65" t="str">
        <f t="shared" si="44"/>
        <v>P</v>
      </c>
      <c r="CR20" s="65" t="str">
        <f t="shared" si="45"/>
        <v>II</v>
      </c>
      <c r="CS20" s="616" t="str">
        <f>IF('School Profile'!$D$20="NO","",IF('Marks Entry'!AQ20="","",IF('Marks Entry'!AQ20=1,'School Profile'!$I$29,IF('Marks Entry'!AQ20=2,'School Profile'!$I$30,IF('Marks Entry'!AQ20=3,'School Profile'!$I$31,IF('Marks Entry'!AQ20=4,'School Profile'!$I$32,IF('Marks Entry'!AQ20=5,'School Profile'!$I$33,IF('Marks Entry'!AQ20=6,'School Profile'!$I$34,IF('Marks Entry'!AQ20=7,'School Profile'!$I$35,IF('Marks Entry'!AQ20=8,'School Profile'!$I$36,IF('Marks Entry'!AQ20=9,'School Profile'!$I$37,IF('Marks Entry'!AQ20=10,'School Profile'!$I$38,IF('Marks Entry'!AQ20=11,'School Profile'!$I$39,"")))))))))))))</f>
        <v/>
      </c>
      <c r="CT20" s="68" t="str">
        <f>IF('School Profile'!$D$20="NO","",IF('Marks Entry'!AR20="","",'Marks Entry'!AR20))</f>
        <v/>
      </c>
      <c r="CU20" s="68" t="str">
        <f>IF('School Profile'!$D$20="NO","",IF('Marks Entry'!AS20="","",'Marks Entry'!AS20))</f>
        <v/>
      </c>
      <c r="CV20" s="68" t="str">
        <f>IF('School Profile'!$D$20="NO","",IF('Marks Entry'!AT20="","",'Marks Entry'!AT20))</f>
        <v/>
      </c>
      <c r="CW20" s="514" t="str">
        <f>IF('School Profile'!$D$20="NO","",IF(AND(CT20="",CU20="",CV20=""),"",SUM(CT20:CV20)))</f>
        <v/>
      </c>
      <c r="CX20" s="68" t="str">
        <f>IF('School Profile'!$D$20="NO","",IF('Marks Entry'!AU20="","",'Marks Entry'!AU20))</f>
        <v/>
      </c>
      <c r="CY20" s="68" t="str">
        <f>IF('School Profile'!$D$20="NO","",IF('Marks Entry'!AV20="","",'Marks Entry'!AV20))</f>
        <v/>
      </c>
      <c r="CZ20" s="515" t="str">
        <f>IF('School Profile'!$D$20="NO","",IF(AND(CX20="",CY20=""),"",SUM(CX20,CY20)))</f>
        <v/>
      </c>
      <c r="DA20" s="69" t="str">
        <f>IF('School Profile'!$D$20="NO","",IF(AND(CW20="",CZ20=""),"",SUM(CW20+CZ20)))</f>
        <v/>
      </c>
      <c r="DB20" s="68" t="str">
        <f>IF('School Profile'!$D$20="NO","",IF('Marks Entry'!AW20="","",'Marks Entry'!AW20))</f>
        <v/>
      </c>
      <c r="DC20" s="68" t="str">
        <f>IF('School Profile'!$D$20="NO","",IF('Marks Entry'!AX20="","",'Marks Entry'!AX20))</f>
        <v/>
      </c>
      <c r="DD20" s="515" t="str">
        <f>IF('School Profile'!$D$20="NO","",IF(AND(DB20="",DC20=""),"",SUM(DB20,DC20)))</f>
        <v/>
      </c>
      <c r="DE20" s="96" t="str">
        <f>IF('School Profile'!$D$20="NO","",IF(AND(DA20="",DD20=""),"",SUM(DA20,DD20)))</f>
        <v/>
      </c>
      <c r="DF20" s="532">
        <f t="shared" si="46"/>
        <v>0</v>
      </c>
      <c r="DG20" s="65">
        <f t="shared" si="47"/>
        <v>0</v>
      </c>
      <c r="DH20" s="66" t="str">
        <f t="shared" si="48"/>
        <v/>
      </c>
      <c r="DI20" s="65" t="str">
        <f t="shared" si="49"/>
        <v/>
      </c>
      <c r="DJ20" s="65" t="str">
        <f t="shared" si="50"/>
        <v/>
      </c>
      <c r="DK20" s="65" t="str">
        <f t="shared" si="51"/>
        <v/>
      </c>
      <c r="DL20" s="97" t="str">
        <f t="shared" si="94"/>
        <v>I</v>
      </c>
      <c r="DM20" s="97" t="str">
        <f t="shared" si="95"/>
        <v>D</v>
      </c>
      <c r="DN20" s="97" t="str">
        <f t="shared" si="96"/>
        <v>II</v>
      </c>
      <c r="DO20" s="97" t="str">
        <f t="shared" si="97"/>
        <v>G2</v>
      </c>
      <c r="DP20" s="97" t="str">
        <f t="shared" si="98"/>
        <v>G2</v>
      </c>
      <c r="DQ20" s="97" t="str">
        <f t="shared" si="99"/>
        <v>II</v>
      </c>
      <c r="DR20" s="97" t="str">
        <f t="shared" si="100"/>
        <v/>
      </c>
      <c r="DS20" s="98">
        <f t="shared" si="101"/>
        <v>0</v>
      </c>
      <c r="DT20" s="98">
        <f t="shared" si="102"/>
        <v>0</v>
      </c>
      <c r="DU20" s="98">
        <f t="shared" si="103"/>
        <v>0</v>
      </c>
      <c r="DV20" s="98">
        <f t="shared" si="104"/>
        <v>2</v>
      </c>
      <c r="DW20" s="98">
        <f t="shared" si="105"/>
        <v>0</v>
      </c>
      <c r="DX20" s="98" t="str">
        <f t="shared" si="106"/>
        <v/>
      </c>
      <c r="DY20" s="99" t="str">
        <f t="shared" si="107"/>
        <v>BY GRACE PASS</v>
      </c>
      <c r="DZ20" s="74">
        <f>IF('Marks Entry'!AY20="","",'Marks Entry'!AY20)</f>
        <v>9</v>
      </c>
      <c r="EA20" s="74">
        <f>IF('Marks Entry'!AZ20="","",'Marks Entry'!AZ20)</f>
        <v>9</v>
      </c>
      <c r="EB20" s="74">
        <f>IF('Marks Entry'!BA20="","",'Marks Entry'!BA20)</f>
        <v>9</v>
      </c>
      <c r="EC20" s="527">
        <f t="shared" si="52"/>
        <v>27</v>
      </c>
      <c r="ED20" s="74">
        <f>IF('Marks Entry'!BB20="","",'Marks Entry'!BB20)</f>
        <v>66</v>
      </c>
      <c r="EE20" s="528">
        <f t="shared" si="53"/>
        <v>93</v>
      </c>
      <c r="EF20" s="74">
        <f>IF('Marks Entry'!BC20="","",'Marks Entry'!BC20)</f>
        <v>91</v>
      </c>
      <c r="EG20" s="530">
        <f t="shared" si="54"/>
        <v>184</v>
      </c>
      <c r="EH20" s="368" t="str">
        <f t="shared" si="108"/>
        <v>A</v>
      </c>
      <c r="EI20" s="65">
        <f t="shared" si="109"/>
        <v>0</v>
      </c>
      <c r="EJ20" s="65">
        <f t="shared" si="110"/>
        <v>0</v>
      </c>
      <c r="EK20" s="66">
        <f t="shared" si="111"/>
        <v>200</v>
      </c>
      <c r="EL20" s="74">
        <f>IF('Marks Entry'!BD20="","",'Marks Entry'!BD20)</f>
        <v>8</v>
      </c>
      <c r="EM20" s="74">
        <f>IF('Marks Entry'!BE20="","",'Marks Entry'!BE20)</f>
        <v>8</v>
      </c>
      <c r="EN20" s="74">
        <f>IF('Marks Entry'!BF20="","",'Marks Entry'!BF20)</f>
        <v>8</v>
      </c>
      <c r="EO20" s="527">
        <f t="shared" si="55"/>
        <v>24</v>
      </c>
      <c r="EP20" s="74">
        <f>IF('Marks Entry'!BG20="","",'Marks Entry'!BG20)</f>
        <v>48</v>
      </c>
      <c r="EQ20" s="74">
        <f>IF('Marks Entry'!BH20="","",'Marks Entry'!BH20)</f>
        <v>16</v>
      </c>
      <c r="ER20" s="528">
        <f t="shared" si="56"/>
        <v>64</v>
      </c>
      <c r="ES20" s="529">
        <f t="shared" si="57"/>
        <v>88</v>
      </c>
      <c r="ET20" s="74">
        <f>IF('Marks Entry'!BI20="","",'Marks Entry'!BI20)</f>
        <v>58</v>
      </c>
      <c r="EU20" s="74">
        <f>IF('Marks Entry'!BJ20="","",'Marks Entry'!BJ20)</f>
        <v>27</v>
      </c>
      <c r="EV20" s="528">
        <f t="shared" si="58"/>
        <v>85</v>
      </c>
      <c r="EW20" s="530">
        <f t="shared" si="59"/>
        <v>173</v>
      </c>
      <c r="EX20" s="368" t="str">
        <f t="shared" si="112"/>
        <v>A</v>
      </c>
      <c r="EY20" s="65">
        <f t="shared" si="113"/>
        <v>0</v>
      </c>
      <c r="EZ20" s="65">
        <f t="shared" si="114"/>
        <v>0</v>
      </c>
      <c r="FA20" s="66">
        <f t="shared" si="115"/>
        <v>200</v>
      </c>
      <c r="FB20" s="74">
        <f>IF('Marks Entry'!BK20="","",'Marks Entry'!BK20)</f>
        <v>9</v>
      </c>
      <c r="FC20" s="74">
        <f>IF('Marks Entry'!BL20="","",'Marks Entry'!BL20)</f>
        <v>7</v>
      </c>
      <c r="FD20" s="74">
        <f>IF('Marks Entry'!BM20="","",'Marks Entry'!BM20)</f>
        <v>9</v>
      </c>
      <c r="FE20" s="74">
        <f>IF('Marks Entry'!BN20="","",'Marks Entry'!BN20)</f>
        <v>6</v>
      </c>
      <c r="FF20" s="74">
        <f>IF('Marks Entry'!BO20="","",'Marks Entry'!BO20)</f>
        <v>9</v>
      </c>
      <c r="FG20" s="74">
        <f>IF('Marks Entry'!BP20="","",'Marks Entry'!BP20)</f>
        <v>14</v>
      </c>
      <c r="FH20" s="527">
        <f t="shared" si="60"/>
        <v>54</v>
      </c>
      <c r="FI20" s="74">
        <f>IF('Marks Entry'!BQ20="","",'Marks Entry'!BQ20)</f>
        <v>21</v>
      </c>
      <c r="FJ20" s="74">
        <f>IF('Marks Entry'!BR20="","",'Marks Entry'!BR20)</f>
        <v>12</v>
      </c>
      <c r="FK20" s="528">
        <f t="shared" si="61"/>
        <v>33</v>
      </c>
      <c r="FL20" s="529">
        <f t="shared" si="62"/>
        <v>87</v>
      </c>
      <c r="FM20" s="74">
        <f>IF('Marks Entry'!BS20="","",'Marks Entry'!BS20)</f>
        <v>26</v>
      </c>
      <c r="FN20" s="74">
        <f>IF('Marks Entry'!BT20="","",'Marks Entry'!BT20)</f>
        <v>61</v>
      </c>
      <c r="FO20" s="528">
        <f t="shared" si="63"/>
        <v>87</v>
      </c>
      <c r="FP20" s="530">
        <f t="shared" si="64"/>
        <v>174</v>
      </c>
      <c r="FQ20" s="368" t="str">
        <f t="shared" si="116"/>
        <v>A</v>
      </c>
      <c r="FR20" s="65">
        <f t="shared" si="117"/>
        <v>0</v>
      </c>
      <c r="FS20" s="65">
        <f t="shared" si="118"/>
        <v>0</v>
      </c>
      <c r="FT20" s="66">
        <f t="shared" si="119"/>
        <v>200</v>
      </c>
      <c r="FU20" s="74">
        <f>IF('Marks Entry'!BU20="","",'Marks Entry'!BU20)</f>
        <v>20</v>
      </c>
      <c r="FV20" s="74">
        <f>IF('Marks Entry'!BV20="","",'Marks Entry'!BV20)</f>
        <v>40</v>
      </c>
      <c r="FW20" s="74">
        <f>IF('Marks Entry'!BW20="","",'Marks Entry'!BW20)</f>
        <v>20</v>
      </c>
      <c r="FX20" s="75">
        <f t="shared" si="65"/>
        <v>80</v>
      </c>
      <c r="FY20" s="368" t="str">
        <f t="shared" si="120"/>
        <v>B</v>
      </c>
      <c r="FZ20" s="65">
        <f t="shared" si="121"/>
        <v>0</v>
      </c>
      <c r="GA20" s="66">
        <f t="shared" si="122"/>
        <v>0</v>
      </c>
      <c r="GB20" s="66">
        <f t="shared" si="123"/>
        <v>100</v>
      </c>
      <c r="GC20" s="74">
        <f>IF('Marks Entry'!BX20="","",'Marks Entry'!BX20)</f>
        <v>20</v>
      </c>
      <c r="GD20" s="74">
        <f>IF('Marks Entry'!BY20="","",'Marks Entry'!BY20)</f>
        <v>39</v>
      </c>
      <c r="GE20" s="74">
        <f>IF('Marks Entry'!BZ20="","",'Marks Entry'!BZ20)</f>
        <v>10</v>
      </c>
      <c r="GF20" s="75">
        <f t="shared" si="124"/>
        <v>69</v>
      </c>
      <c r="GG20" s="368" t="str">
        <f t="shared" si="125"/>
        <v>B</v>
      </c>
      <c r="GH20" s="65">
        <f t="shared" si="126"/>
        <v>0</v>
      </c>
      <c r="GI20" s="66">
        <f t="shared" si="127"/>
        <v>0</v>
      </c>
      <c r="GJ20" s="66">
        <f t="shared" si="128"/>
        <v>100</v>
      </c>
      <c r="GK20" s="100" t="str">
        <f>IF(AND(F20="",B20=""),"",IF('Student DATA Entry'!M17="","",'Student DATA Entry'!M17))</f>
        <v/>
      </c>
      <c r="GL20" s="101" t="str">
        <f>IF(AND(B20="",F20=""),"",IF('Student DATA Entry'!N17="","",'Student DATA Entry'!N17))</f>
        <v/>
      </c>
      <c r="GM20" s="581" t="str">
        <f t="shared" si="129"/>
        <v/>
      </c>
      <c r="GN20" s="94" t="str">
        <f t="shared" si="130"/>
        <v>I</v>
      </c>
      <c r="GO20" s="94" t="str">
        <f t="shared" si="131"/>
        <v/>
      </c>
      <c r="GP20" s="102" t="str">
        <f t="shared" si="67"/>
        <v/>
      </c>
      <c r="GQ20" s="94" t="str">
        <f t="shared" si="132"/>
        <v>D</v>
      </c>
      <c r="GR20" s="103" t="str">
        <f t="shared" si="133"/>
        <v/>
      </c>
      <c r="GS20" s="102" t="str">
        <f t="shared" si="68"/>
        <v/>
      </c>
      <c r="GT20" s="104" t="str">
        <f t="shared" si="134"/>
        <v>II</v>
      </c>
      <c r="GU20" s="94" t="str">
        <f>IF('Marks Entry'!V20=1,GT20,"")</f>
        <v/>
      </c>
      <c r="GV20" s="94" t="str">
        <f>IF('Marks Entry'!V20=2,GT20,"")</f>
        <v/>
      </c>
      <c r="GW20" s="94" t="str">
        <f>IF('Marks Entry'!V20=3,GT20,"")</f>
        <v/>
      </c>
      <c r="GX20" s="94" t="str">
        <f>IF('Marks Entry'!V20=4,GT20,"")</f>
        <v>II</v>
      </c>
      <c r="GY20" s="94" t="str">
        <f>IF('Marks Entry'!V20=5,GT20,"")</f>
        <v/>
      </c>
      <c r="GZ20" s="94" t="str">
        <f t="shared" si="135"/>
        <v/>
      </c>
      <c r="HA20" s="105" t="str">
        <f t="shared" si="69"/>
        <v/>
      </c>
      <c r="HB20" s="94" t="str">
        <f t="shared" si="136"/>
        <v>G</v>
      </c>
      <c r="HC20" s="94" t="str">
        <f t="shared" si="137"/>
        <v>,+</v>
      </c>
      <c r="HD20" s="105">
        <f t="shared" si="70"/>
        <v>1</v>
      </c>
      <c r="HE20" s="94" t="str">
        <f t="shared" si="138"/>
        <v>G</v>
      </c>
      <c r="HF20" s="94" t="str">
        <f t="shared" si="139"/>
        <v>,+</v>
      </c>
      <c r="HG20" s="105">
        <f t="shared" si="71"/>
        <v>1</v>
      </c>
      <c r="HH20" s="94" t="str">
        <f t="shared" si="140"/>
        <v>II</v>
      </c>
      <c r="HI20" s="94" t="str">
        <f t="shared" si="141"/>
        <v/>
      </c>
      <c r="HJ20" s="105" t="str">
        <f t="shared" si="72"/>
        <v/>
      </c>
      <c r="HK20" s="94" t="str">
        <f t="shared" si="142"/>
        <v/>
      </c>
      <c r="HL20" s="94" t="str">
        <f t="shared" si="143"/>
        <v/>
      </c>
      <c r="HM20" s="105" t="str">
        <f t="shared" si="73"/>
        <v/>
      </c>
      <c r="HN20" s="367" t="str">
        <f t="shared" si="144"/>
        <v xml:space="preserve">      </v>
      </c>
      <c r="HO20" s="418" t="str">
        <f t="shared" si="145"/>
        <v xml:space="preserve">      </v>
      </c>
      <c r="HP20" s="367" t="str">
        <f t="shared" si="146"/>
        <v xml:space="preserve">   गणित विज्ञान  </v>
      </c>
      <c r="HQ20" s="107" t="str">
        <f t="shared" si="147"/>
        <v xml:space="preserve">      </v>
      </c>
      <c r="HR20" s="366" t="str">
        <f t="shared" si="148"/>
        <v xml:space="preserve"> अंग्रेजी     </v>
      </c>
      <c r="HS20" s="544" t="str">
        <f t="shared" si="74"/>
        <v>BY GRACE PASS</v>
      </c>
      <c r="HT20" s="542">
        <f t="shared" si="149"/>
        <v>678</v>
      </c>
      <c r="HU20" s="541">
        <f t="shared" si="160"/>
        <v>56.5</v>
      </c>
      <c r="HV20" s="540" t="str">
        <f t="shared" si="150"/>
        <v>2nd</v>
      </c>
      <c r="HW20" s="537">
        <f t="shared" si="151"/>
        <v>56.5</v>
      </c>
      <c r="HX20" s="539">
        <f t="shared" si="152"/>
        <v>16.999999999999773</v>
      </c>
      <c r="HY20" s="553" t="str">
        <f>IFERROR(IF(OR(HS20="SUPPLEMENTARY",HS20="RE-EXAM"),'Supp. Result Entry'!AQ18,""),"")</f>
        <v/>
      </c>
      <c r="HZ20" s="538" t="str">
        <f t="shared" si="153"/>
        <v/>
      </c>
      <c r="IA20" s="415" t="str">
        <f t="shared" si="154"/>
        <v/>
      </c>
      <c r="IB20" s="415" t="str">
        <f>IF(AND(HZ20="",IA20=""),"",IF(OR(HS20="SUPPLEMENTARY",HS20="RE-EXAM"),'Supp. Result Entry'!AQ18,HS20))</f>
        <v/>
      </c>
      <c r="IC20" s="87"/>
      <c r="IS20" s="109" t="str">
        <f>IF('Supp. Result Entry'!T18="","",'Supp. Result Entry'!$T$4)</f>
        <v/>
      </c>
      <c r="IT20" s="110" t="str">
        <f>IF('Supp. Result Entry'!W18="","",'Supp. Result Entry'!$W$4)</f>
        <v/>
      </c>
      <c r="IU20" s="110" t="str">
        <f>IF('Supp. Result Entry'!Z18="","",'Supp. Result Entry'!$Z$4)</f>
        <v/>
      </c>
      <c r="IV20" s="110" t="str">
        <f>IF('Supp. Result Entry'!AC18="","",'Supp. Result Entry'!$AC$4)</f>
        <v/>
      </c>
      <c r="IW20" s="110" t="str">
        <f>IF('Supp. Result Entry'!AF18="","",'Supp. Result Entry'!$AF$4)</f>
        <v/>
      </c>
      <c r="IX20" s="110" t="str">
        <f>IF('Supp. Result Entry'!AI18="","",'Supp. Result Entry'!$AI$4)</f>
        <v/>
      </c>
      <c r="IY20" s="110" t="str">
        <f>IF('Supp. Result Entry'!AI18="","",'Supp. Result Entry'!$AL$4)</f>
        <v/>
      </c>
      <c r="IZ20" s="110" t="str">
        <f>IF('Supp. Result Entry'!U18="","",'Supp. Result Entry'!U18)</f>
        <v/>
      </c>
      <c r="JA20" s="110" t="str">
        <f>IF('Supp. Result Entry'!X18="","",'Supp. Result Entry'!X18)</f>
        <v/>
      </c>
      <c r="JB20" s="110" t="str">
        <f>IF('Supp. Result Entry'!AA18="","",'Supp. Result Entry'!AA18)</f>
        <v/>
      </c>
      <c r="JC20" s="110" t="str">
        <f>IF('Supp. Result Entry'!AD18="","",'Supp. Result Entry'!AD18)</f>
        <v/>
      </c>
      <c r="JD20" s="110" t="str">
        <f>IF('Supp. Result Entry'!AG18="","",'Supp. Result Entry'!AG18)</f>
        <v/>
      </c>
      <c r="JE20" s="110" t="str">
        <f>IF('Supp. Result Entry'!AJ18="","",'Supp. Result Entry'!AJ18)</f>
        <v/>
      </c>
      <c r="JF20" s="110" t="str">
        <f>IF('Supp. Result Entry'!AM18="","",'Supp. Result Entry'!AM18)</f>
        <v/>
      </c>
      <c r="JG20" s="110" t="str">
        <f>IF('Supp. Result Entry'!V18="","",'Supp. Result Entry'!V18)</f>
        <v/>
      </c>
      <c r="JH20" s="110" t="str">
        <f>IF('Supp. Result Entry'!Y18="","",'Supp. Result Entry'!Y18)</f>
        <v/>
      </c>
      <c r="JI20" s="110" t="str">
        <f>IF('Supp. Result Entry'!AB18="","",'Supp. Result Entry'!AB18)</f>
        <v/>
      </c>
      <c r="JJ20" s="110" t="str">
        <f>IF('Supp. Result Entry'!AE18="","",'Supp. Result Entry'!AE18)</f>
        <v/>
      </c>
      <c r="JK20" s="110" t="str">
        <f>IF('Supp. Result Entry'!AH18="","",'Supp. Result Entry'!AH18)</f>
        <v/>
      </c>
      <c r="JL20" s="110" t="str">
        <f>IF('Supp. Result Entry'!AK18="","",'Supp. Result Entry'!AK18)</f>
        <v/>
      </c>
      <c r="JM20" s="110" t="str">
        <f>IF('Supp. Result Entry'!AN18="","",'Supp. Result Entry'!AN18)</f>
        <v/>
      </c>
      <c r="JN20" s="110">
        <f>COUNTIF('Supp. Result Entry'!K18:Q18,"S")</f>
        <v>0</v>
      </c>
      <c r="JO20" s="110">
        <f t="shared" si="155"/>
        <v>0</v>
      </c>
      <c r="JP20" s="110">
        <f t="shared" si="156"/>
        <v>0</v>
      </c>
      <c r="JQ20" s="110" t="str">
        <f t="shared" si="75"/>
        <v/>
      </c>
      <c r="JR20" s="110" t="str">
        <f t="shared" si="76"/>
        <v/>
      </c>
      <c r="JS20" s="110" t="str">
        <f t="shared" si="77"/>
        <v/>
      </c>
      <c r="JT20" s="110" t="str">
        <f t="shared" si="78"/>
        <v/>
      </c>
      <c r="JU20" s="110" t="str">
        <f t="shared" si="79"/>
        <v/>
      </c>
      <c r="JV20" s="110" t="str">
        <f t="shared" si="80"/>
        <v/>
      </c>
      <c r="JW20" s="110" t="str">
        <f t="shared" si="81"/>
        <v/>
      </c>
      <c r="JX20" s="110" t="str">
        <f t="shared" si="157"/>
        <v/>
      </c>
      <c r="JY20" s="110" t="str">
        <f t="shared" si="158"/>
        <v/>
      </c>
      <c r="JZ20" s="110" t="str">
        <f t="shared" si="82"/>
        <v/>
      </c>
      <c r="KA20" s="108" t="str">
        <f t="shared" si="159"/>
        <v/>
      </c>
    </row>
    <row r="21" spans="1:287" s="108" customFormat="1" ht="21.95" customHeight="1">
      <c r="A21" s="89">
        <v>15</v>
      </c>
      <c r="B21" s="90">
        <f>IF('Marks Entry'!B21="","",'Marks Entry'!B21)</f>
        <v>915</v>
      </c>
      <c r="C21" s="94" t="str">
        <f>IF('Marks Entry'!D21="","",'Marks Entry'!D21)</f>
        <v>A</v>
      </c>
      <c r="D21" s="91" t="str">
        <f>IF('Marks Entry'!E21="","",'Marks Entry'!E21)</f>
        <v/>
      </c>
      <c r="E21" s="92" t="str">
        <f>IF('Marks Entry'!F21="","",'Marks Entry'!F21)</f>
        <v/>
      </c>
      <c r="F21" s="93" t="str">
        <f>IF('Marks Entry'!G21="","",'Marks Entry'!G21)</f>
        <v>RAHIM</v>
      </c>
      <c r="G21" s="93" t="str">
        <f>IF('Marks Entry'!H21="","",'Marks Entry'!H21)</f>
        <v/>
      </c>
      <c r="H21" s="93" t="str">
        <f>IF('Marks Entry'!I21="","",'Marks Entry'!I21)</f>
        <v/>
      </c>
      <c r="I21" s="94" t="str">
        <f>IF('Marks Entry'!J21="","",'Marks Entry'!J21)</f>
        <v/>
      </c>
      <c r="J21" s="95" t="str">
        <f>IF('Marks Entry'!K21="","",'Marks Entry'!K21)</f>
        <v/>
      </c>
      <c r="K21" s="68">
        <f>IF('Marks Entry'!L21="","",'Marks Entry'!L21)</f>
        <v>8</v>
      </c>
      <c r="L21" s="68">
        <f>IF('Marks Entry'!M21="","",'Marks Entry'!M21)</f>
        <v>9</v>
      </c>
      <c r="M21" s="68">
        <f>IF('Marks Entry'!N21="","",'Marks Entry'!N21)</f>
        <v>8</v>
      </c>
      <c r="N21" s="514">
        <f t="shared" si="83"/>
        <v>25</v>
      </c>
      <c r="O21" s="68">
        <f>IF('Marks Entry'!O21="","",'Marks Entry'!O21)</f>
        <v>46</v>
      </c>
      <c r="P21" s="515">
        <f t="shared" si="84"/>
        <v>71</v>
      </c>
      <c r="Q21" s="68">
        <f>IF('Marks Entry'!P21="","",'Marks Entry'!P21)</f>
        <v>25</v>
      </c>
      <c r="R21" s="96">
        <f t="shared" si="85"/>
        <v>96</v>
      </c>
      <c r="S21" s="65">
        <f t="shared" si="86"/>
        <v>0</v>
      </c>
      <c r="T21" s="65">
        <f t="shared" si="87"/>
        <v>0</v>
      </c>
      <c r="U21" s="66">
        <f t="shared" si="88"/>
        <v>200</v>
      </c>
      <c r="V21" s="65" t="str">
        <f t="shared" si="89"/>
        <v/>
      </c>
      <c r="W21" s="65" t="str">
        <f t="shared" si="90"/>
        <v>P</v>
      </c>
      <c r="X21" s="65" t="str">
        <f t="shared" si="91"/>
        <v>II</v>
      </c>
      <c r="Y21" s="68">
        <f>IF('Marks Entry'!Q21="","",'Marks Entry'!Q21)</f>
        <v>8</v>
      </c>
      <c r="Z21" s="68">
        <f>IF('Marks Entry'!R21="","",'Marks Entry'!R21)</f>
        <v>9</v>
      </c>
      <c r="AA21" s="68">
        <f>IF('Marks Entry'!S21="","",'Marks Entry'!S21)</f>
        <v>8</v>
      </c>
      <c r="AB21" s="514">
        <f t="shared" si="2"/>
        <v>25</v>
      </c>
      <c r="AC21" s="68">
        <f>IF('Marks Entry'!T21="","",'Marks Entry'!T21)</f>
        <v>60</v>
      </c>
      <c r="AD21" s="515">
        <f t="shared" si="3"/>
        <v>85</v>
      </c>
      <c r="AE21" s="68">
        <f>IF('Marks Entry'!U21="","",'Marks Entry'!U21)</f>
        <v>85</v>
      </c>
      <c r="AF21" s="96">
        <f t="shared" si="4"/>
        <v>170</v>
      </c>
      <c r="AG21" s="65">
        <f t="shared" si="5"/>
        <v>0</v>
      </c>
      <c r="AH21" s="65">
        <f t="shared" si="6"/>
        <v>0</v>
      </c>
      <c r="AI21" s="66">
        <f t="shared" si="7"/>
        <v>200</v>
      </c>
      <c r="AJ21" s="65" t="str">
        <f t="shared" si="8"/>
        <v/>
      </c>
      <c r="AK21" s="65" t="str">
        <f t="shared" si="9"/>
        <v>P</v>
      </c>
      <c r="AL21" s="65" t="str">
        <f t="shared" si="10"/>
        <v>D</v>
      </c>
      <c r="AM21" s="524" t="str">
        <f>IF('Marks Entry'!V21="","",IF('Marks Entry'!V21=1,'School Profile'!$I$9,IF('Marks Entry'!V21=2,'School Profile'!$I$10,IF('Marks Entry'!V21=3,'School Profile'!$I$11,IF('Marks Entry'!V21=4,'School Profile'!$I$12,IF('Marks Entry'!V21=5,'School Profile'!$I$13,IF('Marks Entry'!V21=6,'School Profile'!$I$14,"")))))))</f>
        <v xml:space="preserve">सिंधी (74) </v>
      </c>
      <c r="AN21" s="68">
        <f>IF('Marks Entry'!W21="","",'Marks Entry'!W21)</f>
        <v>8</v>
      </c>
      <c r="AO21" s="68">
        <f>IF('Marks Entry'!X21="","",'Marks Entry'!X21)</f>
        <v>9</v>
      </c>
      <c r="AP21" s="68">
        <f>IF('Marks Entry'!Y21="","",'Marks Entry'!Y21)</f>
        <v>8</v>
      </c>
      <c r="AQ21" s="514">
        <f t="shared" si="11"/>
        <v>25</v>
      </c>
      <c r="AR21" s="68">
        <f>IF('Marks Entry'!Z21="","",'Marks Entry'!Z21)</f>
        <v>46</v>
      </c>
      <c r="AS21" s="515">
        <f t="shared" si="12"/>
        <v>71</v>
      </c>
      <c r="AT21" s="68">
        <f>IF('Marks Entry'!AA21="","",'Marks Entry'!AA21)</f>
        <v>45</v>
      </c>
      <c r="AU21" s="96">
        <f t="shared" si="13"/>
        <v>116</v>
      </c>
      <c r="AV21" s="65">
        <f t="shared" si="14"/>
        <v>0</v>
      </c>
      <c r="AW21" s="65">
        <f t="shared" si="15"/>
        <v>0</v>
      </c>
      <c r="AX21" s="66">
        <f t="shared" si="16"/>
        <v>200</v>
      </c>
      <c r="AY21" s="65" t="str">
        <f t="shared" si="17"/>
        <v/>
      </c>
      <c r="AZ21" s="65" t="str">
        <f t="shared" si="18"/>
        <v>P</v>
      </c>
      <c r="BA21" s="65" t="str">
        <f t="shared" si="19"/>
        <v>II</v>
      </c>
      <c r="BB21" s="68">
        <f>IF('Marks Entry'!AB21="","",'Marks Entry'!AB21)</f>
        <v>8</v>
      </c>
      <c r="BC21" s="68">
        <f>IF('Marks Entry'!AC21="","",'Marks Entry'!AC21)</f>
        <v>9</v>
      </c>
      <c r="BD21" s="68">
        <f>IF('Marks Entry'!AD21="","",'Marks Entry'!AD21)</f>
        <v>8</v>
      </c>
      <c r="BE21" s="514">
        <f t="shared" si="20"/>
        <v>25</v>
      </c>
      <c r="BF21" s="68">
        <f>IF('Marks Entry'!AE21="","",'Marks Entry'!AE21)</f>
        <v>20</v>
      </c>
      <c r="BG21" s="515">
        <f t="shared" si="21"/>
        <v>45</v>
      </c>
      <c r="BH21" s="68">
        <f>IF('Marks Entry'!AF21="","",'Marks Entry'!AF21)</f>
        <v>30</v>
      </c>
      <c r="BI21" s="96">
        <f t="shared" si="22"/>
        <v>75</v>
      </c>
      <c r="BJ21" s="65">
        <f t="shared" si="23"/>
        <v>0</v>
      </c>
      <c r="BK21" s="65">
        <f t="shared" si="92"/>
        <v>0</v>
      </c>
      <c r="BL21" s="66">
        <f t="shared" si="24"/>
        <v>200</v>
      </c>
      <c r="BM21" s="65" t="str">
        <f t="shared" si="25"/>
        <v/>
      </c>
      <c r="BN21" s="65" t="str">
        <f t="shared" si="26"/>
        <v>P</v>
      </c>
      <c r="BO21" s="65" t="str">
        <f t="shared" si="27"/>
        <v>III</v>
      </c>
      <c r="BP21" s="68">
        <f>IF('Marks Entry'!AG21="","",'Marks Entry'!AG21)</f>
        <v>8</v>
      </c>
      <c r="BQ21" s="68">
        <f>IF('Marks Entry'!AH21="","",'Marks Entry'!AH21)</f>
        <v>9</v>
      </c>
      <c r="BR21" s="68">
        <f>IF('Marks Entry'!AI21="","",'Marks Entry'!AI21)</f>
        <v>7</v>
      </c>
      <c r="BS21" s="514">
        <f t="shared" si="28"/>
        <v>24</v>
      </c>
      <c r="BT21" s="68">
        <f>IF('Marks Entry'!AJ21="","",'Marks Entry'!AJ21)</f>
        <v>46</v>
      </c>
      <c r="BU21" s="515">
        <f t="shared" si="29"/>
        <v>70</v>
      </c>
      <c r="BV21" s="68">
        <f>IF('Marks Entry'!AK21="","",'Marks Entry'!AK21)</f>
        <v>45</v>
      </c>
      <c r="BW21" s="96">
        <f t="shared" si="30"/>
        <v>115</v>
      </c>
      <c r="BX21" s="65">
        <f t="shared" si="31"/>
        <v>0</v>
      </c>
      <c r="BY21" s="65">
        <f t="shared" si="32"/>
        <v>0</v>
      </c>
      <c r="BZ21" s="66">
        <f t="shared" si="33"/>
        <v>200</v>
      </c>
      <c r="CA21" s="65" t="str">
        <f t="shared" si="34"/>
        <v/>
      </c>
      <c r="CB21" s="65" t="str">
        <f t="shared" si="35"/>
        <v>P</v>
      </c>
      <c r="CC21" s="65" t="str">
        <f t="shared" si="36"/>
        <v>II</v>
      </c>
      <c r="CD21" s="66">
        <f t="shared" si="93"/>
        <v>0</v>
      </c>
      <c r="CE21" s="68">
        <f>IF('Marks Entry'!AL21="","",'Marks Entry'!AL21)</f>
        <v>8</v>
      </c>
      <c r="CF21" s="68">
        <f>IF('Marks Entry'!AM21="","",'Marks Entry'!AM21)</f>
        <v>8</v>
      </c>
      <c r="CG21" s="68">
        <f>IF('Marks Entry'!AN21="","",'Marks Entry'!AN21)</f>
        <v>8</v>
      </c>
      <c r="CH21" s="514">
        <f t="shared" si="37"/>
        <v>24</v>
      </c>
      <c r="CI21" s="68">
        <f>IF('Marks Entry'!AO21="","",'Marks Entry'!AO21)</f>
        <v>46</v>
      </c>
      <c r="CJ21" s="515">
        <f t="shared" si="38"/>
        <v>70</v>
      </c>
      <c r="CK21" s="68">
        <f>IF('Marks Entry'!AP21="","",'Marks Entry'!AP21)</f>
        <v>45</v>
      </c>
      <c r="CL21" s="96">
        <f t="shared" si="39"/>
        <v>115</v>
      </c>
      <c r="CM21" s="65">
        <f t="shared" si="40"/>
        <v>0</v>
      </c>
      <c r="CN21" s="65">
        <f t="shared" si="41"/>
        <v>0</v>
      </c>
      <c r="CO21" s="66">
        <f t="shared" si="42"/>
        <v>200</v>
      </c>
      <c r="CP21" s="65" t="str">
        <f t="shared" si="43"/>
        <v/>
      </c>
      <c r="CQ21" s="65" t="str">
        <f t="shared" si="44"/>
        <v>P</v>
      </c>
      <c r="CR21" s="65" t="str">
        <f t="shared" si="45"/>
        <v>II</v>
      </c>
      <c r="CS21" s="616" t="str">
        <f>IF('School Profile'!$D$20="NO","",IF('Marks Entry'!AQ21="","",IF('Marks Entry'!AQ21=1,'School Profile'!$I$29,IF('Marks Entry'!AQ21=2,'School Profile'!$I$30,IF('Marks Entry'!AQ21=3,'School Profile'!$I$31,IF('Marks Entry'!AQ21=4,'School Profile'!$I$32,IF('Marks Entry'!AQ21=5,'School Profile'!$I$33,IF('Marks Entry'!AQ21=6,'School Profile'!$I$34,IF('Marks Entry'!AQ21=7,'School Profile'!$I$35,IF('Marks Entry'!AQ21=8,'School Profile'!$I$36,IF('Marks Entry'!AQ21=9,'School Profile'!$I$37,IF('Marks Entry'!AQ21=10,'School Profile'!$I$38,IF('Marks Entry'!AQ21=11,'School Profile'!$I$39,"")))))))))))))</f>
        <v/>
      </c>
      <c r="CT21" s="68" t="str">
        <f>IF('School Profile'!$D$20="NO","",IF('Marks Entry'!AR21="","",'Marks Entry'!AR21))</f>
        <v/>
      </c>
      <c r="CU21" s="68" t="str">
        <f>IF('School Profile'!$D$20="NO","",IF('Marks Entry'!AS21="","",'Marks Entry'!AS21))</f>
        <v/>
      </c>
      <c r="CV21" s="68" t="str">
        <f>IF('School Profile'!$D$20="NO","",IF('Marks Entry'!AT21="","",'Marks Entry'!AT21))</f>
        <v/>
      </c>
      <c r="CW21" s="514" t="str">
        <f>IF('School Profile'!$D$20="NO","",IF(AND(CT21="",CU21="",CV21=""),"",SUM(CT21:CV21)))</f>
        <v/>
      </c>
      <c r="CX21" s="68" t="str">
        <f>IF('School Profile'!$D$20="NO","",IF('Marks Entry'!AU21="","",'Marks Entry'!AU21))</f>
        <v/>
      </c>
      <c r="CY21" s="68" t="str">
        <f>IF('School Profile'!$D$20="NO","",IF('Marks Entry'!AV21="","",'Marks Entry'!AV21))</f>
        <v/>
      </c>
      <c r="CZ21" s="515" t="str">
        <f>IF('School Profile'!$D$20="NO","",IF(AND(CX21="",CY21=""),"",SUM(CX21,CY21)))</f>
        <v/>
      </c>
      <c r="DA21" s="69" t="str">
        <f>IF('School Profile'!$D$20="NO","",IF(AND(CW21="",CZ21=""),"",SUM(CW21+CZ21)))</f>
        <v/>
      </c>
      <c r="DB21" s="68" t="str">
        <f>IF('School Profile'!$D$20="NO","",IF('Marks Entry'!AW21="","",'Marks Entry'!AW21))</f>
        <v/>
      </c>
      <c r="DC21" s="68" t="str">
        <f>IF('School Profile'!$D$20="NO","",IF('Marks Entry'!AX21="","",'Marks Entry'!AX21))</f>
        <v/>
      </c>
      <c r="DD21" s="515" t="str">
        <f>IF('School Profile'!$D$20="NO","",IF(AND(DB21="",DC21=""),"",SUM(DB21,DC21)))</f>
        <v/>
      </c>
      <c r="DE21" s="96" t="str">
        <f>IF('School Profile'!$D$20="NO","",IF(AND(DA21="",DD21=""),"",SUM(DA21,DD21)))</f>
        <v/>
      </c>
      <c r="DF21" s="532">
        <f t="shared" si="46"/>
        <v>0</v>
      </c>
      <c r="DG21" s="65">
        <f t="shared" si="47"/>
        <v>0</v>
      </c>
      <c r="DH21" s="66" t="str">
        <f t="shared" si="48"/>
        <v/>
      </c>
      <c r="DI21" s="65" t="str">
        <f t="shared" si="49"/>
        <v/>
      </c>
      <c r="DJ21" s="65" t="str">
        <f t="shared" si="50"/>
        <v/>
      </c>
      <c r="DK21" s="65" t="str">
        <f t="shared" si="51"/>
        <v/>
      </c>
      <c r="DL21" s="97" t="str">
        <f t="shared" si="94"/>
        <v>II</v>
      </c>
      <c r="DM21" s="97" t="str">
        <f t="shared" si="95"/>
        <v>D</v>
      </c>
      <c r="DN21" s="97" t="str">
        <f t="shared" si="96"/>
        <v>II</v>
      </c>
      <c r="DO21" s="97" t="str">
        <f t="shared" si="97"/>
        <v>III</v>
      </c>
      <c r="DP21" s="97" t="str">
        <f t="shared" si="98"/>
        <v>II</v>
      </c>
      <c r="DQ21" s="97" t="str">
        <f t="shared" si="99"/>
        <v>II</v>
      </c>
      <c r="DR21" s="97" t="str">
        <f t="shared" si="100"/>
        <v/>
      </c>
      <c r="DS21" s="98">
        <f t="shared" si="101"/>
        <v>0</v>
      </c>
      <c r="DT21" s="98">
        <f t="shared" si="102"/>
        <v>0</v>
      </c>
      <c r="DU21" s="98">
        <f t="shared" si="103"/>
        <v>0</v>
      </c>
      <c r="DV21" s="98">
        <f t="shared" si="104"/>
        <v>0</v>
      </c>
      <c r="DW21" s="98">
        <f t="shared" si="105"/>
        <v>0</v>
      </c>
      <c r="DX21" s="98" t="str">
        <f t="shared" si="106"/>
        <v/>
      </c>
      <c r="DY21" s="99" t="str">
        <f t="shared" si="107"/>
        <v>PASS</v>
      </c>
      <c r="DZ21" s="74">
        <f>IF('Marks Entry'!AY21="","",'Marks Entry'!AY21)</f>
        <v>9</v>
      </c>
      <c r="EA21" s="74">
        <f>IF('Marks Entry'!AZ21="","",'Marks Entry'!AZ21)</f>
        <v>9</v>
      </c>
      <c r="EB21" s="74">
        <f>IF('Marks Entry'!BA21="","",'Marks Entry'!BA21)</f>
        <v>9</v>
      </c>
      <c r="EC21" s="527">
        <f t="shared" si="52"/>
        <v>27</v>
      </c>
      <c r="ED21" s="74">
        <f>IF('Marks Entry'!BB21="","",'Marks Entry'!BB21)</f>
        <v>66</v>
      </c>
      <c r="EE21" s="528">
        <f t="shared" si="53"/>
        <v>93</v>
      </c>
      <c r="EF21" s="74">
        <f>IF('Marks Entry'!BC21="","",'Marks Entry'!BC21)</f>
        <v>91</v>
      </c>
      <c r="EG21" s="530">
        <f t="shared" si="54"/>
        <v>184</v>
      </c>
      <c r="EH21" s="368" t="str">
        <f t="shared" si="108"/>
        <v>A</v>
      </c>
      <c r="EI21" s="65">
        <f t="shared" si="109"/>
        <v>0</v>
      </c>
      <c r="EJ21" s="65">
        <f t="shared" si="110"/>
        <v>0</v>
      </c>
      <c r="EK21" s="66">
        <f t="shared" si="111"/>
        <v>200</v>
      </c>
      <c r="EL21" s="74">
        <f>IF('Marks Entry'!BD21="","",'Marks Entry'!BD21)</f>
        <v>8</v>
      </c>
      <c r="EM21" s="74">
        <f>IF('Marks Entry'!BE21="","",'Marks Entry'!BE21)</f>
        <v>8</v>
      </c>
      <c r="EN21" s="74">
        <f>IF('Marks Entry'!BF21="","",'Marks Entry'!BF21)</f>
        <v>8</v>
      </c>
      <c r="EO21" s="527">
        <f t="shared" si="55"/>
        <v>24</v>
      </c>
      <c r="EP21" s="74">
        <f>IF('Marks Entry'!BG21="","",'Marks Entry'!BG21)</f>
        <v>36</v>
      </c>
      <c r="EQ21" s="74">
        <f>IF('Marks Entry'!BH21="","",'Marks Entry'!BH21)</f>
        <v>20</v>
      </c>
      <c r="ER21" s="528">
        <f t="shared" si="56"/>
        <v>56</v>
      </c>
      <c r="ES21" s="529">
        <f t="shared" si="57"/>
        <v>80</v>
      </c>
      <c r="ET21" s="74">
        <f>IF('Marks Entry'!BI21="","",'Marks Entry'!BI21)</f>
        <v>57</v>
      </c>
      <c r="EU21" s="74">
        <f>IF('Marks Entry'!BJ21="","",'Marks Entry'!BJ21)</f>
        <v>27</v>
      </c>
      <c r="EV21" s="528">
        <f t="shared" si="58"/>
        <v>84</v>
      </c>
      <c r="EW21" s="530">
        <f t="shared" si="59"/>
        <v>164</v>
      </c>
      <c r="EX21" s="368" t="str">
        <f t="shared" si="112"/>
        <v>A</v>
      </c>
      <c r="EY21" s="65">
        <f t="shared" si="113"/>
        <v>0</v>
      </c>
      <c r="EZ21" s="65">
        <f t="shared" si="114"/>
        <v>0</v>
      </c>
      <c r="FA21" s="66">
        <f t="shared" si="115"/>
        <v>200</v>
      </c>
      <c r="FB21" s="74">
        <f>IF('Marks Entry'!BK21="","",'Marks Entry'!BK21)</f>
        <v>9</v>
      </c>
      <c r="FC21" s="74">
        <f>IF('Marks Entry'!BL21="","",'Marks Entry'!BL21)</f>
        <v>7</v>
      </c>
      <c r="FD21" s="74">
        <f>IF('Marks Entry'!BM21="","",'Marks Entry'!BM21)</f>
        <v>9</v>
      </c>
      <c r="FE21" s="74">
        <f>IF('Marks Entry'!BN21="","",'Marks Entry'!BN21)</f>
        <v>6</v>
      </c>
      <c r="FF21" s="74">
        <f>IF('Marks Entry'!BO21="","",'Marks Entry'!BO21)</f>
        <v>9</v>
      </c>
      <c r="FG21" s="74">
        <f>IF('Marks Entry'!BP21="","",'Marks Entry'!BP21)</f>
        <v>14</v>
      </c>
      <c r="FH21" s="527">
        <f t="shared" si="60"/>
        <v>54</v>
      </c>
      <c r="FI21" s="74">
        <f>IF('Marks Entry'!BQ21="","",'Marks Entry'!BQ21)</f>
        <v>21</v>
      </c>
      <c r="FJ21" s="74">
        <f>IF('Marks Entry'!BR21="","",'Marks Entry'!BR21)</f>
        <v>10</v>
      </c>
      <c r="FK21" s="528">
        <f t="shared" si="61"/>
        <v>31</v>
      </c>
      <c r="FL21" s="529">
        <f t="shared" si="62"/>
        <v>85</v>
      </c>
      <c r="FM21" s="74">
        <f>IF('Marks Entry'!BS21="","",'Marks Entry'!BS21)</f>
        <v>25</v>
      </c>
      <c r="FN21" s="74">
        <f>IF('Marks Entry'!BT21="","",'Marks Entry'!BT21)</f>
        <v>28</v>
      </c>
      <c r="FO21" s="528">
        <f t="shared" si="63"/>
        <v>53</v>
      </c>
      <c r="FP21" s="530">
        <f t="shared" si="64"/>
        <v>138</v>
      </c>
      <c r="FQ21" s="368" t="str">
        <f t="shared" si="116"/>
        <v>B</v>
      </c>
      <c r="FR21" s="65">
        <f t="shared" si="117"/>
        <v>0</v>
      </c>
      <c r="FS21" s="65">
        <f t="shared" si="118"/>
        <v>0</v>
      </c>
      <c r="FT21" s="66">
        <f t="shared" si="119"/>
        <v>200</v>
      </c>
      <c r="FU21" s="74">
        <f>IF('Marks Entry'!BU21="","",'Marks Entry'!BU21)</f>
        <v>20</v>
      </c>
      <c r="FV21" s="74">
        <f>IF('Marks Entry'!BV21="","",'Marks Entry'!BV21)</f>
        <v>40</v>
      </c>
      <c r="FW21" s="74">
        <f>IF('Marks Entry'!BW21="","",'Marks Entry'!BW21)</f>
        <v>20</v>
      </c>
      <c r="FX21" s="75">
        <f t="shared" si="65"/>
        <v>80</v>
      </c>
      <c r="FY21" s="368" t="str">
        <f t="shared" si="120"/>
        <v>B</v>
      </c>
      <c r="FZ21" s="65">
        <f t="shared" si="121"/>
        <v>0</v>
      </c>
      <c r="GA21" s="66">
        <f t="shared" si="122"/>
        <v>0</v>
      </c>
      <c r="GB21" s="66">
        <f t="shared" si="123"/>
        <v>100</v>
      </c>
      <c r="GC21" s="74">
        <f>IF('Marks Entry'!BX21="","",'Marks Entry'!BX21)</f>
        <v>20</v>
      </c>
      <c r="GD21" s="74">
        <f>IF('Marks Entry'!BY21="","",'Marks Entry'!BY21)</f>
        <v>38</v>
      </c>
      <c r="GE21" s="74">
        <f>IF('Marks Entry'!BZ21="","",'Marks Entry'!BZ21)</f>
        <v>10</v>
      </c>
      <c r="GF21" s="75">
        <f t="shared" si="124"/>
        <v>68</v>
      </c>
      <c r="GG21" s="368" t="str">
        <f t="shared" si="125"/>
        <v>B</v>
      </c>
      <c r="GH21" s="65">
        <f t="shared" si="126"/>
        <v>0</v>
      </c>
      <c r="GI21" s="66">
        <f t="shared" si="127"/>
        <v>0</v>
      </c>
      <c r="GJ21" s="66">
        <f t="shared" si="128"/>
        <v>100</v>
      </c>
      <c r="GK21" s="100" t="str">
        <f>IF(AND(F21="",B21=""),"",IF('Student DATA Entry'!M18="","",'Student DATA Entry'!M18))</f>
        <v/>
      </c>
      <c r="GL21" s="101" t="str">
        <f>IF(AND(B21="",F21=""),"",IF('Student DATA Entry'!N18="","",'Student DATA Entry'!N18))</f>
        <v/>
      </c>
      <c r="GM21" s="581" t="str">
        <f t="shared" si="129"/>
        <v/>
      </c>
      <c r="GN21" s="94" t="str">
        <f t="shared" si="130"/>
        <v>II</v>
      </c>
      <c r="GO21" s="94" t="str">
        <f t="shared" si="131"/>
        <v/>
      </c>
      <c r="GP21" s="102" t="str">
        <f t="shared" si="67"/>
        <v/>
      </c>
      <c r="GQ21" s="94" t="str">
        <f t="shared" si="132"/>
        <v>D</v>
      </c>
      <c r="GR21" s="103" t="str">
        <f t="shared" si="133"/>
        <v/>
      </c>
      <c r="GS21" s="102" t="str">
        <f t="shared" si="68"/>
        <v/>
      </c>
      <c r="GT21" s="104" t="str">
        <f t="shared" si="134"/>
        <v>II</v>
      </c>
      <c r="GU21" s="94" t="str">
        <f>IF('Marks Entry'!V21=1,GT21,"")</f>
        <v/>
      </c>
      <c r="GV21" s="94" t="str">
        <f>IF('Marks Entry'!V21=2,GT21,"")</f>
        <v/>
      </c>
      <c r="GW21" s="94" t="str">
        <f>IF('Marks Entry'!V21=3,GT21,"")</f>
        <v/>
      </c>
      <c r="GX21" s="94" t="str">
        <f>IF('Marks Entry'!V21=4,GT21,"")</f>
        <v>II</v>
      </c>
      <c r="GY21" s="94" t="str">
        <f>IF('Marks Entry'!V21=5,GT21,"")</f>
        <v/>
      </c>
      <c r="GZ21" s="94" t="str">
        <f t="shared" si="135"/>
        <v/>
      </c>
      <c r="HA21" s="105" t="str">
        <f t="shared" si="69"/>
        <v/>
      </c>
      <c r="HB21" s="94" t="str">
        <f t="shared" si="136"/>
        <v>III</v>
      </c>
      <c r="HC21" s="94" t="str">
        <f t="shared" si="137"/>
        <v/>
      </c>
      <c r="HD21" s="105" t="str">
        <f t="shared" si="70"/>
        <v/>
      </c>
      <c r="HE21" s="94" t="str">
        <f t="shared" si="138"/>
        <v>II</v>
      </c>
      <c r="HF21" s="94" t="str">
        <f t="shared" si="139"/>
        <v/>
      </c>
      <c r="HG21" s="105" t="str">
        <f t="shared" si="71"/>
        <v/>
      </c>
      <c r="HH21" s="94" t="str">
        <f t="shared" si="140"/>
        <v>II</v>
      </c>
      <c r="HI21" s="94" t="str">
        <f t="shared" si="141"/>
        <v/>
      </c>
      <c r="HJ21" s="105" t="str">
        <f t="shared" si="72"/>
        <v/>
      </c>
      <c r="HK21" s="94" t="str">
        <f t="shared" si="142"/>
        <v/>
      </c>
      <c r="HL21" s="94" t="str">
        <f t="shared" si="143"/>
        <v/>
      </c>
      <c r="HM21" s="105" t="str">
        <f t="shared" si="73"/>
        <v/>
      </c>
      <c r="HN21" s="367" t="str">
        <f t="shared" si="144"/>
        <v xml:space="preserve">      </v>
      </c>
      <c r="HO21" s="418" t="str">
        <f t="shared" si="145"/>
        <v xml:space="preserve">      </v>
      </c>
      <c r="HP21" s="367" t="str">
        <f t="shared" si="146"/>
        <v xml:space="preserve">      </v>
      </c>
      <c r="HQ21" s="107" t="str">
        <f t="shared" si="147"/>
        <v xml:space="preserve">      </v>
      </c>
      <c r="HR21" s="366" t="str">
        <f t="shared" si="148"/>
        <v xml:space="preserve"> अंग्रेजी     </v>
      </c>
      <c r="HS21" s="544" t="str">
        <f t="shared" si="74"/>
        <v>PASS</v>
      </c>
      <c r="HT21" s="542">
        <f t="shared" si="149"/>
        <v>687</v>
      </c>
      <c r="HU21" s="541">
        <f t="shared" si="160"/>
        <v>57.25</v>
      </c>
      <c r="HV21" s="540" t="str">
        <f t="shared" si="150"/>
        <v>2nd</v>
      </c>
      <c r="HW21" s="537">
        <f t="shared" si="151"/>
        <v>57.25</v>
      </c>
      <c r="HX21" s="539">
        <f t="shared" si="152"/>
        <v>16.000000000000075</v>
      </c>
      <c r="HY21" s="553" t="str">
        <f>IFERROR(IF(OR(HS21="SUPPLEMENTARY",HS21="RE-EXAM"),'Supp. Result Entry'!AQ19,""),"")</f>
        <v/>
      </c>
      <c r="HZ21" s="538" t="str">
        <f t="shared" si="153"/>
        <v/>
      </c>
      <c r="IA21" s="415" t="str">
        <f t="shared" si="154"/>
        <v/>
      </c>
      <c r="IB21" s="415" t="str">
        <f>IF(AND(HZ21="",IA21=""),"",IF(OR(HS21="SUPPLEMENTARY",HS21="RE-EXAM"),'Supp. Result Entry'!AQ19,HS21))</f>
        <v/>
      </c>
      <c r="IC21" s="87"/>
      <c r="IS21" s="109" t="str">
        <f>IF('Supp. Result Entry'!T19="","",'Supp. Result Entry'!$T$4)</f>
        <v/>
      </c>
      <c r="IT21" s="110" t="str">
        <f>IF('Supp. Result Entry'!W19="","",'Supp. Result Entry'!$W$4)</f>
        <v/>
      </c>
      <c r="IU21" s="110" t="str">
        <f>IF('Supp. Result Entry'!Z19="","",'Supp. Result Entry'!$Z$4)</f>
        <v/>
      </c>
      <c r="IV21" s="110" t="str">
        <f>IF('Supp. Result Entry'!AC19="","",'Supp. Result Entry'!$AC$4)</f>
        <v/>
      </c>
      <c r="IW21" s="110" t="str">
        <f>IF('Supp. Result Entry'!AF19="","",'Supp. Result Entry'!$AF$4)</f>
        <v/>
      </c>
      <c r="IX21" s="110" t="str">
        <f>IF('Supp. Result Entry'!AI19="","",'Supp. Result Entry'!$AI$4)</f>
        <v/>
      </c>
      <c r="IY21" s="110" t="str">
        <f>IF('Supp. Result Entry'!AI19="","",'Supp. Result Entry'!$AL$4)</f>
        <v/>
      </c>
      <c r="IZ21" s="110" t="str">
        <f>IF('Supp. Result Entry'!U19="","",'Supp. Result Entry'!U19)</f>
        <v/>
      </c>
      <c r="JA21" s="110" t="str">
        <f>IF('Supp. Result Entry'!X19="","",'Supp. Result Entry'!X19)</f>
        <v/>
      </c>
      <c r="JB21" s="110" t="str">
        <f>IF('Supp. Result Entry'!AA19="","",'Supp. Result Entry'!AA19)</f>
        <v/>
      </c>
      <c r="JC21" s="110" t="str">
        <f>IF('Supp. Result Entry'!AD19="","",'Supp. Result Entry'!AD19)</f>
        <v/>
      </c>
      <c r="JD21" s="110" t="str">
        <f>IF('Supp. Result Entry'!AG19="","",'Supp. Result Entry'!AG19)</f>
        <v/>
      </c>
      <c r="JE21" s="110" t="str">
        <f>IF('Supp. Result Entry'!AJ19="","",'Supp. Result Entry'!AJ19)</f>
        <v/>
      </c>
      <c r="JF21" s="110" t="str">
        <f>IF('Supp. Result Entry'!AM19="","",'Supp. Result Entry'!AM19)</f>
        <v/>
      </c>
      <c r="JG21" s="110" t="str">
        <f>IF('Supp. Result Entry'!V19="","",'Supp. Result Entry'!V19)</f>
        <v/>
      </c>
      <c r="JH21" s="110" t="str">
        <f>IF('Supp. Result Entry'!Y19="","",'Supp. Result Entry'!Y19)</f>
        <v/>
      </c>
      <c r="JI21" s="110" t="str">
        <f>IF('Supp. Result Entry'!AB19="","",'Supp. Result Entry'!AB19)</f>
        <v/>
      </c>
      <c r="JJ21" s="110" t="str">
        <f>IF('Supp. Result Entry'!AE19="","",'Supp. Result Entry'!AE19)</f>
        <v/>
      </c>
      <c r="JK21" s="110" t="str">
        <f>IF('Supp. Result Entry'!AH19="","",'Supp. Result Entry'!AH19)</f>
        <v/>
      </c>
      <c r="JL21" s="110" t="str">
        <f>IF('Supp. Result Entry'!AK19="","",'Supp. Result Entry'!AK19)</f>
        <v/>
      </c>
      <c r="JM21" s="110" t="str">
        <f>IF('Supp. Result Entry'!AN19="","",'Supp. Result Entry'!AN19)</f>
        <v/>
      </c>
      <c r="JN21" s="110">
        <f>COUNTIF('Supp. Result Entry'!K19:Q19,"S")</f>
        <v>0</v>
      </c>
      <c r="JO21" s="110">
        <f t="shared" si="155"/>
        <v>0</v>
      </c>
      <c r="JP21" s="110">
        <f t="shared" si="156"/>
        <v>0</v>
      </c>
      <c r="JQ21" s="110" t="str">
        <f t="shared" si="75"/>
        <v/>
      </c>
      <c r="JR21" s="110" t="str">
        <f t="shared" si="76"/>
        <v/>
      </c>
      <c r="JS21" s="110" t="str">
        <f t="shared" si="77"/>
        <v/>
      </c>
      <c r="JT21" s="110" t="str">
        <f t="shared" si="78"/>
        <v/>
      </c>
      <c r="JU21" s="110" t="str">
        <f t="shared" si="79"/>
        <v/>
      </c>
      <c r="JV21" s="110" t="str">
        <f t="shared" si="80"/>
        <v/>
      </c>
      <c r="JW21" s="110" t="str">
        <f t="shared" si="81"/>
        <v/>
      </c>
      <c r="JX21" s="110" t="str">
        <f t="shared" si="157"/>
        <v/>
      </c>
      <c r="JY21" s="110" t="str">
        <f t="shared" si="158"/>
        <v/>
      </c>
      <c r="JZ21" s="110" t="str">
        <f t="shared" si="82"/>
        <v/>
      </c>
      <c r="KA21" s="108" t="str">
        <f t="shared" si="159"/>
        <v/>
      </c>
    </row>
    <row r="22" spans="1:287" s="108" customFormat="1" ht="21.95" customHeight="1">
      <c r="A22" s="89">
        <v>16</v>
      </c>
      <c r="B22" s="90">
        <f>IF('Marks Entry'!B22="","",'Marks Entry'!B22)</f>
        <v>916</v>
      </c>
      <c r="C22" s="94" t="str">
        <f>IF('Marks Entry'!D22="","",'Marks Entry'!D22)</f>
        <v>A</v>
      </c>
      <c r="D22" s="91" t="str">
        <f>IF('Marks Entry'!E22="","",'Marks Entry'!E22)</f>
        <v/>
      </c>
      <c r="E22" s="92" t="str">
        <f>IF('Marks Entry'!F22="","",'Marks Entry'!F22)</f>
        <v/>
      </c>
      <c r="F22" s="93" t="str">
        <f>IF('Marks Entry'!G22="","",'Marks Entry'!G22)</f>
        <v>KARIM</v>
      </c>
      <c r="G22" s="93" t="str">
        <f>IF('Marks Entry'!H22="","",'Marks Entry'!H22)</f>
        <v/>
      </c>
      <c r="H22" s="93" t="str">
        <f>IF('Marks Entry'!I22="","",'Marks Entry'!I22)</f>
        <v/>
      </c>
      <c r="I22" s="94" t="str">
        <f>IF('Marks Entry'!J22="","",'Marks Entry'!J22)</f>
        <v/>
      </c>
      <c r="J22" s="95" t="str">
        <f>IF('Marks Entry'!K22="","",'Marks Entry'!K22)</f>
        <v/>
      </c>
      <c r="K22" s="68">
        <f>IF('Marks Entry'!L22="","",'Marks Entry'!L22)</f>
        <v>8</v>
      </c>
      <c r="L22" s="68">
        <f>IF('Marks Entry'!M22="","",'Marks Entry'!M22)</f>
        <v>9</v>
      </c>
      <c r="M22" s="68">
        <f>IF('Marks Entry'!N22="","",'Marks Entry'!N22)</f>
        <v>8</v>
      </c>
      <c r="N22" s="514">
        <f t="shared" si="83"/>
        <v>25</v>
      </c>
      <c r="O22" s="68">
        <f>IF('Marks Entry'!O22="","",'Marks Entry'!O22)</f>
        <v>46</v>
      </c>
      <c r="P22" s="515">
        <f t="shared" si="84"/>
        <v>71</v>
      </c>
      <c r="Q22" s="68">
        <f>IF('Marks Entry'!P22="","",'Marks Entry'!P22)</f>
        <v>65</v>
      </c>
      <c r="R22" s="96">
        <f t="shared" si="85"/>
        <v>136</v>
      </c>
      <c r="S22" s="65">
        <f t="shared" si="86"/>
        <v>0</v>
      </c>
      <c r="T22" s="65">
        <f t="shared" si="87"/>
        <v>0</v>
      </c>
      <c r="U22" s="66">
        <f t="shared" si="88"/>
        <v>200</v>
      </c>
      <c r="V22" s="65" t="str">
        <f t="shared" si="89"/>
        <v/>
      </c>
      <c r="W22" s="65" t="str">
        <f t="shared" si="90"/>
        <v>P</v>
      </c>
      <c r="X22" s="65" t="str">
        <f t="shared" si="91"/>
        <v>I</v>
      </c>
      <c r="Y22" s="68">
        <f>IF('Marks Entry'!Q22="","",'Marks Entry'!Q22)</f>
        <v>8</v>
      </c>
      <c r="Z22" s="68">
        <f>IF('Marks Entry'!R22="","",'Marks Entry'!R22)</f>
        <v>9</v>
      </c>
      <c r="AA22" s="68">
        <f>IF('Marks Entry'!S22="","",'Marks Entry'!S22)</f>
        <v>8</v>
      </c>
      <c r="AB22" s="514">
        <f t="shared" si="2"/>
        <v>25</v>
      </c>
      <c r="AC22" s="68">
        <f>IF('Marks Entry'!T22="","",'Marks Entry'!T22)</f>
        <v>60</v>
      </c>
      <c r="AD22" s="515">
        <f t="shared" si="3"/>
        <v>85</v>
      </c>
      <c r="AE22" s="68">
        <f>IF('Marks Entry'!U22="","",'Marks Entry'!U22)</f>
        <v>85</v>
      </c>
      <c r="AF22" s="96">
        <f t="shared" si="4"/>
        <v>170</v>
      </c>
      <c r="AG22" s="65">
        <f t="shared" si="5"/>
        <v>0</v>
      </c>
      <c r="AH22" s="65">
        <f t="shared" si="6"/>
        <v>0</v>
      </c>
      <c r="AI22" s="66">
        <f t="shared" si="7"/>
        <v>200</v>
      </c>
      <c r="AJ22" s="65" t="str">
        <f t="shared" si="8"/>
        <v/>
      </c>
      <c r="AK22" s="65" t="str">
        <f t="shared" si="9"/>
        <v>P</v>
      </c>
      <c r="AL22" s="65" t="str">
        <f t="shared" si="10"/>
        <v>D</v>
      </c>
      <c r="AM22" s="524" t="str">
        <f>IF('Marks Entry'!V22="","",IF('Marks Entry'!V22=1,'School Profile'!$I$9,IF('Marks Entry'!V22=2,'School Profile'!$I$10,IF('Marks Entry'!V22=3,'School Profile'!$I$11,IF('Marks Entry'!V22=4,'School Profile'!$I$12,IF('Marks Entry'!V22=5,'School Profile'!$I$13,IF('Marks Entry'!V22=6,'School Profile'!$I$14,"")))))))</f>
        <v>पंजाबी (75)</v>
      </c>
      <c r="AN22" s="68">
        <f>IF('Marks Entry'!W22="","",'Marks Entry'!W22)</f>
        <v>8</v>
      </c>
      <c r="AO22" s="68">
        <f>IF('Marks Entry'!X22="","",'Marks Entry'!X22)</f>
        <v>9</v>
      </c>
      <c r="AP22" s="68">
        <f>IF('Marks Entry'!Y22="","",'Marks Entry'!Y22)</f>
        <v>8</v>
      </c>
      <c r="AQ22" s="514">
        <f t="shared" si="11"/>
        <v>25</v>
      </c>
      <c r="AR22" s="68">
        <f>IF('Marks Entry'!Z22="","",'Marks Entry'!Z22)</f>
        <v>46</v>
      </c>
      <c r="AS22" s="515">
        <f t="shared" si="12"/>
        <v>71</v>
      </c>
      <c r="AT22" s="68">
        <f>IF('Marks Entry'!AA22="","",'Marks Entry'!AA22)</f>
        <v>45</v>
      </c>
      <c r="AU22" s="96">
        <f t="shared" si="13"/>
        <v>116</v>
      </c>
      <c r="AV22" s="65">
        <f t="shared" si="14"/>
        <v>0</v>
      </c>
      <c r="AW22" s="65">
        <f t="shared" si="15"/>
        <v>0</v>
      </c>
      <c r="AX22" s="66">
        <f t="shared" si="16"/>
        <v>200</v>
      </c>
      <c r="AY22" s="65" t="str">
        <f t="shared" si="17"/>
        <v/>
      </c>
      <c r="AZ22" s="65" t="str">
        <f t="shared" si="18"/>
        <v>P</v>
      </c>
      <c r="BA22" s="65" t="str">
        <f t="shared" si="19"/>
        <v>II</v>
      </c>
      <c r="BB22" s="68">
        <f>IF('Marks Entry'!AB22="","",'Marks Entry'!AB22)</f>
        <v>8</v>
      </c>
      <c r="BC22" s="68">
        <f>IF('Marks Entry'!AC22="","",'Marks Entry'!AC22)</f>
        <v>9</v>
      </c>
      <c r="BD22" s="68">
        <f>IF('Marks Entry'!AD22="","",'Marks Entry'!AD22)</f>
        <v>8</v>
      </c>
      <c r="BE22" s="514">
        <f t="shared" si="20"/>
        <v>25</v>
      </c>
      <c r="BF22" s="68">
        <f>IF('Marks Entry'!AE22="","",'Marks Entry'!AE22)</f>
        <v>46</v>
      </c>
      <c r="BG22" s="515">
        <f t="shared" si="21"/>
        <v>71</v>
      </c>
      <c r="BH22" s="68">
        <f>IF('Marks Entry'!AF22="","",'Marks Entry'!AF22)</f>
        <v>45</v>
      </c>
      <c r="BI22" s="96">
        <f t="shared" si="22"/>
        <v>116</v>
      </c>
      <c r="BJ22" s="65">
        <f t="shared" si="23"/>
        <v>0</v>
      </c>
      <c r="BK22" s="65">
        <f t="shared" si="92"/>
        <v>0</v>
      </c>
      <c r="BL22" s="66">
        <f t="shared" si="24"/>
        <v>200</v>
      </c>
      <c r="BM22" s="65" t="str">
        <f t="shared" si="25"/>
        <v/>
      </c>
      <c r="BN22" s="65" t="str">
        <f t="shared" si="26"/>
        <v>P</v>
      </c>
      <c r="BO22" s="65" t="str">
        <f t="shared" si="27"/>
        <v>II</v>
      </c>
      <c r="BP22" s="68">
        <f>IF('Marks Entry'!AG22="","",'Marks Entry'!AG22)</f>
        <v>8</v>
      </c>
      <c r="BQ22" s="68">
        <f>IF('Marks Entry'!AH22="","",'Marks Entry'!AH22)</f>
        <v>9</v>
      </c>
      <c r="BR22" s="68">
        <f>IF('Marks Entry'!AI22="","",'Marks Entry'!AI22)</f>
        <v>7</v>
      </c>
      <c r="BS22" s="514">
        <f t="shared" si="28"/>
        <v>24</v>
      </c>
      <c r="BT22" s="68">
        <f>IF('Marks Entry'!AJ22="","",'Marks Entry'!AJ22)</f>
        <v>46</v>
      </c>
      <c r="BU22" s="515">
        <f t="shared" si="29"/>
        <v>70</v>
      </c>
      <c r="BV22" s="68">
        <f>IF('Marks Entry'!AK22="","",'Marks Entry'!AK22)</f>
        <v>45</v>
      </c>
      <c r="BW22" s="96">
        <f t="shared" si="30"/>
        <v>115</v>
      </c>
      <c r="BX22" s="65">
        <f t="shared" si="31"/>
        <v>0</v>
      </c>
      <c r="BY22" s="65">
        <f t="shared" si="32"/>
        <v>0</v>
      </c>
      <c r="BZ22" s="66">
        <f t="shared" si="33"/>
        <v>200</v>
      </c>
      <c r="CA22" s="65" t="str">
        <f t="shared" si="34"/>
        <v/>
      </c>
      <c r="CB22" s="65" t="str">
        <f t="shared" si="35"/>
        <v>P</v>
      </c>
      <c r="CC22" s="65" t="str">
        <f t="shared" si="36"/>
        <v>II</v>
      </c>
      <c r="CD22" s="66">
        <f t="shared" si="93"/>
        <v>0</v>
      </c>
      <c r="CE22" s="68">
        <f>IF('Marks Entry'!AL22="","",'Marks Entry'!AL22)</f>
        <v>8</v>
      </c>
      <c r="CF22" s="68">
        <f>IF('Marks Entry'!AM22="","",'Marks Entry'!AM22)</f>
        <v>8</v>
      </c>
      <c r="CG22" s="68">
        <f>IF('Marks Entry'!AN22="","",'Marks Entry'!AN22)</f>
        <v>8</v>
      </c>
      <c r="CH22" s="514">
        <f t="shared" si="37"/>
        <v>24</v>
      </c>
      <c r="CI22" s="68">
        <f>IF('Marks Entry'!AO22="","",'Marks Entry'!AO22)</f>
        <v>46</v>
      </c>
      <c r="CJ22" s="515">
        <f t="shared" si="38"/>
        <v>70</v>
      </c>
      <c r="CK22" s="68">
        <f>IF('Marks Entry'!AP22="","",'Marks Entry'!AP22)</f>
        <v>45</v>
      </c>
      <c r="CL22" s="96">
        <f t="shared" si="39"/>
        <v>115</v>
      </c>
      <c r="CM22" s="65">
        <f t="shared" si="40"/>
        <v>0</v>
      </c>
      <c r="CN22" s="65">
        <f t="shared" si="41"/>
        <v>0</v>
      </c>
      <c r="CO22" s="66">
        <f t="shared" si="42"/>
        <v>200</v>
      </c>
      <c r="CP22" s="65" t="str">
        <f t="shared" si="43"/>
        <v/>
      </c>
      <c r="CQ22" s="65" t="str">
        <f t="shared" si="44"/>
        <v>P</v>
      </c>
      <c r="CR22" s="65" t="str">
        <f t="shared" si="45"/>
        <v>II</v>
      </c>
      <c r="CS22" s="616" t="str">
        <f>IF('School Profile'!$D$20="NO","",IF('Marks Entry'!AQ22="","",IF('Marks Entry'!AQ22=1,'School Profile'!$I$29,IF('Marks Entry'!AQ22=2,'School Profile'!$I$30,IF('Marks Entry'!AQ22=3,'School Profile'!$I$31,IF('Marks Entry'!AQ22=4,'School Profile'!$I$32,IF('Marks Entry'!AQ22=5,'School Profile'!$I$33,IF('Marks Entry'!AQ22=6,'School Profile'!$I$34,IF('Marks Entry'!AQ22=7,'School Profile'!$I$35,IF('Marks Entry'!AQ22=8,'School Profile'!$I$36,IF('Marks Entry'!AQ22=9,'School Profile'!$I$37,IF('Marks Entry'!AQ22=10,'School Profile'!$I$38,IF('Marks Entry'!AQ22=11,'School Profile'!$I$39,"")))))))))))))</f>
        <v/>
      </c>
      <c r="CT22" s="68" t="str">
        <f>IF('School Profile'!$D$20="NO","",IF('Marks Entry'!AR22="","",'Marks Entry'!AR22))</f>
        <v/>
      </c>
      <c r="CU22" s="68" t="str">
        <f>IF('School Profile'!$D$20="NO","",IF('Marks Entry'!AS22="","",'Marks Entry'!AS22))</f>
        <v/>
      </c>
      <c r="CV22" s="68" t="str">
        <f>IF('School Profile'!$D$20="NO","",IF('Marks Entry'!AT22="","",'Marks Entry'!AT22))</f>
        <v/>
      </c>
      <c r="CW22" s="514" t="str">
        <f>IF('School Profile'!$D$20="NO","",IF(AND(CT22="",CU22="",CV22=""),"",SUM(CT22:CV22)))</f>
        <v/>
      </c>
      <c r="CX22" s="68" t="str">
        <f>IF('School Profile'!$D$20="NO","",IF('Marks Entry'!AU22="","",'Marks Entry'!AU22))</f>
        <v/>
      </c>
      <c r="CY22" s="68" t="str">
        <f>IF('School Profile'!$D$20="NO","",IF('Marks Entry'!AV22="","",'Marks Entry'!AV22))</f>
        <v/>
      </c>
      <c r="CZ22" s="515" t="str">
        <f>IF('School Profile'!$D$20="NO","",IF(AND(CX22="",CY22=""),"",SUM(CX22,CY22)))</f>
        <v/>
      </c>
      <c r="DA22" s="69" t="str">
        <f>IF('School Profile'!$D$20="NO","",IF(AND(CW22="",CZ22=""),"",SUM(CW22+CZ22)))</f>
        <v/>
      </c>
      <c r="DB22" s="68" t="str">
        <f>IF('School Profile'!$D$20="NO","",IF('Marks Entry'!AW22="","",'Marks Entry'!AW22))</f>
        <v/>
      </c>
      <c r="DC22" s="68" t="str">
        <f>IF('School Profile'!$D$20="NO","",IF('Marks Entry'!AX22="","",'Marks Entry'!AX22))</f>
        <v/>
      </c>
      <c r="DD22" s="515" t="str">
        <f>IF('School Profile'!$D$20="NO","",IF(AND(DB22="",DC22=""),"",SUM(DB22,DC22)))</f>
        <v/>
      </c>
      <c r="DE22" s="96" t="str">
        <f>IF('School Profile'!$D$20="NO","",IF(AND(DA22="",DD22=""),"",SUM(DA22,DD22)))</f>
        <v/>
      </c>
      <c r="DF22" s="532">
        <f t="shared" si="46"/>
        <v>0</v>
      </c>
      <c r="DG22" s="65">
        <f t="shared" si="47"/>
        <v>0</v>
      </c>
      <c r="DH22" s="66" t="str">
        <f t="shared" si="48"/>
        <v/>
      </c>
      <c r="DI22" s="65" t="str">
        <f t="shared" si="49"/>
        <v/>
      </c>
      <c r="DJ22" s="65" t="str">
        <f t="shared" si="50"/>
        <v/>
      </c>
      <c r="DK22" s="65" t="str">
        <f t="shared" si="51"/>
        <v/>
      </c>
      <c r="DL22" s="97" t="str">
        <f t="shared" si="94"/>
        <v>I</v>
      </c>
      <c r="DM22" s="97" t="str">
        <f t="shared" si="95"/>
        <v>D</v>
      </c>
      <c r="DN22" s="97" t="str">
        <f t="shared" si="96"/>
        <v>II</v>
      </c>
      <c r="DO22" s="97" t="str">
        <f t="shared" si="97"/>
        <v>II</v>
      </c>
      <c r="DP22" s="97" t="str">
        <f t="shared" si="98"/>
        <v>II</v>
      </c>
      <c r="DQ22" s="97" t="str">
        <f t="shared" si="99"/>
        <v>II</v>
      </c>
      <c r="DR22" s="97" t="str">
        <f t="shared" si="100"/>
        <v/>
      </c>
      <c r="DS22" s="98">
        <f t="shared" si="101"/>
        <v>0</v>
      </c>
      <c r="DT22" s="98">
        <f t="shared" si="102"/>
        <v>0</v>
      </c>
      <c r="DU22" s="98">
        <f t="shared" si="103"/>
        <v>0</v>
      </c>
      <c r="DV22" s="98">
        <f t="shared" si="104"/>
        <v>0</v>
      </c>
      <c r="DW22" s="98">
        <f t="shared" si="105"/>
        <v>0</v>
      </c>
      <c r="DX22" s="98" t="str">
        <f t="shared" si="106"/>
        <v/>
      </c>
      <c r="DY22" s="99" t="str">
        <f t="shared" si="107"/>
        <v>PASS</v>
      </c>
      <c r="DZ22" s="74" t="str">
        <f>IF('Marks Entry'!AY22="","",'Marks Entry'!AY22)</f>
        <v/>
      </c>
      <c r="EA22" s="74" t="str">
        <f>IF('Marks Entry'!AZ22="","",'Marks Entry'!AZ22)</f>
        <v/>
      </c>
      <c r="EB22" s="74" t="str">
        <f>IF('Marks Entry'!BA22="","",'Marks Entry'!BA22)</f>
        <v/>
      </c>
      <c r="EC22" s="527" t="str">
        <f t="shared" si="52"/>
        <v/>
      </c>
      <c r="ED22" s="74" t="str">
        <f>IF('Marks Entry'!BB22="","",'Marks Entry'!BB22)</f>
        <v/>
      </c>
      <c r="EE22" s="528" t="str">
        <f t="shared" si="53"/>
        <v/>
      </c>
      <c r="EF22" s="74" t="str">
        <f>IF('Marks Entry'!BC22="","",'Marks Entry'!BC22)</f>
        <v/>
      </c>
      <c r="EG22" s="530" t="str">
        <f t="shared" si="54"/>
        <v/>
      </c>
      <c r="EH22" s="368" t="str">
        <f t="shared" si="108"/>
        <v/>
      </c>
      <c r="EI22" s="65">
        <f t="shared" si="109"/>
        <v>0</v>
      </c>
      <c r="EJ22" s="65">
        <f t="shared" si="110"/>
        <v>0</v>
      </c>
      <c r="EK22" s="66" t="str">
        <f t="shared" si="111"/>
        <v/>
      </c>
      <c r="EL22" s="74" t="str">
        <f>IF('Marks Entry'!BD22="","",'Marks Entry'!BD22)</f>
        <v/>
      </c>
      <c r="EM22" s="74" t="str">
        <f>IF('Marks Entry'!BE22="","",'Marks Entry'!BE22)</f>
        <v/>
      </c>
      <c r="EN22" s="74" t="str">
        <f>IF('Marks Entry'!BF22="","",'Marks Entry'!BF22)</f>
        <v/>
      </c>
      <c r="EO22" s="527" t="str">
        <f t="shared" si="55"/>
        <v/>
      </c>
      <c r="EP22" s="74" t="str">
        <f>IF('Marks Entry'!BG22="","",'Marks Entry'!BG22)</f>
        <v/>
      </c>
      <c r="EQ22" s="74" t="str">
        <f>IF('Marks Entry'!BH22="","",'Marks Entry'!BH22)</f>
        <v/>
      </c>
      <c r="ER22" s="528" t="str">
        <f t="shared" si="56"/>
        <v/>
      </c>
      <c r="ES22" s="529" t="str">
        <f t="shared" si="57"/>
        <v/>
      </c>
      <c r="ET22" s="74" t="str">
        <f>IF('Marks Entry'!BI22="","",'Marks Entry'!BI22)</f>
        <v/>
      </c>
      <c r="EU22" s="74" t="str">
        <f>IF('Marks Entry'!BJ22="","",'Marks Entry'!BJ22)</f>
        <v/>
      </c>
      <c r="EV22" s="528" t="str">
        <f t="shared" si="58"/>
        <v/>
      </c>
      <c r="EW22" s="530" t="str">
        <f t="shared" si="59"/>
        <v/>
      </c>
      <c r="EX22" s="368" t="str">
        <f t="shared" si="112"/>
        <v/>
      </c>
      <c r="EY22" s="65">
        <f t="shared" si="113"/>
        <v>0</v>
      </c>
      <c r="EZ22" s="65">
        <f t="shared" si="114"/>
        <v>0</v>
      </c>
      <c r="FA22" s="66" t="str">
        <f t="shared" si="115"/>
        <v/>
      </c>
      <c r="FB22" s="74" t="str">
        <f>IF('Marks Entry'!BK22="","",'Marks Entry'!BK22)</f>
        <v/>
      </c>
      <c r="FC22" s="74" t="str">
        <f>IF('Marks Entry'!BL22="","",'Marks Entry'!BL22)</f>
        <v/>
      </c>
      <c r="FD22" s="74" t="str">
        <f>IF('Marks Entry'!BM22="","",'Marks Entry'!BM22)</f>
        <v/>
      </c>
      <c r="FE22" s="74" t="str">
        <f>IF('Marks Entry'!BN22="","",'Marks Entry'!BN22)</f>
        <v/>
      </c>
      <c r="FF22" s="74" t="str">
        <f>IF('Marks Entry'!BO22="","",'Marks Entry'!BO22)</f>
        <v/>
      </c>
      <c r="FG22" s="74" t="str">
        <f>IF('Marks Entry'!BP22="","",'Marks Entry'!BP22)</f>
        <v/>
      </c>
      <c r="FH22" s="527" t="str">
        <f t="shared" si="60"/>
        <v/>
      </c>
      <c r="FI22" s="74" t="str">
        <f>IF('Marks Entry'!BQ22="","",'Marks Entry'!BQ22)</f>
        <v/>
      </c>
      <c r="FJ22" s="74" t="str">
        <f>IF('Marks Entry'!BR22="","",'Marks Entry'!BR22)</f>
        <v/>
      </c>
      <c r="FK22" s="528" t="str">
        <f t="shared" si="61"/>
        <v/>
      </c>
      <c r="FL22" s="529" t="str">
        <f t="shared" si="62"/>
        <v/>
      </c>
      <c r="FM22" s="74" t="str">
        <f>IF('Marks Entry'!BS22="","",'Marks Entry'!BS22)</f>
        <v/>
      </c>
      <c r="FN22" s="74" t="str">
        <f>IF('Marks Entry'!BT22="","",'Marks Entry'!BT22)</f>
        <v/>
      </c>
      <c r="FO22" s="528" t="str">
        <f t="shared" si="63"/>
        <v/>
      </c>
      <c r="FP22" s="530" t="str">
        <f t="shared" si="64"/>
        <v/>
      </c>
      <c r="FQ22" s="368" t="str">
        <f t="shared" si="116"/>
        <v/>
      </c>
      <c r="FR22" s="65">
        <f t="shared" si="117"/>
        <v>0</v>
      </c>
      <c r="FS22" s="65">
        <f t="shared" si="118"/>
        <v>0</v>
      </c>
      <c r="FT22" s="66" t="str">
        <f t="shared" si="119"/>
        <v/>
      </c>
      <c r="FU22" s="74" t="str">
        <f>IF('Marks Entry'!BU22="","",'Marks Entry'!BU22)</f>
        <v/>
      </c>
      <c r="FV22" s="74" t="str">
        <f>IF('Marks Entry'!BV22="","",'Marks Entry'!BV22)</f>
        <v/>
      </c>
      <c r="FW22" s="74" t="str">
        <f>IF('Marks Entry'!BW22="","",'Marks Entry'!BW22)</f>
        <v/>
      </c>
      <c r="FX22" s="75" t="str">
        <f t="shared" si="65"/>
        <v/>
      </c>
      <c r="FY22" s="368" t="str">
        <f t="shared" si="120"/>
        <v/>
      </c>
      <c r="FZ22" s="65">
        <f t="shared" si="121"/>
        <v>0</v>
      </c>
      <c r="GA22" s="66">
        <f t="shared" si="122"/>
        <v>0</v>
      </c>
      <c r="GB22" s="66" t="str">
        <f t="shared" si="123"/>
        <v/>
      </c>
      <c r="GC22" s="74" t="str">
        <f>IF('Marks Entry'!BX22="","",'Marks Entry'!BX22)</f>
        <v/>
      </c>
      <c r="GD22" s="74" t="str">
        <f>IF('Marks Entry'!BY22="","",'Marks Entry'!BY22)</f>
        <v/>
      </c>
      <c r="GE22" s="74" t="str">
        <f>IF('Marks Entry'!BZ22="","",'Marks Entry'!BZ22)</f>
        <v/>
      </c>
      <c r="GF22" s="75" t="str">
        <f t="shared" si="124"/>
        <v/>
      </c>
      <c r="GG22" s="368" t="str">
        <f t="shared" si="125"/>
        <v/>
      </c>
      <c r="GH22" s="65">
        <f t="shared" si="126"/>
        <v>0</v>
      </c>
      <c r="GI22" s="66">
        <f t="shared" si="127"/>
        <v>0</v>
      </c>
      <c r="GJ22" s="66" t="str">
        <f t="shared" si="128"/>
        <v/>
      </c>
      <c r="GK22" s="100" t="str">
        <f>IF(AND(F22="",B22=""),"",IF('Student DATA Entry'!M19="","",'Student DATA Entry'!M19))</f>
        <v/>
      </c>
      <c r="GL22" s="101" t="str">
        <f>IF(AND(B22="",F22=""),"",IF('Student DATA Entry'!N19="","",'Student DATA Entry'!N19))</f>
        <v/>
      </c>
      <c r="GM22" s="581" t="str">
        <f t="shared" si="129"/>
        <v/>
      </c>
      <c r="GN22" s="94" t="str">
        <f t="shared" si="130"/>
        <v>I</v>
      </c>
      <c r="GO22" s="94" t="str">
        <f t="shared" si="131"/>
        <v/>
      </c>
      <c r="GP22" s="102" t="str">
        <f t="shared" si="67"/>
        <v/>
      </c>
      <c r="GQ22" s="94" t="str">
        <f t="shared" si="132"/>
        <v>D</v>
      </c>
      <c r="GR22" s="103" t="str">
        <f t="shared" si="133"/>
        <v/>
      </c>
      <c r="GS22" s="102" t="str">
        <f t="shared" si="68"/>
        <v/>
      </c>
      <c r="GT22" s="104" t="str">
        <f t="shared" si="134"/>
        <v>II</v>
      </c>
      <c r="GU22" s="94" t="str">
        <f>IF('Marks Entry'!V22=1,GT22,"")</f>
        <v/>
      </c>
      <c r="GV22" s="94" t="str">
        <f>IF('Marks Entry'!V22=2,GT22,"")</f>
        <v/>
      </c>
      <c r="GW22" s="94" t="str">
        <f>IF('Marks Entry'!V22=3,GT22,"")</f>
        <v/>
      </c>
      <c r="GX22" s="94" t="str">
        <f>IF('Marks Entry'!V22=4,GT22,"")</f>
        <v/>
      </c>
      <c r="GY22" s="94" t="str">
        <f>IF('Marks Entry'!V22=5,GT22,"")</f>
        <v>II</v>
      </c>
      <c r="GZ22" s="94" t="str">
        <f t="shared" si="135"/>
        <v/>
      </c>
      <c r="HA22" s="105" t="str">
        <f t="shared" si="69"/>
        <v/>
      </c>
      <c r="HB22" s="94" t="str">
        <f t="shared" si="136"/>
        <v>II</v>
      </c>
      <c r="HC22" s="94" t="str">
        <f t="shared" si="137"/>
        <v/>
      </c>
      <c r="HD22" s="105" t="str">
        <f t="shared" si="70"/>
        <v/>
      </c>
      <c r="HE22" s="94" t="str">
        <f t="shared" si="138"/>
        <v>II</v>
      </c>
      <c r="HF22" s="94" t="str">
        <f t="shared" si="139"/>
        <v/>
      </c>
      <c r="HG22" s="105" t="str">
        <f t="shared" si="71"/>
        <v/>
      </c>
      <c r="HH22" s="94" t="str">
        <f t="shared" si="140"/>
        <v>II</v>
      </c>
      <c r="HI22" s="94" t="str">
        <f t="shared" si="141"/>
        <v/>
      </c>
      <c r="HJ22" s="105" t="str">
        <f t="shared" si="72"/>
        <v/>
      </c>
      <c r="HK22" s="94" t="str">
        <f t="shared" si="142"/>
        <v/>
      </c>
      <c r="HL22" s="94" t="str">
        <f t="shared" si="143"/>
        <v/>
      </c>
      <c r="HM22" s="105" t="str">
        <f t="shared" si="73"/>
        <v/>
      </c>
      <c r="HN22" s="367" t="str">
        <f t="shared" si="144"/>
        <v xml:space="preserve">      </v>
      </c>
      <c r="HO22" s="418" t="str">
        <f t="shared" si="145"/>
        <v xml:space="preserve">      </v>
      </c>
      <c r="HP22" s="367" t="str">
        <f t="shared" si="146"/>
        <v xml:space="preserve">      </v>
      </c>
      <c r="HQ22" s="107" t="str">
        <f t="shared" si="147"/>
        <v xml:space="preserve">      </v>
      </c>
      <c r="HR22" s="366" t="str">
        <f t="shared" si="148"/>
        <v xml:space="preserve"> अंग्रेजी     </v>
      </c>
      <c r="HS22" s="544" t="str">
        <f t="shared" si="74"/>
        <v>PASS</v>
      </c>
      <c r="HT22" s="542">
        <f t="shared" si="149"/>
        <v>768</v>
      </c>
      <c r="HU22" s="541">
        <f t="shared" si="160"/>
        <v>64</v>
      </c>
      <c r="HV22" s="540" t="str">
        <f t="shared" si="150"/>
        <v>1st</v>
      </c>
      <c r="HW22" s="537">
        <f t="shared" si="151"/>
        <v>64</v>
      </c>
      <c r="HX22" s="539">
        <f t="shared" si="152"/>
        <v>6.9999999999999263</v>
      </c>
      <c r="HY22" s="553" t="str">
        <f>IFERROR(IF(OR(HS22="SUPPLEMENTARY",HS22="RE-EXAM"),'Supp. Result Entry'!AQ20,""),"")</f>
        <v/>
      </c>
      <c r="HZ22" s="538" t="str">
        <f t="shared" si="153"/>
        <v/>
      </c>
      <c r="IA22" s="415" t="str">
        <f t="shared" si="154"/>
        <v/>
      </c>
      <c r="IB22" s="415" t="str">
        <f>IF(AND(HZ22="",IA22=""),"",IF(OR(HS22="SUPPLEMENTARY",HS22="RE-EXAM"),'Supp. Result Entry'!AQ20,HS22))</f>
        <v/>
      </c>
      <c r="IC22" s="87"/>
      <c r="IS22" s="109" t="str">
        <f>IF('Supp. Result Entry'!T20="","",'Supp. Result Entry'!$T$4)</f>
        <v/>
      </c>
      <c r="IT22" s="110" t="str">
        <f>IF('Supp. Result Entry'!W20="","",'Supp. Result Entry'!$W$4)</f>
        <v/>
      </c>
      <c r="IU22" s="110" t="str">
        <f>IF('Supp. Result Entry'!Z20="","",'Supp. Result Entry'!$Z$4)</f>
        <v/>
      </c>
      <c r="IV22" s="110" t="str">
        <f>IF('Supp. Result Entry'!AC20="","",'Supp. Result Entry'!$AC$4)</f>
        <v/>
      </c>
      <c r="IW22" s="110" t="str">
        <f>IF('Supp. Result Entry'!AF20="","",'Supp. Result Entry'!$AF$4)</f>
        <v/>
      </c>
      <c r="IX22" s="110" t="str">
        <f>IF('Supp. Result Entry'!AI20="","",'Supp. Result Entry'!$AI$4)</f>
        <v/>
      </c>
      <c r="IY22" s="110" t="str">
        <f>IF('Supp. Result Entry'!AI20="","",'Supp. Result Entry'!$AL$4)</f>
        <v/>
      </c>
      <c r="IZ22" s="110" t="str">
        <f>IF('Supp. Result Entry'!U20="","",'Supp. Result Entry'!U20)</f>
        <v/>
      </c>
      <c r="JA22" s="110" t="str">
        <f>IF('Supp. Result Entry'!X20="","",'Supp. Result Entry'!X20)</f>
        <v/>
      </c>
      <c r="JB22" s="110" t="str">
        <f>IF('Supp. Result Entry'!AA20="","",'Supp. Result Entry'!AA20)</f>
        <v/>
      </c>
      <c r="JC22" s="110" t="str">
        <f>IF('Supp. Result Entry'!AD20="","",'Supp. Result Entry'!AD20)</f>
        <v/>
      </c>
      <c r="JD22" s="110" t="str">
        <f>IF('Supp. Result Entry'!AG20="","",'Supp. Result Entry'!AG20)</f>
        <v/>
      </c>
      <c r="JE22" s="110" t="str">
        <f>IF('Supp. Result Entry'!AJ20="","",'Supp. Result Entry'!AJ20)</f>
        <v/>
      </c>
      <c r="JF22" s="110" t="str">
        <f>IF('Supp. Result Entry'!AM20="","",'Supp. Result Entry'!AM20)</f>
        <v/>
      </c>
      <c r="JG22" s="110" t="str">
        <f>IF('Supp. Result Entry'!V20="","",'Supp. Result Entry'!V20)</f>
        <v/>
      </c>
      <c r="JH22" s="110" t="str">
        <f>IF('Supp. Result Entry'!Y20="","",'Supp. Result Entry'!Y20)</f>
        <v/>
      </c>
      <c r="JI22" s="110" t="str">
        <f>IF('Supp. Result Entry'!AB20="","",'Supp. Result Entry'!AB20)</f>
        <v/>
      </c>
      <c r="JJ22" s="110" t="str">
        <f>IF('Supp. Result Entry'!AE20="","",'Supp. Result Entry'!AE20)</f>
        <v/>
      </c>
      <c r="JK22" s="110" t="str">
        <f>IF('Supp. Result Entry'!AH20="","",'Supp. Result Entry'!AH20)</f>
        <v/>
      </c>
      <c r="JL22" s="110" t="str">
        <f>IF('Supp. Result Entry'!AK20="","",'Supp. Result Entry'!AK20)</f>
        <v/>
      </c>
      <c r="JM22" s="110" t="str">
        <f>IF('Supp. Result Entry'!AN20="","",'Supp. Result Entry'!AN20)</f>
        <v/>
      </c>
      <c r="JN22" s="110">
        <f>COUNTIF('Supp. Result Entry'!K20:Q20,"S")</f>
        <v>0</v>
      </c>
      <c r="JO22" s="110">
        <f t="shared" si="155"/>
        <v>0</v>
      </c>
      <c r="JP22" s="110">
        <f t="shared" si="156"/>
        <v>0</v>
      </c>
      <c r="JQ22" s="110" t="str">
        <f t="shared" si="75"/>
        <v/>
      </c>
      <c r="JR22" s="110" t="str">
        <f t="shared" si="76"/>
        <v/>
      </c>
      <c r="JS22" s="110" t="str">
        <f t="shared" si="77"/>
        <v/>
      </c>
      <c r="JT22" s="110" t="str">
        <f t="shared" si="78"/>
        <v/>
      </c>
      <c r="JU22" s="110" t="str">
        <f t="shared" si="79"/>
        <v/>
      </c>
      <c r="JV22" s="110" t="str">
        <f t="shared" si="80"/>
        <v/>
      </c>
      <c r="JW22" s="110" t="str">
        <f t="shared" si="81"/>
        <v/>
      </c>
      <c r="JX22" s="110" t="str">
        <f t="shared" si="157"/>
        <v/>
      </c>
      <c r="JY22" s="110" t="str">
        <f t="shared" si="158"/>
        <v/>
      </c>
      <c r="JZ22" s="110" t="str">
        <f t="shared" si="82"/>
        <v/>
      </c>
      <c r="KA22" s="108" t="str">
        <f t="shared" si="159"/>
        <v/>
      </c>
    </row>
    <row r="23" spans="1:287" s="108" customFormat="1" ht="21.95" customHeight="1">
      <c r="A23" s="89">
        <v>17</v>
      </c>
      <c r="B23" s="90">
        <f>IF('Marks Entry'!B23="","",'Marks Entry'!B23)</f>
        <v>917</v>
      </c>
      <c r="C23" s="94" t="str">
        <f>IF('Marks Entry'!D23="","",'Marks Entry'!D23)</f>
        <v>A</v>
      </c>
      <c r="D23" s="91" t="str">
        <f>IF('Marks Entry'!E23="","",'Marks Entry'!E23)</f>
        <v/>
      </c>
      <c r="E23" s="92" t="str">
        <f>IF('Marks Entry'!F23="","",'Marks Entry'!F23)</f>
        <v/>
      </c>
      <c r="F23" s="93" t="str">
        <f>IF('Marks Entry'!G23="","",'Marks Entry'!G23)</f>
        <v>FATIMA</v>
      </c>
      <c r="G23" s="93" t="str">
        <f>IF('Marks Entry'!H23="","",'Marks Entry'!H23)</f>
        <v/>
      </c>
      <c r="H23" s="93" t="str">
        <f>IF('Marks Entry'!I23="","",'Marks Entry'!I23)</f>
        <v/>
      </c>
      <c r="I23" s="94" t="str">
        <f>IF('Marks Entry'!J23="","",'Marks Entry'!J23)</f>
        <v/>
      </c>
      <c r="J23" s="95" t="str">
        <f>IF('Marks Entry'!K23="","",'Marks Entry'!K23)</f>
        <v/>
      </c>
      <c r="K23" s="68">
        <f>IF('Marks Entry'!L23="","",'Marks Entry'!L23)</f>
        <v>8</v>
      </c>
      <c r="L23" s="68">
        <f>IF('Marks Entry'!M23="","",'Marks Entry'!M23)</f>
        <v>9</v>
      </c>
      <c r="M23" s="68">
        <f>IF('Marks Entry'!N23="","",'Marks Entry'!N23)</f>
        <v>8</v>
      </c>
      <c r="N23" s="514">
        <f t="shared" si="83"/>
        <v>25</v>
      </c>
      <c r="O23" s="68">
        <f>IF('Marks Entry'!O23="","",'Marks Entry'!O23)</f>
        <v>46</v>
      </c>
      <c r="P23" s="515">
        <f t="shared" si="84"/>
        <v>71</v>
      </c>
      <c r="Q23" s="68">
        <f>IF('Marks Entry'!P23="","",'Marks Entry'!P23)</f>
        <v>65</v>
      </c>
      <c r="R23" s="96">
        <f t="shared" si="85"/>
        <v>136</v>
      </c>
      <c r="S23" s="65">
        <f t="shared" si="86"/>
        <v>0</v>
      </c>
      <c r="T23" s="65">
        <f t="shared" si="87"/>
        <v>0</v>
      </c>
      <c r="U23" s="66">
        <f t="shared" si="88"/>
        <v>200</v>
      </c>
      <c r="V23" s="65" t="str">
        <f t="shared" si="89"/>
        <v/>
      </c>
      <c r="W23" s="65" t="str">
        <f t="shared" si="90"/>
        <v>P</v>
      </c>
      <c r="X23" s="65" t="str">
        <f t="shared" si="91"/>
        <v>I</v>
      </c>
      <c r="Y23" s="68">
        <f>IF('Marks Entry'!Q23="","",'Marks Entry'!Q23)</f>
        <v>8</v>
      </c>
      <c r="Z23" s="68">
        <f>IF('Marks Entry'!R23="","",'Marks Entry'!R23)</f>
        <v>9</v>
      </c>
      <c r="AA23" s="68">
        <f>IF('Marks Entry'!S23="","",'Marks Entry'!S23)</f>
        <v>8</v>
      </c>
      <c r="AB23" s="514">
        <f t="shared" si="2"/>
        <v>25</v>
      </c>
      <c r="AC23" s="68">
        <f>IF('Marks Entry'!T23="","",'Marks Entry'!T23)</f>
        <v>60</v>
      </c>
      <c r="AD23" s="515">
        <f t="shared" si="3"/>
        <v>85</v>
      </c>
      <c r="AE23" s="68">
        <f>IF('Marks Entry'!U23="","",'Marks Entry'!U23)</f>
        <v>85</v>
      </c>
      <c r="AF23" s="96">
        <f t="shared" si="4"/>
        <v>170</v>
      </c>
      <c r="AG23" s="65">
        <f t="shared" si="5"/>
        <v>0</v>
      </c>
      <c r="AH23" s="65">
        <f t="shared" si="6"/>
        <v>0</v>
      </c>
      <c r="AI23" s="66">
        <f t="shared" si="7"/>
        <v>200</v>
      </c>
      <c r="AJ23" s="65" t="str">
        <f t="shared" si="8"/>
        <v/>
      </c>
      <c r="AK23" s="65" t="str">
        <f t="shared" si="9"/>
        <v>P</v>
      </c>
      <c r="AL23" s="65" t="str">
        <f t="shared" si="10"/>
        <v>D</v>
      </c>
      <c r="AM23" s="524" t="str">
        <f>IF('Marks Entry'!V23="","",IF('Marks Entry'!V23=1,'School Profile'!$I$9,IF('Marks Entry'!V23=2,'School Profile'!$I$10,IF('Marks Entry'!V23=3,'School Profile'!$I$11,IF('Marks Entry'!V23=4,'School Profile'!$I$12,IF('Marks Entry'!V23=5,'School Profile'!$I$13,IF('Marks Entry'!V23=6,'School Profile'!$I$14,"")))))))</f>
        <v>पंजाबी (75)</v>
      </c>
      <c r="AN23" s="68">
        <f>IF('Marks Entry'!W23="","",'Marks Entry'!W23)</f>
        <v>8</v>
      </c>
      <c r="AO23" s="68">
        <f>IF('Marks Entry'!X23="","",'Marks Entry'!X23)</f>
        <v>9</v>
      </c>
      <c r="AP23" s="68">
        <f>IF('Marks Entry'!Y23="","",'Marks Entry'!Y23)</f>
        <v>9</v>
      </c>
      <c r="AQ23" s="514">
        <f t="shared" si="11"/>
        <v>26</v>
      </c>
      <c r="AR23" s="68">
        <f>IF('Marks Entry'!Z23="","",'Marks Entry'!Z23)</f>
        <v>46</v>
      </c>
      <c r="AS23" s="515">
        <f t="shared" si="12"/>
        <v>72</v>
      </c>
      <c r="AT23" s="68">
        <f>IF('Marks Entry'!AA23="","",'Marks Entry'!AA23)</f>
        <v>45</v>
      </c>
      <c r="AU23" s="96">
        <f t="shared" si="13"/>
        <v>117</v>
      </c>
      <c r="AV23" s="65">
        <f t="shared" si="14"/>
        <v>0</v>
      </c>
      <c r="AW23" s="65">
        <f t="shared" si="15"/>
        <v>0</v>
      </c>
      <c r="AX23" s="66">
        <f t="shared" si="16"/>
        <v>200</v>
      </c>
      <c r="AY23" s="65" t="str">
        <f t="shared" si="17"/>
        <v/>
      </c>
      <c r="AZ23" s="65" t="str">
        <f t="shared" si="18"/>
        <v>P</v>
      </c>
      <c r="BA23" s="65" t="str">
        <f t="shared" si="19"/>
        <v>II</v>
      </c>
      <c r="BB23" s="68">
        <f>IF('Marks Entry'!AB23="","",'Marks Entry'!AB23)</f>
        <v>8</v>
      </c>
      <c r="BC23" s="68">
        <f>IF('Marks Entry'!AC23="","",'Marks Entry'!AC23)</f>
        <v>9</v>
      </c>
      <c r="BD23" s="68">
        <f>IF('Marks Entry'!AD23="","",'Marks Entry'!AD23)</f>
        <v>8</v>
      </c>
      <c r="BE23" s="514">
        <f t="shared" si="20"/>
        <v>25</v>
      </c>
      <c r="BF23" s="68">
        <f>IF('Marks Entry'!AE23="","",'Marks Entry'!AE23)</f>
        <v>46</v>
      </c>
      <c r="BG23" s="515">
        <f t="shared" si="21"/>
        <v>71</v>
      </c>
      <c r="BH23" s="68">
        <f>IF('Marks Entry'!AF23="","",'Marks Entry'!AF23)</f>
        <v>45</v>
      </c>
      <c r="BI23" s="96">
        <f t="shared" si="22"/>
        <v>116</v>
      </c>
      <c r="BJ23" s="65">
        <f t="shared" si="23"/>
        <v>0</v>
      </c>
      <c r="BK23" s="65">
        <f t="shared" si="92"/>
        <v>0</v>
      </c>
      <c r="BL23" s="66">
        <f t="shared" si="24"/>
        <v>200</v>
      </c>
      <c r="BM23" s="65" t="str">
        <f t="shared" si="25"/>
        <v/>
      </c>
      <c r="BN23" s="65" t="str">
        <f t="shared" si="26"/>
        <v>P</v>
      </c>
      <c r="BO23" s="65" t="str">
        <f t="shared" si="27"/>
        <v>II</v>
      </c>
      <c r="BP23" s="68">
        <f>IF('Marks Entry'!AG23="","",'Marks Entry'!AG23)</f>
        <v>8</v>
      </c>
      <c r="BQ23" s="68">
        <f>IF('Marks Entry'!AH23="","",'Marks Entry'!AH23)</f>
        <v>9</v>
      </c>
      <c r="BR23" s="68">
        <f>IF('Marks Entry'!AI23="","",'Marks Entry'!AI23)</f>
        <v>7</v>
      </c>
      <c r="BS23" s="514">
        <f t="shared" si="28"/>
        <v>24</v>
      </c>
      <c r="BT23" s="68">
        <f>IF('Marks Entry'!AJ23="","",'Marks Entry'!AJ23)</f>
        <v>46</v>
      </c>
      <c r="BU23" s="515">
        <f t="shared" si="29"/>
        <v>70</v>
      </c>
      <c r="BV23" s="68">
        <f>IF('Marks Entry'!AK23="","",'Marks Entry'!AK23)</f>
        <v>45</v>
      </c>
      <c r="BW23" s="96">
        <f t="shared" si="30"/>
        <v>115</v>
      </c>
      <c r="BX23" s="65">
        <f t="shared" si="31"/>
        <v>0</v>
      </c>
      <c r="BY23" s="65">
        <f t="shared" si="32"/>
        <v>0</v>
      </c>
      <c r="BZ23" s="66">
        <f t="shared" si="33"/>
        <v>200</v>
      </c>
      <c r="CA23" s="65" t="str">
        <f t="shared" si="34"/>
        <v/>
      </c>
      <c r="CB23" s="65" t="str">
        <f t="shared" si="35"/>
        <v>P</v>
      </c>
      <c r="CC23" s="65" t="str">
        <f t="shared" si="36"/>
        <v>II</v>
      </c>
      <c r="CD23" s="66">
        <f t="shared" si="93"/>
        <v>0</v>
      </c>
      <c r="CE23" s="68">
        <f>IF('Marks Entry'!AL23="","",'Marks Entry'!AL23)</f>
        <v>8</v>
      </c>
      <c r="CF23" s="68">
        <f>IF('Marks Entry'!AM23="","",'Marks Entry'!AM23)</f>
        <v>8</v>
      </c>
      <c r="CG23" s="68">
        <f>IF('Marks Entry'!AN23="","",'Marks Entry'!AN23)</f>
        <v>8</v>
      </c>
      <c r="CH23" s="514">
        <f t="shared" si="37"/>
        <v>24</v>
      </c>
      <c r="CI23" s="68">
        <f>IF('Marks Entry'!AO23="","",'Marks Entry'!AO23)</f>
        <v>46</v>
      </c>
      <c r="CJ23" s="515">
        <f t="shared" si="38"/>
        <v>70</v>
      </c>
      <c r="CK23" s="68">
        <f>IF('Marks Entry'!AP23="","",'Marks Entry'!AP23)</f>
        <v>45</v>
      </c>
      <c r="CL23" s="96">
        <f t="shared" si="39"/>
        <v>115</v>
      </c>
      <c r="CM23" s="65">
        <f t="shared" si="40"/>
        <v>0</v>
      </c>
      <c r="CN23" s="65">
        <f t="shared" si="41"/>
        <v>0</v>
      </c>
      <c r="CO23" s="66">
        <f t="shared" si="42"/>
        <v>200</v>
      </c>
      <c r="CP23" s="65" t="str">
        <f t="shared" si="43"/>
        <v/>
      </c>
      <c r="CQ23" s="65" t="str">
        <f t="shared" si="44"/>
        <v>P</v>
      </c>
      <c r="CR23" s="65" t="str">
        <f t="shared" si="45"/>
        <v>II</v>
      </c>
      <c r="CS23" s="616" t="str">
        <f>IF('School Profile'!$D$20="NO","",IF('Marks Entry'!AQ23="","",IF('Marks Entry'!AQ23=1,'School Profile'!$I$29,IF('Marks Entry'!AQ23=2,'School Profile'!$I$30,IF('Marks Entry'!AQ23=3,'School Profile'!$I$31,IF('Marks Entry'!AQ23=4,'School Profile'!$I$32,IF('Marks Entry'!AQ23=5,'School Profile'!$I$33,IF('Marks Entry'!AQ23=6,'School Profile'!$I$34,IF('Marks Entry'!AQ23=7,'School Profile'!$I$35,IF('Marks Entry'!AQ23=8,'School Profile'!$I$36,IF('Marks Entry'!AQ23=9,'School Profile'!$I$37,IF('Marks Entry'!AQ23=10,'School Profile'!$I$38,IF('Marks Entry'!AQ23=11,'School Profile'!$I$39,"")))))))))))))</f>
        <v/>
      </c>
      <c r="CT23" s="68" t="str">
        <f>IF('School Profile'!$D$20="NO","",IF('Marks Entry'!AR23="","",'Marks Entry'!AR23))</f>
        <v/>
      </c>
      <c r="CU23" s="68" t="str">
        <f>IF('School Profile'!$D$20="NO","",IF('Marks Entry'!AS23="","",'Marks Entry'!AS23))</f>
        <v/>
      </c>
      <c r="CV23" s="68" t="str">
        <f>IF('School Profile'!$D$20="NO","",IF('Marks Entry'!AT23="","",'Marks Entry'!AT23))</f>
        <v/>
      </c>
      <c r="CW23" s="514" t="str">
        <f>IF('School Profile'!$D$20="NO","",IF(AND(CT23="",CU23="",CV23=""),"",SUM(CT23:CV23)))</f>
        <v/>
      </c>
      <c r="CX23" s="68" t="str">
        <f>IF('School Profile'!$D$20="NO","",IF('Marks Entry'!AU23="","",'Marks Entry'!AU23))</f>
        <v/>
      </c>
      <c r="CY23" s="68" t="str">
        <f>IF('School Profile'!$D$20="NO","",IF('Marks Entry'!AV23="","",'Marks Entry'!AV23))</f>
        <v/>
      </c>
      <c r="CZ23" s="515" t="str">
        <f>IF('School Profile'!$D$20="NO","",IF(AND(CX23="",CY23=""),"",SUM(CX23,CY23)))</f>
        <v/>
      </c>
      <c r="DA23" s="69" t="str">
        <f>IF('School Profile'!$D$20="NO","",IF(AND(CW23="",CZ23=""),"",SUM(CW23+CZ23)))</f>
        <v/>
      </c>
      <c r="DB23" s="68" t="str">
        <f>IF('School Profile'!$D$20="NO","",IF('Marks Entry'!AW23="","",'Marks Entry'!AW23))</f>
        <v/>
      </c>
      <c r="DC23" s="68" t="str">
        <f>IF('School Profile'!$D$20="NO","",IF('Marks Entry'!AX23="","",'Marks Entry'!AX23))</f>
        <v/>
      </c>
      <c r="DD23" s="515" t="str">
        <f>IF('School Profile'!$D$20="NO","",IF(AND(DB23="",DC23=""),"",SUM(DB23,DC23)))</f>
        <v/>
      </c>
      <c r="DE23" s="96" t="str">
        <f>IF('School Profile'!$D$20="NO","",IF(AND(DA23="",DD23=""),"",SUM(DA23,DD23)))</f>
        <v/>
      </c>
      <c r="DF23" s="532">
        <f t="shared" si="46"/>
        <v>0</v>
      </c>
      <c r="DG23" s="65">
        <f t="shared" si="47"/>
        <v>0</v>
      </c>
      <c r="DH23" s="66" t="str">
        <f t="shared" si="48"/>
        <v/>
      </c>
      <c r="DI23" s="65" t="str">
        <f t="shared" si="49"/>
        <v/>
      </c>
      <c r="DJ23" s="65" t="str">
        <f t="shared" si="50"/>
        <v/>
      </c>
      <c r="DK23" s="65" t="str">
        <f t="shared" si="51"/>
        <v/>
      </c>
      <c r="DL23" s="97" t="str">
        <f t="shared" si="94"/>
        <v>I</v>
      </c>
      <c r="DM23" s="97" t="str">
        <f t="shared" si="95"/>
        <v>D</v>
      </c>
      <c r="DN23" s="97" t="str">
        <f t="shared" si="96"/>
        <v>II</v>
      </c>
      <c r="DO23" s="97" t="str">
        <f t="shared" si="97"/>
        <v>II</v>
      </c>
      <c r="DP23" s="97" t="str">
        <f t="shared" si="98"/>
        <v>II</v>
      </c>
      <c r="DQ23" s="97" t="str">
        <f t="shared" si="99"/>
        <v>II</v>
      </c>
      <c r="DR23" s="97" t="str">
        <f t="shared" si="100"/>
        <v/>
      </c>
      <c r="DS23" s="98">
        <f t="shared" si="101"/>
        <v>0</v>
      </c>
      <c r="DT23" s="98">
        <f t="shared" si="102"/>
        <v>0</v>
      </c>
      <c r="DU23" s="98">
        <f t="shared" si="103"/>
        <v>0</v>
      </c>
      <c r="DV23" s="98">
        <f t="shared" si="104"/>
        <v>0</v>
      </c>
      <c r="DW23" s="98">
        <f t="shared" si="105"/>
        <v>0</v>
      </c>
      <c r="DX23" s="98" t="str">
        <f t="shared" si="106"/>
        <v/>
      </c>
      <c r="DY23" s="99" t="str">
        <f t="shared" si="107"/>
        <v>PASS</v>
      </c>
      <c r="DZ23" s="74" t="str">
        <f>IF('Marks Entry'!AY23="","",'Marks Entry'!AY23)</f>
        <v/>
      </c>
      <c r="EA23" s="74" t="str">
        <f>IF('Marks Entry'!AZ23="","",'Marks Entry'!AZ23)</f>
        <v/>
      </c>
      <c r="EB23" s="74" t="str">
        <f>IF('Marks Entry'!BA23="","",'Marks Entry'!BA23)</f>
        <v/>
      </c>
      <c r="EC23" s="527" t="str">
        <f t="shared" si="52"/>
        <v/>
      </c>
      <c r="ED23" s="74" t="str">
        <f>IF('Marks Entry'!BB23="","",'Marks Entry'!BB23)</f>
        <v/>
      </c>
      <c r="EE23" s="528" t="str">
        <f t="shared" si="53"/>
        <v/>
      </c>
      <c r="EF23" s="74" t="str">
        <f>IF('Marks Entry'!BC23="","",'Marks Entry'!BC23)</f>
        <v/>
      </c>
      <c r="EG23" s="530" t="str">
        <f t="shared" si="54"/>
        <v/>
      </c>
      <c r="EH23" s="368" t="str">
        <f t="shared" si="108"/>
        <v/>
      </c>
      <c r="EI23" s="65">
        <f t="shared" si="109"/>
        <v>0</v>
      </c>
      <c r="EJ23" s="65">
        <f t="shared" si="110"/>
        <v>0</v>
      </c>
      <c r="EK23" s="66" t="str">
        <f t="shared" si="111"/>
        <v/>
      </c>
      <c r="EL23" s="74" t="str">
        <f>IF('Marks Entry'!BD23="","",'Marks Entry'!BD23)</f>
        <v/>
      </c>
      <c r="EM23" s="74" t="str">
        <f>IF('Marks Entry'!BE23="","",'Marks Entry'!BE23)</f>
        <v/>
      </c>
      <c r="EN23" s="74" t="str">
        <f>IF('Marks Entry'!BF23="","",'Marks Entry'!BF23)</f>
        <v/>
      </c>
      <c r="EO23" s="527" t="str">
        <f t="shared" si="55"/>
        <v/>
      </c>
      <c r="EP23" s="74" t="str">
        <f>IF('Marks Entry'!BG23="","",'Marks Entry'!BG23)</f>
        <v/>
      </c>
      <c r="EQ23" s="74" t="str">
        <f>IF('Marks Entry'!BH23="","",'Marks Entry'!BH23)</f>
        <v/>
      </c>
      <c r="ER23" s="528" t="str">
        <f t="shared" si="56"/>
        <v/>
      </c>
      <c r="ES23" s="529" t="str">
        <f t="shared" si="57"/>
        <v/>
      </c>
      <c r="ET23" s="74" t="str">
        <f>IF('Marks Entry'!BI23="","",'Marks Entry'!BI23)</f>
        <v/>
      </c>
      <c r="EU23" s="74" t="str">
        <f>IF('Marks Entry'!BJ23="","",'Marks Entry'!BJ23)</f>
        <v/>
      </c>
      <c r="EV23" s="528" t="str">
        <f t="shared" si="58"/>
        <v/>
      </c>
      <c r="EW23" s="530" t="str">
        <f t="shared" si="59"/>
        <v/>
      </c>
      <c r="EX23" s="368" t="str">
        <f t="shared" si="112"/>
        <v/>
      </c>
      <c r="EY23" s="65">
        <f t="shared" si="113"/>
        <v>0</v>
      </c>
      <c r="EZ23" s="65">
        <f t="shared" si="114"/>
        <v>0</v>
      </c>
      <c r="FA23" s="66" t="str">
        <f t="shared" si="115"/>
        <v/>
      </c>
      <c r="FB23" s="74" t="str">
        <f>IF('Marks Entry'!BK23="","",'Marks Entry'!BK23)</f>
        <v/>
      </c>
      <c r="FC23" s="74" t="str">
        <f>IF('Marks Entry'!BL23="","",'Marks Entry'!BL23)</f>
        <v/>
      </c>
      <c r="FD23" s="74" t="str">
        <f>IF('Marks Entry'!BM23="","",'Marks Entry'!BM23)</f>
        <v/>
      </c>
      <c r="FE23" s="74" t="str">
        <f>IF('Marks Entry'!BN23="","",'Marks Entry'!BN23)</f>
        <v/>
      </c>
      <c r="FF23" s="74" t="str">
        <f>IF('Marks Entry'!BO23="","",'Marks Entry'!BO23)</f>
        <v/>
      </c>
      <c r="FG23" s="74" t="str">
        <f>IF('Marks Entry'!BP23="","",'Marks Entry'!BP23)</f>
        <v/>
      </c>
      <c r="FH23" s="527" t="str">
        <f t="shared" si="60"/>
        <v/>
      </c>
      <c r="FI23" s="74" t="str">
        <f>IF('Marks Entry'!BQ23="","",'Marks Entry'!BQ23)</f>
        <v/>
      </c>
      <c r="FJ23" s="74" t="str">
        <f>IF('Marks Entry'!BR23="","",'Marks Entry'!BR23)</f>
        <v/>
      </c>
      <c r="FK23" s="528" t="str">
        <f t="shared" si="61"/>
        <v/>
      </c>
      <c r="FL23" s="529" t="str">
        <f t="shared" si="62"/>
        <v/>
      </c>
      <c r="FM23" s="74" t="str">
        <f>IF('Marks Entry'!BS23="","",'Marks Entry'!BS23)</f>
        <v/>
      </c>
      <c r="FN23" s="74" t="str">
        <f>IF('Marks Entry'!BT23="","",'Marks Entry'!BT23)</f>
        <v/>
      </c>
      <c r="FO23" s="528" t="str">
        <f t="shared" si="63"/>
        <v/>
      </c>
      <c r="FP23" s="530" t="str">
        <f t="shared" si="64"/>
        <v/>
      </c>
      <c r="FQ23" s="368" t="str">
        <f t="shared" si="116"/>
        <v/>
      </c>
      <c r="FR23" s="65">
        <f t="shared" si="117"/>
        <v>0</v>
      </c>
      <c r="FS23" s="65">
        <f t="shared" si="118"/>
        <v>0</v>
      </c>
      <c r="FT23" s="66" t="str">
        <f t="shared" si="119"/>
        <v/>
      </c>
      <c r="FU23" s="74" t="str">
        <f>IF('Marks Entry'!BU23="","",'Marks Entry'!BU23)</f>
        <v/>
      </c>
      <c r="FV23" s="74" t="str">
        <f>IF('Marks Entry'!BV23="","",'Marks Entry'!BV23)</f>
        <v/>
      </c>
      <c r="FW23" s="74" t="str">
        <f>IF('Marks Entry'!BW23="","",'Marks Entry'!BW23)</f>
        <v/>
      </c>
      <c r="FX23" s="75" t="str">
        <f t="shared" si="65"/>
        <v/>
      </c>
      <c r="FY23" s="368" t="str">
        <f t="shared" si="120"/>
        <v/>
      </c>
      <c r="FZ23" s="65">
        <f t="shared" si="121"/>
        <v>0</v>
      </c>
      <c r="GA23" s="66">
        <f t="shared" si="122"/>
        <v>0</v>
      </c>
      <c r="GB23" s="66" t="str">
        <f t="shared" si="123"/>
        <v/>
      </c>
      <c r="GC23" s="74" t="str">
        <f>IF('Marks Entry'!BX23="","",'Marks Entry'!BX23)</f>
        <v/>
      </c>
      <c r="GD23" s="74" t="str">
        <f>IF('Marks Entry'!BY23="","",'Marks Entry'!BY23)</f>
        <v/>
      </c>
      <c r="GE23" s="74" t="str">
        <f>IF('Marks Entry'!BZ23="","",'Marks Entry'!BZ23)</f>
        <v/>
      </c>
      <c r="GF23" s="75" t="str">
        <f t="shared" si="124"/>
        <v/>
      </c>
      <c r="GG23" s="368" t="str">
        <f t="shared" si="125"/>
        <v/>
      </c>
      <c r="GH23" s="65">
        <f t="shared" si="126"/>
        <v>0</v>
      </c>
      <c r="GI23" s="66">
        <f t="shared" si="127"/>
        <v>0</v>
      </c>
      <c r="GJ23" s="66" t="str">
        <f t="shared" si="128"/>
        <v/>
      </c>
      <c r="GK23" s="100" t="str">
        <f>IF(AND(F23="",B23=""),"",IF('Student DATA Entry'!M20="","",'Student DATA Entry'!M20))</f>
        <v/>
      </c>
      <c r="GL23" s="101" t="str">
        <f>IF(AND(B23="",F23=""),"",IF('Student DATA Entry'!N20="","",'Student DATA Entry'!N20))</f>
        <v/>
      </c>
      <c r="GM23" s="581" t="str">
        <f t="shared" si="129"/>
        <v/>
      </c>
      <c r="GN23" s="94" t="str">
        <f t="shared" si="130"/>
        <v>I</v>
      </c>
      <c r="GO23" s="94" t="str">
        <f t="shared" si="131"/>
        <v/>
      </c>
      <c r="GP23" s="102" t="str">
        <f t="shared" si="67"/>
        <v/>
      </c>
      <c r="GQ23" s="94" t="str">
        <f t="shared" si="132"/>
        <v>D</v>
      </c>
      <c r="GR23" s="103" t="str">
        <f t="shared" si="133"/>
        <v/>
      </c>
      <c r="GS23" s="102" t="str">
        <f t="shared" si="68"/>
        <v/>
      </c>
      <c r="GT23" s="104" t="str">
        <f t="shared" si="134"/>
        <v>II</v>
      </c>
      <c r="GU23" s="94" t="str">
        <f>IF('Marks Entry'!V23=1,GT23,"")</f>
        <v/>
      </c>
      <c r="GV23" s="94" t="str">
        <f>IF('Marks Entry'!V23=2,GT23,"")</f>
        <v/>
      </c>
      <c r="GW23" s="94" t="str">
        <f>IF('Marks Entry'!V23=3,GT23,"")</f>
        <v/>
      </c>
      <c r="GX23" s="94" t="str">
        <f>IF('Marks Entry'!V23=4,GT23,"")</f>
        <v/>
      </c>
      <c r="GY23" s="94" t="str">
        <f>IF('Marks Entry'!V23=5,GT23,"")</f>
        <v>II</v>
      </c>
      <c r="GZ23" s="94" t="str">
        <f t="shared" si="135"/>
        <v/>
      </c>
      <c r="HA23" s="105" t="str">
        <f t="shared" si="69"/>
        <v/>
      </c>
      <c r="HB23" s="94" t="str">
        <f t="shared" si="136"/>
        <v>II</v>
      </c>
      <c r="HC23" s="94" t="str">
        <f t="shared" si="137"/>
        <v/>
      </c>
      <c r="HD23" s="105" t="str">
        <f t="shared" si="70"/>
        <v/>
      </c>
      <c r="HE23" s="94" t="str">
        <f t="shared" si="138"/>
        <v>II</v>
      </c>
      <c r="HF23" s="94" t="str">
        <f t="shared" si="139"/>
        <v/>
      </c>
      <c r="HG23" s="105" t="str">
        <f t="shared" si="71"/>
        <v/>
      </c>
      <c r="HH23" s="94" t="str">
        <f t="shared" si="140"/>
        <v>II</v>
      </c>
      <c r="HI23" s="94" t="str">
        <f t="shared" si="141"/>
        <v/>
      </c>
      <c r="HJ23" s="105" t="str">
        <f t="shared" si="72"/>
        <v/>
      </c>
      <c r="HK23" s="94" t="str">
        <f t="shared" si="142"/>
        <v/>
      </c>
      <c r="HL23" s="94" t="str">
        <f t="shared" si="143"/>
        <v/>
      </c>
      <c r="HM23" s="105" t="str">
        <f t="shared" si="73"/>
        <v/>
      </c>
      <c r="HN23" s="367" t="str">
        <f t="shared" si="144"/>
        <v xml:space="preserve">      </v>
      </c>
      <c r="HO23" s="418" t="str">
        <f t="shared" si="145"/>
        <v xml:space="preserve">      </v>
      </c>
      <c r="HP23" s="367" t="str">
        <f t="shared" si="146"/>
        <v xml:space="preserve">      </v>
      </c>
      <c r="HQ23" s="107" t="str">
        <f t="shared" si="147"/>
        <v xml:space="preserve">      </v>
      </c>
      <c r="HR23" s="366" t="str">
        <f t="shared" si="148"/>
        <v xml:space="preserve"> अंग्रेजी     </v>
      </c>
      <c r="HS23" s="544" t="str">
        <f t="shared" si="74"/>
        <v>PASS</v>
      </c>
      <c r="HT23" s="542">
        <f t="shared" si="149"/>
        <v>769</v>
      </c>
      <c r="HU23" s="541">
        <f t="shared" si="160"/>
        <v>64.083333333333329</v>
      </c>
      <c r="HV23" s="540" t="str">
        <f t="shared" si="150"/>
        <v>1st</v>
      </c>
      <c r="HW23" s="537">
        <f t="shared" si="151"/>
        <v>64.083333333333329</v>
      </c>
      <c r="HX23" s="539">
        <f t="shared" si="152"/>
        <v>5.9999999999999263</v>
      </c>
      <c r="HY23" s="553" t="str">
        <f>IFERROR(IF(OR(HS23="SUPPLEMENTARY",HS23="RE-EXAM"),'Supp. Result Entry'!AQ21,""),"")</f>
        <v/>
      </c>
      <c r="HZ23" s="538" t="str">
        <f t="shared" si="153"/>
        <v/>
      </c>
      <c r="IA23" s="415" t="str">
        <f t="shared" si="154"/>
        <v/>
      </c>
      <c r="IB23" s="415" t="str">
        <f>IF(AND(HZ23="",IA23=""),"",IF(OR(HS23="SUPPLEMENTARY",HS23="RE-EXAM"),'Supp. Result Entry'!AQ21,HS23))</f>
        <v/>
      </c>
      <c r="IC23" s="87"/>
      <c r="IS23" s="109" t="str">
        <f>IF('Supp. Result Entry'!T21="","",'Supp. Result Entry'!$T$4)</f>
        <v/>
      </c>
      <c r="IT23" s="110" t="str">
        <f>IF('Supp. Result Entry'!W21="","",'Supp. Result Entry'!$W$4)</f>
        <v/>
      </c>
      <c r="IU23" s="110" t="str">
        <f>IF('Supp. Result Entry'!Z21="","",'Supp. Result Entry'!$Z$4)</f>
        <v/>
      </c>
      <c r="IV23" s="110" t="str">
        <f>IF('Supp. Result Entry'!AC21="","",'Supp. Result Entry'!$AC$4)</f>
        <v/>
      </c>
      <c r="IW23" s="110" t="str">
        <f>IF('Supp. Result Entry'!AF21="","",'Supp. Result Entry'!$AF$4)</f>
        <v/>
      </c>
      <c r="IX23" s="110" t="str">
        <f>IF('Supp. Result Entry'!AI21="","",'Supp. Result Entry'!$AI$4)</f>
        <v/>
      </c>
      <c r="IY23" s="110" t="str">
        <f>IF('Supp. Result Entry'!AI21="","",'Supp. Result Entry'!$AL$4)</f>
        <v/>
      </c>
      <c r="IZ23" s="110" t="str">
        <f>IF('Supp. Result Entry'!U21="","",'Supp. Result Entry'!U21)</f>
        <v/>
      </c>
      <c r="JA23" s="110" t="str">
        <f>IF('Supp. Result Entry'!X21="","",'Supp. Result Entry'!X21)</f>
        <v/>
      </c>
      <c r="JB23" s="110" t="str">
        <f>IF('Supp. Result Entry'!AA21="","",'Supp. Result Entry'!AA21)</f>
        <v/>
      </c>
      <c r="JC23" s="110" t="str">
        <f>IF('Supp. Result Entry'!AD21="","",'Supp. Result Entry'!AD21)</f>
        <v/>
      </c>
      <c r="JD23" s="110" t="str">
        <f>IF('Supp. Result Entry'!AG21="","",'Supp. Result Entry'!AG21)</f>
        <v/>
      </c>
      <c r="JE23" s="110" t="str">
        <f>IF('Supp. Result Entry'!AJ21="","",'Supp. Result Entry'!AJ21)</f>
        <v/>
      </c>
      <c r="JF23" s="110" t="str">
        <f>IF('Supp. Result Entry'!AM21="","",'Supp. Result Entry'!AM21)</f>
        <v/>
      </c>
      <c r="JG23" s="110" t="str">
        <f>IF('Supp. Result Entry'!V21="","",'Supp. Result Entry'!V21)</f>
        <v/>
      </c>
      <c r="JH23" s="110" t="str">
        <f>IF('Supp. Result Entry'!Y21="","",'Supp. Result Entry'!Y21)</f>
        <v/>
      </c>
      <c r="JI23" s="110" t="str">
        <f>IF('Supp. Result Entry'!AB21="","",'Supp. Result Entry'!AB21)</f>
        <v/>
      </c>
      <c r="JJ23" s="110" t="str">
        <f>IF('Supp. Result Entry'!AE21="","",'Supp. Result Entry'!AE21)</f>
        <v/>
      </c>
      <c r="JK23" s="110" t="str">
        <f>IF('Supp. Result Entry'!AH21="","",'Supp. Result Entry'!AH21)</f>
        <v/>
      </c>
      <c r="JL23" s="110" t="str">
        <f>IF('Supp. Result Entry'!AK21="","",'Supp. Result Entry'!AK21)</f>
        <v/>
      </c>
      <c r="JM23" s="110" t="str">
        <f>IF('Supp. Result Entry'!AN21="","",'Supp. Result Entry'!AN21)</f>
        <v/>
      </c>
      <c r="JN23" s="110">
        <f>COUNTIF('Supp. Result Entry'!K21:Q21,"S")</f>
        <v>0</v>
      </c>
      <c r="JO23" s="110">
        <f t="shared" si="155"/>
        <v>0</v>
      </c>
      <c r="JP23" s="110">
        <f t="shared" si="156"/>
        <v>0</v>
      </c>
      <c r="JQ23" s="110" t="str">
        <f t="shared" si="75"/>
        <v/>
      </c>
      <c r="JR23" s="110" t="str">
        <f t="shared" si="76"/>
        <v/>
      </c>
      <c r="JS23" s="110" t="str">
        <f t="shared" si="77"/>
        <v/>
      </c>
      <c r="JT23" s="110" t="str">
        <f t="shared" si="78"/>
        <v/>
      </c>
      <c r="JU23" s="110" t="str">
        <f t="shared" si="79"/>
        <v/>
      </c>
      <c r="JV23" s="110" t="str">
        <f t="shared" si="80"/>
        <v/>
      </c>
      <c r="JW23" s="110" t="str">
        <f t="shared" si="81"/>
        <v/>
      </c>
      <c r="JX23" s="110" t="str">
        <f t="shared" si="157"/>
        <v/>
      </c>
      <c r="JY23" s="110" t="str">
        <f t="shared" si="158"/>
        <v/>
      </c>
      <c r="JZ23" s="110" t="str">
        <f t="shared" si="82"/>
        <v/>
      </c>
      <c r="KA23" s="108" t="str">
        <f t="shared" si="159"/>
        <v/>
      </c>
    </row>
    <row r="24" spans="1:287" s="108" customFormat="1" ht="21.95" customHeight="1">
      <c r="A24" s="89">
        <v>18</v>
      </c>
      <c r="B24" s="90">
        <f>IF('Marks Entry'!B24="","",'Marks Entry'!B24)</f>
        <v>918</v>
      </c>
      <c r="C24" s="94" t="str">
        <f>IF('Marks Entry'!D24="","",'Marks Entry'!D24)</f>
        <v>A</v>
      </c>
      <c r="D24" s="91" t="str">
        <f>IF('Marks Entry'!E24="","",'Marks Entry'!E24)</f>
        <v/>
      </c>
      <c r="E24" s="92" t="str">
        <f>IF('Marks Entry'!F24="","",'Marks Entry'!F24)</f>
        <v/>
      </c>
      <c r="F24" s="93" t="str">
        <f>IF('Marks Entry'!G24="","",'Marks Entry'!G24)</f>
        <v>LAXMI</v>
      </c>
      <c r="G24" s="93" t="str">
        <f>IF('Marks Entry'!H24="","",'Marks Entry'!H24)</f>
        <v/>
      </c>
      <c r="H24" s="93" t="str">
        <f>IF('Marks Entry'!I24="","",'Marks Entry'!I24)</f>
        <v/>
      </c>
      <c r="I24" s="94" t="str">
        <f>IF('Marks Entry'!J24="","",'Marks Entry'!J24)</f>
        <v/>
      </c>
      <c r="J24" s="95" t="str">
        <f>IF('Marks Entry'!K24="","",'Marks Entry'!K24)</f>
        <v/>
      </c>
      <c r="K24" s="68">
        <f>IF('Marks Entry'!L24="","",'Marks Entry'!L24)</f>
        <v>8</v>
      </c>
      <c r="L24" s="68">
        <f>IF('Marks Entry'!M24="","",'Marks Entry'!M24)</f>
        <v>9</v>
      </c>
      <c r="M24" s="68">
        <f>IF('Marks Entry'!N24="","",'Marks Entry'!N24)</f>
        <v>8</v>
      </c>
      <c r="N24" s="514">
        <f t="shared" si="83"/>
        <v>25</v>
      </c>
      <c r="O24" s="68">
        <f>IF('Marks Entry'!O24="","",'Marks Entry'!O24)</f>
        <v>46</v>
      </c>
      <c r="P24" s="515">
        <f t="shared" si="84"/>
        <v>71</v>
      </c>
      <c r="Q24" s="68">
        <f>IF('Marks Entry'!P24="","",'Marks Entry'!P24)</f>
        <v>65</v>
      </c>
      <c r="R24" s="96">
        <f t="shared" si="85"/>
        <v>136</v>
      </c>
      <c r="S24" s="65">
        <f t="shared" si="86"/>
        <v>0</v>
      </c>
      <c r="T24" s="65">
        <f t="shared" si="87"/>
        <v>0</v>
      </c>
      <c r="U24" s="66">
        <f t="shared" si="88"/>
        <v>200</v>
      </c>
      <c r="V24" s="65" t="str">
        <f t="shared" si="89"/>
        <v/>
      </c>
      <c r="W24" s="65" t="str">
        <f t="shared" si="90"/>
        <v>P</v>
      </c>
      <c r="X24" s="65" t="str">
        <f t="shared" si="91"/>
        <v>I</v>
      </c>
      <c r="Y24" s="68">
        <f>IF('Marks Entry'!Q24="","",'Marks Entry'!Q24)</f>
        <v>8</v>
      </c>
      <c r="Z24" s="68">
        <f>IF('Marks Entry'!R24="","",'Marks Entry'!R24)</f>
        <v>9</v>
      </c>
      <c r="AA24" s="68">
        <f>IF('Marks Entry'!S24="","",'Marks Entry'!S24)</f>
        <v>8</v>
      </c>
      <c r="AB24" s="514">
        <f t="shared" si="2"/>
        <v>25</v>
      </c>
      <c r="AC24" s="68">
        <f>IF('Marks Entry'!T24="","",'Marks Entry'!T24)</f>
        <v>60</v>
      </c>
      <c r="AD24" s="515">
        <f t="shared" si="3"/>
        <v>85</v>
      </c>
      <c r="AE24" s="68">
        <f>IF('Marks Entry'!U24="","",'Marks Entry'!U24)</f>
        <v>85</v>
      </c>
      <c r="AF24" s="96">
        <f t="shared" si="4"/>
        <v>170</v>
      </c>
      <c r="AG24" s="65">
        <f t="shared" si="5"/>
        <v>0</v>
      </c>
      <c r="AH24" s="65">
        <f t="shared" si="6"/>
        <v>0</v>
      </c>
      <c r="AI24" s="66">
        <f t="shared" si="7"/>
        <v>200</v>
      </c>
      <c r="AJ24" s="65" t="str">
        <f t="shared" si="8"/>
        <v/>
      </c>
      <c r="AK24" s="65" t="str">
        <f t="shared" si="9"/>
        <v>P</v>
      </c>
      <c r="AL24" s="65" t="str">
        <f t="shared" si="10"/>
        <v>D</v>
      </c>
      <c r="AM24" s="524" t="str">
        <f>IF('Marks Entry'!V24="","",IF('Marks Entry'!V24=1,'School Profile'!$I$9,IF('Marks Entry'!V24=2,'School Profile'!$I$10,IF('Marks Entry'!V24=3,'School Profile'!$I$11,IF('Marks Entry'!V24=4,'School Profile'!$I$12,IF('Marks Entry'!V24=5,'School Profile'!$I$13,IF('Marks Entry'!V24=6,'School Profile'!$I$14,"")))))))</f>
        <v xml:space="preserve">उर्दू (72) </v>
      </c>
      <c r="AN24" s="68">
        <f>IF('Marks Entry'!W24="","",'Marks Entry'!W24)</f>
        <v>8</v>
      </c>
      <c r="AO24" s="68">
        <f>IF('Marks Entry'!X24="","",'Marks Entry'!X24)</f>
        <v>9</v>
      </c>
      <c r="AP24" s="68">
        <f>IF('Marks Entry'!Y24="","",'Marks Entry'!Y24)</f>
        <v>9</v>
      </c>
      <c r="AQ24" s="514">
        <f t="shared" si="11"/>
        <v>26</v>
      </c>
      <c r="AR24" s="68">
        <f>IF('Marks Entry'!Z24="","",'Marks Entry'!Z24)</f>
        <v>46</v>
      </c>
      <c r="AS24" s="515">
        <f t="shared" si="12"/>
        <v>72</v>
      </c>
      <c r="AT24" s="68">
        <f>IF('Marks Entry'!AA24="","",'Marks Entry'!AA24)</f>
        <v>45</v>
      </c>
      <c r="AU24" s="96">
        <f t="shared" si="13"/>
        <v>117</v>
      </c>
      <c r="AV24" s="65">
        <f t="shared" si="14"/>
        <v>0</v>
      </c>
      <c r="AW24" s="65">
        <f t="shared" si="15"/>
        <v>0</v>
      </c>
      <c r="AX24" s="66">
        <f t="shared" si="16"/>
        <v>200</v>
      </c>
      <c r="AY24" s="65" t="str">
        <f t="shared" si="17"/>
        <v/>
      </c>
      <c r="AZ24" s="65" t="str">
        <f t="shared" si="18"/>
        <v>P</v>
      </c>
      <c r="BA24" s="65" t="str">
        <f t="shared" si="19"/>
        <v>II</v>
      </c>
      <c r="BB24" s="68">
        <f>IF('Marks Entry'!AB24="","",'Marks Entry'!AB24)</f>
        <v>8</v>
      </c>
      <c r="BC24" s="68">
        <f>IF('Marks Entry'!AC24="","",'Marks Entry'!AC24)</f>
        <v>9</v>
      </c>
      <c r="BD24" s="68">
        <f>IF('Marks Entry'!AD24="","",'Marks Entry'!AD24)</f>
        <v>7</v>
      </c>
      <c r="BE24" s="514">
        <f t="shared" si="20"/>
        <v>24</v>
      </c>
      <c r="BF24" s="68">
        <f>IF('Marks Entry'!AE24="","",'Marks Entry'!AE24)</f>
        <v>46</v>
      </c>
      <c r="BG24" s="515">
        <f t="shared" si="21"/>
        <v>70</v>
      </c>
      <c r="BH24" s="68">
        <f>IF('Marks Entry'!AF24="","",'Marks Entry'!AF24)</f>
        <v>45</v>
      </c>
      <c r="BI24" s="96">
        <f t="shared" si="22"/>
        <v>115</v>
      </c>
      <c r="BJ24" s="65">
        <f t="shared" si="23"/>
        <v>0</v>
      </c>
      <c r="BK24" s="65">
        <f t="shared" si="92"/>
        <v>0</v>
      </c>
      <c r="BL24" s="66">
        <f t="shared" si="24"/>
        <v>200</v>
      </c>
      <c r="BM24" s="65" t="str">
        <f t="shared" si="25"/>
        <v/>
      </c>
      <c r="BN24" s="65" t="str">
        <f t="shared" si="26"/>
        <v>P</v>
      </c>
      <c r="BO24" s="65" t="str">
        <f t="shared" si="27"/>
        <v>II</v>
      </c>
      <c r="BP24" s="68">
        <f>IF('Marks Entry'!AG24="","",'Marks Entry'!AG24)</f>
        <v>8</v>
      </c>
      <c r="BQ24" s="68">
        <f>IF('Marks Entry'!AH24="","",'Marks Entry'!AH24)</f>
        <v>9</v>
      </c>
      <c r="BR24" s="68">
        <f>IF('Marks Entry'!AI24="","",'Marks Entry'!AI24)</f>
        <v>7</v>
      </c>
      <c r="BS24" s="514">
        <f t="shared" si="28"/>
        <v>24</v>
      </c>
      <c r="BT24" s="68">
        <f>IF('Marks Entry'!AJ24="","",'Marks Entry'!AJ24)</f>
        <v>46</v>
      </c>
      <c r="BU24" s="515">
        <f t="shared" si="29"/>
        <v>70</v>
      </c>
      <c r="BV24" s="68">
        <f>IF('Marks Entry'!AK24="","",'Marks Entry'!AK24)</f>
        <v>45</v>
      </c>
      <c r="BW24" s="96">
        <f t="shared" si="30"/>
        <v>115</v>
      </c>
      <c r="BX24" s="65">
        <f t="shared" si="31"/>
        <v>0</v>
      </c>
      <c r="BY24" s="65">
        <f t="shared" si="32"/>
        <v>0</v>
      </c>
      <c r="BZ24" s="66">
        <f t="shared" si="33"/>
        <v>200</v>
      </c>
      <c r="CA24" s="65" t="str">
        <f t="shared" si="34"/>
        <v/>
      </c>
      <c r="CB24" s="65" t="str">
        <f t="shared" si="35"/>
        <v>P</v>
      </c>
      <c r="CC24" s="65" t="str">
        <f t="shared" si="36"/>
        <v>II</v>
      </c>
      <c r="CD24" s="66">
        <f t="shared" si="93"/>
        <v>0</v>
      </c>
      <c r="CE24" s="68">
        <f>IF('Marks Entry'!AL24="","",'Marks Entry'!AL24)</f>
        <v>8</v>
      </c>
      <c r="CF24" s="68">
        <f>IF('Marks Entry'!AM24="","",'Marks Entry'!AM24)</f>
        <v>8</v>
      </c>
      <c r="CG24" s="68">
        <f>IF('Marks Entry'!AN24="","",'Marks Entry'!AN24)</f>
        <v>8</v>
      </c>
      <c r="CH24" s="514">
        <f t="shared" si="37"/>
        <v>24</v>
      </c>
      <c r="CI24" s="68">
        <f>IF('Marks Entry'!AO24="","",'Marks Entry'!AO24)</f>
        <v>46</v>
      </c>
      <c r="CJ24" s="515">
        <f t="shared" si="38"/>
        <v>70</v>
      </c>
      <c r="CK24" s="68">
        <f>IF('Marks Entry'!AP24="","",'Marks Entry'!AP24)</f>
        <v>45</v>
      </c>
      <c r="CL24" s="96">
        <f t="shared" si="39"/>
        <v>115</v>
      </c>
      <c r="CM24" s="65">
        <f t="shared" si="40"/>
        <v>0</v>
      </c>
      <c r="CN24" s="65">
        <f t="shared" si="41"/>
        <v>0</v>
      </c>
      <c r="CO24" s="66">
        <f t="shared" si="42"/>
        <v>200</v>
      </c>
      <c r="CP24" s="65" t="str">
        <f t="shared" si="43"/>
        <v/>
      </c>
      <c r="CQ24" s="65" t="str">
        <f t="shared" si="44"/>
        <v>P</v>
      </c>
      <c r="CR24" s="65" t="str">
        <f t="shared" si="45"/>
        <v>II</v>
      </c>
      <c r="CS24" s="616" t="str">
        <f>IF('School Profile'!$D$20="NO","",IF('Marks Entry'!AQ24="","",IF('Marks Entry'!AQ24=1,'School Profile'!$I$29,IF('Marks Entry'!AQ24=2,'School Profile'!$I$30,IF('Marks Entry'!AQ24=3,'School Profile'!$I$31,IF('Marks Entry'!AQ24=4,'School Profile'!$I$32,IF('Marks Entry'!AQ24=5,'School Profile'!$I$33,IF('Marks Entry'!AQ24=6,'School Profile'!$I$34,IF('Marks Entry'!AQ24=7,'School Profile'!$I$35,IF('Marks Entry'!AQ24=8,'School Profile'!$I$36,IF('Marks Entry'!AQ24=9,'School Profile'!$I$37,IF('Marks Entry'!AQ24=10,'School Profile'!$I$38,IF('Marks Entry'!AQ24=11,'School Profile'!$I$39,"")))))))))))))</f>
        <v/>
      </c>
      <c r="CT24" s="68" t="str">
        <f>IF('School Profile'!$D$20="NO","",IF('Marks Entry'!AR24="","",'Marks Entry'!AR24))</f>
        <v/>
      </c>
      <c r="CU24" s="68" t="str">
        <f>IF('School Profile'!$D$20="NO","",IF('Marks Entry'!AS24="","",'Marks Entry'!AS24))</f>
        <v/>
      </c>
      <c r="CV24" s="68" t="str">
        <f>IF('School Profile'!$D$20="NO","",IF('Marks Entry'!AT24="","",'Marks Entry'!AT24))</f>
        <v/>
      </c>
      <c r="CW24" s="514" t="str">
        <f>IF('School Profile'!$D$20="NO","",IF(AND(CT24="",CU24="",CV24=""),"",SUM(CT24:CV24)))</f>
        <v/>
      </c>
      <c r="CX24" s="68" t="str">
        <f>IF('School Profile'!$D$20="NO","",IF('Marks Entry'!AU24="","",'Marks Entry'!AU24))</f>
        <v/>
      </c>
      <c r="CY24" s="68" t="str">
        <f>IF('School Profile'!$D$20="NO","",IF('Marks Entry'!AV24="","",'Marks Entry'!AV24))</f>
        <v/>
      </c>
      <c r="CZ24" s="515" t="str">
        <f>IF('School Profile'!$D$20="NO","",IF(AND(CX24="",CY24=""),"",SUM(CX24,CY24)))</f>
        <v/>
      </c>
      <c r="DA24" s="69" t="str">
        <f>IF('School Profile'!$D$20="NO","",IF(AND(CW24="",CZ24=""),"",SUM(CW24+CZ24)))</f>
        <v/>
      </c>
      <c r="DB24" s="68" t="str">
        <f>IF('School Profile'!$D$20="NO","",IF('Marks Entry'!AW24="","",'Marks Entry'!AW24))</f>
        <v/>
      </c>
      <c r="DC24" s="68" t="str">
        <f>IF('School Profile'!$D$20="NO","",IF('Marks Entry'!AX24="","",'Marks Entry'!AX24))</f>
        <v/>
      </c>
      <c r="DD24" s="515" t="str">
        <f>IF('School Profile'!$D$20="NO","",IF(AND(DB24="",DC24=""),"",SUM(DB24,DC24)))</f>
        <v/>
      </c>
      <c r="DE24" s="96" t="str">
        <f>IF('School Profile'!$D$20="NO","",IF(AND(DA24="",DD24=""),"",SUM(DA24,DD24)))</f>
        <v/>
      </c>
      <c r="DF24" s="532">
        <f t="shared" si="46"/>
        <v>0</v>
      </c>
      <c r="DG24" s="65">
        <f t="shared" si="47"/>
        <v>0</v>
      </c>
      <c r="DH24" s="66" t="str">
        <f t="shared" si="48"/>
        <v/>
      </c>
      <c r="DI24" s="65" t="str">
        <f t="shared" si="49"/>
        <v/>
      </c>
      <c r="DJ24" s="65" t="str">
        <f t="shared" si="50"/>
        <v/>
      </c>
      <c r="DK24" s="65" t="str">
        <f t="shared" si="51"/>
        <v/>
      </c>
      <c r="DL24" s="97" t="str">
        <f t="shared" si="94"/>
        <v>I</v>
      </c>
      <c r="DM24" s="97" t="str">
        <f t="shared" si="95"/>
        <v>D</v>
      </c>
      <c r="DN24" s="97" t="str">
        <f t="shared" si="96"/>
        <v>II</v>
      </c>
      <c r="DO24" s="97" t="str">
        <f t="shared" si="97"/>
        <v>II</v>
      </c>
      <c r="DP24" s="97" t="str">
        <f t="shared" si="98"/>
        <v>II</v>
      </c>
      <c r="DQ24" s="97" t="str">
        <f t="shared" si="99"/>
        <v>II</v>
      </c>
      <c r="DR24" s="97" t="str">
        <f t="shared" si="100"/>
        <v/>
      </c>
      <c r="DS24" s="98">
        <f t="shared" si="101"/>
        <v>0</v>
      </c>
      <c r="DT24" s="98">
        <f t="shared" si="102"/>
        <v>0</v>
      </c>
      <c r="DU24" s="98">
        <f t="shared" si="103"/>
        <v>0</v>
      </c>
      <c r="DV24" s="98">
        <f t="shared" si="104"/>
        <v>0</v>
      </c>
      <c r="DW24" s="98">
        <f t="shared" si="105"/>
        <v>0</v>
      </c>
      <c r="DX24" s="98" t="str">
        <f t="shared" si="106"/>
        <v/>
      </c>
      <c r="DY24" s="99" t="str">
        <f t="shared" si="107"/>
        <v>PASS</v>
      </c>
      <c r="DZ24" s="74" t="str">
        <f>IF('Marks Entry'!AY24="","",'Marks Entry'!AY24)</f>
        <v/>
      </c>
      <c r="EA24" s="74" t="str">
        <f>IF('Marks Entry'!AZ24="","",'Marks Entry'!AZ24)</f>
        <v/>
      </c>
      <c r="EB24" s="74" t="str">
        <f>IF('Marks Entry'!BA24="","",'Marks Entry'!BA24)</f>
        <v/>
      </c>
      <c r="EC24" s="527" t="str">
        <f t="shared" si="52"/>
        <v/>
      </c>
      <c r="ED24" s="74" t="str">
        <f>IF('Marks Entry'!BB24="","",'Marks Entry'!BB24)</f>
        <v/>
      </c>
      <c r="EE24" s="528" t="str">
        <f t="shared" si="53"/>
        <v/>
      </c>
      <c r="EF24" s="74" t="str">
        <f>IF('Marks Entry'!BC24="","",'Marks Entry'!BC24)</f>
        <v/>
      </c>
      <c r="EG24" s="530" t="str">
        <f t="shared" si="54"/>
        <v/>
      </c>
      <c r="EH24" s="368" t="str">
        <f t="shared" si="108"/>
        <v/>
      </c>
      <c r="EI24" s="65">
        <f t="shared" si="109"/>
        <v>0</v>
      </c>
      <c r="EJ24" s="65">
        <f t="shared" si="110"/>
        <v>0</v>
      </c>
      <c r="EK24" s="66" t="str">
        <f t="shared" si="111"/>
        <v/>
      </c>
      <c r="EL24" s="74" t="str">
        <f>IF('Marks Entry'!BD24="","",'Marks Entry'!BD24)</f>
        <v/>
      </c>
      <c r="EM24" s="74" t="str">
        <f>IF('Marks Entry'!BE24="","",'Marks Entry'!BE24)</f>
        <v/>
      </c>
      <c r="EN24" s="74" t="str">
        <f>IF('Marks Entry'!BF24="","",'Marks Entry'!BF24)</f>
        <v/>
      </c>
      <c r="EO24" s="527" t="str">
        <f t="shared" si="55"/>
        <v/>
      </c>
      <c r="EP24" s="74" t="str">
        <f>IF('Marks Entry'!BG24="","",'Marks Entry'!BG24)</f>
        <v/>
      </c>
      <c r="EQ24" s="74" t="str">
        <f>IF('Marks Entry'!BH24="","",'Marks Entry'!BH24)</f>
        <v/>
      </c>
      <c r="ER24" s="528" t="str">
        <f t="shared" si="56"/>
        <v/>
      </c>
      <c r="ES24" s="529" t="str">
        <f t="shared" si="57"/>
        <v/>
      </c>
      <c r="ET24" s="74" t="str">
        <f>IF('Marks Entry'!BI24="","",'Marks Entry'!BI24)</f>
        <v/>
      </c>
      <c r="EU24" s="74" t="str">
        <f>IF('Marks Entry'!BJ24="","",'Marks Entry'!BJ24)</f>
        <v/>
      </c>
      <c r="EV24" s="528" t="str">
        <f t="shared" si="58"/>
        <v/>
      </c>
      <c r="EW24" s="530" t="str">
        <f t="shared" si="59"/>
        <v/>
      </c>
      <c r="EX24" s="368" t="str">
        <f t="shared" si="112"/>
        <v/>
      </c>
      <c r="EY24" s="65">
        <f t="shared" si="113"/>
        <v>0</v>
      </c>
      <c r="EZ24" s="65">
        <f t="shared" si="114"/>
        <v>0</v>
      </c>
      <c r="FA24" s="66" t="str">
        <f t="shared" si="115"/>
        <v/>
      </c>
      <c r="FB24" s="74" t="str">
        <f>IF('Marks Entry'!BK24="","",'Marks Entry'!BK24)</f>
        <v/>
      </c>
      <c r="FC24" s="74" t="str">
        <f>IF('Marks Entry'!BL24="","",'Marks Entry'!BL24)</f>
        <v/>
      </c>
      <c r="FD24" s="74" t="str">
        <f>IF('Marks Entry'!BM24="","",'Marks Entry'!BM24)</f>
        <v/>
      </c>
      <c r="FE24" s="74" t="str">
        <f>IF('Marks Entry'!BN24="","",'Marks Entry'!BN24)</f>
        <v/>
      </c>
      <c r="FF24" s="74" t="str">
        <f>IF('Marks Entry'!BO24="","",'Marks Entry'!BO24)</f>
        <v/>
      </c>
      <c r="FG24" s="74" t="str">
        <f>IF('Marks Entry'!BP24="","",'Marks Entry'!BP24)</f>
        <v/>
      </c>
      <c r="FH24" s="527" t="str">
        <f t="shared" si="60"/>
        <v/>
      </c>
      <c r="FI24" s="74" t="str">
        <f>IF('Marks Entry'!BQ24="","",'Marks Entry'!BQ24)</f>
        <v/>
      </c>
      <c r="FJ24" s="74" t="str">
        <f>IF('Marks Entry'!BR24="","",'Marks Entry'!BR24)</f>
        <v/>
      </c>
      <c r="FK24" s="528" t="str">
        <f t="shared" si="61"/>
        <v/>
      </c>
      <c r="FL24" s="529" t="str">
        <f t="shared" si="62"/>
        <v/>
      </c>
      <c r="FM24" s="74" t="str">
        <f>IF('Marks Entry'!BS24="","",'Marks Entry'!BS24)</f>
        <v/>
      </c>
      <c r="FN24" s="74" t="str">
        <f>IF('Marks Entry'!BT24="","",'Marks Entry'!BT24)</f>
        <v/>
      </c>
      <c r="FO24" s="528" t="str">
        <f t="shared" si="63"/>
        <v/>
      </c>
      <c r="FP24" s="530" t="str">
        <f t="shared" si="64"/>
        <v/>
      </c>
      <c r="FQ24" s="368" t="str">
        <f t="shared" si="116"/>
        <v/>
      </c>
      <c r="FR24" s="65">
        <f t="shared" si="117"/>
        <v>0</v>
      </c>
      <c r="FS24" s="65">
        <f t="shared" si="118"/>
        <v>0</v>
      </c>
      <c r="FT24" s="66" t="str">
        <f t="shared" si="119"/>
        <v/>
      </c>
      <c r="FU24" s="74" t="str">
        <f>IF('Marks Entry'!BU24="","",'Marks Entry'!BU24)</f>
        <v/>
      </c>
      <c r="FV24" s="74" t="str">
        <f>IF('Marks Entry'!BV24="","",'Marks Entry'!BV24)</f>
        <v/>
      </c>
      <c r="FW24" s="74" t="str">
        <f>IF('Marks Entry'!BW24="","",'Marks Entry'!BW24)</f>
        <v/>
      </c>
      <c r="FX24" s="75" t="str">
        <f t="shared" si="65"/>
        <v/>
      </c>
      <c r="FY24" s="368" t="str">
        <f t="shared" si="120"/>
        <v/>
      </c>
      <c r="FZ24" s="65">
        <f t="shared" si="121"/>
        <v>0</v>
      </c>
      <c r="GA24" s="66">
        <f t="shared" si="122"/>
        <v>0</v>
      </c>
      <c r="GB24" s="66" t="str">
        <f t="shared" si="123"/>
        <v/>
      </c>
      <c r="GC24" s="74" t="str">
        <f>IF('Marks Entry'!BX24="","",'Marks Entry'!BX24)</f>
        <v/>
      </c>
      <c r="GD24" s="74" t="str">
        <f>IF('Marks Entry'!BY24="","",'Marks Entry'!BY24)</f>
        <v/>
      </c>
      <c r="GE24" s="74" t="str">
        <f>IF('Marks Entry'!BZ24="","",'Marks Entry'!BZ24)</f>
        <v/>
      </c>
      <c r="GF24" s="75" t="str">
        <f t="shared" si="124"/>
        <v/>
      </c>
      <c r="GG24" s="368" t="str">
        <f t="shared" si="125"/>
        <v/>
      </c>
      <c r="GH24" s="65">
        <f t="shared" si="126"/>
        <v>0</v>
      </c>
      <c r="GI24" s="66">
        <f t="shared" si="127"/>
        <v>0</v>
      </c>
      <c r="GJ24" s="66" t="str">
        <f t="shared" si="128"/>
        <v/>
      </c>
      <c r="GK24" s="100" t="str">
        <f>IF(AND(F24="",B24=""),"",IF('Student DATA Entry'!M21="","",'Student DATA Entry'!M21))</f>
        <v/>
      </c>
      <c r="GL24" s="101" t="str">
        <f>IF(AND(B24="",F24=""),"",IF('Student DATA Entry'!N21="","",'Student DATA Entry'!N21))</f>
        <v/>
      </c>
      <c r="GM24" s="581" t="str">
        <f t="shared" si="129"/>
        <v/>
      </c>
      <c r="GN24" s="94" t="str">
        <f t="shared" si="130"/>
        <v>I</v>
      </c>
      <c r="GO24" s="94" t="str">
        <f t="shared" si="131"/>
        <v/>
      </c>
      <c r="GP24" s="102" t="str">
        <f t="shared" si="67"/>
        <v/>
      </c>
      <c r="GQ24" s="94" t="str">
        <f t="shared" si="132"/>
        <v>D</v>
      </c>
      <c r="GR24" s="103" t="str">
        <f t="shared" si="133"/>
        <v/>
      </c>
      <c r="GS24" s="102" t="str">
        <f t="shared" si="68"/>
        <v/>
      </c>
      <c r="GT24" s="104" t="str">
        <f t="shared" si="134"/>
        <v>II</v>
      </c>
      <c r="GU24" s="94" t="str">
        <f>IF('Marks Entry'!V24=1,GT24,"")</f>
        <v/>
      </c>
      <c r="GV24" s="94" t="str">
        <f>IF('Marks Entry'!V24=2,GT24,"")</f>
        <v>II</v>
      </c>
      <c r="GW24" s="94" t="str">
        <f>IF('Marks Entry'!V24=3,GT24,"")</f>
        <v/>
      </c>
      <c r="GX24" s="94" t="str">
        <f>IF('Marks Entry'!V24=4,GT24,"")</f>
        <v/>
      </c>
      <c r="GY24" s="94" t="str">
        <f>IF('Marks Entry'!V24=5,GT24,"")</f>
        <v/>
      </c>
      <c r="GZ24" s="94" t="str">
        <f t="shared" si="135"/>
        <v/>
      </c>
      <c r="HA24" s="105" t="str">
        <f t="shared" si="69"/>
        <v/>
      </c>
      <c r="HB24" s="94" t="str">
        <f t="shared" si="136"/>
        <v>II</v>
      </c>
      <c r="HC24" s="94" t="str">
        <f t="shared" si="137"/>
        <v/>
      </c>
      <c r="HD24" s="105" t="str">
        <f t="shared" si="70"/>
        <v/>
      </c>
      <c r="HE24" s="94" t="str">
        <f t="shared" si="138"/>
        <v>II</v>
      </c>
      <c r="HF24" s="94" t="str">
        <f t="shared" si="139"/>
        <v/>
      </c>
      <c r="HG24" s="105" t="str">
        <f t="shared" si="71"/>
        <v/>
      </c>
      <c r="HH24" s="94" t="str">
        <f t="shared" si="140"/>
        <v>II</v>
      </c>
      <c r="HI24" s="94" t="str">
        <f t="shared" si="141"/>
        <v/>
      </c>
      <c r="HJ24" s="105" t="str">
        <f t="shared" si="72"/>
        <v/>
      </c>
      <c r="HK24" s="94" t="str">
        <f t="shared" si="142"/>
        <v/>
      </c>
      <c r="HL24" s="94" t="str">
        <f t="shared" si="143"/>
        <v/>
      </c>
      <c r="HM24" s="105" t="str">
        <f t="shared" si="73"/>
        <v/>
      </c>
      <c r="HN24" s="367" t="str">
        <f t="shared" si="144"/>
        <v xml:space="preserve">      </v>
      </c>
      <c r="HO24" s="418" t="str">
        <f t="shared" si="145"/>
        <v xml:space="preserve">      </v>
      </c>
      <c r="HP24" s="367" t="str">
        <f t="shared" si="146"/>
        <v xml:space="preserve">      </v>
      </c>
      <c r="HQ24" s="107" t="str">
        <f t="shared" si="147"/>
        <v xml:space="preserve">      </v>
      </c>
      <c r="HR24" s="366" t="str">
        <f t="shared" si="148"/>
        <v xml:space="preserve"> अंग्रेजी     </v>
      </c>
      <c r="HS24" s="544" t="str">
        <f t="shared" si="74"/>
        <v>PASS</v>
      </c>
      <c r="HT24" s="542">
        <f t="shared" si="149"/>
        <v>768</v>
      </c>
      <c r="HU24" s="541">
        <f t="shared" si="160"/>
        <v>64</v>
      </c>
      <c r="HV24" s="540" t="str">
        <f t="shared" si="150"/>
        <v>1st</v>
      </c>
      <c r="HW24" s="537">
        <f t="shared" si="151"/>
        <v>64</v>
      </c>
      <c r="HX24" s="539">
        <f t="shared" si="152"/>
        <v>6.9999999999999263</v>
      </c>
      <c r="HY24" s="553" t="str">
        <f>IFERROR(IF(OR(HS24="SUPPLEMENTARY",HS24="RE-EXAM"),'Supp. Result Entry'!AQ22,""),"")</f>
        <v/>
      </c>
      <c r="HZ24" s="538" t="str">
        <f t="shared" si="153"/>
        <v/>
      </c>
      <c r="IA24" s="415" t="str">
        <f t="shared" si="154"/>
        <v/>
      </c>
      <c r="IB24" s="415" t="str">
        <f>IF(AND(HZ24="",IA24=""),"",IF(OR(HS24="SUPPLEMENTARY",HS24="RE-EXAM"),'Supp. Result Entry'!AQ22,HS24))</f>
        <v/>
      </c>
      <c r="IC24" s="87"/>
      <c r="IS24" s="109" t="str">
        <f>IF('Supp. Result Entry'!T22="","",'Supp. Result Entry'!$T$4)</f>
        <v/>
      </c>
      <c r="IT24" s="110" t="str">
        <f>IF('Supp. Result Entry'!W22="","",'Supp. Result Entry'!$W$4)</f>
        <v/>
      </c>
      <c r="IU24" s="110" t="str">
        <f>IF('Supp. Result Entry'!Z22="","",'Supp. Result Entry'!$Z$4)</f>
        <v/>
      </c>
      <c r="IV24" s="110" t="str">
        <f>IF('Supp. Result Entry'!AC22="","",'Supp. Result Entry'!$AC$4)</f>
        <v/>
      </c>
      <c r="IW24" s="110" t="str">
        <f>IF('Supp. Result Entry'!AF22="","",'Supp. Result Entry'!$AF$4)</f>
        <v/>
      </c>
      <c r="IX24" s="110" t="str">
        <f>IF('Supp. Result Entry'!AI22="","",'Supp. Result Entry'!$AI$4)</f>
        <v/>
      </c>
      <c r="IY24" s="110" t="str">
        <f>IF('Supp. Result Entry'!AI22="","",'Supp. Result Entry'!$AL$4)</f>
        <v/>
      </c>
      <c r="IZ24" s="110" t="str">
        <f>IF('Supp. Result Entry'!U22="","",'Supp. Result Entry'!U22)</f>
        <v/>
      </c>
      <c r="JA24" s="110" t="str">
        <f>IF('Supp. Result Entry'!X22="","",'Supp. Result Entry'!X22)</f>
        <v/>
      </c>
      <c r="JB24" s="110" t="str">
        <f>IF('Supp. Result Entry'!AA22="","",'Supp. Result Entry'!AA22)</f>
        <v/>
      </c>
      <c r="JC24" s="110" t="str">
        <f>IF('Supp. Result Entry'!AD22="","",'Supp. Result Entry'!AD22)</f>
        <v/>
      </c>
      <c r="JD24" s="110" t="str">
        <f>IF('Supp. Result Entry'!AG22="","",'Supp. Result Entry'!AG22)</f>
        <v/>
      </c>
      <c r="JE24" s="110" t="str">
        <f>IF('Supp. Result Entry'!AJ22="","",'Supp. Result Entry'!AJ22)</f>
        <v/>
      </c>
      <c r="JF24" s="110" t="str">
        <f>IF('Supp. Result Entry'!AM22="","",'Supp. Result Entry'!AM22)</f>
        <v/>
      </c>
      <c r="JG24" s="110" t="str">
        <f>IF('Supp. Result Entry'!V22="","",'Supp. Result Entry'!V22)</f>
        <v/>
      </c>
      <c r="JH24" s="110" t="str">
        <f>IF('Supp. Result Entry'!Y22="","",'Supp. Result Entry'!Y22)</f>
        <v/>
      </c>
      <c r="JI24" s="110" t="str">
        <f>IF('Supp. Result Entry'!AB22="","",'Supp. Result Entry'!AB22)</f>
        <v/>
      </c>
      <c r="JJ24" s="110" t="str">
        <f>IF('Supp. Result Entry'!AE22="","",'Supp. Result Entry'!AE22)</f>
        <v/>
      </c>
      <c r="JK24" s="110" t="str">
        <f>IF('Supp. Result Entry'!AH22="","",'Supp. Result Entry'!AH22)</f>
        <v/>
      </c>
      <c r="JL24" s="110" t="str">
        <f>IF('Supp. Result Entry'!AK22="","",'Supp. Result Entry'!AK22)</f>
        <v/>
      </c>
      <c r="JM24" s="110" t="str">
        <f>IF('Supp. Result Entry'!AN22="","",'Supp. Result Entry'!AN22)</f>
        <v/>
      </c>
      <c r="JN24" s="110">
        <f>COUNTIF('Supp. Result Entry'!K22:Q22,"S")</f>
        <v>0</v>
      </c>
      <c r="JO24" s="110">
        <f t="shared" si="155"/>
        <v>0</v>
      </c>
      <c r="JP24" s="110">
        <f t="shared" si="156"/>
        <v>0</v>
      </c>
      <c r="JQ24" s="110" t="str">
        <f t="shared" si="75"/>
        <v/>
      </c>
      <c r="JR24" s="110" t="str">
        <f t="shared" si="76"/>
        <v/>
      </c>
      <c r="JS24" s="110" t="str">
        <f t="shared" si="77"/>
        <v/>
      </c>
      <c r="JT24" s="110" t="str">
        <f t="shared" si="78"/>
        <v/>
      </c>
      <c r="JU24" s="110" t="str">
        <f t="shared" si="79"/>
        <v/>
      </c>
      <c r="JV24" s="110" t="str">
        <f t="shared" si="80"/>
        <v/>
      </c>
      <c r="JW24" s="110" t="str">
        <f t="shared" si="81"/>
        <v/>
      </c>
      <c r="JX24" s="110" t="str">
        <f t="shared" si="157"/>
        <v/>
      </c>
      <c r="JY24" s="110" t="str">
        <f t="shared" si="158"/>
        <v/>
      </c>
      <c r="JZ24" s="110" t="str">
        <f t="shared" si="82"/>
        <v/>
      </c>
      <c r="KA24" s="108" t="str">
        <f t="shared" si="159"/>
        <v/>
      </c>
    </row>
    <row r="25" spans="1:287" s="108" customFormat="1" ht="21.95" customHeight="1">
      <c r="A25" s="89">
        <v>19</v>
      </c>
      <c r="B25" s="90">
        <f>IF('Marks Entry'!B25="","",'Marks Entry'!B25)</f>
        <v>919</v>
      </c>
      <c r="C25" s="94" t="str">
        <f>IF('Marks Entry'!D25="","",'Marks Entry'!D25)</f>
        <v>A</v>
      </c>
      <c r="D25" s="91" t="str">
        <f>IF('Marks Entry'!E25="","",'Marks Entry'!E25)</f>
        <v/>
      </c>
      <c r="E25" s="92" t="str">
        <f>IF('Marks Entry'!F25="","",'Marks Entry'!F25)</f>
        <v/>
      </c>
      <c r="F25" s="93" t="str">
        <f>IF('Marks Entry'!G25="","",'Marks Entry'!G25)</f>
        <v>RAZA</v>
      </c>
      <c r="G25" s="93" t="str">
        <f>IF('Marks Entry'!H25="","",'Marks Entry'!H25)</f>
        <v/>
      </c>
      <c r="H25" s="93" t="str">
        <f>IF('Marks Entry'!I25="","",'Marks Entry'!I25)</f>
        <v/>
      </c>
      <c r="I25" s="94" t="str">
        <f>IF('Marks Entry'!J25="","",'Marks Entry'!J25)</f>
        <v/>
      </c>
      <c r="J25" s="95" t="str">
        <f>IF('Marks Entry'!K25="","",'Marks Entry'!K25)</f>
        <v/>
      </c>
      <c r="K25" s="68">
        <f>IF('Marks Entry'!L25="","",'Marks Entry'!L25)</f>
        <v>8</v>
      </c>
      <c r="L25" s="68">
        <f>IF('Marks Entry'!M25="","",'Marks Entry'!M25)</f>
        <v>9</v>
      </c>
      <c r="M25" s="68">
        <f>IF('Marks Entry'!N25="","",'Marks Entry'!N25)</f>
        <v>8</v>
      </c>
      <c r="N25" s="514">
        <f t="shared" si="83"/>
        <v>25</v>
      </c>
      <c r="O25" s="68">
        <f>IF('Marks Entry'!O25="","",'Marks Entry'!O25)</f>
        <v>46</v>
      </c>
      <c r="P25" s="515">
        <f t="shared" si="84"/>
        <v>71</v>
      </c>
      <c r="Q25" s="68">
        <f>IF('Marks Entry'!P25="","",'Marks Entry'!P25)</f>
        <v>65</v>
      </c>
      <c r="R25" s="96">
        <f t="shared" si="85"/>
        <v>136</v>
      </c>
      <c r="S25" s="65">
        <f t="shared" si="86"/>
        <v>0</v>
      </c>
      <c r="T25" s="65">
        <f t="shared" si="87"/>
        <v>0</v>
      </c>
      <c r="U25" s="66">
        <f t="shared" si="88"/>
        <v>200</v>
      </c>
      <c r="V25" s="65" t="str">
        <f t="shared" si="89"/>
        <v/>
      </c>
      <c r="W25" s="65" t="str">
        <f t="shared" si="90"/>
        <v>P</v>
      </c>
      <c r="X25" s="65" t="str">
        <f t="shared" si="91"/>
        <v>I</v>
      </c>
      <c r="Y25" s="68">
        <f>IF('Marks Entry'!Q25="","",'Marks Entry'!Q25)</f>
        <v>8</v>
      </c>
      <c r="Z25" s="68">
        <f>IF('Marks Entry'!R25="","",'Marks Entry'!R25)</f>
        <v>9</v>
      </c>
      <c r="AA25" s="68">
        <f>IF('Marks Entry'!S25="","",'Marks Entry'!S25)</f>
        <v>8</v>
      </c>
      <c r="AB25" s="514">
        <f t="shared" si="2"/>
        <v>25</v>
      </c>
      <c r="AC25" s="68">
        <f>IF('Marks Entry'!T25="","",'Marks Entry'!T25)</f>
        <v>60</v>
      </c>
      <c r="AD25" s="515">
        <f t="shared" si="3"/>
        <v>85</v>
      </c>
      <c r="AE25" s="68">
        <f>IF('Marks Entry'!U25="","",'Marks Entry'!U25)</f>
        <v>85</v>
      </c>
      <c r="AF25" s="96">
        <f t="shared" si="4"/>
        <v>170</v>
      </c>
      <c r="AG25" s="65">
        <f t="shared" si="5"/>
        <v>0</v>
      </c>
      <c r="AH25" s="65">
        <f t="shared" si="6"/>
        <v>0</v>
      </c>
      <c r="AI25" s="66">
        <f t="shared" si="7"/>
        <v>200</v>
      </c>
      <c r="AJ25" s="65" t="str">
        <f t="shared" si="8"/>
        <v/>
      </c>
      <c r="AK25" s="65" t="str">
        <f t="shared" si="9"/>
        <v>P</v>
      </c>
      <c r="AL25" s="65" t="str">
        <f t="shared" si="10"/>
        <v>D</v>
      </c>
      <c r="AM25" s="524" t="str">
        <f>IF('Marks Entry'!V25="","",IF('Marks Entry'!V25=1,'School Profile'!$I$9,IF('Marks Entry'!V25=2,'School Profile'!$I$10,IF('Marks Entry'!V25=3,'School Profile'!$I$11,IF('Marks Entry'!V25=4,'School Profile'!$I$12,IF('Marks Entry'!V25=5,'School Profile'!$I$13,IF('Marks Entry'!V25=6,'School Profile'!$I$14,"")))))))</f>
        <v xml:space="preserve">उर्दू (72) </v>
      </c>
      <c r="AN25" s="68">
        <f>IF('Marks Entry'!W25="","",'Marks Entry'!W25)</f>
        <v>8</v>
      </c>
      <c r="AO25" s="68">
        <f>IF('Marks Entry'!X25="","",'Marks Entry'!X25)</f>
        <v>9</v>
      </c>
      <c r="AP25" s="68">
        <f>IF('Marks Entry'!Y25="","",'Marks Entry'!Y25)</f>
        <v>9</v>
      </c>
      <c r="AQ25" s="514">
        <f t="shared" si="11"/>
        <v>26</v>
      </c>
      <c r="AR25" s="68">
        <f>IF('Marks Entry'!Z25="","",'Marks Entry'!Z25)</f>
        <v>46</v>
      </c>
      <c r="AS25" s="515">
        <f t="shared" si="12"/>
        <v>72</v>
      </c>
      <c r="AT25" s="68">
        <f>IF('Marks Entry'!AA25="","",'Marks Entry'!AA25)</f>
        <v>45</v>
      </c>
      <c r="AU25" s="96">
        <f t="shared" si="13"/>
        <v>117</v>
      </c>
      <c r="AV25" s="65">
        <f t="shared" si="14"/>
        <v>0</v>
      </c>
      <c r="AW25" s="65">
        <f t="shared" si="15"/>
        <v>0</v>
      </c>
      <c r="AX25" s="66">
        <f t="shared" si="16"/>
        <v>200</v>
      </c>
      <c r="AY25" s="65" t="str">
        <f t="shared" si="17"/>
        <v/>
      </c>
      <c r="AZ25" s="65" t="str">
        <f t="shared" si="18"/>
        <v>P</v>
      </c>
      <c r="BA25" s="65" t="str">
        <f t="shared" si="19"/>
        <v>II</v>
      </c>
      <c r="BB25" s="68">
        <f>IF('Marks Entry'!AB25="","",'Marks Entry'!AB25)</f>
        <v>8</v>
      </c>
      <c r="BC25" s="68">
        <f>IF('Marks Entry'!AC25="","",'Marks Entry'!AC25)</f>
        <v>9</v>
      </c>
      <c r="BD25" s="68">
        <f>IF('Marks Entry'!AD25="","",'Marks Entry'!AD25)</f>
        <v>7</v>
      </c>
      <c r="BE25" s="514">
        <f t="shared" si="20"/>
        <v>24</v>
      </c>
      <c r="BF25" s="68">
        <f>IF('Marks Entry'!AE25="","",'Marks Entry'!AE25)</f>
        <v>46</v>
      </c>
      <c r="BG25" s="515">
        <f t="shared" si="21"/>
        <v>70</v>
      </c>
      <c r="BH25" s="68">
        <f>IF('Marks Entry'!AF25="","",'Marks Entry'!AF25)</f>
        <v>45</v>
      </c>
      <c r="BI25" s="96">
        <f t="shared" si="22"/>
        <v>115</v>
      </c>
      <c r="BJ25" s="65">
        <f t="shared" si="23"/>
        <v>0</v>
      </c>
      <c r="BK25" s="65">
        <f t="shared" si="92"/>
        <v>0</v>
      </c>
      <c r="BL25" s="66">
        <f t="shared" si="24"/>
        <v>200</v>
      </c>
      <c r="BM25" s="65" t="str">
        <f t="shared" si="25"/>
        <v/>
      </c>
      <c r="BN25" s="65" t="str">
        <f t="shared" si="26"/>
        <v>P</v>
      </c>
      <c r="BO25" s="65" t="str">
        <f t="shared" si="27"/>
        <v>II</v>
      </c>
      <c r="BP25" s="68">
        <f>IF('Marks Entry'!AG25="","",'Marks Entry'!AG25)</f>
        <v>8</v>
      </c>
      <c r="BQ25" s="68">
        <f>IF('Marks Entry'!AH25="","",'Marks Entry'!AH25)</f>
        <v>9</v>
      </c>
      <c r="BR25" s="68">
        <f>IF('Marks Entry'!AI25="","",'Marks Entry'!AI25)</f>
        <v>7</v>
      </c>
      <c r="BS25" s="514">
        <f t="shared" si="28"/>
        <v>24</v>
      </c>
      <c r="BT25" s="68">
        <f>IF('Marks Entry'!AJ25="","",'Marks Entry'!AJ25)</f>
        <v>46</v>
      </c>
      <c r="BU25" s="515">
        <f t="shared" si="29"/>
        <v>70</v>
      </c>
      <c r="BV25" s="68">
        <f>IF('Marks Entry'!AK25="","",'Marks Entry'!AK25)</f>
        <v>45</v>
      </c>
      <c r="BW25" s="96">
        <f t="shared" si="30"/>
        <v>115</v>
      </c>
      <c r="BX25" s="65">
        <f t="shared" si="31"/>
        <v>0</v>
      </c>
      <c r="BY25" s="65">
        <f t="shared" si="32"/>
        <v>0</v>
      </c>
      <c r="BZ25" s="66">
        <f t="shared" si="33"/>
        <v>200</v>
      </c>
      <c r="CA25" s="65" t="str">
        <f t="shared" si="34"/>
        <v/>
      </c>
      <c r="CB25" s="65" t="str">
        <f t="shared" si="35"/>
        <v>P</v>
      </c>
      <c r="CC25" s="65" t="str">
        <f t="shared" si="36"/>
        <v>II</v>
      </c>
      <c r="CD25" s="66">
        <f t="shared" si="93"/>
        <v>0</v>
      </c>
      <c r="CE25" s="68">
        <f>IF('Marks Entry'!AL25="","",'Marks Entry'!AL25)</f>
        <v>8</v>
      </c>
      <c r="CF25" s="68">
        <f>IF('Marks Entry'!AM25="","",'Marks Entry'!AM25)</f>
        <v>8</v>
      </c>
      <c r="CG25" s="68">
        <f>IF('Marks Entry'!AN25="","",'Marks Entry'!AN25)</f>
        <v>8</v>
      </c>
      <c r="CH25" s="514">
        <f t="shared" si="37"/>
        <v>24</v>
      </c>
      <c r="CI25" s="68">
        <f>IF('Marks Entry'!AO25="","",'Marks Entry'!AO25)</f>
        <v>46</v>
      </c>
      <c r="CJ25" s="515">
        <f t="shared" si="38"/>
        <v>70</v>
      </c>
      <c r="CK25" s="68">
        <f>IF('Marks Entry'!AP25="","",'Marks Entry'!AP25)</f>
        <v>45</v>
      </c>
      <c r="CL25" s="96">
        <f t="shared" si="39"/>
        <v>115</v>
      </c>
      <c r="CM25" s="65">
        <f t="shared" si="40"/>
        <v>0</v>
      </c>
      <c r="CN25" s="65">
        <f t="shared" si="41"/>
        <v>0</v>
      </c>
      <c r="CO25" s="66">
        <f t="shared" si="42"/>
        <v>200</v>
      </c>
      <c r="CP25" s="65" t="str">
        <f t="shared" si="43"/>
        <v/>
      </c>
      <c r="CQ25" s="65" t="str">
        <f t="shared" si="44"/>
        <v>P</v>
      </c>
      <c r="CR25" s="65" t="str">
        <f t="shared" si="45"/>
        <v>II</v>
      </c>
      <c r="CS25" s="616" t="str">
        <f>IF('School Profile'!$D$20="NO","",IF('Marks Entry'!AQ25="","",IF('Marks Entry'!AQ25=1,'School Profile'!$I$29,IF('Marks Entry'!AQ25=2,'School Profile'!$I$30,IF('Marks Entry'!AQ25=3,'School Profile'!$I$31,IF('Marks Entry'!AQ25=4,'School Profile'!$I$32,IF('Marks Entry'!AQ25=5,'School Profile'!$I$33,IF('Marks Entry'!AQ25=6,'School Profile'!$I$34,IF('Marks Entry'!AQ25=7,'School Profile'!$I$35,IF('Marks Entry'!AQ25=8,'School Profile'!$I$36,IF('Marks Entry'!AQ25=9,'School Profile'!$I$37,IF('Marks Entry'!AQ25=10,'School Profile'!$I$38,IF('Marks Entry'!AQ25=11,'School Profile'!$I$39,"")))))))))))))</f>
        <v/>
      </c>
      <c r="CT25" s="68" t="str">
        <f>IF('School Profile'!$D$20="NO","",IF('Marks Entry'!AR25="","",'Marks Entry'!AR25))</f>
        <v/>
      </c>
      <c r="CU25" s="68" t="str">
        <f>IF('School Profile'!$D$20="NO","",IF('Marks Entry'!AS25="","",'Marks Entry'!AS25))</f>
        <v/>
      </c>
      <c r="CV25" s="68" t="str">
        <f>IF('School Profile'!$D$20="NO","",IF('Marks Entry'!AT25="","",'Marks Entry'!AT25))</f>
        <v/>
      </c>
      <c r="CW25" s="514" t="str">
        <f>IF('School Profile'!$D$20="NO","",IF(AND(CT25="",CU25="",CV25=""),"",SUM(CT25:CV25)))</f>
        <v/>
      </c>
      <c r="CX25" s="68" t="str">
        <f>IF('School Profile'!$D$20="NO","",IF('Marks Entry'!AU25="","",'Marks Entry'!AU25))</f>
        <v/>
      </c>
      <c r="CY25" s="68" t="str">
        <f>IF('School Profile'!$D$20="NO","",IF('Marks Entry'!AV25="","",'Marks Entry'!AV25))</f>
        <v/>
      </c>
      <c r="CZ25" s="515" t="str">
        <f>IF('School Profile'!$D$20="NO","",IF(AND(CX25="",CY25=""),"",SUM(CX25,CY25)))</f>
        <v/>
      </c>
      <c r="DA25" s="69" t="str">
        <f>IF('School Profile'!$D$20="NO","",IF(AND(CW25="",CZ25=""),"",SUM(CW25+CZ25)))</f>
        <v/>
      </c>
      <c r="DB25" s="68" t="str">
        <f>IF('School Profile'!$D$20="NO","",IF('Marks Entry'!AW25="","",'Marks Entry'!AW25))</f>
        <v/>
      </c>
      <c r="DC25" s="68" t="str">
        <f>IF('School Profile'!$D$20="NO","",IF('Marks Entry'!AX25="","",'Marks Entry'!AX25))</f>
        <v/>
      </c>
      <c r="DD25" s="515" t="str">
        <f>IF('School Profile'!$D$20="NO","",IF(AND(DB25="",DC25=""),"",SUM(DB25,DC25)))</f>
        <v/>
      </c>
      <c r="DE25" s="96" t="str">
        <f>IF('School Profile'!$D$20="NO","",IF(AND(DA25="",DD25=""),"",SUM(DA25,DD25)))</f>
        <v/>
      </c>
      <c r="DF25" s="532">
        <f t="shared" si="46"/>
        <v>0</v>
      </c>
      <c r="DG25" s="65">
        <f t="shared" si="47"/>
        <v>0</v>
      </c>
      <c r="DH25" s="66" t="str">
        <f t="shared" si="48"/>
        <v/>
      </c>
      <c r="DI25" s="65" t="str">
        <f t="shared" si="49"/>
        <v/>
      </c>
      <c r="DJ25" s="65" t="str">
        <f t="shared" si="50"/>
        <v/>
      </c>
      <c r="DK25" s="65" t="str">
        <f t="shared" si="51"/>
        <v/>
      </c>
      <c r="DL25" s="97" t="str">
        <f t="shared" si="94"/>
        <v>I</v>
      </c>
      <c r="DM25" s="97" t="str">
        <f t="shared" si="95"/>
        <v>D</v>
      </c>
      <c r="DN25" s="97" t="str">
        <f t="shared" si="96"/>
        <v>II</v>
      </c>
      <c r="DO25" s="97" t="str">
        <f t="shared" si="97"/>
        <v>II</v>
      </c>
      <c r="DP25" s="97" t="str">
        <f t="shared" si="98"/>
        <v>II</v>
      </c>
      <c r="DQ25" s="97" t="str">
        <f t="shared" si="99"/>
        <v>II</v>
      </c>
      <c r="DR25" s="97" t="str">
        <f t="shared" si="100"/>
        <v/>
      </c>
      <c r="DS25" s="98">
        <f t="shared" si="101"/>
        <v>0</v>
      </c>
      <c r="DT25" s="98">
        <f t="shared" si="102"/>
        <v>0</v>
      </c>
      <c r="DU25" s="98">
        <f t="shared" si="103"/>
        <v>0</v>
      </c>
      <c r="DV25" s="98">
        <f t="shared" si="104"/>
        <v>0</v>
      </c>
      <c r="DW25" s="98">
        <f t="shared" si="105"/>
        <v>0</v>
      </c>
      <c r="DX25" s="98" t="str">
        <f t="shared" si="106"/>
        <v/>
      </c>
      <c r="DY25" s="99" t="str">
        <f t="shared" si="107"/>
        <v>PASS</v>
      </c>
      <c r="DZ25" s="74" t="str">
        <f>IF('Marks Entry'!AY25="","",'Marks Entry'!AY25)</f>
        <v/>
      </c>
      <c r="EA25" s="74" t="str">
        <f>IF('Marks Entry'!AZ25="","",'Marks Entry'!AZ25)</f>
        <v/>
      </c>
      <c r="EB25" s="74" t="str">
        <f>IF('Marks Entry'!BA25="","",'Marks Entry'!BA25)</f>
        <v/>
      </c>
      <c r="EC25" s="527" t="str">
        <f t="shared" si="52"/>
        <v/>
      </c>
      <c r="ED25" s="74" t="str">
        <f>IF('Marks Entry'!BB25="","",'Marks Entry'!BB25)</f>
        <v/>
      </c>
      <c r="EE25" s="528" t="str">
        <f t="shared" si="53"/>
        <v/>
      </c>
      <c r="EF25" s="74" t="str">
        <f>IF('Marks Entry'!BC25="","",'Marks Entry'!BC25)</f>
        <v/>
      </c>
      <c r="EG25" s="530" t="str">
        <f t="shared" si="54"/>
        <v/>
      </c>
      <c r="EH25" s="368" t="str">
        <f t="shared" si="108"/>
        <v/>
      </c>
      <c r="EI25" s="65">
        <f t="shared" si="109"/>
        <v>0</v>
      </c>
      <c r="EJ25" s="65">
        <f t="shared" si="110"/>
        <v>0</v>
      </c>
      <c r="EK25" s="66" t="str">
        <f t="shared" si="111"/>
        <v/>
      </c>
      <c r="EL25" s="74" t="str">
        <f>IF('Marks Entry'!BD25="","",'Marks Entry'!BD25)</f>
        <v/>
      </c>
      <c r="EM25" s="74" t="str">
        <f>IF('Marks Entry'!BE25="","",'Marks Entry'!BE25)</f>
        <v/>
      </c>
      <c r="EN25" s="74" t="str">
        <f>IF('Marks Entry'!BF25="","",'Marks Entry'!BF25)</f>
        <v/>
      </c>
      <c r="EO25" s="527" t="str">
        <f t="shared" si="55"/>
        <v/>
      </c>
      <c r="EP25" s="74" t="str">
        <f>IF('Marks Entry'!BG25="","",'Marks Entry'!BG25)</f>
        <v/>
      </c>
      <c r="EQ25" s="74" t="str">
        <f>IF('Marks Entry'!BH25="","",'Marks Entry'!BH25)</f>
        <v/>
      </c>
      <c r="ER25" s="528" t="str">
        <f t="shared" si="56"/>
        <v/>
      </c>
      <c r="ES25" s="529" t="str">
        <f t="shared" si="57"/>
        <v/>
      </c>
      <c r="ET25" s="74" t="str">
        <f>IF('Marks Entry'!BI25="","",'Marks Entry'!BI25)</f>
        <v/>
      </c>
      <c r="EU25" s="74" t="str">
        <f>IF('Marks Entry'!BJ25="","",'Marks Entry'!BJ25)</f>
        <v/>
      </c>
      <c r="EV25" s="528" t="str">
        <f t="shared" si="58"/>
        <v/>
      </c>
      <c r="EW25" s="530" t="str">
        <f t="shared" si="59"/>
        <v/>
      </c>
      <c r="EX25" s="368" t="str">
        <f t="shared" si="112"/>
        <v/>
      </c>
      <c r="EY25" s="65">
        <f t="shared" si="113"/>
        <v>0</v>
      </c>
      <c r="EZ25" s="65">
        <f t="shared" si="114"/>
        <v>0</v>
      </c>
      <c r="FA25" s="66" t="str">
        <f t="shared" si="115"/>
        <v/>
      </c>
      <c r="FB25" s="74" t="str">
        <f>IF('Marks Entry'!BK25="","",'Marks Entry'!BK25)</f>
        <v/>
      </c>
      <c r="FC25" s="74" t="str">
        <f>IF('Marks Entry'!BL25="","",'Marks Entry'!BL25)</f>
        <v/>
      </c>
      <c r="FD25" s="74" t="str">
        <f>IF('Marks Entry'!BM25="","",'Marks Entry'!BM25)</f>
        <v/>
      </c>
      <c r="FE25" s="74" t="str">
        <f>IF('Marks Entry'!BN25="","",'Marks Entry'!BN25)</f>
        <v/>
      </c>
      <c r="FF25" s="74" t="str">
        <f>IF('Marks Entry'!BO25="","",'Marks Entry'!BO25)</f>
        <v/>
      </c>
      <c r="FG25" s="74" t="str">
        <f>IF('Marks Entry'!BP25="","",'Marks Entry'!BP25)</f>
        <v/>
      </c>
      <c r="FH25" s="527" t="str">
        <f t="shared" si="60"/>
        <v/>
      </c>
      <c r="FI25" s="74" t="str">
        <f>IF('Marks Entry'!BQ25="","",'Marks Entry'!BQ25)</f>
        <v/>
      </c>
      <c r="FJ25" s="74" t="str">
        <f>IF('Marks Entry'!BR25="","",'Marks Entry'!BR25)</f>
        <v/>
      </c>
      <c r="FK25" s="528" t="str">
        <f t="shared" si="61"/>
        <v/>
      </c>
      <c r="FL25" s="529" t="str">
        <f t="shared" si="62"/>
        <v/>
      </c>
      <c r="FM25" s="74" t="str">
        <f>IF('Marks Entry'!BS25="","",'Marks Entry'!BS25)</f>
        <v/>
      </c>
      <c r="FN25" s="74" t="str">
        <f>IF('Marks Entry'!BT25="","",'Marks Entry'!BT25)</f>
        <v/>
      </c>
      <c r="FO25" s="528" t="str">
        <f t="shared" si="63"/>
        <v/>
      </c>
      <c r="FP25" s="530" t="str">
        <f t="shared" si="64"/>
        <v/>
      </c>
      <c r="FQ25" s="368" t="str">
        <f t="shared" si="116"/>
        <v/>
      </c>
      <c r="FR25" s="65">
        <f t="shared" si="117"/>
        <v>0</v>
      </c>
      <c r="FS25" s="65">
        <f t="shared" si="118"/>
        <v>0</v>
      </c>
      <c r="FT25" s="66" t="str">
        <f t="shared" si="119"/>
        <v/>
      </c>
      <c r="FU25" s="74" t="str">
        <f>IF('Marks Entry'!BU25="","",'Marks Entry'!BU25)</f>
        <v/>
      </c>
      <c r="FV25" s="74" t="str">
        <f>IF('Marks Entry'!BV25="","",'Marks Entry'!BV25)</f>
        <v/>
      </c>
      <c r="FW25" s="74" t="str">
        <f>IF('Marks Entry'!BW25="","",'Marks Entry'!BW25)</f>
        <v/>
      </c>
      <c r="FX25" s="75" t="str">
        <f t="shared" si="65"/>
        <v/>
      </c>
      <c r="FY25" s="368" t="str">
        <f t="shared" si="120"/>
        <v/>
      </c>
      <c r="FZ25" s="65">
        <f t="shared" si="121"/>
        <v>0</v>
      </c>
      <c r="GA25" s="66">
        <f t="shared" si="122"/>
        <v>0</v>
      </c>
      <c r="GB25" s="66" t="str">
        <f t="shared" si="123"/>
        <v/>
      </c>
      <c r="GC25" s="74" t="str">
        <f>IF('Marks Entry'!BX25="","",'Marks Entry'!BX25)</f>
        <v/>
      </c>
      <c r="GD25" s="74" t="str">
        <f>IF('Marks Entry'!BY25="","",'Marks Entry'!BY25)</f>
        <v/>
      </c>
      <c r="GE25" s="74" t="str">
        <f>IF('Marks Entry'!BZ25="","",'Marks Entry'!BZ25)</f>
        <v/>
      </c>
      <c r="GF25" s="75" t="str">
        <f t="shared" si="124"/>
        <v/>
      </c>
      <c r="GG25" s="368" t="str">
        <f t="shared" si="125"/>
        <v/>
      </c>
      <c r="GH25" s="65">
        <f t="shared" si="126"/>
        <v>0</v>
      </c>
      <c r="GI25" s="66">
        <f t="shared" si="127"/>
        <v>0</v>
      </c>
      <c r="GJ25" s="66" t="str">
        <f t="shared" si="128"/>
        <v/>
      </c>
      <c r="GK25" s="100" t="str">
        <f>IF(AND(F25="",B25=""),"",IF('Student DATA Entry'!M22="","",'Student DATA Entry'!M22))</f>
        <v/>
      </c>
      <c r="GL25" s="101" t="str">
        <f>IF(AND(B25="",F25=""),"",IF('Student DATA Entry'!N22="","",'Student DATA Entry'!N22))</f>
        <v/>
      </c>
      <c r="GM25" s="581" t="str">
        <f t="shared" si="129"/>
        <v/>
      </c>
      <c r="GN25" s="94" t="str">
        <f t="shared" si="130"/>
        <v>I</v>
      </c>
      <c r="GO25" s="94" t="str">
        <f t="shared" si="131"/>
        <v/>
      </c>
      <c r="GP25" s="102" t="str">
        <f t="shared" si="67"/>
        <v/>
      </c>
      <c r="GQ25" s="94" t="str">
        <f t="shared" si="132"/>
        <v>D</v>
      </c>
      <c r="GR25" s="103" t="str">
        <f t="shared" si="133"/>
        <v/>
      </c>
      <c r="GS25" s="102" t="str">
        <f t="shared" si="68"/>
        <v/>
      </c>
      <c r="GT25" s="104" t="str">
        <f t="shared" si="134"/>
        <v>II</v>
      </c>
      <c r="GU25" s="94" t="str">
        <f>IF('Marks Entry'!V25=1,GT25,"")</f>
        <v/>
      </c>
      <c r="GV25" s="94" t="str">
        <f>IF('Marks Entry'!V25=2,GT25,"")</f>
        <v>II</v>
      </c>
      <c r="GW25" s="94" t="str">
        <f>IF('Marks Entry'!V25=3,GT25,"")</f>
        <v/>
      </c>
      <c r="GX25" s="94" t="str">
        <f>IF('Marks Entry'!V25=4,GT25,"")</f>
        <v/>
      </c>
      <c r="GY25" s="94" t="str">
        <f>IF('Marks Entry'!V25=5,GT25,"")</f>
        <v/>
      </c>
      <c r="GZ25" s="94" t="str">
        <f t="shared" si="135"/>
        <v/>
      </c>
      <c r="HA25" s="105" t="str">
        <f t="shared" si="69"/>
        <v/>
      </c>
      <c r="HB25" s="94" t="str">
        <f t="shared" si="136"/>
        <v>II</v>
      </c>
      <c r="HC25" s="94" t="str">
        <f t="shared" si="137"/>
        <v/>
      </c>
      <c r="HD25" s="105" t="str">
        <f t="shared" si="70"/>
        <v/>
      </c>
      <c r="HE25" s="94" t="str">
        <f t="shared" si="138"/>
        <v>II</v>
      </c>
      <c r="HF25" s="94" t="str">
        <f t="shared" si="139"/>
        <v/>
      </c>
      <c r="HG25" s="105" t="str">
        <f t="shared" si="71"/>
        <v/>
      </c>
      <c r="HH25" s="94" t="str">
        <f t="shared" si="140"/>
        <v>II</v>
      </c>
      <c r="HI25" s="94" t="str">
        <f t="shared" si="141"/>
        <v/>
      </c>
      <c r="HJ25" s="105" t="str">
        <f t="shared" si="72"/>
        <v/>
      </c>
      <c r="HK25" s="94" t="str">
        <f t="shared" si="142"/>
        <v/>
      </c>
      <c r="HL25" s="94" t="str">
        <f t="shared" si="143"/>
        <v/>
      </c>
      <c r="HM25" s="105" t="str">
        <f t="shared" si="73"/>
        <v/>
      </c>
      <c r="HN25" s="367" t="str">
        <f t="shared" si="144"/>
        <v xml:space="preserve">      </v>
      </c>
      <c r="HO25" s="418" t="str">
        <f t="shared" si="145"/>
        <v xml:space="preserve">      </v>
      </c>
      <c r="HP25" s="367" t="str">
        <f t="shared" si="146"/>
        <v xml:space="preserve">      </v>
      </c>
      <c r="HQ25" s="107" t="str">
        <f t="shared" si="147"/>
        <v xml:space="preserve">      </v>
      </c>
      <c r="HR25" s="366" t="str">
        <f t="shared" si="148"/>
        <v xml:space="preserve"> अंग्रेजी     </v>
      </c>
      <c r="HS25" s="544" t="str">
        <f t="shared" si="74"/>
        <v>PASS</v>
      </c>
      <c r="HT25" s="542">
        <f t="shared" si="149"/>
        <v>768</v>
      </c>
      <c r="HU25" s="541">
        <f t="shared" si="160"/>
        <v>64</v>
      </c>
      <c r="HV25" s="540" t="str">
        <f t="shared" si="150"/>
        <v>1st</v>
      </c>
      <c r="HW25" s="537">
        <f t="shared" si="151"/>
        <v>64</v>
      </c>
      <c r="HX25" s="539">
        <f t="shared" si="152"/>
        <v>6.9999999999999263</v>
      </c>
      <c r="HY25" s="553" t="str">
        <f>IFERROR(IF(OR(HS25="SUPPLEMENTARY",HS25="RE-EXAM"),'Supp. Result Entry'!AQ23,""),"")</f>
        <v/>
      </c>
      <c r="HZ25" s="538" t="str">
        <f t="shared" si="153"/>
        <v/>
      </c>
      <c r="IA25" s="415" t="str">
        <f t="shared" si="154"/>
        <v/>
      </c>
      <c r="IB25" s="415" t="str">
        <f>IF(AND(HZ25="",IA25=""),"",IF(OR(HS25="SUPPLEMENTARY",HS25="RE-EXAM"),'Supp. Result Entry'!AQ23,HS25))</f>
        <v/>
      </c>
      <c r="IC25" s="87"/>
      <c r="IS25" s="109" t="str">
        <f>IF('Supp. Result Entry'!T23="","",'Supp. Result Entry'!$T$4)</f>
        <v/>
      </c>
      <c r="IT25" s="110" t="str">
        <f>IF('Supp. Result Entry'!W23="","",'Supp. Result Entry'!$W$4)</f>
        <v/>
      </c>
      <c r="IU25" s="110" t="str">
        <f>IF('Supp. Result Entry'!Z23="","",'Supp. Result Entry'!$Z$4)</f>
        <v/>
      </c>
      <c r="IV25" s="110" t="str">
        <f>IF('Supp. Result Entry'!AC23="","",'Supp. Result Entry'!$AC$4)</f>
        <v/>
      </c>
      <c r="IW25" s="110" t="str">
        <f>IF('Supp. Result Entry'!AF23="","",'Supp. Result Entry'!$AF$4)</f>
        <v/>
      </c>
      <c r="IX25" s="110" t="str">
        <f>IF('Supp. Result Entry'!AI23="","",'Supp. Result Entry'!$AI$4)</f>
        <v/>
      </c>
      <c r="IY25" s="110" t="str">
        <f>IF('Supp. Result Entry'!AI23="","",'Supp. Result Entry'!$AL$4)</f>
        <v/>
      </c>
      <c r="IZ25" s="110" t="str">
        <f>IF('Supp. Result Entry'!U23="","",'Supp. Result Entry'!U23)</f>
        <v/>
      </c>
      <c r="JA25" s="110" t="str">
        <f>IF('Supp. Result Entry'!X23="","",'Supp. Result Entry'!X23)</f>
        <v/>
      </c>
      <c r="JB25" s="110" t="str">
        <f>IF('Supp. Result Entry'!AA23="","",'Supp. Result Entry'!AA23)</f>
        <v/>
      </c>
      <c r="JC25" s="110" t="str">
        <f>IF('Supp. Result Entry'!AD23="","",'Supp. Result Entry'!AD23)</f>
        <v/>
      </c>
      <c r="JD25" s="110" t="str">
        <f>IF('Supp. Result Entry'!AG23="","",'Supp. Result Entry'!AG23)</f>
        <v/>
      </c>
      <c r="JE25" s="110" t="str">
        <f>IF('Supp. Result Entry'!AJ23="","",'Supp. Result Entry'!AJ23)</f>
        <v/>
      </c>
      <c r="JF25" s="110" t="str">
        <f>IF('Supp. Result Entry'!AM23="","",'Supp. Result Entry'!AM23)</f>
        <v/>
      </c>
      <c r="JG25" s="110" t="str">
        <f>IF('Supp. Result Entry'!V23="","",'Supp. Result Entry'!V23)</f>
        <v/>
      </c>
      <c r="JH25" s="110" t="str">
        <f>IF('Supp. Result Entry'!Y23="","",'Supp. Result Entry'!Y23)</f>
        <v/>
      </c>
      <c r="JI25" s="110" t="str">
        <f>IF('Supp. Result Entry'!AB23="","",'Supp. Result Entry'!AB23)</f>
        <v/>
      </c>
      <c r="JJ25" s="110" t="str">
        <f>IF('Supp. Result Entry'!AE23="","",'Supp. Result Entry'!AE23)</f>
        <v/>
      </c>
      <c r="JK25" s="110" t="str">
        <f>IF('Supp. Result Entry'!AH23="","",'Supp. Result Entry'!AH23)</f>
        <v/>
      </c>
      <c r="JL25" s="110" t="str">
        <f>IF('Supp. Result Entry'!AK23="","",'Supp. Result Entry'!AK23)</f>
        <v/>
      </c>
      <c r="JM25" s="110" t="str">
        <f>IF('Supp. Result Entry'!AN23="","",'Supp. Result Entry'!AN23)</f>
        <v/>
      </c>
      <c r="JN25" s="110">
        <f>COUNTIF('Supp. Result Entry'!K23:Q23,"S")</f>
        <v>0</v>
      </c>
      <c r="JO25" s="110">
        <f t="shared" si="155"/>
        <v>0</v>
      </c>
      <c r="JP25" s="110">
        <f t="shared" si="156"/>
        <v>0</v>
      </c>
      <c r="JQ25" s="110" t="str">
        <f t="shared" si="75"/>
        <v/>
      </c>
      <c r="JR25" s="110" t="str">
        <f t="shared" si="76"/>
        <v/>
      </c>
      <c r="JS25" s="110" t="str">
        <f t="shared" si="77"/>
        <v/>
      </c>
      <c r="JT25" s="110" t="str">
        <f t="shared" si="78"/>
        <v/>
      </c>
      <c r="JU25" s="110" t="str">
        <f t="shared" si="79"/>
        <v/>
      </c>
      <c r="JV25" s="110" t="str">
        <f t="shared" si="80"/>
        <v/>
      </c>
      <c r="JW25" s="110" t="str">
        <f t="shared" si="81"/>
        <v/>
      </c>
      <c r="JX25" s="110" t="str">
        <f t="shared" si="157"/>
        <v/>
      </c>
      <c r="JY25" s="110" t="str">
        <f t="shared" si="158"/>
        <v/>
      </c>
      <c r="JZ25" s="110" t="str">
        <f t="shared" si="82"/>
        <v/>
      </c>
      <c r="KA25" s="108" t="str">
        <f t="shared" si="159"/>
        <v/>
      </c>
    </row>
    <row r="26" spans="1:287" s="108" customFormat="1" ht="21.95" customHeight="1">
      <c r="A26" s="89">
        <v>20</v>
      </c>
      <c r="B26" s="90">
        <f>IF('Marks Entry'!B26="","",'Marks Entry'!B26)</f>
        <v>920</v>
      </c>
      <c r="C26" s="94" t="str">
        <f>IF('Marks Entry'!D26="","",'Marks Entry'!D26)</f>
        <v>A</v>
      </c>
      <c r="D26" s="91" t="str">
        <f>IF('Marks Entry'!E26="","",'Marks Entry'!E26)</f>
        <v/>
      </c>
      <c r="E26" s="92" t="str">
        <f>IF('Marks Entry'!F26="","",'Marks Entry'!F26)</f>
        <v/>
      </c>
      <c r="F26" s="93" t="str">
        <f>IF('Marks Entry'!G26="","",'Marks Entry'!G26)</f>
        <v>ROZA</v>
      </c>
      <c r="G26" s="93" t="str">
        <f>IF('Marks Entry'!H26="","",'Marks Entry'!H26)</f>
        <v/>
      </c>
      <c r="H26" s="93" t="str">
        <f>IF('Marks Entry'!I26="","",'Marks Entry'!I26)</f>
        <v/>
      </c>
      <c r="I26" s="94" t="str">
        <f>IF('Marks Entry'!J26="","",'Marks Entry'!J26)</f>
        <v/>
      </c>
      <c r="J26" s="95" t="str">
        <f>IF('Marks Entry'!K26="","",'Marks Entry'!K26)</f>
        <v/>
      </c>
      <c r="K26" s="68">
        <f>IF('Marks Entry'!L26="","",'Marks Entry'!L26)</f>
        <v>8</v>
      </c>
      <c r="L26" s="68">
        <f>IF('Marks Entry'!M26="","",'Marks Entry'!M26)</f>
        <v>9</v>
      </c>
      <c r="M26" s="68">
        <f>IF('Marks Entry'!N26="","",'Marks Entry'!N26)</f>
        <v>8</v>
      </c>
      <c r="N26" s="514">
        <f t="shared" si="83"/>
        <v>25</v>
      </c>
      <c r="O26" s="68">
        <f>IF('Marks Entry'!O26="","",'Marks Entry'!O26)</f>
        <v>46</v>
      </c>
      <c r="P26" s="515">
        <f t="shared" si="84"/>
        <v>71</v>
      </c>
      <c r="Q26" s="68">
        <f>IF('Marks Entry'!P26="","",'Marks Entry'!P26)</f>
        <v>65</v>
      </c>
      <c r="R26" s="96">
        <f t="shared" si="85"/>
        <v>136</v>
      </c>
      <c r="S26" s="65">
        <f t="shared" si="86"/>
        <v>0</v>
      </c>
      <c r="T26" s="65">
        <f t="shared" si="87"/>
        <v>0</v>
      </c>
      <c r="U26" s="66">
        <f t="shared" si="88"/>
        <v>200</v>
      </c>
      <c r="V26" s="65" t="str">
        <f t="shared" si="89"/>
        <v/>
      </c>
      <c r="W26" s="65" t="str">
        <f t="shared" si="90"/>
        <v>P</v>
      </c>
      <c r="X26" s="65" t="str">
        <f t="shared" si="91"/>
        <v>I</v>
      </c>
      <c r="Y26" s="68">
        <f>IF('Marks Entry'!Q26="","",'Marks Entry'!Q26)</f>
        <v>8</v>
      </c>
      <c r="Z26" s="68">
        <f>IF('Marks Entry'!R26="","",'Marks Entry'!R26)</f>
        <v>9</v>
      </c>
      <c r="AA26" s="68">
        <f>IF('Marks Entry'!S26="","",'Marks Entry'!S26)</f>
        <v>8</v>
      </c>
      <c r="AB26" s="514">
        <f t="shared" si="2"/>
        <v>25</v>
      </c>
      <c r="AC26" s="68">
        <f>IF('Marks Entry'!T26="","",'Marks Entry'!T26)</f>
        <v>60</v>
      </c>
      <c r="AD26" s="515">
        <f t="shared" si="3"/>
        <v>85</v>
      </c>
      <c r="AE26" s="68">
        <f>IF('Marks Entry'!U26="","",'Marks Entry'!U26)</f>
        <v>85</v>
      </c>
      <c r="AF26" s="96">
        <f t="shared" si="4"/>
        <v>170</v>
      </c>
      <c r="AG26" s="65">
        <f t="shared" si="5"/>
        <v>0</v>
      </c>
      <c r="AH26" s="65">
        <f t="shared" si="6"/>
        <v>0</v>
      </c>
      <c r="AI26" s="66">
        <f t="shared" si="7"/>
        <v>200</v>
      </c>
      <c r="AJ26" s="65" t="str">
        <f t="shared" si="8"/>
        <v/>
      </c>
      <c r="AK26" s="65" t="str">
        <f t="shared" si="9"/>
        <v>P</v>
      </c>
      <c r="AL26" s="65" t="str">
        <f t="shared" si="10"/>
        <v>D</v>
      </c>
      <c r="AM26" s="524" t="str">
        <f>IF('Marks Entry'!V26="","",IF('Marks Entry'!V26=1,'School Profile'!$I$9,IF('Marks Entry'!V26=2,'School Profile'!$I$10,IF('Marks Entry'!V26=3,'School Profile'!$I$11,IF('Marks Entry'!V26=4,'School Profile'!$I$12,IF('Marks Entry'!V26=5,'School Profile'!$I$13,IF('Marks Entry'!V26=6,'School Profile'!$I$14,"")))))))</f>
        <v xml:space="preserve">सिंधी (74) </v>
      </c>
      <c r="AN26" s="68">
        <f>IF('Marks Entry'!W26="","",'Marks Entry'!W26)</f>
        <v>8</v>
      </c>
      <c r="AO26" s="68">
        <f>IF('Marks Entry'!X26="","",'Marks Entry'!X26)</f>
        <v>9</v>
      </c>
      <c r="AP26" s="68">
        <f>IF('Marks Entry'!Y26="","",'Marks Entry'!Y26)</f>
        <v>9</v>
      </c>
      <c r="AQ26" s="514">
        <f t="shared" si="11"/>
        <v>26</v>
      </c>
      <c r="AR26" s="68">
        <f>IF('Marks Entry'!Z26="","",'Marks Entry'!Z26)</f>
        <v>46</v>
      </c>
      <c r="AS26" s="515">
        <f t="shared" si="12"/>
        <v>72</v>
      </c>
      <c r="AT26" s="68">
        <f>IF('Marks Entry'!AA26="","",'Marks Entry'!AA26)</f>
        <v>45</v>
      </c>
      <c r="AU26" s="96">
        <f t="shared" si="13"/>
        <v>117</v>
      </c>
      <c r="AV26" s="65">
        <f t="shared" si="14"/>
        <v>0</v>
      </c>
      <c r="AW26" s="65">
        <f t="shared" si="15"/>
        <v>0</v>
      </c>
      <c r="AX26" s="66">
        <f t="shared" si="16"/>
        <v>200</v>
      </c>
      <c r="AY26" s="65" t="str">
        <f t="shared" si="17"/>
        <v/>
      </c>
      <c r="AZ26" s="65" t="str">
        <f t="shared" si="18"/>
        <v>P</v>
      </c>
      <c r="BA26" s="65" t="str">
        <f t="shared" si="19"/>
        <v>II</v>
      </c>
      <c r="BB26" s="68">
        <f>IF('Marks Entry'!AB26="","",'Marks Entry'!AB26)</f>
        <v>8</v>
      </c>
      <c r="BC26" s="68">
        <f>IF('Marks Entry'!AC26="","",'Marks Entry'!AC26)</f>
        <v>9</v>
      </c>
      <c r="BD26" s="68">
        <f>IF('Marks Entry'!AD26="","",'Marks Entry'!AD26)</f>
        <v>7</v>
      </c>
      <c r="BE26" s="514">
        <f t="shared" si="20"/>
        <v>24</v>
      </c>
      <c r="BF26" s="68">
        <f>IF('Marks Entry'!AE26="","",'Marks Entry'!AE26)</f>
        <v>46</v>
      </c>
      <c r="BG26" s="515">
        <f t="shared" si="21"/>
        <v>70</v>
      </c>
      <c r="BH26" s="68">
        <f>IF('Marks Entry'!AF26="","",'Marks Entry'!AF26)</f>
        <v>45</v>
      </c>
      <c r="BI26" s="96">
        <f t="shared" si="22"/>
        <v>115</v>
      </c>
      <c r="BJ26" s="65">
        <f t="shared" si="23"/>
        <v>0</v>
      </c>
      <c r="BK26" s="65">
        <f t="shared" si="92"/>
        <v>0</v>
      </c>
      <c r="BL26" s="66">
        <f t="shared" si="24"/>
        <v>200</v>
      </c>
      <c r="BM26" s="65" t="str">
        <f t="shared" si="25"/>
        <v/>
      </c>
      <c r="BN26" s="65" t="str">
        <f t="shared" si="26"/>
        <v>P</v>
      </c>
      <c r="BO26" s="65" t="str">
        <f t="shared" si="27"/>
        <v>II</v>
      </c>
      <c r="BP26" s="68">
        <f>IF('Marks Entry'!AG26="","",'Marks Entry'!AG26)</f>
        <v>8</v>
      </c>
      <c r="BQ26" s="68">
        <f>IF('Marks Entry'!AH26="","",'Marks Entry'!AH26)</f>
        <v>9</v>
      </c>
      <c r="BR26" s="68">
        <f>IF('Marks Entry'!AI26="","",'Marks Entry'!AI26)</f>
        <v>7</v>
      </c>
      <c r="BS26" s="514">
        <f t="shared" si="28"/>
        <v>24</v>
      </c>
      <c r="BT26" s="68">
        <f>IF('Marks Entry'!AJ26="","",'Marks Entry'!AJ26)</f>
        <v>46</v>
      </c>
      <c r="BU26" s="515">
        <f t="shared" si="29"/>
        <v>70</v>
      </c>
      <c r="BV26" s="68">
        <f>IF('Marks Entry'!AK26="","",'Marks Entry'!AK26)</f>
        <v>45</v>
      </c>
      <c r="BW26" s="96">
        <f t="shared" si="30"/>
        <v>115</v>
      </c>
      <c r="BX26" s="65">
        <f t="shared" si="31"/>
        <v>0</v>
      </c>
      <c r="BY26" s="65">
        <f t="shared" si="32"/>
        <v>0</v>
      </c>
      <c r="BZ26" s="66">
        <f t="shared" si="33"/>
        <v>200</v>
      </c>
      <c r="CA26" s="65" t="str">
        <f t="shared" si="34"/>
        <v/>
      </c>
      <c r="CB26" s="65" t="str">
        <f t="shared" si="35"/>
        <v>P</v>
      </c>
      <c r="CC26" s="65" t="str">
        <f t="shared" si="36"/>
        <v>II</v>
      </c>
      <c r="CD26" s="66">
        <f t="shared" si="93"/>
        <v>0</v>
      </c>
      <c r="CE26" s="68">
        <f>IF('Marks Entry'!AL26="","",'Marks Entry'!AL26)</f>
        <v>8</v>
      </c>
      <c r="CF26" s="68">
        <f>IF('Marks Entry'!AM26="","",'Marks Entry'!AM26)</f>
        <v>8</v>
      </c>
      <c r="CG26" s="68">
        <f>IF('Marks Entry'!AN26="","",'Marks Entry'!AN26)</f>
        <v>8</v>
      </c>
      <c r="CH26" s="514">
        <f t="shared" si="37"/>
        <v>24</v>
      </c>
      <c r="CI26" s="68">
        <f>IF('Marks Entry'!AO26="","",'Marks Entry'!AO26)</f>
        <v>46</v>
      </c>
      <c r="CJ26" s="515">
        <f t="shared" si="38"/>
        <v>70</v>
      </c>
      <c r="CK26" s="68">
        <f>IF('Marks Entry'!AP26="","",'Marks Entry'!AP26)</f>
        <v>45</v>
      </c>
      <c r="CL26" s="96">
        <f t="shared" si="39"/>
        <v>115</v>
      </c>
      <c r="CM26" s="65">
        <f t="shared" si="40"/>
        <v>0</v>
      </c>
      <c r="CN26" s="65">
        <f t="shared" si="41"/>
        <v>0</v>
      </c>
      <c r="CO26" s="66">
        <f t="shared" si="42"/>
        <v>200</v>
      </c>
      <c r="CP26" s="65" t="str">
        <f t="shared" si="43"/>
        <v/>
      </c>
      <c r="CQ26" s="65" t="str">
        <f t="shared" si="44"/>
        <v>P</v>
      </c>
      <c r="CR26" s="65" t="str">
        <f t="shared" si="45"/>
        <v>II</v>
      </c>
      <c r="CS26" s="616" t="str">
        <f>IF('School Profile'!$D$20="NO","",IF('Marks Entry'!AQ26="","",IF('Marks Entry'!AQ26=1,'School Profile'!$I$29,IF('Marks Entry'!AQ26=2,'School Profile'!$I$30,IF('Marks Entry'!AQ26=3,'School Profile'!$I$31,IF('Marks Entry'!AQ26=4,'School Profile'!$I$32,IF('Marks Entry'!AQ26=5,'School Profile'!$I$33,IF('Marks Entry'!AQ26=6,'School Profile'!$I$34,IF('Marks Entry'!AQ26=7,'School Profile'!$I$35,IF('Marks Entry'!AQ26=8,'School Profile'!$I$36,IF('Marks Entry'!AQ26=9,'School Profile'!$I$37,IF('Marks Entry'!AQ26=10,'School Profile'!$I$38,IF('Marks Entry'!AQ26=11,'School Profile'!$I$39,"")))))))))))))</f>
        <v/>
      </c>
      <c r="CT26" s="68" t="str">
        <f>IF('School Profile'!$D$20="NO","",IF('Marks Entry'!AR26="","",'Marks Entry'!AR26))</f>
        <v/>
      </c>
      <c r="CU26" s="68" t="str">
        <f>IF('School Profile'!$D$20="NO","",IF('Marks Entry'!AS26="","",'Marks Entry'!AS26))</f>
        <v/>
      </c>
      <c r="CV26" s="68" t="str">
        <f>IF('School Profile'!$D$20="NO","",IF('Marks Entry'!AT26="","",'Marks Entry'!AT26))</f>
        <v/>
      </c>
      <c r="CW26" s="514" t="str">
        <f>IF('School Profile'!$D$20="NO","",IF(AND(CT26="",CU26="",CV26=""),"",SUM(CT26:CV26)))</f>
        <v/>
      </c>
      <c r="CX26" s="68" t="str">
        <f>IF('School Profile'!$D$20="NO","",IF('Marks Entry'!AU26="","",'Marks Entry'!AU26))</f>
        <v/>
      </c>
      <c r="CY26" s="68" t="str">
        <f>IF('School Profile'!$D$20="NO","",IF('Marks Entry'!AV26="","",'Marks Entry'!AV26))</f>
        <v/>
      </c>
      <c r="CZ26" s="515" t="str">
        <f>IF('School Profile'!$D$20="NO","",IF(AND(CX26="",CY26=""),"",SUM(CX26,CY26)))</f>
        <v/>
      </c>
      <c r="DA26" s="69" t="str">
        <f>IF('School Profile'!$D$20="NO","",IF(AND(CW26="",CZ26=""),"",SUM(CW26+CZ26)))</f>
        <v/>
      </c>
      <c r="DB26" s="68" t="str">
        <f>IF('School Profile'!$D$20="NO","",IF('Marks Entry'!AW26="","",'Marks Entry'!AW26))</f>
        <v/>
      </c>
      <c r="DC26" s="68" t="str">
        <f>IF('School Profile'!$D$20="NO","",IF('Marks Entry'!AX26="","",'Marks Entry'!AX26))</f>
        <v/>
      </c>
      <c r="DD26" s="515" t="str">
        <f>IF('School Profile'!$D$20="NO","",IF(AND(DB26="",DC26=""),"",SUM(DB26,DC26)))</f>
        <v/>
      </c>
      <c r="DE26" s="96" t="str">
        <f>IF('School Profile'!$D$20="NO","",IF(AND(DA26="",DD26=""),"",SUM(DA26,DD26)))</f>
        <v/>
      </c>
      <c r="DF26" s="532">
        <f t="shared" si="46"/>
        <v>0</v>
      </c>
      <c r="DG26" s="65">
        <f t="shared" si="47"/>
        <v>0</v>
      </c>
      <c r="DH26" s="66" t="str">
        <f t="shared" si="48"/>
        <v/>
      </c>
      <c r="DI26" s="65" t="str">
        <f t="shared" si="49"/>
        <v/>
      </c>
      <c r="DJ26" s="65" t="str">
        <f t="shared" si="50"/>
        <v/>
      </c>
      <c r="DK26" s="65" t="str">
        <f t="shared" si="51"/>
        <v/>
      </c>
      <c r="DL26" s="97" t="str">
        <f t="shared" si="94"/>
        <v>I</v>
      </c>
      <c r="DM26" s="97" t="str">
        <f t="shared" si="95"/>
        <v>D</v>
      </c>
      <c r="DN26" s="97" t="str">
        <f t="shared" si="96"/>
        <v>II</v>
      </c>
      <c r="DO26" s="97" t="str">
        <f t="shared" si="97"/>
        <v>II</v>
      </c>
      <c r="DP26" s="97" t="str">
        <f t="shared" si="98"/>
        <v>II</v>
      </c>
      <c r="DQ26" s="97" t="str">
        <f t="shared" si="99"/>
        <v>II</v>
      </c>
      <c r="DR26" s="97" t="str">
        <f t="shared" si="100"/>
        <v/>
      </c>
      <c r="DS26" s="98">
        <f t="shared" si="101"/>
        <v>0</v>
      </c>
      <c r="DT26" s="98">
        <f t="shared" si="102"/>
        <v>0</v>
      </c>
      <c r="DU26" s="98">
        <f t="shared" si="103"/>
        <v>0</v>
      </c>
      <c r="DV26" s="98">
        <f t="shared" si="104"/>
        <v>0</v>
      </c>
      <c r="DW26" s="98">
        <f t="shared" si="105"/>
        <v>0</v>
      </c>
      <c r="DX26" s="98" t="str">
        <f t="shared" si="106"/>
        <v/>
      </c>
      <c r="DY26" s="99" t="str">
        <f t="shared" si="107"/>
        <v>PASS</v>
      </c>
      <c r="DZ26" s="74" t="str">
        <f>IF('Marks Entry'!AY26="","",'Marks Entry'!AY26)</f>
        <v/>
      </c>
      <c r="EA26" s="74" t="str">
        <f>IF('Marks Entry'!AZ26="","",'Marks Entry'!AZ26)</f>
        <v/>
      </c>
      <c r="EB26" s="74" t="str">
        <f>IF('Marks Entry'!BA26="","",'Marks Entry'!BA26)</f>
        <v/>
      </c>
      <c r="EC26" s="527" t="str">
        <f t="shared" si="52"/>
        <v/>
      </c>
      <c r="ED26" s="74" t="str">
        <f>IF('Marks Entry'!BB26="","",'Marks Entry'!BB26)</f>
        <v/>
      </c>
      <c r="EE26" s="528" t="str">
        <f t="shared" si="53"/>
        <v/>
      </c>
      <c r="EF26" s="74" t="str">
        <f>IF('Marks Entry'!BC26="","",'Marks Entry'!BC26)</f>
        <v/>
      </c>
      <c r="EG26" s="530" t="str">
        <f t="shared" si="54"/>
        <v/>
      </c>
      <c r="EH26" s="368" t="str">
        <f t="shared" si="108"/>
        <v/>
      </c>
      <c r="EI26" s="65">
        <f t="shared" si="109"/>
        <v>0</v>
      </c>
      <c r="EJ26" s="65">
        <f t="shared" si="110"/>
        <v>0</v>
      </c>
      <c r="EK26" s="66" t="str">
        <f t="shared" si="111"/>
        <v/>
      </c>
      <c r="EL26" s="74" t="str">
        <f>IF('Marks Entry'!BD26="","",'Marks Entry'!BD26)</f>
        <v/>
      </c>
      <c r="EM26" s="74" t="str">
        <f>IF('Marks Entry'!BE26="","",'Marks Entry'!BE26)</f>
        <v/>
      </c>
      <c r="EN26" s="74" t="str">
        <f>IF('Marks Entry'!BF26="","",'Marks Entry'!BF26)</f>
        <v/>
      </c>
      <c r="EO26" s="527" t="str">
        <f t="shared" si="55"/>
        <v/>
      </c>
      <c r="EP26" s="74" t="str">
        <f>IF('Marks Entry'!BG26="","",'Marks Entry'!BG26)</f>
        <v/>
      </c>
      <c r="EQ26" s="74" t="str">
        <f>IF('Marks Entry'!BH26="","",'Marks Entry'!BH26)</f>
        <v/>
      </c>
      <c r="ER26" s="528" t="str">
        <f t="shared" si="56"/>
        <v/>
      </c>
      <c r="ES26" s="529" t="str">
        <f t="shared" si="57"/>
        <v/>
      </c>
      <c r="ET26" s="74" t="str">
        <f>IF('Marks Entry'!BI26="","",'Marks Entry'!BI26)</f>
        <v/>
      </c>
      <c r="EU26" s="74" t="str">
        <f>IF('Marks Entry'!BJ26="","",'Marks Entry'!BJ26)</f>
        <v/>
      </c>
      <c r="EV26" s="528" t="str">
        <f t="shared" si="58"/>
        <v/>
      </c>
      <c r="EW26" s="530" t="str">
        <f t="shared" si="59"/>
        <v/>
      </c>
      <c r="EX26" s="368" t="str">
        <f t="shared" si="112"/>
        <v/>
      </c>
      <c r="EY26" s="65">
        <f t="shared" si="113"/>
        <v>0</v>
      </c>
      <c r="EZ26" s="65">
        <f t="shared" si="114"/>
        <v>0</v>
      </c>
      <c r="FA26" s="66" t="str">
        <f t="shared" si="115"/>
        <v/>
      </c>
      <c r="FB26" s="74" t="str">
        <f>IF('Marks Entry'!BK26="","",'Marks Entry'!BK26)</f>
        <v/>
      </c>
      <c r="FC26" s="74" t="str">
        <f>IF('Marks Entry'!BL26="","",'Marks Entry'!BL26)</f>
        <v/>
      </c>
      <c r="FD26" s="74" t="str">
        <f>IF('Marks Entry'!BM26="","",'Marks Entry'!BM26)</f>
        <v/>
      </c>
      <c r="FE26" s="74" t="str">
        <f>IF('Marks Entry'!BN26="","",'Marks Entry'!BN26)</f>
        <v/>
      </c>
      <c r="FF26" s="74" t="str">
        <f>IF('Marks Entry'!BO26="","",'Marks Entry'!BO26)</f>
        <v/>
      </c>
      <c r="FG26" s="74" t="str">
        <f>IF('Marks Entry'!BP26="","",'Marks Entry'!BP26)</f>
        <v/>
      </c>
      <c r="FH26" s="527" t="str">
        <f t="shared" si="60"/>
        <v/>
      </c>
      <c r="FI26" s="74" t="str">
        <f>IF('Marks Entry'!BQ26="","",'Marks Entry'!BQ26)</f>
        <v/>
      </c>
      <c r="FJ26" s="74" t="str">
        <f>IF('Marks Entry'!BR26="","",'Marks Entry'!BR26)</f>
        <v/>
      </c>
      <c r="FK26" s="528" t="str">
        <f t="shared" si="61"/>
        <v/>
      </c>
      <c r="FL26" s="529" t="str">
        <f t="shared" si="62"/>
        <v/>
      </c>
      <c r="FM26" s="74" t="str">
        <f>IF('Marks Entry'!BS26="","",'Marks Entry'!BS26)</f>
        <v/>
      </c>
      <c r="FN26" s="74" t="str">
        <f>IF('Marks Entry'!BT26="","",'Marks Entry'!BT26)</f>
        <v/>
      </c>
      <c r="FO26" s="528" t="str">
        <f t="shared" si="63"/>
        <v/>
      </c>
      <c r="FP26" s="530" t="str">
        <f t="shared" si="64"/>
        <v/>
      </c>
      <c r="FQ26" s="368" t="str">
        <f t="shared" si="116"/>
        <v/>
      </c>
      <c r="FR26" s="65">
        <f t="shared" si="117"/>
        <v>0</v>
      </c>
      <c r="FS26" s="65">
        <f t="shared" si="118"/>
        <v>0</v>
      </c>
      <c r="FT26" s="66" t="str">
        <f t="shared" si="119"/>
        <v/>
      </c>
      <c r="FU26" s="74" t="str">
        <f>IF('Marks Entry'!BU26="","",'Marks Entry'!BU26)</f>
        <v/>
      </c>
      <c r="FV26" s="74" t="str">
        <f>IF('Marks Entry'!BV26="","",'Marks Entry'!BV26)</f>
        <v/>
      </c>
      <c r="FW26" s="74" t="str">
        <f>IF('Marks Entry'!BW26="","",'Marks Entry'!BW26)</f>
        <v/>
      </c>
      <c r="FX26" s="75" t="str">
        <f t="shared" si="65"/>
        <v/>
      </c>
      <c r="FY26" s="368" t="str">
        <f t="shared" si="120"/>
        <v/>
      </c>
      <c r="FZ26" s="65">
        <f t="shared" si="121"/>
        <v>0</v>
      </c>
      <c r="GA26" s="66">
        <f t="shared" si="122"/>
        <v>0</v>
      </c>
      <c r="GB26" s="66" t="str">
        <f t="shared" si="123"/>
        <v/>
      </c>
      <c r="GC26" s="74" t="str">
        <f>IF('Marks Entry'!BX26="","",'Marks Entry'!BX26)</f>
        <v/>
      </c>
      <c r="GD26" s="74" t="str">
        <f>IF('Marks Entry'!BY26="","",'Marks Entry'!BY26)</f>
        <v/>
      </c>
      <c r="GE26" s="74" t="str">
        <f>IF('Marks Entry'!BZ26="","",'Marks Entry'!BZ26)</f>
        <v/>
      </c>
      <c r="GF26" s="75" t="str">
        <f t="shared" si="124"/>
        <v/>
      </c>
      <c r="GG26" s="368" t="str">
        <f t="shared" si="125"/>
        <v/>
      </c>
      <c r="GH26" s="65">
        <f t="shared" si="126"/>
        <v>0</v>
      </c>
      <c r="GI26" s="66">
        <f t="shared" si="127"/>
        <v>0</v>
      </c>
      <c r="GJ26" s="66" t="str">
        <f t="shared" si="128"/>
        <v/>
      </c>
      <c r="GK26" s="100" t="str">
        <f>IF(AND(F26="",B26=""),"",IF('Student DATA Entry'!M23="","",'Student DATA Entry'!M23))</f>
        <v/>
      </c>
      <c r="GL26" s="101" t="str">
        <f>IF(AND(B26="",F26=""),"",IF('Student DATA Entry'!N23="","",'Student DATA Entry'!N23))</f>
        <v/>
      </c>
      <c r="GM26" s="581" t="str">
        <f t="shared" si="129"/>
        <v/>
      </c>
      <c r="GN26" s="94" t="str">
        <f t="shared" si="130"/>
        <v>I</v>
      </c>
      <c r="GO26" s="94" t="str">
        <f t="shared" si="131"/>
        <v/>
      </c>
      <c r="GP26" s="102" t="str">
        <f t="shared" si="67"/>
        <v/>
      </c>
      <c r="GQ26" s="94" t="str">
        <f t="shared" si="132"/>
        <v>D</v>
      </c>
      <c r="GR26" s="103" t="str">
        <f t="shared" si="133"/>
        <v/>
      </c>
      <c r="GS26" s="102" t="str">
        <f t="shared" si="68"/>
        <v/>
      </c>
      <c r="GT26" s="104" t="str">
        <f t="shared" si="134"/>
        <v>II</v>
      </c>
      <c r="GU26" s="94" t="str">
        <f>IF('Marks Entry'!V26=1,GT26,"")</f>
        <v/>
      </c>
      <c r="GV26" s="94" t="str">
        <f>IF('Marks Entry'!V26=2,GT26,"")</f>
        <v/>
      </c>
      <c r="GW26" s="94" t="str">
        <f>IF('Marks Entry'!V26=3,GT26,"")</f>
        <v/>
      </c>
      <c r="GX26" s="94" t="str">
        <f>IF('Marks Entry'!V26=4,GT26,"")</f>
        <v>II</v>
      </c>
      <c r="GY26" s="94" t="str">
        <f>IF('Marks Entry'!V26=5,GT26,"")</f>
        <v/>
      </c>
      <c r="GZ26" s="94" t="str">
        <f t="shared" si="135"/>
        <v/>
      </c>
      <c r="HA26" s="105" t="str">
        <f t="shared" si="69"/>
        <v/>
      </c>
      <c r="HB26" s="94" t="str">
        <f t="shared" si="136"/>
        <v>II</v>
      </c>
      <c r="HC26" s="94" t="str">
        <f t="shared" si="137"/>
        <v/>
      </c>
      <c r="HD26" s="105" t="str">
        <f t="shared" si="70"/>
        <v/>
      </c>
      <c r="HE26" s="94" t="str">
        <f t="shared" si="138"/>
        <v>II</v>
      </c>
      <c r="HF26" s="94" t="str">
        <f t="shared" si="139"/>
        <v/>
      </c>
      <c r="HG26" s="105" t="str">
        <f t="shared" si="71"/>
        <v/>
      </c>
      <c r="HH26" s="94" t="str">
        <f t="shared" si="140"/>
        <v>II</v>
      </c>
      <c r="HI26" s="94" t="str">
        <f t="shared" si="141"/>
        <v/>
      </c>
      <c r="HJ26" s="105" t="str">
        <f t="shared" si="72"/>
        <v/>
      </c>
      <c r="HK26" s="94" t="str">
        <f t="shared" si="142"/>
        <v/>
      </c>
      <c r="HL26" s="94" t="str">
        <f t="shared" si="143"/>
        <v/>
      </c>
      <c r="HM26" s="105" t="str">
        <f t="shared" si="73"/>
        <v/>
      </c>
      <c r="HN26" s="367" t="str">
        <f t="shared" si="144"/>
        <v xml:space="preserve">      </v>
      </c>
      <c r="HO26" s="418" t="str">
        <f t="shared" si="145"/>
        <v xml:space="preserve">      </v>
      </c>
      <c r="HP26" s="367" t="str">
        <f t="shared" si="146"/>
        <v xml:space="preserve">      </v>
      </c>
      <c r="HQ26" s="107" t="str">
        <f t="shared" si="147"/>
        <v xml:space="preserve">      </v>
      </c>
      <c r="HR26" s="366" t="str">
        <f t="shared" si="148"/>
        <v xml:space="preserve"> अंग्रेजी     </v>
      </c>
      <c r="HS26" s="544" t="str">
        <f t="shared" si="74"/>
        <v>PASS</v>
      </c>
      <c r="HT26" s="542">
        <f t="shared" si="149"/>
        <v>768</v>
      </c>
      <c r="HU26" s="541">
        <f t="shared" si="160"/>
        <v>64</v>
      </c>
      <c r="HV26" s="540" t="str">
        <f t="shared" si="150"/>
        <v>1st</v>
      </c>
      <c r="HW26" s="537">
        <f t="shared" si="151"/>
        <v>64</v>
      </c>
      <c r="HX26" s="539">
        <f t="shared" si="152"/>
        <v>6.9999999999999263</v>
      </c>
      <c r="HY26" s="553" t="str">
        <f>IFERROR(IF(OR(HS26="SUPPLEMENTARY",HS26="RE-EXAM"),'Supp. Result Entry'!AQ24,""),"")</f>
        <v/>
      </c>
      <c r="HZ26" s="538" t="str">
        <f t="shared" si="153"/>
        <v/>
      </c>
      <c r="IA26" s="415" t="str">
        <f t="shared" si="154"/>
        <v/>
      </c>
      <c r="IB26" s="415" t="str">
        <f>IF(AND(HZ26="",IA26=""),"",IF(OR(HS26="SUPPLEMENTARY",HS26="RE-EXAM"),'Supp. Result Entry'!AQ24,HS26))</f>
        <v/>
      </c>
      <c r="IC26" s="87"/>
      <c r="IS26" s="109" t="str">
        <f>IF('Supp. Result Entry'!T24="","",'Supp. Result Entry'!$T$4)</f>
        <v/>
      </c>
      <c r="IT26" s="110" t="str">
        <f>IF('Supp. Result Entry'!W24="","",'Supp. Result Entry'!$W$4)</f>
        <v/>
      </c>
      <c r="IU26" s="110" t="str">
        <f>IF('Supp. Result Entry'!Z24="","",'Supp. Result Entry'!$Z$4)</f>
        <v/>
      </c>
      <c r="IV26" s="110" t="str">
        <f>IF('Supp. Result Entry'!AC24="","",'Supp. Result Entry'!$AC$4)</f>
        <v/>
      </c>
      <c r="IW26" s="110" t="str">
        <f>IF('Supp. Result Entry'!AF24="","",'Supp. Result Entry'!$AF$4)</f>
        <v/>
      </c>
      <c r="IX26" s="110" t="str">
        <f>IF('Supp. Result Entry'!AI24="","",'Supp. Result Entry'!$AI$4)</f>
        <v/>
      </c>
      <c r="IY26" s="110" t="str">
        <f>IF('Supp. Result Entry'!AI24="","",'Supp. Result Entry'!$AL$4)</f>
        <v/>
      </c>
      <c r="IZ26" s="110" t="str">
        <f>IF('Supp. Result Entry'!U24="","",'Supp. Result Entry'!U24)</f>
        <v/>
      </c>
      <c r="JA26" s="110" t="str">
        <f>IF('Supp. Result Entry'!X24="","",'Supp. Result Entry'!X24)</f>
        <v/>
      </c>
      <c r="JB26" s="110" t="str">
        <f>IF('Supp. Result Entry'!AA24="","",'Supp. Result Entry'!AA24)</f>
        <v/>
      </c>
      <c r="JC26" s="110" t="str">
        <f>IF('Supp. Result Entry'!AD24="","",'Supp. Result Entry'!AD24)</f>
        <v/>
      </c>
      <c r="JD26" s="110" t="str">
        <f>IF('Supp. Result Entry'!AG24="","",'Supp. Result Entry'!AG24)</f>
        <v/>
      </c>
      <c r="JE26" s="110" t="str">
        <f>IF('Supp. Result Entry'!AJ24="","",'Supp. Result Entry'!AJ24)</f>
        <v/>
      </c>
      <c r="JF26" s="110" t="str">
        <f>IF('Supp. Result Entry'!AM24="","",'Supp. Result Entry'!AM24)</f>
        <v/>
      </c>
      <c r="JG26" s="110" t="str">
        <f>IF('Supp. Result Entry'!V24="","",'Supp. Result Entry'!V24)</f>
        <v/>
      </c>
      <c r="JH26" s="110" t="str">
        <f>IF('Supp. Result Entry'!Y24="","",'Supp. Result Entry'!Y24)</f>
        <v/>
      </c>
      <c r="JI26" s="110" t="str">
        <f>IF('Supp. Result Entry'!AB24="","",'Supp. Result Entry'!AB24)</f>
        <v/>
      </c>
      <c r="JJ26" s="110" t="str">
        <f>IF('Supp. Result Entry'!AE24="","",'Supp. Result Entry'!AE24)</f>
        <v/>
      </c>
      <c r="JK26" s="110" t="str">
        <f>IF('Supp. Result Entry'!AH24="","",'Supp. Result Entry'!AH24)</f>
        <v/>
      </c>
      <c r="JL26" s="110" t="str">
        <f>IF('Supp. Result Entry'!AK24="","",'Supp. Result Entry'!AK24)</f>
        <v/>
      </c>
      <c r="JM26" s="110" t="str">
        <f>IF('Supp. Result Entry'!AN24="","",'Supp. Result Entry'!AN24)</f>
        <v/>
      </c>
      <c r="JN26" s="110">
        <f>COUNTIF('Supp. Result Entry'!K24:Q24,"S")</f>
        <v>0</v>
      </c>
      <c r="JO26" s="110">
        <f t="shared" si="155"/>
        <v>0</v>
      </c>
      <c r="JP26" s="110">
        <f t="shared" si="156"/>
        <v>0</v>
      </c>
      <c r="JQ26" s="110" t="str">
        <f t="shared" si="75"/>
        <v/>
      </c>
      <c r="JR26" s="110" t="str">
        <f t="shared" si="76"/>
        <v/>
      </c>
      <c r="JS26" s="110" t="str">
        <f t="shared" si="77"/>
        <v/>
      </c>
      <c r="JT26" s="110" t="str">
        <f t="shared" si="78"/>
        <v/>
      </c>
      <c r="JU26" s="110" t="str">
        <f t="shared" si="79"/>
        <v/>
      </c>
      <c r="JV26" s="110" t="str">
        <f t="shared" si="80"/>
        <v/>
      </c>
      <c r="JW26" s="110" t="str">
        <f t="shared" si="81"/>
        <v/>
      </c>
      <c r="JX26" s="110" t="str">
        <f t="shared" si="157"/>
        <v/>
      </c>
      <c r="JY26" s="110" t="str">
        <f t="shared" si="158"/>
        <v/>
      </c>
      <c r="JZ26" s="110" t="str">
        <f t="shared" si="82"/>
        <v/>
      </c>
      <c r="KA26" s="108" t="str">
        <f t="shared" si="159"/>
        <v/>
      </c>
    </row>
    <row r="27" spans="1:287" s="108" customFormat="1" ht="21.95" customHeight="1">
      <c r="A27" s="89">
        <v>21</v>
      </c>
      <c r="B27" s="90">
        <f>IF('Marks Entry'!B27="","",'Marks Entry'!B27)</f>
        <v>921</v>
      </c>
      <c r="C27" s="94" t="str">
        <f>IF('Marks Entry'!D27="","",'Marks Entry'!D27)</f>
        <v>A</v>
      </c>
      <c r="D27" s="91" t="str">
        <f>IF('Marks Entry'!E27="","",'Marks Entry'!E27)</f>
        <v/>
      </c>
      <c r="E27" s="92" t="str">
        <f>IF('Marks Entry'!F27="","",'Marks Entry'!F27)</f>
        <v/>
      </c>
      <c r="F27" s="93" t="str">
        <f>IF('Marks Entry'!G27="","",'Marks Entry'!G27)</f>
        <v>VILIAM</v>
      </c>
      <c r="G27" s="93" t="str">
        <f>IF('Marks Entry'!H27="","",'Marks Entry'!H27)</f>
        <v/>
      </c>
      <c r="H27" s="93" t="str">
        <f>IF('Marks Entry'!I27="","",'Marks Entry'!I27)</f>
        <v/>
      </c>
      <c r="I27" s="94" t="str">
        <f>IF('Marks Entry'!J27="","",'Marks Entry'!J27)</f>
        <v/>
      </c>
      <c r="J27" s="95" t="str">
        <f>IF('Marks Entry'!K27="","",'Marks Entry'!K27)</f>
        <v/>
      </c>
      <c r="K27" s="68">
        <f>IF('Marks Entry'!L27="","",'Marks Entry'!L27)</f>
        <v>8</v>
      </c>
      <c r="L27" s="68">
        <f>IF('Marks Entry'!M27="","",'Marks Entry'!M27)</f>
        <v>9</v>
      </c>
      <c r="M27" s="68">
        <f>IF('Marks Entry'!N27="","",'Marks Entry'!N27)</f>
        <v>8</v>
      </c>
      <c r="N27" s="514">
        <f t="shared" si="83"/>
        <v>25</v>
      </c>
      <c r="O27" s="68">
        <f>IF('Marks Entry'!O27="","",'Marks Entry'!O27)</f>
        <v>46</v>
      </c>
      <c r="P27" s="515">
        <f t="shared" si="84"/>
        <v>71</v>
      </c>
      <c r="Q27" s="68">
        <f>IF('Marks Entry'!P27="","",'Marks Entry'!P27)</f>
        <v>65</v>
      </c>
      <c r="R27" s="96">
        <f t="shared" si="85"/>
        <v>136</v>
      </c>
      <c r="S27" s="65">
        <f t="shared" si="86"/>
        <v>0</v>
      </c>
      <c r="T27" s="65">
        <f t="shared" si="87"/>
        <v>0</v>
      </c>
      <c r="U27" s="66">
        <f t="shared" si="88"/>
        <v>200</v>
      </c>
      <c r="V27" s="65" t="str">
        <f t="shared" si="89"/>
        <v/>
      </c>
      <c r="W27" s="65" t="str">
        <f t="shared" si="90"/>
        <v>P</v>
      </c>
      <c r="X27" s="65" t="str">
        <f t="shared" si="91"/>
        <v>I</v>
      </c>
      <c r="Y27" s="68">
        <f>IF('Marks Entry'!Q27="","",'Marks Entry'!Q27)</f>
        <v>8</v>
      </c>
      <c r="Z27" s="68">
        <f>IF('Marks Entry'!R27="","",'Marks Entry'!R27)</f>
        <v>9</v>
      </c>
      <c r="AA27" s="68">
        <f>IF('Marks Entry'!S27="","",'Marks Entry'!S27)</f>
        <v>8</v>
      </c>
      <c r="AB27" s="514">
        <f t="shared" si="2"/>
        <v>25</v>
      </c>
      <c r="AC27" s="68">
        <f>IF('Marks Entry'!T27="","",'Marks Entry'!T27)</f>
        <v>60</v>
      </c>
      <c r="AD27" s="515">
        <f t="shared" si="3"/>
        <v>85</v>
      </c>
      <c r="AE27" s="68">
        <f>IF('Marks Entry'!U27="","",'Marks Entry'!U27)</f>
        <v>85</v>
      </c>
      <c r="AF27" s="96">
        <f t="shared" si="4"/>
        <v>170</v>
      </c>
      <c r="AG27" s="65">
        <f t="shared" si="5"/>
        <v>0</v>
      </c>
      <c r="AH27" s="65">
        <f t="shared" si="6"/>
        <v>0</v>
      </c>
      <c r="AI27" s="66">
        <f t="shared" si="7"/>
        <v>200</v>
      </c>
      <c r="AJ27" s="65" t="str">
        <f t="shared" si="8"/>
        <v/>
      </c>
      <c r="AK27" s="65" t="str">
        <f t="shared" si="9"/>
        <v>P</v>
      </c>
      <c r="AL27" s="65" t="str">
        <f t="shared" si="10"/>
        <v>D</v>
      </c>
      <c r="AM27" s="524" t="str">
        <f>IF('Marks Entry'!V27="","",IF('Marks Entry'!V27=1,'School Profile'!$I$9,IF('Marks Entry'!V27=2,'School Profile'!$I$10,IF('Marks Entry'!V27=3,'School Profile'!$I$11,IF('Marks Entry'!V27=4,'School Profile'!$I$12,IF('Marks Entry'!V27=5,'School Profile'!$I$13,IF('Marks Entry'!V27=6,'School Profile'!$I$14,"")))))))</f>
        <v xml:space="preserve">उर्दू (72) </v>
      </c>
      <c r="AN27" s="68">
        <f>IF('Marks Entry'!W27="","",'Marks Entry'!W27)</f>
        <v>8</v>
      </c>
      <c r="AO27" s="68">
        <f>IF('Marks Entry'!X27="","",'Marks Entry'!X27)</f>
        <v>9</v>
      </c>
      <c r="AP27" s="68">
        <f>IF('Marks Entry'!Y27="","",'Marks Entry'!Y27)</f>
        <v>9</v>
      </c>
      <c r="AQ27" s="514">
        <f t="shared" si="11"/>
        <v>26</v>
      </c>
      <c r="AR27" s="68">
        <f>IF('Marks Entry'!Z27="","",'Marks Entry'!Z27)</f>
        <v>46</v>
      </c>
      <c r="AS27" s="515">
        <f t="shared" si="12"/>
        <v>72</v>
      </c>
      <c r="AT27" s="68">
        <f>IF('Marks Entry'!AA27="","",'Marks Entry'!AA27)</f>
        <v>45</v>
      </c>
      <c r="AU27" s="96">
        <f t="shared" si="13"/>
        <v>117</v>
      </c>
      <c r="AV27" s="65">
        <f t="shared" si="14"/>
        <v>0</v>
      </c>
      <c r="AW27" s="65">
        <f t="shared" si="15"/>
        <v>0</v>
      </c>
      <c r="AX27" s="66">
        <f t="shared" si="16"/>
        <v>200</v>
      </c>
      <c r="AY27" s="65" t="str">
        <f t="shared" si="17"/>
        <v/>
      </c>
      <c r="AZ27" s="65" t="str">
        <f t="shared" si="18"/>
        <v>P</v>
      </c>
      <c r="BA27" s="65" t="str">
        <f t="shared" si="19"/>
        <v>II</v>
      </c>
      <c r="BB27" s="68">
        <f>IF('Marks Entry'!AB27="","",'Marks Entry'!AB27)</f>
        <v>8</v>
      </c>
      <c r="BC27" s="68">
        <f>IF('Marks Entry'!AC27="","",'Marks Entry'!AC27)</f>
        <v>9</v>
      </c>
      <c r="BD27" s="68">
        <f>IF('Marks Entry'!AD27="","",'Marks Entry'!AD27)</f>
        <v>7</v>
      </c>
      <c r="BE27" s="514">
        <f t="shared" si="20"/>
        <v>24</v>
      </c>
      <c r="BF27" s="68">
        <f>IF('Marks Entry'!AE27="","",'Marks Entry'!AE27)</f>
        <v>46</v>
      </c>
      <c r="BG27" s="515">
        <f t="shared" si="21"/>
        <v>70</v>
      </c>
      <c r="BH27" s="68">
        <f>IF('Marks Entry'!AF27="","",'Marks Entry'!AF27)</f>
        <v>45</v>
      </c>
      <c r="BI27" s="96">
        <f t="shared" si="22"/>
        <v>115</v>
      </c>
      <c r="BJ27" s="65">
        <f t="shared" si="23"/>
        <v>0</v>
      </c>
      <c r="BK27" s="65">
        <f t="shared" si="92"/>
        <v>0</v>
      </c>
      <c r="BL27" s="66">
        <f t="shared" si="24"/>
        <v>200</v>
      </c>
      <c r="BM27" s="65" t="str">
        <f t="shared" si="25"/>
        <v/>
      </c>
      <c r="BN27" s="65" t="str">
        <f t="shared" si="26"/>
        <v>P</v>
      </c>
      <c r="BO27" s="65" t="str">
        <f t="shared" si="27"/>
        <v>II</v>
      </c>
      <c r="BP27" s="68">
        <f>IF('Marks Entry'!AG27="","",'Marks Entry'!AG27)</f>
        <v>8</v>
      </c>
      <c r="BQ27" s="68">
        <f>IF('Marks Entry'!AH27="","",'Marks Entry'!AH27)</f>
        <v>9</v>
      </c>
      <c r="BR27" s="68">
        <f>IF('Marks Entry'!AI27="","",'Marks Entry'!AI27)</f>
        <v>7</v>
      </c>
      <c r="BS27" s="514">
        <f t="shared" si="28"/>
        <v>24</v>
      </c>
      <c r="BT27" s="68">
        <f>IF('Marks Entry'!AJ27="","",'Marks Entry'!AJ27)</f>
        <v>46</v>
      </c>
      <c r="BU27" s="515">
        <f t="shared" si="29"/>
        <v>70</v>
      </c>
      <c r="BV27" s="68">
        <f>IF('Marks Entry'!AK27="","",'Marks Entry'!AK27)</f>
        <v>45</v>
      </c>
      <c r="BW27" s="96">
        <f t="shared" si="30"/>
        <v>115</v>
      </c>
      <c r="BX27" s="65">
        <f t="shared" si="31"/>
        <v>0</v>
      </c>
      <c r="BY27" s="65">
        <f t="shared" si="32"/>
        <v>0</v>
      </c>
      <c r="BZ27" s="66">
        <f t="shared" si="33"/>
        <v>200</v>
      </c>
      <c r="CA27" s="65" t="str">
        <f t="shared" si="34"/>
        <v/>
      </c>
      <c r="CB27" s="65" t="str">
        <f t="shared" si="35"/>
        <v>P</v>
      </c>
      <c r="CC27" s="65" t="str">
        <f t="shared" si="36"/>
        <v>II</v>
      </c>
      <c r="CD27" s="66">
        <f t="shared" si="93"/>
        <v>0</v>
      </c>
      <c r="CE27" s="68">
        <f>IF('Marks Entry'!AL27="","",'Marks Entry'!AL27)</f>
        <v>8</v>
      </c>
      <c r="CF27" s="68">
        <f>IF('Marks Entry'!AM27="","",'Marks Entry'!AM27)</f>
        <v>8</v>
      </c>
      <c r="CG27" s="68">
        <f>IF('Marks Entry'!AN27="","",'Marks Entry'!AN27)</f>
        <v>8</v>
      </c>
      <c r="CH27" s="514">
        <f t="shared" si="37"/>
        <v>24</v>
      </c>
      <c r="CI27" s="68">
        <f>IF('Marks Entry'!AO27="","",'Marks Entry'!AO27)</f>
        <v>46</v>
      </c>
      <c r="CJ27" s="515">
        <f t="shared" si="38"/>
        <v>70</v>
      </c>
      <c r="CK27" s="68">
        <f>IF('Marks Entry'!AP27="","",'Marks Entry'!AP27)</f>
        <v>45</v>
      </c>
      <c r="CL27" s="96">
        <f t="shared" si="39"/>
        <v>115</v>
      </c>
      <c r="CM27" s="65">
        <f t="shared" si="40"/>
        <v>0</v>
      </c>
      <c r="CN27" s="65">
        <f t="shared" si="41"/>
        <v>0</v>
      </c>
      <c r="CO27" s="66">
        <f t="shared" si="42"/>
        <v>200</v>
      </c>
      <c r="CP27" s="65" t="str">
        <f t="shared" si="43"/>
        <v/>
      </c>
      <c r="CQ27" s="65" t="str">
        <f t="shared" si="44"/>
        <v>P</v>
      </c>
      <c r="CR27" s="65" t="str">
        <f t="shared" si="45"/>
        <v>II</v>
      </c>
      <c r="CS27" s="616" t="str">
        <f>IF('School Profile'!$D$20="NO","",IF('Marks Entry'!AQ27="","",IF('Marks Entry'!AQ27=1,'School Profile'!$I$29,IF('Marks Entry'!AQ27=2,'School Profile'!$I$30,IF('Marks Entry'!AQ27=3,'School Profile'!$I$31,IF('Marks Entry'!AQ27=4,'School Profile'!$I$32,IF('Marks Entry'!AQ27=5,'School Profile'!$I$33,IF('Marks Entry'!AQ27=6,'School Profile'!$I$34,IF('Marks Entry'!AQ27=7,'School Profile'!$I$35,IF('Marks Entry'!AQ27=8,'School Profile'!$I$36,IF('Marks Entry'!AQ27=9,'School Profile'!$I$37,IF('Marks Entry'!AQ27=10,'School Profile'!$I$38,IF('Marks Entry'!AQ27=11,'School Profile'!$I$39,"")))))))))))))</f>
        <v/>
      </c>
      <c r="CT27" s="68" t="str">
        <f>IF('School Profile'!$D$20="NO","",IF('Marks Entry'!AR27="","",'Marks Entry'!AR27))</f>
        <v/>
      </c>
      <c r="CU27" s="68" t="str">
        <f>IF('School Profile'!$D$20="NO","",IF('Marks Entry'!AS27="","",'Marks Entry'!AS27))</f>
        <v/>
      </c>
      <c r="CV27" s="68" t="str">
        <f>IF('School Profile'!$D$20="NO","",IF('Marks Entry'!AT27="","",'Marks Entry'!AT27))</f>
        <v/>
      </c>
      <c r="CW27" s="514" t="str">
        <f>IF('School Profile'!$D$20="NO","",IF(AND(CT27="",CU27="",CV27=""),"",SUM(CT27:CV27)))</f>
        <v/>
      </c>
      <c r="CX27" s="68" t="str">
        <f>IF('School Profile'!$D$20="NO","",IF('Marks Entry'!AU27="","",'Marks Entry'!AU27))</f>
        <v/>
      </c>
      <c r="CY27" s="68" t="str">
        <f>IF('School Profile'!$D$20="NO","",IF('Marks Entry'!AV27="","",'Marks Entry'!AV27))</f>
        <v/>
      </c>
      <c r="CZ27" s="515" t="str">
        <f>IF('School Profile'!$D$20="NO","",IF(AND(CX27="",CY27=""),"",SUM(CX27,CY27)))</f>
        <v/>
      </c>
      <c r="DA27" s="69" t="str">
        <f>IF('School Profile'!$D$20="NO","",IF(AND(CW27="",CZ27=""),"",SUM(CW27+CZ27)))</f>
        <v/>
      </c>
      <c r="DB27" s="68" t="str">
        <f>IF('School Profile'!$D$20="NO","",IF('Marks Entry'!AW27="","",'Marks Entry'!AW27))</f>
        <v/>
      </c>
      <c r="DC27" s="68" t="str">
        <f>IF('School Profile'!$D$20="NO","",IF('Marks Entry'!AX27="","",'Marks Entry'!AX27))</f>
        <v/>
      </c>
      <c r="DD27" s="515" t="str">
        <f>IF('School Profile'!$D$20="NO","",IF(AND(DB27="",DC27=""),"",SUM(DB27,DC27)))</f>
        <v/>
      </c>
      <c r="DE27" s="96" t="str">
        <f>IF('School Profile'!$D$20="NO","",IF(AND(DA27="",DD27=""),"",SUM(DA27,DD27)))</f>
        <v/>
      </c>
      <c r="DF27" s="532">
        <f t="shared" si="46"/>
        <v>0</v>
      </c>
      <c r="DG27" s="65">
        <f t="shared" si="47"/>
        <v>0</v>
      </c>
      <c r="DH27" s="66" t="str">
        <f t="shared" si="48"/>
        <v/>
      </c>
      <c r="DI27" s="65" t="str">
        <f t="shared" si="49"/>
        <v/>
      </c>
      <c r="DJ27" s="65" t="str">
        <f t="shared" si="50"/>
        <v/>
      </c>
      <c r="DK27" s="65" t="str">
        <f t="shared" si="51"/>
        <v/>
      </c>
      <c r="DL27" s="97" t="str">
        <f t="shared" si="94"/>
        <v>I</v>
      </c>
      <c r="DM27" s="97" t="str">
        <f t="shared" si="95"/>
        <v>D</v>
      </c>
      <c r="DN27" s="97" t="str">
        <f t="shared" si="96"/>
        <v>II</v>
      </c>
      <c r="DO27" s="97" t="str">
        <f t="shared" si="97"/>
        <v>II</v>
      </c>
      <c r="DP27" s="97" t="str">
        <f t="shared" si="98"/>
        <v>II</v>
      </c>
      <c r="DQ27" s="97" t="str">
        <f t="shared" si="99"/>
        <v>II</v>
      </c>
      <c r="DR27" s="97" t="str">
        <f t="shared" si="100"/>
        <v/>
      </c>
      <c r="DS27" s="98">
        <f t="shared" si="101"/>
        <v>0</v>
      </c>
      <c r="DT27" s="98">
        <f t="shared" si="102"/>
        <v>0</v>
      </c>
      <c r="DU27" s="98">
        <f t="shared" si="103"/>
        <v>0</v>
      </c>
      <c r="DV27" s="98">
        <f t="shared" si="104"/>
        <v>0</v>
      </c>
      <c r="DW27" s="98">
        <f t="shared" si="105"/>
        <v>0</v>
      </c>
      <c r="DX27" s="98" t="str">
        <f t="shared" si="106"/>
        <v/>
      </c>
      <c r="DY27" s="99" t="str">
        <f t="shared" si="107"/>
        <v>PASS</v>
      </c>
      <c r="DZ27" s="74" t="str">
        <f>IF('Marks Entry'!AY27="","",'Marks Entry'!AY27)</f>
        <v/>
      </c>
      <c r="EA27" s="74" t="str">
        <f>IF('Marks Entry'!AZ27="","",'Marks Entry'!AZ27)</f>
        <v/>
      </c>
      <c r="EB27" s="74" t="str">
        <f>IF('Marks Entry'!BA27="","",'Marks Entry'!BA27)</f>
        <v/>
      </c>
      <c r="EC27" s="527" t="str">
        <f t="shared" si="52"/>
        <v/>
      </c>
      <c r="ED27" s="74" t="str">
        <f>IF('Marks Entry'!BB27="","",'Marks Entry'!BB27)</f>
        <v/>
      </c>
      <c r="EE27" s="528" t="str">
        <f t="shared" si="53"/>
        <v/>
      </c>
      <c r="EF27" s="74" t="str">
        <f>IF('Marks Entry'!BC27="","",'Marks Entry'!BC27)</f>
        <v/>
      </c>
      <c r="EG27" s="530" t="str">
        <f t="shared" si="54"/>
        <v/>
      </c>
      <c r="EH27" s="368" t="str">
        <f t="shared" si="108"/>
        <v/>
      </c>
      <c r="EI27" s="65">
        <f t="shared" si="109"/>
        <v>0</v>
      </c>
      <c r="EJ27" s="65">
        <f t="shared" si="110"/>
        <v>0</v>
      </c>
      <c r="EK27" s="66" t="str">
        <f t="shared" si="111"/>
        <v/>
      </c>
      <c r="EL27" s="74" t="str">
        <f>IF('Marks Entry'!BD27="","",'Marks Entry'!BD27)</f>
        <v/>
      </c>
      <c r="EM27" s="74" t="str">
        <f>IF('Marks Entry'!BE27="","",'Marks Entry'!BE27)</f>
        <v/>
      </c>
      <c r="EN27" s="74" t="str">
        <f>IF('Marks Entry'!BF27="","",'Marks Entry'!BF27)</f>
        <v/>
      </c>
      <c r="EO27" s="527" t="str">
        <f t="shared" si="55"/>
        <v/>
      </c>
      <c r="EP27" s="74" t="str">
        <f>IF('Marks Entry'!BG27="","",'Marks Entry'!BG27)</f>
        <v/>
      </c>
      <c r="EQ27" s="74" t="str">
        <f>IF('Marks Entry'!BH27="","",'Marks Entry'!BH27)</f>
        <v/>
      </c>
      <c r="ER27" s="528" t="str">
        <f t="shared" si="56"/>
        <v/>
      </c>
      <c r="ES27" s="529" t="str">
        <f t="shared" si="57"/>
        <v/>
      </c>
      <c r="ET27" s="74" t="str">
        <f>IF('Marks Entry'!BI27="","",'Marks Entry'!BI27)</f>
        <v/>
      </c>
      <c r="EU27" s="74" t="str">
        <f>IF('Marks Entry'!BJ27="","",'Marks Entry'!BJ27)</f>
        <v/>
      </c>
      <c r="EV27" s="528" t="str">
        <f t="shared" si="58"/>
        <v/>
      </c>
      <c r="EW27" s="530" t="str">
        <f t="shared" si="59"/>
        <v/>
      </c>
      <c r="EX27" s="368" t="str">
        <f t="shared" si="112"/>
        <v/>
      </c>
      <c r="EY27" s="65">
        <f t="shared" si="113"/>
        <v>0</v>
      </c>
      <c r="EZ27" s="65">
        <f t="shared" si="114"/>
        <v>0</v>
      </c>
      <c r="FA27" s="66" t="str">
        <f t="shared" si="115"/>
        <v/>
      </c>
      <c r="FB27" s="74" t="str">
        <f>IF('Marks Entry'!BK27="","",'Marks Entry'!BK27)</f>
        <v/>
      </c>
      <c r="FC27" s="74" t="str">
        <f>IF('Marks Entry'!BL27="","",'Marks Entry'!BL27)</f>
        <v/>
      </c>
      <c r="FD27" s="74" t="str">
        <f>IF('Marks Entry'!BM27="","",'Marks Entry'!BM27)</f>
        <v/>
      </c>
      <c r="FE27" s="74" t="str">
        <f>IF('Marks Entry'!BN27="","",'Marks Entry'!BN27)</f>
        <v/>
      </c>
      <c r="FF27" s="74" t="str">
        <f>IF('Marks Entry'!BO27="","",'Marks Entry'!BO27)</f>
        <v/>
      </c>
      <c r="FG27" s="74" t="str">
        <f>IF('Marks Entry'!BP27="","",'Marks Entry'!BP27)</f>
        <v/>
      </c>
      <c r="FH27" s="527" t="str">
        <f t="shared" si="60"/>
        <v/>
      </c>
      <c r="FI27" s="74" t="str">
        <f>IF('Marks Entry'!BQ27="","",'Marks Entry'!BQ27)</f>
        <v/>
      </c>
      <c r="FJ27" s="74" t="str">
        <f>IF('Marks Entry'!BR27="","",'Marks Entry'!BR27)</f>
        <v/>
      </c>
      <c r="FK27" s="528" t="str">
        <f t="shared" si="61"/>
        <v/>
      </c>
      <c r="FL27" s="529" t="str">
        <f t="shared" si="62"/>
        <v/>
      </c>
      <c r="FM27" s="74" t="str">
        <f>IF('Marks Entry'!BS27="","",'Marks Entry'!BS27)</f>
        <v/>
      </c>
      <c r="FN27" s="74" t="str">
        <f>IF('Marks Entry'!BT27="","",'Marks Entry'!BT27)</f>
        <v/>
      </c>
      <c r="FO27" s="528" t="str">
        <f t="shared" si="63"/>
        <v/>
      </c>
      <c r="FP27" s="530" t="str">
        <f t="shared" si="64"/>
        <v/>
      </c>
      <c r="FQ27" s="368" t="str">
        <f t="shared" si="116"/>
        <v/>
      </c>
      <c r="FR27" s="65">
        <f t="shared" si="117"/>
        <v>0</v>
      </c>
      <c r="FS27" s="65">
        <f t="shared" si="118"/>
        <v>0</v>
      </c>
      <c r="FT27" s="66" t="str">
        <f t="shared" si="119"/>
        <v/>
      </c>
      <c r="FU27" s="74" t="str">
        <f>IF('Marks Entry'!BU27="","",'Marks Entry'!BU27)</f>
        <v/>
      </c>
      <c r="FV27" s="74" t="str">
        <f>IF('Marks Entry'!BV27="","",'Marks Entry'!BV27)</f>
        <v/>
      </c>
      <c r="FW27" s="74" t="str">
        <f>IF('Marks Entry'!BW27="","",'Marks Entry'!BW27)</f>
        <v/>
      </c>
      <c r="FX27" s="75" t="str">
        <f t="shared" si="65"/>
        <v/>
      </c>
      <c r="FY27" s="368" t="str">
        <f t="shared" si="120"/>
        <v/>
      </c>
      <c r="FZ27" s="65">
        <f t="shared" si="121"/>
        <v>0</v>
      </c>
      <c r="GA27" s="66">
        <f t="shared" si="122"/>
        <v>0</v>
      </c>
      <c r="GB27" s="66" t="str">
        <f t="shared" si="123"/>
        <v/>
      </c>
      <c r="GC27" s="74" t="str">
        <f>IF('Marks Entry'!BX27="","",'Marks Entry'!BX27)</f>
        <v/>
      </c>
      <c r="GD27" s="74" t="str">
        <f>IF('Marks Entry'!BY27="","",'Marks Entry'!BY27)</f>
        <v/>
      </c>
      <c r="GE27" s="74" t="str">
        <f>IF('Marks Entry'!BZ27="","",'Marks Entry'!BZ27)</f>
        <v/>
      </c>
      <c r="GF27" s="75" t="str">
        <f t="shared" si="124"/>
        <v/>
      </c>
      <c r="GG27" s="368" t="str">
        <f t="shared" si="125"/>
        <v/>
      </c>
      <c r="GH27" s="65">
        <f t="shared" si="126"/>
        <v>0</v>
      </c>
      <c r="GI27" s="66">
        <f t="shared" si="127"/>
        <v>0</v>
      </c>
      <c r="GJ27" s="66" t="str">
        <f t="shared" si="128"/>
        <v/>
      </c>
      <c r="GK27" s="100" t="str">
        <f>IF(AND(F27="",B27=""),"",IF('Student DATA Entry'!M24="","",'Student DATA Entry'!M24))</f>
        <v/>
      </c>
      <c r="GL27" s="101" t="str">
        <f>IF(AND(B27="",F27=""),"",IF('Student DATA Entry'!N24="","",'Student DATA Entry'!N24))</f>
        <v/>
      </c>
      <c r="GM27" s="581" t="str">
        <f t="shared" si="129"/>
        <v/>
      </c>
      <c r="GN27" s="94" t="str">
        <f t="shared" si="130"/>
        <v>I</v>
      </c>
      <c r="GO27" s="94" t="str">
        <f t="shared" si="131"/>
        <v/>
      </c>
      <c r="GP27" s="102" t="str">
        <f t="shared" si="67"/>
        <v/>
      </c>
      <c r="GQ27" s="94" t="str">
        <f t="shared" si="132"/>
        <v>D</v>
      </c>
      <c r="GR27" s="103" t="str">
        <f t="shared" si="133"/>
        <v/>
      </c>
      <c r="GS27" s="102" t="str">
        <f t="shared" si="68"/>
        <v/>
      </c>
      <c r="GT27" s="104" t="str">
        <f t="shared" si="134"/>
        <v>II</v>
      </c>
      <c r="GU27" s="94" t="str">
        <f>IF('Marks Entry'!V27=1,GT27,"")</f>
        <v/>
      </c>
      <c r="GV27" s="94" t="str">
        <f>IF('Marks Entry'!V27=2,GT27,"")</f>
        <v>II</v>
      </c>
      <c r="GW27" s="94" t="str">
        <f>IF('Marks Entry'!V27=3,GT27,"")</f>
        <v/>
      </c>
      <c r="GX27" s="94" t="str">
        <f>IF('Marks Entry'!V27=4,GT27,"")</f>
        <v/>
      </c>
      <c r="GY27" s="94" t="str">
        <f>IF('Marks Entry'!V27=5,GT27,"")</f>
        <v/>
      </c>
      <c r="GZ27" s="94" t="str">
        <f t="shared" si="135"/>
        <v/>
      </c>
      <c r="HA27" s="105" t="str">
        <f t="shared" si="69"/>
        <v/>
      </c>
      <c r="HB27" s="94" t="str">
        <f t="shared" si="136"/>
        <v>II</v>
      </c>
      <c r="HC27" s="94" t="str">
        <f t="shared" si="137"/>
        <v/>
      </c>
      <c r="HD27" s="105" t="str">
        <f t="shared" si="70"/>
        <v/>
      </c>
      <c r="HE27" s="94" t="str">
        <f t="shared" si="138"/>
        <v>II</v>
      </c>
      <c r="HF27" s="94" t="str">
        <f t="shared" si="139"/>
        <v/>
      </c>
      <c r="HG27" s="105" t="str">
        <f t="shared" si="71"/>
        <v/>
      </c>
      <c r="HH27" s="94" t="str">
        <f t="shared" si="140"/>
        <v>II</v>
      </c>
      <c r="HI27" s="94" t="str">
        <f t="shared" si="141"/>
        <v/>
      </c>
      <c r="HJ27" s="105" t="str">
        <f t="shared" si="72"/>
        <v/>
      </c>
      <c r="HK27" s="94" t="str">
        <f t="shared" si="142"/>
        <v/>
      </c>
      <c r="HL27" s="94" t="str">
        <f t="shared" si="143"/>
        <v/>
      </c>
      <c r="HM27" s="105" t="str">
        <f t="shared" si="73"/>
        <v/>
      </c>
      <c r="HN27" s="367" t="str">
        <f t="shared" si="144"/>
        <v xml:space="preserve">      </v>
      </c>
      <c r="HO27" s="418" t="str">
        <f t="shared" si="145"/>
        <v xml:space="preserve">      </v>
      </c>
      <c r="HP27" s="367" t="str">
        <f t="shared" si="146"/>
        <v xml:space="preserve">      </v>
      </c>
      <c r="HQ27" s="107" t="str">
        <f t="shared" si="147"/>
        <v xml:space="preserve">      </v>
      </c>
      <c r="HR27" s="366" t="str">
        <f t="shared" si="148"/>
        <v xml:space="preserve"> अंग्रेजी     </v>
      </c>
      <c r="HS27" s="544" t="str">
        <f t="shared" si="74"/>
        <v>PASS</v>
      </c>
      <c r="HT27" s="542">
        <f t="shared" si="149"/>
        <v>768</v>
      </c>
      <c r="HU27" s="541">
        <f t="shared" si="160"/>
        <v>64</v>
      </c>
      <c r="HV27" s="540" t="str">
        <f t="shared" si="150"/>
        <v>1st</v>
      </c>
      <c r="HW27" s="537">
        <f t="shared" si="151"/>
        <v>64</v>
      </c>
      <c r="HX27" s="539">
        <f t="shared" si="152"/>
        <v>6.9999999999999263</v>
      </c>
      <c r="HY27" s="553" t="str">
        <f>IFERROR(IF(OR(HS27="SUPPLEMENTARY",HS27="RE-EXAM"),'Supp. Result Entry'!AQ25,""),"")</f>
        <v/>
      </c>
      <c r="HZ27" s="538" t="str">
        <f t="shared" si="153"/>
        <v/>
      </c>
      <c r="IA27" s="415" t="str">
        <f t="shared" si="154"/>
        <v/>
      </c>
      <c r="IB27" s="415" t="str">
        <f>IF(AND(HZ27="",IA27=""),"",IF(OR(HS27="SUPPLEMENTARY",HS27="RE-EXAM"),'Supp. Result Entry'!AQ25,HS27))</f>
        <v/>
      </c>
      <c r="IC27" s="87"/>
      <c r="IS27" s="109" t="str">
        <f>IF('Supp. Result Entry'!T25="","",'Supp. Result Entry'!$T$4)</f>
        <v/>
      </c>
      <c r="IT27" s="110" t="str">
        <f>IF('Supp. Result Entry'!W25="","",'Supp. Result Entry'!$W$4)</f>
        <v/>
      </c>
      <c r="IU27" s="110" t="str">
        <f>IF('Supp. Result Entry'!Z25="","",'Supp. Result Entry'!$Z$4)</f>
        <v/>
      </c>
      <c r="IV27" s="110" t="str">
        <f>IF('Supp. Result Entry'!AC25="","",'Supp. Result Entry'!$AC$4)</f>
        <v/>
      </c>
      <c r="IW27" s="110" t="str">
        <f>IF('Supp. Result Entry'!AF25="","",'Supp. Result Entry'!$AF$4)</f>
        <v/>
      </c>
      <c r="IX27" s="110" t="str">
        <f>IF('Supp. Result Entry'!AI25="","",'Supp. Result Entry'!$AI$4)</f>
        <v/>
      </c>
      <c r="IY27" s="110" t="str">
        <f>IF('Supp. Result Entry'!AI25="","",'Supp. Result Entry'!$AL$4)</f>
        <v/>
      </c>
      <c r="IZ27" s="110" t="str">
        <f>IF('Supp. Result Entry'!U25="","",'Supp. Result Entry'!U25)</f>
        <v/>
      </c>
      <c r="JA27" s="110" t="str">
        <f>IF('Supp. Result Entry'!X25="","",'Supp. Result Entry'!X25)</f>
        <v/>
      </c>
      <c r="JB27" s="110" t="str">
        <f>IF('Supp. Result Entry'!AA25="","",'Supp. Result Entry'!AA25)</f>
        <v/>
      </c>
      <c r="JC27" s="110" t="str">
        <f>IF('Supp. Result Entry'!AD25="","",'Supp. Result Entry'!AD25)</f>
        <v/>
      </c>
      <c r="JD27" s="110" t="str">
        <f>IF('Supp. Result Entry'!AG25="","",'Supp. Result Entry'!AG25)</f>
        <v/>
      </c>
      <c r="JE27" s="110" t="str">
        <f>IF('Supp. Result Entry'!AJ25="","",'Supp. Result Entry'!AJ25)</f>
        <v/>
      </c>
      <c r="JF27" s="110" t="str">
        <f>IF('Supp. Result Entry'!AM25="","",'Supp. Result Entry'!AM25)</f>
        <v/>
      </c>
      <c r="JG27" s="110" t="str">
        <f>IF('Supp. Result Entry'!V25="","",'Supp. Result Entry'!V25)</f>
        <v/>
      </c>
      <c r="JH27" s="110" t="str">
        <f>IF('Supp. Result Entry'!Y25="","",'Supp. Result Entry'!Y25)</f>
        <v/>
      </c>
      <c r="JI27" s="110" t="str">
        <f>IF('Supp. Result Entry'!AB25="","",'Supp. Result Entry'!AB25)</f>
        <v/>
      </c>
      <c r="JJ27" s="110" t="str">
        <f>IF('Supp. Result Entry'!AE25="","",'Supp. Result Entry'!AE25)</f>
        <v/>
      </c>
      <c r="JK27" s="110" t="str">
        <f>IF('Supp. Result Entry'!AH25="","",'Supp. Result Entry'!AH25)</f>
        <v/>
      </c>
      <c r="JL27" s="110" t="str">
        <f>IF('Supp. Result Entry'!AK25="","",'Supp. Result Entry'!AK25)</f>
        <v/>
      </c>
      <c r="JM27" s="110" t="str">
        <f>IF('Supp. Result Entry'!AN25="","",'Supp. Result Entry'!AN25)</f>
        <v/>
      </c>
      <c r="JN27" s="110">
        <f>COUNTIF('Supp. Result Entry'!K25:Q25,"S")</f>
        <v>0</v>
      </c>
      <c r="JO27" s="110">
        <f t="shared" si="155"/>
        <v>0</v>
      </c>
      <c r="JP27" s="110">
        <f t="shared" si="156"/>
        <v>0</v>
      </c>
      <c r="JQ27" s="110" t="str">
        <f t="shared" si="75"/>
        <v/>
      </c>
      <c r="JR27" s="110" t="str">
        <f t="shared" si="76"/>
        <v/>
      </c>
      <c r="JS27" s="110" t="str">
        <f t="shared" si="77"/>
        <v/>
      </c>
      <c r="JT27" s="110" t="str">
        <f t="shared" si="78"/>
        <v/>
      </c>
      <c r="JU27" s="110" t="str">
        <f t="shared" si="79"/>
        <v/>
      </c>
      <c r="JV27" s="110" t="str">
        <f t="shared" si="80"/>
        <v/>
      </c>
      <c r="JW27" s="110" t="str">
        <f t="shared" si="81"/>
        <v/>
      </c>
      <c r="JX27" s="110" t="str">
        <f t="shared" si="157"/>
        <v/>
      </c>
      <c r="JY27" s="110" t="str">
        <f t="shared" si="158"/>
        <v/>
      </c>
      <c r="JZ27" s="110" t="str">
        <f t="shared" si="82"/>
        <v/>
      </c>
      <c r="KA27" s="108" t="str">
        <f t="shared" si="159"/>
        <v/>
      </c>
    </row>
    <row r="28" spans="1:287" s="108" customFormat="1" ht="21.95" customHeight="1">
      <c r="A28" s="89">
        <v>22</v>
      </c>
      <c r="B28" s="90">
        <f>IF('Marks Entry'!B28="","",'Marks Entry'!B28)</f>
        <v>922</v>
      </c>
      <c r="C28" s="94" t="str">
        <f>IF('Marks Entry'!D28="","",'Marks Entry'!D28)</f>
        <v>A</v>
      </c>
      <c r="D28" s="91" t="str">
        <f>IF('Marks Entry'!E28="","",'Marks Entry'!E28)</f>
        <v/>
      </c>
      <c r="E28" s="92" t="str">
        <f>IF('Marks Entry'!F28="","",'Marks Entry'!F28)</f>
        <v/>
      </c>
      <c r="F28" s="93" t="str">
        <f>IF('Marks Entry'!G28="","",'Marks Entry'!G28)</f>
        <v>ROZER</v>
      </c>
      <c r="G28" s="93" t="str">
        <f>IF('Marks Entry'!H28="","",'Marks Entry'!H28)</f>
        <v/>
      </c>
      <c r="H28" s="93" t="str">
        <f>IF('Marks Entry'!I28="","",'Marks Entry'!I28)</f>
        <v/>
      </c>
      <c r="I28" s="94" t="str">
        <f>IF('Marks Entry'!J28="","",'Marks Entry'!J28)</f>
        <v/>
      </c>
      <c r="J28" s="95" t="str">
        <f>IF('Marks Entry'!K28="","",'Marks Entry'!K28)</f>
        <v/>
      </c>
      <c r="K28" s="68">
        <f>IF('Marks Entry'!L28="","",'Marks Entry'!L28)</f>
        <v>8</v>
      </c>
      <c r="L28" s="68">
        <f>IF('Marks Entry'!M28="","",'Marks Entry'!M28)</f>
        <v>9</v>
      </c>
      <c r="M28" s="68">
        <f>IF('Marks Entry'!N28="","",'Marks Entry'!N28)</f>
        <v>8</v>
      </c>
      <c r="N28" s="514">
        <f t="shared" si="83"/>
        <v>25</v>
      </c>
      <c r="O28" s="68">
        <f>IF('Marks Entry'!O28="","",'Marks Entry'!O28)</f>
        <v>46</v>
      </c>
      <c r="P28" s="515">
        <f t="shared" si="84"/>
        <v>71</v>
      </c>
      <c r="Q28" s="68">
        <f>IF('Marks Entry'!P28="","",'Marks Entry'!P28)</f>
        <v>65</v>
      </c>
      <c r="R28" s="96">
        <f t="shared" si="85"/>
        <v>136</v>
      </c>
      <c r="S28" s="65">
        <f t="shared" si="86"/>
        <v>0</v>
      </c>
      <c r="T28" s="65">
        <f t="shared" si="87"/>
        <v>0</v>
      </c>
      <c r="U28" s="66">
        <f t="shared" si="88"/>
        <v>200</v>
      </c>
      <c r="V28" s="65" t="str">
        <f t="shared" si="89"/>
        <v/>
      </c>
      <c r="W28" s="65" t="str">
        <f t="shared" si="90"/>
        <v>P</v>
      </c>
      <c r="X28" s="65" t="str">
        <f t="shared" si="91"/>
        <v>I</v>
      </c>
      <c r="Y28" s="68">
        <f>IF('Marks Entry'!Q28="","",'Marks Entry'!Q28)</f>
        <v>8</v>
      </c>
      <c r="Z28" s="68">
        <f>IF('Marks Entry'!R28="","",'Marks Entry'!R28)</f>
        <v>9</v>
      </c>
      <c r="AA28" s="68">
        <f>IF('Marks Entry'!S28="","",'Marks Entry'!S28)</f>
        <v>8</v>
      </c>
      <c r="AB28" s="514">
        <f t="shared" si="2"/>
        <v>25</v>
      </c>
      <c r="AC28" s="68">
        <f>IF('Marks Entry'!T28="","",'Marks Entry'!T28)</f>
        <v>60</v>
      </c>
      <c r="AD28" s="515">
        <f t="shared" si="3"/>
        <v>85</v>
      </c>
      <c r="AE28" s="68">
        <f>IF('Marks Entry'!U28="","",'Marks Entry'!U28)</f>
        <v>85</v>
      </c>
      <c r="AF28" s="96">
        <f t="shared" si="4"/>
        <v>170</v>
      </c>
      <c r="AG28" s="65">
        <f t="shared" si="5"/>
        <v>0</v>
      </c>
      <c r="AH28" s="65">
        <f t="shared" si="6"/>
        <v>0</v>
      </c>
      <c r="AI28" s="66">
        <f t="shared" si="7"/>
        <v>200</v>
      </c>
      <c r="AJ28" s="65" t="str">
        <f t="shared" si="8"/>
        <v/>
      </c>
      <c r="AK28" s="65" t="str">
        <f t="shared" si="9"/>
        <v>P</v>
      </c>
      <c r="AL28" s="65" t="str">
        <f t="shared" si="10"/>
        <v>D</v>
      </c>
      <c r="AM28" s="524" t="str">
        <f>IF('Marks Entry'!V28="","",IF('Marks Entry'!V28=1,'School Profile'!$I$9,IF('Marks Entry'!V28=2,'School Profile'!$I$10,IF('Marks Entry'!V28=3,'School Profile'!$I$11,IF('Marks Entry'!V28=4,'School Profile'!$I$12,IF('Marks Entry'!V28=5,'School Profile'!$I$13,IF('Marks Entry'!V28=6,'School Profile'!$I$14,"")))))))</f>
        <v xml:space="preserve">उर्दू (72) </v>
      </c>
      <c r="AN28" s="68">
        <f>IF('Marks Entry'!W28="","",'Marks Entry'!W28)</f>
        <v>8</v>
      </c>
      <c r="AO28" s="68">
        <f>IF('Marks Entry'!X28="","",'Marks Entry'!X28)</f>
        <v>9</v>
      </c>
      <c r="AP28" s="68">
        <f>IF('Marks Entry'!Y28="","",'Marks Entry'!Y28)</f>
        <v>10</v>
      </c>
      <c r="AQ28" s="514">
        <f t="shared" si="11"/>
        <v>27</v>
      </c>
      <c r="AR28" s="68">
        <f>IF('Marks Entry'!Z28="","",'Marks Entry'!Z28)</f>
        <v>46</v>
      </c>
      <c r="AS28" s="515">
        <f t="shared" si="12"/>
        <v>73</v>
      </c>
      <c r="AT28" s="68">
        <f>IF('Marks Entry'!AA28="","",'Marks Entry'!AA28)</f>
        <v>45</v>
      </c>
      <c r="AU28" s="96">
        <f t="shared" si="13"/>
        <v>118</v>
      </c>
      <c r="AV28" s="65">
        <f t="shared" si="14"/>
        <v>0</v>
      </c>
      <c r="AW28" s="65">
        <f t="shared" si="15"/>
        <v>0</v>
      </c>
      <c r="AX28" s="66">
        <f t="shared" si="16"/>
        <v>200</v>
      </c>
      <c r="AY28" s="65" t="str">
        <f t="shared" si="17"/>
        <v/>
      </c>
      <c r="AZ28" s="65" t="str">
        <f t="shared" si="18"/>
        <v>P</v>
      </c>
      <c r="BA28" s="65" t="str">
        <f t="shared" si="19"/>
        <v>II</v>
      </c>
      <c r="BB28" s="68">
        <f>IF('Marks Entry'!AB28="","",'Marks Entry'!AB28)</f>
        <v>8</v>
      </c>
      <c r="BC28" s="68">
        <f>IF('Marks Entry'!AC28="","",'Marks Entry'!AC28)</f>
        <v>9</v>
      </c>
      <c r="BD28" s="68">
        <f>IF('Marks Entry'!AD28="","",'Marks Entry'!AD28)</f>
        <v>9</v>
      </c>
      <c r="BE28" s="514">
        <f t="shared" si="20"/>
        <v>26</v>
      </c>
      <c r="BF28" s="68">
        <f>IF('Marks Entry'!AE28="","",'Marks Entry'!AE28)</f>
        <v>46</v>
      </c>
      <c r="BG28" s="515">
        <f t="shared" si="21"/>
        <v>72</v>
      </c>
      <c r="BH28" s="68">
        <f>IF('Marks Entry'!AF28="","",'Marks Entry'!AF28)</f>
        <v>45</v>
      </c>
      <c r="BI28" s="96">
        <f t="shared" si="22"/>
        <v>117</v>
      </c>
      <c r="BJ28" s="65">
        <f t="shared" si="23"/>
        <v>0</v>
      </c>
      <c r="BK28" s="65">
        <f t="shared" si="92"/>
        <v>0</v>
      </c>
      <c r="BL28" s="66">
        <f t="shared" si="24"/>
        <v>200</v>
      </c>
      <c r="BM28" s="65" t="str">
        <f t="shared" si="25"/>
        <v/>
      </c>
      <c r="BN28" s="65" t="str">
        <f t="shared" si="26"/>
        <v>P</v>
      </c>
      <c r="BO28" s="65" t="str">
        <f t="shared" si="27"/>
        <v>II</v>
      </c>
      <c r="BP28" s="68">
        <f>IF('Marks Entry'!AG28="","",'Marks Entry'!AG28)</f>
        <v>8</v>
      </c>
      <c r="BQ28" s="68">
        <f>IF('Marks Entry'!AH28="","",'Marks Entry'!AH28)</f>
        <v>9</v>
      </c>
      <c r="BR28" s="68">
        <f>IF('Marks Entry'!AI28="","",'Marks Entry'!AI28)</f>
        <v>7</v>
      </c>
      <c r="BS28" s="514">
        <f t="shared" si="28"/>
        <v>24</v>
      </c>
      <c r="BT28" s="68">
        <f>IF('Marks Entry'!AJ28="","",'Marks Entry'!AJ28)</f>
        <v>46</v>
      </c>
      <c r="BU28" s="515">
        <f t="shared" si="29"/>
        <v>70</v>
      </c>
      <c r="BV28" s="68">
        <f>IF('Marks Entry'!AK28="","",'Marks Entry'!AK28)</f>
        <v>45</v>
      </c>
      <c r="BW28" s="96">
        <f t="shared" si="30"/>
        <v>115</v>
      </c>
      <c r="BX28" s="65">
        <f t="shared" si="31"/>
        <v>0</v>
      </c>
      <c r="BY28" s="65">
        <f t="shared" si="32"/>
        <v>0</v>
      </c>
      <c r="BZ28" s="66">
        <f t="shared" si="33"/>
        <v>200</v>
      </c>
      <c r="CA28" s="65" t="str">
        <f t="shared" si="34"/>
        <v/>
      </c>
      <c r="CB28" s="65" t="str">
        <f t="shared" si="35"/>
        <v>P</v>
      </c>
      <c r="CC28" s="65" t="str">
        <f t="shared" si="36"/>
        <v>II</v>
      </c>
      <c r="CD28" s="66">
        <f t="shared" si="93"/>
        <v>0</v>
      </c>
      <c r="CE28" s="68">
        <f>IF('Marks Entry'!AL28="","",'Marks Entry'!AL28)</f>
        <v>8</v>
      </c>
      <c r="CF28" s="68">
        <f>IF('Marks Entry'!AM28="","",'Marks Entry'!AM28)</f>
        <v>8</v>
      </c>
      <c r="CG28" s="68">
        <f>IF('Marks Entry'!AN28="","",'Marks Entry'!AN28)</f>
        <v>8</v>
      </c>
      <c r="CH28" s="514">
        <f t="shared" si="37"/>
        <v>24</v>
      </c>
      <c r="CI28" s="68">
        <f>IF('Marks Entry'!AO28="","",'Marks Entry'!AO28)</f>
        <v>46</v>
      </c>
      <c r="CJ28" s="515">
        <f t="shared" si="38"/>
        <v>70</v>
      </c>
      <c r="CK28" s="68">
        <f>IF('Marks Entry'!AP28="","",'Marks Entry'!AP28)</f>
        <v>45</v>
      </c>
      <c r="CL28" s="96">
        <f t="shared" si="39"/>
        <v>115</v>
      </c>
      <c r="CM28" s="65">
        <f t="shared" si="40"/>
        <v>0</v>
      </c>
      <c r="CN28" s="65">
        <f t="shared" si="41"/>
        <v>0</v>
      </c>
      <c r="CO28" s="66">
        <f t="shared" si="42"/>
        <v>200</v>
      </c>
      <c r="CP28" s="65" t="str">
        <f t="shared" si="43"/>
        <v/>
      </c>
      <c r="CQ28" s="65" t="str">
        <f t="shared" si="44"/>
        <v>P</v>
      </c>
      <c r="CR28" s="65" t="str">
        <f t="shared" si="45"/>
        <v>II</v>
      </c>
      <c r="CS28" s="616" t="str">
        <f>IF('School Profile'!$D$20="NO","",IF('Marks Entry'!AQ28="","",IF('Marks Entry'!AQ28=1,'School Profile'!$I$29,IF('Marks Entry'!AQ28=2,'School Profile'!$I$30,IF('Marks Entry'!AQ28=3,'School Profile'!$I$31,IF('Marks Entry'!AQ28=4,'School Profile'!$I$32,IF('Marks Entry'!AQ28=5,'School Profile'!$I$33,IF('Marks Entry'!AQ28=6,'School Profile'!$I$34,IF('Marks Entry'!AQ28=7,'School Profile'!$I$35,IF('Marks Entry'!AQ28=8,'School Profile'!$I$36,IF('Marks Entry'!AQ28=9,'School Profile'!$I$37,IF('Marks Entry'!AQ28=10,'School Profile'!$I$38,IF('Marks Entry'!AQ28=11,'School Profile'!$I$39,"")))))))))))))</f>
        <v/>
      </c>
      <c r="CT28" s="68" t="str">
        <f>IF('School Profile'!$D$20="NO","",IF('Marks Entry'!AR28="","",'Marks Entry'!AR28))</f>
        <v/>
      </c>
      <c r="CU28" s="68" t="str">
        <f>IF('School Profile'!$D$20="NO","",IF('Marks Entry'!AS28="","",'Marks Entry'!AS28))</f>
        <v/>
      </c>
      <c r="CV28" s="68" t="str">
        <f>IF('School Profile'!$D$20="NO","",IF('Marks Entry'!AT28="","",'Marks Entry'!AT28))</f>
        <v/>
      </c>
      <c r="CW28" s="514" t="str">
        <f>IF('School Profile'!$D$20="NO","",IF(AND(CT28="",CU28="",CV28=""),"",SUM(CT28:CV28)))</f>
        <v/>
      </c>
      <c r="CX28" s="68" t="str">
        <f>IF('School Profile'!$D$20="NO","",IF('Marks Entry'!AU28="","",'Marks Entry'!AU28))</f>
        <v/>
      </c>
      <c r="CY28" s="68" t="str">
        <f>IF('School Profile'!$D$20="NO","",IF('Marks Entry'!AV28="","",'Marks Entry'!AV28))</f>
        <v/>
      </c>
      <c r="CZ28" s="515" t="str">
        <f>IF('School Profile'!$D$20="NO","",IF(AND(CX28="",CY28=""),"",SUM(CX28,CY28)))</f>
        <v/>
      </c>
      <c r="DA28" s="69" t="str">
        <f>IF('School Profile'!$D$20="NO","",IF(AND(CW28="",CZ28=""),"",SUM(CW28+CZ28)))</f>
        <v/>
      </c>
      <c r="DB28" s="68" t="str">
        <f>IF('School Profile'!$D$20="NO","",IF('Marks Entry'!AW28="","",'Marks Entry'!AW28))</f>
        <v/>
      </c>
      <c r="DC28" s="68" t="str">
        <f>IF('School Profile'!$D$20="NO","",IF('Marks Entry'!AX28="","",'Marks Entry'!AX28))</f>
        <v/>
      </c>
      <c r="DD28" s="515" t="str">
        <f>IF('School Profile'!$D$20="NO","",IF(AND(DB28="",DC28=""),"",SUM(DB28,DC28)))</f>
        <v/>
      </c>
      <c r="DE28" s="96" t="str">
        <f>IF('School Profile'!$D$20="NO","",IF(AND(DA28="",DD28=""),"",SUM(DA28,DD28)))</f>
        <v/>
      </c>
      <c r="DF28" s="532">
        <f t="shared" si="46"/>
        <v>0</v>
      </c>
      <c r="DG28" s="65">
        <f t="shared" si="47"/>
        <v>0</v>
      </c>
      <c r="DH28" s="66" t="str">
        <f t="shared" si="48"/>
        <v/>
      </c>
      <c r="DI28" s="65" t="str">
        <f t="shared" si="49"/>
        <v/>
      </c>
      <c r="DJ28" s="65" t="str">
        <f t="shared" si="50"/>
        <v/>
      </c>
      <c r="DK28" s="65" t="str">
        <f t="shared" si="51"/>
        <v/>
      </c>
      <c r="DL28" s="97" t="str">
        <f t="shared" si="94"/>
        <v>I</v>
      </c>
      <c r="DM28" s="97" t="str">
        <f t="shared" si="95"/>
        <v>D</v>
      </c>
      <c r="DN28" s="97" t="str">
        <f t="shared" si="96"/>
        <v>II</v>
      </c>
      <c r="DO28" s="97" t="str">
        <f t="shared" si="97"/>
        <v>II</v>
      </c>
      <c r="DP28" s="97" t="str">
        <f t="shared" si="98"/>
        <v>II</v>
      </c>
      <c r="DQ28" s="97" t="str">
        <f t="shared" si="99"/>
        <v>II</v>
      </c>
      <c r="DR28" s="97" t="str">
        <f t="shared" si="100"/>
        <v/>
      </c>
      <c r="DS28" s="98">
        <f t="shared" si="101"/>
        <v>0</v>
      </c>
      <c r="DT28" s="98">
        <f t="shared" si="102"/>
        <v>0</v>
      </c>
      <c r="DU28" s="98">
        <f t="shared" si="103"/>
        <v>0</v>
      </c>
      <c r="DV28" s="98">
        <f t="shared" si="104"/>
        <v>0</v>
      </c>
      <c r="DW28" s="98">
        <f t="shared" si="105"/>
        <v>0</v>
      </c>
      <c r="DX28" s="98" t="str">
        <f t="shared" si="106"/>
        <v/>
      </c>
      <c r="DY28" s="99" t="str">
        <f t="shared" si="107"/>
        <v>PASS</v>
      </c>
      <c r="DZ28" s="74" t="str">
        <f>IF('Marks Entry'!AY28="","",'Marks Entry'!AY28)</f>
        <v/>
      </c>
      <c r="EA28" s="74" t="str">
        <f>IF('Marks Entry'!AZ28="","",'Marks Entry'!AZ28)</f>
        <v/>
      </c>
      <c r="EB28" s="74" t="str">
        <f>IF('Marks Entry'!BA28="","",'Marks Entry'!BA28)</f>
        <v/>
      </c>
      <c r="EC28" s="527" t="str">
        <f t="shared" si="52"/>
        <v/>
      </c>
      <c r="ED28" s="74" t="str">
        <f>IF('Marks Entry'!BB28="","",'Marks Entry'!BB28)</f>
        <v/>
      </c>
      <c r="EE28" s="528" t="str">
        <f t="shared" si="53"/>
        <v/>
      </c>
      <c r="EF28" s="74" t="str">
        <f>IF('Marks Entry'!BC28="","",'Marks Entry'!BC28)</f>
        <v/>
      </c>
      <c r="EG28" s="530" t="str">
        <f t="shared" si="54"/>
        <v/>
      </c>
      <c r="EH28" s="368" t="str">
        <f t="shared" si="108"/>
        <v/>
      </c>
      <c r="EI28" s="65">
        <f t="shared" si="109"/>
        <v>0</v>
      </c>
      <c r="EJ28" s="65">
        <f t="shared" si="110"/>
        <v>0</v>
      </c>
      <c r="EK28" s="66" t="str">
        <f t="shared" si="111"/>
        <v/>
      </c>
      <c r="EL28" s="74" t="str">
        <f>IF('Marks Entry'!BD28="","",'Marks Entry'!BD28)</f>
        <v/>
      </c>
      <c r="EM28" s="74" t="str">
        <f>IF('Marks Entry'!BE28="","",'Marks Entry'!BE28)</f>
        <v/>
      </c>
      <c r="EN28" s="74" t="str">
        <f>IF('Marks Entry'!BF28="","",'Marks Entry'!BF28)</f>
        <v/>
      </c>
      <c r="EO28" s="527" t="str">
        <f t="shared" si="55"/>
        <v/>
      </c>
      <c r="EP28" s="74" t="str">
        <f>IF('Marks Entry'!BG28="","",'Marks Entry'!BG28)</f>
        <v/>
      </c>
      <c r="EQ28" s="74" t="str">
        <f>IF('Marks Entry'!BH28="","",'Marks Entry'!BH28)</f>
        <v/>
      </c>
      <c r="ER28" s="528" t="str">
        <f t="shared" si="56"/>
        <v/>
      </c>
      <c r="ES28" s="529" t="str">
        <f t="shared" si="57"/>
        <v/>
      </c>
      <c r="ET28" s="74" t="str">
        <f>IF('Marks Entry'!BI28="","",'Marks Entry'!BI28)</f>
        <v/>
      </c>
      <c r="EU28" s="74" t="str">
        <f>IF('Marks Entry'!BJ28="","",'Marks Entry'!BJ28)</f>
        <v/>
      </c>
      <c r="EV28" s="528" t="str">
        <f t="shared" si="58"/>
        <v/>
      </c>
      <c r="EW28" s="530" t="str">
        <f t="shared" si="59"/>
        <v/>
      </c>
      <c r="EX28" s="368" t="str">
        <f t="shared" si="112"/>
        <v/>
      </c>
      <c r="EY28" s="65">
        <f t="shared" si="113"/>
        <v>0</v>
      </c>
      <c r="EZ28" s="65">
        <f t="shared" si="114"/>
        <v>0</v>
      </c>
      <c r="FA28" s="66" t="str">
        <f t="shared" si="115"/>
        <v/>
      </c>
      <c r="FB28" s="74" t="str">
        <f>IF('Marks Entry'!BK28="","",'Marks Entry'!BK28)</f>
        <v/>
      </c>
      <c r="FC28" s="74" t="str">
        <f>IF('Marks Entry'!BL28="","",'Marks Entry'!BL28)</f>
        <v/>
      </c>
      <c r="FD28" s="74" t="str">
        <f>IF('Marks Entry'!BM28="","",'Marks Entry'!BM28)</f>
        <v/>
      </c>
      <c r="FE28" s="74" t="str">
        <f>IF('Marks Entry'!BN28="","",'Marks Entry'!BN28)</f>
        <v/>
      </c>
      <c r="FF28" s="74" t="str">
        <f>IF('Marks Entry'!BO28="","",'Marks Entry'!BO28)</f>
        <v/>
      </c>
      <c r="FG28" s="74" t="str">
        <f>IF('Marks Entry'!BP28="","",'Marks Entry'!BP28)</f>
        <v/>
      </c>
      <c r="FH28" s="527" t="str">
        <f t="shared" si="60"/>
        <v/>
      </c>
      <c r="FI28" s="74" t="str">
        <f>IF('Marks Entry'!BQ28="","",'Marks Entry'!BQ28)</f>
        <v/>
      </c>
      <c r="FJ28" s="74" t="str">
        <f>IF('Marks Entry'!BR28="","",'Marks Entry'!BR28)</f>
        <v/>
      </c>
      <c r="FK28" s="528" t="str">
        <f t="shared" si="61"/>
        <v/>
      </c>
      <c r="FL28" s="529" t="str">
        <f t="shared" si="62"/>
        <v/>
      </c>
      <c r="FM28" s="74" t="str">
        <f>IF('Marks Entry'!BS28="","",'Marks Entry'!BS28)</f>
        <v/>
      </c>
      <c r="FN28" s="74" t="str">
        <f>IF('Marks Entry'!BT28="","",'Marks Entry'!BT28)</f>
        <v/>
      </c>
      <c r="FO28" s="528" t="str">
        <f t="shared" si="63"/>
        <v/>
      </c>
      <c r="FP28" s="530" t="str">
        <f t="shared" si="64"/>
        <v/>
      </c>
      <c r="FQ28" s="368" t="str">
        <f t="shared" si="116"/>
        <v/>
      </c>
      <c r="FR28" s="65">
        <f t="shared" si="117"/>
        <v>0</v>
      </c>
      <c r="FS28" s="65">
        <f t="shared" si="118"/>
        <v>0</v>
      </c>
      <c r="FT28" s="66" t="str">
        <f t="shared" si="119"/>
        <v/>
      </c>
      <c r="FU28" s="74" t="str">
        <f>IF('Marks Entry'!BU28="","",'Marks Entry'!BU28)</f>
        <v/>
      </c>
      <c r="FV28" s="74" t="str">
        <f>IF('Marks Entry'!BV28="","",'Marks Entry'!BV28)</f>
        <v/>
      </c>
      <c r="FW28" s="74" t="str">
        <f>IF('Marks Entry'!BW28="","",'Marks Entry'!BW28)</f>
        <v/>
      </c>
      <c r="FX28" s="75" t="str">
        <f t="shared" si="65"/>
        <v/>
      </c>
      <c r="FY28" s="368" t="str">
        <f t="shared" si="120"/>
        <v/>
      </c>
      <c r="FZ28" s="65">
        <f t="shared" si="121"/>
        <v>0</v>
      </c>
      <c r="GA28" s="66">
        <f t="shared" si="122"/>
        <v>0</v>
      </c>
      <c r="GB28" s="66" t="str">
        <f t="shared" si="123"/>
        <v/>
      </c>
      <c r="GC28" s="74" t="str">
        <f>IF('Marks Entry'!BX28="","",'Marks Entry'!BX28)</f>
        <v/>
      </c>
      <c r="GD28" s="74" t="str">
        <f>IF('Marks Entry'!BY28="","",'Marks Entry'!BY28)</f>
        <v/>
      </c>
      <c r="GE28" s="74" t="str">
        <f>IF('Marks Entry'!BZ28="","",'Marks Entry'!BZ28)</f>
        <v/>
      </c>
      <c r="GF28" s="75" t="str">
        <f t="shared" si="124"/>
        <v/>
      </c>
      <c r="GG28" s="368" t="str">
        <f t="shared" si="125"/>
        <v/>
      </c>
      <c r="GH28" s="65">
        <f t="shared" si="126"/>
        <v>0</v>
      </c>
      <c r="GI28" s="66">
        <f t="shared" si="127"/>
        <v>0</v>
      </c>
      <c r="GJ28" s="66" t="str">
        <f t="shared" si="128"/>
        <v/>
      </c>
      <c r="GK28" s="100" t="str">
        <f>IF(AND(F28="",B28=""),"",IF('Student DATA Entry'!M25="","",'Student DATA Entry'!M25))</f>
        <v/>
      </c>
      <c r="GL28" s="101" t="str">
        <f>IF(AND(B28="",F28=""),"",IF('Student DATA Entry'!N25="","",'Student DATA Entry'!N25))</f>
        <v/>
      </c>
      <c r="GM28" s="581" t="str">
        <f t="shared" si="129"/>
        <v/>
      </c>
      <c r="GN28" s="94" t="str">
        <f t="shared" si="130"/>
        <v>I</v>
      </c>
      <c r="GO28" s="94" t="str">
        <f t="shared" si="131"/>
        <v/>
      </c>
      <c r="GP28" s="102" t="str">
        <f t="shared" si="67"/>
        <v/>
      </c>
      <c r="GQ28" s="94" t="str">
        <f t="shared" si="132"/>
        <v>D</v>
      </c>
      <c r="GR28" s="103" t="str">
        <f t="shared" si="133"/>
        <v/>
      </c>
      <c r="GS28" s="102" t="str">
        <f t="shared" si="68"/>
        <v/>
      </c>
      <c r="GT28" s="104" t="str">
        <f t="shared" si="134"/>
        <v>II</v>
      </c>
      <c r="GU28" s="94" t="str">
        <f>IF('Marks Entry'!V28=1,GT28,"")</f>
        <v/>
      </c>
      <c r="GV28" s="94" t="str">
        <f>IF('Marks Entry'!V28=2,GT28,"")</f>
        <v>II</v>
      </c>
      <c r="GW28" s="94" t="str">
        <f>IF('Marks Entry'!V28=3,GT28,"")</f>
        <v/>
      </c>
      <c r="GX28" s="94" t="str">
        <f>IF('Marks Entry'!V28=4,GT28,"")</f>
        <v/>
      </c>
      <c r="GY28" s="94" t="str">
        <f>IF('Marks Entry'!V28=5,GT28,"")</f>
        <v/>
      </c>
      <c r="GZ28" s="94" t="str">
        <f t="shared" si="135"/>
        <v/>
      </c>
      <c r="HA28" s="105" t="str">
        <f t="shared" si="69"/>
        <v/>
      </c>
      <c r="HB28" s="94" t="str">
        <f t="shared" si="136"/>
        <v>II</v>
      </c>
      <c r="HC28" s="94" t="str">
        <f t="shared" si="137"/>
        <v/>
      </c>
      <c r="HD28" s="105" t="str">
        <f t="shared" si="70"/>
        <v/>
      </c>
      <c r="HE28" s="94" t="str">
        <f t="shared" si="138"/>
        <v>II</v>
      </c>
      <c r="HF28" s="94" t="str">
        <f t="shared" si="139"/>
        <v/>
      </c>
      <c r="HG28" s="105" t="str">
        <f t="shared" si="71"/>
        <v/>
      </c>
      <c r="HH28" s="94" t="str">
        <f t="shared" si="140"/>
        <v>II</v>
      </c>
      <c r="HI28" s="94" t="str">
        <f t="shared" si="141"/>
        <v/>
      </c>
      <c r="HJ28" s="105" t="str">
        <f t="shared" si="72"/>
        <v/>
      </c>
      <c r="HK28" s="94" t="str">
        <f t="shared" si="142"/>
        <v/>
      </c>
      <c r="HL28" s="94" t="str">
        <f t="shared" si="143"/>
        <v/>
      </c>
      <c r="HM28" s="105" t="str">
        <f t="shared" si="73"/>
        <v/>
      </c>
      <c r="HN28" s="367" t="str">
        <f t="shared" si="144"/>
        <v xml:space="preserve">      </v>
      </c>
      <c r="HO28" s="418" t="str">
        <f t="shared" si="145"/>
        <v xml:space="preserve">      </v>
      </c>
      <c r="HP28" s="367" t="str">
        <f t="shared" si="146"/>
        <v xml:space="preserve">      </v>
      </c>
      <c r="HQ28" s="107" t="str">
        <f t="shared" si="147"/>
        <v xml:space="preserve">      </v>
      </c>
      <c r="HR28" s="366" t="str">
        <f t="shared" si="148"/>
        <v xml:space="preserve"> अंग्रेजी     </v>
      </c>
      <c r="HS28" s="544" t="str">
        <f t="shared" si="74"/>
        <v>PASS</v>
      </c>
      <c r="HT28" s="542">
        <f t="shared" si="149"/>
        <v>771</v>
      </c>
      <c r="HU28" s="541">
        <f t="shared" si="160"/>
        <v>64.25</v>
      </c>
      <c r="HV28" s="540" t="str">
        <f t="shared" si="150"/>
        <v>1st</v>
      </c>
      <c r="HW28" s="537">
        <f t="shared" si="151"/>
        <v>64.25</v>
      </c>
      <c r="HX28" s="539">
        <f t="shared" si="152"/>
        <v>4.9999999999999263</v>
      </c>
      <c r="HY28" s="553" t="str">
        <f>IFERROR(IF(OR(HS28="SUPPLEMENTARY",HS28="RE-EXAM"),'Supp. Result Entry'!AQ26,""),"")</f>
        <v/>
      </c>
      <c r="HZ28" s="538" t="str">
        <f t="shared" si="153"/>
        <v/>
      </c>
      <c r="IA28" s="415" t="str">
        <f t="shared" si="154"/>
        <v/>
      </c>
      <c r="IB28" s="415" t="str">
        <f>IF(AND(HZ28="",IA28=""),"",IF(OR(HS28="SUPPLEMENTARY",HS28="RE-EXAM"),'Supp. Result Entry'!AQ26,HS28))</f>
        <v/>
      </c>
      <c r="IC28" s="87"/>
      <c r="IS28" s="109" t="str">
        <f>IF('Supp. Result Entry'!T26="","",'Supp. Result Entry'!$T$4)</f>
        <v/>
      </c>
      <c r="IT28" s="110" t="str">
        <f>IF('Supp. Result Entry'!W26="","",'Supp. Result Entry'!$W$4)</f>
        <v/>
      </c>
      <c r="IU28" s="110" t="str">
        <f>IF('Supp. Result Entry'!Z26="","",'Supp. Result Entry'!$Z$4)</f>
        <v/>
      </c>
      <c r="IV28" s="110" t="str">
        <f>IF('Supp. Result Entry'!AC26="","",'Supp. Result Entry'!$AC$4)</f>
        <v/>
      </c>
      <c r="IW28" s="110" t="str">
        <f>IF('Supp. Result Entry'!AF26="","",'Supp. Result Entry'!$AF$4)</f>
        <v/>
      </c>
      <c r="IX28" s="110" t="str">
        <f>IF('Supp. Result Entry'!AI26="","",'Supp. Result Entry'!$AI$4)</f>
        <v/>
      </c>
      <c r="IY28" s="110" t="str">
        <f>IF('Supp. Result Entry'!AI26="","",'Supp. Result Entry'!$AL$4)</f>
        <v/>
      </c>
      <c r="IZ28" s="110" t="str">
        <f>IF('Supp. Result Entry'!U26="","",'Supp. Result Entry'!U26)</f>
        <v/>
      </c>
      <c r="JA28" s="110" t="str">
        <f>IF('Supp. Result Entry'!X26="","",'Supp. Result Entry'!X26)</f>
        <v/>
      </c>
      <c r="JB28" s="110" t="str">
        <f>IF('Supp. Result Entry'!AA26="","",'Supp. Result Entry'!AA26)</f>
        <v/>
      </c>
      <c r="JC28" s="110" t="str">
        <f>IF('Supp. Result Entry'!AD26="","",'Supp. Result Entry'!AD26)</f>
        <v/>
      </c>
      <c r="JD28" s="110" t="str">
        <f>IF('Supp. Result Entry'!AG26="","",'Supp. Result Entry'!AG26)</f>
        <v/>
      </c>
      <c r="JE28" s="110" t="str">
        <f>IF('Supp. Result Entry'!AJ26="","",'Supp. Result Entry'!AJ26)</f>
        <v/>
      </c>
      <c r="JF28" s="110" t="str">
        <f>IF('Supp. Result Entry'!AM26="","",'Supp. Result Entry'!AM26)</f>
        <v/>
      </c>
      <c r="JG28" s="110" t="str">
        <f>IF('Supp. Result Entry'!V26="","",'Supp. Result Entry'!V26)</f>
        <v/>
      </c>
      <c r="JH28" s="110" t="str">
        <f>IF('Supp. Result Entry'!Y26="","",'Supp. Result Entry'!Y26)</f>
        <v/>
      </c>
      <c r="JI28" s="110" t="str">
        <f>IF('Supp. Result Entry'!AB26="","",'Supp. Result Entry'!AB26)</f>
        <v/>
      </c>
      <c r="JJ28" s="110" t="str">
        <f>IF('Supp. Result Entry'!AE26="","",'Supp. Result Entry'!AE26)</f>
        <v/>
      </c>
      <c r="JK28" s="110" t="str">
        <f>IF('Supp. Result Entry'!AH26="","",'Supp. Result Entry'!AH26)</f>
        <v/>
      </c>
      <c r="JL28" s="110" t="str">
        <f>IF('Supp. Result Entry'!AK26="","",'Supp. Result Entry'!AK26)</f>
        <v/>
      </c>
      <c r="JM28" s="110" t="str">
        <f>IF('Supp. Result Entry'!AN26="","",'Supp. Result Entry'!AN26)</f>
        <v/>
      </c>
      <c r="JN28" s="110">
        <f>COUNTIF('Supp. Result Entry'!K26:Q26,"S")</f>
        <v>0</v>
      </c>
      <c r="JO28" s="110">
        <f t="shared" si="155"/>
        <v>0</v>
      </c>
      <c r="JP28" s="110">
        <f t="shared" si="156"/>
        <v>0</v>
      </c>
      <c r="JQ28" s="110" t="str">
        <f t="shared" si="75"/>
        <v/>
      </c>
      <c r="JR28" s="110" t="str">
        <f t="shared" si="76"/>
        <v/>
      </c>
      <c r="JS28" s="110" t="str">
        <f t="shared" si="77"/>
        <v/>
      </c>
      <c r="JT28" s="110" t="str">
        <f t="shared" si="78"/>
        <v/>
      </c>
      <c r="JU28" s="110" t="str">
        <f t="shared" si="79"/>
        <v/>
      </c>
      <c r="JV28" s="110" t="str">
        <f t="shared" si="80"/>
        <v/>
      </c>
      <c r="JW28" s="110" t="str">
        <f t="shared" si="81"/>
        <v/>
      </c>
      <c r="JX28" s="110" t="str">
        <f t="shared" si="157"/>
        <v/>
      </c>
      <c r="JY28" s="110" t="str">
        <f t="shared" si="158"/>
        <v/>
      </c>
      <c r="JZ28" s="110" t="str">
        <f t="shared" si="82"/>
        <v/>
      </c>
      <c r="KA28" s="108" t="str">
        <f t="shared" si="159"/>
        <v/>
      </c>
    </row>
    <row r="29" spans="1:287" s="108" customFormat="1" ht="21.95" customHeight="1">
      <c r="A29" s="89">
        <v>23</v>
      </c>
      <c r="B29" s="90">
        <f>IF('Marks Entry'!B29="","",'Marks Entry'!B29)</f>
        <v>923</v>
      </c>
      <c r="C29" s="94" t="str">
        <f>IF('Marks Entry'!D29="","",'Marks Entry'!D29)</f>
        <v>A</v>
      </c>
      <c r="D29" s="91" t="str">
        <f>IF('Marks Entry'!E29="","",'Marks Entry'!E29)</f>
        <v/>
      </c>
      <c r="E29" s="92" t="str">
        <f>IF('Marks Entry'!F29="","",'Marks Entry'!F29)</f>
        <v/>
      </c>
      <c r="F29" s="93" t="str">
        <f>IF('Marks Entry'!G29="","",'Marks Entry'!G29)</f>
        <v>DINESH</v>
      </c>
      <c r="G29" s="93" t="str">
        <f>IF('Marks Entry'!H29="","",'Marks Entry'!H29)</f>
        <v/>
      </c>
      <c r="H29" s="93" t="str">
        <f>IF('Marks Entry'!I29="","",'Marks Entry'!I29)</f>
        <v/>
      </c>
      <c r="I29" s="94" t="str">
        <f>IF('Marks Entry'!J29="","",'Marks Entry'!J29)</f>
        <v/>
      </c>
      <c r="J29" s="95" t="str">
        <f>IF('Marks Entry'!K29="","",'Marks Entry'!K29)</f>
        <v/>
      </c>
      <c r="K29" s="68">
        <f>IF('Marks Entry'!L29="","",'Marks Entry'!L29)</f>
        <v>8</v>
      </c>
      <c r="L29" s="68">
        <f>IF('Marks Entry'!M29="","",'Marks Entry'!M29)</f>
        <v>9</v>
      </c>
      <c r="M29" s="68">
        <f>IF('Marks Entry'!N29="","",'Marks Entry'!N29)</f>
        <v>8</v>
      </c>
      <c r="N29" s="514">
        <f t="shared" si="83"/>
        <v>25</v>
      </c>
      <c r="O29" s="68">
        <f>IF('Marks Entry'!O29="","",'Marks Entry'!O29)</f>
        <v>46</v>
      </c>
      <c r="P29" s="515">
        <f t="shared" si="84"/>
        <v>71</v>
      </c>
      <c r="Q29" s="68">
        <f>IF('Marks Entry'!P29="","",'Marks Entry'!P29)</f>
        <v>65</v>
      </c>
      <c r="R29" s="96">
        <f t="shared" si="85"/>
        <v>136</v>
      </c>
      <c r="S29" s="65">
        <f t="shared" si="86"/>
        <v>0</v>
      </c>
      <c r="T29" s="65">
        <f t="shared" si="87"/>
        <v>0</v>
      </c>
      <c r="U29" s="66">
        <f t="shared" si="88"/>
        <v>200</v>
      </c>
      <c r="V29" s="65" t="str">
        <f t="shared" si="89"/>
        <v/>
      </c>
      <c r="W29" s="65" t="str">
        <f t="shared" si="90"/>
        <v>P</v>
      </c>
      <c r="X29" s="65" t="str">
        <f t="shared" si="91"/>
        <v>I</v>
      </c>
      <c r="Y29" s="68">
        <f>IF('Marks Entry'!Q29="","",'Marks Entry'!Q29)</f>
        <v>8</v>
      </c>
      <c r="Z29" s="68">
        <f>IF('Marks Entry'!R29="","",'Marks Entry'!R29)</f>
        <v>9</v>
      </c>
      <c r="AA29" s="68">
        <f>IF('Marks Entry'!S29="","",'Marks Entry'!S29)</f>
        <v>8</v>
      </c>
      <c r="AB29" s="514">
        <f t="shared" si="2"/>
        <v>25</v>
      </c>
      <c r="AC29" s="68">
        <f>IF('Marks Entry'!T29="","",'Marks Entry'!T29)</f>
        <v>60</v>
      </c>
      <c r="AD29" s="515">
        <f t="shared" si="3"/>
        <v>85</v>
      </c>
      <c r="AE29" s="68">
        <f>IF('Marks Entry'!U29="","",'Marks Entry'!U29)</f>
        <v>85</v>
      </c>
      <c r="AF29" s="96">
        <f t="shared" si="4"/>
        <v>170</v>
      </c>
      <c r="AG29" s="65">
        <f t="shared" si="5"/>
        <v>0</v>
      </c>
      <c r="AH29" s="65">
        <f t="shared" si="6"/>
        <v>0</v>
      </c>
      <c r="AI29" s="66">
        <f t="shared" si="7"/>
        <v>200</v>
      </c>
      <c r="AJ29" s="65" t="str">
        <f t="shared" si="8"/>
        <v/>
      </c>
      <c r="AK29" s="65" t="str">
        <f t="shared" si="9"/>
        <v>P</v>
      </c>
      <c r="AL29" s="65" t="str">
        <f t="shared" si="10"/>
        <v>D</v>
      </c>
      <c r="AM29" s="524" t="str">
        <f>IF('Marks Entry'!V29="","",IF('Marks Entry'!V29=1,'School Profile'!$I$9,IF('Marks Entry'!V29=2,'School Profile'!$I$10,IF('Marks Entry'!V29=3,'School Profile'!$I$11,IF('Marks Entry'!V29=4,'School Profile'!$I$12,IF('Marks Entry'!V29=5,'School Profile'!$I$13,IF('Marks Entry'!V29=6,'School Profile'!$I$14,"")))))))</f>
        <v>गुजराती (73)</v>
      </c>
      <c r="AN29" s="68">
        <f>IF('Marks Entry'!W29="","",'Marks Entry'!W29)</f>
        <v>8</v>
      </c>
      <c r="AO29" s="68">
        <f>IF('Marks Entry'!X29="","",'Marks Entry'!X29)</f>
        <v>9</v>
      </c>
      <c r="AP29" s="68">
        <f>IF('Marks Entry'!Y29="","",'Marks Entry'!Y29)</f>
        <v>8</v>
      </c>
      <c r="AQ29" s="514">
        <f t="shared" si="11"/>
        <v>25</v>
      </c>
      <c r="AR29" s="68">
        <f>IF('Marks Entry'!Z29="","",'Marks Entry'!Z29)</f>
        <v>46</v>
      </c>
      <c r="AS29" s="515">
        <f t="shared" si="12"/>
        <v>71</v>
      </c>
      <c r="AT29" s="68">
        <f>IF('Marks Entry'!AA29="","",'Marks Entry'!AA29)</f>
        <v>45</v>
      </c>
      <c r="AU29" s="96">
        <f t="shared" si="13"/>
        <v>116</v>
      </c>
      <c r="AV29" s="65">
        <f t="shared" si="14"/>
        <v>0</v>
      </c>
      <c r="AW29" s="65">
        <f t="shared" si="15"/>
        <v>0</v>
      </c>
      <c r="AX29" s="66">
        <f t="shared" si="16"/>
        <v>200</v>
      </c>
      <c r="AY29" s="65" t="str">
        <f t="shared" si="17"/>
        <v/>
      </c>
      <c r="AZ29" s="65" t="str">
        <f t="shared" si="18"/>
        <v>P</v>
      </c>
      <c r="BA29" s="65" t="str">
        <f t="shared" si="19"/>
        <v>II</v>
      </c>
      <c r="BB29" s="68">
        <f>IF('Marks Entry'!AB29="","",'Marks Entry'!AB29)</f>
        <v>8</v>
      </c>
      <c r="BC29" s="68">
        <f>IF('Marks Entry'!AC29="","",'Marks Entry'!AC29)</f>
        <v>9</v>
      </c>
      <c r="BD29" s="68">
        <f>IF('Marks Entry'!AD29="","",'Marks Entry'!AD29)</f>
        <v>9</v>
      </c>
      <c r="BE29" s="514">
        <f t="shared" si="20"/>
        <v>26</v>
      </c>
      <c r="BF29" s="68">
        <f>IF('Marks Entry'!AE29="","",'Marks Entry'!AE29)</f>
        <v>46</v>
      </c>
      <c r="BG29" s="515">
        <f t="shared" si="21"/>
        <v>72</v>
      </c>
      <c r="BH29" s="68">
        <f>IF('Marks Entry'!AF29="","",'Marks Entry'!AF29)</f>
        <v>45</v>
      </c>
      <c r="BI29" s="96">
        <f t="shared" si="22"/>
        <v>117</v>
      </c>
      <c r="BJ29" s="65">
        <f t="shared" si="23"/>
        <v>0</v>
      </c>
      <c r="BK29" s="65">
        <f t="shared" si="92"/>
        <v>0</v>
      </c>
      <c r="BL29" s="66">
        <f t="shared" si="24"/>
        <v>200</v>
      </c>
      <c r="BM29" s="65" t="str">
        <f t="shared" si="25"/>
        <v/>
      </c>
      <c r="BN29" s="65" t="str">
        <f t="shared" si="26"/>
        <v>P</v>
      </c>
      <c r="BO29" s="65" t="str">
        <f t="shared" si="27"/>
        <v>II</v>
      </c>
      <c r="BP29" s="68">
        <f>IF('Marks Entry'!AG29="","",'Marks Entry'!AG29)</f>
        <v>8</v>
      </c>
      <c r="BQ29" s="68">
        <f>IF('Marks Entry'!AH29="","",'Marks Entry'!AH29)</f>
        <v>9</v>
      </c>
      <c r="BR29" s="68">
        <f>IF('Marks Entry'!AI29="","",'Marks Entry'!AI29)</f>
        <v>7</v>
      </c>
      <c r="BS29" s="514">
        <f t="shared" si="28"/>
        <v>24</v>
      </c>
      <c r="BT29" s="68">
        <f>IF('Marks Entry'!AJ29="","",'Marks Entry'!AJ29)</f>
        <v>46</v>
      </c>
      <c r="BU29" s="515">
        <f t="shared" si="29"/>
        <v>70</v>
      </c>
      <c r="BV29" s="68">
        <f>IF('Marks Entry'!AK29="","",'Marks Entry'!AK29)</f>
        <v>45</v>
      </c>
      <c r="BW29" s="96">
        <f t="shared" si="30"/>
        <v>115</v>
      </c>
      <c r="BX29" s="65">
        <f t="shared" si="31"/>
        <v>0</v>
      </c>
      <c r="BY29" s="65">
        <f t="shared" si="32"/>
        <v>0</v>
      </c>
      <c r="BZ29" s="66">
        <f t="shared" si="33"/>
        <v>200</v>
      </c>
      <c r="CA29" s="65" t="str">
        <f t="shared" si="34"/>
        <v/>
      </c>
      <c r="CB29" s="65" t="str">
        <f t="shared" si="35"/>
        <v>P</v>
      </c>
      <c r="CC29" s="65" t="str">
        <f t="shared" si="36"/>
        <v>II</v>
      </c>
      <c r="CD29" s="66">
        <f t="shared" si="93"/>
        <v>0</v>
      </c>
      <c r="CE29" s="68">
        <f>IF('Marks Entry'!AL29="","",'Marks Entry'!AL29)</f>
        <v>8</v>
      </c>
      <c r="CF29" s="68">
        <f>IF('Marks Entry'!AM29="","",'Marks Entry'!AM29)</f>
        <v>8</v>
      </c>
      <c r="CG29" s="68">
        <f>IF('Marks Entry'!AN29="","",'Marks Entry'!AN29)</f>
        <v>8</v>
      </c>
      <c r="CH29" s="514">
        <f t="shared" si="37"/>
        <v>24</v>
      </c>
      <c r="CI29" s="68">
        <f>IF('Marks Entry'!AO29="","",'Marks Entry'!AO29)</f>
        <v>46</v>
      </c>
      <c r="CJ29" s="515">
        <f t="shared" si="38"/>
        <v>70</v>
      </c>
      <c r="CK29" s="68">
        <f>IF('Marks Entry'!AP29="","",'Marks Entry'!AP29)</f>
        <v>45</v>
      </c>
      <c r="CL29" s="96">
        <f t="shared" si="39"/>
        <v>115</v>
      </c>
      <c r="CM29" s="65">
        <f t="shared" si="40"/>
        <v>0</v>
      </c>
      <c r="CN29" s="65">
        <f t="shared" si="41"/>
        <v>0</v>
      </c>
      <c r="CO29" s="66">
        <f t="shared" si="42"/>
        <v>200</v>
      </c>
      <c r="CP29" s="65" t="str">
        <f t="shared" si="43"/>
        <v/>
      </c>
      <c r="CQ29" s="65" t="str">
        <f t="shared" si="44"/>
        <v>P</v>
      </c>
      <c r="CR29" s="65" t="str">
        <f t="shared" si="45"/>
        <v>II</v>
      </c>
      <c r="CS29" s="616" t="str">
        <f>IF('School Profile'!$D$20="NO","",IF('Marks Entry'!AQ29="","",IF('Marks Entry'!AQ29=1,'School Profile'!$I$29,IF('Marks Entry'!AQ29=2,'School Profile'!$I$30,IF('Marks Entry'!AQ29=3,'School Profile'!$I$31,IF('Marks Entry'!AQ29=4,'School Profile'!$I$32,IF('Marks Entry'!AQ29=5,'School Profile'!$I$33,IF('Marks Entry'!AQ29=6,'School Profile'!$I$34,IF('Marks Entry'!AQ29=7,'School Profile'!$I$35,IF('Marks Entry'!AQ29=8,'School Profile'!$I$36,IF('Marks Entry'!AQ29=9,'School Profile'!$I$37,IF('Marks Entry'!AQ29=10,'School Profile'!$I$38,IF('Marks Entry'!AQ29=11,'School Profile'!$I$39,"")))))))))))))</f>
        <v/>
      </c>
      <c r="CT29" s="68" t="str">
        <f>IF('School Profile'!$D$20="NO","",IF('Marks Entry'!AR29="","",'Marks Entry'!AR29))</f>
        <v/>
      </c>
      <c r="CU29" s="68" t="str">
        <f>IF('School Profile'!$D$20="NO","",IF('Marks Entry'!AS29="","",'Marks Entry'!AS29))</f>
        <v/>
      </c>
      <c r="CV29" s="68" t="str">
        <f>IF('School Profile'!$D$20="NO","",IF('Marks Entry'!AT29="","",'Marks Entry'!AT29))</f>
        <v/>
      </c>
      <c r="CW29" s="514" t="str">
        <f>IF('School Profile'!$D$20="NO","",IF(AND(CT29="",CU29="",CV29=""),"",SUM(CT29:CV29)))</f>
        <v/>
      </c>
      <c r="CX29" s="68" t="str">
        <f>IF('School Profile'!$D$20="NO","",IF('Marks Entry'!AU29="","",'Marks Entry'!AU29))</f>
        <v/>
      </c>
      <c r="CY29" s="68" t="str">
        <f>IF('School Profile'!$D$20="NO","",IF('Marks Entry'!AV29="","",'Marks Entry'!AV29))</f>
        <v/>
      </c>
      <c r="CZ29" s="515" t="str">
        <f>IF('School Profile'!$D$20="NO","",IF(AND(CX29="",CY29=""),"",SUM(CX29,CY29)))</f>
        <v/>
      </c>
      <c r="DA29" s="69" t="str">
        <f>IF('School Profile'!$D$20="NO","",IF(AND(CW29="",CZ29=""),"",SUM(CW29+CZ29)))</f>
        <v/>
      </c>
      <c r="DB29" s="68" t="str">
        <f>IF('School Profile'!$D$20="NO","",IF('Marks Entry'!AW29="","",'Marks Entry'!AW29))</f>
        <v/>
      </c>
      <c r="DC29" s="68" t="str">
        <f>IF('School Profile'!$D$20="NO","",IF('Marks Entry'!AX29="","",'Marks Entry'!AX29))</f>
        <v/>
      </c>
      <c r="DD29" s="515" t="str">
        <f>IF('School Profile'!$D$20="NO","",IF(AND(DB29="",DC29=""),"",SUM(DB29,DC29)))</f>
        <v/>
      </c>
      <c r="DE29" s="96" t="str">
        <f>IF('School Profile'!$D$20="NO","",IF(AND(DA29="",DD29=""),"",SUM(DA29,DD29)))</f>
        <v/>
      </c>
      <c r="DF29" s="532">
        <f t="shared" si="46"/>
        <v>0</v>
      </c>
      <c r="DG29" s="65">
        <f t="shared" si="47"/>
        <v>0</v>
      </c>
      <c r="DH29" s="66" t="str">
        <f t="shared" si="48"/>
        <v/>
      </c>
      <c r="DI29" s="65" t="str">
        <f t="shared" si="49"/>
        <v/>
      </c>
      <c r="DJ29" s="65" t="str">
        <f t="shared" si="50"/>
        <v/>
      </c>
      <c r="DK29" s="65" t="str">
        <f t="shared" si="51"/>
        <v/>
      </c>
      <c r="DL29" s="97" t="str">
        <f t="shared" si="94"/>
        <v>I</v>
      </c>
      <c r="DM29" s="97" t="str">
        <f t="shared" si="95"/>
        <v>D</v>
      </c>
      <c r="DN29" s="97" t="str">
        <f t="shared" si="96"/>
        <v>II</v>
      </c>
      <c r="DO29" s="97" t="str">
        <f t="shared" si="97"/>
        <v>II</v>
      </c>
      <c r="DP29" s="97" t="str">
        <f t="shared" si="98"/>
        <v>II</v>
      </c>
      <c r="DQ29" s="97" t="str">
        <f t="shared" si="99"/>
        <v>II</v>
      </c>
      <c r="DR29" s="97" t="str">
        <f t="shared" si="100"/>
        <v/>
      </c>
      <c r="DS29" s="98">
        <f t="shared" si="101"/>
        <v>0</v>
      </c>
      <c r="DT29" s="98">
        <f t="shared" si="102"/>
        <v>0</v>
      </c>
      <c r="DU29" s="98">
        <f t="shared" si="103"/>
        <v>0</v>
      </c>
      <c r="DV29" s="98">
        <f t="shared" si="104"/>
        <v>0</v>
      </c>
      <c r="DW29" s="98">
        <f t="shared" si="105"/>
        <v>0</v>
      </c>
      <c r="DX29" s="98" t="str">
        <f t="shared" si="106"/>
        <v/>
      </c>
      <c r="DY29" s="99" t="str">
        <f t="shared" si="107"/>
        <v>PASS</v>
      </c>
      <c r="DZ29" s="74" t="str">
        <f>IF('Marks Entry'!AY29="","",'Marks Entry'!AY29)</f>
        <v/>
      </c>
      <c r="EA29" s="74" t="str">
        <f>IF('Marks Entry'!AZ29="","",'Marks Entry'!AZ29)</f>
        <v/>
      </c>
      <c r="EB29" s="74" t="str">
        <f>IF('Marks Entry'!BA29="","",'Marks Entry'!BA29)</f>
        <v/>
      </c>
      <c r="EC29" s="527" t="str">
        <f t="shared" si="52"/>
        <v/>
      </c>
      <c r="ED29" s="74" t="str">
        <f>IF('Marks Entry'!BB29="","",'Marks Entry'!BB29)</f>
        <v/>
      </c>
      <c r="EE29" s="528" t="str">
        <f t="shared" si="53"/>
        <v/>
      </c>
      <c r="EF29" s="74" t="str">
        <f>IF('Marks Entry'!BC29="","",'Marks Entry'!BC29)</f>
        <v/>
      </c>
      <c r="EG29" s="530" t="str">
        <f t="shared" si="54"/>
        <v/>
      </c>
      <c r="EH29" s="368" t="str">
        <f t="shared" si="108"/>
        <v/>
      </c>
      <c r="EI29" s="65">
        <f t="shared" si="109"/>
        <v>0</v>
      </c>
      <c r="EJ29" s="65">
        <f t="shared" si="110"/>
        <v>0</v>
      </c>
      <c r="EK29" s="66" t="str">
        <f t="shared" si="111"/>
        <v/>
      </c>
      <c r="EL29" s="74" t="str">
        <f>IF('Marks Entry'!BD29="","",'Marks Entry'!BD29)</f>
        <v/>
      </c>
      <c r="EM29" s="74" t="str">
        <f>IF('Marks Entry'!BE29="","",'Marks Entry'!BE29)</f>
        <v/>
      </c>
      <c r="EN29" s="74" t="str">
        <f>IF('Marks Entry'!BF29="","",'Marks Entry'!BF29)</f>
        <v/>
      </c>
      <c r="EO29" s="527" t="str">
        <f t="shared" si="55"/>
        <v/>
      </c>
      <c r="EP29" s="74" t="str">
        <f>IF('Marks Entry'!BG29="","",'Marks Entry'!BG29)</f>
        <v/>
      </c>
      <c r="EQ29" s="74" t="str">
        <f>IF('Marks Entry'!BH29="","",'Marks Entry'!BH29)</f>
        <v/>
      </c>
      <c r="ER29" s="528" t="str">
        <f t="shared" si="56"/>
        <v/>
      </c>
      <c r="ES29" s="529" t="str">
        <f t="shared" si="57"/>
        <v/>
      </c>
      <c r="ET29" s="74" t="str">
        <f>IF('Marks Entry'!BI29="","",'Marks Entry'!BI29)</f>
        <v/>
      </c>
      <c r="EU29" s="74" t="str">
        <f>IF('Marks Entry'!BJ29="","",'Marks Entry'!BJ29)</f>
        <v/>
      </c>
      <c r="EV29" s="528" t="str">
        <f t="shared" si="58"/>
        <v/>
      </c>
      <c r="EW29" s="530" t="str">
        <f t="shared" si="59"/>
        <v/>
      </c>
      <c r="EX29" s="368" t="str">
        <f t="shared" si="112"/>
        <v/>
      </c>
      <c r="EY29" s="65">
        <f t="shared" si="113"/>
        <v>0</v>
      </c>
      <c r="EZ29" s="65">
        <f t="shared" si="114"/>
        <v>0</v>
      </c>
      <c r="FA29" s="66" t="str">
        <f t="shared" si="115"/>
        <v/>
      </c>
      <c r="FB29" s="74" t="str">
        <f>IF('Marks Entry'!BK29="","",'Marks Entry'!BK29)</f>
        <v/>
      </c>
      <c r="FC29" s="74" t="str">
        <f>IF('Marks Entry'!BL29="","",'Marks Entry'!BL29)</f>
        <v/>
      </c>
      <c r="FD29" s="74" t="str">
        <f>IF('Marks Entry'!BM29="","",'Marks Entry'!BM29)</f>
        <v/>
      </c>
      <c r="FE29" s="74" t="str">
        <f>IF('Marks Entry'!BN29="","",'Marks Entry'!BN29)</f>
        <v/>
      </c>
      <c r="FF29" s="74" t="str">
        <f>IF('Marks Entry'!BO29="","",'Marks Entry'!BO29)</f>
        <v/>
      </c>
      <c r="FG29" s="74" t="str">
        <f>IF('Marks Entry'!BP29="","",'Marks Entry'!BP29)</f>
        <v/>
      </c>
      <c r="FH29" s="527" t="str">
        <f t="shared" si="60"/>
        <v/>
      </c>
      <c r="FI29" s="74" t="str">
        <f>IF('Marks Entry'!BQ29="","",'Marks Entry'!BQ29)</f>
        <v/>
      </c>
      <c r="FJ29" s="74" t="str">
        <f>IF('Marks Entry'!BR29="","",'Marks Entry'!BR29)</f>
        <v/>
      </c>
      <c r="FK29" s="528" t="str">
        <f t="shared" si="61"/>
        <v/>
      </c>
      <c r="FL29" s="529" t="str">
        <f t="shared" si="62"/>
        <v/>
      </c>
      <c r="FM29" s="74" t="str">
        <f>IF('Marks Entry'!BS29="","",'Marks Entry'!BS29)</f>
        <v/>
      </c>
      <c r="FN29" s="74" t="str">
        <f>IF('Marks Entry'!BT29="","",'Marks Entry'!BT29)</f>
        <v/>
      </c>
      <c r="FO29" s="528" t="str">
        <f t="shared" si="63"/>
        <v/>
      </c>
      <c r="FP29" s="530" t="str">
        <f t="shared" si="64"/>
        <v/>
      </c>
      <c r="FQ29" s="368" t="str">
        <f t="shared" si="116"/>
        <v/>
      </c>
      <c r="FR29" s="65">
        <f t="shared" si="117"/>
        <v>0</v>
      </c>
      <c r="FS29" s="65">
        <f t="shared" si="118"/>
        <v>0</v>
      </c>
      <c r="FT29" s="66" t="str">
        <f t="shared" si="119"/>
        <v/>
      </c>
      <c r="FU29" s="74" t="str">
        <f>IF('Marks Entry'!BU29="","",'Marks Entry'!BU29)</f>
        <v/>
      </c>
      <c r="FV29" s="74" t="str">
        <f>IF('Marks Entry'!BV29="","",'Marks Entry'!BV29)</f>
        <v/>
      </c>
      <c r="FW29" s="74" t="str">
        <f>IF('Marks Entry'!BW29="","",'Marks Entry'!BW29)</f>
        <v/>
      </c>
      <c r="FX29" s="75" t="str">
        <f t="shared" si="65"/>
        <v/>
      </c>
      <c r="FY29" s="368" t="str">
        <f t="shared" si="120"/>
        <v/>
      </c>
      <c r="FZ29" s="65">
        <f t="shared" si="121"/>
        <v>0</v>
      </c>
      <c r="GA29" s="66">
        <f t="shared" si="122"/>
        <v>0</v>
      </c>
      <c r="GB29" s="66" t="str">
        <f t="shared" si="123"/>
        <v/>
      </c>
      <c r="GC29" s="74" t="str">
        <f>IF('Marks Entry'!BX29="","",'Marks Entry'!BX29)</f>
        <v/>
      </c>
      <c r="GD29" s="74" t="str">
        <f>IF('Marks Entry'!BY29="","",'Marks Entry'!BY29)</f>
        <v/>
      </c>
      <c r="GE29" s="74" t="str">
        <f>IF('Marks Entry'!BZ29="","",'Marks Entry'!BZ29)</f>
        <v/>
      </c>
      <c r="GF29" s="75" t="str">
        <f t="shared" si="124"/>
        <v/>
      </c>
      <c r="GG29" s="368" t="str">
        <f t="shared" si="125"/>
        <v/>
      </c>
      <c r="GH29" s="65">
        <f t="shared" si="126"/>
        <v>0</v>
      </c>
      <c r="GI29" s="66">
        <f t="shared" si="127"/>
        <v>0</v>
      </c>
      <c r="GJ29" s="66" t="str">
        <f t="shared" si="128"/>
        <v/>
      </c>
      <c r="GK29" s="100" t="str">
        <f>IF(AND(F29="",B29=""),"",IF('Student DATA Entry'!M26="","",'Student DATA Entry'!M26))</f>
        <v/>
      </c>
      <c r="GL29" s="101" t="str">
        <f>IF(AND(B29="",F29=""),"",IF('Student DATA Entry'!N26="","",'Student DATA Entry'!N26))</f>
        <v/>
      </c>
      <c r="GM29" s="581" t="str">
        <f t="shared" si="129"/>
        <v/>
      </c>
      <c r="GN29" s="94" t="str">
        <f t="shared" si="130"/>
        <v>I</v>
      </c>
      <c r="GO29" s="94" t="str">
        <f t="shared" si="131"/>
        <v/>
      </c>
      <c r="GP29" s="102" t="str">
        <f t="shared" si="67"/>
        <v/>
      </c>
      <c r="GQ29" s="94" t="str">
        <f t="shared" si="132"/>
        <v>D</v>
      </c>
      <c r="GR29" s="103" t="str">
        <f t="shared" si="133"/>
        <v/>
      </c>
      <c r="GS29" s="102" t="str">
        <f t="shared" si="68"/>
        <v/>
      </c>
      <c r="GT29" s="104" t="str">
        <f t="shared" si="134"/>
        <v>II</v>
      </c>
      <c r="GU29" s="94" t="str">
        <f>IF('Marks Entry'!V29=1,GT29,"")</f>
        <v/>
      </c>
      <c r="GV29" s="94" t="str">
        <f>IF('Marks Entry'!V29=2,GT29,"")</f>
        <v/>
      </c>
      <c r="GW29" s="94" t="str">
        <f>IF('Marks Entry'!V29=3,GT29,"")</f>
        <v>II</v>
      </c>
      <c r="GX29" s="94" t="str">
        <f>IF('Marks Entry'!V29=4,GT29,"")</f>
        <v/>
      </c>
      <c r="GY29" s="94" t="str">
        <f>IF('Marks Entry'!V29=5,GT29,"")</f>
        <v/>
      </c>
      <c r="GZ29" s="94" t="str">
        <f t="shared" si="135"/>
        <v/>
      </c>
      <c r="HA29" s="105" t="str">
        <f t="shared" si="69"/>
        <v/>
      </c>
      <c r="HB29" s="94" t="str">
        <f t="shared" si="136"/>
        <v>II</v>
      </c>
      <c r="HC29" s="94" t="str">
        <f t="shared" si="137"/>
        <v/>
      </c>
      <c r="HD29" s="105" t="str">
        <f t="shared" si="70"/>
        <v/>
      </c>
      <c r="HE29" s="94" t="str">
        <f t="shared" si="138"/>
        <v>II</v>
      </c>
      <c r="HF29" s="94" t="str">
        <f t="shared" si="139"/>
        <v/>
      </c>
      <c r="HG29" s="105" t="str">
        <f t="shared" si="71"/>
        <v/>
      </c>
      <c r="HH29" s="94" t="str">
        <f t="shared" si="140"/>
        <v>II</v>
      </c>
      <c r="HI29" s="94" t="str">
        <f t="shared" si="141"/>
        <v/>
      </c>
      <c r="HJ29" s="105" t="str">
        <f t="shared" si="72"/>
        <v/>
      </c>
      <c r="HK29" s="94" t="str">
        <f t="shared" si="142"/>
        <v/>
      </c>
      <c r="HL29" s="94" t="str">
        <f t="shared" si="143"/>
        <v/>
      </c>
      <c r="HM29" s="105" t="str">
        <f t="shared" si="73"/>
        <v/>
      </c>
      <c r="HN29" s="367" t="str">
        <f t="shared" si="144"/>
        <v xml:space="preserve">      </v>
      </c>
      <c r="HO29" s="418" t="str">
        <f t="shared" si="145"/>
        <v xml:space="preserve">      </v>
      </c>
      <c r="HP29" s="367" t="str">
        <f t="shared" si="146"/>
        <v xml:space="preserve">      </v>
      </c>
      <c r="HQ29" s="107" t="str">
        <f t="shared" si="147"/>
        <v xml:space="preserve">      </v>
      </c>
      <c r="HR29" s="366" t="str">
        <f t="shared" si="148"/>
        <v xml:space="preserve"> अंग्रेजी     </v>
      </c>
      <c r="HS29" s="544" t="str">
        <f t="shared" si="74"/>
        <v>PASS</v>
      </c>
      <c r="HT29" s="542">
        <f t="shared" si="149"/>
        <v>769</v>
      </c>
      <c r="HU29" s="541">
        <f t="shared" si="160"/>
        <v>64.083333333333329</v>
      </c>
      <c r="HV29" s="540" t="str">
        <f t="shared" si="150"/>
        <v>1st</v>
      </c>
      <c r="HW29" s="537">
        <f t="shared" si="151"/>
        <v>64.083333333333329</v>
      </c>
      <c r="HX29" s="539">
        <f t="shared" si="152"/>
        <v>5.9999999999999263</v>
      </c>
      <c r="HY29" s="553" t="str">
        <f>IFERROR(IF(OR(HS29="SUPPLEMENTARY",HS29="RE-EXAM"),'Supp. Result Entry'!AQ27,""),"")</f>
        <v/>
      </c>
      <c r="HZ29" s="538" t="str">
        <f t="shared" si="153"/>
        <v/>
      </c>
      <c r="IA29" s="415" t="str">
        <f t="shared" si="154"/>
        <v/>
      </c>
      <c r="IB29" s="415" t="str">
        <f>IF(AND(HZ29="",IA29=""),"",IF(OR(HS29="SUPPLEMENTARY",HS29="RE-EXAM"),'Supp. Result Entry'!AQ27,HS29))</f>
        <v/>
      </c>
      <c r="IC29" s="87"/>
      <c r="IS29" s="109" t="str">
        <f>IF('Supp. Result Entry'!T27="","",'Supp. Result Entry'!$T$4)</f>
        <v/>
      </c>
      <c r="IT29" s="110" t="str">
        <f>IF('Supp. Result Entry'!W27="","",'Supp. Result Entry'!$W$4)</f>
        <v/>
      </c>
      <c r="IU29" s="110" t="str">
        <f>IF('Supp. Result Entry'!Z27="","",'Supp. Result Entry'!$Z$4)</f>
        <v/>
      </c>
      <c r="IV29" s="110" t="str">
        <f>IF('Supp. Result Entry'!AC27="","",'Supp. Result Entry'!$AC$4)</f>
        <v/>
      </c>
      <c r="IW29" s="110" t="str">
        <f>IF('Supp. Result Entry'!AF27="","",'Supp. Result Entry'!$AF$4)</f>
        <v/>
      </c>
      <c r="IX29" s="110" t="str">
        <f>IF('Supp. Result Entry'!AI27="","",'Supp. Result Entry'!$AI$4)</f>
        <v/>
      </c>
      <c r="IY29" s="110" t="str">
        <f>IF('Supp. Result Entry'!AI27="","",'Supp. Result Entry'!$AL$4)</f>
        <v/>
      </c>
      <c r="IZ29" s="110" t="str">
        <f>IF('Supp. Result Entry'!U27="","",'Supp. Result Entry'!U27)</f>
        <v/>
      </c>
      <c r="JA29" s="110" t="str">
        <f>IF('Supp. Result Entry'!X27="","",'Supp. Result Entry'!X27)</f>
        <v/>
      </c>
      <c r="JB29" s="110" t="str">
        <f>IF('Supp. Result Entry'!AA27="","",'Supp. Result Entry'!AA27)</f>
        <v/>
      </c>
      <c r="JC29" s="110" t="str">
        <f>IF('Supp. Result Entry'!AD27="","",'Supp. Result Entry'!AD27)</f>
        <v/>
      </c>
      <c r="JD29" s="110" t="str">
        <f>IF('Supp. Result Entry'!AG27="","",'Supp. Result Entry'!AG27)</f>
        <v/>
      </c>
      <c r="JE29" s="110" t="str">
        <f>IF('Supp. Result Entry'!AJ27="","",'Supp. Result Entry'!AJ27)</f>
        <v/>
      </c>
      <c r="JF29" s="110" t="str">
        <f>IF('Supp. Result Entry'!AM27="","",'Supp. Result Entry'!AM27)</f>
        <v/>
      </c>
      <c r="JG29" s="110" t="str">
        <f>IF('Supp. Result Entry'!V27="","",'Supp. Result Entry'!V27)</f>
        <v/>
      </c>
      <c r="JH29" s="110" t="str">
        <f>IF('Supp. Result Entry'!Y27="","",'Supp. Result Entry'!Y27)</f>
        <v/>
      </c>
      <c r="JI29" s="110" t="str">
        <f>IF('Supp. Result Entry'!AB27="","",'Supp. Result Entry'!AB27)</f>
        <v/>
      </c>
      <c r="JJ29" s="110" t="str">
        <f>IF('Supp. Result Entry'!AE27="","",'Supp. Result Entry'!AE27)</f>
        <v/>
      </c>
      <c r="JK29" s="110" t="str">
        <f>IF('Supp. Result Entry'!AH27="","",'Supp. Result Entry'!AH27)</f>
        <v/>
      </c>
      <c r="JL29" s="110" t="str">
        <f>IF('Supp. Result Entry'!AK27="","",'Supp. Result Entry'!AK27)</f>
        <v/>
      </c>
      <c r="JM29" s="110" t="str">
        <f>IF('Supp. Result Entry'!AN27="","",'Supp. Result Entry'!AN27)</f>
        <v/>
      </c>
      <c r="JN29" s="110">
        <f>COUNTIF('Supp. Result Entry'!K27:Q27,"S")</f>
        <v>0</v>
      </c>
      <c r="JO29" s="110">
        <f t="shared" si="155"/>
        <v>0</v>
      </c>
      <c r="JP29" s="110">
        <f t="shared" si="156"/>
        <v>0</v>
      </c>
      <c r="JQ29" s="110" t="str">
        <f t="shared" si="75"/>
        <v/>
      </c>
      <c r="JR29" s="110" t="str">
        <f t="shared" si="76"/>
        <v/>
      </c>
      <c r="JS29" s="110" t="str">
        <f t="shared" si="77"/>
        <v/>
      </c>
      <c r="JT29" s="110" t="str">
        <f t="shared" si="78"/>
        <v/>
      </c>
      <c r="JU29" s="110" t="str">
        <f t="shared" si="79"/>
        <v/>
      </c>
      <c r="JV29" s="110" t="str">
        <f t="shared" si="80"/>
        <v/>
      </c>
      <c r="JW29" s="110" t="str">
        <f t="shared" si="81"/>
        <v/>
      </c>
      <c r="JX29" s="110" t="str">
        <f t="shared" si="157"/>
        <v/>
      </c>
      <c r="JY29" s="110" t="str">
        <f t="shared" si="158"/>
        <v/>
      </c>
      <c r="JZ29" s="110" t="str">
        <f t="shared" si="82"/>
        <v/>
      </c>
      <c r="KA29" s="108" t="str">
        <f t="shared" si="159"/>
        <v/>
      </c>
    </row>
    <row r="30" spans="1:287" s="108" customFormat="1" ht="21.95" customHeight="1">
      <c r="A30" s="89">
        <v>24</v>
      </c>
      <c r="B30" s="90">
        <f>IF('Marks Entry'!B30="","",'Marks Entry'!B30)</f>
        <v>924</v>
      </c>
      <c r="C30" s="94" t="str">
        <f>IF('Marks Entry'!D30="","",'Marks Entry'!D30)</f>
        <v>A</v>
      </c>
      <c r="D30" s="91" t="str">
        <f>IF('Marks Entry'!E30="","",'Marks Entry'!E30)</f>
        <v/>
      </c>
      <c r="E30" s="92" t="str">
        <f>IF('Marks Entry'!F30="","",'Marks Entry'!F30)</f>
        <v/>
      </c>
      <c r="F30" s="93" t="str">
        <f>IF('Marks Entry'!G30="","",'Marks Entry'!G30)</f>
        <v>MAHESH</v>
      </c>
      <c r="G30" s="93" t="str">
        <f>IF('Marks Entry'!H30="","",'Marks Entry'!H30)</f>
        <v/>
      </c>
      <c r="H30" s="93" t="str">
        <f>IF('Marks Entry'!I30="","",'Marks Entry'!I30)</f>
        <v/>
      </c>
      <c r="I30" s="94" t="str">
        <f>IF('Marks Entry'!J30="","",'Marks Entry'!J30)</f>
        <v/>
      </c>
      <c r="J30" s="95" t="str">
        <f>IF('Marks Entry'!K30="","",'Marks Entry'!K30)</f>
        <v/>
      </c>
      <c r="K30" s="68">
        <f>IF('Marks Entry'!L30="","",'Marks Entry'!L30)</f>
        <v>8</v>
      </c>
      <c r="L30" s="68">
        <f>IF('Marks Entry'!M30="","",'Marks Entry'!M30)</f>
        <v>9</v>
      </c>
      <c r="M30" s="68">
        <f>IF('Marks Entry'!N30="","",'Marks Entry'!N30)</f>
        <v>8</v>
      </c>
      <c r="N30" s="514">
        <f t="shared" si="83"/>
        <v>25</v>
      </c>
      <c r="O30" s="68">
        <f>IF('Marks Entry'!O30="","",'Marks Entry'!O30)</f>
        <v>46</v>
      </c>
      <c r="P30" s="515">
        <f t="shared" si="84"/>
        <v>71</v>
      </c>
      <c r="Q30" s="68">
        <f>IF('Marks Entry'!P30="","",'Marks Entry'!P30)</f>
        <v>65</v>
      </c>
      <c r="R30" s="96">
        <f t="shared" si="85"/>
        <v>136</v>
      </c>
      <c r="S30" s="65">
        <f t="shared" si="86"/>
        <v>0</v>
      </c>
      <c r="T30" s="65">
        <f t="shared" si="87"/>
        <v>0</v>
      </c>
      <c r="U30" s="66">
        <f t="shared" si="88"/>
        <v>200</v>
      </c>
      <c r="V30" s="65" t="str">
        <f t="shared" si="89"/>
        <v/>
      </c>
      <c r="W30" s="65" t="str">
        <f t="shared" si="90"/>
        <v>P</v>
      </c>
      <c r="X30" s="65" t="str">
        <f t="shared" si="91"/>
        <v>I</v>
      </c>
      <c r="Y30" s="68">
        <f>IF('Marks Entry'!Q30="","",'Marks Entry'!Q30)</f>
        <v>8</v>
      </c>
      <c r="Z30" s="68">
        <f>IF('Marks Entry'!R30="","",'Marks Entry'!R30)</f>
        <v>9</v>
      </c>
      <c r="AA30" s="68">
        <f>IF('Marks Entry'!S30="","",'Marks Entry'!S30)</f>
        <v>7</v>
      </c>
      <c r="AB30" s="514">
        <f t="shared" si="2"/>
        <v>24</v>
      </c>
      <c r="AC30" s="68">
        <f>IF('Marks Entry'!T30="","",'Marks Entry'!T30)</f>
        <v>60</v>
      </c>
      <c r="AD30" s="515">
        <f t="shared" si="3"/>
        <v>84</v>
      </c>
      <c r="AE30" s="68">
        <f>IF('Marks Entry'!U30="","",'Marks Entry'!U30)</f>
        <v>85</v>
      </c>
      <c r="AF30" s="96">
        <f t="shared" si="4"/>
        <v>169</v>
      </c>
      <c r="AG30" s="65">
        <f t="shared" si="5"/>
        <v>0</v>
      </c>
      <c r="AH30" s="65">
        <f t="shared" si="6"/>
        <v>0</v>
      </c>
      <c r="AI30" s="66">
        <f t="shared" si="7"/>
        <v>200</v>
      </c>
      <c r="AJ30" s="65" t="str">
        <f t="shared" si="8"/>
        <v/>
      </c>
      <c r="AK30" s="65" t="str">
        <f t="shared" si="9"/>
        <v>P</v>
      </c>
      <c r="AL30" s="65" t="str">
        <f t="shared" si="10"/>
        <v>D</v>
      </c>
      <c r="AM30" s="524" t="str">
        <f>IF('Marks Entry'!V30="","",IF('Marks Entry'!V30=1,'School Profile'!$I$9,IF('Marks Entry'!V30=2,'School Profile'!$I$10,IF('Marks Entry'!V30=3,'School Profile'!$I$11,IF('Marks Entry'!V30=4,'School Profile'!$I$12,IF('Marks Entry'!V30=5,'School Profile'!$I$13,IF('Marks Entry'!V30=6,'School Profile'!$I$14,"")))))))</f>
        <v>संस्कृत (71)</v>
      </c>
      <c r="AN30" s="68">
        <f>IF('Marks Entry'!W30="","",'Marks Entry'!W30)</f>
        <v>8</v>
      </c>
      <c r="AO30" s="68">
        <f>IF('Marks Entry'!X30="","",'Marks Entry'!X30)</f>
        <v>9</v>
      </c>
      <c r="AP30" s="68">
        <f>IF('Marks Entry'!Y30="","",'Marks Entry'!Y30)</f>
        <v>9</v>
      </c>
      <c r="AQ30" s="514">
        <f t="shared" si="11"/>
        <v>26</v>
      </c>
      <c r="AR30" s="68">
        <f>IF('Marks Entry'!Z30="","",'Marks Entry'!Z30)</f>
        <v>46</v>
      </c>
      <c r="AS30" s="515">
        <f t="shared" si="12"/>
        <v>72</v>
      </c>
      <c r="AT30" s="68">
        <f>IF('Marks Entry'!AA30="","",'Marks Entry'!AA30)</f>
        <v>45</v>
      </c>
      <c r="AU30" s="96">
        <f t="shared" si="13"/>
        <v>117</v>
      </c>
      <c r="AV30" s="65">
        <f t="shared" si="14"/>
        <v>0</v>
      </c>
      <c r="AW30" s="65">
        <f t="shared" si="15"/>
        <v>0</v>
      </c>
      <c r="AX30" s="66">
        <f t="shared" si="16"/>
        <v>200</v>
      </c>
      <c r="AY30" s="65" t="str">
        <f t="shared" si="17"/>
        <v/>
      </c>
      <c r="AZ30" s="65" t="str">
        <f t="shared" si="18"/>
        <v>P</v>
      </c>
      <c r="BA30" s="65" t="str">
        <f t="shared" si="19"/>
        <v>II</v>
      </c>
      <c r="BB30" s="68">
        <f>IF('Marks Entry'!AB30="","",'Marks Entry'!AB30)</f>
        <v>8</v>
      </c>
      <c r="BC30" s="68">
        <f>IF('Marks Entry'!AC30="","",'Marks Entry'!AC30)</f>
        <v>9</v>
      </c>
      <c r="BD30" s="68">
        <f>IF('Marks Entry'!AD30="","",'Marks Entry'!AD30)</f>
        <v>8</v>
      </c>
      <c r="BE30" s="514">
        <f t="shared" si="20"/>
        <v>25</v>
      </c>
      <c r="BF30" s="68">
        <f>IF('Marks Entry'!AE30="","",'Marks Entry'!AE30)</f>
        <v>46</v>
      </c>
      <c r="BG30" s="515">
        <f t="shared" si="21"/>
        <v>71</v>
      </c>
      <c r="BH30" s="68">
        <f>IF('Marks Entry'!AF30="","",'Marks Entry'!AF30)</f>
        <v>45</v>
      </c>
      <c r="BI30" s="96">
        <f t="shared" si="22"/>
        <v>116</v>
      </c>
      <c r="BJ30" s="65">
        <f t="shared" si="23"/>
        <v>0</v>
      </c>
      <c r="BK30" s="65">
        <f t="shared" si="92"/>
        <v>0</v>
      </c>
      <c r="BL30" s="66">
        <f t="shared" si="24"/>
        <v>200</v>
      </c>
      <c r="BM30" s="65" t="str">
        <f t="shared" si="25"/>
        <v/>
      </c>
      <c r="BN30" s="65" t="str">
        <f t="shared" si="26"/>
        <v>P</v>
      </c>
      <c r="BO30" s="65" t="str">
        <f t="shared" si="27"/>
        <v>II</v>
      </c>
      <c r="BP30" s="68">
        <f>IF('Marks Entry'!AG30="","",'Marks Entry'!AG30)</f>
        <v>8</v>
      </c>
      <c r="BQ30" s="68">
        <f>IF('Marks Entry'!AH30="","",'Marks Entry'!AH30)</f>
        <v>9</v>
      </c>
      <c r="BR30" s="68">
        <f>IF('Marks Entry'!AI30="","",'Marks Entry'!AI30)</f>
        <v>7</v>
      </c>
      <c r="BS30" s="514">
        <f t="shared" si="28"/>
        <v>24</v>
      </c>
      <c r="BT30" s="68">
        <f>IF('Marks Entry'!AJ30="","",'Marks Entry'!AJ30)</f>
        <v>46</v>
      </c>
      <c r="BU30" s="515">
        <f t="shared" si="29"/>
        <v>70</v>
      </c>
      <c r="BV30" s="68">
        <f>IF('Marks Entry'!AK30="","",'Marks Entry'!AK30)</f>
        <v>45</v>
      </c>
      <c r="BW30" s="96">
        <f t="shared" si="30"/>
        <v>115</v>
      </c>
      <c r="BX30" s="65">
        <f t="shared" si="31"/>
        <v>0</v>
      </c>
      <c r="BY30" s="65">
        <f t="shared" si="32"/>
        <v>0</v>
      </c>
      <c r="BZ30" s="66">
        <f t="shared" si="33"/>
        <v>200</v>
      </c>
      <c r="CA30" s="65" t="str">
        <f t="shared" si="34"/>
        <v/>
      </c>
      <c r="CB30" s="65" t="str">
        <f t="shared" si="35"/>
        <v>P</v>
      </c>
      <c r="CC30" s="65" t="str">
        <f t="shared" si="36"/>
        <v>II</v>
      </c>
      <c r="CD30" s="66">
        <f t="shared" si="93"/>
        <v>0</v>
      </c>
      <c r="CE30" s="68">
        <f>IF('Marks Entry'!AL30="","",'Marks Entry'!AL30)</f>
        <v>8</v>
      </c>
      <c r="CF30" s="68">
        <f>IF('Marks Entry'!AM30="","",'Marks Entry'!AM30)</f>
        <v>8</v>
      </c>
      <c r="CG30" s="68">
        <f>IF('Marks Entry'!AN30="","",'Marks Entry'!AN30)</f>
        <v>8</v>
      </c>
      <c r="CH30" s="514">
        <f t="shared" si="37"/>
        <v>24</v>
      </c>
      <c r="CI30" s="68">
        <f>IF('Marks Entry'!AO30="","",'Marks Entry'!AO30)</f>
        <v>46</v>
      </c>
      <c r="CJ30" s="515">
        <f t="shared" si="38"/>
        <v>70</v>
      </c>
      <c r="CK30" s="68">
        <f>IF('Marks Entry'!AP30="","",'Marks Entry'!AP30)</f>
        <v>45</v>
      </c>
      <c r="CL30" s="96">
        <f t="shared" si="39"/>
        <v>115</v>
      </c>
      <c r="CM30" s="65">
        <f t="shared" si="40"/>
        <v>0</v>
      </c>
      <c r="CN30" s="65">
        <f t="shared" si="41"/>
        <v>0</v>
      </c>
      <c r="CO30" s="66">
        <f t="shared" si="42"/>
        <v>200</v>
      </c>
      <c r="CP30" s="65" t="str">
        <f t="shared" si="43"/>
        <v/>
      </c>
      <c r="CQ30" s="65" t="str">
        <f t="shared" si="44"/>
        <v>P</v>
      </c>
      <c r="CR30" s="65" t="str">
        <f t="shared" si="45"/>
        <v>II</v>
      </c>
      <c r="CS30" s="616" t="str">
        <f>IF('School Profile'!$D$20="NO","",IF('Marks Entry'!AQ30="","",IF('Marks Entry'!AQ30=1,'School Profile'!$I$29,IF('Marks Entry'!AQ30=2,'School Profile'!$I$30,IF('Marks Entry'!AQ30=3,'School Profile'!$I$31,IF('Marks Entry'!AQ30=4,'School Profile'!$I$32,IF('Marks Entry'!AQ30=5,'School Profile'!$I$33,IF('Marks Entry'!AQ30=6,'School Profile'!$I$34,IF('Marks Entry'!AQ30=7,'School Profile'!$I$35,IF('Marks Entry'!AQ30=8,'School Profile'!$I$36,IF('Marks Entry'!AQ30=9,'School Profile'!$I$37,IF('Marks Entry'!AQ30=10,'School Profile'!$I$38,IF('Marks Entry'!AQ30=11,'School Profile'!$I$39,"")))))))))))))</f>
        <v/>
      </c>
      <c r="CT30" s="68" t="str">
        <f>IF('School Profile'!$D$20="NO","",IF('Marks Entry'!AR30="","",'Marks Entry'!AR30))</f>
        <v/>
      </c>
      <c r="CU30" s="68" t="str">
        <f>IF('School Profile'!$D$20="NO","",IF('Marks Entry'!AS30="","",'Marks Entry'!AS30))</f>
        <v/>
      </c>
      <c r="CV30" s="68" t="str">
        <f>IF('School Profile'!$D$20="NO","",IF('Marks Entry'!AT30="","",'Marks Entry'!AT30))</f>
        <v/>
      </c>
      <c r="CW30" s="514" t="str">
        <f>IF('School Profile'!$D$20="NO","",IF(AND(CT30="",CU30="",CV30=""),"",SUM(CT30:CV30)))</f>
        <v/>
      </c>
      <c r="CX30" s="68" t="str">
        <f>IF('School Profile'!$D$20="NO","",IF('Marks Entry'!AU30="","",'Marks Entry'!AU30))</f>
        <v/>
      </c>
      <c r="CY30" s="68" t="str">
        <f>IF('School Profile'!$D$20="NO","",IF('Marks Entry'!AV30="","",'Marks Entry'!AV30))</f>
        <v/>
      </c>
      <c r="CZ30" s="515" t="str">
        <f>IF('School Profile'!$D$20="NO","",IF(AND(CX30="",CY30=""),"",SUM(CX30,CY30)))</f>
        <v/>
      </c>
      <c r="DA30" s="69" t="str">
        <f>IF('School Profile'!$D$20="NO","",IF(AND(CW30="",CZ30=""),"",SUM(CW30+CZ30)))</f>
        <v/>
      </c>
      <c r="DB30" s="68" t="str">
        <f>IF('School Profile'!$D$20="NO","",IF('Marks Entry'!AW30="","",'Marks Entry'!AW30))</f>
        <v/>
      </c>
      <c r="DC30" s="68" t="str">
        <f>IF('School Profile'!$D$20="NO","",IF('Marks Entry'!AX30="","",'Marks Entry'!AX30))</f>
        <v/>
      </c>
      <c r="DD30" s="515" t="str">
        <f>IF('School Profile'!$D$20="NO","",IF(AND(DB30="",DC30=""),"",SUM(DB30,DC30)))</f>
        <v/>
      </c>
      <c r="DE30" s="96" t="str">
        <f>IF('School Profile'!$D$20="NO","",IF(AND(DA30="",DD30=""),"",SUM(DA30,DD30)))</f>
        <v/>
      </c>
      <c r="DF30" s="532">
        <f t="shared" si="46"/>
        <v>0</v>
      </c>
      <c r="DG30" s="65">
        <f t="shared" si="47"/>
        <v>0</v>
      </c>
      <c r="DH30" s="66" t="str">
        <f t="shared" si="48"/>
        <v/>
      </c>
      <c r="DI30" s="65" t="str">
        <f t="shared" si="49"/>
        <v/>
      </c>
      <c r="DJ30" s="65" t="str">
        <f t="shared" si="50"/>
        <v/>
      </c>
      <c r="DK30" s="65" t="str">
        <f t="shared" si="51"/>
        <v/>
      </c>
      <c r="DL30" s="97" t="str">
        <f t="shared" si="94"/>
        <v>I</v>
      </c>
      <c r="DM30" s="97" t="str">
        <f t="shared" si="95"/>
        <v>D</v>
      </c>
      <c r="DN30" s="97" t="str">
        <f t="shared" si="96"/>
        <v>II</v>
      </c>
      <c r="DO30" s="97" t="str">
        <f t="shared" si="97"/>
        <v>II</v>
      </c>
      <c r="DP30" s="97" t="str">
        <f t="shared" si="98"/>
        <v>II</v>
      </c>
      <c r="DQ30" s="97" t="str">
        <f t="shared" si="99"/>
        <v>II</v>
      </c>
      <c r="DR30" s="97" t="str">
        <f t="shared" si="100"/>
        <v/>
      </c>
      <c r="DS30" s="98">
        <f t="shared" si="101"/>
        <v>0</v>
      </c>
      <c r="DT30" s="98">
        <f t="shared" si="102"/>
        <v>0</v>
      </c>
      <c r="DU30" s="98">
        <f t="shared" si="103"/>
        <v>0</v>
      </c>
      <c r="DV30" s="98">
        <f t="shared" si="104"/>
        <v>0</v>
      </c>
      <c r="DW30" s="98">
        <f t="shared" si="105"/>
        <v>0</v>
      </c>
      <c r="DX30" s="98" t="str">
        <f t="shared" si="106"/>
        <v/>
      </c>
      <c r="DY30" s="99" t="str">
        <f t="shared" si="107"/>
        <v>PASS</v>
      </c>
      <c r="DZ30" s="74" t="str">
        <f>IF('Marks Entry'!AY30="","",'Marks Entry'!AY30)</f>
        <v/>
      </c>
      <c r="EA30" s="74" t="str">
        <f>IF('Marks Entry'!AZ30="","",'Marks Entry'!AZ30)</f>
        <v/>
      </c>
      <c r="EB30" s="74" t="str">
        <f>IF('Marks Entry'!BA30="","",'Marks Entry'!BA30)</f>
        <v/>
      </c>
      <c r="EC30" s="527" t="str">
        <f t="shared" si="52"/>
        <v/>
      </c>
      <c r="ED30" s="74" t="str">
        <f>IF('Marks Entry'!BB30="","",'Marks Entry'!BB30)</f>
        <v/>
      </c>
      <c r="EE30" s="528" t="str">
        <f t="shared" si="53"/>
        <v/>
      </c>
      <c r="EF30" s="74" t="str">
        <f>IF('Marks Entry'!BC30="","",'Marks Entry'!BC30)</f>
        <v/>
      </c>
      <c r="EG30" s="530" t="str">
        <f t="shared" si="54"/>
        <v/>
      </c>
      <c r="EH30" s="368" t="str">
        <f t="shared" si="108"/>
        <v/>
      </c>
      <c r="EI30" s="65">
        <f t="shared" si="109"/>
        <v>0</v>
      </c>
      <c r="EJ30" s="65">
        <f t="shared" si="110"/>
        <v>0</v>
      </c>
      <c r="EK30" s="66" t="str">
        <f t="shared" si="111"/>
        <v/>
      </c>
      <c r="EL30" s="74" t="str">
        <f>IF('Marks Entry'!BD30="","",'Marks Entry'!BD30)</f>
        <v/>
      </c>
      <c r="EM30" s="74" t="str">
        <f>IF('Marks Entry'!BE30="","",'Marks Entry'!BE30)</f>
        <v/>
      </c>
      <c r="EN30" s="74" t="str">
        <f>IF('Marks Entry'!BF30="","",'Marks Entry'!BF30)</f>
        <v/>
      </c>
      <c r="EO30" s="527" t="str">
        <f t="shared" si="55"/>
        <v/>
      </c>
      <c r="EP30" s="74" t="str">
        <f>IF('Marks Entry'!BG30="","",'Marks Entry'!BG30)</f>
        <v/>
      </c>
      <c r="EQ30" s="74" t="str">
        <f>IF('Marks Entry'!BH30="","",'Marks Entry'!BH30)</f>
        <v/>
      </c>
      <c r="ER30" s="528" t="str">
        <f t="shared" si="56"/>
        <v/>
      </c>
      <c r="ES30" s="529" t="str">
        <f t="shared" si="57"/>
        <v/>
      </c>
      <c r="ET30" s="74" t="str">
        <f>IF('Marks Entry'!BI30="","",'Marks Entry'!BI30)</f>
        <v/>
      </c>
      <c r="EU30" s="74" t="str">
        <f>IF('Marks Entry'!BJ30="","",'Marks Entry'!BJ30)</f>
        <v/>
      </c>
      <c r="EV30" s="528" t="str">
        <f t="shared" si="58"/>
        <v/>
      </c>
      <c r="EW30" s="530" t="str">
        <f t="shared" si="59"/>
        <v/>
      </c>
      <c r="EX30" s="368" t="str">
        <f t="shared" si="112"/>
        <v/>
      </c>
      <c r="EY30" s="65">
        <f t="shared" si="113"/>
        <v>0</v>
      </c>
      <c r="EZ30" s="65">
        <f t="shared" si="114"/>
        <v>0</v>
      </c>
      <c r="FA30" s="66" t="str">
        <f t="shared" si="115"/>
        <v/>
      </c>
      <c r="FB30" s="74" t="str">
        <f>IF('Marks Entry'!BK30="","",'Marks Entry'!BK30)</f>
        <v/>
      </c>
      <c r="FC30" s="74" t="str">
        <f>IF('Marks Entry'!BL30="","",'Marks Entry'!BL30)</f>
        <v/>
      </c>
      <c r="FD30" s="74" t="str">
        <f>IF('Marks Entry'!BM30="","",'Marks Entry'!BM30)</f>
        <v/>
      </c>
      <c r="FE30" s="74" t="str">
        <f>IF('Marks Entry'!BN30="","",'Marks Entry'!BN30)</f>
        <v/>
      </c>
      <c r="FF30" s="74" t="str">
        <f>IF('Marks Entry'!BO30="","",'Marks Entry'!BO30)</f>
        <v/>
      </c>
      <c r="FG30" s="74" t="str">
        <f>IF('Marks Entry'!BP30="","",'Marks Entry'!BP30)</f>
        <v/>
      </c>
      <c r="FH30" s="527" t="str">
        <f t="shared" si="60"/>
        <v/>
      </c>
      <c r="FI30" s="74" t="str">
        <f>IF('Marks Entry'!BQ30="","",'Marks Entry'!BQ30)</f>
        <v/>
      </c>
      <c r="FJ30" s="74" t="str">
        <f>IF('Marks Entry'!BR30="","",'Marks Entry'!BR30)</f>
        <v/>
      </c>
      <c r="FK30" s="528" t="str">
        <f t="shared" si="61"/>
        <v/>
      </c>
      <c r="FL30" s="529" t="str">
        <f t="shared" si="62"/>
        <v/>
      </c>
      <c r="FM30" s="74" t="str">
        <f>IF('Marks Entry'!BS30="","",'Marks Entry'!BS30)</f>
        <v/>
      </c>
      <c r="FN30" s="74" t="str">
        <f>IF('Marks Entry'!BT30="","",'Marks Entry'!BT30)</f>
        <v/>
      </c>
      <c r="FO30" s="528" t="str">
        <f t="shared" si="63"/>
        <v/>
      </c>
      <c r="FP30" s="530" t="str">
        <f t="shared" si="64"/>
        <v/>
      </c>
      <c r="FQ30" s="368" t="str">
        <f t="shared" si="116"/>
        <v/>
      </c>
      <c r="FR30" s="65">
        <f t="shared" si="117"/>
        <v>0</v>
      </c>
      <c r="FS30" s="65">
        <f t="shared" si="118"/>
        <v>0</v>
      </c>
      <c r="FT30" s="66" t="str">
        <f t="shared" si="119"/>
        <v/>
      </c>
      <c r="FU30" s="74" t="str">
        <f>IF('Marks Entry'!BU30="","",'Marks Entry'!BU30)</f>
        <v/>
      </c>
      <c r="FV30" s="74" t="str">
        <f>IF('Marks Entry'!BV30="","",'Marks Entry'!BV30)</f>
        <v/>
      </c>
      <c r="FW30" s="74" t="str">
        <f>IF('Marks Entry'!BW30="","",'Marks Entry'!BW30)</f>
        <v/>
      </c>
      <c r="FX30" s="75" t="str">
        <f t="shared" si="65"/>
        <v/>
      </c>
      <c r="FY30" s="368" t="str">
        <f t="shared" si="120"/>
        <v/>
      </c>
      <c r="FZ30" s="65">
        <f t="shared" si="121"/>
        <v>0</v>
      </c>
      <c r="GA30" s="66">
        <f t="shared" si="122"/>
        <v>0</v>
      </c>
      <c r="GB30" s="66" t="str">
        <f t="shared" si="123"/>
        <v/>
      </c>
      <c r="GC30" s="74" t="str">
        <f>IF('Marks Entry'!BX30="","",'Marks Entry'!BX30)</f>
        <v/>
      </c>
      <c r="GD30" s="74" t="str">
        <f>IF('Marks Entry'!BY30="","",'Marks Entry'!BY30)</f>
        <v/>
      </c>
      <c r="GE30" s="74" t="str">
        <f>IF('Marks Entry'!BZ30="","",'Marks Entry'!BZ30)</f>
        <v/>
      </c>
      <c r="GF30" s="75" t="str">
        <f t="shared" si="124"/>
        <v/>
      </c>
      <c r="GG30" s="368" t="str">
        <f t="shared" si="125"/>
        <v/>
      </c>
      <c r="GH30" s="65">
        <f t="shared" si="126"/>
        <v>0</v>
      </c>
      <c r="GI30" s="66">
        <f t="shared" si="127"/>
        <v>0</v>
      </c>
      <c r="GJ30" s="66" t="str">
        <f t="shared" si="128"/>
        <v/>
      </c>
      <c r="GK30" s="100" t="str">
        <f>IF(AND(F30="",B30=""),"",IF('Student DATA Entry'!M27="","",'Student DATA Entry'!M27))</f>
        <v/>
      </c>
      <c r="GL30" s="101" t="str">
        <f>IF(AND(B30="",F30=""),"",IF('Student DATA Entry'!N27="","",'Student DATA Entry'!N27))</f>
        <v/>
      </c>
      <c r="GM30" s="581" t="str">
        <f t="shared" si="129"/>
        <v/>
      </c>
      <c r="GN30" s="94" t="str">
        <f t="shared" si="130"/>
        <v>I</v>
      </c>
      <c r="GO30" s="94" t="str">
        <f t="shared" si="131"/>
        <v/>
      </c>
      <c r="GP30" s="102" t="str">
        <f t="shared" si="67"/>
        <v/>
      </c>
      <c r="GQ30" s="94" t="str">
        <f t="shared" si="132"/>
        <v>D</v>
      </c>
      <c r="GR30" s="103" t="str">
        <f t="shared" si="133"/>
        <v/>
      </c>
      <c r="GS30" s="102" t="str">
        <f t="shared" si="68"/>
        <v/>
      </c>
      <c r="GT30" s="104" t="str">
        <f t="shared" si="134"/>
        <v>II</v>
      </c>
      <c r="GU30" s="94" t="str">
        <f>IF('Marks Entry'!V30=1,GT30,"")</f>
        <v>II</v>
      </c>
      <c r="GV30" s="94" t="str">
        <f>IF('Marks Entry'!V30=2,GT30,"")</f>
        <v/>
      </c>
      <c r="GW30" s="94" t="str">
        <f>IF('Marks Entry'!V30=3,GT30,"")</f>
        <v/>
      </c>
      <c r="GX30" s="94" t="str">
        <f>IF('Marks Entry'!V30=4,GT30,"")</f>
        <v/>
      </c>
      <c r="GY30" s="94" t="str">
        <f>IF('Marks Entry'!V30=5,GT30,"")</f>
        <v/>
      </c>
      <c r="GZ30" s="94" t="str">
        <f t="shared" si="135"/>
        <v/>
      </c>
      <c r="HA30" s="105" t="str">
        <f t="shared" si="69"/>
        <v/>
      </c>
      <c r="HB30" s="94" t="str">
        <f t="shared" si="136"/>
        <v>II</v>
      </c>
      <c r="HC30" s="94" t="str">
        <f t="shared" si="137"/>
        <v/>
      </c>
      <c r="HD30" s="105" t="str">
        <f t="shared" si="70"/>
        <v/>
      </c>
      <c r="HE30" s="94" t="str">
        <f t="shared" si="138"/>
        <v>II</v>
      </c>
      <c r="HF30" s="94" t="str">
        <f t="shared" si="139"/>
        <v/>
      </c>
      <c r="HG30" s="105" t="str">
        <f t="shared" si="71"/>
        <v/>
      </c>
      <c r="HH30" s="94" t="str">
        <f t="shared" si="140"/>
        <v>II</v>
      </c>
      <c r="HI30" s="94" t="str">
        <f t="shared" si="141"/>
        <v/>
      </c>
      <c r="HJ30" s="105" t="str">
        <f t="shared" si="72"/>
        <v/>
      </c>
      <c r="HK30" s="94" t="str">
        <f t="shared" si="142"/>
        <v/>
      </c>
      <c r="HL30" s="94" t="str">
        <f t="shared" si="143"/>
        <v/>
      </c>
      <c r="HM30" s="105" t="str">
        <f t="shared" si="73"/>
        <v/>
      </c>
      <c r="HN30" s="367" t="str">
        <f t="shared" si="144"/>
        <v xml:space="preserve">      </v>
      </c>
      <c r="HO30" s="418" t="str">
        <f t="shared" si="145"/>
        <v xml:space="preserve">      </v>
      </c>
      <c r="HP30" s="367" t="str">
        <f t="shared" si="146"/>
        <v xml:space="preserve">      </v>
      </c>
      <c r="HQ30" s="107" t="str">
        <f t="shared" si="147"/>
        <v xml:space="preserve">      </v>
      </c>
      <c r="HR30" s="366" t="str">
        <f t="shared" si="148"/>
        <v xml:space="preserve"> अंग्रेजी     </v>
      </c>
      <c r="HS30" s="544" t="str">
        <f t="shared" si="74"/>
        <v>PASS</v>
      </c>
      <c r="HT30" s="542">
        <f t="shared" si="149"/>
        <v>768</v>
      </c>
      <c r="HU30" s="541">
        <f t="shared" si="160"/>
        <v>64</v>
      </c>
      <c r="HV30" s="540" t="str">
        <f t="shared" si="150"/>
        <v>1st</v>
      </c>
      <c r="HW30" s="537">
        <f t="shared" si="151"/>
        <v>64</v>
      </c>
      <c r="HX30" s="539">
        <f t="shared" si="152"/>
        <v>6.9999999999999263</v>
      </c>
      <c r="HY30" s="553" t="str">
        <f>IFERROR(IF(OR(HS30="SUPPLEMENTARY",HS30="RE-EXAM"),'Supp. Result Entry'!AQ28,""),"")</f>
        <v/>
      </c>
      <c r="HZ30" s="538" t="str">
        <f t="shared" si="153"/>
        <v/>
      </c>
      <c r="IA30" s="415" t="str">
        <f t="shared" si="154"/>
        <v/>
      </c>
      <c r="IB30" s="415" t="str">
        <f>IF(AND(HZ30="",IA30=""),"",IF(OR(HS30="SUPPLEMENTARY",HS30="RE-EXAM"),'Supp. Result Entry'!AQ28,HS30))</f>
        <v/>
      </c>
      <c r="IC30" s="87"/>
      <c r="IS30" s="109" t="str">
        <f>IF('Supp. Result Entry'!T28="","",'Supp. Result Entry'!$T$4)</f>
        <v/>
      </c>
      <c r="IT30" s="110" t="str">
        <f>IF('Supp. Result Entry'!W28="","",'Supp. Result Entry'!$W$4)</f>
        <v/>
      </c>
      <c r="IU30" s="110" t="str">
        <f>IF('Supp. Result Entry'!Z28="","",'Supp. Result Entry'!$Z$4)</f>
        <v/>
      </c>
      <c r="IV30" s="110" t="str">
        <f>IF('Supp. Result Entry'!AC28="","",'Supp. Result Entry'!$AC$4)</f>
        <v/>
      </c>
      <c r="IW30" s="110" t="str">
        <f>IF('Supp. Result Entry'!AF28="","",'Supp. Result Entry'!$AF$4)</f>
        <v/>
      </c>
      <c r="IX30" s="110" t="str">
        <f>IF('Supp. Result Entry'!AI28="","",'Supp. Result Entry'!$AI$4)</f>
        <v/>
      </c>
      <c r="IY30" s="110" t="str">
        <f>IF('Supp. Result Entry'!AI28="","",'Supp. Result Entry'!$AL$4)</f>
        <v/>
      </c>
      <c r="IZ30" s="110" t="str">
        <f>IF('Supp. Result Entry'!U28="","",'Supp. Result Entry'!U28)</f>
        <v/>
      </c>
      <c r="JA30" s="110" t="str">
        <f>IF('Supp. Result Entry'!X28="","",'Supp. Result Entry'!X28)</f>
        <v/>
      </c>
      <c r="JB30" s="110" t="str">
        <f>IF('Supp. Result Entry'!AA28="","",'Supp. Result Entry'!AA28)</f>
        <v/>
      </c>
      <c r="JC30" s="110" t="str">
        <f>IF('Supp. Result Entry'!AD28="","",'Supp. Result Entry'!AD28)</f>
        <v/>
      </c>
      <c r="JD30" s="110" t="str">
        <f>IF('Supp. Result Entry'!AG28="","",'Supp. Result Entry'!AG28)</f>
        <v/>
      </c>
      <c r="JE30" s="110" t="str">
        <f>IF('Supp. Result Entry'!AJ28="","",'Supp. Result Entry'!AJ28)</f>
        <v/>
      </c>
      <c r="JF30" s="110" t="str">
        <f>IF('Supp. Result Entry'!AM28="","",'Supp. Result Entry'!AM28)</f>
        <v/>
      </c>
      <c r="JG30" s="110" t="str">
        <f>IF('Supp. Result Entry'!V28="","",'Supp. Result Entry'!V28)</f>
        <v/>
      </c>
      <c r="JH30" s="110" t="str">
        <f>IF('Supp. Result Entry'!Y28="","",'Supp. Result Entry'!Y28)</f>
        <v/>
      </c>
      <c r="JI30" s="110" t="str">
        <f>IF('Supp. Result Entry'!AB28="","",'Supp. Result Entry'!AB28)</f>
        <v/>
      </c>
      <c r="JJ30" s="110" t="str">
        <f>IF('Supp. Result Entry'!AE28="","",'Supp. Result Entry'!AE28)</f>
        <v/>
      </c>
      <c r="JK30" s="110" t="str">
        <f>IF('Supp. Result Entry'!AH28="","",'Supp. Result Entry'!AH28)</f>
        <v/>
      </c>
      <c r="JL30" s="110" t="str">
        <f>IF('Supp. Result Entry'!AK28="","",'Supp. Result Entry'!AK28)</f>
        <v/>
      </c>
      <c r="JM30" s="110" t="str">
        <f>IF('Supp. Result Entry'!AN28="","",'Supp. Result Entry'!AN28)</f>
        <v/>
      </c>
      <c r="JN30" s="110">
        <f>COUNTIF('Supp. Result Entry'!K28:Q28,"S")</f>
        <v>0</v>
      </c>
      <c r="JO30" s="110">
        <f t="shared" si="155"/>
        <v>0</v>
      </c>
      <c r="JP30" s="110">
        <f t="shared" si="156"/>
        <v>0</v>
      </c>
      <c r="JQ30" s="110" t="str">
        <f t="shared" si="75"/>
        <v/>
      </c>
      <c r="JR30" s="110" t="str">
        <f t="shared" si="76"/>
        <v/>
      </c>
      <c r="JS30" s="110" t="str">
        <f t="shared" si="77"/>
        <v/>
      </c>
      <c r="JT30" s="110" t="str">
        <f t="shared" si="78"/>
        <v/>
      </c>
      <c r="JU30" s="110" t="str">
        <f t="shared" si="79"/>
        <v/>
      </c>
      <c r="JV30" s="110" t="str">
        <f t="shared" si="80"/>
        <v/>
      </c>
      <c r="JW30" s="110" t="str">
        <f t="shared" si="81"/>
        <v/>
      </c>
      <c r="JX30" s="110" t="str">
        <f t="shared" si="157"/>
        <v/>
      </c>
      <c r="JY30" s="110" t="str">
        <f t="shared" si="158"/>
        <v/>
      </c>
      <c r="JZ30" s="110" t="str">
        <f t="shared" si="82"/>
        <v/>
      </c>
      <c r="KA30" s="108" t="str">
        <f t="shared" si="159"/>
        <v/>
      </c>
    </row>
    <row r="31" spans="1:287" s="108" customFormat="1" ht="21.95" customHeight="1">
      <c r="A31" s="89">
        <v>25</v>
      </c>
      <c r="B31" s="90">
        <f>IF('Marks Entry'!B31="","",'Marks Entry'!B31)</f>
        <v>925</v>
      </c>
      <c r="C31" s="94" t="str">
        <f>IF('Marks Entry'!D31="","",'Marks Entry'!D31)</f>
        <v>A</v>
      </c>
      <c r="D31" s="91" t="str">
        <f>IF('Marks Entry'!E31="","",'Marks Entry'!E31)</f>
        <v/>
      </c>
      <c r="E31" s="92" t="str">
        <f>IF('Marks Entry'!F31="","",'Marks Entry'!F31)</f>
        <v/>
      </c>
      <c r="F31" s="93" t="str">
        <f>IF('Marks Entry'!G31="","",'Marks Entry'!G31)</f>
        <v>RINA</v>
      </c>
      <c r="G31" s="93" t="str">
        <f>IF('Marks Entry'!H31="","",'Marks Entry'!H31)</f>
        <v/>
      </c>
      <c r="H31" s="93" t="str">
        <f>IF('Marks Entry'!I31="","",'Marks Entry'!I31)</f>
        <v/>
      </c>
      <c r="I31" s="94" t="str">
        <f>IF('Marks Entry'!J31="","",'Marks Entry'!J31)</f>
        <v/>
      </c>
      <c r="J31" s="95" t="str">
        <f>IF('Marks Entry'!K31="","",'Marks Entry'!K31)</f>
        <v/>
      </c>
      <c r="K31" s="68">
        <f>IF('Marks Entry'!L31="","",'Marks Entry'!L31)</f>
        <v>8</v>
      </c>
      <c r="L31" s="68">
        <f>IF('Marks Entry'!M31="","",'Marks Entry'!M31)</f>
        <v>9</v>
      </c>
      <c r="M31" s="68">
        <f>IF('Marks Entry'!N31="","",'Marks Entry'!N31)</f>
        <v>8</v>
      </c>
      <c r="N31" s="514">
        <f t="shared" si="83"/>
        <v>25</v>
      </c>
      <c r="O31" s="68">
        <f>IF('Marks Entry'!O31="","",'Marks Entry'!O31)</f>
        <v>46</v>
      </c>
      <c r="P31" s="515">
        <f t="shared" si="84"/>
        <v>71</v>
      </c>
      <c r="Q31" s="68">
        <f>IF('Marks Entry'!P31="","",'Marks Entry'!P31)</f>
        <v>65</v>
      </c>
      <c r="R31" s="96">
        <f t="shared" si="85"/>
        <v>136</v>
      </c>
      <c r="S31" s="65">
        <f t="shared" si="86"/>
        <v>0</v>
      </c>
      <c r="T31" s="65">
        <f t="shared" si="87"/>
        <v>0</v>
      </c>
      <c r="U31" s="66">
        <f t="shared" si="88"/>
        <v>200</v>
      </c>
      <c r="V31" s="65" t="str">
        <f t="shared" si="89"/>
        <v/>
      </c>
      <c r="W31" s="65" t="str">
        <f t="shared" si="90"/>
        <v>P</v>
      </c>
      <c r="X31" s="65" t="str">
        <f t="shared" si="91"/>
        <v>I</v>
      </c>
      <c r="Y31" s="68">
        <f>IF('Marks Entry'!Q31="","",'Marks Entry'!Q31)</f>
        <v>8</v>
      </c>
      <c r="Z31" s="68">
        <f>IF('Marks Entry'!R31="","",'Marks Entry'!R31)</f>
        <v>9</v>
      </c>
      <c r="AA31" s="68">
        <f>IF('Marks Entry'!S31="","",'Marks Entry'!S31)</f>
        <v>7</v>
      </c>
      <c r="AB31" s="514">
        <f t="shared" si="2"/>
        <v>24</v>
      </c>
      <c r="AC31" s="68">
        <f>IF('Marks Entry'!T31="","",'Marks Entry'!T31)</f>
        <v>60</v>
      </c>
      <c r="AD31" s="515">
        <f t="shared" si="3"/>
        <v>84</v>
      </c>
      <c r="AE31" s="68">
        <f>IF('Marks Entry'!U31="","",'Marks Entry'!U31)</f>
        <v>85</v>
      </c>
      <c r="AF31" s="96">
        <f t="shared" si="4"/>
        <v>169</v>
      </c>
      <c r="AG31" s="65">
        <f t="shared" si="5"/>
        <v>0</v>
      </c>
      <c r="AH31" s="65">
        <f t="shared" si="6"/>
        <v>0</v>
      </c>
      <c r="AI31" s="66">
        <f t="shared" si="7"/>
        <v>200</v>
      </c>
      <c r="AJ31" s="65" t="str">
        <f t="shared" si="8"/>
        <v/>
      </c>
      <c r="AK31" s="65" t="str">
        <f t="shared" si="9"/>
        <v>P</v>
      </c>
      <c r="AL31" s="65" t="str">
        <f t="shared" si="10"/>
        <v>D</v>
      </c>
      <c r="AM31" s="524" t="str">
        <f>IF('Marks Entry'!V31="","",IF('Marks Entry'!V31=1,'School Profile'!$I$9,IF('Marks Entry'!V31=2,'School Profile'!$I$10,IF('Marks Entry'!V31=3,'School Profile'!$I$11,IF('Marks Entry'!V31=4,'School Profile'!$I$12,IF('Marks Entry'!V31=5,'School Profile'!$I$13,IF('Marks Entry'!V31=6,'School Profile'!$I$14,"")))))))</f>
        <v>गुजराती (73)</v>
      </c>
      <c r="AN31" s="68">
        <f>IF('Marks Entry'!W31="","",'Marks Entry'!W31)</f>
        <v>8</v>
      </c>
      <c r="AO31" s="68">
        <f>IF('Marks Entry'!X31="","",'Marks Entry'!X31)</f>
        <v>9</v>
      </c>
      <c r="AP31" s="68">
        <f>IF('Marks Entry'!Y31="","",'Marks Entry'!Y31)</f>
        <v>9</v>
      </c>
      <c r="AQ31" s="514">
        <f t="shared" si="11"/>
        <v>26</v>
      </c>
      <c r="AR31" s="68">
        <f>IF('Marks Entry'!Z31="","",'Marks Entry'!Z31)</f>
        <v>46</v>
      </c>
      <c r="AS31" s="515">
        <f t="shared" si="12"/>
        <v>72</v>
      </c>
      <c r="AT31" s="68">
        <f>IF('Marks Entry'!AA31="","",'Marks Entry'!AA31)</f>
        <v>45</v>
      </c>
      <c r="AU31" s="96">
        <f t="shared" si="13"/>
        <v>117</v>
      </c>
      <c r="AV31" s="65">
        <f t="shared" si="14"/>
        <v>0</v>
      </c>
      <c r="AW31" s="65">
        <f t="shared" si="15"/>
        <v>0</v>
      </c>
      <c r="AX31" s="66">
        <f t="shared" si="16"/>
        <v>200</v>
      </c>
      <c r="AY31" s="65" t="str">
        <f t="shared" si="17"/>
        <v/>
      </c>
      <c r="AZ31" s="65" t="str">
        <f t="shared" si="18"/>
        <v>P</v>
      </c>
      <c r="BA31" s="65" t="str">
        <f t="shared" si="19"/>
        <v>II</v>
      </c>
      <c r="BB31" s="68">
        <f>IF('Marks Entry'!AB31="","",'Marks Entry'!AB31)</f>
        <v>8</v>
      </c>
      <c r="BC31" s="68">
        <f>IF('Marks Entry'!AC31="","",'Marks Entry'!AC31)</f>
        <v>9</v>
      </c>
      <c r="BD31" s="68">
        <f>IF('Marks Entry'!AD31="","",'Marks Entry'!AD31)</f>
        <v>8</v>
      </c>
      <c r="BE31" s="514">
        <f t="shared" si="20"/>
        <v>25</v>
      </c>
      <c r="BF31" s="68">
        <f>IF('Marks Entry'!AE31="","",'Marks Entry'!AE31)</f>
        <v>46</v>
      </c>
      <c r="BG31" s="515">
        <f t="shared" si="21"/>
        <v>71</v>
      </c>
      <c r="BH31" s="68">
        <f>IF('Marks Entry'!AF31="","",'Marks Entry'!AF31)</f>
        <v>45</v>
      </c>
      <c r="BI31" s="96">
        <f t="shared" si="22"/>
        <v>116</v>
      </c>
      <c r="BJ31" s="65">
        <f t="shared" si="23"/>
        <v>0</v>
      </c>
      <c r="BK31" s="65">
        <f t="shared" si="92"/>
        <v>0</v>
      </c>
      <c r="BL31" s="66">
        <f t="shared" si="24"/>
        <v>200</v>
      </c>
      <c r="BM31" s="65" t="str">
        <f t="shared" si="25"/>
        <v/>
      </c>
      <c r="BN31" s="65" t="str">
        <f t="shared" si="26"/>
        <v>P</v>
      </c>
      <c r="BO31" s="65" t="str">
        <f t="shared" si="27"/>
        <v>II</v>
      </c>
      <c r="BP31" s="68">
        <f>IF('Marks Entry'!AG31="","",'Marks Entry'!AG31)</f>
        <v>8</v>
      </c>
      <c r="BQ31" s="68">
        <f>IF('Marks Entry'!AH31="","",'Marks Entry'!AH31)</f>
        <v>9</v>
      </c>
      <c r="BR31" s="68">
        <f>IF('Marks Entry'!AI31="","",'Marks Entry'!AI31)</f>
        <v>7</v>
      </c>
      <c r="BS31" s="514">
        <f t="shared" si="28"/>
        <v>24</v>
      </c>
      <c r="BT31" s="68">
        <f>IF('Marks Entry'!AJ31="","",'Marks Entry'!AJ31)</f>
        <v>46</v>
      </c>
      <c r="BU31" s="515">
        <f t="shared" si="29"/>
        <v>70</v>
      </c>
      <c r="BV31" s="68">
        <f>IF('Marks Entry'!AK31="","",'Marks Entry'!AK31)</f>
        <v>45</v>
      </c>
      <c r="BW31" s="96">
        <f t="shared" si="30"/>
        <v>115</v>
      </c>
      <c r="BX31" s="65">
        <f t="shared" si="31"/>
        <v>0</v>
      </c>
      <c r="BY31" s="65">
        <f t="shared" si="32"/>
        <v>0</v>
      </c>
      <c r="BZ31" s="66">
        <f t="shared" si="33"/>
        <v>200</v>
      </c>
      <c r="CA31" s="65" t="str">
        <f t="shared" si="34"/>
        <v/>
      </c>
      <c r="CB31" s="65" t="str">
        <f t="shared" si="35"/>
        <v>P</v>
      </c>
      <c r="CC31" s="65" t="str">
        <f t="shared" si="36"/>
        <v>II</v>
      </c>
      <c r="CD31" s="66">
        <f t="shared" si="93"/>
        <v>0</v>
      </c>
      <c r="CE31" s="68">
        <f>IF('Marks Entry'!AL31="","",'Marks Entry'!AL31)</f>
        <v>8</v>
      </c>
      <c r="CF31" s="68">
        <f>IF('Marks Entry'!AM31="","",'Marks Entry'!AM31)</f>
        <v>8</v>
      </c>
      <c r="CG31" s="68">
        <f>IF('Marks Entry'!AN31="","",'Marks Entry'!AN31)</f>
        <v>8</v>
      </c>
      <c r="CH31" s="514">
        <f t="shared" si="37"/>
        <v>24</v>
      </c>
      <c r="CI31" s="68">
        <f>IF('Marks Entry'!AO31="","",'Marks Entry'!AO31)</f>
        <v>46</v>
      </c>
      <c r="CJ31" s="515">
        <f t="shared" si="38"/>
        <v>70</v>
      </c>
      <c r="CK31" s="68">
        <f>IF('Marks Entry'!AP31="","",'Marks Entry'!AP31)</f>
        <v>45</v>
      </c>
      <c r="CL31" s="96">
        <f t="shared" si="39"/>
        <v>115</v>
      </c>
      <c r="CM31" s="65">
        <f t="shared" si="40"/>
        <v>0</v>
      </c>
      <c r="CN31" s="65">
        <f t="shared" si="41"/>
        <v>0</v>
      </c>
      <c r="CO31" s="66">
        <f t="shared" si="42"/>
        <v>200</v>
      </c>
      <c r="CP31" s="65" t="str">
        <f t="shared" si="43"/>
        <v/>
      </c>
      <c r="CQ31" s="65" t="str">
        <f t="shared" si="44"/>
        <v>P</v>
      </c>
      <c r="CR31" s="65" t="str">
        <f t="shared" si="45"/>
        <v>II</v>
      </c>
      <c r="CS31" s="616" t="str">
        <f>IF('School Profile'!$D$20="NO","",IF('Marks Entry'!AQ31="","",IF('Marks Entry'!AQ31=1,'School Profile'!$I$29,IF('Marks Entry'!AQ31=2,'School Profile'!$I$30,IF('Marks Entry'!AQ31=3,'School Profile'!$I$31,IF('Marks Entry'!AQ31=4,'School Profile'!$I$32,IF('Marks Entry'!AQ31=5,'School Profile'!$I$33,IF('Marks Entry'!AQ31=6,'School Profile'!$I$34,IF('Marks Entry'!AQ31=7,'School Profile'!$I$35,IF('Marks Entry'!AQ31=8,'School Profile'!$I$36,IF('Marks Entry'!AQ31=9,'School Profile'!$I$37,IF('Marks Entry'!AQ31=10,'School Profile'!$I$38,IF('Marks Entry'!AQ31=11,'School Profile'!$I$39,"")))))))))))))</f>
        <v/>
      </c>
      <c r="CT31" s="68" t="str">
        <f>IF('School Profile'!$D$20="NO","",IF('Marks Entry'!AR31="","",'Marks Entry'!AR31))</f>
        <v/>
      </c>
      <c r="CU31" s="68" t="str">
        <f>IF('School Profile'!$D$20="NO","",IF('Marks Entry'!AS31="","",'Marks Entry'!AS31))</f>
        <v/>
      </c>
      <c r="CV31" s="68" t="str">
        <f>IF('School Profile'!$D$20="NO","",IF('Marks Entry'!AT31="","",'Marks Entry'!AT31))</f>
        <v/>
      </c>
      <c r="CW31" s="514" t="str">
        <f>IF('School Profile'!$D$20="NO","",IF(AND(CT31="",CU31="",CV31=""),"",SUM(CT31:CV31)))</f>
        <v/>
      </c>
      <c r="CX31" s="68" t="str">
        <f>IF('School Profile'!$D$20="NO","",IF('Marks Entry'!AU31="","",'Marks Entry'!AU31))</f>
        <v/>
      </c>
      <c r="CY31" s="68" t="str">
        <f>IF('School Profile'!$D$20="NO","",IF('Marks Entry'!AV31="","",'Marks Entry'!AV31))</f>
        <v/>
      </c>
      <c r="CZ31" s="515" t="str">
        <f>IF('School Profile'!$D$20="NO","",IF(AND(CX31="",CY31=""),"",SUM(CX31,CY31)))</f>
        <v/>
      </c>
      <c r="DA31" s="69" t="str">
        <f>IF('School Profile'!$D$20="NO","",IF(AND(CW31="",CZ31=""),"",SUM(CW31+CZ31)))</f>
        <v/>
      </c>
      <c r="DB31" s="68" t="str">
        <f>IF('School Profile'!$D$20="NO","",IF('Marks Entry'!AW31="","",'Marks Entry'!AW31))</f>
        <v/>
      </c>
      <c r="DC31" s="68" t="str">
        <f>IF('School Profile'!$D$20="NO","",IF('Marks Entry'!AX31="","",'Marks Entry'!AX31))</f>
        <v/>
      </c>
      <c r="DD31" s="515" t="str">
        <f>IF('School Profile'!$D$20="NO","",IF(AND(DB31="",DC31=""),"",SUM(DB31,DC31)))</f>
        <v/>
      </c>
      <c r="DE31" s="96" t="str">
        <f>IF('School Profile'!$D$20="NO","",IF(AND(DA31="",DD31=""),"",SUM(DA31,DD31)))</f>
        <v/>
      </c>
      <c r="DF31" s="532">
        <f t="shared" si="46"/>
        <v>0</v>
      </c>
      <c r="DG31" s="65">
        <f t="shared" si="47"/>
        <v>0</v>
      </c>
      <c r="DH31" s="66" t="str">
        <f t="shared" si="48"/>
        <v/>
      </c>
      <c r="DI31" s="65" t="str">
        <f t="shared" si="49"/>
        <v/>
      </c>
      <c r="DJ31" s="65" t="str">
        <f t="shared" si="50"/>
        <v/>
      </c>
      <c r="DK31" s="65" t="str">
        <f t="shared" si="51"/>
        <v/>
      </c>
      <c r="DL31" s="97" t="str">
        <f t="shared" si="94"/>
        <v>I</v>
      </c>
      <c r="DM31" s="97" t="str">
        <f t="shared" si="95"/>
        <v>D</v>
      </c>
      <c r="DN31" s="97" t="str">
        <f t="shared" si="96"/>
        <v>II</v>
      </c>
      <c r="DO31" s="97" t="str">
        <f t="shared" si="97"/>
        <v>II</v>
      </c>
      <c r="DP31" s="97" t="str">
        <f t="shared" si="98"/>
        <v>II</v>
      </c>
      <c r="DQ31" s="97" t="str">
        <f t="shared" si="99"/>
        <v>II</v>
      </c>
      <c r="DR31" s="97" t="str">
        <f t="shared" si="100"/>
        <v/>
      </c>
      <c r="DS31" s="98">
        <f t="shared" si="101"/>
        <v>0</v>
      </c>
      <c r="DT31" s="98">
        <f t="shared" si="102"/>
        <v>0</v>
      </c>
      <c r="DU31" s="98">
        <f t="shared" si="103"/>
        <v>0</v>
      </c>
      <c r="DV31" s="98">
        <f t="shared" si="104"/>
        <v>0</v>
      </c>
      <c r="DW31" s="98">
        <f t="shared" si="105"/>
        <v>0</v>
      </c>
      <c r="DX31" s="98" t="str">
        <f t="shared" si="106"/>
        <v/>
      </c>
      <c r="DY31" s="99" t="str">
        <f t="shared" si="107"/>
        <v>PASS</v>
      </c>
      <c r="DZ31" s="74" t="str">
        <f>IF('Marks Entry'!AY31="","",'Marks Entry'!AY31)</f>
        <v/>
      </c>
      <c r="EA31" s="74" t="str">
        <f>IF('Marks Entry'!AZ31="","",'Marks Entry'!AZ31)</f>
        <v/>
      </c>
      <c r="EB31" s="74" t="str">
        <f>IF('Marks Entry'!BA31="","",'Marks Entry'!BA31)</f>
        <v/>
      </c>
      <c r="EC31" s="527" t="str">
        <f t="shared" si="52"/>
        <v/>
      </c>
      <c r="ED31" s="74" t="str">
        <f>IF('Marks Entry'!BB31="","",'Marks Entry'!BB31)</f>
        <v/>
      </c>
      <c r="EE31" s="528" t="str">
        <f t="shared" si="53"/>
        <v/>
      </c>
      <c r="EF31" s="74" t="str">
        <f>IF('Marks Entry'!BC31="","",'Marks Entry'!BC31)</f>
        <v/>
      </c>
      <c r="EG31" s="530" t="str">
        <f t="shared" si="54"/>
        <v/>
      </c>
      <c r="EH31" s="368" t="str">
        <f t="shared" si="108"/>
        <v/>
      </c>
      <c r="EI31" s="65">
        <f t="shared" si="109"/>
        <v>0</v>
      </c>
      <c r="EJ31" s="65">
        <f t="shared" si="110"/>
        <v>0</v>
      </c>
      <c r="EK31" s="66" t="str">
        <f t="shared" si="111"/>
        <v/>
      </c>
      <c r="EL31" s="74" t="str">
        <f>IF('Marks Entry'!BD31="","",'Marks Entry'!BD31)</f>
        <v/>
      </c>
      <c r="EM31" s="74" t="str">
        <f>IF('Marks Entry'!BE31="","",'Marks Entry'!BE31)</f>
        <v/>
      </c>
      <c r="EN31" s="74" t="str">
        <f>IF('Marks Entry'!BF31="","",'Marks Entry'!BF31)</f>
        <v/>
      </c>
      <c r="EO31" s="527" t="str">
        <f t="shared" si="55"/>
        <v/>
      </c>
      <c r="EP31" s="74" t="str">
        <f>IF('Marks Entry'!BG31="","",'Marks Entry'!BG31)</f>
        <v/>
      </c>
      <c r="EQ31" s="74" t="str">
        <f>IF('Marks Entry'!BH31="","",'Marks Entry'!BH31)</f>
        <v/>
      </c>
      <c r="ER31" s="528" t="str">
        <f t="shared" si="56"/>
        <v/>
      </c>
      <c r="ES31" s="529" t="str">
        <f t="shared" si="57"/>
        <v/>
      </c>
      <c r="ET31" s="74" t="str">
        <f>IF('Marks Entry'!BI31="","",'Marks Entry'!BI31)</f>
        <v/>
      </c>
      <c r="EU31" s="74" t="str">
        <f>IF('Marks Entry'!BJ31="","",'Marks Entry'!BJ31)</f>
        <v/>
      </c>
      <c r="EV31" s="528" t="str">
        <f t="shared" si="58"/>
        <v/>
      </c>
      <c r="EW31" s="530" t="str">
        <f t="shared" si="59"/>
        <v/>
      </c>
      <c r="EX31" s="368" t="str">
        <f t="shared" si="112"/>
        <v/>
      </c>
      <c r="EY31" s="65">
        <f t="shared" si="113"/>
        <v>0</v>
      </c>
      <c r="EZ31" s="65">
        <f t="shared" si="114"/>
        <v>0</v>
      </c>
      <c r="FA31" s="66" t="str">
        <f t="shared" si="115"/>
        <v/>
      </c>
      <c r="FB31" s="74" t="str">
        <f>IF('Marks Entry'!BK31="","",'Marks Entry'!BK31)</f>
        <v/>
      </c>
      <c r="FC31" s="74" t="str">
        <f>IF('Marks Entry'!BL31="","",'Marks Entry'!BL31)</f>
        <v/>
      </c>
      <c r="FD31" s="74" t="str">
        <f>IF('Marks Entry'!BM31="","",'Marks Entry'!BM31)</f>
        <v/>
      </c>
      <c r="FE31" s="74" t="str">
        <f>IF('Marks Entry'!BN31="","",'Marks Entry'!BN31)</f>
        <v/>
      </c>
      <c r="FF31" s="74" t="str">
        <f>IF('Marks Entry'!BO31="","",'Marks Entry'!BO31)</f>
        <v/>
      </c>
      <c r="FG31" s="74" t="str">
        <f>IF('Marks Entry'!BP31="","",'Marks Entry'!BP31)</f>
        <v/>
      </c>
      <c r="FH31" s="527" t="str">
        <f t="shared" si="60"/>
        <v/>
      </c>
      <c r="FI31" s="74" t="str">
        <f>IF('Marks Entry'!BQ31="","",'Marks Entry'!BQ31)</f>
        <v/>
      </c>
      <c r="FJ31" s="74" t="str">
        <f>IF('Marks Entry'!BR31="","",'Marks Entry'!BR31)</f>
        <v/>
      </c>
      <c r="FK31" s="528" t="str">
        <f t="shared" si="61"/>
        <v/>
      </c>
      <c r="FL31" s="529" t="str">
        <f t="shared" si="62"/>
        <v/>
      </c>
      <c r="FM31" s="74" t="str">
        <f>IF('Marks Entry'!BS31="","",'Marks Entry'!BS31)</f>
        <v/>
      </c>
      <c r="FN31" s="74" t="str">
        <f>IF('Marks Entry'!BT31="","",'Marks Entry'!BT31)</f>
        <v/>
      </c>
      <c r="FO31" s="528" t="str">
        <f t="shared" si="63"/>
        <v/>
      </c>
      <c r="FP31" s="530" t="str">
        <f t="shared" si="64"/>
        <v/>
      </c>
      <c r="FQ31" s="368" t="str">
        <f t="shared" si="116"/>
        <v/>
      </c>
      <c r="FR31" s="65">
        <f t="shared" si="117"/>
        <v>0</v>
      </c>
      <c r="FS31" s="65">
        <f t="shared" si="118"/>
        <v>0</v>
      </c>
      <c r="FT31" s="66" t="str">
        <f t="shared" si="119"/>
        <v/>
      </c>
      <c r="FU31" s="74" t="str">
        <f>IF('Marks Entry'!BU31="","",'Marks Entry'!BU31)</f>
        <v/>
      </c>
      <c r="FV31" s="74" t="str">
        <f>IF('Marks Entry'!BV31="","",'Marks Entry'!BV31)</f>
        <v/>
      </c>
      <c r="FW31" s="74" t="str">
        <f>IF('Marks Entry'!BW31="","",'Marks Entry'!BW31)</f>
        <v/>
      </c>
      <c r="FX31" s="75" t="str">
        <f t="shared" si="65"/>
        <v/>
      </c>
      <c r="FY31" s="368" t="str">
        <f t="shared" si="120"/>
        <v/>
      </c>
      <c r="FZ31" s="65">
        <f t="shared" si="121"/>
        <v>0</v>
      </c>
      <c r="GA31" s="66">
        <f t="shared" si="122"/>
        <v>0</v>
      </c>
      <c r="GB31" s="66" t="str">
        <f t="shared" si="123"/>
        <v/>
      </c>
      <c r="GC31" s="74" t="str">
        <f>IF('Marks Entry'!BX31="","",'Marks Entry'!BX31)</f>
        <v/>
      </c>
      <c r="GD31" s="74" t="str">
        <f>IF('Marks Entry'!BY31="","",'Marks Entry'!BY31)</f>
        <v/>
      </c>
      <c r="GE31" s="74" t="str">
        <f>IF('Marks Entry'!BZ31="","",'Marks Entry'!BZ31)</f>
        <v/>
      </c>
      <c r="GF31" s="75" t="str">
        <f t="shared" si="124"/>
        <v/>
      </c>
      <c r="GG31" s="368" t="str">
        <f t="shared" si="125"/>
        <v/>
      </c>
      <c r="GH31" s="65">
        <f t="shared" si="126"/>
        <v>0</v>
      </c>
      <c r="GI31" s="66">
        <f t="shared" si="127"/>
        <v>0</v>
      </c>
      <c r="GJ31" s="66" t="str">
        <f t="shared" si="128"/>
        <v/>
      </c>
      <c r="GK31" s="100" t="str">
        <f>IF(AND(F31="",B31=""),"",IF('Student DATA Entry'!M28="","",'Student DATA Entry'!M28))</f>
        <v/>
      </c>
      <c r="GL31" s="101" t="str">
        <f>IF(AND(B31="",F31=""),"",IF('Student DATA Entry'!N28="","",'Student DATA Entry'!N28))</f>
        <v/>
      </c>
      <c r="GM31" s="581" t="str">
        <f t="shared" si="129"/>
        <v/>
      </c>
      <c r="GN31" s="94" t="str">
        <f t="shared" si="130"/>
        <v>I</v>
      </c>
      <c r="GO31" s="94" t="str">
        <f t="shared" si="131"/>
        <v/>
      </c>
      <c r="GP31" s="102" t="str">
        <f t="shared" si="67"/>
        <v/>
      </c>
      <c r="GQ31" s="94" t="str">
        <f t="shared" si="132"/>
        <v>D</v>
      </c>
      <c r="GR31" s="103" t="str">
        <f t="shared" si="133"/>
        <v/>
      </c>
      <c r="GS31" s="102" t="str">
        <f t="shared" si="68"/>
        <v/>
      </c>
      <c r="GT31" s="104" t="str">
        <f t="shared" si="134"/>
        <v>II</v>
      </c>
      <c r="GU31" s="94" t="str">
        <f>IF('Marks Entry'!V31=1,GT31,"")</f>
        <v/>
      </c>
      <c r="GV31" s="94" t="str">
        <f>IF('Marks Entry'!V31=2,GT31,"")</f>
        <v/>
      </c>
      <c r="GW31" s="94" t="str">
        <f>IF('Marks Entry'!V31=3,GT31,"")</f>
        <v>II</v>
      </c>
      <c r="GX31" s="94" t="str">
        <f>IF('Marks Entry'!V31=4,GT31,"")</f>
        <v/>
      </c>
      <c r="GY31" s="94" t="str">
        <f>IF('Marks Entry'!V31=5,GT31,"")</f>
        <v/>
      </c>
      <c r="GZ31" s="94" t="str">
        <f t="shared" si="135"/>
        <v/>
      </c>
      <c r="HA31" s="105" t="str">
        <f t="shared" si="69"/>
        <v/>
      </c>
      <c r="HB31" s="94" t="str">
        <f t="shared" si="136"/>
        <v>II</v>
      </c>
      <c r="HC31" s="94" t="str">
        <f t="shared" si="137"/>
        <v/>
      </c>
      <c r="HD31" s="105" t="str">
        <f t="shared" si="70"/>
        <v/>
      </c>
      <c r="HE31" s="94" t="str">
        <f t="shared" si="138"/>
        <v>II</v>
      </c>
      <c r="HF31" s="94" t="str">
        <f t="shared" si="139"/>
        <v/>
      </c>
      <c r="HG31" s="105" t="str">
        <f t="shared" si="71"/>
        <v/>
      </c>
      <c r="HH31" s="94" t="str">
        <f t="shared" si="140"/>
        <v>II</v>
      </c>
      <c r="HI31" s="94" t="str">
        <f t="shared" si="141"/>
        <v/>
      </c>
      <c r="HJ31" s="105" t="str">
        <f t="shared" si="72"/>
        <v/>
      </c>
      <c r="HK31" s="94" t="str">
        <f t="shared" si="142"/>
        <v/>
      </c>
      <c r="HL31" s="94" t="str">
        <f t="shared" si="143"/>
        <v/>
      </c>
      <c r="HM31" s="105" t="str">
        <f t="shared" si="73"/>
        <v/>
      </c>
      <c r="HN31" s="367" t="str">
        <f t="shared" si="144"/>
        <v xml:space="preserve">      </v>
      </c>
      <c r="HO31" s="418" t="str">
        <f t="shared" si="145"/>
        <v xml:space="preserve">      </v>
      </c>
      <c r="HP31" s="367" t="str">
        <f t="shared" si="146"/>
        <v xml:space="preserve">      </v>
      </c>
      <c r="HQ31" s="107" t="str">
        <f t="shared" si="147"/>
        <v xml:space="preserve">      </v>
      </c>
      <c r="HR31" s="366" t="str">
        <f t="shared" si="148"/>
        <v xml:space="preserve"> अंग्रेजी     </v>
      </c>
      <c r="HS31" s="544" t="str">
        <f t="shared" si="74"/>
        <v>PASS</v>
      </c>
      <c r="HT31" s="542">
        <f t="shared" si="149"/>
        <v>768</v>
      </c>
      <c r="HU31" s="541">
        <f t="shared" si="160"/>
        <v>64</v>
      </c>
      <c r="HV31" s="540" t="str">
        <f t="shared" si="150"/>
        <v>1st</v>
      </c>
      <c r="HW31" s="537">
        <f t="shared" si="151"/>
        <v>64</v>
      </c>
      <c r="HX31" s="539">
        <f t="shared" si="152"/>
        <v>6.9999999999999263</v>
      </c>
      <c r="HY31" s="553" t="str">
        <f>IFERROR(IF(OR(HS31="SUPPLEMENTARY",HS31="RE-EXAM"),'Supp. Result Entry'!AQ29,""),"")</f>
        <v/>
      </c>
      <c r="HZ31" s="538" t="str">
        <f t="shared" si="153"/>
        <v/>
      </c>
      <c r="IA31" s="415" t="str">
        <f t="shared" si="154"/>
        <v/>
      </c>
      <c r="IB31" s="415" t="str">
        <f>IF(AND(HZ31="",IA31=""),"",IF(OR(HS31="SUPPLEMENTARY",HS31="RE-EXAM"),'Supp. Result Entry'!AQ29,HS31))</f>
        <v/>
      </c>
      <c r="IC31" s="87"/>
      <c r="IS31" s="109" t="str">
        <f>IF('Supp. Result Entry'!T29="","",'Supp. Result Entry'!$T$4)</f>
        <v/>
      </c>
      <c r="IT31" s="110" t="str">
        <f>IF('Supp. Result Entry'!W29="","",'Supp. Result Entry'!$W$4)</f>
        <v/>
      </c>
      <c r="IU31" s="110" t="str">
        <f>IF('Supp. Result Entry'!Z29="","",'Supp. Result Entry'!$Z$4)</f>
        <v/>
      </c>
      <c r="IV31" s="110" t="str">
        <f>IF('Supp. Result Entry'!AC29="","",'Supp. Result Entry'!$AC$4)</f>
        <v/>
      </c>
      <c r="IW31" s="110" t="str">
        <f>IF('Supp. Result Entry'!AF29="","",'Supp. Result Entry'!$AF$4)</f>
        <v/>
      </c>
      <c r="IX31" s="110" t="str">
        <f>IF('Supp. Result Entry'!AI29="","",'Supp. Result Entry'!$AI$4)</f>
        <v/>
      </c>
      <c r="IY31" s="110" t="str">
        <f>IF('Supp. Result Entry'!AI29="","",'Supp. Result Entry'!$AL$4)</f>
        <v/>
      </c>
      <c r="IZ31" s="110" t="str">
        <f>IF('Supp. Result Entry'!U29="","",'Supp. Result Entry'!U29)</f>
        <v/>
      </c>
      <c r="JA31" s="110" t="str">
        <f>IF('Supp. Result Entry'!X29="","",'Supp. Result Entry'!X29)</f>
        <v/>
      </c>
      <c r="JB31" s="110" t="str">
        <f>IF('Supp. Result Entry'!AA29="","",'Supp. Result Entry'!AA29)</f>
        <v/>
      </c>
      <c r="JC31" s="110" t="str">
        <f>IF('Supp. Result Entry'!AD29="","",'Supp. Result Entry'!AD29)</f>
        <v/>
      </c>
      <c r="JD31" s="110" t="str">
        <f>IF('Supp. Result Entry'!AG29="","",'Supp. Result Entry'!AG29)</f>
        <v/>
      </c>
      <c r="JE31" s="110" t="str">
        <f>IF('Supp. Result Entry'!AJ29="","",'Supp. Result Entry'!AJ29)</f>
        <v/>
      </c>
      <c r="JF31" s="110" t="str">
        <f>IF('Supp. Result Entry'!AM29="","",'Supp. Result Entry'!AM29)</f>
        <v/>
      </c>
      <c r="JG31" s="110" t="str">
        <f>IF('Supp. Result Entry'!V29="","",'Supp. Result Entry'!V29)</f>
        <v/>
      </c>
      <c r="JH31" s="110" t="str">
        <f>IF('Supp. Result Entry'!Y29="","",'Supp. Result Entry'!Y29)</f>
        <v/>
      </c>
      <c r="JI31" s="110" t="str">
        <f>IF('Supp. Result Entry'!AB29="","",'Supp. Result Entry'!AB29)</f>
        <v/>
      </c>
      <c r="JJ31" s="110" t="str">
        <f>IF('Supp. Result Entry'!AE29="","",'Supp. Result Entry'!AE29)</f>
        <v/>
      </c>
      <c r="JK31" s="110" t="str">
        <f>IF('Supp. Result Entry'!AH29="","",'Supp. Result Entry'!AH29)</f>
        <v/>
      </c>
      <c r="JL31" s="110" t="str">
        <f>IF('Supp. Result Entry'!AK29="","",'Supp. Result Entry'!AK29)</f>
        <v/>
      </c>
      <c r="JM31" s="110" t="str">
        <f>IF('Supp. Result Entry'!AN29="","",'Supp. Result Entry'!AN29)</f>
        <v/>
      </c>
      <c r="JN31" s="110">
        <f>COUNTIF('Supp. Result Entry'!K29:Q29,"S")</f>
        <v>0</v>
      </c>
      <c r="JO31" s="110">
        <f t="shared" si="155"/>
        <v>0</v>
      </c>
      <c r="JP31" s="110">
        <f t="shared" si="156"/>
        <v>0</v>
      </c>
      <c r="JQ31" s="110" t="str">
        <f t="shared" si="75"/>
        <v/>
      </c>
      <c r="JR31" s="110" t="str">
        <f t="shared" si="76"/>
        <v/>
      </c>
      <c r="JS31" s="110" t="str">
        <f t="shared" si="77"/>
        <v/>
      </c>
      <c r="JT31" s="110" t="str">
        <f t="shared" si="78"/>
        <v/>
      </c>
      <c r="JU31" s="110" t="str">
        <f t="shared" si="79"/>
        <v/>
      </c>
      <c r="JV31" s="110" t="str">
        <f t="shared" si="80"/>
        <v/>
      </c>
      <c r="JW31" s="110" t="str">
        <f t="shared" si="81"/>
        <v/>
      </c>
      <c r="JX31" s="110" t="str">
        <f t="shared" si="157"/>
        <v/>
      </c>
      <c r="JY31" s="110" t="str">
        <f t="shared" si="158"/>
        <v/>
      </c>
      <c r="JZ31" s="110" t="str">
        <f t="shared" si="82"/>
        <v/>
      </c>
      <c r="KA31" s="108" t="str">
        <f t="shared" si="159"/>
        <v/>
      </c>
    </row>
    <row r="32" spans="1:287" s="108" customFormat="1" ht="21.95" customHeight="1">
      <c r="A32" s="89">
        <v>26</v>
      </c>
      <c r="B32" s="90">
        <f>IF('Marks Entry'!B32="","",'Marks Entry'!B32)</f>
        <v>926</v>
      </c>
      <c r="C32" s="94" t="str">
        <f>IF('Marks Entry'!D32="","",'Marks Entry'!D32)</f>
        <v>A</v>
      </c>
      <c r="D32" s="91" t="str">
        <f>IF('Marks Entry'!E32="","",'Marks Entry'!E32)</f>
        <v/>
      </c>
      <c r="E32" s="92" t="str">
        <f>IF('Marks Entry'!F32="","",'Marks Entry'!F32)</f>
        <v/>
      </c>
      <c r="F32" s="93" t="str">
        <f>IF('Marks Entry'!G32="","",'Marks Entry'!G32)</f>
        <v>DIZA</v>
      </c>
      <c r="G32" s="93" t="str">
        <f>IF('Marks Entry'!H32="","",'Marks Entry'!H32)</f>
        <v/>
      </c>
      <c r="H32" s="93" t="str">
        <f>IF('Marks Entry'!I32="","",'Marks Entry'!I32)</f>
        <v/>
      </c>
      <c r="I32" s="94" t="str">
        <f>IF('Marks Entry'!J32="","",'Marks Entry'!J32)</f>
        <v/>
      </c>
      <c r="J32" s="95" t="str">
        <f>IF('Marks Entry'!K32="","",'Marks Entry'!K32)</f>
        <v/>
      </c>
      <c r="K32" s="68">
        <f>IF('Marks Entry'!L32="","",'Marks Entry'!L32)</f>
        <v>8</v>
      </c>
      <c r="L32" s="68">
        <f>IF('Marks Entry'!M32="","",'Marks Entry'!M32)</f>
        <v>9</v>
      </c>
      <c r="M32" s="68">
        <f>IF('Marks Entry'!N32="","",'Marks Entry'!N32)</f>
        <v>8</v>
      </c>
      <c r="N32" s="514">
        <f t="shared" si="83"/>
        <v>25</v>
      </c>
      <c r="O32" s="68">
        <f>IF('Marks Entry'!O32="","",'Marks Entry'!O32)</f>
        <v>46</v>
      </c>
      <c r="P32" s="515">
        <f t="shared" si="84"/>
        <v>71</v>
      </c>
      <c r="Q32" s="68">
        <f>IF('Marks Entry'!P32="","",'Marks Entry'!P32)</f>
        <v>65</v>
      </c>
      <c r="R32" s="96">
        <f t="shared" si="85"/>
        <v>136</v>
      </c>
      <c r="S32" s="65">
        <f t="shared" si="86"/>
        <v>0</v>
      </c>
      <c r="T32" s="65">
        <f t="shared" si="87"/>
        <v>0</v>
      </c>
      <c r="U32" s="66">
        <f t="shared" si="88"/>
        <v>200</v>
      </c>
      <c r="V32" s="65" t="str">
        <f t="shared" si="89"/>
        <v/>
      </c>
      <c r="W32" s="65" t="str">
        <f t="shared" si="90"/>
        <v>P</v>
      </c>
      <c r="X32" s="65" t="str">
        <f t="shared" si="91"/>
        <v>I</v>
      </c>
      <c r="Y32" s="68">
        <f>IF('Marks Entry'!Q32="","",'Marks Entry'!Q32)</f>
        <v>8</v>
      </c>
      <c r="Z32" s="68">
        <f>IF('Marks Entry'!R32="","",'Marks Entry'!R32)</f>
        <v>9</v>
      </c>
      <c r="AA32" s="68">
        <f>IF('Marks Entry'!S32="","",'Marks Entry'!S32)</f>
        <v>7</v>
      </c>
      <c r="AB32" s="514">
        <f t="shared" si="2"/>
        <v>24</v>
      </c>
      <c r="AC32" s="68">
        <f>IF('Marks Entry'!T32="","",'Marks Entry'!T32)</f>
        <v>60</v>
      </c>
      <c r="AD32" s="515">
        <f t="shared" si="3"/>
        <v>84</v>
      </c>
      <c r="AE32" s="68">
        <f>IF('Marks Entry'!U32="","",'Marks Entry'!U32)</f>
        <v>85</v>
      </c>
      <c r="AF32" s="96">
        <f t="shared" si="4"/>
        <v>169</v>
      </c>
      <c r="AG32" s="65">
        <f t="shared" si="5"/>
        <v>0</v>
      </c>
      <c r="AH32" s="65">
        <f t="shared" si="6"/>
        <v>0</v>
      </c>
      <c r="AI32" s="66">
        <f t="shared" si="7"/>
        <v>200</v>
      </c>
      <c r="AJ32" s="65" t="str">
        <f t="shared" si="8"/>
        <v/>
      </c>
      <c r="AK32" s="65" t="str">
        <f t="shared" si="9"/>
        <v>P</v>
      </c>
      <c r="AL32" s="65" t="str">
        <f t="shared" si="10"/>
        <v>D</v>
      </c>
      <c r="AM32" s="524" t="str">
        <f>IF('Marks Entry'!V32="","",IF('Marks Entry'!V32=1,'School Profile'!$I$9,IF('Marks Entry'!V32=2,'School Profile'!$I$10,IF('Marks Entry'!V32=3,'School Profile'!$I$11,IF('Marks Entry'!V32=4,'School Profile'!$I$12,IF('Marks Entry'!V32=5,'School Profile'!$I$13,IF('Marks Entry'!V32=6,'School Profile'!$I$14,"")))))))</f>
        <v xml:space="preserve">सिंधी (74) </v>
      </c>
      <c r="AN32" s="68">
        <f>IF('Marks Entry'!W32="","",'Marks Entry'!W32)</f>
        <v>8</v>
      </c>
      <c r="AO32" s="68">
        <f>IF('Marks Entry'!X32="","",'Marks Entry'!X32)</f>
        <v>9</v>
      </c>
      <c r="AP32" s="68" t="str">
        <f>IF('Marks Entry'!Y32="","",'Marks Entry'!Y32)</f>
        <v/>
      </c>
      <c r="AQ32" s="514">
        <f t="shared" si="11"/>
        <v>17</v>
      </c>
      <c r="AR32" s="68">
        <f>IF('Marks Entry'!Z32="","",'Marks Entry'!Z32)</f>
        <v>46</v>
      </c>
      <c r="AS32" s="515">
        <f t="shared" si="12"/>
        <v>63</v>
      </c>
      <c r="AT32" s="68">
        <f>IF('Marks Entry'!AA32="","",'Marks Entry'!AA32)</f>
        <v>45</v>
      </c>
      <c r="AU32" s="96">
        <f t="shared" si="13"/>
        <v>108</v>
      </c>
      <c r="AV32" s="65">
        <f t="shared" si="14"/>
        <v>0</v>
      </c>
      <c r="AW32" s="65">
        <f t="shared" si="15"/>
        <v>0</v>
      </c>
      <c r="AX32" s="66">
        <f t="shared" si="16"/>
        <v>200</v>
      </c>
      <c r="AY32" s="65" t="str">
        <f t="shared" si="17"/>
        <v/>
      </c>
      <c r="AZ32" s="65" t="str">
        <f t="shared" si="18"/>
        <v>P</v>
      </c>
      <c r="BA32" s="65" t="str">
        <f t="shared" si="19"/>
        <v>II</v>
      </c>
      <c r="BB32" s="68">
        <f>IF('Marks Entry'!AB32="","",'Marks Entry'!AB32)</f>
        <v>8</v>
      </c>
      <c r="BC32" s="68">
        <f>IF('Marks Entry'!AC32="","",'Marks Entry'!AC32)</f>
        <v>9</v>
      </c>
      <c r="BD32" s="68">
        <f>IF('Marks Entry'!AD32="","",'Marks Entry'!AD32)</f>
        <v>8</v>
      </c>
      <c r="BE32" s="514">
        <f t="shared" si="20"/>
        <v>25</v>
      </c>
      <c r="BF32" s="68">
        <f>IF('Marks Entry'!AE32="","",'Marks Entry'!AE32)</f>
        <v>46</v>
      </c>
      <c r="BG32" s="515">
        <f t="shared" si="21"/>
        <v>71</v>
      </c>
      <c r="BH32" s="68">
        <f>IF('Marks Entry'!AF32="","",'Marks Entry'!AF32)</f>
        <v>45</v>
      </c>
      <c r="BI32" s="96">
        <f t="shared" si="22"/>
        <v>116</v>
      </c>
      <c r="BJ32" s="65">
        <f t="shared" si="23"/>
        <v>0</v>
      </c>
      <c r="BK32" s="65">
        <f t="shared" si="92"/>
        <v>0</v>
      </c>
      <c r="BL32" s="66">
        <f t="shared" si="24"/>
        <v>200</v>
      </c>
      <c r="BM32" s="65" t="str">
        <f t="shared" si="25"/>
        <v/>
      </c>
      <c r="BN32" s="65" t="str">
        <f t="shared" si="26"/>
        <v>P</v>
      </c>
      <c r="BO32" s="65" t="str">
        <f t="shared" si="27"/>
        <v>II</v>
      </c>
      <c r="BP32" s="68">
        <f>IF('Marks Entry'!AG32="","",'Marks Entry'!AG32)</f>
        <v>8</v>
      </c>
      <c r="BQ32" s="68">
        <f>IF('Marks Entry'!AH32="","",'Marks Entry'!AH32)</f>
        <v>9</v>
      </c>
      <c r="BR32" s="68">
        <f>IF('Marks Entry'!AI32="","",'Marks Entry'!AI32)</f>
        <v>7</v>
      </c>
      <c r="BS32" s="514">
        <f t="shared" si="28"/>
        <v>24</v>
      </c>
      <c r="BT32" s="68">
        <f>IF('Marks Entry'!AJ32="","",'Marks Entry'!AJ32)</f>
        <v>46</v>
      </c>
      <c r="BU32" s="515">
        <f t="shared" si="29"/>
        <v>70</v>
      </c>
      <c r="BV32" s="68">
        <f>IF('Marks Entry'!AK32="","",'Marks Entry'!AK32)</f>
        <v>45</v>
      </c>
      <c r="BW32" s="96">
        <f t="shared" si="30"/>
        <v>115</v>
      </c>
      <c r="BX32" s="65">
        <f t="shared" si="31"/>
        <v>0</v>
      </c>
      <c r="BY32" s="65">
        <f t="shared" si="32"/>
        <v>0</v>
      </c>
      <c r="BZ32" s="66">
        <f t="shared" si="33"/>
        <v>200</v>
      </c>
      <c r="CA32" s="65" t="str">
        <f t="shared" si="34"/>
        <v/>
      </c>
      <c r="CB32" s="65" t="str">
        <f t="shared" si="35"/>
        <v>P</v>
      </c>
      <c r="CC32" s="65" t="str">
        <f t="shared" si="36"/>
        <v>II</v>
      </c>
      <c r="CD32" s="66">
        <f t="shared" si="93"/>
        <v>0</v>
      </c>
      <c r="CE32" s="68">
        <f>IF('Marks Entry'!AL32="","",'Marks Entry'!AL32)</f>
        <v>8</v>
      </c>
      <c r="CF32" s="68">
        <f>IF('Marks Entry'!AM32="","",'Marks Entry'!AM32)</f>
        <v>8</v>
      </c>
      <c r="CG32" s="68">
        <f>IF('Marks Entry'!AN32="","",'Marks Entry'!AN32)</f>
        <v>8</v>
      </c>
      <c r="CH32" s="514">
        <f t="shared" si="37"/>
        <v>24</v>
      </c>
      <c r="CI32" s="68">
        <f>IF('Marks Entry'!AO32="","",'Marks Entry'!AO32)</f>
        <v>46</v>
      </c>
      <c r="CJ32" s="515">
        <f t="shared" si="38"/>
        <v>70</v>
      </c>
      <c r="CK32" s="68">
        <f>IF('Marks Entry'!AP32="","",'Marks Entry'!AP32)</f>
        <v>45</v>
      </c>
      <c r="CL32" s="96">
        <f t="shared" si="39"/>
        <v>115</v>
      </c>
      <c r="CM32" s="65">
        <f t="shared" si="40"/>
        <v>0</v>
      </c>
      <c r="CN32" s="65">
        <f t="shared" si="41"/>
        <v>0</v>
      </c>
      <c r="CO32" s="66">
        <f t="shared" si="42"/>
        <v>200</v>
      </c>
      <c r="CP32" s="65" t="str">
        <f t="shared" si="43"/>
        <v/>
      </c>
      <c r="CQ32" s="65" t="str">
        <f t="shared" si="44"/>
        <v>P</v>
      </c>
      <c r="CR32" s="65" t="str">
        <f t="shared" si="45"/>
        <v>II</v>
      </c>
      <c r="CS32" s="616" t="str">
        <f>IF('School Profile'!$D$20="NO","",IF('Marks Entry'!AQ32="","",IF('Marks Entry'!AQ32=1,'School Profile'!$I$29,IF('Marks Entry'!AQ32=2,'School Profile'!$I$30,IF('Marks Entry'!AQ32=3,'School Profile'!$I$31,IF('Marks Entry'!AQ32=4,'School Profile'!$I$32,IF('Marks Entry'!AQ32=5,'School Profile'!$I$33,IF('Marks Entry'!AQ32=6,'School Profile'!$I$34,IF('Marks Entry'!AQ32=7,'School Profile'!$I$35,IF('Marks Entry'!AQ32=8,'School Profile'!$I$36,IF('Marks Entry'!AQ32=9,'School Profile'!$I$37,IF('Marks Entry'!AQ32=10,'School Profile'!$I$38,IF('Marks Entry'!AQ32=11,'School Profile'!$I$39,"")))))))))))))</f>
        <v/>
      </c>
      <c r="CT32" s="68" t="str">
        <f>IF('School Profile'!$D$20="NO","",IF('Marks Entry'!AR32="","",'Marks Entry'!AR32))</f>
        <v/>
      </c>
      <c r="CU32" s="68" t="str">
        <f>IF('School Profile'!$D$20="NO","",IF('Marks Entry'!AS32="","",'Marks Entry'!AS32))</f>
        <v/>
      </c>
      <c r="CV32" s="68" t="str">
        <f>IF('School Profile'!$D$20="NO","",IF('Marks Entry'!AT32="","",'Marks Entry'!AT32))</f>
        <v/>
      </c>
      <c r="CW32" s="514" t="str">
        <f>IF('School Profile'!$D$20="NO","",IF(AND(CT32="",CU32="",CV32=""),"",SUM(CT32:CV32)))</f>
        <v/>
      </c>
      <c r="CX32" s="68" t="str">
        <f>IF('School Profile'!$D$20="NO","",IF('Marks Entry'!AU32="","",'Marks Entry'!AU32))</f>
        <v/>
      </c>
      <c r="CY32" s="68" t="str">
        <f>IF('School Profile'!$D$20="NO","",IF('Marks Entry'!AV32="","",'Marks Entry'!AV32))</f>
        <v/>
      </c>
      <c r="CZ32" s="515" t="str">
        <f>IF('School Profile'!$D$20="NO","",IF(AND(CX32="",CY32=""),"",SUM(CX32,CY32)))</f>
        <v/>
      </c>
      <c r="DA32" s="69" t="str">
        <f>IF('School Profile'!$D$20="NO","",IF(AND(CW32="",CZ32=""),"",SUM(CW32+CZ32)))</f>
        <v/>
      </c>
      <c r="DB32" s="68" t="str">
        <f>IF('School Profile'!$D$20="NO","",IF('Marks Entry'!AW32="","",'Marks Entry'!AW32))</f>
        <v/>
      </c>
      <c r="DC32" s="68" t="str">
        <f>IF('School Profile'!$D$20="NO","",IF('Marks Entry'!AX32="","",'Marks Entry'!AX32))</f>
        <v/>
      </c>
      <c r="DD32" s="515" t="str">
        <f>IF('School Profile'!$D$20="NO","",IF(AND(DB32="",DC32=""),"",SUM(DB32,DC32)))</f>
        <v/>
      </c>
      <c r="DE32" s="96" t="str">
        <f>IF('School Profile'!$D$20="NO","",IF(AND(DA32="",DD32=""),"",SUM(DA32,DD32)))</f>
        <v/>
      </c>
      <c r="DF32" s="532">
        <f t="shared" si="46"/>
        <v>0</v>
      </c>
      <c r="DG32" s="65">
        <f t="shared" si="47"/>
        <v>0</v>
      </c>
      <c r="DH32" s="66" t="str">
        <f t="shared" si="48"/>
        <v/>
      </c>
      <c r="DI32" s="65" t="str">
        <f t="shared" si="49"/>
        <v/>
      </c>
      <c r="DJ32" s="65" t="str">
        <f t="shared" si="50"/>
        <v/>
      </c>
      <c r="DK32" s="65" t="str">
        <f t="shared" si="51"/>
        <v/>
      </c>
      <c r="DL32" s="97" t="str">
        <f t="shared" si="94"/>
        <v>I</v>
      </c>
      <c r="DM32" s="97" t="str">
        <f t="shared" si="95"/>
        <v>D</v>
      </c>
      <c r="DN32" s="97" t="str">
        <f t="shared" si="96"/>
        <v>II</v>
      </c>
      <c r="DO32" s="97" t="str">
        <f t="shared" si="97"/>
        <v>II</v>
      </c>
      <c r="DP32" s="97" t="str">
        <f t="shared" si="98"/>
        <v>II</v>
      </c>
      <c r="DQ32" s="97" t="str">
        <f t="shared" si="99"/>
        <v>II</v>
      </c>
      <c r="DR32" s="97" t="str">
        <f t="shared" si="100"/>
        <v/>
      </c>
      <c r="DS32" s="98">
        <f t="shared" si="101"/>
        <v>0</v>
      </c>
      <c r="DT32" s="98">
        <f t="shared" si="102"/>
        <v>0</v>
      </c>
      <c r="DU32" s="98">
        <f t="shared" si="103"/>
        <v>0</v>
      </c>
      <c r="DV32" s="98">
        <f t="shared" si="104"/>
        <v>0</v>
      </c>
      <c r="DW32" s="98">
        <f t="shared" si="105"/>
        <v>0</v>
      </c>
      <c r="DX32" s="98" t="str">
        <f t="shared" si="106"/>
        <v/>
      </c>
      <c r="DY32" s="99" t="str">
        <f t="shared" si="107"/>
        <v>PASS</v>
      </c>
      <c r="DZ32" s="74" t="str">
        <f>IF('Marks Entry'!AY32="","",'Marks Entry'!AY32)</f>
        <v/>
      </c>
      <c r="EA32" s="74" t="str">
        <f>IF('Marks Entry'!AZ32="","",'Marks Entry'!AZ32)</f>
        <v/>
      </c>
      <c r="EB32" s="74" t="str">
        <f>IF('Marks Entry'!BA32="","",'Marks Entry'!BA32)</f>
        <v/>
      </c>
      <c r="EC32" s="527" t="str">
        <f t="shared" si="52"/>
        <v/>
      </c>
      <c r="ED32" s="74" t="str">
        <f>IF('Marks Entry'!BB32="","",'Marks Entry'!BB32)</f>
        <v/>
      </c>
      <c r="EE32" s="528" t="str">
        <f t="shared" si="53"/>
        <v/>
      </c>
      <c r="EF32" s="74" t="str">
        <f>IF('Marks Entry'!BC32="","",'Marks Entry'!BC32)</f>
        <v/>
      </c>
      <c r="EG32" s="530" t="str">
        <f t="shared" si="54"/>
        <v/>
      </c>
      <c r="EH32" s="368" t="str">
        <f t="shared" si="108"/>
        <v/>
      </c>
      <c r="EI32" s="65">
        <f t="shared" si="109"/>
        <v>0</v>
      </c>
      <c r="EJ32" s="65">
        <f t="shared" si="110"/>
        <v>0</v>
      </c>
      <c r="EK32" s="66" t="str">
        <f t="shared" si="111"/>
        <v/>
      </c>
      <c r="EL32" s="74" t="str">
        <f>IF('Marks Entry'!BD32="","",'Marks Entry'!BD32)</f>
        <v/>
      </c>
      <c r="EM32" s="74" t="str">
        <f>IF('Marks Entry'!BE32="","",'Marks Entry'!BE32)</f>
        <v/>
      </c>
      <c r="EN32" s="74" t="str">
        <f>IF('Marks Entry'!BF32="","",'Marks Entry'!BF32)</f>
        <v/>
      </c>
      <c r="EO32" s="527" t="str">
        <f t="shared" si="55"/>
        <v/>
      </c>
      <c r="EP32" s="74" t="str">
        <f>IF('Marks Entry'!BG32="","",'Marks Entry'!BG32)</f>
        <v/>
      </c>
      <c r="EQ32" s="74" t="str">
        <f>IF('Marks Entry'!BH32="","",'Marks Entry'!BH32)</f>
        <v/>
      </c>
      <c r="ER32" s="528" t="str">
        <f t="shared" si="56"/>
        <v/>
      </c>
      <c r="ES32" s="529" t="str">
        <f t="shared" si="57"/>
        <v/>
      </c>
      <c r="ET32" s="74" t="str">
        <f>IF('Marks Entry'!BI32="","",'Marks Entry'!BI32)</f>
        <v/>
      </c>
      <c r="EU32" s="74" t="str">
        <f>IF('Marks Entry'!BJ32="","",'Marks Entry'!BJ32)</f>
        <v/>
      </c>
      <c r="EV32" s="528" t="str">
        <f t="shared" si="58"/>
        <v/>
      </c>
      <c r="EW32" s="530" t="str">
        <f t="shared" si="59"/>
        <v/>
      </c>
      <c r="EX32" s="368" t="str">
        <f t="shared" si="112"/>
        <v/>
      </c>
      <c r="EY32" s="65">
        <f t="shared" si="113"/>
        <v>0</v>
      </c>
      <c r="EZ32" s="65">
        <f t="shared" si="114"/>
        <v>0</v>
      </c>
      <c r="FA32" s="66" t="str">
        <f t="shared" si="115"/>
        <v/>
      </c>
      <c r="FB32" s="74" t="str">
        <f>IF('Marks Entry'!BK32="","",'Marks Entry'!BK32)</f>
        <v/>
      </c>
      <c r="FC32" s="74" t="str">
        <f>IF('Marks Entry'!BL32="","",'Marks Entry'!BL32)</f>
        <v/>
      </c>
      <c r="FD32" s="74" t="str">
        <f>IF('Marks Entry'!BM32="","",'Marks Entry'!BM32)</f>
        <v/>
      </c>
      <c r="FE32" s="74" t="str">
        <f>IF('Marks Entry'!BN32="","",'Marks Entry'!BN32)</f>
        <v/>
      </c>
      <c r="FF32" s="74" t="str">
        <f>IF('Marks Entry'!BO32="","",'Marks Entry'!BO32)</f>
        <v/>
      </c>
      <c r="FG32" s="74" t="str">
        <f>IF('Marks Entry'!BP32="","",'Marks Entry'!BP32)</f>
        <v/>
      </c>
      <c r="FH32" s="527" t="str">
        <f t="shared" si="60"/>
        <v/>
      </c>
      <c r="FI32" s="74" t="str">
        <f>IF('Marks Entry'!BQ32="","",'Marks Entry'!BQ32)</f>
        <v/>
      </c>
      <c r="FJ32" s="74" t="str">
        <f>IF('Marks Entry'!BR32="","",'Marks Entry'!BR32)</f>
        <v/>
      </c>
      <c r="FK32" s="528" t="str">
        <f t="shared" si="61"/>
        <v/>
      </c>
      <c r="FL32" s="529" t="str">
        <f t="shared" si="62"/>
        <v/>
      </c>
      <c r="FM32" s="74" t="str">
        <f>IF('Marks Entry'!BS32="","",'Marks Entry'!BS32)</f>
        <v/>
      </c>
      <c r="FN32" s="74" t="str">
        <f>IF('Marks Entry'!BT32="","",'Marks Entry'!BT32)</f>
        <v/>
      </c>
      <c r="FO32" s="528" t="str">
        <f t="shared" si="63"/>
        <v/>
      </c>
      <c r="FP32" s="530" t="str">
        <f t="shared" si="64"/>
        <v/>
      </c>
      <c r="FQ32" s="368" t="str">
        <f t="shared" si="116"/>
        <v/>
      </c>
      <c r="FR32" s="65">
        <f t="shared" si="117"/>
        <v>0</v>
      </c>
      <c r="FS32" s="65">
        <f t="shared" si="118"/>
        <v>0</v>
      </c>
      <c r="FT32" s="66" t="str">
        <f t="shared" si="119"/>
        <v/>
      </c>
      <c r="FU32" s="74" t="str">
        <f>IF('Marks Entry'!BU32="","",'Marks Entry'!BU32)</f>
        <v/>
      </c>
      <c r="FV32" s="74" t="str">
        <f>IF('Marks Entry'!BV32="","",'Marks Entry'!BV32)</f>
        <v/>
      </c>
      <c r="FW32" s="74" t="str">
        <f>IF('Marks Entry'!BW32="","",'Marks Entry'!BW32)</f>
        <v/>
      </c>
      <c r="FX32" s="75" t="str">
        <f t="shared" si="65"/>
        <v/>
      </c>
      <c r="FY32" s="368" t="str">
        <f t="shared" si="120"/>
        <v/>
      </c>
      <c r="FZ32" s="65">
        <f t="shared" si="121"/>
        <v>0</v>
      </c>
      <c r="GA32" s="66">
        <f t="shared" si="122"/>
        <v>0</v>
      </c>
      <c r="GB32" s="66" t="str">
        <f t="shared" si="123"/>
        <v/>
      </c>
      <c r="GC32" s="74" t="str">
        <f>IF('Marks Entry'!BX32="","",'Marks Entry'!BX32)</f>
        <v/>
      </c>
      <c r="GD32" s="74" t="str">
        <f>IF('Marks Entry'!BY32="","",'Marks Entry'!BY32)</f>
        <v/>
      </c>
      <c r="GE32" s="74" t="str">
        <f>IF('Marks Entry'!BZ32="","",'Marks Entry'!BZ32)</f>
        <v/>
      </c>
      <c r="GF32" s="75" t="str">
        <f t="shared" si="124"/>
        <v/>
      </c>
      <c r="GG32" s="368" t="str">
        <f t="shared" si="125"/>
        <v/>
      </c>
      <c r="GH32" s="65">
        <f t="shared" si="126"/>
        <v>0</v>
      </c>
      <c r="GI32" s="66">
        <f t="shared" si="127"/>
        <v>0</v>
      </c>
      <c r="GJ32" s="66" t="str">
        <f t="shared" si="128"/>
        <v/>
      </c>
      <c r="GK32" s="100" t="str">
        <f>IF(AND(F32="",B32=""),"",IF('Student DATA Entry'!M29="","",'Student DATA Entry'!M29))</f>
        <v/>
      </c>
      <c r="GL32" s="101" t="str">
        <f>IF(AND(B32="",F32=""),"",IF('Student DATA Entry'!N29="","",'Student DATA Entry'!N29))</f>
        <v/>
      </c>
      <c r="GM32" s="581" t="str">
        <f t="shared" si="129"/>
        <v/>
      </c>
      <c r="GN32" s="94" t="str">
        <f t="shared" si="130"/>
        <v>I</v>
      </c>
      <c r="GO32" s="94" t="str">
        <f t="shared" si="131"/>
        <v/>
      </c>
      <c r="GP32" s="102" t="str">
        <f t="shared" si="67"/>
        <v/>
      </c>
      <c r="GQ32" s="94" t="str">
        <f t="shared" si="132"/>
        <v>D</v>
      </c>
      <c r="GR32" s="103" t="str">
        <f t="shared" si="133"/>
        <v/>
      </c>
      <c r="GS32" s="102" t="str">
        <f t="shared" si="68"/>
        <v/>
      </c>
      <c r="GT32" s="104" t="str">
        <f t="shared" si="134"/>
        <v>II</v>
      </c>
      <c r="GU32" s="94" t="str">
        <f>IF('Marks Entry'!V32=1,GT32,"")</f>
        <v/>
      </c>
      <c r="GV32" s="94" t="str">
        <f>IF('Marks Entry'!V32=2,GT32,"")</f>
        <v/>
      </c>
      <c r="GW32" s="94" t="str">
        <f>IF('Marks Entry'!V32=3,GT32,"")</f>
        <v/>
      </c>
      <c r="GX32" s="94" t="str">
        <f>IF('Marks Entry'!V32=4,GT32,"")</f>
        <v>II</v>
      </c>
      <c r="GY32" s="94" t="str">
        <f>IF('Marks Entry'!V32=5,GT32,"")</f>
        <v/>
      </c>
      <c r="GZ32" s="94" t="str">
        <f t="shared" si="135"/>
        <v/>
      </c>
      <c r="HA32" s="105" t="str">
        <f t="shared" si="69"/>
        <v/>
      </c>
      <c r="HB32" s="94" t="str">
        <f t="shared" si="136"/>
        <v>II</v>
      </c>
      <c r="HC32" s="94" t="str">
        <f t="shared" si="137"/>
        <v/>
      </c>
      <c r="HD32" s="105" t="str">
        <f t="shared" si="70"/>
        <v/>
      </c>
      <c r="HE32" s="94" t="str">
        <f t="shared" si="138"/>
        <v>II</v>
      </c>
      <c r="HF32" s="94" t="str">
        <f t="shared" si="139"/>
        <v/>
      </c>
      <c r="HG32" s="105" t="str">
        <f t="shared" si="71"/>
        <v/>
      </c>
      <c r="HH32" s="94" t="str">
        <f t="shared" si="140"/>
        <v>II</v>
      </c>
      <c r="HI32" s="94" t="str">
        <f t="shared" si="141"/>
        <v/>
      </c>
      <c r="HJ32" s="105" t="str">
        <f t="shared" si="72"/>
        <v/>
      </c>
      <c r="HK32" s="94" t="str">
        <f t="shared" si="142"/>
        <v/>
      </c>
      <c r="HL32" s="94" t="str">
        <f t="shared" si="143"/>
        <v/>
      </c>
      <c r="HM32" s="105" t="str">
        <f t="shared" si="73"/>
        <v/>
      </c>
      <c r="HN32" s="367" t="str">
        <f t="shared" si="144"/>
        <v xml:space="preserve">      </v>
      </c>
      <c r="HO32" s="418" t="str">
        <f t="shared" si="145"/>
        <v xml:space="preserve">      </v>
      </c>
      <c r="HP32" s="367" t="str">
        <f t="shared" si="146"/>
        <v xml:space="preserve">      </v>
      </c>
      <c r="HQ32" s="107" t="str">
        <f t="shared" si="147"/>
        <v xml:space="preserve">      </v>
      </c>
      <c r="HR32" s="366" t="str">
        <f t="shared" si="148"/>
        <v xml:space="preserve"> अंग्रेजी     </v>
      </c>
      <c r="HS32" s="544" t="str">
        <f t="shared" si="74"/>
        <v>PASS</v>
      </c>
      <c r="HT32" s="542">
        <f t="shared" si="149"/>
        <v>759</v>
      </c>
      <c r="HU32" s="541">
        <f t="shared" si="160"/>
        <v>63.25</v>
      </c>
      <c r="HV32" s="540" t="str">
        <f t="shared" si="150"/>
        <v>1st</v>
      </c>
      <c r="HW32" s="537">
        <f t="shared" si="151"/>
        <v>63.25</v>
      </c>
      <c r="HX32" s="539">
        <f t="shared" si="152"/>
        <v>7.9999999999999289</v>
      </c>
      <c r="HY32" s="553" t="str">
        <f>IFERROR(IF(OR(HS32="SUPPLEMENTARY",HS32="RE-EXAM"),'Supp. Result Entry'!AQ30,""),"")</f>
        <v/>
      </c>
      <c r="HZ32" s="538" t="str">
        <f t="shared" si="153"/>
        <v/>
      </c>
      <c r="IA32" s="415" t="str">
        <f t="shared" si="154"/>
        <v/>
      </c>
      <c r="IB32" s="415" t="str">
        <f>IF(AND(HZ32="",IA32=""),"",IF(OR(HS32="SUPPLEMENTARY",HS32="RE-EXAM"),'Supp. Result Entry'!AQ30,HS32))</f>
        <v/>
      </c>
      <c r="IC32" s="87"/>
      <c r="IS32" s="109" t="str">
        <f>IF('Supp. Result Entry'!T30="","",'Supp. Result Entry'!$T$4)</f>
        <v/>
      </c>
      <c r="IT32" s="110" t="str">
        <f>IF('Supp. Result Entry'!W30="","",'Supp. Result Entry'!$W$4)</f>
        <v/>
      </c>
      <c r="IU32" s="110" t="str">
        <f>IF('Supp. Result Entry'!Z30="","",'Supp. Result Entry'!$Z$4)</f>
        <v/>
      </c>
      <c r="IV32" s="110" t="str">
        <f>IF('Supp. Result Entry'!AC30="","",'Supp. Result Entry'!$AC$4)</f>
        <v/>
      </c>
      <c r="IW32" s="110" t="str">
        <f>IF('Supp. Result Entry'!AF30="","",'Supp. Result Entry'!$AF$4)</f>
        <v/>
      </c>
      <c r="IX32" s="110" t="str">
        <f>IF('Supp. Result Entry'!AI30="","",'Supp. Result Entry'!$AI$4)</f>
        <v/>
      </c>
      <c r="IY32" s="110" t="str">
        <f>IF('Supp. Result Entry'!AI30="","",'Supp. Result Entry'!$AL$4)</f>
        <v/>
      </c>
      <c r="IZ32" s="110" t="str">
        <f>IF('Supp. Result Entry'!U30="","",'Supp. Result Entry'!U30)</f>
        <v/>
      </c>
      <c r="JA32" s="110" t="str">
        <f>IF('Supp. Result Entry'!X30="","",'Supp. Result Entry'!X30)</f>
        <v/>
      </c>
      <c r="JB32" s="110" t="str">
        <f>IF('Supp. Result Entry'!AA30="","",'Supp. Result Entry'!AA30)</f>
        <v/>
      </c>
      <c r="JC32" s="110" t="str">
        <f>IF('Supp. Result Entry'!AD30="","",'Supp. Result Entry'!AD30)</f>
        <v/>
      </c>
      <c r="JD32" s="110" t="str">
        <f>IF('Supp. Result Entry'!AG30="","",'Supp. Result Entry'!AG30)</f>
        <v/>
      </c>
      <c r="JE32" s="110" t="str">
        <f>IF('Supp. Result Entry'!AJ30="","",'Supp. Result Entry'!AJ30)</f>
        <v/>
      </c>
      <c r="JF32" s="110" t="str">
        <f>IF('Supp. Result Entry'!AM30="","",'Supp. Result Entry'!AM30)</f>
        <v/>
      </c>
      <c r="JG32" s="110" t="str">
        <f>IF('Supp. Result Entry'!V30="","",'Supp. Result Entry'!V30)</f>
        <v/>
      </c>
      <c r="JH32" s="110" t="str">
        <f>IF('Supp. Result Entry'!Y30="","",'Supp. Result Entry'!Y30)</f>
        <v/>
      </c>
      <c r="JI32" s="110" t="str">
        <f>IF('Supp. Result Entry'!AB30="","",'Supp. Result Entry'!AB30)</f>
        <v/>
      </c>
      <c r="JJ32" s="110" t="str">
        <f>IF('Supp. Result Entry'!AE30="","",'Supp. Result Entry'!AE30)</f>
        <v/>
      </c>
      <c r="JK32" s="110" t="str">
        <f>IF('Supp. Result Entry'!AH30="","",'Supp. Result Entry'!AH30)</f>
        <v/>
      </c>
      <c r="JL32" s="110" t="str">
        <f>IF('Supp. Result Entry'!AK30="","",'Supp. Result Entry'!AK30)</f>
        <v/>
      </c>
      <c r="JM32" s="110" t="str">
        <f>IF('Supp. Result Entry'!AN30="","",'Supp. Result Entry'!AN30)</f>
        <v/>
      </c>
      <c r="JN32" s="110">
        <f>COUNTIF('Supp. Result Entry'!K30:Q30,"S")</f>
        <v>0</v>
      </c>
      <c r="JO32" s="110">
        <f t="shared" si="155"/>
        <v>0</v>
      </c>
      <c r="JP32" s="110">
        <f t="shared" si="156"/>
        <v>0</v>
      </c>
      <c r="JQ32" s="110" t="str">
        <f t="shared" si="75"/>
        <v/>
      </c>
      <c r="JR32" s="110" t="str">
        <f t="shared" si="76"/>
        <v/>
      </c>
      <c r="JS32" s="110" t="str">
        <f t="shared" si="77"/>
        <v/>
      </c>
      <c r="JT32" s="110" t="str">
        <f t="shared" si="78"/>
        <v/>
      </c>
      <c r="JU32" s="110" t="str">
        <f t="shared" si="79"/>
        <v/>
      </c>
      <c r="JV32" s="110" t="str">
        <f t="shared" si="80"/>
        <v/>
      </c>
      <c r="JW32" s="110" t="str">
        <f t="shared" si="81"/>
        <v/>
      </c>
      <c r="JX32" s="110" t="str">
        <f t="shared" si="157"/>
        <v/>
      </c>
      <c r="JY32" s="110" t="str">
        <f t="shared" si="158"/>
        <v/>
      </c>
      <c r="JZ32" s="110" t="str">
        <f t="shared" si="82"/>
        <v/>
      </c>
      <c r="KA32" s="108" t="str">
        <f t="shared" si="159"/>
        <v/>
      </c>
    </row>
    <row r="33" spans="1:287" s="108" customFormat="1" ht="21.95" customHeight="1">
      <c r="A33" s="89">
        <v>27</v>
      </c>
      <c r="B33" s="90">
        <f>IF('Marks Entry'!B33="","",'Marks Entry'!B33)</f>
        <v>927</v>
      </c>
      <c r="C33" s="94" t="str">
        <f>IF('Marks Entry'!D33="","",'Marks Entry'!D33)</f>
        <v>A</v>
      </c>
      <c r="D33" s="91" t="str">
        <f>IF('Marks Entry'!E33="","",'Marks Entry'!E33)</f>
        <v/>
      </c>
      <c r="E33" s="92" t="str">
        <f>IF('Marks Entry'!F33="","",'Marks Entry'!F33)</f>
        <v/>
      </c>
      <c r="F33" s="93" t="str">
        <f>IF('Marks Entry'!G33="","",'Marks Entry'!G33)</f>
        <v>BIPASA</v>
      </c>
      <c r="G33" s="93" t="str">
        <f>IF('Marks Entry'!H33="","",'Marks Entry'!H33)</f>
        <v/>
      </c>
      <c r="H33" s="93" t="str">
        <f>IF('Marks Entry'!I33="","",'Marks Entry'!I33)</f>
        <v/>
      </c>
      <c r="I33" s="94" t="str">
        <f>IF('Marks Entry'!J33="","",'Marks Entry'!J33)</f>
        <v/>
      </c>
      <c r="J33" s="95" t="str">
        <f>IF('Marks Entry'!K33="","",'Marks Entry'!K33)</f>
        <v/>
      </c>
      <c r="K33" s="68">
        <f>IF('Marks Entry'!L33="","",'Marks Entry'!L33)</f>
        <v>8</v>
      </c>
      <c r="L33" s="68">
        <f>IF('Marks Entry'!M33="","",'Marks Entry'!M33)</f>
        <v>9</v>
      </c>
      <c r="M33" s="68">
        <f>IF('Marks Entry'!N33="","",'Marks Entry'!N33)</f>
        <v>8</v>
      </c>
      <c r="N33" s="514">
        <f t="shared" si="83"/>
        <v>25</v>
      </c>
      <c r="O33" s="68">
        <f>IF('Marks Entry'!O33="","",'Marks Entry'!O33)</f>
        <v>46</v>
      </c>
      <c r="P33" s="515">
        <f t="shared" si="84"/>
        <v>71</v>
      </c>
      <c r="Q33" s="68">
        <f>IF('Marks Entry'!P33="","",'Marks Entry'!P33)</f>
        <v>45</v>
      </c>
      <c r="R33" s="96">
        <f t="shared" si="85"/>
        <v>116</v>
      </c>
      <c r="S33" s="65">
        <f t="shared" si="86"/>
        <v>0</v>
      </c>
      <c r="T33" s="65">
        <f t="shared" si="87"/>
        <v>0</v>
      </c>
      <c r="U33" s="66">
        <f t="shared" si="88"/>
        <v>200</v>
      </c>
      <c r="V33" s="65" t="str">
        <f t="shared" si="89"/>
        <v/>
      </c>
      <c r="W33" s="65" t="str">
        <f t="shared" si="90"/>
        <v>P</v>
      </c>
      <c r="X33" s="65" t="str">
        <f t="shared" si="91"/>
        <v>II</v>
      </c>
      <c r="Y33" s="68">
        <f>IF('Marks Entry'!Q33="","",'Marks Entry'!Q33)</f>
        <v>8</v>
      </c>
      <c r="Z33" s="68">
        <f>IF('Marks Entry'!R33="","",'Marks Entry'!R33)</f>
        <v>9</v>
      </c>
      <c r="AA33" s="68">
        <f>IF('Marks Entry'!S33="","",'Marks Entry'!S33)</f>
        <v>7</v>
      </c>
      <c r="AB33" s="514">
        <f t="shared" si="2"/>
        <v>24</v>
      </c>
      <c r="AC33" s="68">
        <f>IF('Marks Entry'!T33="","",'Marks Entry'!T33)</f>
        <v>60</v>
      </c>
      <c r="AD33" s="515">
        <f t="shared" si="3"/>
        <v>84</v>
      </c>
      <c r="AE33" s="68">
        <f>IF('Marks Entry'!U33="","",'Marks Entry'!U33)</f>
        <v>85</v>
      </c>
      <c r="AF33" s="96">
        <f t="shared" si="4"/>
        <v>169</v>
      </c>
      <c r="AG33" s="65">
        <f t="shared" si="5"/>
        <v>0</v>
      </c>
      <c r="AH33" s="65">
        <f t="shared" si="6"/>
        <v>0</v>
      </c>
      <c r="AI33" s="66">
        <f t="shared" si="7"/>
        <v>200</v>
      </c>
      <c r="AJ33" s="65" t="str">
        <f t="shared" si="8"/>
        <v/>
      </c>
      <c r="AK33" s="65" t="str">
        <f t="shared" si="9"/>
        <v>P</v>
      </c>
      <c r="AL33" s="65" t="str">
        <f t="shared" si="10"/>
        <v>D</v>
      </c>
      <c r="AM33" s="524" t="str">
        <f>IF('Marks Entry'!V33="","",IF('Marks Entry'!V33=1,'School Profile'!$I$9,IF('Marks Entry'!V33=2,'School Profile'!$I$10,IF('Marks Entry'!V33=3,'School Profile'!$I$11,IF('Marks Entry'!V33=4,'School Profile'!$I$12,IF('Marks Entry'!V33=5,'School Profile'!$I$13,IF('Marks Entry'!V33=6,'School Profile'!$I$14,"")))))))</f>
        <v>पंजाबी (75)</v>
      </c>
      <c r="AN33" s="68">
        <f>IF('Marks Entry'!W33="","",'Marks Entry'!W33)</f>
        <v>8</v>
      </c>
      <c r="AO33" s="68">
        <f>IF('Marks Entry'!X33="","",'Marks Entry'!X33)</f>
        <v>9</v>
      </c>
      <c r="AP33" s="68" t="str">
        <f>IF('Marks Entry'!Y33="","",'Marks Entry'!Y33)</f>
        <v/>
      </c>
      <c r="AQ33" s="514">
        <f t="shared" si="11"/>
        <v>17</v>
      </c>
      <c r="AR33" s="68">
        <f>IF('Marks Entry'!Z33="","",'Marks Entry'!Z33)</f>
        <v>46</v>
      </c>
      <c r="AS33" s="515">
        <f t="shared" si="12"/>
        <v>63</v>
      </c>
      <c r="AT33" s="68">
        <f>IF('Marks Entry'!AA33="","",'Marks Entry'!AA33)</f>
        <v>45</v>
      </c>
      <c r="AU33" s="96">
        <f t="shared" si="13"/>
        <v>108</v>
      </c>
      <c r="AV33" s="65">
        <f t="shared" si="14"/>
        <v>0</v>
      </c>
      <c r="AW33" s="65">
        <f t="shared" si="15"/>
        <v>0</v>
      </c>
      <c r="AX33" s="66">
        <f t="shared" si="16"/>
        <v>200</v>
      </c>
      <c r="AY33" s="65" t="str">
        <f t="shared" si="17"/>
        <v/>
      </c>
      <c r="AZ33" s="65" t="str">
        <f t="shared" si="18"/>
        <v>P</v>
      </c>
      <c r="BA33" s="65" t="str">
        <f t="shared" si="19"/>
        <v>II</v>
      </c>
      <c r="BB33" s="68">
        <f>IF('Marks Entry'!AB33="","",'Marks Entry'!AB33)</f>
        <v>8</v>
      </c>
      <c r="BC33" s="68">
        <f>IF('Marks Entry'!AC33="","",'Marks Entry'!AC33)</f>
        <v>9</v>
      </c>
      <c r="BD33" s="68">
        <f>IF('Marks Entry'!AD33="","",'Marks Entry'!AD33)</f>
        <v>8</v>
      </c>
      <c r="BE33" s="514">
        <f t="shared" si="20"/>
        <v>25</v>
      </c>
      <c r="BF33" s="68">
        <f>IF('Marks Entry'!AE33="","",'Marks Entry'!AE33)</f>
        <v>46</v>
      </c>
      <c r="BG33" s="515">
        <f t="shared" si="21"/>
        <v>71</v>
      </c>
      <c r="BH33" s="68">
        <f>IF('Marks Entry'!AF33="","",'Marks Entry'!AF33)</f>
        <v>45</v>
      </c>
      <c r="BI33" s="96">
        <f t="shared" si="22"/>
        <v>116</v>
      </c>
      <c r="BJ33" s="65">
        <f t="shared" si="23"/>
        <v>0</v>
      </c>
      <c r="BK33" s="65">
        <f t="shared" si="92"/>
        <v>0</v>
      </c>
      <c r="BL33" s="66">
        <f t="shared" si="24"/>
        <v>200</v>
      </c>
      <c r="BM33" s="65" t="str">
        <f t="shared" si="25"/>
        <v/>
      </c>
      <c r="BN33" s="65" t="str">
        <f t="shared" si="26"/>
        <v>P</v>
      </c>
      <c r="BO33" s="65" t="str">
        <f t="shared" si="27"/>
        <v>II</v>
      </c>
      <c r="BP33" s="68">
        <f>IF('Marks Entry'!AG33="","",'Marks Entry'!AG33)</f>
        <v>8</v>
      </c>
      <c r="BQ33" s="68">
        <f>IF('Marks Entry'!AH33="","",'Marks Entry'!AH33)</f>
        <v>9</v>
      </c>
      <c r="BR33" s="68">
        <f>IF('Marks Entry'!AI33="","",'Marks Entry'!AI33)</f>
        <v>7</v>
      </c>
      <c r="BS33" s="514">
        <f t="shared" si="28"/>
        <v>24</v>
      </c>
      <c r="BT33" s="68">
        <f>IF('Marks Entry'!AJ33="","",'Marks Entry'!AJ33)</f>
        <v>46</v>
      </c>
      <c r="BU33" s="515">
        <f t="shared" si="29"/>
        <v>70</v>
      </c>
      <c r="BV33" s="68">
        <f>IF('Marks Entry'!AK33="","",'Marks Entry'!AK33)</f>
        <v>45</v>
      </c>
      <c r="BW33" s="96">
        <f t="shared" si="30"/>
        <v>115</v>
      </c>
      <c r="BX33" s="65">
        <f t="shared" si="31"/>
        <v>0</v>
      </c>
      <c r="BY33" s="65">
        <f t="shared" si="32"/>
        <v>0</v>
      </c>
      <c r="BZ33" s="66">
        <f t="shared" si="33"/>
        <v>200</v>
      </c>
      <c r="CA33" s="65" t="str">
        <f t="shared" si="34"/>
        <v/>
      </c>
      <c r="CB33" s="65" t="str">
        <f t="shared" si="35"/>
        <v>P</v>
      </c>
      <c r="CC33" s="65" t="str">
        <f t="shared" si="36"/>
        <v>II</v>
      </c>
      <c r="CD33" s="66">
        <f t="shared" si="93"/>
        <v>0</v>
      </c>
      <c r="CE33" s="68">
        <f>IF('Marks Entry'!AL33="","",'Marks Entry'!AL33)</f>
        <v>8</v>
      </c>
      <c r="CF33" s="68">
        <f>IF('Marks Entry'!AM33="","",'Marks Entry'!AM33)</f>
        <v>8</v>
      </c>
      <c r="CG33" s="68">
        <f>IF('Marks Entry'!AN33="","",'Marks Entry'!AN33)</f>
        <v>8</v>
      </c>
      <c r="CH33" s="514">
        <f t="shared" si="37"/>
        <v>24</v>
      </c>
      <c r="CI33" s="68">
        <f>IF('Marks Entry'!AO33="","",'Marks Entry'!AO33)</f>
        <v>46</v>
      </c>
      <c r="CJ33" s="515">
        <f t="shared" si="38"/>
        <v>70</v>
      </c>
      <c r="CK33" s="68">
        <f>IF('Marks Entry'!AP33="","",'Marks Entry'!AP33)</f>
        <v>45</v>
      </c>
      <c r="CL33" s="96">
        <f t="shared" si="39"/>
        <v>115</v>
      </c>
      <c r="CM33" s="65">
        <f t="shared" si="40"/>
        <v>0</v>
      </c>
      <c r="CN33" s="65">
        <f t="shared" si="41"/>
        <v>0</v>
      </c>
      <c r="CO33" s="66">
        <f t="shared" si="42"/>
        <v>200</v>
      </c>
      <c r="CP33" s="65" t="str">
        <f t="shared" si="43"/>
        <v/>
      </c>
      <c r="CQ33" s="65" t="str">
        <f t="shared" si="44"/>
        <v>P</v>
      </c>
      <c r="CR33" s="65" t="str">
        <f t="shared" si="45"/>
        <v>II</v>
      </c>
      <c r="CS33" s="616" t="str">
        <f>IF('School Profile'!$D$20="NO","",IF('Marks Entry'!AQ33="","",IF('Marks Entry'!AQ33=1,'School Profile'!$I$29,IF('Marks Entry'!AQ33=2,'School Profile'!$I$30,IF('Marks Entry'!AQ33=3,'School Profile'!$I$31,IF('Marks Entry'!AQ33=4,'School Profile'!$I$32,IF('Marks Entry'!AQ33=5,'School Profile'!$I$33,IF('Marks Entry'!AQ33=6,'School Profile'!$I$34,IF('Marks Entry'!AQ33=7,'School Profile'!$I$35,IF('Marks Entry'!AQ33=8,'School Profile'!$I$36,IF('Marks Entry'!AQ33=9,'School Profile'!$I$37,IF('Marks Entry'!AQ33=10,'School Profile'!$I$38,IF('Marks Entry'!AQ33=11,'School Profile'!$I$39,"")))))))))))))</f>
        <v/>
      </c>
      <c r="CT33" s="68" t="str">
        <f>IF('School Profile'!$D$20="NO","",IF('Marks Entry'!AR33="","",'Marks Entry'!AR33))</f>
        <v/>
      </c>
      <c r="CU33" s="68" t="str">
        <f>IF('School Profile'!$D$20="NO","",IF('Marks Entry'!AS33="","",'Marks Entry'!AS33))</f>
        <v/>
      </c>
      <c r="CV33" s="68" t="str">
        <f>IF('School Profile'!$D$20="NO","",IF('Marks Entry'!AT33="","",'Marks Entry'!AT33))</f>
        <v/>
      </c>
      <c r="CW33" s="514" t="str">
        <f>IF('School Profile'!$D$20="NO","",IF(AND(CT33="",CU33="",CV33=""),"",SUM(CT33:CV33)))</f>
        <v/>
      </c>
      <c r="CX33" s="68" t="str">
        <f>IF('School Profile'!$D$20="NO","",IF('Marks Entry'!AU33="","",'Marks Entry'!AU33))</f>
        <v/>
      </c>
      <c r="CY33" s="68" t="str">
        <f>IF('School Profile'!$D$20="NO","",IF('Marks Entry'!AV33="","",'Marks Entry'!AV33))</f>
        <v/>
      </c>
      <c r="CZ33" s="515" t="str">
        <f>IF('School Profile'!$D$20="NO","",IF(AND(CX33="",CY33=""),"",SUM(CX33,CY33)))</f>
        <v/>
      </c>
      <c r="DA33" s="69" t="str">
        <f>IF('School Profile'!$D$20="NO","",IF(AND(CW33="",CZ33=""),"",SUM(CW33+CZ33)))</f>
        <v/>
      </c>
      <c r="DB33" s="68" t="str">
        <f>IF('School Profile'!$D$20="NO","",IF('Marks Entry'!AW33="","",'Marks Entry'!AW33))</f>
        <v/>
      </c>
      <c r="DC33" s="68" t="str">
        <f>IF('School Profile'!$D$20="NO","",IF('Marks Entry'!AX33="","",'Marks Entry'!AX33))</f>
        <v/>
      </c>
      <c r="DD33" s="515" t="str">
        <f>IF('School Profile'!$D$20="NO","",IF(AND(DB33="",DC33=""),"",SUM(DB33,DC33)))</f>
        <v/>
      </c>
      <c r="DE33" s="96" t="str">
        <f>IF('School Profile'!$D$20="NO","",IF(AND(DA33="",DD33=""),"",SUM(DA33,DD33)))</f>
        <v/>
      </c>
      <c r="DF33" s="532">
        <f t="shared" si="46"/>
        <v>0</v>
      </c>
      <c r="DG33" s="65">
        <f t="shared" si="47"/>
        <v>0</v>
      </c>
      <c r="DH33" s="66" t="str">
        <f t="shared" si="48"/>
        <v/>
      </c>
      <c r="DI33" s="65" t="str">
        <f t="shared" si="49"/>
        <v/>
      </c>
      <c r="DJ33" s="65" t="str">
        <f t="shared" si="50"/>
        <v/>
      </c>
      <c r="DK33" s="65" t="str">
        <f t="shared" si="51"/>
        <v/>
      </c>
      <c r="DL33" s="97" t="str">
        <f t="shared" si="94"/>
        <v>II</v>
      </c>
      <c r="DM33" s="97" t="str">
        <f t="shared" si="95"/>
        <v>D</v>
      </c>
      <c r="DN33" s="97" t="str">
        <f t="shared" si="96"/>
        <v>II</v>
      </c>
      <c r="DO33" s="97" t="str">
        <f t="shared" si="97"/>
        <v>II</v>
      </c>
      <c r="DP33" s="97" t="str">
        <f t="shared" si="98"/>
        <v>II</v>
      </c>
      <c r="DQ33" s="97" t="str">
        <f t="shared" si="99"/>
        <v>II</v>
      </c>
      <c r="DR33" s="97" t="str">
        <f t="shared" si="100"/>
        <v/>
      </c>
      <c r="DS33" s="98">
        <f t="shared" si="101"/>
        <v>0</v>
      </c>
      <c r="DT33" s="98">
        <f t="shared" si="102"/>
        <v>0</v>
      </c>
      <c r="DU33" s="98">
        <f t="shared" si="103"/>
        <v>0</v>
      </c>
      <c r="DV33" s="98">
        <f t="shared" si="104"/>
        <v>0</v>
      </c>
      <c r="DW33" s="98">
        <f t="shared" si="105"/>
        <v>0</v>
      </c>
      <c r="DX33" s="98" t="str">
        <f t="shared" si="106"/>
        <v/>
      </c>
      <c r="DY33" s="99" t="str">
        <f t="shared" si="107"/>
        <v>PASS</v>
      </c>
      <c r="DZ33" s="74" t="str">
        <f>IF('Marks Entry'!AY33="","",'Marks Entry'!AY33)</f>
        <v/>
      </c>
      <c r="EA33" s="74" t="str">
        <f>IF('Marks Entry'!AZ33="","",'Marks Entry'!AZ33)</f>
        <v/>
      </c>
      <c r="EB33" s="74" t="str">
        <f>IF('Marks Entry'!BA33="","",'Marks Entry'!BA33)</f>
        <v/>
      </c>
      <c r="EC33" s="527" t="str">
        <f t="shared" si="52"/>
        <v/>
      </c>
      <c r="ED33" s="74" t="str">
        <f>IF('Marks Entry'!BB33="","",'Marks Entry'!BB33)</f>
        <v/>
      </c>
      <c r="EE33" s="528" t="str">
        <f t="shared" si="53"/>
        <v/>
      </c>
      <c r="EF33" s="74" t="str">
        <f>IF('Marks Entry'!BC33="","",'Marks Entry'!BC33)</f>
        <v/>
      </c>
      <c r="EG33" s="530" t="str">
        <f t="shared" si="54"/>
        <v/>
      </c>
      <c r="EH33" s="368" t="str">
        <f t="shared" si="108"/>
        <v/>
      </c>
      <c r="EI33" s="65">
        <f t="shared" si="109"/>
        <v>0</v>
      </c>
      <c r="EJ33" s="65">
        <f t="shared" si="110"/>
        <v>0</v>
      </c>
      <c r="EK33" s="66" t="str">
        <f t="shared" si="111"/>
        <v/>
      </c>
      <c r="EL33" s="74" t="str">
        <f>IF('Marks Entry'!BD33="","",'Marks Entry'!BD33)</f>
        <v/>
      </c>
      <c r="EM33" s="74" t="str">
        <f>IF('Marks Entry'!BE33="","",'Marks Entry'!BE33)</f>
        <v/>
      </c>
      <c r="EN33" s="74" t="str">
        <f>IF('Marks Entry'!BF33="","",'Marks Entry'!BF33)</f>
        <v/>
      </c>
      <c r="EO33" s="527" t="str">
        <f t="shared" si="55"/>
        <v/>
      </c>
      <c r="EP33" s="74" t="str">
        <f>IF('Marks Entry'!BG33="","",'Marks Entry'!BG33)</f>
        <v/>
      </c>
      <c r="EQ33" s="74" t="str">
        <f>IF('Marks Entry'!BH33="","",'Marks Entry'!BH33)</f>
        <v/>
      </c>
      <c r="ER33" s="528" t="str">
        <f t="shared" si="56"/>
        <v/>
      </c>
      <c r="ES33" s="529" t="str">
        <f t="shared" si="57"/>
        <v/>
      </c>
      <c r="ET33" s="74" t="str">
        <f>IF('Marks Entry'!BI33="","",'Marks Entry'!BI33)</f>
        <v/>
      </c>
      <c r="EU33" s="74" t="str">
        <f>IF('Marks Entry'!BJ33="","",'Marks Entry'!BJ33)</f>
        <v/>
      </c>
      <c r="EV33" s="528" t="str">
        <f t="shared" si="58"/>
        <v/>
      </c>
      <c r="EW33" s="530" t="str">
        <f t="shared" si="59"/>
        <v/>
      </c>
      <c r="EX33" s="368" t="str">
        <f t="shared" si="112"/>
        <v/>
      </c>
      <c r="EY33" s="65">
        <f t="shared" si="113"/>
        <v>0</v>
      </c>
      <c r="EZ33" s="65">
        <f t="shared" si="114"/>
        <v>0</v>
      </c>
      <c r="FA33" s="66" t="str">
        <f t="shared" si="115"/>
        <v/>
      </c>
      <c r="FB33" s="74" t="str">
        <f>IF('Marks Entry'!BK33="","",'Marks Entry'!BK33)</f>
        <v/>
      </c>
      <c r="FC33" s="74" t="str">
        <f>IF('Marks Entry'!BL33="","",'Marks Entry'!BL33)</f>
        <v/>
      </c>
      <c r="FD33" s="74" t="str">
        <f>IF('Marks Entry'!BM33="","",'Marks Entry'!BM33)</f>
        <v/>
      </c>
      <c r="FE33" s="74" t="str">
        <f>IF('Marks Entry'!BN33="","",'Marks Entry'!BN33)</f>
        <v/>
      </c>
      <c r="FF33" s="74" t="str">
        <f>IF('Marks Entry'!BO33="","",'Marks Entry'!BO33)</f>
        <v/>
      </c>
      <c r="FG33" s="74" t="str">
        <f>IF('Marks Entry'!BP33="","",'Marks Entry'!BP33)</f>
        <v/>
      </c>
      <c r="FH33" s="527" t="str">
        <f t="shared" si="60"/>
        <v/>
      </c>
      <c r="FI33" s="74" t="str">
        <f>IF('Marks Entry'!BQ33="","",'Marks Entry'!BQ33)</f>
        <v/>
      </c>
      <c r="FJ33" s="74" t="str">
        <f>IF('Marks Entry'!BR33="","",'Marks Entry'!BR33)</f>
        <v/>
      </c>
      <c r="FK33" s="528" t="str">
        <f t="shared" si="61"/>
        <v/>
      </c>
      <c r="FL33" s="529" t="str">
        <f t="shared" si="62"/>
        <v/>
      </c>
      <c r="FM33" s="74" t="str">
        <f>IF('Marks Entry'!BS33="","",'Marks Entry'!BS33)</f>
        <v/>
      </c>
      <c r="FN33" s="74" t="str">
        <f>IF('Marks Entry'!BT33="","",'Marks Entry'!BT33)</f>
        <v/>
      </c>
      <c r="FO33" s="528" t="str">
        <f t="shared" si="63"/>
        <v/>
      </c>
      <c r="FP33" s="530" t="str">
        <f t="shared" si="64"/>
        <v/>
      </c>
      <c r="FQ33" s="368" t="str">
        <f t="shared" si="116"/>
        <v/>
      </c>
      <c r="FR33" s="65">
        <f t="shared" si="117"/>
        <v>0</v>
      </c>
      <c r="FS33" s="65">
        <f t="shared" si="118"/>
        <v>0</v>
      </c>
      <c r="FT33" s="66" t="str">
        <f t="shared" si="119"/>
        <v/>
      </c>
      <c r="FU33" s="74" t="str">
        <f>IF('Marks Entry'!BU33="","",'Marks Entry'!BU33)</f>
        <v/>
      </c>
      <c r="FV33" s="74" t="str">
        <f>IF('Marks Entry'!BV33="","",'Marks Entry'!BV33)</f>
        <v/>
      </c>
      <c r="FW33" s="74" t="str">
        <f>IF('Marks Entry'!BW33="","",'Marks Entry'!BW33)</f>
        <v/>
      </c>
      <c r="FX33" s="75" t="str">
        <f t="shared" si="65"/>
        <v/>
      </c>
      <c r="FY33" s="368" t="str">
        <f t="shared" si="120"/>
        <v/>
      </c>
      <c r="FZ33" s="65">
        <f t="shared" si="121"/>
        <v>0</v>
      </c>
      <c r="GA33" s="66">
        <f t="shared" si="122"/>
        <v>0</v>
      </c>
      <c r="GB33" s="66" t="str">
        <f t="shared" si="123"/>
        <v/>
      </c>
      <c r="GC33" s="74" t="str">
        <f>IF('Marks Entry'!BX33="","",'Marks Entry'!BX33)</f>
        <v/>
      </c>
      <c r="GD33" s="74" t="str">
        <f>IF('Marks Entry'!BY33="","",'Marks Entry'!BY33)</f>
        <v/>
      </c>
      <c r="GE33" s="74" t="str">
        <f>IF('Marks Entry'!BZ33="","",'Marks Entry'!BZ33)</f>
        <v/>
      </c>
      <c r="GF33" s="75" t="str">
        <f t="shared" si="124"/>
        <v/>
      </c>
      <c r="GG33" s="368" t="str">
        <f t="shared" si="125"/>
        <v/>
      </c>
      <c r="GH33" s="65">
        <f t="shared" si="126"/>
        <v>0</v>
      </c>
      <c r="GI33" s="66">
        <f t="shared" si="127"/>
        <v>0</v>
      </c>
      <c r="GJ33" s="66" t="str">
        <f t="shared" si="128"/>
        <v/>
      </c>
      <c r="GK33" s="100" t="str">
        <f>IF(AND(F33="",B33=""),"",IF('Student DATA Entry'!M30="","",'Student DATA Entry'!M30))</f>
        <v/>
      </c>
      <c r="GL33" s="101" t="str">
        <f>IF(AND(B33="",F33=""),"",IF('Student DATA Entry'!N30="","",'Student DATA Entry'!N30))</f>
        <v/>
      </c>
      <c r="GM33" s="581" t="str">
        <f t="shared" si="129"/>
        <v/>
      </c>
      <c r="GN33" s="94" t="str">
        <f t="shared" si="130"/>
        <v>II</v>
      </c>
      <c r="GO33" s="94" t="str">
        <f t="shared" si="131"/>
        <v/>
      </c>
      <c r="GP33" s="102" t="str">
        <f t="shared" si="67"/>
        <v/>
      </c>
      <c r="GQ33" s="94" t="str">
        <f t="shared" si="132"/>
        <v>D</v>
      </c>
      <c r="GR33" s="103" t="str">
        <f t="shared" si="133"/>
        <v/>
      </c>
      <c r="GS33" s="102" t="str">
        <f t="shared" si="68"/>
        <v/>
      </c>
      <c r="GT33" s="104" t="str">
        <f t="shared" si="134"/>
        <v>II</v>
      </c>
      <c r="GU33" s="94" t="str">
        <f>IF('Marks Entry'!V33=1,GT33,"")</f>
        <v/>
      </c>
      <c r="GV33" s="94" t="str">
        <f>IF('Marks Entry'!V33=2,GT33,"")</f>
        <v/>
      </c>
      <c r="GW33" s="94" t="str">
        <f>IF('Marks Entry'!V33=3,GT33,"")</f>
        <v/>
      </c>
      <c r="GX33" s="94" t="str">
        <f>IF('Marks Entry'!V33=4,GT33,"")</f>
        <v/>
      </c>
      <c r="GY33" s="94" t="str">
        <f>IF('Marks Entry'!V33=5,GT33,"")</f>
        <v>II</v>
      </c>
      <c r="GZ33" s="94" t="str">
        <f t="shared" si="135"/>
        <v/>
      </c>
      <c r="HA33" s="105" t="str">
        <f t="shared" si="69"/>
        <v/>
      </c>
      <c r="HB33" s="94" t="str">
        <f t="shared" si="136"/>
        <v>II</v>
      </c>
      <c r="HC33" s="94" t="str">
        <f t="shared" si="137"/>
        <v/>
      </c>
      <c r="HD33" s="105" t="str">
        <f t="shared" si="70"/>
        <v/>
      </c>
      <c r="HE33" s="94" t="str">
        <f t="shared" si="138"/>
        <v>II</v>
      </c>
      <c r="HF33" s="94" t="str">
        <f t="shared" si="139"/>
        <v/>
      </c>
      <c r="HG33" s="105" t="str">
        <f t="shared" si="71"/>
        <v/>
      </c>
      <c r="HH33" s="94" t="str">
        <f t="shared" si="140"/>
        <v>II</v>
      </c>
      <c r="HI33" s="94" t="str">
        <f t="shared" si="141"/>
        <v/>
      </c>
      <c r="HJ33" s="105" t="str">
        <f t="shared" si="72"/>
        <v/>
      </c>
      <c r="HK33" s="94" t="str">
        <f t="shared" si="142"/>
        <v/>
      </c>
      <c r="HL33" s="94" t="str">
        <f t="shared" si="143"/>
        <v/>
      </c>
      <c r="HM33" s="105" t="str">
        <f t="shared" si="73"/>
        <v/>
      </c>
      <c r="HN33" s="367" t="str">
        <f t="shared" si="144"/>
        <v xml:space="preserve">      </v>
      </c>
      <c r="HO33" s="418" t="str">
        <f t="shared" si="145"/>
        <v xml:space="preserve">      </v>
      </c>
      <c r="HP33" s="367" t="str">
        <f t="shared" si="146"/>
        <v xml:space="preserve">      </v>
      </c>
      <c r="HQ33" s="107" t="str">
        <f t="shared" si="147"/>
        <v xml:space="preserve">      </v>
      </c>
      <c r="HR33" s="366" t="str">
        <f t="shared" si="148"/>
        <v xml:space="preserve"> अंग्रेजी     </v>
      </c>
      <c r="HS33" s="544" t="str">
        <f t="shared" si="74"/>
        <v>PASS</v>
      </c>
      <c r="HT33" s="542">
        <f t="shared" si="149"/>
        <v>739</v>
      </c>
      <c r="HU33" s="541">
        <f t="shared" si="160"/>
        <v>61.583333333333336</v>
      </c>
      <c r="HV33" s="540" t="str">
        <f t="shared" si="150"/>
        <v>1st</v>
      </c>
      <c r="HW33" s="537">
        <f t="shared" si="151"/>
        <v>61.583333333333336</v>
      </c>
      <c r="HX33" s="539">
        <f t="shared" si="152"/>
        <v>9.0000000000000799</v>
      </c>
      <c r="HY33" s="553" t="str">
        <f>IFERROR(IF(OR(HS33="SUPPLEMENTARY",HS33="RE-EXAM"),'Supp. Result Entry'!AQ31,""),"")</f>
        <v/>
      </c>
      <c r="HZ33" s="538" t="str">
        <f t="shared" si="153"/>
        <v/>
      </c>
      <c r="IA33" s="415" t="str">
        <f t="shared" si="154"/>
        <v/>
      </c>
      <c r="IB33" s="415" t="str">
        <f>IF(AND(HZ33="",IA33=""),"",IF(OR(HS33="SUPPLEMENTARY",HS33="RE-EXAM"),'Supp. Result Entry'!AQ31,HS33))</f>
        <v/>
      </c>
      <c r="IC33" s="87"/>
      <c r="IS33" s="109" t="str">
        <f>IF('Supp. Result Entry'!T31="","",'Supp. Result Entry'!$T$4)</f>
        <v/>
      </c>
      <c r="IT33" s="110" t="str">
        <f>IF('Supp. Result Entry'!W31="","",'Supp. Result Entry'!$W$4)</f>
        <v/>
      </c>
      <c r="IU33" s="110" t="str">
        <f>IF('Supp. Result Entry'!Z31="","",'Supp. Result Entry'!$Z$4)</f>
        <v/>
      </c>
      <c r="IV33" s="110" t="str">
        <f>IF('Supp. Result Entry'!AC31="","",'Supp. Result Entry'!$AC$4)</f>
        <v/>
      </c>
      <c r="IW33" s="110" t="str">
        <f>IF('Supp. Result Entry'!AF31="","",'Supp. Result Entry'!$AF$4)</f>
        <v/>
      </c>
      <c r="IX33" s="110" t="str">
        <f>IF('Supp. Result Entry'!AI31="","",'Supp. Result Entry'!$AI$4)</f>
        <v/>
      </c>
      <c r="IY33" s="110" t="str">
        <f>IF('Supp. Result Entry'!AI31="","",'Supp. Result Entry'!$AL$4)</f>
        <v/>
      </c>
      <c r="IZ33" s="110" t="str">
        <f>IF('Supp. Result Entry'!U31="","",'Supp. Result Entry'!U31)</f>
        <v/>
      </c>
      <c r="JA33" s="110" t="str">
        <f>IF('Supp. Result Entry'!X31="","",'Supp. Result Entry'!X31)</f>
        <v/>
      </c>
      <c r="JB33" s="110" t="str">
        <f>IF('Supp. Result Entry'!AA31="","",'Supp. Result Entry'!AA31)</f>
        <v/>
      </c>
      <c r="JC33" s="110" t="str">
        <f>IF('Supp. Result Entry'!AD31="","",'Supp. Result Entry'!AD31)</f>
        <v/>
      </c>
      <c r="JD33" s="110" t="str">
        <f>IF('Supp. Result Entry'!AG31="","",'Supp. Result Entry'!AG31)</f>
        <v/>
      </c>
      <c r="JE33" s="110" t="str">
        <f>IF('Supp. Result Entry'!AJ31="","",'Supp. Result Entry'!AJ31)</f>
        <v/>
      </c>
      <c r="JF33" s="110" t="str">
        <f>IF('Supp. Result Entry'!AM31="","",'Supp. Result Entry'!AM31)</f>
        <v/>
      </c>
      <c r="JG33" s="110" t="str">
        <f>IF('Supp. Result Entry'!V31="","",'Supp. Result Entry'!V31)</f>
        <v/>
      </c>
      <c r="JH33" s="110" t="str">
        <f>IF('Supp. Result Entry'!Y31="","",'Supp. Result Entry'!Y31)</f>
        <v/>
      </c>
      <c r="JI33" s="110" t="str">
        <f>IF('Supp. Result Entry'!AB31="","",'Supp. Result Entry'!AB31)</f>
        <v/>
      </c>
      <c r="JJ33" s="110" t="str">
        <f>IF('Supp. Result Entry'!AE31="","",'Supp. Result Entry'!AE31)</f>
        <v/>
      </c>
      <c r="JK33" s="110" t="str">
        <f>IF('Supp. Result Entry'!AH31="","",'Supp. Result Entry'!AH31)</f>
        <v/>
      </c>
      <c r="JL33" s="110" t="str">
        <f>IF('Supp. Result Entry'!AK31="","",'Supp. Result Entry'!AK31)</f>
        <v/>
      </c>
      <c r="JM33" s="110" t="str">
        <f>IF('Supp. Result Entry'!AN31="","",'Supp. Result Entry'!AN31)</f>
        <v/>
      </c>
      <c r="JN33" s="110">
        <f>COUNTIF('Supp. Result Entry'!K31:Q31,"S")</f>
        <v>0</v>
      </c>
      <c r="JO33" s="110">
        <f t="shared" si="155"/>
        <v>0</v>
      </c>
      <c r="JP33" s="110">
        <f t="shared" si="156"/>
        <v>0</v>
      </c>
      <c r="JQ33" s="110" t="str">
        <f t="shared" si="75"/>
        <v/>
      </c>
      <c r="JR33" s="110" t="str">
        <f t="shared" si="76"/>
        <v/>
      </c>
      <c r="JS33" s="110" t="str">
        <f t="shared" si="77"/>
        <v/>
      </c>
      <c r="JT33" s="110" t="str">
        <f t="shared" si="78"/>
        <v/>
      </c>
      <c r="JU33" s="110" t="str">
        <f t="shared" si="79"/>
        <v/>
      </c>
      <c r="JV33" s="110" t="str">
        <f t="shared" si="80"/>
        <v/>
      </c>
      <c r="JW33" s="110" t="str">
        <f t="shared" si="81"/>
        <v/>
      </c>
      <c r="JX33" s="110" t="str">
        <f t="shared" si="157"/>
        <v/>
      </c>
      <c r="JY33" s="110" t="str">
        <f t="shared" si="158"/>
        <v/>
      </c>
      <c r="JZ33" s="110" t="str">
        <f t="shared" si="82"/>
        <v/>
      </c>
      <c r="KA33" s="108" t="str">
        <f t="shared" si="159"/>
        <v/>
      </c>
    </row>
    <row r="34" spans="1:287" s="108" customFormat="1" ht="21.95" customHeight="1">
      <c r="A34" s="89">
        <v>28</v>
      </c>
      <c r="B34" s="90">
        <f>IF('Marks Entry'!B34="","",'Marks Entry'!B34)</f>
        <v>928</v>
      </c>
      <c r="C34" s="94" t="str">
        <f>IF('Marks Entry'!D34="","",'Marks Entry'!D34)</f>
        <v>A</v>
      </c>
      <c r="D34" s="91" t="str">
        <f>IF('Marks Entry'!E34="","",'Marks Entry'!E34)</f>
        <v/>
      </c>
      <c r="E34" s="92" t="str">
        <f>IF('Marks Entry'!F34="","",'Marks Entry'!F34)</f>
        <v/>
      </c>
      <c r="F34" s="93" t="str">
        <f>IF('Marks Entry'!G34="","",'Marks Entry'!G34)</f>
        <v>DIMPLE</v>
      </c>
      <c r="G34" s="93" t="str">
        <f>IF('Marks Entry'!H34="","",'Marks Entry'!H34)</f>
        <v/>
      </c>
      <c r="H34" s="93" t="str">
        <f>IF('Marks Entry'!I34="","",'Marks Entry'!I34)</f>
        <v/>
      </c>
      <c r="I34" s="94" t="str">
        <f>IF('Marks Entry'!J34="","",'Marks Entry'!J34)</f>
        <v/>
      </c>
      <c r="J34" s="95" t="str">
        <f>IF('Marks Entry'!K34="","",'Marks Entry'!K34)</f>
        <v/>
      </c>
      <c r="K34" s="68">
        <f>IF('Marks Entry'!L34="","",'Marks Entry'!L34)</f>
        <v>8</v>
      </c>
      <c r="L34" s="68">
        <f>IF('Marks Entry'!M34="","",'Marks Entry'!M34)</f>
        <v>9</v>
      </c>
      <c r="M34" s="68">
        <f>IF('Marks Entry'!N34="","",'Marks Entry'!N34)</f>
        <v>8</v>
      </c>
      <c r="N34" s="514">
        <f t="shared" si="83"/>
        <v>25</v>
      </c>
      <c r="O34" s="68">
        <f>IF('Marks Entry'!O34="","",'Marks Entry'!O34)</f>
        <v>46</v>
      </c>
      <c r="P34" s="515">
        <f t="shared" si="84"/>
        <v>71</v>
      </c>
      <c r="Q34" s="68">
        <f>IF('Marks Entry'!P34="","",'Marks Entry'!P34)</f>
        <v>45</v>
      </c>
      <c r="R34" s="96">
        <f t="shared" si="85"/>
        <v>116</v>
      </c>
      <c r="S34" s="65">
        <f t="shared" si="86"/>
        <v>0</v>
      </c>
      <c r="T34" s="65">
        <f t="shared" si="87"/>
        <v>0</v>
      </c>
      <c r="U34" s="66">
        <f t="shared" si="88"/>
        <v>200</v>
      </c>
      <c r="V34" s="65" t="str">
        <f t="shared" si="89"/>
        <v/>
      </c>
      <c r="W34" s="65" t="str">
        <f t="shared" si="90"/>
        <v>P</v>
      </c>
      <c r="X34" s="65" t="str">
        <f t="shared" si="91"/>
        <v>II</v>
      </c>
      <c r="Y34" s="68">
        <f>IF('Marks Entry'!Q34="","",'Marks Entry'!Q34)</f>
        <v>8</v>
      </c>
      <c r="Z34" s="68">
        <f>IF('Marks Entry'!R34="","",'Marks Entry'!R34)</f>
        <v>9</v>
      </c>
      <c r="AA34" s="68">
        <f>IF('Marks Entry'!S34="","",'Marks Entry'!S34)</f>
        <v>7</v>
      </c>
      <c r="AB34" s="514">
        <f t="shared" si="2"/>
        <v>24</v>
      </c>
      <c r="AC34" s="68">
        <f>IF('Marks Entry'!T34="","",'Marks Entry'!T34)</f>
        <v>60</v>
      </c>
      <c r="AD34" s="515">
        <f t="shared" si="3"/>
        <v>84</v>
      </c>
      <c r="AE34" s="68">
        <f>IF('Marks Entry'!U34="","",'Marks Entry'!U34)</f>
        <v>85</v>
      </c>
      <c r="AF34" s="96">
        <f t="shared" si="4"/>
        <v>169</v>
      </c>
      <c r="AG34" s="65">
        <f t="shared" si="5"/>
        <v>0</v>
      </c>
      <c r="AH34" s="65">
        <f t="shared" si="6"/>
        <v>0</v>
      </c>
      <c r="AI34" s="66">
        <f t="shared" si="7"/>
        <v>200</v>
      </c>
      <c r="AJ34" s="65" t="str">
        <f t="shared" si="8"/>
        <v/>
      </c>
      <c r="AK34" s="65" t="str">
        <f t="shared" si="9"/>
        <v>P</v>
      </c>
      <c r="AL34" s="65" t="str">
        <f t="shared" si="10"/>
        <v>D</v>
      </c>
      <c r="AM34" s="524" t="str">
        <f>IF('Marks Entry'!V34="","",IF('Marks Entry'!V34=1,'School Profile'!$I$9,IF('Marks Entry'!V34=2,'School Profile'!$I$10,IF('Marks Entry'!V34=3,'School Profile'!$I$11,IF('Marks Entry'!V34=4,'School Profile'!$I$12,IF('Marks Entry'!V34=5,'School Profile'!$I$13,IF('Marks Entry'!V34=6,'School Profile'!$I$14,"")))))))</f>
        <v>संस्कृत (71)</v>
      </c>
      <c r="AN34" s="68">
        <f>IF('Marks Entry'!W34="","",'Marks Entry'!W34)</f>
        <v>8</v>
      </c>
      <c r="AO34" s="68">
        <f>IF('Marks Entry'!X34="","",'Marks Entry'!X34)</f>
        <v>9</v>
      </c>
      <c r="AP34" s="68" t="str">
        <f>IF('Marks Entry'!Y34="","",'Marks Entry'!Y34)</f>
        <v/>
      </c>
      <c r="AQ34" s="514">
        <f t="shared" si="11"/>
        <v>17</v>
      </c>
      <c r="AR34" s="68">
        <f>IF('Marks Entry'!Z34="","",'Marks Entry'!Z34)</f>
        <v>46</v>
      </c>
      <c r="AS34" s="515">
        <f t="shared" si="12"/>
        <v>63</v>
      </c>
      <c r="AT34" s="68">
        <f>IF('Marks Entry'!AA34="","",'Marks Entry'!AA34)</f>
        <v>45</v>
      </c>
      <c r="AU34" s="96">
        <f t="shared" si="13"/>
        <v>108</v>
      </c>
      <c r="AV34" s="65">
        <f t="shared" si="14"/>
        <v>0</v>
      </c>
      <c r="AW34" s="65">
        <f t="shared" si="15"/>
        <v>0</v>
      </c>
      <c r="AX34" s="66">
        <f t="shared" si="16"/>
        <v>200</v>
      </c>
      <c r="AY34" s="65" t="str">
        <f t="shared" si="17"/>
        <v/>
      </c>
      <c r="AZ34" s="65" t="str">
        <f t="shared" si="18"/>
        <v>P</v>
      </c>
      <c r="BA34" s="65" t="str">
        <f t="shared" si="19"/>
        <v>II</v>
      </c>
      <c r="BB34" s="68">
        <f>IF('Marks Entry'!AB34="","",'Marks Entry'!AB34)</f>
        <v>8</v>
      </c>
      <c r="BC34" s="68">
        <f>IF('Marks Entry'!AC34="","",'Marks Entry'!AC34)</f>
        <v>9</v>
      </c>
      <c r="BD34" s="68">
        <f>IF('Marks Entry'!AD34="","",'Marks Entry'!AD34)</f>
        <v>7</v>
      </c>
      <c r="BE34" s="514">
        <f t="shared" si="20"/>
        <v>24</v>
      </c>
      <c r="BF34" s="68">
        <f>IF('Marks Entry'!AE34="","",'Marks Entry'!AE34)</f>
        <v>46</v>
      </c>
      <c r="BG34" s="515">
        <f t="shared" si="21"/>
        <v>70</v>
      </c>
      <c r="BH34" s="68">
        <f>IF('Marks Entry'!AF34="","",'Marks Entry'!AF34)</f>
        <v>45</v>
      </c>
      <c r="BI34" s="96">
        <f t="shared" si="22"/>
        <v>115</v>
      </c>
      <c r="BJ34" s="65">
        <f t="shared" si="23"/>
        <v>0</v>
      </c>
      <c r="BK34" s="65">
        <f t="shared" si="92"/>
        <v>0</v>
      </c>
      <c r="BL34" s="66">
        <f t="shared" si="24"/>
        <v>200</v>
      </c>
      <c r="BM34" s="65" t="str">
        <f t="shared" si="25"/>
        <v/>
      </c>
      <c r="BN34" s="65" t="str">
        <f t="shared" si="26"/>
        <v>P</v>
      </c>
      <c r="BO34" s="65" t="str">
        <f t="shared" si="27"/>
        <v>II</v>
      </c>
      <c r="BP34" s="68">
        <f>IF('Marks Entry'!AG34="","",'Marks Entry'!AG34)</f>
        <v>8</v>
      </c>
      <c r="BQ34" s="68">
        <f>IF('Marks Entry'!AH34="","",'Marks Entry'!AH34)</f>
        <v>9</v>
      </c>
      <c r="BR34" s="68">
        <f>IF('Marks Entry'!AI34="","",'Marks Entry'!AI34)</f>
        <v>7</v>
      </c>
      <c r="BS34" s="514">
        <f t="shared" si="28"/>
        <v>24</v>
      </c>
      <c r="BT34" s="68">
        <f>IF('Marks Entry'!AJ34="","",'Marks Entry'!AJ34)</f>
        <v>46</v>
      </c>
      <c r="BU34" s="515">
        <f t="shared" si="29"/>
        <v>70</v>
      </c>
      <c r="BV34" s="68">
        <f>IF('Marks Entry'!AK34="","",'Marks Entry'!AK34)</f>
        <v>45</v>
      </c>
      <c r="BW34" s="96">
        <f t="shared" si="30"/>
        <v>115</v>
      </c>
      <c r="BX34" s="65">
        <f t="shared" si="31"/>
        <v>0</v>
      </c>
      <c r="BY34" s="65">
        <f t="shared" si="32"/>
        <v>0</v>
      </c>
      <c r="BZ34" s="66">
        <f t="shared" si="33"/>
        <v>200</v>
      </c>
      <c r="CA34" s="65" t="str">
        <f t="shared" si="34"/>
        <v/>
      </c>
      <c r="CB34" s="65" t="str">
        <f t="shared" si="35"/>
        <v>P</v>
      </c>
      <c r="CC34" s="65" t="str">
        <f t="shared" si="36"/>
        <v>II</v>
      </c>
      <c r="CD34" s="66">
        <f t="shared" si="93"/>
        <v>0</v>
      </c>
      <c r="CE34" s="68">
        <f>IF('Marks Entry'!AL34="","",'Marks Entry'!AL34)</f>
        <v>8</v>
      </c>
      <c r="CF34" s="68">
        <f>IF('Marks Entry'!AM34="","",'Marks Entry'!AM34)</f>
        <v>8</v>
      </c>
      <c r="CG34" s="68">
        <f>IF('Marks Entry'!AN34="","",'Marks Entry'!AN34)</f>
        <v>8</v>
      </c>
      <c r="CH34" s="514">
        <f t="shared" si="37"/>
        <v>24</v>
      </c>
      <c r="CI34" s="68">
        <f>IF('Marks Entry'!AO34="","",'Marks Entry'!AO34)</f>
        <v>46</v>
      </c>
      <c r="CJ34" s="515">
        <f t="shared" si="38"/>
        <v>70</v>
      </c>
      <c r="CK34" s="68">
        <f>IF('Marks Entry'!AP34="","",'Marks Entry'!AP34)</f>
        <v>45</v>
      </c>
      <c r="CL34" s="96">
        <f t="shared" si="39"/>
        <v>115</v>
      </c>
      <c r="CM34" s="65">
        <f t="shared" si="40"/>
        <v>0</v>
      </c>
      <c r="CN34" s="65">
        <f t="shared" si="41"/>
        <v>0</v>
      </c>
      <c r="CO34" s="66">
        <f t="shared" si="42"/>
        <v>200</v>
      </c>
      <c r="CP34" s="65" t="str">
        <f t="shared" si="43"/>
        <v/>
      </c>
      <c r="CQ34" s="65" t="str">
        <f t="shared" si="44"/>
        <v>P</v>
      </c>
      <c r="CR34" s="65" t="str">
        <f t="shared" si="45"/>
        <v>II</v>
      </c>
      <c r="CS34" s="616" t="str">
        <f>IF('School Profile'!$D$20="NO","",IF('Marks Entry'!AQ34="","",IF('Marks Entry'!AQ34=1,'School Profile'!$I$29,IF('Marks Entry'!AQ34=2,'School Profile'!$I$30,IF('Marks Entry'!AQ34=3,'School Profile'!$I$31,IF('Marks Entry'!AQ34=4,'School Profile'!$I$32,IF('Marks Entry'!AQ34=5,'School Profile'!$I$33,IF('Marks Entry'!AQ34=6,'School Profile'!$I$34,IF('Marks Entry'!AQ34=7,'School Profile'!$I$35,IF('Marks Entry'!AQ34=8,'School Profile'!$I$36,IF('Marks Entry'!AQ34=9,'School Profile'!$I$37,IF('Marks Entry'!AQ34=10,'School Profile'!$I$38,IF('Marks Entry'!AQ34=11,'School Profile'!$I$39,"")))))))))))))</f>
        <v/>
      </c>
      <c r="CT34" s="68" t="str">
        <f>IF('School Profile'!$D$20="NO","",IF('Marks Entry'!AR34="","",'Marks Entry'!AR34))</f>
        <v/>
      </c>
      <c r="CU34" s="68" t="str">
        <f>IF('School Profile'!$D$20="NO","",IF('Marks Entry'!AS34="","",'Marks Entry'!AS34))</f>
        <v/>
      </c>
      <c r="CV34" s="68" t="str">
        <f>IF('School Profile'!$D$20="NO","",IF('Marks Entry'!AT34="","",'Marks Entry'!AT34))</f>
        <v/>
      </c>
      <c r="CW34" s="514" t="str">
        <f>IF('School Profile'!$D$20="NO","",IF(AND(CT34="",CU34="",CV34=""),"",SUM(CT34:CV34)))</f>
        <v/>
      </c>
      <c r="CX34" s="68" t="str">
        <f>IF('School Profile'!$D$20="NO","",IF('Marks Entry'!AU34="","",'Marks Entry'!AU34))</f>
        <v/>
      </c>
      <c r="CY34" s="68" t="str">
        <f>IF('School Profile'!$D$20="NO","",IF('Marks Entry'!AV34="","",'Marks Entry'!AV34))</f>
        <v/>
      </c>
      <c r="CZ34" s="515" t="str">
        <f>IF('School Profile'!$D$20="NO","",IF(AND(CX34="",CY34=""),"",SUM(CX34,CY34)))</f>
        <v/>
      </c>
      <c r="DA34" s="69" t="str">
        <f>IF('School Profile'!$D$20="NO","",IF(AND(CW34="",CZ34=""),"",SUM(CW34+CZ34)))</f>
        <v/>
      </c>
      <c r="DB34" s="68" t="str">
        <f>IF('School Profile'!$D$20="NO","",IF('Marks Entry'!AW34="","",'Marks Entry'!AW34))</f>
        <v/>
      </c>
      <c r="DC34" s="68" t="str">
        <f>IF('School Profile'!$D$20="NO","",IF('Marks Entry'!AX34="","",'Marks Entry'!AX34))</f>
        <v/>
      </c>
      <c r="DD34" s="515" t="str">
        <f>IF('School Profile'!$D$20="NO","",IF(AND(DB34="",DC34=""),"",SUM(DB34,DC34)))</f>
        <v/>
      </c>
      <c r="DE34" s="96" t="str">
        <f>IF('School Profile'!$D$20="NO","",IF(AND(DA34="",DD34=""),"",SUM(DA34,DD34)))</f>
        <v/>
      </c>
      <c r="DF34" s="532">
        <f t="shared" si="46"/>
        <v>0</v>
      </c>
      <c r="DG34" s="65">
        <f t="shared" si="47"/>
        <v>0</v>
      </c>
      <c r="DH34" s="66" t="str">
        <f t="shared" si="48"/>
        <v/>
      </c>
      <c r="DI34" s="65" t="str">
        <f t="shared" si="49"/>
        <v/>
      </c>
      <c r="DJ34" s="65" t="str">
        <f t="shared" si="50"/>
        <v/>
      </c>
      <c r="DK34" s="65" t="str">
        <f t="shared" si="51"/>
        <v/>
      </c>
      <c r="DL34" s="97" t="str">
        <f t="shared" si="94"/>
        <v>II</v>
      </c>
      <c r="DM34" s="97" t="str">
        <f t="shared" si="95"/>
        <v>D</v>
      </c>
      <c r="DN34" s="97" t="str">
        <f t="shared" si="96"/>
        <v>II</v>
      </c>
      <c r="DO34" s="97" t="str">
        <f t="shared" si="97"/>
        <v>II</v>
      </c>
      <c r="DP34" s="97" t="str">
        <f t="shared" si="98"/>
        <v>II</v>
      </c>
      <c r="DQ34" s="97" t="str">
        <f t="shared" si="99"/>
        <v>II</v>
      </c>
      <c r="DR34" s="97" t="str">
        <f t="shared" si="100"/>
        <v/>
      </c>
      <c r="DS34" s="98">
        <f t="shared" si="101"/>
        <v>0</v>
      </c>
      <c r="DT34" s="98">
        <f t="shared" si="102"/>
        <v>0</v>
      </c>
      <c r="DU34" s="98">
        <f t="shared" si="103"/>
        <v>0</v>
      </c>
      <c r="DV34" s="98">
        <f t="shared" si="104"/>
        <v>0</v>
      </c>
      <c r="DW34" s="98">
        <f t="shared" si="105"/>
        <v>0</v>
      </c>
      <c r="DX34" s="98" t="str">
        <f t="shared" si="106"/>
        <v/>
      </c>
      <c r="DY34" s="99" t="str">
        <f t="shared" si="107"/>
        <v>PASS</v>
      </c>
      <c r="DZ34" s="74" t="str">
        <f>IF('Marks Entry'!AY34="","",'Marks Entry'!AY34)</f>
        <v/>
      </c>
      <c r="EA34" s="74" t="str">
        <f>IF('Marks Entry'!AZ34="","",'Marks Entry'!AZ34)</f>
        <v/>
      </c>
      <c r="EB34" s="74" t="str">
        <f>IF('Marks Entry'!BA34="","",'Marks Entry'!BA34)</f>
        <v/>
      </c>
      <c r="EC34" s="527" t="str">
        <f t="shared" si="52"/>
        <v/>
      </c>
      <c r="ED34" s="74" t="str">
        <f>IF('Marks Entry'!BB34="","",'Marks Entry'!BB34)</f>
        <v/>
      </c>
      <c r="EE34" s="528" t="str">
        <f t="shared" si="53"/>
        <v/>
      </c>
      <c r="EF34" s="74" t="str">
        <f>IF('Marks Entry'!BC34="","",'Marks Entry'!BC34)</f>
        <v/>
      </c>
      <c r="EG34" s="530" t="str">
        <f t="shared" si="54"/>
        <v/>
      </c>
      <c r="EH34" s="368" t="str">
        <f t="shared" si="108"/>
        <v/>
      </c>
      <c r="EI34" s="65">
        <f t="shared" si="109"/>
        <v>0</v>
      </c>
      <c r="EJ34" s="65">
        <f t="shared" si="110"/>
        <v>0</v>
      </c>
      <c r="EK34" s="66" t="str">
        <f t="shared" si="111"/>
        <v/>
      </c>
      <c r="EL34" s="74" t="str">
        <f>IF('Marks Entry'!BD34="","",'Marks Entry'!BD34)</f>
        <v/>
      </c>
      <c r="EM34" s="74" t="str">
        <f>IF('Marks Entry'!BE34="","",'Marks Entry'!BE34)</f>
        <v/>
      </c>
      <c r="EN34" s="74" t="str">
        <f>IF('Marks Entry'!BF34="","",'Marks Entry'!BF34)</f>
        <v/>
      </c>
      <c r="EO34" s="527" t="str">
        <f t="shared" si="55"/>
        <v/>
      </c>
      <c r="EP34" s="74" t="str">
        <f>IF('Marks Entry'!BG34="","",'Marks Entry'!BG34)</f>
        <v/>
      </c>
      <c r="EQ34" s="74" t="str">
        <f>IF('Marks Entry'!BH34="","",'Marks Entry'!BH34)</f>
        <v/>
      </c>
      <c r="ER34" s="528" t="str">
        <f t="shared" si="56"/>
        <v/>
      </c>
      <c r="ES34" s="529" t="str">
        <f t="shared" si="57"/>
        <v/>
      </c>
      <c r="ET34" s="74" t="str">
        <f>IF('Marks Entry'!BI34="","",'Marks Entry'!BI34)</f>
        <v/>
      </c>
      <c r="EU34" s="74" t="str">
        <f>IF('Marks Entry'!BJ34="","",'Marks Entry'!BJ34)</f>
        <v/>
      </c>
      <c r="EV34" s="528" t="str">
        <f t="shared" si="58"/>
        <v/>
      </c>
      <c r="EW34" s="530" t="str">
        <f t="shared" si="59"/>
        <v/>
      </c>
      <c r="EX34" s="368" t="str">
        <f t="shared" si="112"/>
        <v/>
      </c>
      <c r="EY34" s="65">
        <f t="shared" si="113"/>
        <v>0</v>
      </c>
      <c r="EZ34" s="65">
        <f t="shared" si="114"/>
        <v>0</v>
      </c>
      <c r="FA34" s="66" t="str">
        <f t="shared" si="115"/>
        <v/>
      </c>
      <c r="FB34" s="74" t="str">
        <f>IF('Marks Entry'!BK34="","",'Marks Entry'!BK34)</f>
        <v/>
      </c>
      <c r="FC34" s="74" t="str">
        <f>IF('Marks Entry'!BL34="","",'Marks Entry'!BL34)</f>
        <v/>
      </c>
      <c r="FD34" s="74" t="str">
        <f>IF('Marks Entry'!BM34="","",'Marks Entry'!BM34)</f>
        <v/>
      </c>
      <c r="FE34" s="74" t="str">
        <f>IF('Marks Entry'!BN34="","",'Marks Entry'!BN34)</f>
        <v/>
      </c>
      <c r="FF34" s="74" t="str">
        <f>IF('Marks Entry'!BO34="","",'Marks Entry'!BO34)</f>
        <v/>
      </c>
      <c r="FG34" s="74" t="str">
        <f>IF('Marks Entry'!BP34="","",'Marks Entry'!BP34)</f>
        <v/>
      </c>
      <c r="FH34" s="527" t="str">
        <f t="shared" si="60"/>
        <v/>
      </c>
      <c r="FI34" s="74" t="str">
        <f>IF('Marks Entry'!BQ34="","",'Marks Entry'!BQ34)</f>
        <v/>
      </c>
      <c r="FJ34" s="74" t="str">
        <f>IF('Marks Entry'!BR34="","",'Marks Entry'!BR34)</f>
        <v/>
      </c>
      <c r="FK34" s="528" t="str">
        <f t="shared" si="61"/>
        <v/>
      </c>
      <c r="FL34" s="529" t="str">
        <f t="shared" si="62"/>
        <v/>
      </c>
      <c r="FM34" s="74" t="str">
        <f>IF('Marks Entry'!BS34="","",'Marks Entry'!BS34)</f>
        <v/>
      </c>
      <c r="FN34" s="74" t="str">
        <f>IF('Marks Entry'!BT34="","",'Marks Entry'!BT34)</f>
        <v/>
      </c>
      <c r="FO34" s="528" t="str">
        <f t="shared" si="63"/>
        <v/>
      </c>
      <c r="FP34" s="530" t="str">
        <f t="shared" si="64"/>
        <v/>
      </c>
      <c r="FQ34" s="368" t="str">
        <f t="shared" si="116"/>
        <v/>
      </c>
      <c r="FR34" s="65">
        <f t="shared" si="117"/>
        <v>0</v>
      </c>
      <c r="FS34" s="65">
        <f t="shared" si="118"/>
        <v>0</v>
      </c>
      <c r="FT34" s="66" t="str">
        <f t="shared" si="119"/>
        <v/>
      </c>
      <c r="FU34" s="74" t="str">
        <f>IF('Marks Entry'!BU34="","",'Marks Entry'!BU34)</f>
        <v/>
      </c>
      <c r="FV34" s="74" t="str">
        <f>IF('Marks Entry'!BV34="","",'Marks Entry'!BV34)</f>
        <v/>
      </c>
      <c r="FW34" s="74" t="str">
        <f>IF('Marks Entry'!BW34="","",'Marks Entry'!BW34)</f>
        <v/>
      </c>
      <c r="FX34" s="75" t="str">
        <f t="shared" si="65"/>
        <v/>
      </c>
      <c r="FY34" s="368" t="str">
        <f t="shared" si="120"/>
        <v/>
      </c>
      <c r="FZ34" s="65">
        <f t="shared" si="121"/>
        <v>0</v>
      </c>
      <c r="GA34" s="66">
        <f t="shared" si="122"/>
        <v>0</v>
      </c>
      <c r="GB34" s="66" t="str">
        <f t="shared" si="123"/>
        <v/>
      </c>
      <c r="GC34" s="74" t="str">
        <f>IF('Marks Entry'!BX34="","",'Marks Entry'!BX34)</f>
        <v/>
      </c>
      <c r="GD34" s="74" t="str">
        <f>IF('Marks Entry'!BY34="","",'Marks Entry'!BY34)</f>
        <v/>
      </c>
      <c r="GE34" s="74" t="str">
        <f>IF('Marks Entry'!BZ34="","",'Marks Entry'!BZ34)</f>
        <v/>
      </c>
      <c r="GF34" s="75" t="str">
        <f t="shared" si="124"/>
        <v/>
      </c>
      <c r="GG34" s="368" t="str">
        <f t="shared" si="125"/>
        <v/>
      </c>
      <c r="GH34" s="65">
        <f t="shared" si="126"/>
        <v>0</v>
      </c>
      <c r="GI34" s="66">
        <f t="shared" si="127"/>
        <v>0</v>
      </c>
      <c r="GJ34" s="66" t="str">
        <f t="shared" si="128"/>
        <v/>
      </c>
      <c r="GK34" s="100" t="str">
        <f>IF(AND(F34="",B34=""),"",IF('Student DATA Entry'!M31="","",'Student DATA Entry'!M31))</f>
        <v/>
      </c>
      <c r="GL34" s="101" t="str">
        <f>IF(AND(B34="",F34=""),"",IF('Student DATA Entry'!N31="","",'Student DATA Entry'!N31))</f>
        <v/>
      </c>
      <c r="GM34" s="581" t="str">
        <f t="shared" si="129"/>
        <v/>
      </c>
      <c r="GN34" s="94" t="str">
        <f t="shared" si="130"/>
        <v>II</v>
      </c>
      <c r="GO34" s="94" t="str">
        <f t="shared" si="131"/>
        <v/>
      </c>
      <c r="GP34" s="102" t="str">
        <f t="shared" si="67"/>
        <v/>
      </c>
      <c r="GQ34" s="94" t="str">
        <f t="shared" si="132"/>
        <v>D</v>
      </c>
      <c r="GR34" s="103" t="str">
        <f t="shared" si="133"/>
        <v/>
      </c>
      <c r="GS34" s="102" t="str">
        <f t="shared" si="68"/>
        <v/>
      </c>
      <c r="GT34" s="104" t="str">
        <f t="shared" si="134"/>
        <v>II</v>
      </c>
      <c r="GU34" s="94" t="str">
        <f>IF('Marks Entry'!V34=1,GT34,"")</f>
        <v>II</v>
      </c>
      <c r="GV34" s="94" t="str">
        <f>IF('Marks Entry'!V34=2,GT34,"")</f>
        <v/>
      </c>
      <c r="GW34" s="94" t="str">
        <f>IF('Marks Entry'!V34=3,GT34,"")</f>
        <v/>
      </c>
      <c r="GX34" s="94" t="str">
        <f>IF('Marks Entry'!V34=4,GT34,"")</f>
        <v/>
      </c>
      <c r="GY34" s="94" t="str">
        <f>IF('Marks Entry'!V34=5,GT34,"")</f>
        <v/>
      </c>
      <c r="GZ34" s="94" t="str">
        <f t="shared" si="135"/>
        <v/>
      </c>
      <c r="HA34" s="105" t="str">
        <f t="shared" si="69"/>
        <v/>
      </c>
      <c r="HB34" s="94" t="str">
        <f t="shared" si="136"/>
        <v>II</v>
      </c>
      <c r="HC34" s="94" t="str">
        <f t="shared" si="137"/>
        <v/>
      </c>
      <c r="HD34" s="105" t="str">
        <f t="shared" si="70"/>
        <v/>
      </c>
      <c r="HE34" s="94" t="str">
        <f t="shared" si="138"/>
        <v>II</v>
      </c>
      <c r="HF34" s="94" t="str">
        <f t="shared" si="139"/>
        <v/>
      </c>
      <c r="HG34" s="105" t="str">
        <f t="shared" si="71"/>
        <v/>
      </c>
      <c r="HH34" s="94" t="str">
        <f t="shared" si="140"/>
        <v>II</v>
      </c>
      <c r="HI34" s="94" t="str">
        <f t="shared" si="141"/>
        <v/>
      </c>
      <c r="HJ34" s="105" t="str">
        <f t="shared" si="72"/>
        <v/>
      </c>
      <c r="HK34" s="94" t="str">
        <f t="shared" si="142"/>
        <v/>
      </c>
      <c r="HL34" s="94" t="str">
        <f t="shared" si="143"/>
        <v/>
      </c>
      <c r="HM34" s="105" t="str">
        <f t="shared" si="73"/>
        <v/>
      </c>
      <c r="HN34" s="367" t="str">
        <f t="shared" si="144"/>
        <v xml:space="preserve">      </v>
      </c>
      <c r="HO34" s="418" t="str">
        <f t="shared" si="145"/>
        <v xml:space="preserve">      </v>
      </c>
      <c r="HP34" s="367" t="str">
        <f t="shared" si="146"/>
        <v xml:space="preserve">      </v>
      </c>
      <c r="HQ34" s="107" t="str">
        <f t="shared" si="147"/>
        <v xml:space="preserve">      </v>
      </c>
      <c r="HR34" s="366" t="str">
        <f t="shared" si="148"/>
        <v xml:space="preserve"> अंग्रेजी     </v>
      </c>
      <c r="HS34" s="544" t="str">
        <f t="shared" si="74"/>
        <v>PASS</v>
      </c>
      <c r="HT34" s="542">
        <f t="shared" si="149"/>
        <v>738</v>
      </c>
      <c r="HU34" s="541">
        <f t="shared" si="160"/>
        <v>61.5</v>
      </c>
      <c r="HV34" s="540" t="str">
        <f t="shared" si="150"/>
        <v>1st</v>
      </c>
      <c r="HW34" s="537">
        <f t="shared" si="151"/>
        <v>61.5</v>
      </c>
      <c r="HX34" s="539">
        <f t="shared" si="152"/>
        <v>10.00000000000008</v>
      </c>
      <c r="HY34" s="553" t="str">
        <f>IFERROR(IF(OR(HS34="SUPPLEMENTARY",HS34="RE-EXAM"),'Supp. Result Entry'!AQ32,""),"")</f>
        <v/>
      </c>
      <c r="HZ34" s="538" t="str">
        <f t="shared" si="153"/>
        <v/>
      </c>
      <c r="IA34" s="415" t="str">
        <f t="shared" si="154"/>
        <v/>
      </c>
      <c r="IB34" s="415" t="str">
        <f>IF(AND(HZ34="",IA34=""),"",IF(OR(HS34="SUPPLEMENTARY",HS34="RE-EXAM"),'Supp. Result Entry'!AQ32,HS34))</f>
        <v/>
      </c>
      <c r="IC34" s="87"/>
      <c r="IS34" s="109" t="str">
        <f>IF('Supp. Result Entry'!T32="","",'Supp. Result Entry'!$T$4)</f>
        <v/>
      </c>
      <c r="IT34" s="110" t="str">
        <f>IF('Supp. Result Entry'!W32="","",'Supp. Result Entry'!$W$4)</f>
        <v/>
      </c>
      <c r="IU34" s="110" t="str">
        <f>IF('Supp. Result Entry'!Z32="","",'Supp. Result Entry'!$Z$4)</f>
        <v/>
      </c>
      <c r="IV34" s="110" t="str">
        <f>IF('Supp. Result Entry'!AC32="","",'Supp. Result Entry'!$AC$4)</f>
        <v/>
      </c>
      <c r="IW34" s="110" t="str">
        <f>IF('Supp. Result Entry'!AF32="","",'Supp. Result Entry'!$AF$4)</f>
        <v/>
      </c>
      <c r="IX34" s="110" t="str">
        <f>IF('Supp. Result Entry'!AI32="","",'Supp. Result Entry'!$AI$4)</f>
        <v/>
      </c>
      <c r="IY34" s="110" t="str">
        <f>IF('Supp. Result Entry'!AI32="","",'Supp. Result Entry'!$AL$4)</f>
        <v/>
      </c>
      <c r="IZ34" s="110" t="str">
        <f>IF('Supp. Result Entry'!U32="","",'Supp. Result Entry'!U32)</f>
        <v/>
      </c>
      <c r="JA34" s="110" t="str">
        <f>IF('Supp. Result Entry'!X32="","",'Supp. Result Entry'!X32)</f>
        <v/>
      </c>
      <c r="JB34" s="110" t="str">
        <f>IF('Supp. Result Entry'!AA32="","",'Supp. Result Entry'!AA32)</f>
        <v/>
      </c>
      <c r="JC34" s="110" t="str">
        <f>IF('Supp. Result Entry'!AD32="","",'Supp. Result Entry'!AD32)</f>
        <v/>
      </c>
      <c r="JD34" s="110" t="str">
        <f>IF('Supp. Result Entry'!AG32="","",'Supp. Result Entry'!AG32)</f>
        <v/>
      </c>
      <c r="JE34" s="110" t="str">
        <f>IF('Supp. Result Entry'!AJ32="","",'Supp. Result Entry'!AJ32)</f>
        <v/>
      </c>
      <c r="JF34" s="110" t="str">
        <f>IF('Supp. Result Entry'!AM32="","",'Supp. Result Entry'!AM32)</f>
        <v/>
      </c>
      <c r="JG34" s="110" t="str">
        <f>IF('Supp. Result Entry'!V32="","",'Supp. Result Entry'!V32)</f>
        <v/>
      </c>
      <c r="JH34" s="110" t="str">
        <f>IF('Supp. Result Entry'!Y32="","",'Supp. Result Entry'!Y32)</f>
        <v/>
      </c>
      <c r="JI34" s="110" t="str">
        <f>IF('Supp. Result Entry'!AB32="","",'Supp. Result Entry'!AB32)</f>
        <v/>
      </c>
      <c r="JJ34" s="110" t="str">
        <f>IF('Supp. Result Entry'!AE32="","",'Supp. Result Entry'!AE32)</f>
        <v/>
      </c>
      <c r="JK34" s="110" t="str">
        <f>IF('Supp. Result Entry'!AH32="","",'Supp. Result Entry'!AH32)</f>
        <v/>
      </c>
      <c r="JL34" s="110" t="str">
        <f>IF('Supp. Result Entry'!AK32="","",'Supp. Result Entry'!AK32)</f>
        <v/>
      </c>
      <c r="JM34" s="110" t="str">
        <f>IF('Supp. Result Entry'!AN32="","",'Supp. Result Entry'!AN32)</f>
        <v/>
      </c>
      <c r="JN34" s="110">
        <f>COUNTIF('Supp. Result Entry'!K32:Q32,"S")</f>
        <v>0</v>
      </c>
      <c r="JO34" s="110">
        <f t="shared" si="155"/>
        <v>0</v>
      </c>
      <c r="JP34" s="110">
        <f t="shared" si="156"/>
        <v>0</v>
      </c>
      <c r="JQ34" s="110" t="str">
        <f t="shared" si="75"/>
        <v/>
      </c>
      <c r="JR34" s="110" t="str">
        <f t="shared" si="76"/>
        <v/>
      </c>
      <c r="JS34" s="110" t="str">
        <f t="shared" si="77"/>
        <v/>
      </c>
      <c r="JT34" s="110" t="str">
        <f t="shared" si="78"/>
        <v/>
      </c>
      <c r="JU34" s="110" t="str">
        <f t="shared" si="79"/>
        <v/>
      </c>
      <c r="JV34" s="110" t="str">
        <f t="shared" si="80"/>
        <v/>
      </c>
      <c r="JW34" s="110" t="str">
        <f t="shared" si="81"/>
        <v/>
      </c>
      <c r="JX34" s="110" t="str">
        <f t="shared" si="157"/>
        <v/>
      </c>
      <c r="JY34" s="110" t="str">
        <f t="shared" si="158"/>
        <v/>
      </c>
      <c r="JZ34" s="110" t="str">
        <f t="shared" si="82"/>
        <v/>
      </c>
      <c r="KA34" s="108" t="str">
        <f t="shared" si="159"/>
        <v/>
      </c>
    </row>
    <row r="35" spans="1:287" s="108" customFormat="1" ht="21.95" customHeight="1">
      <c r="A35" s="89">
        <v>29</v>
      </c>
      <c r="B35" s="90">
        <f>IF('Marks Entry'!B35="","",'Marks Entry'!B35)</f>
        <v>929</v>
      </c>
      <c r="C35" s="94" t="str">
        <f>IF('Marks Entry'!D35="","",'Marks Entry'!D35)</f>
        <v>A</v>
      </c>
      <c r="D35" s="91" t="str">
        <f>IF('Marks Entry'!E35="","",'Marks Entry'!E35)</f>
        <v/>
      </c>
      <c r="E35" s="92" t="str">
        <f>IF('Marks Entry'!F35="","",'Marks Entry'!F35)</f>
        <v/>
      </c>
      <c r="F35" s="93" t="str">
        <f>IF('Marks Entry'!G35="","",'Marks Entry'!G35)</f>
        <v>DIPIKA</v>
      </c>
      <c r="G35" s="93" t="str">
        <f>IF('Marks Entry'!H35="","",'Marks Entry'!H35)</f>
        <v/>
      </c>
      <c r="H35" s="93" t="str">
        <f>IF('Marks Entry'!I35="","",'Marks Entry'!I35)</f>
        <v/>
      </c>
      <c r="I35" s="94" t="str">
        <f>IF('Marks Entry'!J35="","",'Marks Entry'!J35)</f>
        <v/>
      </c>
      <c r="J35" s="95" t="str">
        <f>IF('Marks Entry'!K35="","",'Marks Entry'!K35)</f>
        <v/>
      </c>
      <c r="K35" s="68">
        <f>IF('Marks Entry'!L35="","",'Marks Entry'!L35)</f>
        <v>8</v>
      </c>
      <c r="L35" s="68">
        <f>IF('Marks Entry'!M35="","",'Marks Entry'!M35)</f>
        <v>9</v>
      </c>
      <c r="M35" s="68">
        <f>IF('Marks Entry'!N35="","",'Marks Entry'!N35)</f>
        <v>8</v>
      </c>
      <c r="N35" s="514">
        <f t="shared" si="83"/>
        <v>25</v>
      </c>
      <c r="O35" s="68">
        <f>IF('Marks Entry'!O35="","",'Marks Entry'!O35)</f>
        <v>46</v>
      </c>
      <c r="P35" s="515">
        <f t="shared" si="84"/>
        <v>71</v>
      </c>
      <c r="Q35" s="68">
        <f>IF('Marks Entry'!P35="","",'Marks Entry'!P35)</f>
        <v>45</v>
      </c>
      <c r="R35" s="96">
        <f t="shared" si="85"/>
        <v>116</v>
      </c>
      <c r="S35" s="65">
        <f t="shared" si="86"/>
        <v>0</v>
      </c>
      <c r="T35" s="65">
        <f t="shared" si="87"/>
        <v>0</v>
      </c>
      <c r="U35" s="66">
        <f t="shared" si="88"/>
        <v>200</v>
      </c>
      <c r="V35" s="65" t="str">
        <f t="shared" si="89"/>
        <v/>
      </c>
      <c r="W35" s="65" t="str">
        <f t="shared" si="90"/>
        <v>P</v>
      </c>
      <c r="X35" s="65" t="str">
        <f t="shared" si="91"/>
        <v>II</v>
      </c>
      <c r="Y35" s="68">
        <f>IF('Marks Entry'!Q35="","",'Marks Entry'!Q35)</f>
        <v>8</v>
      </c>
      <c r="Z35" s="68">
        <f>IF('Marks Entry'!R35="","",'Marks Entry'!R35)</f>
        <v>9</v>
      </c>
      <c r="AA35" s="68">
        <f>IF('Marks Entry'!S35="","",'Marks Entry'!S35)</f>
        <v>7</v>
      </c>
      <c r="AB35" s="514">
        <f t="shared" si="2"/>
        <v>24</v>
      </c>
      <c r="AC35" s="68">
        <f>IF('Marks Entry'!T35="","",'Marks Entry'!T35)</f>
        <v>60</v>
      </c>
      <c r="AD35" s="515">
        <f t="shared" si="3"/>
        <v>84</v>
      </c>
      <c r="AE35" s="68">
        <f>IF('Marks Entry'!U35="","",'Marks Entry'!U35)</f>
        <v>85</v>
      </c>
      <c r="AF35" s="96">
        <f t="shared" si="4"/>
        <v>169</v>
      </c>
      <c r="AG35" s="65">
        <f t="shared" si="5"/>
        <v>0</v>
      </c>
      <c r="AH35" s="65">
        <f t="shared" si="6"/>
        <v>0</v>
      </c>
      <c r="AI35" s="66">
        <f t="shared" si="7"/>
        <v>200</v>
      </c>
      <c r="AJ35" s="65" t="str">
        <f t="shared" si="8"/>
        <v/>
      </c>
      <c r="AK35" s="65" t="str">
        <f t="shared" si="9"/>
        <v>P</v>
      </c>
      <c r="AL35" s="65" t="str">
        <f t="shared" si="10"/>
        <v>D</v>
      </c>
      <c r="AM35" s="524" t="str">
        <f>IF('Marks Entry'!V35="","",IF('Marks Entry'!V35=1,'School Profile'!$I$9,IF('Marks Entry'!V35=2,'School Profile'!$I$10,IF('Marks Entry'!V35=3,'School Profile'!$I$11,IF('Marks Entry'!V35=4,'School Profile'!$I$12,IF('Marks Entry'!V35=5,'School Profile'!$I$13,IF('Marks Entry'!V35=6,'School Profile'!$I$14,"")))))))</f>
        <v xml:space="preserve">उर्दू (72) </v>
      </c>
      <c r="AN35" s="68">
        <f>IF('Marks Entry'!W35="","",'Marks Entry'!W35)</f>
        <v>8</v>
      </c>
      <c r="AO35" s="68">
        <f>IF('Marks Entry'!X35="","",'Marks Entry'!X35)</f>
        <v>9</v>
      </c>
      <c r="AP35" s="68" t="str">
        <f>IF('Marks Entry'!Y35="","",'Marks Entry'!Y35)</f>
        <v/>
      </c>
      <c r="AQ35" s="514">
        <f t="shared" si="11"/>
        <v>17</v>
      </c>
      <c r="AR35" s="68">
        <f>IF('Marks Entry'!Z35="","",'Marks Entry'!Z35)</f>
        <v>46</v>
      </c>
      <c r="AS35" s="515">
        <f t="shared" si="12"/>
        <v>63</v>
      </c>
      <c r="AT35" s="68">
        <f>IF('Marks Entry'!AA35="","",'Marks Entry'!AA35)</f>
        <v>45</v>
      </c>
      <c r="AU35" s="96">
        <f t="shared" si="13"/>
        <v>108</v>
      </c>
      <c r="AV35" s="65">
        <f t="shared" si="14"/>
        <v>0</v>
      </c>
      <c r="AW35" s="65">
        <f t="shared" si="15"/>
        <v>0</v>
      </c>
      <c r="AX35" s="66">
        <f t="shared" si="16"/>
        <v>200</v>
      </c>
      <c r="AY35" s="65" t="str">
        <f t="shared" si="17"/>
        <v/>
      </c>
      <c r="AZ35" s="65" t="str">
        <f t="shared" si="18"/>
        <v>P</v>
      </c>
      <c r="BA35" s="65" t="str">
        <f t="shared" si="19"/>
        <v>II</v>
      </c>
      <c r="BB35" s="68">
        <f>IF('Marks Entry'!AB35="","",'Marks Entry'!AB35)</f>
        <v>8</v>
      </c>
      <c r="BC35" s="68">
        <f>IF('Marks Entry'!AC35="","",'Marks Entry'!AC35)</f>
        <v>9</v>
      </c>
      <c r="BD35" s="68">
        <f>IF('Marks Entry'!AD35="","",'Marks Entry'!AD35)</f>
        <v>7</v>
      </c>
      <c r="BE35" s="514">
        <f t="shared" si="20"/>
        <v>24</v>
      </c>
      <c r="BF35" s="68">
        <f>IF('Marks Entry'!AE35="","",'Marks Entry'!AE35)</f>
        <v>46</v>
      </c>
      <c r="BG35" s="515">
        <f t="shared" si="21"/>
        <v>70</v>
      </c>
      <c r="BH35" s="68">
        <f>IF('Marks Entry'!AF35="","",'Marks Entry'!AF35)</f>
        <v>45</v>
      </c>
      <c r="BI35" s="96">
        <f t="shared" si="22"/>
        <v>115</v>
      </c>
      <c r="BJ35" s="65">
        <f t="shared" si="23"/>
        <v>0</v>
      </c>
      <c r="BK35" s="65">
        <f t="shared" si="92"/>
        <v>0</v>
      </c>
      <c r="BL35" s="66">
        <f t="shared" si="24"/>
        <v>200</v>
      </c>
      <c r="BM35" s="65" t="str">
        <f t="shared" si="25"/>
        <v/>
      </c>
      <c r="BN35" s="65" t="str">
        <f t="shared" si="26"/>
        <v>P</v>
      </c>
      <c r="BO35" s="65" t="str">
        <f t="shared" si="27"/>
        <v>II</v>
      </c>
      <c r="BP35" s="68">
        <f>IF('Marks Entry'!AG35="","",'Marks Entry'!AG35)</f>
        <v>8</v>
      </c>
      <c r="BQ35" s="68">
        <f>IF('Marks Entry'!AH35="","",'Marks Entry'!AH35)</f>
        <v>9</v>
      </c>
      <c r="BR35" s="68">
        <f>IF('Marks Entry'!AI35="","",'Marks Entry'!AI35)</f>
        <v>7</v>
      </c>
      <c r="BS35" s="514">
        <f t="shared" si="28"/>
        <v>24</v>
      </c>
      <c r="BT35" s="68">
        <f>IF('Marks Entry'!AJ35="","",'Marks Entry'!AJ35)</f>
        <v>46</v>
      </c>
      <c r="BU35" s="515">
        <f t="shared" si="29"/>
        <v>70</v>
      </c>
      <c r="BV35" s="68">
        <f>IF('Marks Entry'!AK35="","",'Marks Entry'!AK35)</f>
        <v>45</v>
      </c>
      <c r="BW35" s="96">
        <f t="shared" si="30"/>
        <v>115</v>
      </c>
      <c r="BX35" s="65">
        <f t="shared" si="31"/>
        <v>0</v>
      </c>
      <c r="BY35" s="65">
        <f t="shared" si="32"/>
        <v>0</v>
      </c>
      <c r="BZ35" s="66">
        <f t="shared" si="33"/>
        <v>200</v>
      </c>
      <c r="CA35" s="65" t="str">
        <f t="shared" si="34"/>
        <v/>
      </c>
      <c r="CB35" s="65" t="str">
        <f t="shared" si="35"/>
        <v>P</v>
      </c>
      <c r="CC35" s="65" t="str">
        <f t="shared" si="36"/>
        <v>II</v>
      </c>
      <c r="CD35" s="66">
        <f t="shared" si="93"/>
        <v>0</v>
      </c>
      <c r="CE35" s="68">
        <f>IF('Marks Entry'!AL35="","",'Marks Entry'!AL35)</f>
        <v>8</v>
      </c>
      <c r="CF35" s="68">
        <f>IF('Marks Entry'!AM35="","",'Marks Entry'!AM35)</f>
        <v>8</v>
      </c>
      <c r="CG35" s="68">
        <f>IF('Marks Entry'!AN35="","",'Marks Entry'!AN35)</f>
        <v>8</v>
      </c>
      <c r="CH35" s="514">
        <f t="shared" si="37"/>
        <v>24</v>
      </c>
      <c r="CI35" s="68">
        <f>IF('Marks Entry'!AO35="","",'Marks Entry'!AO35)</f>
        <v>46</v>
      </c>
      <c r="CJ35" s="515">
        <f t="shared" si="38"/>
        <v>70</v>
      </c>
      <c r="CK35" s="68">
        <f>IF('Marks Entry'!AP35="","",'Marks Entry'!AP35)</f>
        <v>45</v>
      </c>
      <c r="CL35" s="96">
        <f t="shared" si="39"/>
        <v>115</v>
      </c>
      <c r="CM35" s="65">
        <f t="shared" si="40"/>
        <v>0</v>
      </c>
      <c r="CN35" s="65">
        <f t="shared" si="41"/>
        <v>0</v>
      </c>
      <c r="CO35" s="66">
        <f t="shared" si="42"/>
        <v>200</v>
      </c>
      <c r="CP35" s="65" t="str">
        <f t="shared" si="43"/>
        <v/>
      </c>
      <c r="CQ35" s="65" t="str">
        <f t="shared" si="44"/>
        <v>P</v>
      </c>
      <c r="CR35" s="65" t="str">
        <f t="shared" si="45"/>
        <v>II</v>
      </c>
      <c r="CS35" s="616" t="str">
        <f>IF('School Profile'!$D$20="NO","",IF('Marks Entry'!AQ35="","",IF('Marks Entry'!AQ35=1,'School Profile'!$I$29,IF('Marks Entry'!AQ35=2,'School Profile'!$I$30,IF('Marks Entry'!AQ35=3,'School Profile'!$I$31,IF('Marks Entry'!AQ35=4,'School Profile'!$I$32,IF('Marks Entry'!AQ35=5,'School Profile'!$I$33,IF('Marks Entry'!AQ35=6,'School Profile'!$I$34,IF('Marks Entry'!AQ35=7,'School Profile'!$I$35,IF('Marks Entry'!AQ35=8,'School Profile'!$I$36,IF('Marks Entry'!AQ35=9,'School Profile'!$I$37,IF('Marks Entry'!AQ35=10,'School Profile'!$I$38,IF('Marks Entry'!AQ35=11,'School Profile'!$I$39,"")))))))))))))</f>
        <v/>
      </c>
      <c r="CT35" s="68" t="str">
        <f>IF('School Profile'!$D$20="NO","",IF('Marks Entry'!AR35="","",'Marks Entry'!AR35))</f>
        <v/>
      </c>
      <c r="CU35" s="68" t="str">
        <f>IF('School Profile'!$D$20="NO","",IF('Marks Entry'!AS35="","",'Marks Entry'!AS35))</f>
        <v/>
      </c>
      <c r="CV35" s="68" t="str">
        <f>IF('School Profile'!$D$20="NO","",IF('Marks Entry'!AT35="","",'Marks Entry'!AT35))</f>
        <v/>
      </c>
      <c r="CW35" s="514" t="str">
        <f>IF('School Profile'!$D$20="NO","",IF(AND(CT35="",CU35="",CV35=""),"",SUM(CT35:CV35)))</f>
        <v/>
      </c>
      <c r="CX35" s="68" t="str">
        <f>IF('School Profile'!$D$20="NO","",IF('Marks Entry'!AU35="","",'Marks Entry'!AU35))</f>
        <v/>
      </c>
      <c r="CY35" s="68" t="str">
        <f>IF('School Profile'!$D$20="NO","",IF('Marks Entry'!AV35="","",'Marks Entry'!AV35))</f>
        <v/>
      </c>
      <c r="CZ35" s="515" t="str">
        <f>IF('School Profile'!$D$20="NO","",IF(AND(CX35="",CY35=""),"",SUM(CX35,CY35)))</f>
        <v/>
      </c>
      <c r="DA35" s="69" t="str">
        <f>IF('School Profile'!$D$20="NO","",IF(AND(CW35="",CZ35=""),"",SUM(CW35+CZ35)))</f>
        <v/>
      </c>
      <c r="DB35" s="68" t="str">
        <f>IF('School Profile'!$D$20="NO","",IF('Marks Entry'!AW35="","",'Marks Entry'!AW35))</f>
        <v/>
      </c>
      <c r="DC35" s="68" t="str">
        <f>IF('School Profile'!$D$20="NO","",IF('Marks Entry'!AX35="","",'Marks Entry'!AX35))</f>
        <v/>
      </c>
      <c r="DD35" s="515" t="str">
        <f>IF('School Profile'!$D$20="NO","",IF(AND(DB35="",DC35=""),"",SUM(DB35,DC35)))</f>
        <v/>
      </c>
      <c r="DE35" s="96" t="str">
        <f>IF('School Profile'!$D$20="NO","",IF(AND(DA35="",DD35=""),"",SUM(DA35,DD35)))</f>
        <v/>
      </c>
      <c r="DF35" s="532">
        <f t="shared" si="46"/>
        <v>0</v>
      </c>
      <c r="DG35" s="65">
        <f t="shared" si="47"/>
        <v>0</v>
      </c>
      <c r="DH35" s="66" t="str">
        <f t="shared" si="48"/>
        <v/>
      </c>
      <c r="DI35" s="65" t="str">
        <f t="shared" si="49"/>
        <v/>
      </c>
      <c r="DJ35" s="65" t="str">
        <f t="shared" si="50"/>
        <v/>
      </c>
      <c r="DK35" s="65" t="str">
        <f t="shared" si="51"/>
        <v/>
      </c>
      <c r="DL35" s="97" t="str">
        <f t="shared" si="94"/>
        <v>II</v>
      </c>
      <c r="DM35" s="97" t="str">
        <f t="shared" si="95"/>
        <v>D</v>
      </c>
      <c r="DN35" s="97" t="str">
        <f t="shared" si="96"/>
        <v>II</v>
      </c>
      <c r="DO35" s="97" t="str">
        <f t="shared" si="97"/>
        <v>II</v>
      </c>
      <c r="DP35" s="97" t="str">
        <f t="shared" si="98"/>
        <v>II</v>
      </c>
      <c r="DQ35" s="97" t="str">
        <f t="shared" si="99"/>
        <v>II</v>
      </c>
      <c r="DR35" s="97" t="str">
        <f t="shared" si="100"/>
        <v/>
      </c>
      <c r="DS35" s="98">
        <f t="shared" si="101"/>
        <v>0</v>
      </c>
      <c r="DT35" s="98">
        <f t="shared" si="102"/>
        <v>0</v>
      </c>
      <c r="DU35" s="98">
        <f t="shared" si="103"/>
        <v>0</v>
      </c>
      <c r="DV35" s="98">
        <f t="shared" si="104"/>
        <v>0</v>
      </c>
      <c r="DW35" s="98">
        <f t="shared" si="105"/>
        <v>0</v>
      </c>
      <c r="DX35" s="98" t="str">
        <f t="shared" si="106"/>
        <v/>
      </c>
      <c r="DY35" s="99" t="str">
        <f t="shared" si="107"/>
        <v>PASS</v>
      </c>
      <c r="DZ35" s="74" t="str">
        <f>IF('Marks Entry'!AY35="","",'Marks Entry'!AY35)</f>
        <v/>
      </c>
      <c r="EA35" s="74" t="str">
        <f>IF('Marks Entry'!AZ35="","",'Marks Entry'!AZ35)</f>
        <v/>
      </c>
      <c r="EB35" s="74" t="str">
        <f>IF('Marks Entry'!BA35="","",'Marks Entry'!BA35)</f>
        <v/>
      </c>
      <c r="EC35" s="527" t="str">
        <f t="shared" si="52"/>
        <v/>
      </c>
      <c r="ED35" s="74" t="str">
        <f>IF('Marks Entry'!BB35="","",'Marks Entry'!BB35)</f>
        <v/>
      </c>
      <c r="EE35" s="528" t="str">
        <f t="shared" si="53"/>
        <v/>
      </c>
      <c r="EF35" s="74" t="str">
        <f>IF('Marks Entry'!BC35="","",'Marks Entry'!BC35)</f>
        <v/>
      </c>
      <c r="EG35" s="530" t="str">
        <f t="shared" si="54"/>
        <v/>
      </c>
      <c r="EH35" s="368" t="str">
        <f t="shared" si="108"/>
        <v/>
      </c>
      <c r="EI35" s="65">
        <f t="shared" si="109"/>
        <v>0</v>
      </c>
      <c r="EJ35" s="65">
        <f t="shared" si="110"/>
        <v>0</v>
      </c>
      <c r="EK35" s="66" t="str">
        <f t="shared" si="111"/>
        <v/>
      </c>
      <c r="EL35" s="74" t="str">
        <f>IF('Marks Entry'!BD35="","",'Marks Entry'!BD35)</f>
        <v/>
      </c>
      <c r="EM35" s="74" t="str">
        <f>IF('Marks Entry'!BE35="","",'Marks Entry'!BE35)</f>
        <v/>
      </c>
      <c r="EN35" s="74" t="str">
        <f>IF('Marks Entry'!BF35="","",'Marks Entry'!BF35)</f>
        <v/>
      </c>
      <c r="EO35" s="527" t="str">
        <f t="shared" si="55"/>
        <v/>
      </c>
      <c r="EP35" s="74" t="str">
        <f>IF('Marks Entry'!BG35="","",'Marks Entry'!BG35)</f>
        <v/>
      </c>
      <c r="EQ35" s="74" t="str">
        <f>IF('Marks Entry'!BH35="","",'Marks Entry'!BH35)</f>
        <v/>
      </c>
      <c r="ER35" s="528" t="str">
        <f t="shared" si="56"/>
        <v/>
      </c>
      <c r="ES35" s="529" t="str">
        <f t="shared" si="57"/>
        <v/>
      </c>
      <c r="ET35" s="74" t="str">
        <f>IF('Marks Entry'!BI35="","",'Marks Entry'!BI35)</f>
        <v/>
      </c>
      <c r="EU35" s="74" t="str">
        <f>IF('Marks Entry'!BJ35="","",'Marks Entry'!BJ35)</f>
        <v/>
      </c>
      <c r="EV35" s="528" t="str">
        <f t="shared" si="58"/>
        <v/>
      </c>
      <c r="EW35" s="530" t="str">
        <f t="shared" si="59"/>
        <v/>
      </c>
      <c r="EX35" s="368" t="str">
        <f t="shared" si="112"/>
        <v/>
      </c>
      <c r="EY35" s="65">
        <f t="shared" si="113"/>
        <v>0</v>
      </c>
      <c r="EZ35" s="65">
        <f t="shared" si="114"/>
        <v>0</v>
      </c>
      <c r="FA35" s="66" t="str">
        <f t="shared" si="115"/>
        <v/>
      </c>
      <c r="FB35" s="74" t="str">
        <f>IF('Marks Entry'!BK35="","",'Marks Entry'!BK35)</f>
        <v/>
      </c>
      <c r="FC35" s="74" t="str">
        <f>IF('Marks Entry'!BL35="","",'Marks Entry'!BL35)</f>
        <v/>
      </c>
      <c r="FD35" s="74" t="str">
        <f>IF('Marks Entry'!BM35="","",'Marks Entry'!BM35)</f>
        <v/>
      </c>
      <c r="FE35" s="74" t="str">
        <f>IF('Marks Entry'!BN35="","",'Marks Entry'!BN35)</f>
        <v/>
      </c>
      <c r="FF35" s="74" t="str">
        <f>IF('Marks Entry'!BO35="","",'Marks Entry'!BO35)</f>
        <v/>
      </c>
      <c r="FG35" s="74" t="str">
        <f>IF('Marks Entry'!BP35="","",'Marks Entry'!BP35)</f>
        <v/>
      </c>
      <c r="FH35" s="527" t="str">
        <f t="shared" si="60"/>
        <v/>
      </c>
      <c r="FI35" s="74" t="str">
        <f>IF('Marks Entry'!BQ35="","",'Marks Entry'!BQ35)</f>
        <v/>
      </c>
      <c r="FJ35" s="74" t="str">
        <f>IF('Marks Entry'!BR35="","",'Marks Entry'!BR35)</f>
        <v/>
      </c>
      <c r="FK35" s="528" t="str">
        <f t="shared" si="61"/>
        <v/>
      </c>
      <c r="FL35" s="529" t="str">
        <f t="shared" si="62"/>
        <v/>
      </c>
      <c r="FM35" s="74" t="str">
        <f>IF('Marks Entry'!BS35="","",'Marks Entry'!BS35)</f>
        <v/>
      </c>
      <c r="FN35" s="74" t="str">
        <f>IF('Marks Entry'!BT35="","",'Marks Entry'!BT35)</f>
        <v/>
      </c>
      <c r="FO35" s="528" t="str">
        <f t="shared" si="63"/>
        <v/>
      </c>
      <c r="FP35" s="530" t="str">
        <f t="shared" si="64"/>
        <v/>
      </c>
      <c r="FQ35" s="368" t="str">
        <f t="shared" si="116"/>
        <v/>
      </c>
      <c r="FR35" s="65">
        <f t="shared" si="117"/>
        <v>0</v>
      </c>
      <c r="FS35" s="65">
        <f t="shared" si="118"/>
        <v>0</v>
      </c>
      <c r="FT35" s="66" t="str">
        <f t="shared" si="119"/>
        <v/>
      </c>
      <c r="FU35" s="74" t="str">
        <f>IF('Marks Entry'!BU35="","",'Marks Entry'!BU35)</f>
        <v/>
      </c>
      <c r="FV35" s="74" t="str">
        <f>IF('Marks Entry'!BV35="","",'Marks Entry'!BV35)</f>
        <v/>
      </c>
      <c r="FW35" s="74" t="str">
        <f>IF('Marks Entry'!BW35="","",'Marks Entry'!BW35)</f>
        <v/>
      </c>
      <c r="FX35" s="75" t="str">
        <f t="shared" si="65"/>
        <v/>
      </c>
      <c r="FY35" s="368" t="str">
        <f t="shared" si="120"/>
        <v/>
      </c>
      <c r="FZ35" s="65">
        <f t="shared" si="121"/>
        <v>0</v>
      </c>
      <c r="GA35" s="66">
        <f t="shared" si="122"/>
        <v>0</v>
      </c>
      <c r="GB35" s="66" t="str">
        <f t="shared" si="123"/>
        <v/>
      </c>
      <c r="GC35" s="74" t="str">
        <f>IF('Marks Entry'!BX35="","",'Marks Entry'!BX35)</f>
        <v/>
      </c>
      <c r="GD35" s="74" t="str">
        <f>IF('Marks Entry'!BY35="","",'Marks Entry'!BY35)</f>
        <v/>
      </c>
      <c r="GE35" s="74" t="str">
        <f>IF('Marks Entry'!BZ35="","",'Marks Entry'!BZ35)</f>
        <v/>
      </c>
      <c r="GF35" s="75" t="str">
        <f t="shared" si="124"/>
        <v/>
      </c>
      <c r="GG35" s="368" t="str">
        <f t="shared" si="125"/>
        <v/>
      </c>
      <c r="GH35" s="65">
        <f t="shared" si="126"/>
        <v>0</v>
      </c>
      <c r="GI35" s="66">
        <f t="shared" si="127"/>
        <v>0</v>
      </c>
      <c r="GJ35" s="66" t="str">
        <f t="shared" si="128"/>
        <v/>
      </c>
      <c r="GK35" s="100" t="str">
        <f>IF(AND(F35="",B35=""),"",IF('Student DATA Entry'!M32="","",'Student DATA Entry'!M32))</f>
        <v/>
      </c>
      <c r="GL35" s="101" t="str">
        <f>IF(AND(B35="",F35=""),"",IF('Student DATA Entry'!N32="","",'Student DATA Entry'!N32))</f>
        <v/>
      </c>
      <c r="GM35" s="581" t="str">
        <f t="shared" si="129"/>
        <v/>
      </c>
      <c r="GN35" s="94" t="str">
        <f t="shared" si="130"/>
        <v>II</v>
      </c>
      <c r="GO35" s="94" t="str">
        <f t="shared" si="131"/>
        <v/>
      </c>
      <c r="GP35" s="102" t="str">
        <f t="shared" si="67"/>
        <v/>
      </c>
      <c r="GQ35" s="94" t="str">
        <f t="shared" si="132"/>
        <v>D</v>
      </c>
      <c r="GR35" s="103" t="str">
        <f t="shared" si="133"/>
        <v/>
      </c>
      <c r="GS35" s="102" t="str">
        <f t="shared" si="68"/>
        <v/>
      </c>
      <c r="GT35" s="104" t="str">
        <f t="shared" si="134"/>
        <v>II</v>
      </c>
      <c r="GU35" s="94" t="str">
        <f>IF('Marks Entry'!V35=1,GT35,"")</f>
        <v/>
      </c>
      <c r="GV35" s="94" t="str">
        <f>IF('Marks Entry'!V35=2,GT35,"")</f>
        <v>II</v>
      </c>
      <c r="GW35" s="94" t="str">
        <f>IF('Marks Entry'!V35=3,GT35,"")</f>
        <v/>
      </c>
      <c r="GX35" s="94" t="str">
        <f>IF('Marks Entry'!V35=4,GT35,"")</f>
        <v/>
      </c>
      <c r="GY35" s="94" t="str">
        <f>IF('Marks Entry'!V35=5,GT35,"")</f>
        <v/>
      </c>
      <c r="GZ35" s="94" t="str">
        <f t="shared" si="135"/>
        <v/>
      </c>
      <c r="HA35" s="105" t="str">
        <f t="shared" si="69"/>
        <v/>
      </c>
      <c r="HB35" s="94" t="str">
        <f t="shared" si="136"/>
        <v>II</v>
      </c>
      <c r="HC35" s="94" t="str">
        <f t="shared" si="137"/>
        <v/>
      </c>
      <c r="HD35" s="105" t="str">
        <f t="shared" si="70"/>
        <v/>
      </c>
      <c r="HE35" s="94" t="str">
        <f t="shared" si="138"/>
        <v>II</v>
      </c>
      <c r="HF35" s="94" t="str">
        <f t="shared" si="139"/>
        <v/>
      </c>
      <c r="HG35" s="105" t="str">
        <f t="shared" si="71"/>
        <v/>
      </c>
      <c r="HH35" s="94" t="str">
        <f t="shared" si="140"/>
        <v>II</v>
      </c>
      <c r="HI35" s="94" t="str">
        <f t="shared" si="141"/>
        <v/>
      </c>
      <c r="HJ35" s="105" t="str">
        <f t="shared" si="72"/>
        <v/>
      </c>
      <c r="HK35" s="94" t="str">
        <f t="shared" si="142"/>
        <v/>
      </c>
      <c r="HL35" s="94" t="str">
        <f t="shared" si="143"/>
        <v/>
      </c>
      <c r="HM35" s="105" t="str">
        <f t="shared" si="73"/>
        <v/>
      </c>
      <c r="HN35" s="367" t="str">
        <f t="shared" si="144"/>
        <v xml:space="preserve">      </v>
      </c>
      <c r="HO35" s="418" t="str">
        <f t="shared" si="145"/>
        <v xml:space="preserve">      </v>
      </c>
      <c r="HP35" s="367" t="str">
        <f t="shared" si="146"/>
        <v xml:space="preserve">      </v>
      </c>
      <c r="HQ35" s="107" t="str">
        <f t="shared" si="147"/>
        <v xml:space="preserve">      </v>
      </c>
      <c r="HR35" s="366" t="str">
        <f t="shared" si="148"/>
        <v xml:space="preserve"> अंग्रेजी     </v>
      </c>
      <c r="HS35" s="544" t="str">
        <f t="shared" si="74"/>
        <v>PASS</v>
      </c>
      <c r="HT35" s="542">
        <f t="shared" si="149"/>
        <v>738</v>
      </c>
      <c r="HU35" s="541">
        <f t="shared" si="160"/>
        <v>61.5</v>
      </c>
      <c r="HV35" s="540" t="str">
        <f t="shared" si="150"/>
        <v>1st</v>
      </c>
      <c r="HW35" s="537">
        <f t="shared" si="151"/>
        <v>61.5</v>
      </c>
      <c r="HX35" s="539">
        <f t="shared" si="152"/>
        <v>10.00000000000008</v>
      </c>
      <c r="HY35" s="553" t="str">
        <f>IFERROR(IF(OR(HS35="SUPPLEMENTARY",HS35="RE-EXAM"),'Supp. Result Entry'!AQ33,""),"")</f>
        <v/>
      </c>
      <c r="HZ35" s="538" t="str">
        <f t="shared" si="153"/>
        <v/>
      </c>
      <c r="IA35" s="415" t="str">
        <f t="shared" si="154"/>
        <v/>
      </c>
      <c r="IB35" s="415" t="str">
        <f>IF(AND(HZ35="",IA35=""),"",IF(OR(HS35="SUPPLEMENTARY",HS35="RE-EXAM"),'Supp. Result Entry'!AQ33,HS35))</f>
        <v/>
      </c>
      <c r="IC35" s="87"/>
      <c r="IS35" s="109" t="str">
        <f>IF('Supp. Result Entry'!T33="","",'Supp. Result Entry'!$T$4)</f>
        <v/>
      </c>
      <c r="IT35" s="110" t="str">
        <f>IF('Supp. Result Entry'!W33="","",'Supp. Result Entry'!$W$4)</f>
        <v/>
      </c>
      <c r="IU35" s="110" t="str">
        <f>IF('Supp. Result Entry'!Z33="","",'Supp. Result Entry'!$Z$4)</f>
        <v/>
      </c>
      <c r="IV35" s="110" t="str">
        <f>IF('Supp. Result Entry'!AC33="","",'Supp. Result Entry'!$AC$4)</f>
        <v/>
      </c>
      <c r="IW35" s="110" t="str">
        <f>IF('Supp. Result Entry'!AF33="","",'Supp. Result Entry'!$AF$4)</f>
        <v/>
      </c>
      <c r="IX35" s="110" t="str">
        <f>IF('Supp. Result Entry'!AI33="","",'Supp. Result Entry'!$AI$4)</f>
        <v/>
      </c>
      <c r="IY35" s="110" t="str">
        <f>IF('Supp. Result Entry'!AI33="","",'Supp. Result Entry'!$AL$4)</f>
        <v/>
      </c>
      <c r="IZ35" s="110" t="str">
        <f>IF('Supp. Result Entry'!U33="","",'Supp. Result Entry'!U33)</f>
        <v/>
      </c>
      <c r="JA35" s="110" t="str">
        <f>IF('Supp. Result Entry'!X33="","",'Supp. Result Entry'!X33)</f>
        <v/>
      </c>
      <c r="JB35" s="110" t="str">
        <f>IF('Supp. Result Entry'!AA33="","",'Supp. Result Entry'!AA33)</f>
        <v/>
      </c>
      <c r="JC35" s="110" t="str">
        <f>IF('Supp. Result Entry'!AD33="","",'Supp. Result Entry'!AD33)</f>
        <v/>
      </c>
      <c r="JD35" s="110" t="str">
        <f>IF('Supp. Result Entry'!AG33="","",'Supp. Result Entry'!AG33)</f>
        <v/>
      </c>
      <c r="JE35" s="110" t="str">
        <f>IF('Supp. Result Entry'!AJ33="","",'Supp. Result Entry'!AJ33)</f>
        <v/>
      </c>
      <c r="JF35" s="110" t="str">
        <f>IF('Supp. Result Entry'!AM33="","",'Supp. Result Entry'!AM33)</f>
        <v/>
      </c>
      <c r="JG35" s="110" t="str">
        <f>IF('Supp. Result Entry'!V33="","",'Supp. Result Entry'!V33)</f>
        <v/>
      </c>
      <c r="JH35" s="110" t="str">
        <f>IF('Supp. Result Entry'!Y33="","",'Supp. Result Entry'!Y33)</f>
        <v/>
      </c>
      <c r="JI35" s="110" t="str">
        <f>IF('Supp. Result Entry'!AB33="","",'Supp. Result Entry'!AB33)</f>
        <v/>
      </c>
      <c r="JJ35" s="110" t="str">
        <f>IF('Supp. Result Entry'!AE33="","",'Supp. Result Entry'!AE33)</f>
        <v/>
      </c>
      <c r="JK35" s="110" t="str">
        <f>IF('Supp. Result Entry'!AH33="","",'Supp. Result Entry'!AH33)</f>
        <v/>
      </c>
      <c r="JL35" s="110" t="str">
        <f>IF('Supp. Result Entry'!AK33="","",'Supp. Result Entry'!AK33)</f>
        <v/>
      </c>
      <c r="JM35" s="110" t="str">
        <f>IF('Supp. Result Entry'!AN33="","",'Supp. Result Entry'!AN33)</f>
        <v/>
      </c>
      <c r="JN35" s="110">
        <f>COUNTIF('Supp. Result Entry'!K33:Q33,"S")</f>
        <v>0</v>
      </c>
      <c r="JO35" s="110">
        <f t="shared" si="155"/>
        <v>0</v>
      </c>
      <c r="JP35" s="110">
        <f t="shared" si="156"/>
        <v>0</v>
      </c>
      <c r="JQ35" s="110" t="str">
        <f t="shared" si="75"/>
        <v/>
      </c>
      <c r="JR35" s="110" t="str">
        <f t="shared" si="76"/>
        <v/>
      </c>
      <c r="JS35" s="110" t="str">
        <f t="shared" si="77"/>
        <v/>
      </c>
      <c r="JT35" s="110" t="str">
        <f t="shared" si="78"/>
        <v/>
      </c>
      <c r="JU35" s="110" t="str">
        <f t="shared" si="79"/>
        <v/>
      </c>
      <c r="JV35" s="110" t="str">
        <f t="shared" si="80"/>
        <v/>
      </c>
      <c r="JW35" s="110" t="str">
        <f t="shared" si="81"/>
        <v/>
      </c>
      <c r="JX35" s="110" t="str">
        <f t="shared" si="157"/>
        <v/>
      </c>
      <c r="JY35" s="110" t="str">
        <f t="shared" si="158"/>
        <v/>
      </c>
      <c r="JZ35" s="110" t="str">
        <f t="shared" si="82"/>
        <v/>
      </c>
      <c r="KA35" s="108" t="str">
        <f t="shared" si="159"/>
        <v/>
      </c>
    </row>
    <row r="36" spans="1:287" s="108" customFormat="1" ht="21.95" customHeight="1">
      <c r="A36" s="89">
        <v>30</v>
      </c>
      <c r="B36" s="90">
        <f>IF('Marks Entry'!B36="","",'Marks Entry'!B36)</f>
        <v>930</v>
      </c>
      <c r="C36" s="94" t="str">
        <f>IF('Marks Entry'!D36="","",'Marks Entry'!D36)</f>
        <v>A</v>
      </c>
      <c r="D36" s="91" t="str">
        <f>IF('Marks Entry'!E36="","",'Marks Entry'!E36)</f>
        <v/>
      </c>
      <c r="E36" s="92" t="str">
        <f>IF('Marks Entry'!F36="","",'Marks Entry'!F36)</f>
        <v/>
      </c>
      <c r="F36" s="93" t="str">
        <f>IF('Marks Entry'!G36="","",'Marks Entry'!G36)</f>
        <v>DEVENDRA</v>
      </c>
      <c r="G36" s="93" t="str">
        <f>IF('Marks Entry'!H36="","",'Marks Entry'!H36)</f>
        <v/>
      </c>
      <c r="H36" s="93" t="str">
        <f>IF('Marks Entry'!I36="","",'Marks Entry'!I36)</f>
        <v/>
      </c>
      <c r="I36" s="94" t="str">
        <f>IF('Marks Entry'!J36="","",'Marks Entry'!J36)</f>
        <v/>
      </c>
      <c r="J36" s="95" t="str">
        <f>IF('Marks Entry'!K36="","",'Marks Entry'!K36)</f>
        <v/>
      </c>
      <c r="K36" s="68">
        <f>IF('Marks Entry'!L36="","",'Marks Entry'!L36)</f>
        <v>8</v>
      </c>
      <c r="L36" s="68">
        <f>IF('Marks Entry'!M36="","",'Marks Entry'!M36)</f>
        <v>9</v>
      </c>
      <c r="M36" s="68">
        <f>IF('Marks Entry'!N36="","",'Marks Entry'!N36)</f>
        <v>8</v>
      </c>
      <c r="N36" s="514">
        <f t="shared" si="83"/>
        <v>25</v>
      </c>
      <c r="O36" s="68">
        <f>IF('Marks Entry'!O36="","",'Marks Entry'!O36)</f>
        <v>46</v>
      </c>
      <c r="P36" s="515">
        <f t="shared" si="84"/>
        <v>71</v>
      </c>
      <c r="Q36" s="68">
        <f>IF('Marks Entry'!P36="","",'Marks Entry'!P36)</f>
        <v>45</v>
      </c>
      <c r="R36" s="96">
        <f t="shared" si="85"/>
        <v>116</v>
      </c>
      <c r="S36" s="65">
        <f t="shared" si="86"/>
        <v>0</v>
      </c>
      <c r="T36" s="65">
        <f t="shared" si="87"/>
        <v>0</v>
      </c>
      <c r="U36" s="66">
        <f t="shared" si="88"/>
        <v>200</v>
      </c>
      <c r="V36" s="65" t="str">
        <f t="shared" si="89"/>
        <v/>
      </c>
      <c r="W36" s="65" t="str">
        <f t="shared" si="90"/>
        <v>P</v>
      </c>
      <c r="X36" s="65" t="str">
        <f t="shared" si="91"/>
        <v>II</v>
      </c>
      <c r="Y36" s="68">
        <f>IF('Marks Entry'!Q36="","",'Marks Entry'!Q36)</f>
        <v>8</v>
      </c>
      <c r="Z36" s="68">
        <f>IF('Marks Entry'!R36="","",'Marks Entry'!R36)</f>
        <v>9</v>
      </c>
      <c r="AA36" s="68">
        <f>IF('Marks Entry'!S36="","",'Marks Entry'!S36)</f>
        <v>7</v>
      </c>
      <c r="AB36" s="514">
        <f t="shared" si="2"/>
        <v>24</v>
      </c>
      <c r="AC36" s="68">
        <f>IF('Marks Entry'!T36="","",'Marks Entry'!T36)</f>
        <v>60</v>
      </c>
      <c r="AD36" s="515">
        <f t="shared" si="3"/>
        <v>84</v>
      </c>
      <c r="AE36" s="68">
        <f>IF('Marks Entry'!U36="","",'Marks Entry'!U36)</f>
        <v>85</v>
      </c>
      <c r="AF36" s="96">
        <f t="shared" si="4"/>
        <v>169</v>
      </c>
      <c r="AG36" s="65">
        <f t="shared" si="5"/>
        <v>0</v>
      </c>
      <c r="AH36" s="65">
        <f t="shared" si="6"/>
        <v>0</v>
      </c>
      <c r="AI36" s="66">
        <f t="shared" si="7"/>
        <v>200</v>
      </c>
      <c r="AJ36" s="65" t="str">
        <f t="shared" si="8"/>
        <v/>
      </c>
      <c r="AK36" s="65" t="str">
        <f t="shared" si="9"/>
        <v>P</v>
      </c>
      <c r="AL36" s="65" t="str">
        <f t="shared" si="10"/>
        <v>D</v>
      </c>
      <c r="AM36" s="524" t="str">
        <f>IF('Marks Entry'!V36="","",IF('Marks Entry'!V36=1,'School Profile'!$I$9,IF('Marks Entry'!V36=2,'School Profile'!$I$10,IF('Marks Entry'!V36=3,'School Profile'!$I$11,IF('Marks Entry'!V36=4,'School Profile'!$I$12,IF('Marks Entry'!V36=5,'School Profile'!$I$13,IF('Marks Entry'!V36=6,'School Profile'!$I$14,"")))))))</f>
        <v>संस्कृत (71)</v>
      </c>
      <c r="AN36" s="68">
        <f>IF('Marks Entry'!W36="","",'Marks Entry'!W36)</f>
        <v>8</v>
      </c>
      <c r="AO36" s="68">
        <f>IF('Marks Entry'!X36="","",'Marks Entry'!X36)</f>
        <v>9</v>
      </c>
      <c r="AP36" s="68" t="str">
        <f>IF('Marks Entry'!Y36="","",'Marks Entry'!Y36)</f>
        <v/>
      </c>
      <c r="AQ36" s="514">
        <f t="shared" si="11"/>
        <v>17</v>
      </c>
      <c r="AR36" s="68">
        <f>IF('Marks Entry'!Z36="","",'Marks Entry'!Z36)</f>
        <v>46</v>
      </c>
      <c r="AS36" s="515">
        <f t="shared" si="12"/>
        <v>63</v>
      </c>
      <c r="AT36" s="68">
        <f>IF('Marks Entry'!AA36="","",'Marks Entry'!AA36)</f>
        <v>45</v>
      </c>
      <c r="AU36" s="96">
        <f t="shared" si="13"/>
        <v>108</v>
      </c>
      <c r="AV36" s="65">
        <f t="shared" si="14"/>
        <v>0</v>
      </c>
      <c r="AW36" s="65">
        <f t="shared" si="15"/>
        <v>0</v>
      </c>
      <c r="AX36" s="66">
        <f t="shared" si="16"/>
        <v>200</v>
      </c>
      <c r="AY36" s="65" t="str">
        <f t="shared" si="17"/>
        <v/>
      </c>
      <c r="AZ36" s="65" t="str">
        <f t="shared" si="18"/>
        <v>P</v>
      </c>
      <c r="BA36" s="65" t="str">
        <f t="shared" si="19"/>
        <v>II</v>
      </c>
      <c r="BB36" s="68">
        <f>IF('Marks Entry'!AB36="","",'Marks Entry'!AB36)</f>
        <v>8</v>
      </c>
      <c r="BC36" s="68">
        <f>IF('Marks Entry'!AC36="","",'Marks Entry'!AC36)</f>
        <v>9</v>
      </c>
      <c r="BD36" s="68">
        <f>IF('Marks Entry'!AD36="","",'Marks Entry'!AD36)</f>
        <v>7</v>
      </c>
      <c r="BE36" s="514">
        <f t="shared" si="20"/>
        <v>24</v>
      </c>
      <c r="BF36" s="68">
        <f>IF('Marks Entry'!AE36="","",'Marks Entry'!AE36)</f>
        <v>46</v>
      </c>
      <c r="BG36" s="515">
        <f t="shared" si="21"/>
        <v>70</v>
      </c>
      <c r="BH36" s="68">
        <f>IF('Marks Entry'!AF36="","",'Marks Entry'!AF36)</f>
        <v>45</v>
      </c>
      <c r="BI36" s="96">
        <f t="shared" si="22"/>
        <v>115</v>
      </c>
      <c r="BJ36" s="65">
        <f t="shared" si="23"/>
        <v>0</v>
      </c>
      <c r="BK36" s="65">
        <f t="shared" si="92"/>
        <v>0</v>
      </c>
      <c r="BL36" s="66">
        <f t="shared" si="24"/>
        <v>200</v>
      </c>
      <c r="BM36" s="65" t="str">
        <f t="shared" si="25"/>
        <v/>
      </c>
      <c r="BN36" s="65" t="str">
        <f t="shared" si="26"/>
        <v>P</v>
      </c>
      <c r="BO36" s="65" t="str">
        <f t="shared" si="27"/>
        <v>II</v>
      </c>
      <c r="BP36" s="68">
        <f>IF('Marks Entry'!AG36="","",'Marks Entry'!AG36)</f>
        <v>8</v>
      </c>
      <c r="BQ36" s="68">
        <f>IF('Marks Entry'!AH36="","",'Marks Entry'!AH36)</f>
        <v>9</v>
      </c>
      <c r="BR36" s="68">
        <f>IF('Marks Entry'!AI36="","",'Marks Entry'!AI36)</f>
        <v>7</v>
      </c>
      <c r="BS36" s="514">
        <f t="shared" si="28"/>
        <v>24</v>
      </c>
      <c r="BT36" s="68">
        <f>IF('Marks Entry'!AJ36="","",'Marks Entry'!AJ36)</f>
        <v>46</v>
      </c>
      <c r="BU36" s="515">
        <f t="shared" si="29"/>
        <v>70</v>
      </c>
      <c r="BV36" s="68">
        <f>IF('Marks Entry'!AK36="","",'Marks Entry'!AK36)</f>
        <v>45</v>
      </c>
      <c r="BW36" s="96">
        <f t="shared" si="30"/>
        <v>115</v>
      </c>
      <c r="BX36" s="65">
        <f t="shared" si="31"/>
        <v>0</v>
      </c>
      <c r="BY36" s="65">
        <f t="shared" si="32"/>
        <v>0</v>
      </c>
      <c r="BZ36" s="66">
        <f t="shared" si="33"/>
        <v>200</v>
      </c>
      <c r="CA36" s="65" t="str">
        <f t="shared" si="34"/>
        <v/>
      </c>
      <c r="CB36" s="65" t="str">
        <f t="shared" si="35"/>
        <v>P</v>
      </c>
      <c r="CC36" s="65" t="str">
        <f t="shared" si="36"/>
        <v>II</v>
      </c>
      <c r="CD36" s="66">
        <f t="shared" si="93"/>
        <v>0</v>
      </c>
      <c r="CE36" s="68">
        <f>IF('Marks Entry'!AL36="","",'Marks Entry'!AL36)</f>
        <v>8</v>
      </c>
      <c r="CF36" s="68">
        <f>IF('Marks Entry'!AM36="","",'Marks Entry'!AM36)</f>
        <v>8</v>
      </c>
      <c r="CG36" s="68">
        <f>IF('Marks Entry'!AN36="","",'Marks Entry'!AN36)</f>
        <v>8</v>
      </c>
      <c r="CH36" s="514">
        <f t="shared" si="37"/>
        <v>24</v>
      </c>
      <c r="CI36" s="68">
        <f>IF('Marks Entry'!AO36="","",'Marks Entry'!AO36)</f>
        <v>46</v>
      </c>
      <c r="CJ36" s="515">
        <f t="shared" si="38"/>
        <v>70</v>
      </c>
      <c r="CK36" s="68">
        <f>IF('Marks Entry'!AP36="","",'Marks Entry'!AP36)</f>
        <v>45</v>
      </c>
      <c r="CL36" s="96">
        <f t="shared" si="39"/>
        <v>115</v>
      </c>
      <c r="CM36" s="65">
        <f t="shared" si="40"/>
        <v>0</v>
      </c>
      <c r="CN36" s="65">
        <f t="shared" si="41"/>
        <v>0</v>
      </c>
      <c r="CO36" s="66">
        <f t="shared" si="42"/>
        <v>200</v>
      </c>
      <c r="CP36" s="65" t="str">
        <f t="shared" si="43"/>
        <v/>
      </c>
      <c r="CQ36" s="65" t="str">
        <f t="shared" si="44"/>
        <v>P</v>
      </c>
      <c r="CR36" s="65" t="str">
        <f t="shared" si="45"/>
        <v>II</v>
      </c>
      <c r="CS36" s="616" t="str">
        <f>IF('School Profile'!$D$20="NO","",IF('Marks Entry'!AQ36="","",IF('Marks Entry'!AQ36=1,'School Profile'!$I$29,IF('Marks Entry'!AQ36=2,'School Profile'!$I$30,IF('Marks Entry'!AQ36=3,'School Profile'!$I$31,IF('Marks Entry'!AQ36=4,'School Profile'!$I$32,IF('Marks Entry'!AQ36=5,'School Profile'!$I$33,IF('Marks Entry'!AQ36=6,'School Profile'!$I$34,IF('Marks Entry'!AQ36=7,'School Profile'!$I$35,IF('Marks Entry'!AQ36=8,'School Profile'!$I$36,IF('Marks Entry'!AQ36=9,'School Profile'!$I$37,IF('Marks Entry'!AQ36=10,'School Profile'!$I$38,IF('Marks Entry'!AQ36=11,'School Profile'!$I$39,"")))))))))))))</f>
        <v/>
      </c>
      <c r="CT36" s="68" t="str">
        <f>IF('School Profile'!$D$20="NO","",IF('Marks Entry'!AR36="","",'Marks Entry'!AR36))</f>
        <v/>
      </c>
      <c r="CU36" s="68" t="str">
        <f>IF('School Profile'!$D$20="NO","",IF('Marks Entry'!AS36="","",'Marks Entry'!AS36))</f>
        <v/>
      </c>
      <c r="CV36" s="68" t="str">
        <f>IF('School Profile'!$D$20="NO","",IF('Marks Entry'!AT36="","",'Marks Entry'!AT36))</f>
        <v/>
      </c>
      <c r="CW36" s="514" t="str">
        <f>IF('School Profile'!$D$20="NO","",IF(AND(CT36="",CU36="",CV36=""),"",SUM(CT36:CV36)))</f>
        <v/>
      </c>
      <c r="CX36" s="68" t="str">
        <f>IF('School Profile'!$D$20="NO","",IF('Marks Entry'!AU36="","",'Marks Entry'!AU36))</f>
        <v/>
      </c>
      <c r="CY36" s="68" t="str">
        <f>IF('School Profile'!$D$20="NO","",IF('Marks Entry'!AV36="","",'Marks Entry'!AV36))</f>
        <v/>
      </c>
      <c r="CZ36" s="515" t="str">
        <f>IF('School Profile'!$D$20="NO","",IF(AND(CX36="",CY36=""),"",SUM(CX36,CY36)))</f>
        <v/>
      </c>
      <c r="DA36" s="69" t="str">
        <f>IF('School Profile'!$D$20="NO","",IF(AND(CW36="",CZ36=""),"",SUM(CW36+CZ36)))</f>
        <v/>
      </c>
      <c r="DB36" s="68" t="str">
        <f>IF('School Profile'!$D$20="NO","",IF('Marks Entry'!AW36="","",'Marks Entry'!AW36))</f>
        <v/>
      </c>
      <c r="DC36" s="68" t="str">
        <f>IF('School Profile'!$D$20="NO","",IF('Marks Entry'!AX36="","",'Marks Entry'!AX36))</f>
        <v/>
      </c>
      <c r="DD36" s="515" t="str">
        <f>IF('School Profile'!$D$20="NO","",IF(AND(DB36="",DC36=""),"",SUM(DB36,DC36)))</f>
        <v/>
      </c>
      <c r="DE36" s="96" t="str">
        <f>IF('School Profile'!$D$20="NO","",IF(AND(DA36="",DD36=""),"",SUM(DA36,DD36)))</f>
        <v/>
      </c>
      <c r="DF36" s="532">
        <f t="shared" si="46"/>
        <v>0</v>
      </c>
      <c r="DG36" s="65">
        <f t="shared" si="47"/>
        <v>0</v>
      </c>
      <c r="DH36" s="66" t="str">
        <f t="shared" si="48"/>
        <v/>
      </c>
      <c r="DI36" s="65" t="str">
        <f t="shared" si="49"/>
        <v/>
      </c>
      <c r="DJ36" s="65" t="str">
        <f t="shared" si="50"/>
        <v/>
      </c>
      <c r="DK36" s="65" t="str">
        <f t="shared" si="51"/>
        <v/>
      </c>
      <c r="DL36" s="97" t="str">
        <f t="shared" si="94"/>
        <v>II</v>
      </c>
      <c r="DM36" s="97" t="str">
        <f t="shared" si="95"/>
        <v>D</v>
      </c>
      <c r="DN36" s="97" t="str">
        <f t="shared" si="96"/>
        <v>II</v>
      </c>
      <c r="DO36" s="97" t="str">
        <f t="shared" si="97"/>
        <v>II</v>
      </c>
      <c r="DP36" s="97" t="str">
        <f t="shared" si="98"/>
        <v>II</v>
      </c>
      <c r="DQ36" s="97" t="str">
        <f t="shared" si="99"/>
        <v>II</v>
      </c>
      <c r="DR36" s="97" t="str">
        <f t="shared" si="100"/>
        <v/>
      </c>
      <c r="DS36" s="98">
        <f t="shared" si="101"/>
        <v>0</v>
      </c>
      <c r="DT36" s="98">
        <f t="shared" si="102"/>
        <v>0</v>
      </c>
      <c r="DU36" s="98">
        <f t="shared" si="103"/>
        <v>0</v>
      </c>
      <c r="DV36" s="98">
        <f t="shared" si="104"/>
        <v>0</v>
      </c>
      <c r="DW36" s="98">
        <f t="shared" si="105"/>
        <v>0</v>
      </c>
      <c r="DX36" s="98" t="str">
        <f t="shared" si="106"/>
        <v/>
      </c>
      <c r="DY36" s="99" t="str">
        <f t="shared" si="107"/>
        <v>PASS</v>
      </c>
      <c r="DZ36" s="74" t="str">
        <f>IF('Marks Entry'!AY36="","",'Marks Entry'!AY36)</f>
        <v/>
      </c>
      <c r="EA36" s="74" t="str">
        <f>IF('Marks Entry'!AZ36="","",'Marks Entry'!AZ36)</f>
        <v/>
      </c>
      <c r="EB36" s="74" t="str">
        <f>IF('Marks Entry'!BA36="","",'Marks Entry'!BA36)</f>
        <v/>
      </c>
      <c r="EC36" s="527" t="str">
        <f t="shared" si="52"/>
        <v/>
      </c>
      <c r="ED36" s="74" t="str">
        <f>IF('Marks Entry'!BB36="","",'Marks Entry'!BB36)</f>
        <v/>
      </c>
      <c r="EE36" s="528" t="str">
        <f t="shared" si="53"/>
        <v/>
      </c>
      <c r="EF36" s="74" t="str">
        <f>IF('Marks Entry'!BC36="","",'Marks Entry'!BC36)</f>
        <v/>
      </c>
      <c r="EG36" s="530" t="str">
        <f t="shared" si="54"/>
        <v/>
      </c>
      <c r="EH36" s="368" t="str">
        <f t="shared" si="108"/>
        <v/>
      </c>
      <c r="EI36" s="65">
        <f t="shared" si="109"/>
        <v>0</v>
      </c>
      <c r="EJ36" s="65">
        <f t="shared" si="110"/>
        <v>0</v>
      </c>
      <c r="EK36" s="66" t="str">
        <f t="shared" si="111"/>
        <v/>
      </c>
      <c r="EL36" s="74" t="str">
        <f>IF('Marks Entry'!BD36="","",'Marks Entry'!BD36)</f>
        <v/>
      </c>
      <c r="EM36" s="74" t="str">
        <f>IF('Marks Entry'!BE36="","",'Marks Entry'!BE36)</f>
        <v/>
      </c>
      <c r="EN36" s="74" t="str">
        <f>IF('Marks Entry'!BF36="","",'Marks Entry'!BF36)</f>
        <v/>
      </c>
      <c r="EO36" s="527" t="str">
        <f t="shared" si="55"/>
        <v/>
      </c>
      <c r="EP36" s="74" t="str">
        <f>IF('Marks Entry'!BG36="","",'Marks Entry'!BG36)</f>
        <v/>
      </c>
      <c r="EQ36" s="74" t="str">
        <f>IF('Marks Entry'!BH36="","",'Marks Entry'!BH36)</f>
        <v/>
      </c>
      <c r="ER36" s="528" t="str">
        <f t="shared" si="56"/>
        <v/>
      </c>
      <c r="ES36" s="529" t="str">
        <f t="shared" si="57"/>
        <v/>
      </c>
      <c r="ET36" s="74" t="str">
        <f>IF('Marks Entry'!BI36="","",'Marks Entry'!BI36)</f>
        <v/>
      </c>
      <c r="EU36" s="74" t="str">
        <f>IF('Marks Entry'!BJ36="","",'Marks Entry'!BJ36)</f>
        <v/>
      </c>
      <c r="EV36" s="528" t="str">
        <f t="shared" si="58"/>
        <v/>
      </c>
      <c r="EW36" s="530" t="str">
        <f t="shared" si="59"/>
        <v/>
      </c>
      <c r="EX36" s="368" t="str">
        <f t="shared" si="112"/>
        <v/>
      </c>
      <c r="EY36" s="65">
        <f t="shared" si="113"/>
        <v>0</v>
      </c>
      <c r="EZ36" s="65">
        <f t="shared" si="114"/>
        <v>0</v>
      </c>
      <c r="FA36" s="66" t="str">
        <f t="shared" si="115"/>
        <v/>
      </c>
      <c r="FB36" s="74" t="str">
        <f>IF('Marks Entry'!BK36="","",'Marks Entry'!BK36)</f>
        <v/>
      </c>
      <c r="FC36" s="74" t="str">
        <f>IF('Marks Entry'!BL36="","",'Marks Entry'!BL36)</f>
        <v/>
      </c>
      <c r="FD36" s="74" t="str">
        <f>IF('Marks Entry'!BM36="","",'Marks Entry'!BM36)</f>
        <v/>
      </c>
      <c r="FE36" s="74" t="str">
        <f>IF('Marks Entry'!BN36="","",'Marks Entry'!BN36)</f>
        <v/>
      </c>
      <c r="FF36" s="74" t="str">
        <f>IF('Marks Entry'!BO36="","",'Marks Entry'!BO36)</f>
        <v/>
      </c>
      <c r="FG36" s="74" t="str">
        <f>IF('Marks Entry'!BP36="","",'Marks Entry'!BP36)</f>
        <v/>
      </c>
      <c r="FH36" s="527" t="str">
        <f t="shared" si="60"/>
        <v/>
      </c>
      <c r="FI36" s="74" t="str">
        <f>IF('Marks Entry'!BQ36="","",'Marks Entry'!BQ36)</f>
        <v/>
      </c>
      <c r="FJ36" s="74" t="str">
        <f>IF('Marks Entry'!BR36="","",'Marks Entry'!BR36)</f>
        <v/>
      </c>
      <c r="FK36" s="528" t="str">
        <f t="shared" si="61"/>
        <v/>
      </c>
      <c r="FL36" s="529" t="str">
        <f t="shared" si="62"/>
        <v/>
      </c>
      <c r="FM36" s="74" t="str">
        <f>IF('Marks Entry'!BS36="","",'Marks Entry'!BS36)</f>
        <v/>
      </c>
      <c r="FN36" s="74" t="str">
        <f>IF('Marks Entry'!BT36="","",'Marks Entry'!BT36)</f>
        <v/>
      </c>
      <c r="FO36" s="528" t="str">
        <f t="shared" si="63"/>
        <v/>
      </c>
      <c r="FP36" s="530" t="str">
        <f t="shared" si="64"/>
        <v/>
      </c>
      <c r="FQ36" s="368" t="str">
        <f t="shared" si="116"/>
        <v/>
      </c>
      <c r="FR36" s="65">
        <f t="shared" si="117"/>
        <v>0</v>
      </c>
      <c r="FS36" s="65">
        <f t="shared" si="118"/>
        <v>0</v>
      </c>
      <c r="FT36" s="66" t="str">
        <f t="shared" si="119"/>
        <v/>
      </c>
      <c r="FU36" s="74" t="str">
        <f>IF('Marks Entry'!BU36="","",'Marks Entry'!BU36)</f>
        <v/>
      </c>
      <c r="FV36" s="74" t="str">
        <f>IF('Marks Entry'!BV36="","",'Marks Entry'!BV36)</f>
        <v/>
      </c>
      <c r="FW36" s="74" t="str">
        <f>IF('Marks Entry'!BW36="","",'Marks Entry'!BW36)</f>
        <v/>
      </c>
      <c r="FX36" s="75" t="str">
        <f t="shared" si="65"/>
        <v/>
      </c>
      <c r="FY36" s="368" t="str">
        <f t="shared" si="120"/>
        <v/>
      </c>
      <c r="FZ36" s="65">
        <f t="shared" si="121"/>
        <v>0</v>
      </c>
      <c r="GA36" s="66">
        <f t="shared" si="122"/>
        <v>0</v>
      </c>
      <c r="GB36" s="66" t="str">
        <f t="shared" si="123"/>
        <v/>
      </c>
      <c r="GC36" s="74" t="str">
        <f>IF('Marks Entry'!BX36="","",'Marks Entry'!BX36)</f>
        <v/>
      </c>
      <c r="GD36" s="74" t="str">
        <f>IF('Marks Entry'!BY36="","",'Marks Entry'!BY36)</f>
        <v/>
      </c>
      <c r="GE36" s="74" t="str">
        <f>IF('Marks Entry'!BZ36="","",'Marks Entry'!BZ36)</f>
        <v/>
      </c>
      <c r="GF36" s="75" t="str">
        <f t="shared" si="124"/>
        <v/>
      </c>
      <c r="GG36" s="368" t="str">
        <f t="shared" si="125"/>
        <v/>
      </c>
      <c r="GH36" s="65">
        <f t="shared" si="126"/>
        <v>0</v>
      </c>
      <c r="GI36" s="66">
        <f t="shared" si="127"/>
        <v>0</v>
      </c>
      <c r="GJ36" s="66" t="str">
        <f t="shared" si="128"/>
        <v/>
      </c>
      <c r="GK36" s="100" t="str">
        <f>IF(AND(F36="",B36=""),"",IF('Student DATA Entry'!M33="","",'Student DATA Entry'!M33))</f>
        <v/>
      </c>
      <c r="GL36" s="101" t="str">
        <f>IF(AND(B36="",F36=""),"",IF('Student DATA Entry'!N33="","",'Student DATA Entry'!N33))</f>
        <v/>
      </c>
      <c r="GM36" s="581" t="str">
        <f t="shared" si="129"/>
        <v/>
      </c>
      <c r="GN36" s="94" t="str">
        <f t="shared" si="130"/>
        <v>II</v>
      </c>
      <c r="GO36" s="94" t="str">
        <f t="shared" si="131"/>
        <v/>
      </c>
      <c r="GP36" s="102" t="str">
        <f t="shared" si="67"/>
        <v/>
      </c>
      <c r="GQ36" s="94" t="str">
        <f t="shared" si="132"/>
        <v>D</v>
      </c>
      <c r="GR36" s="103" t="str">
        <f t="shared" si="133"/>
        <v/>
      </c>
      <c r="GS36" s="102" t="str">
        <f t="shared" si="68"/>
        <v/>
      </c>
      <c r="GT36" s="104" t="str">
        <f t="shared" si="134"/>
        <v>II</v>
      </c>
      <c r="GU36" s="94" t="str">
        <f>IF('Marks Entry'!V36=1,GT36,"")</f>
        <v>II</v>
      </c>
      <c r="GV36" s="94" t="str">
        <f>IF('Marks Entry'!V36=2,GT36,"")</f>
        <v/>
      </c>
      <c r="GW36" s="94" t="str">
        <f>IF('Marks Entry'!V36=3,GT36,"")</f>
        <v/>
      </c>
      <c r="GX36" s="94" t="str">
        <f>IF('Marks Entry'!V36=4,GT36,"")</f>
        <v/>
      </c>
      <c r="GY36" s="94" t="str">
        <f>IF('Marks Entry'!V36=5,GT36,"")</f>
        <v/>
      </c>
      <c r="GZ36" s="94" t="str">
        <f t="shared" si="135"/>
        <v/>
      </c>
      <c r="HA36" s="105" t="str">
        <f t="shared" si="69"/>
        <v/>
      </c>
      <c r="HB36" s="94" t="str">
        <f t="shared" si="136"/>
        <v>II</v>
      </c>
      <c r="HC36" s="94" t="str">
        <f t="shared" si="137"/>
        <v/>
      </c>
      <c r="HD36" s="105" t="str">
        <f t="shared" si="70"/>
        <v/>
      </c>
      <c r="HE36" s="94" t="str">
        <f t="shared" si="138"/>
        <v>II</v>
      </c>
      <c r="HF36" s="94" t="str">
        <f t="shared" si="139"/>
        <v/>
      </c>
      <c r="HG36" s="105" t="str">
        <f t="shared" si="71"/>
        <v/>
      </c>
      <c r="HH36" s="94" t="str">
        <f t="shared" si="140"/>
        <v>II</v>
      </c>
      <c r="HI36" s="94" t="str">
        <f t="shared" si="141"/>
        <v/>
      </c>
      <c r="HJ36" s="105" t="str">
        <f t="shared" si="72"/>
        <v/>
      </c>
      <c r="HK36" s="94" t="str">
        <f t="shared" si="142"/>
        <v/>
      </c>
      <c r="HL36" s="94" t="str">
        <f t="shared" si="143"/>
        <v/>
      </c>
      <c r="HM36" s="105" t="str">
        <f t="shared" si="73"/>
        <v/>
      </c>
      <c r="HN36" s="367" t="str">
        <f t="shared" si="144"/>
        <v xml:space="preserve">      </v>
      </c>
      <c r="HO36" s="418" t="str">
        <f t="shared" si="145"/>
        <v xml:space="preserve">      </v>
      </c>
      <c r="HP36" s="367" t="str">
        <f t="shared" si="146"/>
        <v xml:space="preserve">      </v>
      </c>
      <c r="HQ36" s="107" t="str">
        <f t="shared" si="147"/>
        <v xml:space="preserve">      </v>
      </c>
      <c r="HR36" s="366" t="str">
        <f t="shared" si="148"/>
        <v xml:space="preserve"> अंग्रेजी     </v>
      </c>
      <c r="HS36" s="544" t="str">
        <f t="shared" si="74"/>
        <v>PASS</v>
      </c>
      <c r="HT36" s="542">
        <f t="shared" si="149"/>
        <v>738</v>
      </c>
      <c r="HU36" s="541">
        <f t="shared" si="160"/>
        <v>61.5</v>
      </c>
      <c r="HV36" s="540" t="str">
        <f t="shared" si="150"/>
        <v>1st</v>
      </c>
      <c r="HW36" s="537">
        <f t="shared" si="151"/>
        <v>61.5</v>
      </c>
      <c r="HX36" s="539">
        <f t="shared" si="152"/>
        <v>10.00000000000008</v>
      </c>
      <c r="HY36" s="553" t="str">
        <f>IFERROR(IF(OR(HS36="SUPPLEMENTARY",HS36="RE-EXAM"),'Supp. Result Entry'!AQ34,""),"")</f>
        <v/>
      </c>
      <c r="HZ36" s="538" t="str">
        <f t="shared" si="153"/>
        <v/>
      </c>
      <c r="IA36" s="415" t="str">
        <f t="shared" si="154"/>
        <v/>
      </c>
      <c r="IB36" s="415" t="str">
        <f>IF(AND(HZ36="",IA36=""),"",IF(OR(HS36="SUPPLEMENTARY",HS36="RE-EXAM"),'Supp. Result Entry'!AQ34,HS36))</f>
        <v/>
      </c>
      <c r="IC36" s="87"/>
      <c r="IS36" s="109" t="str">
        <f>IF('Supp. Result Entry'!T34="","",'Supp. Result Entry'!$T$4)</f>
        <v/>
      </c>
      <c r="IT36" s="110" t="str">
        <f>IF('Supp. Result Entry'!W34="","",'Supp. Result Entry'!$W$4)</f>
        <v/>
      </c>
      <c r="IU36" s="110" t="str">
        <f>IF('Supp. Result Entry'!Z34="","",'Supp. Result Entry'!$Z$4)</f>
        <v/>
      </c>
      <c r="IV36" s="110" t="str">
        <f>IF('Supp. Result Entry'!AC34="","",'Supp. Result Entry'!$AC$4)</f>
        <v/>
      </c>
      <c r="IW36" s="110" t="str">
        <f>IF('Supp. Result Entry'!AF34="","",'Supp. Result Entry'!$AF$4)</f>
        <v/>
      </c>
      <c r="IX36" s="110" t="str">
        <f>IF('Supp. Result Entry'!AI34="","",'Supp. Result Entry'!$AI$4)</f>
        <v/>
      </c>
      <c r="IY36" s="110" t="str">
        <f>IF('Supp. Result Entry'!AI34="","",'Supp. Result Entry'!$AL$4)</f>
        <v/>
      </c>
      <c r="IZ36" s="110" t="str">
        <f>IF('Supp. Result Entry'!U34="","",'Supp. Result Entry'!U34)</f>
        <v/>
      </c>
      <c r="JA36" s="110" t="str">
        <f>IF('Supp. Result Entry'!X34="","",'Supp. Result Entry'!X34)</f>
        <v/>
      </c>
      <c r="JB36" s="110" t="str">
        <f>IF('Supp. Result Entry'!AA34="","",'Supp. Result Entry'!AA34)</f>
        <v/>
      </c>
      <c r="JC36" s="110" t="str">
        <f>IF('Supp. Result Entry'!AD34="","",'Supp. Result Entry'!AD34)</f>
        <v/>
      </c>
      <c r="JD36" s="110" t="str">
        <f>IF('Supp. Result Entry'!AG34="","",'Supp. Result Entry'!AG34)</f>
        <v/>
      </c>
      <c r="JE36" s="110" t="str">
        <f>IF('Supp. Result Entry'!AJ34="","",'Supp. Result Entry'!AJ34)</f>
        <v/>
      </c>
      <c r="JF36" s="110" t="str">
        <f>IF('Supp. Result Entry'!AM34="","",'Supp. Result Entry'!AM34)</f>
        <v/>
      </c>
      <c r="JG36" s="110" t="str">
        <f>IF('Supp. Result Entry'!V34="","",'Supp. Result Entry'!V34)</f>
        <v/>
      </c>
      <c r="JH36" s="110" t="str">
        <f>IF('Supp. Result Entry'!Y34="","",'Supp. Result Entry'!Y34)</f>
        <v/>
      </c>
      <c r="JI36" s="110" t="str">
        <f>IF('Supp. Result Entry'!AB34="","",'Supp. Result Entry'!AB34)</f>
        <v/>
      </c>
      <c r="JJ36" s="110" t="str">
        <f>IF('Supp. Result Entry'!AE34="","",'Supp. Result Entry'!AE34)</f>
        <v/>
      </c>
      <c r="JK36" s="110" t="str">
        <f>IF('Supp. Result Entry'!AH34="","",'Supp. Result Entry'!AH34)</f>
        <v/>
      </c>
      <c r="JL36" s="110" t="str">
        <f>IF('Supp. Result Entry'!AK34="","",'Supp. Result Entry'!AK34)</f>
        <v/>
      </c>
      <c r="JM36" s="110" t="str">
        <f>IF('Supp. Result Entry'!AN34="","",'Supp. Result Entry'!AN34)</f>
        <v/>
      </c>
      <c r="JN36" s="110">
        <f>COUNTIF('Supp. Result Entry'!K34:Q34,"S")</f>
        <v>0</v>
      </c>
      <c r="JO36" s="110">
        <f t="shared" si="155"/>
        <v>0</v>
      </c>
      <c r="JP36" s="110">
        <f t="shared" si="156"/>
        <v>0</v>
      </c>
      <c r="JQ36" s="110" t="str">
        <f t="shared" si="75"/>
        <v/>
      </c>
      <c r="JR36" s="110" t="str">
        <f t="shared" si="76"/>
        <v/>
      </c>
      <c r="JS36" s="110" t="str">
        <f t="shared" si="77"/>
        <v/>
      </c>
      <c r="JT36" s="110" t="str">
        <f t="shared" si="78"/>
        <v/>
      </c>
      <c r="JU36" s="110" t="str">
        <f t="shared" si="79"/>
        <v/>
      </c>
      <c r="JV36" s="110" t="str">
        <f t="shared" si="80"/>
        <v/>
      </c>
      <c r="JW36" s="110" t="str">
        <f t="shared" si="81"/>
        <v/>
      </c>
      <c r="JX36" s="110" t="str">
        <f t="shared" si="157"/>
        <v/>
      </c>
      <c r="JY36" s="110" t="str">
        <f t="shared" si="158"/>
        <v/>
      </c>
      <c r="JZ36" s="110" t="str">
        <f t="shared" si="82"/>
        <v/>
      </c>
      <c r="KA36" s="108" t="str">
        <f t="shared" si="159"/>
        <v/>
      </c>
    </row>
    <row r="37" spans="1:287" s="108" customFormat="1" ht="21.95" customHeight="1">
      <c r="A37" s="89">
        <v>31</v>
      </c>
      <c r="B37" s="90">
        <f>IF('Marks Entry'!B37="","",'Marks Entry'!B37)</f>
        <v>931</v>
      </c>
      <c r="C37" s="94" t="str">
        <f>IF('Marks Entry'!D37="","",'Marks Entry'!D37)</f>
        <v>A</v>
      </c>
      <c r="D37" s="91" t="str">
        <f>IF('Marks Entry'!E37="","",'Marks Entry'!E37)</f>
        <v/>
      </c>
      <c r="E37" s="92" t="str">
        <f>IF('Marks Entry'!F37="","",'Marks Entry'!F37)</f>
        <v/>
      </c>
      <c r="F37" s="93" t="str">
        <f>IF('Marks Entry'!G37="","",'Marks Entry'!G37)</f>
        <v>RAVINDRA</v>
      </c>
      <c r="G37" s="93" t="str">
        <f>IF('Marks Entry'!H37="","",'Marks Entry'!H37)</f>
        <v/>
      </c>
      <c r="H37" s="93" t="str">
        <f>IF('Marks Entry'!I37="","",'Marks Entry'!I37)</f>
        <v/>
      </c>
      <c r="I37" s="94" t="str">
        <f>IF('Marks Entry'!J37="","",'Marks Entry'!J37)</f>
        <v/>
      </c>
      <c r="J37" s="95" t="str">
        <f>IF('Marks Entry'!K37="","",'Marks Entry'!K37)</f>
        <v/>
      </c>
      <c r="K37" s="68">
        <f>IF('Marks Entry'!L37="","",'Marks Entry'!L37)</f>
        <v>8</v>
      </c>
      <c r="L37" s="68">
        <f>IF('Marks Entry'!M37="","",'Marks Entry'!M37)</f>
        <v>9</v>
      </c>
      <c r="M37" s="68">
        <f>IF('Marks Entry'!N37="","",'Marks Entry'!N37)</f>
        <v>8</v>
      </c>
      <c r="N37" s="514">
        <f t="shared" si="83"/>
        <v>25</v>
      </c>
      <c r="O37" s="68">
        <f>IF('Marks Entry'!O37="","",'Marks Entry'!O37)</f>
        <v>46</v>
      </c>
      <c r="P37" s="515">
        <f t="shared" si="84"/>
        <v>71</v>
      </c>
      <c r="Q37" s="68">
        <f>IF('Marks Entry'!P37="","",'Marks Entry'!P37)</f>
        <v>45</v>
      </c>
      <c r="R37" s="96">
        <f t="shared" si="85"/>
        <v>116</v>
      </c>
      <c r="S37" s="65">
        <f t="shared" si="86"/>
        <v>0</v>
      </c>
      <c r="T37" s="65">
        <f t="shared" si="87"/>
        <v>0</v>
      </c>
      <c r="U37" s="66">
        <f t="shared" si="88"/>
        <v>200</v>
      </c>
      <c r="V37" s="65" t="str">
        <f t="shared" si="89"/>
        <v/>
      </c>
      <c r="W37" s="65" t="str">
        <f t="shared" si="90"/>
        <v>P</v>
      </c>
      <c r="X37" s="65" t="str">
        <f t="shared" si="91"/>
        <v>II</v>
      </c>
      <c r="Y37" s="68">
        <f>IF('Marks Entry'!Q37="","",'Marks Entry'!Q37)</f>
        <v>8</v>
      </c>
      <c r="Z37" s="68">
        <f>IF('Marks Entry'!R37="","",'Marks Entry'!R37)</f>
        <v>9</v>
      </c>
      <c r="AA37" s="68">
        <f>IF('Marks Entry'!S37="","",'Marks Entry'!S37)</f>
        <v>7</v>
      </c>
      <c r="AB37" s="514">
        <f t="shared" si="2"/>
        <v>24</v>
      </c>
      <c r="AC37" s="68">
        <f>IF('Marks Entry'!T37="","",'Marks Entry'!T37)</f>
        <v>60</v>
      </c>
      <c r="AD37" s="515">
        <f t="shared" si="3"/>
        <v>84</v>
      </c>
      <c r="AE37" s="68">
        <f>IF('Marks Entry'!U37="","",'Marks Entry'!U37)</f>
        <v>85</v>
      </c>
      <c r="AF37" s="96">
        <f t="shared" si="4"/>
        <v>169</v>
      </c>
      <c r="AG37" s="65">
        <f t="shared" si="5"/>
        <v>0</v>
      </c>
      <c r="AH37" s="65">
        <f t="shared" si="6"/>
        <v>0</v>
      </c>
      <c r="AI37" s="66">
        <f t="shared" si="7"/>
        <v>200</v>
      </c>
      <c r="AJ37" s="65" t="str">
        <f t="shared" si="8"/>
        <v/>
      </c>
      <c r="AK37" s="65" t="str">
        <f t="shared" si="9"/>
        <v>P</v>
      </c>
      <c r="AL37" s="65" t="str">
        <f t="shared" si="10"/>
        <v>D</v>
      </c>
      <c r="AM37" s="524" t="str">
        <f>IF('Marks Entry'!V37="","",IF('Marks Entry'!V37=1,'School Profile'!$I$9,IF('Marks Entry'!V37=2,'School Profile'!$I$10,IF('Marks Entry'!V37=3,'School Profile'!$I$11,IF('Marks Entry'!V37=4,'School Profile'!$I$12,IF('Marks Entry'!V37=5,'School Profile'!$I$13,IF('Marks Entry'!V37=6,'School Profile'!$I$14,"")))))))</f>
        <v>संस्कृत (71)</v>
      </c>
      <c r="AN37" s="68">
        <f>IF('Marks Entry'!W37="","",'Marks Entry'!W37)</f>
        <v>8</v>
      </c>
      <c r="AO37" s="68">
        <f>IF('Marks Entry'!X37="","",'Marks Entry'!X37)</f>
        <v>9</v>
      </c>
      <c r="AP37" s="68" t="str">
        <f>IF('Marks Entry'!Y37="","",'Marks Entry'!Y37)</f>
        <v/>
      </c>
      <c r="AQ37" s="514">
        <f t="shared" si="11"/>
        <v>17</v>
      </c>
      <c r="AR37" s="68">
        <f>IF('Marks Entry'!Z37="","",'Marks Entry'!Z37)</f>
        <v>46</v>
      </c>
      <c r="AS37" s="515">
        <f t="shared" si="12"/>
        <v>63</v>
      </c>
      <c r="AT37" s="68">
        <f>IF('Marks Entry'!AA37="","",'Marks Entry'!AA37)</f>
        <v>45</v>
      </c>
      <c r="AU37" s="96">
        <f t="shared" si="13"/>
        <v>108</v>
      </c>
      <c r="AV37" s="65">
        <f t="shared" si="14"/>
        <v>0</v>
      </c>
      <c r="AW37" s="65">
        <f t="shared" si="15"/>
        <v>0</v>
      </c>
      <c r="AX37" s="66">
        <f t="shared" si="16"/>
        <v>200</v>
      </c>
      <c r="AY37" s="65" t="str">
        <f t="shared" si="17"/>
        <v/>
      </c>
      <c r="AZ37" s="65" t="str">
        <f t="shared" si="18"/>
        <v>P</v>
      </c>
      <c r="BA37" s="65" t="str">
        <f t="shared" si="19"/>
        <v>II</v>
      </c>
      <c r="BB37" s="68">
        <f>IF('Marks Entry'!AB37="","",'Marks Entry'!AB37)</f>
        <v>8</v>
      </c>
      <c r="BC37" s="68">
        <f>IF('Marks Entry'!AC37="","",'Marks Entry'!AC37)</f>
        <v>9</v>
      </c>
      <c r="BD37" s="68">
        <f>IF('Marks Entry'!AD37="","",'Marks Entry'!AD37)</f>
        <v>8</v>
      </c>
      <c r="BE37" s="514">
        <f t="shared" si="20"/>
        <v>25</v>
      </c>
      <c r="BF37" s="68">
        <f>IF('Marks Entry'!AE37="","",'Marks Entry'!AE37)</f>
        <v>46</v>
      </c>
      <c r="BG37" s="515">
        <f t="shared" si="21"/>
        <v>71</v>
      </c>
      <c r="BH37" s="68">
        <f>IF('Marks Entry'!AF37="","",'Marks Entry'!AF37)</f>
        <v>45</v>
      </c>
      <c r="BI37" s="96">
        <f t="shared" si="22"/>
        <v>116</v>
      </c>
      <c r="BJ37" s="65">
        <f t="shared" si="23"/>
        <v>0</v>
      </c>
      <c r="BK37" s="65">
        <f t="shared" si="92"/>
        <v>0</v>
      </c>
      <c r="BL37" s="66">
        <f t="shared" si="24"/>
        <v>200</v>
      </c>
      <c r="BM37" s="65" t="str">
        <f t="shared" si="25"/>
        <v/>
      </c>
      <c r="BN37" s="65" t="str">
        <f t="shared" si="26"/>
        <v>P</v>
      </c>
      <c r="BO37" s="65" t="str">
        <f t="shared" si="27"/>
        <v>II</v>
      </c>
      <c r="BP37" s="68">
        <f>IF('Marks Entry'!AG37="","",'Marks Entry'!AG37)</f>
        <v>8</v>
      </c>
      <c r="BQ37" s="68">
        <f>IF('Marks Entry'!AH37="","",'Marks Entry'!AH37)</f>
        <v>9</v>
      </c>
      <c r="BR37" s="68">
        <f>IF('Marks Entry'!AI37="","",'Marks Entry'!AI37)</f>
        <v>7</v>
      </c>
      <c r="BS37" s="514">
        <f t="shared" si="28"/>
        <v>24</v>
      </c>
      <c r="BT37" s="68">
        <f>IF('Marks Entry'!AJ37="","",'Marks Entry'!AJ37)</f>
        <v>46</v>
      </c>
      <c r="BU37" s="515">
        <f t="shared" si="29"/>
        <v>70</v>
      </c>
      <c r="BV37" s="68">
        <f>IF('Marks Entry'!AK37="","",'Marks Entry'!AK37)</f>
        <v>45</v>
      </c>
      <c r="BW37" s="96">
        <f t="shared" si="30"/>
        <v>115</v>
      </c>
      <c r="BX37" s="65">
        <f t="shared" si="31"/>
        <v>0</v>
      </c>
      <c r="BY37" s="65">
        <f t="shared" si="32"/>
        <v>0</v>
      </c>
      <c r="BZ37" s="66">
        <f t="shared" si="33"/>
        <v>200</v>
      </c>
      <c r="CA37" s="65" t="str">
        <f t="shared" si="34"/>
        <v/>
      </c>
      <c r="CB37" s="65" t="str">
        <f t="shared" si="35"/>
        <v>P</v>
      </c>
      <c r="CC37" s="65" t="str">
        <f t="shared" si="36"/>
        <v>II</v>
      </c>
      <c r="CD37" s="66">
        <f t="shared" si="93"/>
        <v>0</v>
      </c>
      <c r="CE37" s="68">
        <f>IF('Marks Entry'!AL37="","",'Marks Entry'!AL37)</f>
        <v>8</v>
      </c>
      <c r="CF37" s="68">
        <f>IF('Marks Entry'!AM37="","",'Marks Entry'!AM37)</f>
        <v>8</v>
      </c>
      <c r="CG37" s="68">
        <f>IF('Marks Entry'!AN37="","",'Marks Entry'!AN37)</f>
        <v>8</v>
      </c>
      <c r="CH37" s="514">
        <f t="shared" si="37"/>
        <v>24</v>
      </c>
      <c r="CI37" s="68">
        <f>IF('Marks Entry'!AO37="","",'Marks Entry'!AO37)</f>
        <v>46</v>
      </c>
      <c r="CJ37" s="515">
        <f t="shared" si="38"/>
        <v>70</v>
      </c>
      <c r="CK37" s="68">
        <f>IF('Marks Entry'!AP37="","",'Marks Entry'!AP37)</f>
        <v>45</v>
      </c>
      <c r="CL37" s="96">
        <f t="shared" si="39"/>
        <v>115</v>
      </c>
      <c r="CM37" s="65">
        <f t="shared" si="40"/>
        <v>0</v>
      </c>
      <c r="CN37" s="65">
        <f t="shared" si="41"/>
        <v>0</v>
      </c>
      <c r="CO37" s="66">
        <f t="shared" si="42"/>
        <v>200</v>
      </c>
      <c r="CP37" s="65" t="str">
        <f t="shared" si="43"/>
        <v/>
      </c>
      <c r="CQ37" s="65" t="str">
        <f t="shared" si="44"/>
        <v>P</v>
      </c>
      <c r="CR37" s="65" t="str">
        <f t="shared" si="45"/>
        <v>II</v>
      </c>
      <c r="CS37" s="616" t="str">
        <f>IF('School Profile'!$D$20="NO","",IF('Marks Entry'!AQ37="","",IF('Marks Entry'!AQ37=1,'School Profile'!$I$29,IF('Marks Entry'!AQ37=2,'School Profile'!$I$30,IF('Marks Entry'!AQ37=3,'School Profile'!$I$31,IF('Marks Entry'!AQ37=4,'School Profile'!$I$32,IF('Marks Entry'!AQ37=5,'School Profile'!$I$33,IF('Marks Entry'!AQ37=6,'School Profile'!$I$34,IF('Marks Entry'!AQ37=7,'School Profile'!$I$35,IF('Marks Entry'!AQ37=8,'School Profile'!$I$36,IF('Marks Entry'!AQ37=9,'School Profile'!$I$37,IF('Marks Entry'!AQ37=10,'School Profile'!$I$38,IF('Marks Entry'!AQ37=11,'School Profile'!$I$39,"")))))))))))))</f>
        <v/>
      </c>
      <c r="CT37" s="68" t="str">
        <f>IF('School Profile'!$D$20="NO","",IF('Marks Entry'!AR37="","",'Marks Entry'!AR37))</f>
        <v/>
      </c>
      <c r="CU37" s="68" t="str">
        <f>IF('School Profile'!$D$20="NO","",IF('Marks Entry'!AS37="","",'Marks Entry'!AS37))</f>
        <v/>
      </c>
      <c r="CV37" s="68" t="str">
        <f>IF('School Profile'!$D$20="NO","",IF('Marks Entry'!AT37="","",'Marks Entry'!AT37))</f>
        <v/>
      </c>
      <c r="CW37" s="514" t="str">
        <f>IF('School Profile'!$D$20="NO","",IF(AND(CT37="",CU37="",CV37=""),"",SUM(CT37:CV37)))</f>
        <v/>
      </c>
      <c r="CX37" s="68" t="str">
        <f>IF('School Profile'!$D$20="NO","",IF('Marks Entry'!AU37="","",'Marks Entry'!AU37))</f>
        <v/>
      </c>
      <c r="CY37" s="68" t="str">
        <f>IF('School Profile'!$D$20="NO","",IF('Marks Entry'!AV37="","",'Marks Entry'!AV37))</f>
        <v/>
      </c>
      <c r="CZ37" s="515" t="str">
        <f>IF('School Profile'!$D$20="NO","",IF(AND(CX37="",CY37=""),"",SUM(CX37,CY37)))</f>
        <v/>
      </c>
      <c r="DA37" s="69" t="str">
        <f>IF('School Profile'!$D$20="NO","",IF(AND(CW37="",CZ37=""),"",SUM(CW37+CZ37)))</f>
        <v/>
      </c>
      <c r="DB37" s="68" t="str">
        <f>IF('School Profile'!$D$20="NO","",IF('Marks Entry'!AW37="","",'Marks Entry'!AW37))</f>
        <v/>
      </c>
      <c r="DC37" s="68" t="str">
        <f>IF('School Profile'!$D$20="NO","",IF('Marks Entry'!AX37="","",'Marks Entry'!AX37))</f>
        <v/>
      </c>
      <c r="DD37" s="515" t="str">
        <f>IF('School Profile'!$D$20="NO","",IF(AND(DB37="",DC37=""),"",SUM(DB37,DC37)))</f>
        <v/>
      </c>
      <c r="DE37" s="96" t="str">
        <f>IF('School Profile'!$D$20="NO","",IF(AND(DA37="",DD37=""),"",SUM(DA37,DD37)))</f>
        <v/>
      </c>
      <c r="DF37" s="532">
        <f t="shared" si="46"/>
        <v>0</v>
      </c>
      <c r="DG37" s="65">
        <f t="shared" si="47"/>
        <v>0</v>
      </c>
      <c r="DH37" s="66" t="str">
        <f t="shared" si="48"/>
        <v/>
      </c>
      <c r="DI37" s="65" t="str">
        <f t="shared" si="49"/>
        <v/>
      </c>
      <c r="DJ37" s="65" t="str">
        <f t="shared" si="50"/>
        <v/>
      </c>
      <c r="DK37" s="65" t="str">
        <f t="shared" si="51"/>
        <v/>
      </c>
      <c r="DL37" s="97" t="str">
        <f t="shared" si="94"/>
        <v>II</v>
      </c>
      <c r="DM37" s="97" t="str">
        <f t="shared" si="95"/>
        <v>D</v>
      </c>
      <c r="DN37" s="97" t="str">
        <f t="shared" si="96"/>
        <v>II</v>
      </c>
      <c r="DO37" s="97" t="str">
        <f t="shared" si="97"/>
        <v>II</v>
      </c>
      <c r="DP37" s="97" t="str">
        <f t="shared" si="98"/>
        <v>II</v>
      </c>
      <c r="DQ37" s="97" t="str">
        <f t="shared" si="99"/>
        <v>II</v>
      </c>
      <c r="DR37" s="97" t="str">
        <f t="shared" si="100"/>
        <v/>
      </c>
      <c r="DS37" s="98">
        <f t="shared" si="101"/>
        <v>0</v>
      </c>
      <c r="DT37" s="98">
        <f t="shared" si="102"/>
        <v>0</v>
      </c>
      <c r="DU37" s="98">
        <f t="shared" si="103"/>
        <v>0</v>
      </c>
      <c r="DV37" s="98">
        <f t="shared" si="104"/>
        <v>0</v>
      </c>
      <c r="DW37" s="98">
        <f t="shared" si="105"/>
        <v>0</v>
      </c>
      <c r="DX37" s="98" t="str">
        <f t="shared" si="106"/>
        <v/>
      </c>
      <c r="DY37" s="99" t="str">
        <f t="shared" si="107"/>
        <v>PASS</v>
      </c>
      <c r="DZ37" s="74" t="str">
        <f>IF('Marks Entry'!AY37="","",'Marks Entry'!AY37)</f>
        <v/>
      </c>
      <c r="EA37" s="74" t="str">
        <f>IF('Marks Entry'!AZ37="","",'Marks Entry'!AZ37)</f>
        <v/>
      </c>
      <c r="EB37" s="74" t="str">
        <f>IF('Marks Entry'!BA37="","",'Marks Entry'!BA37)</f>
        <v/>
      </c>
      <c r="EC37" s="527" t="str">
        <f t="shared" si="52"/>
        <v/>
      </c>
      <c r="ED37" s="74" t="str">
        <f>IF('Marks Entry'!BB37="","",'Marks Entry'!BB37)</f>
        <v/>
      </c>
      <c r="EE37" s="528" t="str">
        <f t="shared" si="53"/>
        <v/>
      </c>
      <c r="EF37" s="74" t="str">
        <f>IF('Marks Entry'!BC37="","",'Marks Entry'!BC37)</f>
        <v/>
      </c>
      <c r="EG37" s="530" t="str">
        <f t="shared" si="54"/>
        <v/>
      </c>
      <c r="EH37" s="368" t="str">
        <f t="shared" si="108"/>
        <v/>
      </c>
      <c r="EI37" s="65">
        <f t="shared" si="109"/>
        <v>0</v>
      </c>
      <c r="EJ37" s="65">
        <f t="shared" si="110"/>
        <v>0</v>
      </c>
      <c r="EK37" s="66" t="str">
        <f t="shared" si="111"/>
        <v/>
      </c>
      <c r="EL37" s="74" t="str">
        <f>IF('Marks Entry'!BD37="","",'Marks Entry'!BD37)</f>
        <v/>
      </c>
      <c r="EM37" s="74" t="str">
        <f>IF('Marks Entry'!BE37="","",'Marks Entry'!BE37)</f>
        <v/>
      </c>
      <c r="EN37" s="74" t="str">
        <f>IF('Marks Entry'!BF37="","",'Marks Entry'!BF37)</f>
        <v/>
      </c>
      <c r="EO37" s="527" t="str">
        <f t="shared" si="55"/>
        <v/>
      </c>
      <c r="EP37" s="74" t="str">
        <f>IF('Marks Entry'!BG37="","",'Marks Entry'!BG37)</f>
        <v/>
      </c>
      <c r="EQ37" s="74" t="str">
        <f>IF('Marks Entry'!BH37="","",'Marks Entry'!BH37)</f>
        <v/>
      </c>
      <c r="ER37" s="528" t="str">
        <f t="shared" si="56"/>
        <v/>
      </c>
      <c r="ES37" s="529" t="str">
        <f t="shared" si="57"/>
        <v/>
      </c>
      <c r="ET37" s="74" t="str">
        <f>IF('Marks Entry'!BI37="","",'Marks Entry'!BI37)</f>
        <v/>
      </c>
      <c r="EU37" s="74" t="str">
        <f>IF('Marks Entry'!BJ37="","",'Marks Entry'!BJ37)</f>
        <v/>
      </c>
      <c r="EV37" s="528" t="str">
        <f t="shared" si="58"/>
        <v/>
      </c>
      <c r="EW37" s="530" t="str">
        <f t="shared" si="59"/>
        <v/>
      </c>
      <c r="EX37" s="368" t="str">
        <f t="shared" si="112"/>
        <v/>
      </c>
      <c r="EY37" s="65">
        <f t="shared" si="113"/>
        <v>0</v>
      </c>
      <c r="EZ37" s="65">
        <f t="shared" si="114"/>
        <v>0</v>
      </c>
      <c r="FA37" s="66" t="str">
        <f t="shared" si="115"/>
        <v/>
      </c>
      <c r="FB37" s="74" t="str">
        <f>IF('Marks Entry'!BK37="","",'Marks Entry'!BK37)</f>
        <v/>
      </c>
      <c r="FC37" s="74" t="str">
        <f>IF('Marks Entry'!BL37="","",'Marks Entry'!BL37)</f>
        <v/>
      </c>
      <c r="FD37" s="74" t="str">
        <f>IF('Marks Entry'!BM37="","",'Marks Entry'!BM37)</f>
        <v/>
      </c>
      <c r="FE37" s="74" t="str">
        <f>IF('Marks Entry'!BN37="","",'Marks Entry'!BN37)</f>
        <v/>
      </c>
      <c r="FF37" s="74" t="str">
        <f>IF('Marks Entry'!BO37="","",'Marks Entry'!BO37)</f>
        <v/>
      </c>
      <c r="FG37" s="74" t="str">
        <f>IF('Marks Entry'!BP37="","",'Marks Entry'!BP37)</f>
        <v/>
      </c>
      <c r="FH37" s="527" t="str">
        <f t="shared" si="60"/>
        <v/>
      </c>
      <c r="FI37" s="74" t="str">
        <f>IF('Marks Entry'!BQ37="","",'Marks Entry'!BQ37)</f>
        <v/>
      </c>
      <c r="FJ37" s="74" t="str">
        <f>IF('Marks Entry'!BR37="","",'Marks Entry'!BR37)</f>
        <v/>
      </c>
      <c r="FK37" s="528" t="str">
        <f t="shared" si="61"/>
        <v/>
      </c>
      <c r="FL37" s="529" t="str">
        <f t="shared" si="62"/>
        <v/>
      </c>
      <c r="FM37" s="74" t="str">
        <f>IF('Marks Entry'!BS37="","",'Marks Entry'!BS37)</f>
        <v/>
      </c>
      <c r="FN37" s="74" t="str">
        <f>IF('Marks Entry'!BT37="","",'Marks Entry'!BT37)</f>
        <v/>
      </c>
      <c r="FO37" s="528" t="str">
        <f t="shared" si="63"/>
        <v/>
      </c>
      <c r="FP37" s="530" t="str">
        <f t="shared" si="64"/>
        <v/>
      </c>
      <c r="FQ37" s="368" t="str">
        <f t="shared" si="116"/>
        <v/>
      </c>
      <c r="FR37" s="65">
        <f t="shared" si="117"/>
        <v>0</v>
      </c>
      <c r="FS37" s="65">
        <f t="shared" si="118"/>
        <v>0</v>
      </c>
      <c r="FT37" s="66" t="str">
        <f t="shared" si="119"/>
        <v/>
      </c>
      <c r="FU37" s="74" t="str">
        <f>IF('Marks Entry'!BU37="","",'Marks Entry'!BU37)</f>
        <v/>
      </c>
      <c r="FV37" s="74" t="str">
        <f>IF('Marks Entry'!BV37="","",'Marks Entry'!BV37)</f>
        <v/>
      </c>
      <c r="FW37" s="74" t="str">
        <f>IF('Marks Entry'!BW37="","",'Marks Entry'!BW37)</f>
        <v/>
      </c>
      <c r="FX37" s="75" t="str">
        <f t="shared" si="65"/>
        <v/>
      </c>
      <c r="FY37" s="368" t="str">
        <f t="shared" si="120"/>
        <v/>
      </c>
      <c r="FZ37" s="65">
        <f t="shared" si="121"/>
        <v>0</v>
      </c>
      <c r="GA37" s="66">
        <f t="shared" si="122"/>
        <v>0</v>
      </c>
      <c r="GB37" s="66" t="str">
        <f t="shared" si="123"/>
        <v/>
      </c>
      <c r="GC37" s="74" t="str">
        <f>IF('Marks Entry'!BX37="","",'Marks Entry'!BX37)</f>
        <v/>
      </c>
      <c r="GD37" s="74" t="str">
        <f>IF('Marks Entry'!BY37="","",'Marks Entry'!BY37)</f>
        <v/>
      </c>
      <c r="GE37" s="74" t="str">
        <f>IF('Marks Entry'!BZ37="","",'Marks Entry'!BZ37)</f>
        <v/>
      </c>
      <c r="GF37" s="75" t="str">
        <f t="shared" si="124"/>
        <v/>
      </c>
      <c r="GG37" s="368" t="str">
        <f t="shared" si="125"/>
        <v/>
      </c>
      <c r="GH37" s="65">
        <f t="shared" si="126"/>
        <v>0</v>
      </c>
      <c r="GI37" s="66">
        <f t="shared" si="127"/>
        <v>0</v>
      </c>
      <c r="GJ37" s="66" t="str">
        <f t="shared" si="128"/>
        <v/>
      </c>
      <c r="GK37" s="100" t="str">
        <f>IF(AND(F37="",B37=""),"",IF('Student DATA Entry'!M34="","",'Student DATA Entry'!M34))</f>
        <v/>
      </c>
      <c r="GL37" s="101" t="str">
        <f>IF(AND(B37="",F37=""),"",IF('Student DATA Entry'!N34="","",'Student DATA Entry'!N34))</f>
        <v/>
      </c>
      <c r="GM37" s="581" t="str">
        <f t="shared" si="129"/>
        <v/>
      </c>
      <c r="GN37" s="94" t="str">
        <f t="shared" si="130"/>
        <v>II</v>
      </c>
      <c r="GO37" s="94" t="str">
        <f t="shared" si="131"/>
        <v/>
      </c>
      <c r="GP37" s="102" t="str">
        <f t="shared" si="67"/>
        <v/>
      </c>
      <c r="GQ37" s="94" t="str">
        <f t="shared" si="132"/>
        <v>D</v>
      </c>
      <c r="GR37" s="103" t="str">
        <f t="shared" si="133"/>
        <v/>
      </c>
      <c r="GS37" s="102" t="str">
        <f t="shared" si="68"/>
        <v/>
      </c>
      <c r="GT37" s="104" t="str">
        <f t="shared" si="134"/>
        <v>II</v>
      </c>
      <c r="GU37" s="94" t="str">
        <f>IF('Marks Entry'!V37=1,GT37,"")</f>
        <v>II</v>
      </c>
      <c r="GV37" s="94" t="str">
        <f>IF('Marks Entry'!V37=2,GT37,"")</f>
        <v/>
      </c>
      <c r="GW37" s="94" t="str">
        <f>IF('Marks Entry'!V37=3,GT37,"")</f>
        <v/>
      </c>
      <c r="GX37" s="94" t="str">
        <f>IF('Marks Entry'!V37=4,GT37,"")</f>
        <v/>
      </c>
      <c r="GY37" s="94" t="str">
        <f>IF('Marks Entry'!V37=5,GT37,"")</f>
        <v/>
      </c>
      <c r="GZ37" s="94" t="str">
        <f t="shared" si="135"/>
        <v/>
      </c>
      <c r="HA37" s="105" t="str">
        <f t="shared" si="69"/>
        <v/>
      </c>
      <c r="HB37" s="94" t="str">
        <f t="shared" si="136"/>
        <v>II</v>
      </c>
      <c r="HC37" s="94" t="str">
        <f t="shared" si="137"/>
        <v/>
      </c>
      <c r="HD37" s="105" t="str">
        <f t="shared" si="70"/>
        <v/>
      </c>
      <c r="HE37" s="94" t="str">
        <f t="shared" si="138"/>
        <v>II</v>
      </c>
      <c r="HF37" s="94" t="str">
        <f t="shared" si="139"/>
        <v/>
      </c>
      <c r="HG37" s="105" t="str">
        <f t="shared" si="71"/>
        <v/>
      </c>
      <c r="HH37" s="94" t="str">
        <f t="shared" si="140"/>
        <v>II</v>
      </c>
      <c r="HI37" s="94" t="str">
        <f t="shared" si="141"/>
        <v/>
      </c>
      <c r="HJ37" s="105" t="str">
        <f t="shared" si="72"/>
        <v/>
      </c>
      <c r="HK37" s="94" t="str">
        <f t="shared" si="142"/>
        <v/>
      </c>
      <c r="HL37" s="94" t="str">
        <f t="shared" si="143"/>
        <v/>
      </c>
      <c r="HM37" s="105" t="str">
        <f t="shared" si="73"/>
        <v/>
      </c>
      <c r="HN37" s="367" t="str">
        <f t="shared" si="144"/>
        <v xml:space="preserve">      </v>
      </c>
      <c r="HO37" s="418" t="str">
        <f t="shared" si="145"/>
        <v xml:space="preserve">      </v>
      </c>
      <c r="HP37" s="367" t="str">
        <f t="shared" si="146"/>
        <v xml:space="preserve">      </v>
      </c>
      <c r="HQ37" s="107" t="str">
        <f t="shared" si="147"/>
        <v xml:space="preserve">      </v>
      </c>
      <c r="HR37" s="366" t="str">
        <f t="shared" si="148"/>
        <v xml:space="preserve"> अंग्रेजी     </v>
      </c>
      <c r="HS37" s="544" t="str">
        <f t="shared" si="74"/>
        <v>PASS</v>
      </c>
      <c r="HT37" s="542">
        <f t="shared" si="149"/>
        <v>739</v>
      </c>
      <c r="HU37" s="541">
        <f t="shared" si="160"/>
        <v>61.583333333333336</v>
      </c>
      <c r="HV37" s="540" t="str">
        <f t="shared" si="150"/>
        <v>1st</v>
      </c>
      <c r="HW37" s="537">
        <f t="shared" si="151"/>
        <v>61.583333333333336</v>
      </c>
      <c r="HX37" s="539">
        <f t="shared" si="152"/>
        <v>9.0000000000000799</v>
      </c>
      <c r="HY37" s="553" t="str">
        <f>IFERROR(IF(OR(HS37="SUPPLEMENTARY",HS37="RE-EXAM"),'Supp. Result Entry'!AQ35,""),"")</f>
        <v/>
      </c>
      <c r="HZ37" s="538" t="str">
        <f t="shared" si="153"/>
        <v/>
      </c>
      <c r="IA37" s="415" t="str">
        <f t="shared" si="154"/>
        <v/>
      </c>
      <c r="IB37" s="415" t="str">
        <f>IF(AND(HZ37="",IA37=""),"",IF(OR(HS37="SUPPLEMENTARY",HS37="RE-EXAM"),'Supp. Result Entry'!AQ35,HS37))</f>
        <v/>
      </c>
      <c r="IC37" s="87"/>
      <c r="ID37" s="111"/>
      <c r="IS37" s="109" t="str">
        <f>IF('Supp. Result Entry'!T35="","",'Supp. Result Entry'!$T$4)</f>
        <v/>
      </c>
      <c r="IT37" s="110" t="str">
        <f>IF('Supp. Result Entry'!W35="","",'Supp. Result Entry'!$W$4)</f>
        <v/>
      </c>
      <c r="IU37" s="110" t="str">
        <f>IF('Supp. Result Entry'!Z35="","",'Supp. Result Entry'!$Z$4)</f>
        <v/>
      </c>
      <c r="IV37" s="110" t="str">
        <f>IF('Supp. Result Entry'!AC35="","",'Supp. Result Entry'!$AC$4)</f>
        <v/>
      </c>
      <c r="IW37" s="110" t="str">
        <f>IF('Supp. Result Entry'!AF35="","",'Supp. Result Entry'!$AF$4)</f>
        <v/>
      </c>
      <c r="IX37" s="110" t="str">
        <f>IF('Supp. Result Entry'!AI35="","",'Supp. Result Entry'!$AI$4)</f>
        <v/>
      </c>
      <c r="IY37" s="110" t="str">
        <f>IF('Supp. Result Entry'!AI35="","",'Supp. Result Entry'!$AL$4)</f>
        <v/>
      </c>
      <c r="IZ37" s="110" t="str">
        <f>IF('Supp. Result Entry'!U35="","",'Supp. Result Entry'!U35)</f>
        <v/>
      </c>
      <c r="JA37" s="110" t="str">
        <f>IF('Supp. Result Entry'!X35="","",'Supp. Result Entry'!X35)</f>
        <v/>
      </c>
      <c r="JB37" s="110" t="str">
        <f>IF('Supp. Result Entry'!AA35="","",'Supp. Result Entry'!AA35)</f>
        <v/>
      </c>
      <c r="JC37" s="110" t="str">
        <f>IF('Supp. Result Entry'!AD35="","",'Supp. Result Entry'!AD35)</f>
        <v/>
      </c>
      <c r="JD37" s="110" t="str">
        <f>IF('Supp. Result Entry'!AG35="","",'Supp. Result Entry'!AG35)</f>
        <v/>
      </c>
      <c r="JE37" s="110" t="str">
        <f>IF('Supp. Result Entry'!AJ35="","",'Supp. Result Entry'!AJ35)</f>
        <v/>
      </c>
      <c r="JF37" s="110" t="str">
        <f>IF('Supp. Result Entry'!AM35="","",'Supp. Result Entry'!AM35)</f>
        <v/>
      </c>
      <c r="JG37" s="110" t="str">
        <f>IF('Supp. Result Entry'!V35="","",'Supp. Result Entry'!V35)</f>
        <v/>
      </c>
      <c r="JH37" s="110" t="str">
        <f>IF('Supp. Result Entry'!Y35="","",'Supp. Result Entry'!Y35)</f>
        <v/>
      </c>
      <c r="JI37" s="110" t="str">
        <f>IF('Supp. Result Entry'!AB35="","",'Supp. Result Entry'!AB35)</f>
        <v/>
      </c>
      <c r="JJ37" s="110" t="str">
        <f>IF('Supp. Result Entry'!AE35="","",'Supp. Result Entry'!AE35)</f>
        <v/>
      </c>
      <c r="JK37" s="110" t="str">
        <f>IF('Supp. Result Entry'!AH35="","",'Supp. Result Entry'!AH35)</f>
        <v/>
      </c>
      <c r="JL37" s="110" t="str">
        <f>IF('Supp. Result Entry'!AK35="","",'Supp. Result Entry'!AK35)</f>
        <v/>
      </c>
      <c r="JM37" s="110" t="str">
        <f>IF('Supp. Result Entry'!AN35="","",'Supp. Result Entry'!AN35)</f>
        <v/>
      </c>
      <c r="JN37" s="110">
        <f>COUNTIF('Supp. Result Entry'!K35:Q35,"S")</f>
        <v>0</v>
      </c>
      <c r="JO37" s="110">
        <f t="shared" si="155"/>
        <v>0</v>
      </c>
      <c r="JP37" s="110">
        <f t="shared" si="156"/>
        <v>0</v>
      </c>
      <c r="JQ37" s="110" t="str">
        <f t="shared" si="75"/>
        <v/>
      </c>
      <c r="JR37" s="110" t="str">
        <f t="shared" si="76"/>
        <v/>
      </c>
      <c r="JS37" s="110" t="str">
        <f t="shared" si="77"/>
        <v/>
      </c>
      <c r="JT37" s="110" t="str">
        <f t="shared" si="78"/>
        <v/>
      </c>
      <c r="JU37" s="110" t="str">
        <f t="shared" si="79"/>
        <v/>
      </c>
      <c r="JV37" s="110" t="str">
        <f t="shared" si="80"/>
        <v/>
      </c>
      <c r="JW37" s="110" t="str">
        <f t="shared" si="81"/>
        <v/>
      </c>
      <c r="JX37" s="110" t="str">
        <f t="shared" si="157"/>
        <v/>
      </c>
      <c r="JY37" s="110" t="str">
        <f t="shared" si="158"/>
        <v/>
      </c>
      <c r="JZ37" s="110" t="str">
        <f t="shared" si="82"/>
        <v/>
      </c>
      <c r="KA37" s="108" t="str">
        <f t="shared" si="159"/>
        <v/>
      </c>
    </row>
    <row r="38" spans="1:287" s="108" customFormat="1" ht="21.95" customHeight="1">
      <c r="A38" s="89">
        <v>32</v>
      </c>
      <c r="B38" s="90" t="str">
        <f>IF('Marks Entry'!B38="","",'Marks Entry'!B38)</f>
        <v/>
      </c>
      <c r="C38" s="94" t="str">
        <f>IF('Marks Entry'!D38="","",'Marks Entry'!D38)</f>
        <v/>
      </c>
      <c r="D38" s="91" t="str">
        <f>IF('Marks Entry'!E38="","",'Marks Entry'!E38)</f>
        <v/>
      </c>
      <c r="E38" s="92" t="str">
        <f>IF('Marks Entry'!F38="","",'Marks Entry'!F38)</f>
        <v/>
      </c>
      <c r="F38" s="93" t="str">
        <f>IF('Marks Entry'!G38="","",'Marks Entry'!G38)</f>
        <v/>
      </c>
      <c r="G38" s="93" t="str">
        <f>IF('Marks Entry'!H38="","",'Marks Entry'!H38)</f>
        <v/>
      </c>
      <c r="H38" s="93" t="str">
        <f>IF('Marks Entry'!I38="","",'Marks Entry'!I38)</f>
        <v/>
      </c>
      <c r="I38" s="94" t="str">
        <f>IF('Marks Entry'!J38="","",'Marks Entry'!J38)</f>
        <v/>
      </c>
      <c r="J38" s="95" t="str">
        <f>IF('Marks Entry'!K38="","",'Marks Entry'!K38)</f>
        <v/>
      </c>
      <c r="K38" s="68" t="str">
        <f>IF('Marks Entry'!L38="","",'Marks Entry'!L38)</f>
        <v/>
      </c>
      <c r="L38" s="68" t="str">
        <f>IF('Marks Entry'!M38="","",'Marks Entry'!M38)</f>
        <v/>
      </c>
      <c r="M38" s="68" t="str">
        <f>IF('Marks Entry'!N38="","",'Marks Entry'!N38)</f>
        <v/>
      </c>
      <c r="N38" s="514" t="str">
        <f t="shared" si="83"/>
        <v/>
      </c>
      <c r="O38" s="68" t="str">
        <f>IF('Marks Entry'!O38="","",'Marks Entry'!O38)</f>
        <v/>
      </c>
      <c r="P38" s="515" t="str">
        <f t="shared" si="84"/>
        <v/>
      </c>
      <c r="Q38" s="68" t="str">
        <f>IF('Marks Entry'!P38="","",'Marks Entry'!P38)</f>
        <v/>
      </c>
      <c r="R38" s="96" t="str">
        <f t="shared" si="85"/>
        <v/>
      </c>
      <c r="S38" s="65">
        <f t="shared" si="86"/>
        <v>0</v>
      </c>
      <c r="T38" s="65">
        <f t="shared" si="87"/>
        <v>0</v>
      </c>
      <c r="U38" s="66" t="str">
        <f t="shared" si="88"/>
        <v/>
      </c>
      <c r="V38" s="65" t="str">
        <f t="shared" si="89"/>
        <v/>
      </c>
      <c r="W38" s="65" t="str">
        <f t="shared" si="90"/>
        <v/>
      </c>
      <c r="X38" s="65" t="str">
        <f t="shared" si="91"/>
        <v/>
      </c>
      <c r="Y38" s="68" t="str">
        <f>IF('Marks Entry'!Q38="","",'Marks Entry'!Q38)</f>
        <v/>
      </c>
      <c r="Z38" s="68" t="str">
        <f>IF('Marks Entry'!R38="","",'Marks Entry'!R38)</f>
        <v/>
      </c>
      <c r="AA38" s="68" t="str">
        <f>IF('Marks Entry'!S38="","",'Marks Entry'!S38)</f>
        <v/>
      </c>
      <c r="AB38" s="514" t="str">
        <f t="shared" si="2"/>
        <v/>
      </c>
      <c r="AC38" s="68" t="str">
        <f>IF('Marks Entry'!T38="","",'Marks Entry'!T38)</f>
        <v/>
      </c>
      <c r="AD38" s="515" t="str">
        <f t="shared" si="3"/>
        <v/>
      </c>
      <c r="AE38" s="68" t="str">
        <f>IF('Marks Entry'!U38="","",'Marks Entry'!U38)</f>
        <v/>
      </c>
      <c r="AF38" s="96" t="str">
        <f t="shared" si="4"/>
        <v/>
      </c>
      <c r="AG38" s="65">
        <f t="shared" si="5"/>
        <v>0</v>
      </c>
      <c r="AH38" s="65">
        <f t="shared" si="6"/>
        <v>0</v>
      </c>
      <c r="AI38" s="66" t="str">
        <f t="shared" si="7"/>
        <v/>
      </c>
      <c r="AJ38" s="65" t="str">
        <f t="shared" si="8"/>
        <v/>
      </c>
      <c r="AK38" s="65" t="str">
        <f t="shared" si="9"/>
        <v/>
      </c>
      <c r="AL38" s="65" t="str">
        <f t="shared" si="10"/>
        <v/>
      </c>
      <c r="AM38" s="524" t="str">
        <f>IF('Marks Entry'!V38="","",IF('Marks Entry'!V38=1,'School Profile'!$I$9,IF('Marks Entry'!V38=2,'School Profile'!$I$10,IF('Marks Entry'!V38=3,'School Profile'!$I$11,IF('Marks Entry'!V38=4,'School Profile'!$I$12,IF('Marks Entry'!V38=5,'School Profile'!$I$13,IF('Marks Entry'!V38=6,'School Profile'!$I$14,"")))))))</f>
        <v/>
      </c>
      <c r="AN38" s="68" t="str">
        <f>IF('Marks Entry'!W38="","",'Marks Entry'!W38)</f>
        <v/>
      </c>
      <c r="AO38" s="68" t="str">
        <f>IF('Marks Entry'!X38="","",'Marks Entry'!X38)</f>
        <v/>
      </c>
      <c r="AP38" s="68" t="str">
        <f>IF('Marks Entry'!Y38="","",'Marks Entry'!Y38)</f>
        <v/>
      </c>
      <c r="AQ38" s="514" t="str">
        <f t="shared" si="11"/>
        <v/>
      </c>
      <c r="AR38" s="68" t="str">
        <f>IF('Marks Entry'!Z38="","",'Marks Entry'!Z38)</f>
        <v/>
      </c>
      <c r="AS38" s="515" t="str">
        <f t="shared" si="12"/>
        <v/>
      </c>
      <c r="AT38" s="68" t="str">
        <f>IF('Marks Entry'!AA38="","",'Marks Entry'!AA38)</f>
        <v/>
      </c>
      <c r="AU38" s="96" t="str">
        <f t="shared" si="13"/>
        <v/>
      </c>
      <c r="AV38" s="65">
        <f t="shared" si="14"/>
        <v>0</v>
      </c>
      <c r="AW38" s="65">
        <f t="shared" si="15"/>
        <v>0</v>
      </c>
      <c r="AX38" s="66" t="str">
        <f t="shared" si="16"/>
        <v/>
      </c>
      <c r="AY38" s="65" t="str">
        <f t="shared" si="17"/>
        <v/>
      </c>
      <c r="AZ38" s="65" t="str">
        <f t="shared" si="18"/>
        <v/>
      </c>
      <c r="BA38" s="65" t="str">
        <f t="shared" si="19"/>
        <v/>
      </c>
      <c r="BB38" s="68" t="str">
        <f>IF('Marks Entry'!AB38="","",'Marks Entry'!AB38)</f>
        <v/>
      </c>
      <c r="BC38" s="68" t="str">
        <f>IF('Marks Entry'!AC38="","",'Marks Entry'!AC38)</f>
        <v/>
      </c>
      <c r="BD38" s="68" t="str">
        <f>IF('Marks Entry'!AD38="","",'Marks Entry'!AD38)</f>
        <v/>
      </c>
      <c r="BE38" s="514" t="str">
        <f t="shared" si="20"/>
        <v/>
      </c>
      <c r="BF38" s="68" t="str">
        <f>IF('Marks Entry'!AE38="","",'Marks Entry'!AE38)</f>
        <v/>
      </c>
      <c r="BG38" s="515" t="str">
        <f t="shared" si="21"/>
        <v/>
      </c>
      <c r="BH38" s="68" t="str">
        <f>IF('Marks Entry'!AF38="","",'Marks Entry'!AF38)</f>
        <v/>
      </c>
      <c r="BI38" s="96" t="str">
        <f t="shared" si="22"/>
        <v/>
      </c>
      <c r="BJ38" s="65">
        <f t="shared" si="23"/>
        <v>0</v>
      </c>
      <c r="BK38" s="65">
        <f t="shared" si="92"/>
        <v>0</v>
      </c>
      <c r="BL38" s="66" t="str">
        <f t="shared" si="24"/>
        <v/>
      </c>
      <c r="BM38" s="65" t="str">
        <f t="shared" si="25"/>
        <v/>
      </c>
      <c r="BN38" s="65" t="str">
        <f t="shared" si="26"/>
        <v/>
      </c>
      <c r="BO38" s="65" t="str">
        <f t="shared" si="27"/>
        <v/>
      </c>
      <c r="BP38" s="68" t="str">
        <f>IF('Marks Entry'!AG38="","",'Marks Entry'!AG38)</f>
        <v/>
      </c>
      <c r="BQ38" s="68" t="str">
        <f>IF('Marks Entry'!AH38="","",'Marks Entry'!AH38)</f>
        <v/>
      </c>
      <c r="BR38" s="68" t="str">
        <f>IF('Marks Entry'!AI38="","",'Marks Entry'!AI38)</f>
        <v/>
      </c>
      <c r="BS38" s="514" t="str">
        <f t="shared" si="28"/>
        <v/>
      </c>
      <c r="BT38" s="68" t="str">
        <f>IF('Marks Entry'!AJ38="","",'Marks Entry'!AJ38)</f>
        <v/>
      </c>
      <c r="BU38" s="515" t="str">
        <f t="shared" si="29"/>
        <v/>
      </c>
      <c r="BV38" s="68" t="str">
        <f>IF('Marks Entry'!AK38="","",'Marks Entry'!AK38)</f>
        <v/>
      </c>
      <c r="BW38" s="96" t="str">
        <f t="shared" si="30"/>
        <v/>
      </c>
      <c r="BX38" s="65">
        <f t="shared" si="31"/>
        <v>0</v>
      </c>
      <c r="BY38" s="65">
        <f t="shared" si="32"/>
        <v>0</v>
      </c>
      <c r="BZ38" s="66" t="str">
        <f t="shared" si="33"/>
        <v/>
      </c>
      <c r="CA38" s="65" t="str">
        <f t="shared" si="34"/>
        <v/>
      </c>
      <c r="CB38" s="65" t="str">
        <f t="shared" si="35"/>
        <v/>
      </c>
      <c r="CC38" s="65" t="str">
        <f t="shared" si="36"/>
        <v/>
      </c>
      <c r="CD38" s="66">
        <f t="shared" si="93"/>
        <v>0</v>
      </c>
      <c r="CE38" s="68" t="str">
        <f>IF('Marks Entry'!AL38="","",'Marks Entry'!AL38)</f>
        <v/>
      </c>
      <c r="CF38" s="68" t="str">
        <f>IF('Marks Entry'!AM38="","",'Marks Entry'!AM38)</f>
        <v/>
      </c>
      <c r="CG38" s="68" t="str">
        <f>IF('Marks Entry'!AN38="","",'Marks Entry'!AN38)</f>
        <v/>
      </c>
      <c r="CH38" s="514" t="str">
        <f t="shared" si="37"/>
        <v/>
      </c>
      <c r="CI38" s="68" t="str">
        <f>IF('Marks Entry'!AO38="","",'Marks Entry'!AO38)</f>
        <v/>
      </c>
      <c r="CJ38" s="515" t="str">
        <f t="shared" si="38"/>
        <v/>
      </c>
      <c r="CK38" s="68" t="str">
        <f>IF('Marks Entry'!AP38="","",'Marks Entry'!AP38)</f>
        <v/>
      </c>
      <c r="CL38" s="96" t="str">
        <f t="shared" si="39"/>
        <v/>
      </c>
      <c r="CM38" s="65">
        <f t="shared" si="40"/>
        <v>0</v>
      </c>
      <c r="CN38" s="65">
        <f t="shared" si="41"/>
        <v>0</v>
      </c>
      <c r="CO38" s="66" t="str">
        <f t="shared" si="42"/>
        <v/>
      </c>
      <c r="CP38" s="65" t="str">
        <f t="shared" si="43"/>
        <v/>
      </c>
      <c r="CQ38" s="65" t="str">
        <f t="shared" si="44"/>
        <v/>
      </c>
      <c r="CR38" s="65" t="str">
        <f t="shared" si="45"/>
        <v/>
      </c>
      <c r="CS38" s="616" t="str">
        <f>IF('School Profile'!$D$20="NO","",IF('Marks Entry'!AQ38="","",IF('Marks Entry'!AQ38=1,'School Profile'!$I$29,IF('Marks Entry'!AQ38=2,'School Profile'!$I$30,IF('Marks Entry'!AQ38=3,'School Profile'!$I$31,IF('Marks Entry'!AQ38=4,'School Profile'!$I$32,IF('Marks Entry'!AQ38=5,'School Profile'!$I$33,IF('Marks Entry'!AQ38=6,'School Profile'!$I$34,IF('Marks Entry'!AQ38=7,'School Profile'!$I$35,IF('Marks Entry'!AQ38=8,'School Profile'!$I$36,IF('Marks Entry'!AQ38=9,'School Profile'!$I$37,IF('Marks Entry'!AQ38=10,'School Profile'!$I$38,IF('Marks Entry'!AQ38=11,'School Profile'!$I$39,"")))))))))))))</f>
        <v/>
      </c>
      <c r="CT38" s="68" t="str">
        <f>IF('School Profile'!$D$20="NO","",IF('Marks Entry'!AR38="","",'Marks Entry'!AR38))</f>
        <v/>
      </c>
      <c r="CU38" s="68" t="str">
        <f>IF('School Profile'!$D$20="NO","",IF('Marks Entry'!AS38="","",'Marks Entry'!AS38))</f>
        <v/>
      </c>
      <c r="CV38" s="68" t="str">
        <f>IF('School Profile'!$D$20="NO","",IF('Marks Entry'!AT38="","",'Marks Entry'!AT38))</f>
        <v/>
      </c>
      <c r="CW38" s="514" t="str">
        <f>IF('School Profile'!$D$20="NO","",IF(AND(CT38="",CU38="",CV38=""),"",SUM(CT38:CV38)))</f>
        <v/>
      </c>
      <c r="CX38" s="68" t="str">
        <f>IF('School Profile'!$D$20="NO","",IF('Marks Entry'!AU38="","",'Marks Entry'!AU38))</f>
        <v/>
      </c>
      <c r="CY38" s="68" t="str">
        <f>IF('School Profile'!$D$20="NO","",IF('Marks Entry'!AV38="","",'Marks Entry'!AV38))</f>
        <v/>
      </c>
      <c r="CZ38" s="515" t="str">
        <f>IF('School Profile'!$D$20="NO","",IF(AND(CX38="",CY38=""),"",SUM(CX38,CY38)))</f>
        <v/>
      </c>
      <c r="DA38" s="69" t="str">
        <f>IF('School Profile'!$D$20="NO","",IF(AND(CW38="",CZ38=""),"",SUM(CW38+CZ38)))</f>
        <v/>
      </c>
      <c r="DB38" s="68" t="str">
        <f>IF('School Profile'!$D$20="NO","",IF('Marks Entry'!AW38="","",'Marks Entry'!AW38))</f>
        <v/>
      </c>
      <c r="DC38" s="68" t="str">
        <f>IF('School Profile'!$D$20="NO","",IF('Marks Entry'!AX38="","",'Marks Entry'!AX38))</f>
        <v/>
      </c>
      <c r="DD38" s="515" t="str">
        <f>IF('School Profile'!$D$20="NO","",IF(AND(DB38="",DC38=""),"",SUM(DB38,DC38)))</f>
        <v/>
      </c>
      <c r="DE38" s="96" t="str">
        <f>IF('School Profile'!$D$20="NO","",IF(AND(DA38="",DD38=""),"",SUM(DA38,DD38)))</f>
        <v/>
      </c>
      <c r="DF38" s="532">
        <f t="shared" si="46"/>
        <v>0</v>
      </c>
      <c r="DG38" s="65">
        <f t="shared" si="47"/>
        <v>0</v>
      </c>
      <c r="DH38" s="66" t="str">
        <f t="shared" si="48"/>
        <v/>
      </c>
      <c r="DI38" s="65" t="str">
        <f t="shared" si="49"/>
        <v/>
      </c>
      <c r="DJ38" s="65" t="str">
        <f t="shared" si="50"/>
        <v/>
      </c>
      <c r="DK38" s="65" t="str">
        <f t="shared" si="51"/>
        <v/>
      </c>
      <c r="DL38" s="97" t="str">
        <f t="shared" si="94"/>
        <v/>
      </c>
      <c r="DM38" s="97" t="str">
        <f t="shared" si="95"/>
        <v/>
      </c>
      <c r="DN38" s="97" t="str">
        <f t="shared" si="96"/>
        <v/>
      </c>
      <c r="DO38" s="97" t="str">
        <f t="shared" si="97"/>
        <v/>
      </c>
      <c r="DP38" s="97" t="str">
        <f t="shared" si="98"/>
        <v/>
      </c>
      <c r="DQ38" s="97" t="str">
        <f t="shared" si="99"/>
        <v/>
      </c>
      <c r="DR38" s="97" t="str">
        <f t="shared" si="100"/>
        <v/>
      </c>
      <c r="DS38" s="98">
        <f t="shared" si="101"/>
        <v>0</v>
      </c>
      <c r="DT38" s="98">
        <f t="shared" si="102"/>
        <v>0</v>
      </c>
      <c r="DU38" s="98">
        <f t="shared" si="103"/>
        <v>0</v>
      </c>
      <c r="DV38" s="98">
        <f t="shared" si="104"/>
        <v>0</v>
      </c>
      <c r="DW38" s="98">
        <f t="shared" si="105"/>
        <v>0</v>
      </c>
      <c r="DX38" s="98" t="str">
        <f t="shared" si="106"/>
        <v/>
      </c>
      <c r="DY38" s="99" t="str">
        <f t="shared" si="107"/>
        <v/>
      </c>
      <c r="DZ38" s="74" t="str">
        <f>IF('Marks Entry'!AY38="","",'Marks Entry'!AY38)</f>
        <v/>
      </c>
      <c r="EA38" s="74" t="str">
        <f>IF('Marks Entry'!AZ38="","",'Marks Entry'!AZ38)</f>
        <v/>
      </c>
      <c r="EB38" s="74" t="str">
        <f>IF('Marks Entry'!BA38="","",'Marks Entry'!BA38)</f>
        <v/>
      </c>
      <c r="EC38" s="527" t="str">
        <f t="shared" si="52"/>
        <v/>
      </c>
      <c r="ED38" s="74" t="str">
        <f>IF('Marks Entry'!BB38="","",'Marks Entry'!BB38)</f>
        <v/>
      </c>
      <c r="EE38" s="528" t="str">
        <f t="shared" si="53"/>
        <v/>
      </c>
      <c r="EF38" s="74" t="str">
        <f>IF('Marks Entry'!BC38="","",'Marks Entry'!BC38)</f>
        <v/>
      </c>
      <c r="EG38" s="530" t="str">
        <f t="shared" si="54"/>
        <v/>
      </c>
      <c r="EH38" s="368" t="str">
        <f t="shared" si="108"/>
        <v/>
      </c>
      <c r="EI38" s="65">
        <f t="shared" si="109"/>
        <v>0</v>
      </c>
      <c r="EJ38" s="65">
        <f t="shared" si="110"/>
        <v>0</v>
      </c>
      <c r="EK38" s="66" t="str">
        <f t="shared" si="111"/>
        <v/>
      </c>
      <c r="EL38" s="74" t="str">
        <f>IF('Marks Entry'!BD38="","",'Marks Entry'!BD38)</f>
        <v/>
      </c>
      <c r="EM38" s="74" t="str">
        <f>IF('Marks Entry'!BE38="","",'Marks Entry'!BE38)</f>
        <v/>
      </c>
      <c r="EN38" s="74" t="str">
        <f>IF('Marks Entry'!BF38="","",'Marks Entry'!BF38)</f>
        <v/>
      </c>
      <c r="EO38" s="527" t="str">
        <f t="shared" si="55"/>
        <v/>
      </c>
      <c r="EP38" s="74" t="str">
        <f>IF('Marks Entry'!BG38="","",'Marks Entry'!BG38)</f>
        <v/>
      </c>
      <c r="EQ38" s="74" t="str">
        <f>IF('Marks Entry'!BH38="","",'Marks Entry'!BH38)</f>
        <v/>
      </c>
      <c r="ER38" s="528" t="str">
        <f t="shared" si="56"/>
        <v/>
      </c>
      <c r="ES38" s="529" t="str">
        <f t="shared" si="57"/>
        <v/>
      </c>
      <c r="ET38" s="74" t="str">
        <f>IF('Marks Entry'!BI38="","",'Marks Entry'!BI38)</f>
        <v/>
      </c>
      <c r="EU38" s="74" t="str">
        <f>IF('Marks Entry'!BJ38="","",'Marks Entry'!BJ38)</f>
        <v/>
      </c>
      <c r="EV38" s="528" t="str">
        <f t="shared" si="58"/>
        <v/>
      </c>
      <c r="EW38" s="530" t="str">
        <f t="shared" si="59"/>
        <v/>
      </c>
      <c r="EX38" s="368" t="str">
        <f t="shared" si="112"/>
        <v/>
      </c>
      <c r="EY38" s="65">
        <f t="shared" si="113"/>
        <v>0</v>
      </c>
      <c r="EZ38" s="65">
        <f t="shared" si="114"/>
        <v>0</v>
      </c>
      <c r="FA38" s="66" t="str">
        <f t="shared" si="115"/>
        <v/>
      </c>
      <c r="FB38" s="74" t="str">
        <f>IF('Marks Entry'!BK38="","",'Marks Entry'!BK38)</f>
        <v/>
      </c>
      <c r="FC38" s="74" t="str">
        <f>IF('Marks Entry'!BL38="","",'Marks Entry'!BL38)</f>
        <v/>
      </c>
      <c r="FD38" s="74" t="str">
        <f>IF('Marks Entry'!BM38="","",'Marks Entry'!BM38)</f>
        <v/>
      </c>
      <c r="FE38" s="74" t="str">
        <f>IF('Marks Entry'!BN38="","",'Marks Entry'!BN38)</f>
        <v/>
      </c>
      <c r="FF38" s="74" t="str">
        <f>IF('Marks Entry'!BO38="","",'Marks Entry'!BO38)</f>
        <v/>
      </c>
      <c r="FG38" s="74" t="str">
        <f>IF('Marks Entry'!BP38="","",'Marks Entry'!BP38)</f>
        <v/>
      </c>
      <c r="FH38" s="527" t="str">
        <f t="shared" si="60"/>
        <v/>
      </c>
      <c r="FI38" s="74" t="str">
        <f>IF('Marks Entry'!BQ38="","",'Marks Entry'!BQ38)</f>
        <v/>
      </c>
      <c r="FJ38" s="74" t="str">
        <f>IF('Marks Entry'!BR38="","",'Marks Entry'!BR38)</f>
        <v/>
      </c>
      <c r="FK38" s="528" t="str">
        <f t="shared" si="61"/>
        <v/>
      </c>
      <c r="FL38" s="529" t="str">
        <f t="shared" si="62"/>
        <v/>
      </c>
      <c r="FM38" s="74" t="str">
        <f>IF('Marks Entry'!BS38="","",'Marks Entry'!BS38)</f>
        <v/>
      </c>
      <c r="FN38" s="74" t="str">
        <f>IF('Marks Entry'!BT38="","",'Marks Entry'!BT38)</f>
        <v/>
      </c>
      <c r="FO38" s="528" t="str">
        <f t="shared" si="63"/>
        <v/>
      </c>
      <c r="FP38" s="530" t="str">
        <f t="shared" si="64"/>
        <v/>
      </c>
      <c r="FQ38" s="368" t="str">
        <f t="shared" si="116"/>
        <v/>
      </c>
      <c r="FR38" s="65">
        <f t="shared" si="117"/>
        <v>0</v>
      </c>
      <c r="FS38" s="65">
        <f t="shared" si="118"/>
        <v>0</v>
      </c>
      <c r="FT38" s="66" t="str">
        <f t="shared" si="119"/>
        <v/>
      </c>
      <c r="FU38" s="74" t="str">
        <f>IF('Marks Entry'!BU38="","",'Marks Entry'!BU38)</f>
        <v/>
      </c>
      <c r="FV38" s="74" t="str">
        <f>IF('Marks Entry'!BV38="","",'Marks Entry'!BV38)</f>
        <v/>
      </c>
      <c r="FW38" s="74" t="str">
        <f>IF('Marks Entry'!BW38="","",'Marks Entry'!BW38)</f>
        <v/>
      </c>
      <c r="FX38" s="75" t="str">
        <f t="shared" si="65"/>
        <v/>
      </c>
      <c r="FY38" s="368" t="str">
        <f t="shared" si="120"/>
        <v/>
      </c>
      <c r="FZ38" s="65">
        <f t="shared" si="121"/>
        <v>0</v>
      </c>
      <c r="GA38" s="66">
        <f t="shared" si="122"/>
        <v>0</v>
      </c>
      <c r="GB38" s="66" t="str">
        <f t="shared" si="123"/>
        <v/>
      </c>
      <c r="GC38" s="74" t="str">
        <f>IF('Marks Entry'!BX38="","",'Marks Entry'!BX38)</f>
        <v/>
      </c>
      <c r="GD38" s="74" t="str">
        <f>IF('Marks Entry'!BY38="","",'Marks Entry'!BY38)</f>
        <v/>
      </c>
      <c r="GE38" s="74" t="str">
        <f>IF('Marks Entry'!BZ38="","",'Marks Entry'!BZ38)</f>
        <v/>
      </c>
      <c r="GF38" s="75" t="str">
        <f t="shared" si="124"/>
        <v/>
      </c>
      <c r="GG38" s="368" t="str">
        <f t="shared" si="125"/>
        <v/>
      </c>
      <c r="GH38" s="65">
        <f t="shared" si="126"/>
        <v>0</v>
      </c>
      <c r="GI38" s="66">
        <f t="shared" si="127"/>
        <v>0</v>
      </c>
      <c r="GJ38" s="66" t="str">
        <f t="shared" si="128"/>
        <v/>
      </c>
      <c r="GK38" s="100" t="str">
        <f>IF(AND(F38="",B38=""),"",IF('Student DATA Entry'!M35="","",'Student DATA Entry'!M35))</f>
        <v/>
      </c>
      <c r="GL38" s="101" t="str">
        <f>IF(AND(B38="",F38=""),"",IF('Student DATA Entry'!N35="","",'Student DATA Entry'!N35))</f>
        <v/>
      </c>
      <c r="GM38" s="581" t="str">
        <f t="shared" si="129"/>
        <v/>
      </c>
      <c r="GN38" s="94" t="str">
        <f t="shared" si="130"/>
        <v/>
      </c>
      <c r="GO38" s="94" t="str">
        <f t="shared" si="131"/>
        <v/>
      </c>
      <c r="GP38" s="102" t="str">
        <f t="shared" si="67"/>
        <v/>
      </c>
      <c r="GQ38" s="94" t="str">
        <f t="shared" si="132"/>
        <v/>
      </c>
      <c r="GR38" s="103" t="str">
        <f t="shared" si="133"/>
        <v/>
      </c>
      <c r="GS38" s="102" t="str">
        <f t="shared" si="68"/>
        <v/>
      </c>
      <c r="GT38" s="104" t="str">
        <f t="shared" si="134"/>
        <v/>
      </c>
      <c r="GU38" s="94" t="str">
        <f>IF('Marks Entry'!V38=1,GT38,"")</f>
        <v/>
      </c>
      <c r="GV38" s="94" t="str">
        <f>IF('Marks Entry'!V38=2,GT38,"")</f>
        <v/>
      </c>
      <c r="GW38" s="94" t="str">
        <f>IF('Marks Entry'!V38=3,GT38,"")</f>
        <v/>
      </c>
      <c r="GX38" s="94" t="str">
        <f>IF('Marks Entry'!V38=4,GT38,"")</f>
        <v/>
      </c>
      <c r="GY38" s="94" t="str">
        <f>IF('Marks Entry'!V38=5,GT38,"")</f>
        <v/>
      </c>
      <c r="GZ38" s="94" t="str">
        <f t="shared" si="135"/>
        <v/>
      </c>
      <c r="HA38" s="105" t="str">
        <f t="shared" si="69"/>
        <v/>
      </c>
      <c r="HB38" s="94" t="str">
        <f t="shared" si="136"/>
        <v/>
      </c>
      <c r="HC38" s="94" t="str">
        <f t="shared" si="137"/>
        <v/>
      </c>
      <c r="HD38" s="105" t="str">
        <f t="shared" si="70"/>
        <v/>
      </c>
      <c r="HE38" s="94" t="str">
        <f t="shared" si="138"/>
        <v/>
      </c>
      <c r="HF38" s="94" t="str">
        <f t="shared" si="139"/>
        <v/>
      </c>
      <c r="HG38" s="105" t="str">
        <f t="shared" si="71"/>
        <v/>
      </c>
      <c r="HH38" s="94" t="str">
        <f t="shared" si="140"/>
        <v/>
      </c>
      <c r="HI38" s="94" t="str">
        <f t="shared" si="141"/>
        <v/>
      </c>
      <c r="HJ38" s="105" t="str">
        <f t="shared" si="72"/>
        <v/>
      </c>
      <c r="HK38" s="94" t="str">
        <f t="shared" si="142"/>
        <v/>
      </c>
      <c r="HL38" s="94" t="str">
        <f t="shared" si="143"/>
        <v/>
      </c>
      <c r="HM38" s="105" t="str">
        <f t="shared" si="73"/>
        <v/>
      </c>
      <c r="HN38" s="367" t="str">
        <f t="shared" si="144"/>
        <v xml:space="preserve">      </v>
      </c>
      <c r="HO38" s="418" t="str">
        <f t="shared" si="145"/>
        <v xml:space="preserve">      </v>
      </c>
      <c r="HP38" s="367" t="str">
        <f t="shared" si="146"/>
        <v xml:space="preserve">      </v>
      </c>
      <c r="HQ38" s="107" t="str">
        <f t="shared" si="147"/>
        <v xml:space="preserve">      </v>
      </c>
      <c r="HR38" s="366" t="str">
        <f t="shared" si="148"/>
        <v xml:space="preserve">      </v>
      </c>
      <c r="HS38" s="544" t="str">
        <f t="shared" si="74"/>
        <v/>
      </c>
      <c r="HT38" s="542" t="str">
        <f t="shared" si="149"/>
        <v/>
      </c>
      <c r="HU38" s="541" t="str">
        <f t="shared" si="160"/>
        <v/>
      </c>
      <c r="HV38" s="540" t="str">
        <f t="shared" si="150"/>
        <v/>
      </c>
      <c r="HW38" s="537" t="str">
        <f t="shared" si="151"/>
        <v/>
      </c>
      <c r="HX38" s="539" t="str">
        <f t="shared" si="152"/>
        <v/>
      </c>
      <c r="HY38" s="553" t="str">
        <f>IFERROR(IF(OR(HS38="SUPPLEMENTARY",HS38="RE-EXAM"),'Supp. Result Entry'!AQ36,""),"")</f>
        <v/>
      </c>
      <c r="HZ38" s="538" t="str">
        <f t="shared" si="153"/>
        <v/>
      </c>
      <c r="IA38" s="415" t="str">
        <f t="shared" si="154"/>
        <v/>
      </c>
      <c r="IB38" s="415" t="str">
        <f>IF(AND(HZ38="",IA38=""),"",IF(OR(HS38="SUPPLEMENTARY",HS38="RE-EXAM"),'Supp. Result Entry'!AQ36,HS38))</f>
        <v/>
      </c>
      <c r="IC38" s="87"/>
      <c r="ID38" s="111"/>
      <c r="IS38" s="109" t="str">
        <f>IF('Supp. Result Entry'!T36="","",'Supp. Result Entry'!$T$4)</f>
        <v/>
      </c>
      <c r="IT38" s="110" t="str">
        <f>IF('Supp. Result Entry'!W36="","",'Supp. Result Entry'!$W$4)</f>
        <v/>
      </c>
      <c r="IU38" s="110" t="str">
        <f>IF('Supp. Result Entry'!Z36="","",'Supp. Result Entry'!$Z$4)</f>
        <v/>
      </c>
      <c r="IV38" s="110" t="str">
        <f>IF('Supp. Result Entry'!AC36="","",'Supp. Result Entry'!$AC$4)</f>
        <v/>
      </c>
      <c r="IW38" s="110" t="str">
        <f>IF('Supp. Result Entry'!AF36="","",'Supp. Result Entry'!$AF$4)</f>
        <v/>
      </c>
      <c r="IX38" s="110" t="str">
        <f>IF('Supp. Result Entry'!AI36="","",'Supp. Result Entry'!$AI$4)</f>
        <v/>
      </c>
      <c r="IY38" s="110" t="str">
        <f>IF('Supp. Result Entry'!AI36="","",'Supp. Result Entry'!$AL$4)</f>
        <v/>
      </c>
      <c r="IZ38" s="110" t="str">
        <f>IF('Supp. Result Entry'!U36="","",'Supp. Result Entry'!U36)</f>
        <v/>
      </c>
      <c r="JA38" s="110" t="str">
        <f>IF('Supp. Result Entry'!X36="","",'Supp. Result Entry'!X36)</f>
        <v/>
      </c>
      <c r="JB38" s="110" t="str">
        <f>IF('Supp. Result Entry'!AA36="","",'Supp. Result Entry'!AA36)</f>
        <v/>
      </c>
      <c r="JC38" s="110" t="str">
        <f>IF('Supp. Result Entry'!AD36="","",'Supp. Result Entry'!AD36)</f>
        <v/>
      </c>
      <c r="JD38" s="110" t="str">
        <f>IF('Supp. Result Entry'!AG36="","",'Supp. Result Entry'!AG36)</f>
        <v/>
      </c>
      <c r="JE38" s="110" t="str">
        <f>IF('Supp. Result Entry'!AJ36="","",'Supp. Result Entry'!AJ36)</f>
        <v/>
      </c>
      <c r="JF38" s="110" t="str">
        <f>IF('Supp. Result Entry'!AM36="","",'Supp. Result Entry'!AM36)</f>
        <v/>
      </c>
      <c r="JG38" s="110" t="str">
        <f>IF('Supp. Result Entry'!V36="","",'Supp. Result Entry'!V36)</f>
        <v/>
      </c>
      <c r="JH38" s="110" t="str">
        <f>IF('Supp. Result Entry'!Y36="","",'Supp. Result Entry'!Y36)</f>
        <v/>
      </c>
      <c r="JI38" s="110" t="str">
        <f>IF('Supp. Result Entry'!AB36="","",'Supp. Result Entry'!AB36)</f>
        <v/>
      </c>
      <c r="JJ38" s="110" t="str">
        <f>IF('Supp. Result Entry'!AE36="","",'Supp. Result Entry'!AE36)</f>
        <v/>
      </c>
      <c r="JK38" s="110" t="str">
        <f>IF('Supp. Result Entry'!AH36="","",'Supp. Result Entry'!AH36)</f>
        <v/>
      </c>
      <c r="JL38" s="110" t="str">
        <f>IF('Supp. Result Entry'!AK36="","",'Supp. Result Entry'!AK36)</f>
        <v/>
      </c>
      <c r="JM38" s="110" t="str">
        <f>IF('Supp. Result Entry'!AN36="","",'Supp. Result Entry'!AN36)</f>
        <v/>
      </c>
      <c r="JN38" s="110">
        <f>COUNTIF('Supp. Result Entry'!K36:Q36,"S")</f>
        <v>0</v>
      </c>
      <c r="JO38" s="110">
        <f t="shared" si="155"/>
        <v>0</v>
      </c>
      <c r="JP38" s="110">
        <f t="shared" si="156"/>
        <v>0</v>
      </c>
      <c r="JQ38" s="110" t="str">
        <f t="shared" si="75"/>
        <v/>
      </c>
      <c r="JR38" s="110" t="str">
        <f t="shared" si="76"/>
        <v/>
      </c>
      <c r="JS38" s="110" t="str">
        <f t="shared" si="77"/>
        <v/>
      </c>
      <c r="JT38" s="110" t="str">
        <f t="shared" si="78"/>
        <v/>
      </c>
      <c r="JU38" s="110" t="str">
        <f t="shared" si="79"/>
        <v/>
      </c>
      <c r="JV38" s="110" t="str">
        <f t="shared" si="80"/>
        <v/>
      </c>
      <c r="JW38" s="110" t="str">
        <f t="shared" si="81"/>
        <v/>
      </c>
      <c r="JX38" s="110" t="str">
        <f t="shared" si="157"/>
        <v/>
      </c>
      <c r="JY38" s="110" t="str">
        <f t="shared" si="158"/>
        <v/>
      </c>
      <c r="JZ38" s="110" t="str">
        <f t="shared" si="82"/>
        <v/>
      </c>
      <c r="KA38" s="108" t="str">
        <f t="shared" si="159"/>
        <v/>
      </c>
    </row>
    <row r="39" spans="1:287" s="108" customFormat="1" ht="21.95" customHeight="1">
      <c r="A39" s="89">
        <v>33</v>
      </c>
      <c r="B39" s="90" t="str">
        <f>IF('Marks Entry'!B39="","",'Marks Entry'!B39)</f>
        <v/>
      </c>
      <c r="C39" s="94" t="str">
        <f>IF('Marks Entry'!D39="","",'Marks Entry'!D39)</f>
        <v/>
      </c>
      <c r="D39" s="91" t="str">
        <f>IF('Marks Entry'!E39="","",'Marks Entry'!E39)</f>
        <v/>
      </c>
      <c r="E39" s="92" t="str">
        <f>IF('Marks Entry'!F39="","",'Marks Entry'!F39)</f>
        <v/>
      </c>
      <c r="F39" s="93" t="str">
        <f>IF('Marks Entry'!G39="","",'Marks Entry'!G39)</f>
        <v/>
      </c>
      <c r="G39" s="93" t="str">
        <f>IF('Marks Entry'!H39="","",'Marks Entry'!H39)</f>
        <v/>
      </c>
      <c r="H39" s="93" t="str">
        <f>IF('Marks Entry'!I39="","",'Marks Entry'!I39)</f>
        <v/>
      </c>
      <c r="I39" s="94" t="str">
        <f>IF('Marks Entry'!J39="","",'Marks Entry'!J39)</f>
        <v/>
      </c>
      <c r="J39" s="95" t="str">
        <f>IF('Marks Entry'!K39="","",'Marks Entry'!K39)</f>
        <v/>
      </c>
      <c r="K39" s="68" t="str">
        <f>IF('Marks Entry'!L39="","",'Marks Entry'!L39)</f>
        <v/>
      </c>
      <c r="L39" s="68" t="str">
        <f>IF('Marks Entry'!M39="","",'Marks Entry'!M39)</f>
        <v/>
      </c>
      <c r="M39" s="68" t="str">
        <f>IF('Marks Entry'!N39="","",'Marks Entry'!N39)</f>
        <v/>
      </c>
      <c r="N39" s="514" t="str">
        <f t="shared" si="83"/>
        <v/>
      </c>
      <c r="O39" s="68" t="str">
        <f>IF('Marks Entry'!O39="","",'Marks Entry'!O39)</f>
        <v/>
      </c>
      <c r="P39" s="515" t="str">
        <f t="shared" si="84"/>
        <v/>
      </c>
      <c r="Q39" s="68" t="str">
        <f>IF('Marks Entry'!P39="","",'Marks Entry'!P39)</f>
        <v/>
      </c>
      <c r="R39" s="96" t="str">
        <f t="shared" si="85"/>
        <v/>
      </c>
      <c r="S39" s="65">
        <f t="shared" si="86"/>
        <v>0</v>
      </c>
      <c r="T39" s="65">
        <f t="shared" si="87"/>
        <v>0</v>
      </c>
      <c r="U39" s="66" t="str">
        <f t="shared" si="88"/>
        <v/>
      </c>
      <c r="V39" s="65" t="str">
        <f t="shared" si="89"/>
        <v/>
      </c>
      <c r="W39" s="65" t="str">
        <f t="shared" si="90"/>
        <v/>
      </c>
      <c r="X39" s="65" t="str">
        <f t="shared" si="91"/>
        <v/>
      </c>
      <c r="Y39" s="68" t="str">
        <f>IF('Marks Entry'!Q39="","",'Marks Entry'!Q39)</f>
        <v/>
      </c>
      <c r="Z39" s="68" t="str">
        <f>IF('Marks Entry'!R39="","",'Marks Entry'!R39)</f>
        <v/>
      </c>
      <c r="AA39" s="68" t="str">
        <f>IF('Marks Entry'!S39="","",'Marks Entry'!S39)</f>
        <v/>
      </c>
      <c r="AB39" s="514" t="str">
        <f t="shared" si="2"/>
        <v/>
      </c>
      <c r="AC39" s="68" t="str">
        <f>IF('Marks Entry'!T39="","",'Marks Entry'!T39)</f>
        <v/>
      </c>
      <c r="AD39" s="515" t="str">
        <f t="shared" si="3"/>
        <v/>
      </c>
      <c r="AE39" s="68" t="str">
        <f>IF('Marks Entry'!U39="","",'Marks Entry'!U39)</f>
        <v/>
      </c>
      <c r="AF39" s="96" t="str">
        <f t="shared" si="4"/>
        <v/>
      </c>
      <c r="AG39" s="65">
        <f t="shared" si="5"/>
        <v>0</v>
      </c>
      <c r="AH39" s="65">
        <f t="shared" si="6"/>
        <v>0</v>
      </c>
      <c r="AI39" s="66" t="str">
        <f t="shared" si="7"/>
        <v/>
      </c>
      <c r="AJ39" s="65" t="str">
        <f t="shared" si="8"/>
        <v/>
      </c>
      <c r="AK39" s="65" t="str">
        <f t="shared" si="9"/>
        <v/>
      </c>
      <c r="AL39" s="65" t="str">
        <f t="shared" si="10"/>
        <v/>
      </c>
      <c r="AM39" s="524" t="str">
        <f>IF('Marks Entry'!V39="","",IF('Marks Entry'!V39=1,'School Profile'!$I$9,IF('Marks Entry'!V39=2,'School Profile'!$I$10,IF('Marks Entry'!V39=3,'School Profile'!$I$11,IF('Marks Entry'!V39=4,'School Profile'!$I$12,IF('Marks Entry'!V39=5,'School Profile'!$I$13,IF('Marks Entry'!V39=6,'School Profile'!$I$14,"")))))))</f>
        <v/>
      </c>
      <c r="AN39" s="68" t="str">
        <f>IF('Marks Entry'!W39="","",'Marks Entry'!W39)</f>
        <v/>
      </c>
      <c r="AO39" s="68" t="str">
        <f>IF('Marks Entry'!X39="","",'Marks Entry'!X39)</f>
        <v/>
      </c>
      <c r="AP39" s="68" t="str">
        <f>IF('Marks Entry'!Y39="","",'Marks Entry'!Y39)</f>
        <v/>
      </c>
      <c r="AQ39" s="514" t="str">
        <f t="shared" si="11"/>
        <v/>
      </c>
      <c r="AR39" s="68" t="str">
        <f>IF('Marks Entry'!Z39="","",'Marks Entry'!Z39)</f>
        <v/>
      </c>
      <c r="AS39" s="515" t="str">
        <f t="shared" si="12"/>
        <v/>
      </c>
      <c r="AT39" s="68" t="str">
        <f>IF('Marks Entry'!AA39="","",'Marks Entry'!AA39)</f>
        <v/>
      </c>
      <c r="AU39" s="96" t="str">
        <f t="shared" si="13"/>
        <v/>
      </c>
      <c r="AV39" s="65">
        <f t="shared" si="14"/>
        <v>0</v>
      </c>
      <c r="AW39" s="65">
        <f t="shared" si="15"/>
        <v>0</v>
      </c>
      <c r="AX39" s="66" t="str">
        <f t="shared" si="16"/>
        <v/>
      </c>
      <c r="AY39" s="65" t="str">
        <f t="shared" si="17"/>
        <v/>
      </c>
      <c r="AZ39" s="65" t="str">
        <f t="shared" si="18"/>
        <v/>
      </c>
      <c r="BA39" s="65" t="str">
        <f t="shared" si="19"/>
        <v/>
      </c>
      <c r="BB39" s="68" t="str">
        <f>IF('Marks Entry'!AB39="","",'Marks Entry'!AB39)</f>
        <v/>
      </c>
      <c r="BC39" s="68" t="str">
        <f>IF('Marks Entry'!AC39="","",'Marks Entry'!AC39)</f>
        <v/>
      </c>
      <c r="BD39" s="68" t="str">
        <f>IF('Marks Entry'!AD39="","",'Marks Entry'!AD39)</f>
        <v/>
      </c>
      <c r="BE39" s="514" t="str">
        <f t="shared" si="20"/>
        <v/>
      </c>
      <c r="BF39" s="68" t="str">
        <f>IF('Marks Entry'!AE39="","",'Marks Entry'!AE39)</f>
        <v/>
      </c>
      <c r="BG39" s="515" t="str">
        <f t="shared" si="21"/>
        <v/>
      </c>
      <c r="BH39" s="68" t="str">
        <f>IF('Marks Entry'!AF39="","",'Marks Entry'!AF39)</f>
        <v/>
      </c>
      <c r="BI39" s="96" t="str">
        <f t="shared" si="22"/>
        <v/>
      </c>
      <c r="BJ39" s="65">
        <f t="shared" si="23"/>
        <v>0</v>
      </c>
      <c r="BK39" s="65">
        <f t="shared" si="92"/>
        <v>0</v>
      </c>
      <c r="BL39" s="66" t="str">
        <f t="shared" si="24"/>
        <v/>
      </c>
      <c r="BM39" s="65" t="str">
        <f t="shared" si="25"/>
        <v/>
      </c>
      <c r="BN39" s="65" t="str">
        <f t="shared" si="26"/>
        <v/>
      </c>
      <c r="BO39" s="65" t="str">
        <f t="shared" si="27"/>
        <v/>
      </c>
      <c r="BP39" s="68" t="str">
        <f>IF('Marks Entry'!AG39="","",'Marks Entry'!AG39)</f>
        <v/>
      </c>
      <c r="BQ39" s="68" t="str">
        <f>IF('Marks Entry'!AH39="","",'Marks Entry'!AH39)</f>
        <v/>
      </c>
      <c r="BR39" s="68" t="str">
        <f>IF('Marks Entry'!AI39="","",'Marks Entry'!AI39)</f>
        <v/>
      </c>
      <c r="BS39" s="514" t="str">
        <f t="shared" si="28"/>
        <v/>
      </c>
      <c r="BT39" s="68" t="str">
        <f>IF('Marks Entry'!AJ39="","",'Marks Entry'!AJ39)</f>
        <v/>
      </c>
      <c r="BU39" s="515" t="str">
        <f t="shared" si="29"/>
        <v/>
      </c>
      <c r="BV39" s="68" t="str">
        <f>IF('Marks Entry'!AK39="","",'Marks Entry'!AK39)</f>
        <v/>
      </c>
      <c r="BW39" s="96" t="str">
        <f t="shared" si="30"/>
        <v/>
      </c>
      <c r="BX39" s="65">
        <f t="shared" si="31"/>
        <v>0</v>
      </c>
      <c r="BY39" s="65">
        <f t="shared" si="32"/>
        <v>0</v>
      </c>
      <c r="BZ39" s="66" t="str">
        <f t="shared" si="33"/>
        <v/>
      </c>
      <c r="CA39" s="65" t="str">
        <f t="shared" si="34"/>
        <v/>
      </c>
      <c r="CB39" s="65" t="str">
        <f t="shared" si="35"/>
        <v/>
      </c>
      <c r="CC39" s="65" t="str">
        <f t="shared" si="36"/>
        <v/>
      </c>
      <c r="CD39" s="66">
        <f t="shared" ref="CD39:CD70" si="161">SUM(S39,T39,AG39,AH39,AV39,AW39,BJ39,BK39,BX39,BY39,CM39,CN39)</f>
        <v>0</v>
      </c>
      <c r="CE39" s="68" t="str">
        <f>IF('Marks Entry'!AL39="","",'Marks Entry'!AL39)</f>
        <v/>
      </c>
      <c r="CF39" s="68" t="str">
        <f>IF('Marks Entry'!AM39="","",'Marks Entry'!AM39)</f>
        <v/>
      </c>
      <c r="CG39" s="68" t="str">
        <f>IF('Marks Entry'!AN39="","",'Marks Entry'!AN39)</f>
        <v/>
      </c>
      <c r="CH39" s="514" t="str">
        <f t="shared" si="37"/>
        <v/>
      </c>
      <c r="CI39" s="68" t="str">
        <f>IF('Marks Entry'!AO39="","",'Marks Entry'!AO39)</f>
        <v/>
      </c>
      <c r="CJ39" s="515" t="str">
        <f t="shared" si="38"/>
        <v/>
      </c>
      <c r="CK39" s="68" t="str">
        <f>IF('Marks Entry'!AP39="","",'Marks Entry'!AP39)</f>
        <v/>
      </c>
      <c r="CL39" s="96" t="str">
        <f t="shared" si="39"/>
        <v/>
      </c>
      <c r="CM39" s="65">
        <f t="shared" si="40"/>
        <v>0</v>
      </c>
      <c r="CN39" s="65">
        <f t="shared" si="41"/>
        <v>0</v>
      </c>
      <c r="CO39" s="66" t="str">
        <f t="shared" si="42"/>
        <v/>
      </c>
      <c r="CP39" s="65" t="str">
        <f t="shared" si="43"/>
        <v/>
      </c>
      <c r="CQ39" s="65" t="str">
        <f t="shared" si="44"/>
        <v/>
      </c>
      <c r="CR39" s="65" t="str">
        <f t="shared" si="45"/>
        <v/>
      </c>
      <c r="CS39" s="616" t="str">
        <f>IF('School Profile'!$D$20="NO","",IF('Marks Entry'!AQ39="","",IF('Marks Entry'!AQ39=1,'School Profile'!$I$29,IF('Marks Entry'!AQ39=2,'School Profile'!$I$30,IF('Marks Entry'!AQ39=3,'School Profile'!$I$31,IF('Marks Entry'!AQ39=4,'School Profile'!$I$32,IF('Marks Entry'!AQ39=5,'School Profile'!$I$33,IF('Marks Entry'!AQ39=6,'School Profile'!$I$34,IF('Marks Entry'!AQ39=7,'School Profile'!$I$35,IF('Marks Entry'!AQ39=8,'School Profile'!$I$36,IF('Marks Entry'!AQ39=9,'School Profile'!$I$37,IF('Marks Entry'!AQ39=10,'School Profile'!$I$38,IF('Marks Entry'!AQ39=11,'School Profile'!$I$39,"")))))))))))))</f>
        <v/>
      </c>
      <c r="CT39" s="68" t="str">
        <f>IF('School Profile'!$D$20="NO","",IF('Marks Entry'!AR39="","",'Marks Entry'!AR39))</f>
        <v/>
      </c>
      <c r="CU39" s="68" t="str">
        <f>IF('School Profile'!$D$20="NO","",IF('Marks Entry'!AS39="","",'Marks Entry'!AS39))</f>
        <v/>
      </c>
      <c r="CV39" s="68" t="str">
        <f>IF('School Profile'!$D$20="NO","",IF('Marks Entry'!AT39="","",'Marks Entry'!AT39))</f>
        <v/>
      </c>
      <c r="CW39" s="514" t="str">
        <f>IF('School Profile'!$D$20="NO","",IF(AND(CT39="",CU39="",CV39=""),"",SUM(CT39:CV39)))</f>
        <v/>
      </c>
      <c r="CX39" s="68" t="str">
        <f>IF('School Profile'!$D$20="NO","",IF('Marks Entry'!AU39="","",'Marks Entry'!AU39))</f>
        <v/>
      </c>
      <c r="CY39" s="68" t="str">
        <f>IF('School Profile'!$D$20="NO","",IF('Marks Entry'!AV39="","",'Marks Entry'!AV39))</f>
        <v/>
      </c>
      <c r="CZ39" s="515" t="str">
        <f>IF('School Profile'!$D$20="NO","",IF(AND(CX39="",CY39=""),"",SUM(CX39,CY39)))</f>
        <v/>
      </c>
      <c r="DA39" s="69" t="str">
        <f>IF('School Profile'!$D$20="NO","",IF(AND(CW39="",CZ39=""),"",SUM(CW39+CZ39)))</f>
        <v/>
      </c>
      <c r="DB39" s="68" t="str">
        <f>IF('School Profile'!$D$20="NO","",IF('Marks Entry'!AW39="","",'Marks Entry'!AW39))</f>
        <v/>
      </c>
      <c r="DC39" s="68" t="str">
        <f>IF('School Profile'!$D$20="NO","",IF('Marks Entry'!AX39="","",'Marks Entry'!AX39))</f>
        <v/>
      </c>
      <c r="DD39" s="515" t="str">
        <f>IF('School Profile'!$D$20="NO","",IF(AND(DB39="",DC39=""),"",SUM(DB39,DC39)))</f>
        <v/>
      </c>
      <c r="DE39" s="96" t="str">
        <f>IF('School Profile'!$D$20="NO","",IF(AND(DA39="",DD39=""),"",SUM(DA39,DD39)))</f>
        <v/>
      </c>
      <c r="DF39" s="532">
        <f t="shared" si="46"/>
        <v>0</v>
      </c>
      <c r="DG39" s="65">
        <f t="shared" si="47"/>
        <v>0</v>
      </c>
      <c r="DH39" s="66" t="str">
        <f t="shared" si="48"/>
        <v/>
      </c>
      <c r="DI39" s="65" t="str">
        <f t="shared" si="49"/>
        <v/>
      </c>
      <c r="DJ39" s="65" t="str">
        <f t="shared" si="50"/>
        <v/>
      </c>
      <c r="DK39" s="65" t="str">
        <f t="shared" si="51"/>
        <v/>
      </c>
      <c r="DL39" s="97" t="str">
        <f t="shared" si="94"/>
        <v/>
      </c>
      <c r="DM39" s="97" t="str">
        <f t="shared" si="95"/>
        <v/>
      </c>
      <c r="DN39" s="97" t="str">
        <f t="shared" si="96"/>
        <v/>
      </c>
      <c r="DO39" s="97" t="str">
        <f t="shared" si="97"/>
        <v/>
      </c>
      <c r="DP39" s="97" t="str">
        <f t="shared" si="98"/>
        <v/>
      </c>
      <c r="DQ39" s="97" t="str">
        <f t="shared" si="99"/>
        <v/>
      </c>
      <c r="DR39" s="97" t="str">
        <f t="shared" si="100"/>
        <v/>
      </c>
      <c r="DS39" s="98">
        <f t="shared" si="101"/>
        <v>0</v>
      </c>
      <c r="DT39" s="98">
        <f t="shared" si="102"/>
        <v>0</v>
      </c>
      <c r="DU39" s="98">
        <f t="shared" si="103"/>
        <v>0</v>
      </c>
      <c r="DV39" s="98">
        <f t="shared" si="104"/>
        <v>0</v>
      </c>
      <c r="DW39" s="98">
        <f t="shared" si="105"/>
        <v>0</v>
      </c>
      <c r="DX39" s="98" t="str">
        <f t="shared" si="106"/>
        <v/>
      </c>
      <c r="DY39" s="99" t="str">
        <f t="shared" si="107"/>
        <v/>
      </c>
      <c r="DZ39" s="74" t="str">
        <f>IF('Marks Entry'!AY39="","",'Marks Entry'!AY39)</f>
        <v/>
      </c>
      <c r="EA39" s="74" t="str">
        <f>IF('Marks Entry'!AZ39="","",'Marks Entry'!AZ39)</f>
        <v/>
      </c>
      <c r="EB39" s="74" t="str">
        <f>IF('Marks Entry'!BA39="","",'Marks Entry'!BA39)</f>
        <v/>
      </c>
      <c r="EC39" s="527" t="str">
        <f t="shared" si="52"/>
        <v/>
      </c>
      <c r="ED39" s="74" t="str">
        <f>IF('Marks Entry'!BB39="","",'Marks Entry'!BB39)</f>
        <v/>
      </c>
      <c r="EE39" s="528" t="str">
        <f t="shared" si="53"/>
        <v/>
      </c>
      <c r="EF39" s="74" t="str">
        <f>IF('Marks Entry'!BC39="","",'Marks Entry'!BC39)</f>
        <v/>
      </c>
      <c r="EG39" s="530" t="str">
        <f t="shared" si="54"/>
        <v/>
      </c>
      <c r="EH39" s="368" t="str">
        <f t="shared" si="108"/>
        <v/>
      </c>
      <c r="EI39" s="65">
        <f t="shared" si="109"/>
        <v>0</v>
      </c>
      <c r="EJ39" s="65">
        <f t="shared" si="110"/>
        <v>0</v>
      </c>
      <c r="EK39" s="66" t="str">
        <f t="shared" si="111"/>
        <v/>
      </c>
      <c r="EL39" s="74" t="str">
        <f>IF('Marks Entry'!BD39="","",'Marks Entry'!BD39)</f>
        <v/>
      </c>
      <c r="EM39" s="74" t="str">
        <f>IF('Marks Entry'!BE39="","",'Marks Entry'!BE39)</f>
        <v/>
      </c>
      <c r="EN39" s="74" t="str">
        <f>IF('Marks Entry'!BF39="","",'Marks Entry'!BF39)</f>
        <v/>
      </c>
      <c r="EO39" s="527" t="str">
        <f t="shared" si="55"/>
        <v/>
      </c>
      <c r="EP39" s="74" t="str">
        <f>IF('Marks Entry'!BG39="","",'Marks Entry'!BG39)</f>
        <v/>
      </c>
      <c r="EQ39" s="74" t="str">
        <f>IF('Marks Entry'!BH39="","",'Marks Entry'!BH39)</f>
        <v/>
      </c>
      <c r="ER39" s="528" t="str">
        <f t="shared" si="56"/>
        <v/>
      </c>
      <c r="ES39" s="529" t="str">
        <f t="shared" si="57"/>
        <v/>
      </c>
      <c r="ET39" s="74" t="str">
        <f>IF('Marks Entry'!BI39="","",'Marks Entry'!BI39)</f>
        <v/>
      </c>
      <c r="EU39" s="74" t="str">
        <f>IF('Marks Entry'!BJ39="","",'Marks Entry'!BJ39)</f>
        <v/>
      </c>
      <c r="EV39" s="528" t="str">
        <f t="shared" si="58"/>
        <v/>
      </c>
      <c r="EW39" s="530" t="str">
        <f t="shared" si="59"/>
        <v/>
      </c>
      <c r="EX39" s="368" t="str">
        <f t="shared" si="112"/>
        <v/>
      </c>
      <c r="EY39" s="65">
        <f t="shared" si="113"/>
        <v>0</v>
      </c>
      <c r="EZ39" s="65">
        <f t="shared" si="114"/>
        <v>0</v>
      </c>
      <c r="FA39" s="66" t="str">
        <f t="shared" si="115"/>
        <v/>
      </c>
      <c r="FB39" s="74" t="str">
        <f>IF('Marks Entry'!BK39="","",'Marks Entry'!BK39)</f>
        <v/>
      </c>
      <c r="FC39" s="74" t="str">
        <f>IF('Marks Entry'!BL39="","",'Marks Entry'!BL39)</f>
        <v/>
      </c>
      <c r="FD39" s="74" t="str">
        <f>IF('Marks Entry'!BM39="","",'Marks Entry'!BM39)</f>
        <v/>
      </c>
      <c r="FE39" s="74" t="str">
        <f>IF('Marks Entry'!BN39="","",'Marks Entry'!BN39)</f>
        <v/>
      </c>
      <c r="FF39" s="74" t="str">
        <f>IF('Marks Entry'!BO39="","",'Marks Entry'!BO39)</f>
        <v/>
      </c>
      <c r="FG39" s="74" t="str">
        <f>IF('Marks Entry'!BP39="","",'Marks Entry'!BP39)</f>
        <v/>
      </c>
      <c r="FH39" s="527" t="str">
        <f t="shared" si="60"/>
        <v/>
      </c>
      <c r="FI39" s="74" t="str">
        <f>IF('Marks Entry'!BQ39="","",'Marks Entry'!BQ39)</f>
        <v/>
      </c>
      <c r="FJ39" s="74" t="str">
        <f>IF('Marks Entry'!BR39="","",'Marks Entry'!BR39)</f>
        <v/>
      </c>
      <c r="FK39" s="528" t="str">
        <f t="shared" si="61"/>
        <v/>
      </c>
      <c r="FL39" s="529" t="str">
        <f t="shared" si="62"/>
        <v/>
      </c>
      <c r="FM39" s="74" t="str">
        <f>IF('Marks Entry'!BS39="","",'Marks Entry'!BS39)</f>
        <v/>
      </c>
      <c r="FN39" s="74" t="str">
        <f>IF('Marks Entry'!BT39="","",'Marks Entry'!BT39)</f>
        <v/>
      </c>
      <c r="FO39" s="528" t="str">
        <f t="shared" si="63"/>
        <v/>
      </c>
      <c r="FP39" s="530" t="str">
        <f t="shared" si="64"/>
        <v/>
      </c>
      <c r="FQ39" s="368" t="str">
        <f t="shared" si="116"/>
        <v/>
      </c>
      <c r="FR39" s="65">
        <f t="shared" si="117"/>
        <v>0</v>
      </c>
      <c r="FS39" s="65">
        <f t="shared" si="118"/>
        <v>0</v>
      </c>
      <c r="FT39" s="66" t="str">
        <f t="shared" si="119"/>
        <v/>
      </c>
      <c r="FU39" s="74" t="str">
        <f>IF('Marks Entry'!BU39="","",'Marks Entry'!BU39)</f>
        <v/>
      </c>
      <c r="FV39" s="74" t="str">
        <f>IF('Marks Entry'!BV39="","",'Marks Entry'!BV39)</f>
        <v/>
      </c>
      <c r="FW39" s="74" t="str">
        <f>IF('Marks Entry'!BW39="","",'Marks Entry'!BW39)</f>
        <v/>
      </c>
      <c r="FX39" s="75" t="str">
        <f t="shared" si="65"/>
        <v/>
      </c>
      <c r="FY39" s="368" t="str">
        <f t="shared" si="120"/>
        <v/>
      </c>
      <c r="FZ39" s="65">
        <f t="shared" si="121"/>
        <v>0</v>
      </c>
      <c r="GA39" s="66">
        <f t="shared" si="122"/>
        <v>0</v>
      </c>
      <c r="GB39" s="66" t="str">
        <f t="shared" si="123"/>
        <v/>
      </c>
      <c r="GC39" s="74" t="str">
        <f>IF('Marks Entry'!BX39="","",'Marks Entry'!BX39)</f>
        <v/>
      </c>
      <c r="GD39" s="74" t="str">
        <f>IF('Marks Entry'!BY39="","",'Marks Entry'!BY39)</f>
        <v/>
      </c>
      <c r="GE39" s="74" t="str">
        <f>IF('Marks Entry'!BZ39="","",'Marks Entry'!BZ39)</f>
        <v/>
      </c>
      <c r="GF39" s="75" t="str">
        <f t="shared" si="124"/>
        <v/>
      </c>
      <c r="GG39" s="368" t="str">
        <f t="shared" si="125"/>
        <v/>
      </c>
      <c r="GH39" s="65">
        <f t="shared" si="126"/>
        <v>0</v>
      </c>
      <c r="GI39" s="66">
        <f t="shared" si="127"/>
        <v>0</v>
      </c>
      <c r="GJ39" s="66" t="str">
        <f t="shared" si="128"/>
        <v/>
      </c>
      <c r="GK39" s="100" t="str">
        <f>IF(AND(F39="",B39=""),"",IF('Student DATA Entry'!M36="","",'Student DATA Entry'!M36))</f>
        <v/>
      </c>
      <c r="GL39" s="101" t="str">
        <f>IF(AND(B39="",F39=""),"",IF('Student DATA Entry'!N36="","",'Student DATA Entry'!N36))</f>
        <v/>
      </c>
      <c r="GM39" s="581" t="str">
        <f t="shared" si="129"/>
        <v/>
      </c>
      <c r="GN39" s="94" t="str">
        <f t="shared" si="130"/>
        <v/>
      </c>
      <c r="GO39" s="94" t="str">
        <f t="shared" si="131"/>
        <v/>
      </c>
      <c r="GP39" s="102" t="str">
        <f t="shared" ref="GP39:GP70" si="162">IF(GN39="G",ROUNDUP(36%*U39-R39,0),"")</f>
        <v/>
      </c>
      <c r="GQ39" s="94" t="str">
        <f t="shared" si="132"/>
        <v/>
      </c>
      <c r="GR39" s="103" t="str">
        <f t="shared" si="133"/>
        <v/>
      </c>
      <c r="GS39" s="102" t="str">
        <f t="shared" ref="GS39:GS70" si="163">IF(GQ39="G",ROUNDUP(36%*AI39-AF39,0),"")</f>
        <v/>
      </c>
      <c r="GT39" s="104" t="str">
        <f t="shared" si="134"/>
        <v/>
      </c>
      <c r="GU39" s="94" t="str">
        <f>IF('Marks Entry'!V39=1,GT39,"")</f>
        <v/>
      </c>
      <c r="GV39" s="94" t="str">
        <f>IF('Marks Entry'!V39=2,GT39,"")</f>
        <v/>
      </c>
      <c r="GW39" s="94" t="str">
        <f>IF('Marks Entry'!V39=3,GT39,"")</f>
        <v/>
      </c>
      <c r="GX39" s="94" t="str">
        <f>IF('Marks Entry'!V39=4,GT39,"")</f>
        <v/>
      </c>
      <c r="GY39" s="94" t="str">
        <f>IF('Marks Entry'!V39=5,GT39,"")</f>
        <v/>
      </c>
      <c r="GZ39" s="94" t="str">
        <f t="shared" si="135"/>
        <v/>
      </c>
      <c r="HA39" s="105" t="str">
        <f t="shared" ref="HA39:HA70" si="164">IF(GT39="G",ROUNDUP(36%*AX39-AU39,0),"")</f>
        <v/>
      </c>
      <c r="HB39" s="94" t="str">
        <f t="shared" si="136"/>
        <v/>
      </c>
      <c r="HC39" s="94" t="str">
        <f t="shared" si="137"/>
        <v/>
      </c>
      <c r="HD39" s="105" t="str">
        <f t="shared" ref="HD39:HD70" si="165">IF(HB39="G",ROUNDUP(36%*BL39-BI39,0),"")</f>
        <v/>
      </c>
      <c r="HE39" s="94" t="str">
        <f t="shared" si="138"/>
        <v/>
      </c>
      <c r="HF39" s="94" t="str">
        <f t="shared" si="139"/>
        <v/>
      </c>
      <c r="HG39" s="105" t="str">
        <f t="shared" ref="HG39:HG70" si="166">IF(HE39="G",ROUNDUP(36%*BZ39-BW39,0),"")</f>
        <v/>
      </c>
      <c r="HH39" s="94" t="str">
        <f t="shared" si="140"/>
        <v/>
      </c>
      <c r="HI39" s="94" t="str">
        <f t="shared" si="141"/>
        <v/>
      </c>
      <c r="HJ39" s="105" t="str">
        <f t="shared" ref="HJ39:HJ70" si="167">IF(HH39="G",ROUNDUP(36%*CO39-CL39,0),"")</f>
        <v/>
      </c>
      <c r="HK39" s="94" t="str">
        <f t="shared" si="142"/>
        <v/>
      </c>
      <c r="HL39" s="94" t="str">
        <f t="shared" si="143"/>
        <v/>
      </c>
      <c r="HM39" s="105" t="str">
        <f t="shared" ref="HM39:HM70" si="168">IF(HK39="G",ROUNDUP(36%*DH39-DE39,0),"")</f>
        <v/>
      </c>
      <c r="HN39" s="367" t="str">
        <f t="shared" si="144"/>
        <v xml:space="preserve">      </v>
      </c>
      <c r="HO39" s="418" t="str">
        <f t="shared" ref="HO39:HO70" si="169">IF(COUNTIF(DL39:DR39,"F")&gt;0,"",CONCATENATE(IF(GN39="S",$GN$5,"")," ",IF(GQ39="S",$GQ$5,"")," ",IF(GU39="S",$GU$5,IF(GV39="S",$GV$5,IF(GW39="S",$GW$5,IF(GX39="S",$GX$5,IF(GY39="S",$GY$5,"")))))," ",IF(HB39="S",$HB$5,"")," ",IF(HE39="S",$HE$5,"")," ",IF(HH39="S",$HH$5,"")," ",IF(HK39="S",$HK$5,"")))</f>
        <v xml:space="preserve">      </v>
      </c>
      <c r="HP39" s="367" t="str">
        <f t="shared" si="146"/>
        <v xml:space="preserve">      </v>
      </c>
      <c r="HQ39" s="107" t="str">
        <f t="shared" si="147"/>
        <v xml:space="preserve">      </v>
      </c>
      <c r="HR39" s="366" t="str">
        <f t="shared" si="148"/>
        <v xml:space="preserve">      </v>
      </c>
      <c r="HS39" s="544" t="str">
        <f t="shared" ref="HS39:HS70" si="170">IF(B39="NSO","NSO",IF(AND(OR(DY39="PASS",DY39="BY GRACE PASS",DY39="RE-EXAM"),DX39="F"),"FAIL",IF(AND(OR(DY39="PASS",DY39="BY GRACE PASS"),DX39="RE"),"RE-EXAM",DY39)))</f>
        <v/>
      </c>
      <c r="HT39" s="542" t="str">
        <f t="shared" si="149"/>
        <v/>
      </c>
      <c r="HU39" s="541" t="str">
        <f t="shared" si="160"/>
        <v/>
      </c>
      <c r="HV39" s="540" t="str">
        <f t="shared" si="150"/>
        <v/>
      </c>
      <c r="HW39" s="537" t="str">
        <f t="shared" si="151"/>
        <v/>
      </c>
      <c r="HX39" s="539" t="str">
        <f t="shared" si="152"/>
        <v/>
      </c>
      <c r="HY39" s="553" t="str">
        <f>IFERROR(IF(OR(HS39="SUPPLEMENTARY",HS39="RE-EXAM"),'Supp. Result Entry'!AQ37,""),"")</f>
        <v/>
      </c>
      <c r="HZ39" s="538" t="str">
        <f t="shared" si="153"/>
        <v/>
      </c>
      <c r="IA39" s="415" t="str">
        <f t="shared" si="154"/>
        <v/>
      </c>
      <c r="IB39" s="415" t="str">
        <f>IF(AND(HZ39="",IA39=""),"",IF(OR(HS39="SUPPLEMENTARY",HS39="RE-EXAM"),'Supp. Result Entry'!AQ37,HS39))</f>
        <v/>
      </c>
      <c r="IC39" s="87"/>
      <c r="ID39" s="111"/>
      <c r="IS39" s="109" t="str">
        <f>IF('Supp. Result Entry'!T37="","",'Supp. Result Entry'!$T$4)</f>
        <v/>
      </c>
      <c r="IT39" s="110" t="str">
        <f>IF('Supp. Result Entry'!W37="","",'Supp. Result Entry'!$W$4)</f>
        <v/>
      </c>
      <c r="IU39" s="110" t="str">
        <f>IF('Supp. Result Entry'!Z37="","",'Supp. Result Entry'!$Z$4)</f>
        <v/>
      </c>
      <c r="IV39" s="110" t="str">
        <f>IF('Supp. Result Entry'!AC37="","",'Supp. Result Entry'!$AC$4)</f>
        <v/>
      </c>
      <c r="IW39" s="110" t="str">
        <f>IF('Supp. Result Entry'!AF37="","",'Supp. Result Entry'!$AF$4)</f>
        <v/>
      </c>
      <c r="IX39" s="110" t="str">
        <f>IF('Supp. Result Entry'!AI37="","",'Supp. Result Entry'!$AI$4)</f>
        <v/>
      </c>
      <c r="IY39" s="110" t="str">
        <f>IF('Supp. Result Entry'!AI37="","",'Supp. Result Entry'!$AL$4)</f>
        <v/>
      </c>
      <c r="IZ39" s="110" t="str">
        <f>IF('Supp. Result Entry'!U37="","",'Supp. Result Entry'!U37)</f>
        <v/>
      </c>
      <c r="JA39" s="110" t="str">
        <f>IF('Supp. Result Entry'!X37="","",'Supp. Result Entry'!X37)</f>
        <v/>
      </c>
      <c r="JB39" s="110" t="str">
        <f>IF('Supp. Result Entry'!AA37="","",'Supp. Result Entry'!AA37)</f>
        <v/>
      </c>
      <c r="JC39" s="110" t="str">
        <f>IF('Supp. Result Entry'!AD37="","",'Supp. Result Entry'!AD37)</f>
        <v/>
      </c>
      <c r="JD39" s="110" t="str">
        <f>IF('Supp. Result Entry'!AG37="","",'Supp. Result Entry'!AG37)</f>
        <v/>
      </c>
      <c r="JE39" s="110" t="str">
        <f>IF('Supp. Result Entry'!AJ37="","",'Supp. Result Entry'!AJ37)</f>
        <v/>
      </c>
      <c r="JF39" s="110" t="str">
        <f>IF('Supp. Result Entry'!AM37="","",'Supp. Result Entry'!AM37)</f>
        <v/>
      </c>
      <c r="JG39" s="110" t="str">
        <f>IF('Supp. Result Entry'!V37="","",'Supp. Result Entry'!V37)</f>
        <v/>
      </c>
      <c r="JH39" s="110" t="str">
        <f>IF('Supp. Result Entry'!Y37="","",'Supp. Result Entry'!Y37)</f>
        <v/>
      </c>
      <c r="JI39" s="110" t="str">
        <f>IF('Supp. Result Entry'!AB37="","",'Supp. Result Entry'!AB37)</f>
        <v/>
      </c>
      <c r="JJ39" s="110" t="str">
        <f>IF('Supp. Result Entry'!AE37="","",'Supp. Result Entry'!AE37)</f>
        <v/>
      </c>
      <c r="JK39" s="110" t="str">
        <f>IF('Supp. Result Entry'!AH37="","",'Supp. Result Entry'!AH37)</f>
        <v/>
      </c>
      <c r="JL39" s="110" t="str">
        <f>IF('Supp. Result Entry'!AK37="","",'Supp. Result Entry'!AK37)</f>
        <v/>
      </c>
      <c r="JM39" s="110" t="str">
        <f>IF('Supp. Result Entry'!AN37="","",'Supp. Result Entry'!AN37)</f>
        <v/>
      </c>
      <c r="JN39" s="110">
        <f>COUNTIF('Supp. Result Entry'!K37:Q37,"S")</f>
        <v>0</v>
      </c>
      <c r="JO39" s="110">
        <f t="shared" si="155"/>
        <v>0</v>
      </c>
      <c r="JP39" s="110">
        <f t="shared" si="156"/>
        <v>0</v>
      </c>
      <c r="JQ39" s="110" t="str">
        <f t="shared" si="75"/>
        <v/>
      </c>
      <c r="JR39" s="110" t="str">
        <f t="shared" si="76"/>
        <v/>
      </c>
      <c r="JS39" s="110" t="str">
        <f t="shared" si="77"/>
        <v/>
      </c>
      <c r="JT39" s="110" t="str">
        <f t="shared" si="78"/>
        <v/>
      </c>
      <c r="JU39" s="110" t="str">
        <f t="shared" si="79"/>
        <v/>
      </c>
      <c r="JV39" s="110" t="str">
        <f t="shared" si="80"/>
        <v/>
      </c>
      <c r="JW39" s="110" t="str">
        <f t="shared" si="81"/>
        <v/>
      </c>
      <c r="JX39" s="110" t="str">
        <f t="shared" si="157"/>
        <v/>
      </c>
      <c r="JY39" s="110" t="str">
        <f t="shared" si="158"/>
        <v/>
      </c>
      <c r="JZ39" s="110" t="str">
        <f t="shared" si="82"/>
        <v/>
      </c>
      <c r="KA39" s="108" t="str">
        <f t="shared" si="159"/>
        <v/>
      </c>
    </row>
    <row r="40" spans="1:287" s="108" customFormat="1" ht="21.95" customHeight="1">
      <c r="A40" s="89">
        <v>34</v>
      </c>
      <c r="B40" s="90" t="str">
        <f>IF('Marks Entry'!B40="","",'Marks Entry'!B40)</f>
        <v/>
      </c>
      <c r="C40" s="94" t="str">
        <f>IF('Marks Entry'!D40="","",'Marks Entry'!D40)</f>
        <v/>
      </c>
      <c r="D40" s="91" t="str">
        <f>IF('Marks Entry'!E40="","",'Marks Entry'!E40)</f>
        <v/>
      </c>
      <c r="E40" s="92" t="str">
        <f>IF('Marks Entry'!F40="","",'Marks Entry'!F40)</f>
        <v/>
      </c>
      <c r="F40" s="93" t="str">
        <f>IF('Marks Entry'!G40="","",'Marks Entry'!G40)</f>
        <v/>
      </c>
      <c r="G40" s="93" t="str">
        <f>IF('Marks Entry'!H40="","",'Marks Entry'!H40)</f>
        <v/>
      </c>
      <c r="H40" s="93" t="str">
        <f>IF('Marks Entry'!I40="","",'Marks Entry'!I40)</f>
        <v/>
      </c>
      <c r="I40" s="94" t="str">
        <f>IF('Marks Entry'!J40="","",'Marks Entry'!J40)</f>
        <v/>
      </c>
      <c r="J40" s="95" t="str">
        <f>IF('Marks Entry'!K40="","",'Marks Entry'!K40)</f>
        <v/>
      </c>
      <c r="K40" s="68" t="str">
        <f>IF('Marks Entry'!L40="","",'Marks Entry'!L40)</f>
        <v/>
      </c>
      <c r="L40" s="68" t="str">
        <f>IF('Marks Entry'!M40="","",'Marks Entry'!M40)</f>
        <v/>
      </c>
      <c r="M40" s="68" t="str">
        <f>IF('Marks Entry'!N40="","",'Marks Entry'!N40)</f>
        <v/>
      </c>
      <c r="N40" s="514" t="str">
        <f t="shared" si="83"/>
        <v/>
      </c>
      <c r="O40" s="68" t="str">
        <f>IF('Marks Entry'!O40="","",'Marks Entry'!O40)</f>
        <v/>
      </c>
      <c r="P40" s="515" t="str">
        <f t="shared" si="84"/>
        <v/>
      </c>
      <c r="Q40" s="68" t="str">
        <f>IF('Marks Entry'!P40="","",'Marks Entry'!P40)</f>
        <v/>
      </c>
      <c r="R40" s="96" t="str">
        <f t="shared" si="85"/>
        <v/>
      </c>
      <c r="S40" s="65">
        <f t="shared" si="86"/>
        <v>0</v>
      </c>
      <c r="T40" s="65">
        <f t="shared" si="87"/>
        <v>0</v>
      </c>
      <c r="U40" s="66" t="str">
        <f t="shared" si="88"/>
        <v/>
      </c>
      <c r="V40" s="65" t="str">
        <f t="shared" si="89"/>
        <v/>
      </c>
      <c r="W40" s="65" t="str">
        <f t="shared" si="90"/>
        <v/>
      </c>
      <c r="X40" s="65" t="str">
        <f t="shared" si="91"/>
        <v/>
      </c>
      <c r="Y40" s="68" t="str">
        <f>IF('Marks Entry'!Q40="","",'Marks Entry'!Q40)</f>
        <v/>
      </c>
      <c r="Z40" s="68" t="str">
        <f>IF('Marks Entry'!R40="","",'Marks Entry'!R40)</f>
        <v/>
      </c>
      <c r="AA40" s="68" t="str">
        <f>IF('Marks Entry'!S40="","",'Marks Entry'!S40)</f>
        <v/>
      </c>
      <c r="AB40" s="514" t="str">
        <f t="shared" si="2"/>
        <v/>
      </c>
      <c r="AC40" s="68" t="str">
        <f>IF('Marks Entry'!T40="","",'Marks Entry'!T40)</f>
        <v/>
      </c>
      <c r="AD40" s="515" t="str">
        <f t="shared" si="3"/>
        <v/>
      </c>
      <c r="AE40" s="68" t="str">
        <f>IF('Marks Entry'!U40="","",'Marks Entry'!U40)</f>
        <v/>
      </c>
      <c r="AF40" s="96" t="str">
        <f t="shared" si="4"/>
        <v/>
      </c>
      <c r="AG40" s="65">
        <f t="shared" si="5"/>
        <v>0</v>
      </c>
      <c r="AH40" s="65">
        <f t="shared" si="6"/>
        <v>0</v>
      </c>
      <c r="AI40" s="66" t="str">
        <f t="shared" si="7"/>
        <v/>
      </c>
      <c r="AJ40" s="65" t="str">
        <f t="shared" si="8"/>
        <v/>
      </c>
      <c r="AK40" s="65" t="str">
        <f t="shared" si="9"/>
        <v/>
      </c>
      <c r="AL40" s="65" t="str">
        <f t="shared" si="10"/>
        <v/>
      </c>
      <c r="AM40" s="524" t="str">
        <f>IF('Marks Entry'!V40="","",IF('Marks Entry'!V40=1,'School Profile'!$I$9,IF('Marks Entry'!V40=2,'School Profile'!$I$10,IF('Marks Entry'!V40=3,'School Profile'!$I$11,IF('Marks Entry'!V40=4,'School Profile'!$I$12,IF('Marks Entry'!V40=5,'School Profile'!$I$13,IF('Marks Entry'!V40=6,'School Profile'!$I$14,"")))))))</f>
        <v/>
      </c>
      <c r="AN40" s="68" t="str">
        <f>IF('Marks Entry'!W40="","",'Marks Entry'!W40)</f>
        <v/>
      </c>
      <c r="AO40" s="68" t="str">
        <f>IF('Marks Entry'!X40="","",'Marks Entry'!X40)</f>
        <v/>
      </c>
      <c r="AP40" s="68" t="str">
        <f>IF('Marks Entry'!Y40="","",'Marks Entry'!Y40)</f>
        <v/>
      </c>
      <c r="AQ40" s="514" t="str">
        <f t="shared" si="11"/>
        <v/>
      </c>
      <c r="AR40" s="68" t="str">
        <f>IF('Marks Entry'!Z40="","",'Marks Entry'!Z40)</f>
        <v/>
      </c>
      <c r="AS40" s="515" t="str">
        <f t="shared" si="12"/>
        <v/>
      </c>
      <c r="AT40" s="68" t="str">
        <f>IF('Marks Entry'!AA40="","",'Marks Entry'!AA40)</f>
        <v/>
      </c>
      <c r="AU40" s="96" t="str">
        <f t="shared" si="13"/>
        <v/>
      </c>
      <c r="AV40" s="65">
        <f t="shared" si="14"/>
        <v>0</v>
      </c>
      <c r="AW40" s="65">
        <f t="shared" si="15"/>
        <v>0</v>
      </c>
      <c r="AX40" s="66" t="str">
        <f t="shared" si="16"/>
        <v/>
      </c>
      <c r="AY40" s="65" t="str">
        <f t="shared" si="17"/>
        <v/>
      </c>
      <c r="AZ40" s="65" t="str">
        <f t="shared" si="18"/>
        <v/>
      </c>
      <c r="BA40" s="65" t="str">
        <f t="shared" si="19"/>
        <v/>
      </c>
      <c r="BB40" s="68" t="str">
        <f>IF('Marks Entry'!AB40="","",'Marks Entry'!AB40)</f>
        <v/>
      </c>
      <c r="BC40" s="68" t="str">
        <f>IF('Marks Entry'!AC40="","",'Marks Entry'!AC40)</f>
        <v/>
      </c>
      <c r="BD40" s="68" t="str">
        <f>IF('Marks Entry'!AD40="","",'Marks Entry'!AD40)</f>
        <v/>
      </c>
      <c r="BE40" s="514" t="str">
        <f t="shared" si="20"/>
        <v/>
      </c>
      <c r="BF40" s="68" t="str">
        <f>IF('Marks Entry'!AE40="","",'Marks Entry'!AE40)</f>
        <v/>
      </c>
      <c r="BG40" s="515" t="str">
        <f t="shared" si="21"/>
        <v/>
      </c>
      <c r="BH40" s="68" t="str">
        <f>IF('Marks Entry'!AF40="","",'Marks Entry'!AF40)</f>
        <v/>
      </c>
      <c r="BI40" s="96" t="str">
        <f t="shared" si="22"/>
        <v/>
      </c>
      <c r="BJ40" s="65">
        <f t="shared" si="23"/>
        <v>0</v>
      </c>
      <c r="BK40" s="65">
        <f t="shared" si="92"/>
        <v>0</v>
      </c>
      <c r="BL40" s="66" t="str">
        <f t="shared" si="24"/>
        <v/>
      </c>
      <c r="BM40" s="65" t="str">
        <f t="shared" si="25"/>
        <v/>
      </c>
      <c r="BN40" s="65" t="str">
        <f t="shared" si="26"/>
        <v/>
      </c>
      <c r="BO40" s="65" t="str">
        <f t="shared" si="27"/>
        <v/>
      </c>
      <c r="BP40" s="68" t="str">
        <f>IF('Marks Entry'!AG40="","",'Marks Entry'!AG40)</f>
        <v/>
      </c>
      <c r="BQ40" s="68" t="str">
        <f>IF('Marks Entry'!AH40="","",'Marks Entry'!AH40)</f>
        <v/>
      </c>
      <c r="BR40" s="68" t="str">
        <f>IF('Marks Entry'!AI40="","",'Marks Entry'!AI40)</f>
        <v/>
      </c>
      <c r="BS40" s="514" t="str">
        <f t="shared" si="28"/>
        <v/>
      </c>
      <c r="BT40" s="68" t="str">
        <f>IF('Marks Entry'!AJ40="","",'Marks Entry'!AJ40)</f>
        <v/>
      </c>
      <c r="BU40" s="515" t="str">
        <f t="shared" si="29"/>
        <v/>
      </c>
      <c r="BV40" s="68" t="str">
        <f>IF('Marks Entry'!AK40="","",'Marks Entry'!AK40)</f>
        <v/>
      </c>
      <c r="BW40" s="96" t="str">
        <f t="shared" si="30"/>
        <v/>
      </c>
      <c r="BX40" s="65">
        <f t="shared" si="31"/>
        <v>0</v>
      </c>
      <c r="BY40" s="65">
        <f t="shared" si="32"/>
        <v>0</v>
      </c>
      <c r="BZ40" s="66" t="str">
        <f t="shared" si="33"/>
        <v/>
      </c>
      <c r="CA40" s="65" t="str">
        <f t="shared" si="34"/>
        <v/>
      </c>
      <c r="CB40" s="65" t="str">
        <f t="shared" si="35"/>
        <v/>
      </c>
      <c r="CC40" s="65" t="str">
        <f t="shared" si="36"/>
        <v/>
      </c>
      <c r="CD40" s="66">
        <f t="shared" si="161"/>
        <v>0</v>
      </c>
      <c r="CE40" s="68" t="str">
        <f>IF('Marks Entry'!AL40="","",'Marks Entry'!AL40)</f>
        <v/>
      </c>
      <c r="CF40" s="68" t="str">
        <f>IF('Marks Entry'!AM40="","",'Marks Entry'!AM40)</f>
        <v/>
      </c>
      <c r="CG40" s="68" t="str">
        <f>IF('Marks Entry'!AN40="","",'Marks Entry'!AN40)</f>
        <v/>
      </c>
      <c r="CH40" s="514" t="str">
        <f t="shared" si="37"/>
        <v/>
      </c>
      <c r="CI40" s="68" t="str">
        <f>IF('Marks Entry'!AO40="","",'Marks Entry'!AO40)</f>
        <v/>
      </c>
      <c r="CJ40" s="515" t="str">
        <f t="shared" si="38"/>
        <v/>
      </c>
      <c r="CK40" s="68" t="str">
        <f>IF('Marks Entry'!AP40="","",'Marks Entry'!AP40)</f>
        <v/>
      </c>
      <c r="CL40" s="96" t="str">
        <f t="shared" si="39"/>
        <v/>
      </c>
      <c r="CM40" s="65">
        <f t="shared" si="40"/>
        <v>0</v>
      </c>
      <c r="CN40" s="65">
        <f t="shared" si="41"/>
        <v>0</v>
      </c>
      <c r="CO40" s="66" t="str">
        <f t="shared" si="42"/>
        <v/>
      </c>
      <c r="CP40" s="65" t="str">
        <f t="shared" si="43"/>
        <v/>
      </c>
      <c r="CQ40" s="65" t="str">
        <f t="shared" si="44"/>
        <v/>
      </c>
      <c r="CR40" s="65" t="str">
        <f t="shared" si="45"/>
        <v/>
      </c>
      <c r="CS40" s="616" t="str">
        <f>IF('School Profile'!$D$20="NO","",IF('Marks Entry'!AQ40="","",IF('Marks Entry'!AQ40=1,'School Profile'!$I$29,IF('Marks Entry'!AQ40=2,'School Profile'!$I$30,IF('Marks Entry'!AQ40=3,'School Profile'!$I$31,IF('Marks Entry'!AQ40=4,'School Profile'!$I$32,IF('Marks Entry'!AQ40=5,'School Profile'!$I$33,IF('Marks Entry'!AQ40=6,'School Profile'!$I$34,IF('Marks Entry'!AQ40=7,'School Profile'!$I$35,IF('Marks Entry'!AQ40=8,'School Profile'!$I$36,IF('Marks Entry'!AQ40=9,'School Profile'!$I$37,IF('Marks Entry'!AQ40=10,'School Profile'!$I$38,IF('Marks Entry'!AQ40=11,'School Profile'!$I$39,"")))))))))))))</f>
        <v/>
      </c>
      <c r="CT40" s="68" t="str">
        <f>IF('School Profile'!$D$20="NO","",IF('Marks Entry'!AR40="","",'Marks Entry'!AR40))</f>
        <v/>
      </c>
      <c r="CU40" s="68" t="str">
        <f>IF('School Profile'!$D$20="NO","",IF('Marks Entry'!AS40="","",'Marks Entry'!AS40))</f>
        <v/>
      </c>
      <c r="CV40" s="68" t="str">
        <f>IF('School Profile'!$D$20="NO","",IF('Marks Entry'!AT40="","",'Marks Entry'!AT40))</f>
        <v/>
      </c>
      <c r="CW40" s="514" t="str">
        <f>IF('School Profile'!$D$20="NO","",IF(AND(CT40="",CU40="",CV40=""),"",SUM(CT40:CV40)))</f>
        <v/>
      </c>
      <c r="CX40" s="68" t="str">
        <f>IF('School Profile'!$D$20="NO","",IF('Marks Entry'!AU40="","",'Marks Entry'!AU40))</f>
        <v/>
      </c>
      <c r="CY40" s="68" t="str">
        <f>IF('School Profile'!$D$20="NO","",IF('Marks Entry'!AV40="","",'Marks Entry'!AV40))</f>
        <v/>
      </c>
      <c r="CZ40" s="515" t="str">
        <f>IF('School Profile'!$D$20="NO","",IF(AND(CX40="",CY40=""),"",SUM(CX40,CY40)))</f>
        <v/>
      </c>
      <c r="DA40" s="69" t="str">
        <f>IF('School Profile'!$D$20="NO","",IF(AND(CW40="",CZ40=""),"",SUM(CW40+CZ40)))</f>
        <v/>
      </c>
      <c r="DB40" s="68" t="str">
        <f>IF('School Profile'!$D$20="NO","",IF('Marks Entry'!AW40="","",'Marks Entry'!AW40))</f>
        <v/>
      </c>
      <c r="DC40" s="68" t="str">
        <f>IF('School Profile'!$D$20="NO","",IF('Marks Entry'!AX40="","",'Marks Entry'!AX40))</f>
        <v/>
      </c>
      <c r="DD40" s="515" t="str">
        <f>IF('School Profile'!$D$20="NO","",IF(AND(DB40="",DC40=""),"",SUM(DB40,DC40)))</f>
        <v/>
      </c>
      <c r="DE40" s="96" t="str">
        <f>IF('School Profile'!$D$20="NO","",IF(AND(DA40="",DD40=""),"",SUM(DA40,DD40)))</f>
        <v/>
      </c>
      <c r="DF40" s="532">
        <f t="shared" si="46"/>
        <v>0</v>
      </c>
      <c r="DG40" s="65">
        <f t="shared" si="47"/>
        <v>0</v>
      </c>
      <c r="DH40" s="66" t="str">
        <f t="shared" si="48"/>
        <v/>
      </c>
      <c r="DI40" s="65" t="str">
        <f t="shared" si="49"/>
        <v/>
      </c>
      <c r="DJ40" s="65" t="str">
        <f t="shared" si="50"/>
        <v/>
      </c>
      <c r="DK40" s="65" t="str">
        <f t="shared" si="51"/>
        <v/>
      </c>
      <c r="DL40" s="97" t="str">
        <f t="shared" si="94"/>
        <v/>
      </c>
      <c r="DM40" s="97" t="str">
        <f t="shared" si="95"/>
        <v/>
      </c>
      <c r="DN40" s="97" t="str">
        <f t="shared" si="96"/>
        <v/>
      </c>
      <c r="DO40" s="97" t="str">
        <f t="shared" si="97"/>
        <v/>
      </c>
      <c r="DP40" s="97" t="str">
        <f t="shared" si="98"/>
        <v/>
      </c>
      <c r="DQ40" s="97" t="str">
        <f t="shared" si="99"/>
        <v/>
      </c>
      <c r="DR40" s="97" t="str">
        <f t="shared" si="100"/>
        <v/>
      </c>
      <c r="DS40" s="98">
        <f t="shared" si="101"/>
        <v>0</v>
      </c>
      <c r="DT40" s="98">
        <f t="shared" si="102"/>
        <v>0</v>
      </c>
      <c r="DU40" s="98">
        <f t="shared" si="103"/>
        <v>0</v>
      </c>
      <c r="DV40" s="98">
        <f t="shared" si="104"/>
        <v>0</v>
      </c>
      <c r="DW40" s="98">
        <f t="shared" si="105"/>
        <v>0</v>
      </c>
      <c r="DX40" s="98" t="str">
        <f t="shared" si="106"/>
        <v/>
      </c>
      <c r="DY40" s="99" t="str">
        <f t="shared" si="107"/>
        <v/>
      </c>
      <c r="DZ40" s="74" t="str">
        <f>IF('Marks Entry'!AY40="","",'Marks Entry'!AY40)</f>
        <v/>
      </c>
      <c r="EA40" s="74" t="str">
        <f>IF('Marks Entry'!AZ40="","",'Marks Entry'!AZ40)</f>
        <v/>
      </c>
      <c r="EB40" s="74" t="str">
        <f>IF('Marks Entry'!BA40="","",'Marks Entry'!BA40)</f>
        <v/>
      </c>
      <c r="EC40" s="527" t="str">
        <f t="shared" si="52"/>
        <v/>
      </c>
      <c r="ED40" s="74" t="str">
        <f>IF('Marks Entry'!BB40="","",'Marks Entry'!BB40)</f>
        <v/>
      </c>
      <c r="EE40" s="528" t="str">
        <f t="shared" si="53"/>
        <v/>
      </c>
      <c r="EF40" s="74" t="str">
        <f>IF('Marks Entry'!BC40="","",'Marks Entry'!BC40)</f>
        <v/>
      </c>
      <c r="EG40" s="530" t="str">
        <f t="shared" si="54"/>
        <v/>
      </c>
      <c r="EH40" s="368" t="str">
        <f t="shared" si="108"/>
        <v/>
      </c>
      <c r="EI40" s="65">
        <f t="shared" si="109"/>
        <v>0</v>
      </c>
      <c r="EJ40" s="65">
        <f t="shared" si="110"/>
        <v>0</v>
      </c>
      <c r="EK40" s="66" t="str">
        <f t="shared" si="111"/>
        <v/>
      </c>
      <c r="EL40" s="74" t="str">
        <f>IF('Marks Entry'!BD40="","",'Marks Entry'!BD40)</f>
        <v/>
      </c>
      <c r="EM40" s="74" t="str">
        <f>IF('Marks Entry'!BE40="","",'Marks Entry'!BE40)</f>
        <v/>
      </c>
      <c r="EN40" s="74" t="str">
        <f>IF('Marks Entry'!BF40="","",'Marks Entry'!BF40)</f>
        <v/>
      </c>
      <c r="EO40" s="527" t="str">
        <f t="shared" si="55"/>
        <v/>
      </c>
      <c r="EP40" s="74" t="str">
        <f>IF('Marks Entry'!BG40="","",'Marks Entry'!BG40)</f>
        <v/>
      </c>
      <c r="EQ40" s="74" t="str">
        <f>IF('Marks Entry'!BH40="","",'Marks Entry'!BH40)</f>
        <v/>
      </c>
      <c r="ER40" s="528" t="str">
        <f t="shared" si="56"/>
        <v/>
      </c>
      <c r="ES40" s="529" t="str">
        <f t="shared" si="57"/>
        <v/>
      </c>
      <c r="ET40" s="74" t="str">
        <f>IF('Marks Entry'!BI40="","",'Marks Entry'!BI40)</f>
        <v/>
      </c>
      <c r="EU40" s="74" t="str">
        <f>IF('Marks Entry'!BJ40="","",'Marks Entry'!BJ40)</f>
        <v/>
      </c>
      <c r="EV40" s="528" t="str">
        <f t="shared" si="58"/>
        <v/>
      </c>
      <c r="EW40" s="530" t="str">
        <f t="shared" si="59"/>
        <v/>
      </c>
      <c r="EX40" s="368" t="str">
        <f t="shared" si="112"/>
        <v/>
      </c>
      <c r="EY40" s="65">
        <f t="shared" si="113"/>
        <v>0</v>
      </c>
      <c r="EZ40" s="65">
        <f t="shared" si="114"/>
        <v>0</v>
      </c>
      <c r="FA40" s="66" t="str">
        <f t="shared" si="115"/>
        <v/>
      </c>
      <c r="FB40" s="74" t="str">
        <f>IF('Marks Entry'!BK40="","",'Marks Entry'!BK40)</f>
        <v/>
      </c>
      <c r="FC40" s="74" t="str">
        <f>IF('Marks Entry'!BL40="","",'Marks Entry'!BL40)</f>
        <v/>
      </c>
      <c r="FD40" s="74" t="str">
        <f>IF('Marks Entry'!BM40="","",'Marks Entry'!BM40)</f>
        <v/>
      </c>
      <c r="FE40" s="74" t="str">
        <f>IF('Marks Entry'!BN40="","",'Marks Entry'!BN40)</f>
        <v/>
      </c>
      <c r="FF40" s="74" t="str">
        <f>IF('Marks Entry'!BO40="","",'Marks Entry'!BO40)</f>
        <v/>
      </c>
      <c r="FG40" s="74" t="str">
        <f>IF('Marks Entry'!BP40="","",'Marks Entry'!BP40)</f>
        <v/>
      </c>
      <c r="FH40" s="527" t="str">
        <f t="shared" si="60"/>
        <v/>
      </c>
      <c r="FI40" s="74" t="str">
        <f>IF('Marks Entry'!BQ40="","",'Marks Entry'!BQ40)</f>
        <v/>
      </c>
      <c r="FJ40" s="74" t="str">
        <f>IF('Marks Entry'!BR40="","",'Marks Entry'!BR40)</f>
        <v/>
      </c>
      <c r="FK40" s="528" t="str">
        <f t="shared" si="61"/>
        <v/>
      </c>
      <c r="FL40" s="529" t="str">
        <f t="shared" si="62"/>
        <v/>
      </c>
      <c r="FM40" s="74" t="str">
        <f>IF('Marks Entry'!BS40="","",'Marks Entry'!BS40)</f>
        <v/>
      </c>
      <c r="FN40" s="74" t="str">
        <f>IF('Marks Entry'!BT40="","",'Marks Entry'!BT40)</f>
        <v/>
      </c>
      <c r="FO40" s="528" t="str">
        <f t="shared" si="63"/>
        <v/>
      </c>
      <c r="FP40" s="530" t="str">
        <f t="shared" si="64"/>
        <v/>
      </c>
      <c r="FQ40" s="368" t="str">
        <f t="shared" si="116"/>
        <v/>
      </c>
      <c r="FR40" s="65">
        <f t="shared" si="117"/>
        <v>0</v>
      </c>
      <c r="FS40" s="65">
        <f t="shared" si="118"/>
        <v>0</v>
      </c>
      <c r="FT40" s="66" t="str">
        <f t="shared" si="119"/>
        <v/>
      </c>
      <c r="FU40" s="74" t="str">
        <f>IF('Marks Entry'!BU40="","",'Marks Entry'!BU40)</f>
        <v/>
      </c>
      <c r="FV40" s="74" t="str">
        <f>IF('Marks Entry'!BV40="","",'Marks Entry'!BV40)</f>
        <v/>
      </c>
      <c r="FW40" s="74" t="str">
        <f>IF('Marks Entry'!BW40="","",'Marks Entry'!BW40)</f>
        <v/>
      </c>
      <c r="FX40" s="75" t="str">
        <f t="shared" si="65"/>
        <v/>
      </c>
      <c r="FY40" s="368" t="str">
        <f t="shared" si="120"/>
        <v/>
      </c>
      <c r="FZ40" s="65">
        <f t="shared" si="121"/>
        <v>0</v>
      </c>
      <c r="GA40" s="66">
        <f t="shared" si="122"/>
        <v>0</v>
      </c>
      <c r="GB40" s="66" t="str">
        <f t="shared" si="123"/>
        <v/>
      </c>
      <c r="GC40" s="74" t="str">
        <f>IF('Marks Entry'!BX40="","",'Marks Entry'!BX40)</f>
        <v/>
      </c>
      <c r="GD40" s="74" t="str">
        <f>IF('Marks Entry'!BY40="","",'Marks Entry'!BY40)</f>
        <v/>
      </c>
      <c r="GE40" s="74" t="str">
        <f>IF('Marks Entry'!BZ40="","",'Marks Entry'!BZ40)</f>
        <v/>
      </c>
      <c r="GF40" s="75" t="str">
        <f t="shared" si="124"/>
        <v/>
      </c>
      <c r="GG40" s="368" t="str">
        <f t="shared" si="125"/>
        <v/>
      </c>
      <c r="GH40" s="65">
        <f t="shared" si="126"/>
        <v>0</v>
      </c>
      <c r="GI40" s="66">
        <f t="shared" si="127"/>
        <v>0</v>
      </c>
      <c r="GJ40" s="66" t="str">
        <f t="shared" si="128"/>
        <v/>
      </c>
      <c r="GK40" s="100" t="str">
        <f>IF(AND(F40="",B40=""),"",IF('Student DATA Entry'!M37="","",'Student DATA Entry'!M37))</f>
        <v/>
      </c>
      <c r="GL40" s="101" t="str">
        <f>IF(AND(B40="",F40=""),"",IF('Student DATA Entry'!N37="","",'Student DATA Entry'!N37))</f>
        <v/>
      </c>
      <c r="GM40" s="581" t="str">
        <f t="shared" si="129"/>
        <v/>
      </c>
      <c r="GN40" s="94" t="str">
        <f t="shared" si="130"/>
        <v/>
      </c>
      <c r="GO40" s="94" t="str">
        <f t="shared" si="131"/>
        <v/>
      </c>
      <c r="GP40" s="102" t="str">
        <f t="shared" si="162"/>
        <v/>
      </c>
      <c r="GQ40" s="94" t="str">
        <f t="shared" si="132"/>
        <v/>
      </c>
      <c r="GR40" s="103" t="str">
        <f t="shared" si="133"/>
        <v/>
      </c>
      <c r="GS40" s="102" t="str">
        <f t="shared" si="163"/>
        <v/>
      </c>
      <c r="GT40" s="104" t="str">
        <f t="shared" si="134"/>
        <v/>
      </c>
      <c r="GU40" s="94" t="str">
        <f>IF('Marks Entry'!V40=1,GT40,"")</f>
        <v/>
      </c>
      <c r="GV40" s="94" t="str">
        <f>IF('Marks Entry'!V40=2,GT40,"")</f>
        <v/>
      </c>
      <c r="GW40" s="94" t="str">
        <f>IF('Marks Entry'!V40=3,GT40,"")</f>
        <v/>
      </c>
      <c r="GX40" s="94" t="str">
        <f>IF('Marks Entry'!V40=4,GT40,"")</f>
        <v/>
      </c>
      <c r="GY40" s="94" t="str">
        <f>IF('Marks Entry'!V40=5,GT40,"")</f>
        <v/>
      </c>
      <c r="GZ40" s="94" t="str">
        <f t="shared" si="135"/>
        <v/>
      </c>
      <c r="HA40" s="105" t="str">
        <f t="shared" si="164"/>
        <v/>
      </c>
      <c r="HB40" s="94" t="str">
        <f t="shared" si="136"/>
        <v/>
      </c>
      <c r="HC40" s="94" t="str">
        <f t="shared" si="137"/>
        <v/>
      </c>
      <c r="HD40" s="105" t="str">
        <f t="shared" si="165"/>
        <v/>
      </c>
      <c r="HE40" s="94" t="str">
        <f t="shared" si="138"/>
        <v/>
      </c>
      <c r="HF40" s="94" t="str">
        <f t="shared" si="139"/>
        <v/>
      </c>
      <c r="HG40" s="105" t="str">
        <f t="shared" si="166"/>
        <v/>
      </c>
      <c r="HH40" s="94" t="str">
        <f t="shared" si="140"/>
        <v/>
      </c>
      <c r="HI40" s="94" t="str">
        <f t="shared" si="141"/>
        <v/>
      </c>
      <c r="HJ40" s="105" t="str">
        <f t="shared" si="167"/>
        <v/>
      </c>
      <c r="HK40" s="94" t="str">
        <f t="shared" si="142"/>
        <v/>
      </c>
      <c r="HL40" s="94" t="str">
        <f t="shared" si="143"/>
        <v/>
      </c>
      <c r="HM40" s="105" t="str">
        <f t="shared" si="168"/>
        <v/>
      </c>
      <c r="HN40" s="367" t="str">
        <f t="shared" si="144"/>
        <v xml:space="preserve">      </v>
      </c>
      <c r="HO40" s="418" t="str">
        <f t="shared" si="169"/>
        <v xml:space="preserve">      </v>
      </c>
      <c r="HP40" s="367" t="str">
        <f t="shared" si="146"/>
        <v xml:space="preserve">      </v>
      </c>
      <c r="HQ40" s="107" t="str">
        <f t="shared" si="147"/>
        <v xml:space="preserve">      </v>
      </c>
      <c r="HR40" s="366" t="str">
        <f t="shared" si="148"/>
        <v xml:space="preserve">      </v>
      </c>
      <c r="HS40" s="544" t="str">
        <f t="shared" si="170"/>
        <v/>
      </c>
      <c r="HT40" s="542" t="str">
        <f t="shared" si="149"/>
        <v/>
      </c>
      <c r="HU40" s="541" t="str">
        <f t="shared" si="160"/>
        <v/>
      </c>
      <c r="HV40" s="540" t="str">
        <f t="shared" si="150"/>
        <v/>
      </c>
      <c r="HW40" s="537" t="str">
        <f t="shared" si="151"/>
        <v/>
      </c>
      <c r="HX40" s="539" t="str">
        <f t="shared" si="152"/>
        <v/>
      </c>
      <c r="HY40" s="553" t="str">
        <f>IFERROR(IF(OR(HS40="SUPPLEMENTARY",HS40="RE-EXAM"),'Supp. Result Entry'!AQ38,""),"")</f>
        <v/>
      </c>
      <c r="HZ40" s="538" t="str">
        <f t="shared" si="153"/>
        <v/>
      </c>
      <c r="IA40" s="415" t="str">
        <f t="shared" si="154"/>
        <v/>
      </c>
      <c r="IB40" s="415" t="str">
        <f>IF(AND(HZ40="",IA40=""),"",IF(OR(HS40="SUPPLEMENTARY",HS40="RE-EXAM"),'Supp. Result Entry'!AQ38,HS40))</f>
        <v/>
      </c>
      <c r="IC40" s="87"/>
      <c r="ID40" s="111"/>
      <c r="IS40" s="109" t="str">
        <f>IF('Supp. Result Entry'!T38="","",'Supp. Result Entry'!$T$4)</f>
        <v/>
      </c>
      <c r="IT40" s="110" t="str">
        <f>IF('Supp. Result Entry'!W38="","",'Supp. Result Entry'!$W$4)</f>
        <v/>
      </c>
      <c r="IU40" s="110" t="str">
        <f>IF('Supp. Result Entry'!Z38="","",'Supp. Result Entry'!$Z$4)</f>
        <v/>
      </c>
      <c r="IV40" s="110" t="str">
        <f>IF('Supp. Result Entry'!AC38="","",'Supp. Result Entry'!$AC$4)</f>
        <v/>
      </c>
      <c r="IW40" s="110" t="str">
        <f>IF('Supp. Result Entry'!AF38="","",'Supp. Result Entry'!$AF$4)</f>
        <v/>
      </c>
      <c r="IX40" s="110" t="str">
        <f>IF('Supp. Result Entry'!AI38="","",'Supp. Result Entry'!$AI$4)</f>
        <v/>
      </c>
      <c r="IY40" s="110" t="str">
        <f>IF('Supp. Result Entry'!AI38="","",'Supp. Result Entry'!$AL$4)</f>
        <v/>
      </c>
      <c r="IZ40" s="110" t="str">
        <f>IF('Supp. Result Entry'!U38="","",'Supp. Result Entry'!U38)</f>
        <v/>
      </c>
      <c r="JA40" s="110" t="str">
        <f>IF('Supp. Result Entry'!X38="","",'Supp. Result Entry'!X38)</f>
        <v/>
      </c>
      <c r="JB40" s="110" t="str">
        <f>IF('Supp. Result Entry'!AA38="","",'Supp. Result Entry'!AA38)</f>
        <v/>
      </c>
      <c r="JC40" s="110" t="str">
        <f>IF('Supp. Result Entry'!AD38="","",'Supp. Result Entry'!AD38)</f>
        <v/>
      </c>
      <c r="JD40" s="110" t="str">
        <f>IF('Supp. Result Entry'!AG38="","",'Supp. Result Entry'!AG38)</f>
        <v/>
      </c>
      <c r="JE40" s="110" t="str">
        <f>IF('Supp. Result Entry'!AJ38="","",'Supp. Result Entry'!AJ38)</f>
        <v/>
      </c>
      <c r="JF40" s="110" t="str">
        <f>IF('Supp. Result Entry'!AM38="","",'Supp. Result Entry'!AM38)</f>
        <v/>
      </c>
      <c r="JG40" s="110" t="str">
        <f>IF('Supp. Result Entry'!V38="","",'Supp. Result Entry'!V38)</f>
        <v/>
      </c>
      <c r="JH40" s="110" t="str">
        <f>IF('Supp. Result Entry'!Y38="","",'Supp. Result Entry'!Y38)</f>
        <v/>
      </c>
      <c r="JI40" s="110" t="str">
        <f>IF('Supp. Result Entry'!AB38="","",'Supp. Result Entry'!AB38)</f>
        <v/>
      </c>
      <c r="JJ40" s="110" t="str">
        <f>IF('Supp. Result Entry'!AE38="","",'Supp. Result Entry'!AE38)</f>
        <v/>
      </c>
      <c r="JK40" s="110" t="str">
        <f>IF('Supp. Result Entry'!AH38="","",'Supp. Result Entry'!AH38)</f>
        <v/>
      </c>
      <c r="JL40" s="110" t="str">
        <f>IF('Supp. Result Entry'!AK38="","",'Supp. Result Entry'!AK38)</f>
        <v/>
      </c>
      <c r="JM40" s="110" t="str">
        <f>IF('Supp. Result Entry'!AN38="","",'Supp. Result Entry'!AN38)</f>
        <v/>
      </c>
      <c r="JN40" s="110">
        <f>COUNTIF('Supp. Result Entry'!K38:Q38,"S")</f>
        <v>0</v>
      </c>
      <c r="JO40" s="110">
        <f t="shared" si="155"/>
        <v>0</v>
      </c>
      <c r="JP40" s="110">
        <f t="shared" si="156"/>
        <v>0</v>
      </c>
      <c r="JQ40" s="110" t="str">
        <f t="shared" si="75"/>
        <v/>
      </c>
      <c r="JR40" s="110" t="str">
        <f t="shared" si="76"/>
        <v/>
      </c>
      <c r="JS40" s="110" t="str">
        <f t="shared" si="77"/>
        <v/>
      </c>
      <c r="JT40" s="110" t="str">
        <f t="shared" si="78"/>
        <v/>
      </c>
      <c r="JU40" s="110" t="str">
        <f t="shared" si="79"/>
        <v/>
      </c>
      <c r="JV40" s="110" t="str">
        <f t="shared" si="80"/>
        <v/>
      </c>
      <c r="JW40" s="110" t="str">
        <f t="shared" si="81"/>
        <v/>
      </c>
      <c r="JX40" s="110" t="str">
        <f t="shared" si="157"/>
        <v/>
      </c>
      <c r="JY40" s="110" t="str">
        <f t="shared" si="158"/>
        <v/>
      </c>
      <c r="JZ40" s="110" t="str">
        <f t="shared" si="82"/>
        <v/>
      </c>
      <c r="KA40" s="108" t="str">
        <f t="shared" si="159"/>
        <v/>
      </c>
    </row>
    <row r="41" spans="1:287" s="108" customFormat="1" ht="21.95" customHeight="1">
      <c r="A41" s="89">
        <v>35</v>
      </c>
      <c r="B41" s="90" t="str">
        <f>IF('Marks Entry'!B41="","",'Marks Entry'!B41)</f>
        <v/>
      </c>
      <c r="C41" s="94" t="str">
        <f>IF('Marks Entry'!D41="","",'Marks Entry'!D41)</f>
        <v/>
      </c>
      <c r="D41" s="91" t="str">
        <f>IF('Marks Entry'!E41="","",'Marks Entry'!E41)</f>
        <v/>
      </c>
      <c r="E41" s="92" t="str">
        <f>IF('Marks Entry'!F41="","",'Marks Entry'!F41)</f>
        <v/>
      </c>
      <c r="F41" s="93" t="str">
        <f>IF('Marks Entry'!G41="","",'Marks Entry'!G41)</f>
        <v/>
      </c>
      <c r="G41" s="93" t="str">
        <f>IF('Marks Entry'!H41="","",'Marks Entry'!H41)</f>
        <v/>
      </c>
      <c r="H41" s="93" t="str">
        <f>IF('Marks Entry'!I41="","",'Marks Entry'!I41)</f>
        <v/>
      </c>
      <c r="I41" s="94" t="str">
        <f>IF('Marks Entry'!J41="","",'Marks Entry'!J41)</f>
        <v/>
      </c>
      <c r="J41" s="95" t="str">
        <f>IF('Marks Entry'!K41="","",'Marks Entry'!K41)</f>
        <v/>
      </c>
      <c r="K41" s="68" t="str">
        <f>IF('Marks Entry'!L41="","",'Marks Entry'!L41)</f>
        <v/>
      </c>
      <c r="L41" s="68" t="str">
        <f>IF('Marks Entry'!M41="","",'Marks Entry'!M41)</f>
        <v/>
      </c>
      <c r="M41" s="68" t="str">
        <f>IF('Marks Entry'!N41="","",'Marks Entry'!N41)</f>
        <v/>
      </c>
      <c r="N41" s="514" t="str">
        <f t="shared" si="83"/>
        <v/>
      </c>
      <c r="O41" s="68" t="str">
        <f>IF('Marks Entry'!O41="","",'Marks Entry'!O41)</f>
        <v/>
      </c>
      <c r="P41" s="515" t="str">
        <f t="shared" si="84"/>
        <v/>
      </c>
      <c r="Q41" s="68" t="str">
        <f>IF('Marks Entry'!P41="","",'Marks Entry'!P41)</f>
        <v/>
      </c>
      <c r="R41" s="96" t="str">
        <f t="shared" si="85"/>
        <v/>
      </c>
      <c r="S41" s="65">
        <f t="shared" si="86"/>
        <v>0</v>
      </c>
      <c r="T41" s="65">
        <f t="shared" si="87"/>
        <v>0</v>
      </c>
      <c r="U41" s="66" t="str">
        <f t="shared" si="88"/>
        <v/>
      </c>
      <c r="V41" s="65" t="str">
        <f t="shared" si="89"/>
        <v/>
      </c>
      <c r="W41" s="65" t="str">
        <f t="shared" si="90"/>
        <v/>
      </c>
      <c r="X41" s="65" t="str">
        <f t="shared" si="91"/>
        <v/>
      </c>
      <c r="Y41" s="68" t="str">
        <f>IF('Marks Entry'!Q41="","",'Marks Entry'!Q41)</f>
        <v/>
      </c>
      <c r="Z41" s="68" t="str">
        <f>IF('Marks Entry'!R41="","",'Marks Entry'!R41)</f>
        <v/>
      </c>
      <c r="AA41" s="68" t="str">
        <f>IF('Marks Entry'!S41="","",'Marks Entry'!S41)</f>
        <v/>
      </c>
      <c r="AB41" s="514" t="str">
        <f t="shared" si="2"/>
        <v/>
      </c>
      <c r="AC41" s="68" t="str">
        <f>IF('Marks Entry'!T41="","",'Marks Entry'!T41)</f>
        <v/>
      </c>
      <c r="AD41" s="515" t="str">
        <f t="shared" si="3"/>
        <v/>
      </c>
      <c r="AE41" s="68" t="str">
        <f>IF('Marks Entry'!U41="","",'Marks Entry'!U41)</f>
        <v/>
      </c>
      <c r="AF41" s="96" t="str">
        <f t="shared" si="4"/>
        <v/>
      </c>
      <c r="AG41" s="65">
        <f t="shared" si="5"/>
        <v>0</v>
      </c>
      <c r="AH41" s="65">
        <f t="shared" si="6"/>
        <v>0</v>
      </c>
      <c r="AI41" s="66" t="str">
        <f t="shared" si="7"/>
        <v/>
      </c>
      <c r="AJ41" s="65" t="str">
        <f t="shared" si="8"/>
        <v/>
      </c>
      <c r="AK41" s="65" t="str">
        <f t="shared" si="9"/>
        <v/>
      </c>
      <c r="AL41" s="65" t="str">
        <f t="shared" si="10"/>
        <v/>
      </c>
      <c r="AM41" s="524" t="str">
        <f>IF('Marks Entry'!V41="","",IF('Marks Entry'!V41=1,'School Profile'!$I$9,IF('Marks Entry'!V41=2,'School Profile'!$I$10,IF('Marks Entry'!V41=3,'School Profile'!$I$11,IF('Marks Entry'!V41=4,'School Profile'!$I$12,IF('Marks Entry'!V41=5,'School Profile'!$I$13,IF('Marks Entry'!V41=6,'School Profile'!$I$14,"")))))))</f>
        <v/>
      </c>
      <c r="AN41" s="68" t="str">
        <f>IF('Marks Entry'!W41="","",'Marks Entry'!W41)</f>
        <v/>
      </c>
      <c r="AO41" s="68" t="str">
        <f>IF('Marks Entry'!X41="","",'Marks Entry'!X41)</f>
        <v/>
      </c>
      <c r="AP41" s="68" t="str">
        <f>IF('Marks Entry'!Y41="","",'Marks Entry'!Y41)</f>
        <v/>
      </c>
      <c r="AQ41" s="514" t="str">
        <f t="shared" si="11"/>
        <v/>
      </c>
      <c r="AR41" s="68" t="str">
        <f>IF('Marks Entry'!Z41="","",'Marks Entry'!Z41)</f>
        <v/>
      </c>
      <c r="AS41" s="515" t="str">
        <f t="shared" si="12"/>
        <v/>
      </c>
      <c r="AT41" s="68" t="str">
        <f>IF('Marks Entry'!AA41="","",'Marks Entry'!AA41)</f>
        <v/>
      </c>
      <c r="AU41" s="96" t="str">
        <f t="shared" si="13"/>
        <v/>
      </c>
      <c r="AV41" s="65">
        <f t="shared" si="14"/>
        <v>0</v>
      </c>
      <c r="AW41" s="65">
        <f t="shared" si="15"/>
        <v>0</v>
      </c>
      <c r="AX41" s="66" t="str">
        <f t="shared" si="16"/>
        <v/>
      </c>
      <c r="AY41" s="65" t="str">
        <f t="shared" si="17"/>
        <v/>
      </c>
      <c r="AZ41" s="65" t="str">
        <f t="shared" si="18"/>
        <v/>
      </c>
      <c r="BA41" s="65" t="str">
        <f t="shared" si="19"/>
        <v/>
      </c>
      <c r="BB41" s="68" t="str">
        <f>IF('Marks Entry'!AB41="","",'Marks Entry'!AB41)</f>
        <v/>
      </c>
      <c r="BC41" s="68" t="str">
        <f>IF('Marks Entry'!AC41="","",'Marks Entry'!AC41)</f>
        <v/>
      </c>
      <c r="BD41" s="68" t="str">
        <f>IF('Marks Entry'!AD41="","",'Marks Entry'!AD41)</f>
        <v/>
      </c>
      <c r="BE41" s="514" t="str">
        <f t="shared" si="20"/>
        <v/>
      </c>
      <c r="BF41" s="68" t="str">
        <f>IF('Marks Entry'!AE41="","",'Marks Entry'!AE41)</f>
        <v/>
      </c>
      <c r="BG41" s="515" t="str">
        <f t="shared" si="21"/>
        <v/>
      </c>
      <c r="BH41" s="68" t="str">
        <f>IF('Marks Entry'!AF41="","",'Marks Entry'!AF41)</f>
        <v/>
      </c>
      <c r="BI41" s="96" t="str">
        <f t="shared" si="22"/>
        <v/>
      </c>
      <c r="BJ41" s="65">
        <f t="shared" si="23"/>
        <v>0</v>
      </c>
      <c r="BK41" s="65">
        <f t="shared" si="92"/>
        <v>0</v>
      </c>
      <c r="BL41" s="66" t="str">
        <f t="shared" si="24"/>
        <v/>
      </c>
      <c r="BM41" s="65" t="str">
        <f t="shared" si="25"/>
        <v/>
      </c>
      <c r="BN41" s="65" t="str">
        <f t="shared" si="26"/>
        <v/>
      </c>
      <c r="BO41" s="65" t="str">
        <f t="shared" si="27"/>
        <v/>
      </c>
      <c r="BP41" s="68" t="str">
        <f>IF('Marks Entry'!AG41="","",'Marks Entry'!AG41)</f>
        <v/>
      </c>
      <c r="BQ41" s="68" t="str">
        <f>IF('Marks Entry'!AH41="","",'Marks Entry'!AH41)</f>
        <v/>
      </c>
      <c r="BR41" s="68" t="str">
        <f>IF('Marks Entry'!AI41="","",'Marks Entry'!AI41)</f>
        <v/>
      </c>
      <c r="BS41" s="514" t="str">
        <f t="shared" si="28"/>
        <v/>
      </c>
      <c r="BT41" s="68" t="str">
        <f>IF('Marks Entry'!AJ41="","",'Marks Entry'!AJ41)</f>
        <v/>
      </c>
      <c r="BU41" s="515" t="str">
        <f t="shared" si="29"/>
        <v/>
      </c>
      <c r="BV41" s="68" t="str">
        <f>IF('Marks Entry'!AK41="","",'Marks Entry'!AK41)</f>
        <v/>
      </c>
      <c r="BW41" s="96" t="str">
        <f t="shared" si="30"/>
        <v/>
      </c>
      <c r="BX41" s="65">
        <f t="shared" si="31"/>
        <v>0</v>
      </c>
      <c r="BY41" s="65">
        <f t="shared" si="32"/>
        <v>0</v>
      </c>
      <c r="BZ41" s="66" t="str">
        <f t="shared" si="33"/>
        <v/>
      </c>
      <c r="CA41" s="65" t="str">
        <f t="shared" si="34"/>
        <v/>
      </c>
      <c r="CB41" s="65" t="str">
        <f t="shared" si="35"/>
        <v/>
      </c>
      <c r="CC41" s="65" t="str">
        <f t="shared" si="36"/>
        <v/>
      </c>
      <c r="CD41" s="66">
        <f t="shared" si="161"/>
        <v>0</v>
      </c>
      <c r="CE41" s="68" t="str">
        <f>IF('Marks Entry'!AL41="","",'Marks Entry'!AL41)</f>
        <v/>
      </c>
      <c r="CF41" s="68" t="str">
        <f>IF('Marks Entry'!AM41="","",'Marks Entry'!AM41)</f>
        <v/>
      </c>
      <c r="CG41" s="68" t="str">
        <f>IF('Marks Entry'!AN41="","",'Marks Entry'!AN41)</f>
        <v/>
      </c>
      <c r="CH41" s="514" t="str">
        <f t="shared" si="37"/>
        <v/>
      </c>
      <c r="CI41" s="68" t="str">
        <f>IF('Marks Entry'!AO41="","",'Marks Entry'!AO41)</f>
        <v/>
      </c>
      <c r="CJ41" s="515" t="str">
        <f t="shared" si="38"/>
        <v/>
      </c>
      <c r="CK41" s="68" t="str">
        <f>IF('Marks Entry'!AP41="","",'Marks Entry'!AP41)</f>
        <v/>
      </c>
      <c r="CL41" s="96" t="str">
        <f t="shared" si="39"/>
        <v/>
      </c>
      <c r="CM41" s="65">
        <f t="shared" si="40"/>
        <v>0</v>
      </c>
      <c r="CN41" s="65">
        <f t="shared" si="41"/>
        <v>0</v>
      </c>
      <c r="CO41" s="66" t="str">
        <f t="shared" si="42"/>
        <v/>
      </c>
      <c r="CP41" s="65" t="str">
        <f t="shared" si="43"/>
        <v/>
      </c>
      <c r="CQ41" s="65" t="str">
        <f t="shared" si="44"/>
        <v/>
      </c>
      <c r="CR41" s="65" t="str">
        <f t="shared" si="45"/>
        <v/>
      </c>
      <c r="CS41" s="616" t="str">
        <f>IF('School Profile'!$D$20="NO","",IF('Marks Entry'!AQ41="","",IF('Marks Entry'!AQ41=1,'School Profile'!$I$29,IF('Marks Entry'!AQ41=2,'School Profile'!$I$30,IF('Marks Entry'!AQ41=3,'School Profile'!$I$31,IF('Marks Entry'!AQ41=4,'School Profile'!$I$32,IF('Marks Entry'!AQ41=5,'School Profile'!$I$33,IF('Marks Entry'!AQ41=6,'School Profile'!$I$34,IF('Marks Entry'!AQ41=7,'School Profile'!$I$35,IF('Marks Entry'!AQ41=8,'School Profile'!$I$36,IF('Marks Entry'!AQ41=9,'School Profile'!$I$37,IF('Marks Entry'!AQ41=10,'School Profile'!$I$38,IF('Marks Entry'!AQ41=11,'School Profile'!$I$39,"")))))))))))))</f>
        <v/>
      </c>
      <c r="CT41" s="68" t="str">
        <f>IF('School Profile'!$D$20="NO","",IF('Marks Entry'!AR41="","",'Marks Entry'!AR41))</f>
        <v/>
      </c>
      <c r="CU41" s="68" t="str">
        <f>IF('School Profile'!$D$20="NO","",IF('Marks Entry'!AS41="","",'Marks Entry'!AS41))</f>
        <v/>
      </c>
      <c r="CV41" s="68" t="str">
        <f>IF('School Profile'!$D$20="NO","",IF('Marks Entry'!AT41="","",'Marks Entry'!AT41))</f>
        <v/>
      </c>
      <c r="CW41" s="514" t="str">
        <f>IF('School Profile'!$D$20="NO","",IF(AND(CT41="",CU41="",CV41=""),"",SUM(CT41:CV41)))</f>
        <v/>
      </c>
      <c r="CX41" s="68" t="str">
        <f>IF('School Profile'!$D$20="NO","",IF('Marks Entry'!AU41="","",'Marks Entry'!AU41))</f>
        <v/>
      </c>
      <c r="CY41" s="68" t="str">
        <f>IF('School Profile'!$D$20="NO","",IF('Marks Entry'!AV41="","",'Marks Entry'!AV41))</f>
        <v/>
      </c>
      <c r="CZ41" s="515" t="str">
        <f>IF('School Profile'!$D$20="NO","",IF(AND(CX41="",CY41=""),"",SUM(CX41,CY41)))</f>
        <v/>
      </c>
      <c r="DA41" s="69" t="str">
        <f>IF('School Profile'!$D$20="NO","",IF(AND(CW41="",CZ41=""),"",SUM(CW41+CZ41)))</f>
        <v/>
      </c>
      <c r="DB41" s="68" t="str">
        <f>IF('School Profile'!$D$20="NO","",IF('Marks Entry'!AW41="","",'Marks Entry'!AW41))</f>
        <v/>
      </c>
      <c r="DC41" s="68" t="str">
        <f>IF('School Profile'!$D$20="NO","",IF('Marks Entry'!AX41="","",'Marks Entry'!AX41))</f>
        <v/>
      </c>
      <c r="DD41" s="515" t="str">
        <f>IF('School Profile'!$D$20="NO","",IF(AND(DB41="",DC41=""),"",SUM(DB41,DC41)))</f>
        <v/>
      </c>
      <c r="DE41" s="96" t="str">
        <f>IF('School Profile'!$D$20="NO","",IF(AND(DA41="",DD41=""),"",SUM(DA41,DD41)))</f>
        <v/>
      </c>
      <c r="DF41" s="532">
        <f t="shared" si="46"/>
        <v>0</v>
      </c>
      <c r="DG41" s="65">
        <f t="shared" si="47"/>
        <v>0</v>
      </c>
      <c r="DH41" s="66" t="str">
        <f t="shared" si="48"/>
        <v/>
      </c>
      <c r="DI41" s="65" t="str">
        <f t="shared" si="49"/>
        <v/>
      </c>
      <c r="DJ41" s="65" t="str">
        <f t="shared" si="50"/>
        <v/>
      </c>
      <c r="DK41" s="65" t="str">
        <f t="shared" si="51"/>
        <v/>
      </c>
      <c r="DL41" s="97" t="str">
        <f t="shared" si="94"/>
        <v/>
      </c>
      <c r="DM41" s="97" t="str">
        <f t="shared" si="95"/>
        <v/>
      </c>
      <c r="DN41" s="97" t="str">
        <f t="shared" si="96"/>
        <v/>
      </c>
      <c r="DO41" s="97" t="str">
        <f t="shared" si="97"/>
        <v/>
      </c>
      <c r="DP41" s="97" t="str">
        <f t="shared" si="98"/>
        <v/>
      </c>
      <c r="DQ41" s="97" t="str">
        <f t="shared" si="99"/>
        <v/>
      </c>
      <c r="DR41" s="97" t="str">
        <f t="shared" si="100"/>
        <v/>
      </c>
      <c r="DS41" s="98">
        <f t="shared" si="101"/>
        <v>0</v>
      </c>
      <c r="DT41" s="98">
        <f t="shared" si="102"/>
        <v>0</v>
      </c>
      <c r="DU41" s="98">
        <f t="shared" si="103"/>
        <v>0</v>
      </c>
      <c r="DV41" s="98">
        <f t="shared" si="104"/>
        <v>0</v>
      </c>
      <c r="DW41" s="98">
        <f t="shared" si="105"/>
        <v>0</v>
      </c>
      <c r="DX41" s="98" t="str">
        <f t="shared" si="106"/>
        <v/>
      </c>
      <c r="DY41" s="99" t="str">
        <f t="shared" si="107"/>
        <v/>
      </c>
      <c r="DZ41" s="74" t="str">
        <f>IF('Marks Entry'!AY41="","",'Marks Entry'!AY41)</f>
        <v/>
      </c>
      <c r="EA41" s="74" t="str">
        <f>IF('Marks Entry'!AZ41="","",'Marks Entry'!AZ41)</f>
        <v/>
      </c>
      <c r="EB41" s="74" t="str">
        <f>IF('Marks Entry'!BA41="","",'Marks Entry'!BA41)</f>
        <v/>
      </c>
      <c r="EC41" s="527" t="str">
        <f t="shared" si="52"/>
        <v/>
      </c>
      <c r="ED41" s="74" t="str">
        <f>IF('Marks Entry'!BB41="","",'Marks Entry'!BB41)</f>
        <v/>
      </c>
      <c r="EE41" s="528" t="str">
        <f t="shared" si="53"/>
        <v/>
      </c>
      <c r="EF41" s="74" t="str">
        <f>IF('Marks Entry'!BC41="","",'Marks Entry'!BC41)</f>
        <v/>
      </c>
      <c r="EG41" s="530" t="str">
        <f t="shared" si="54"/>
        <v/>
      </c>
      <c r="EH41" s="368" t="str">
        <f t="shared" si="108"/>
        <v/>
      </c>
      <c r="EI41" s="65">
        <f t="shared" si="109"/>
        <v>0</v>
      </c>
      <c r="EJ41" s="65">
        <f t="shared" si="110"/>
        <v>0</v>
      </c>
      <c r="EK41" s="66" t="str">
        <f t="shared" si="111"/>
        <v/>
      </c>
      <c r="EL41" s="74" t="str">
        <f>IF('Marks Entry'!BD41="","",'Marks Entry'!BD41)</f>
        <v/>
      </c>
      <c r="EM41" s="74" t="str">
        <f>IF('Marks Entry'!BE41="","",'Marks Entry'!BE41)</f>
        <v/>
      </c>
      <c r="EN41" s="74" t="str">
        <f>IF('Marks Entry'!BF41="","",'Marks Entry'!BF41)</f>
        <v/>
      </c>
      <c r="EO41" s="527" t="str">
        <f t="shared" si="55"/>
        <v/>
      </c>
      <c r="EP41" s="74" t="str">
        <f>IF('Marks Entry'!BG41="","",'Marks Entry'!BG41)</f>
        <v/>
      </c>
      <c r="EQ41" s="74" t="str">
        <f>IF('Marks Entry'!BH41="","",'Marks Entry'!BH41)</f>
        <v/>
      </c>
      <c r="ER41" s="528" t="str">
        <f t="shared" si="56"/>
        <v/>
      </c>
      <c r="ES41" s="529" t="str">
        <f t="shared" si="57"/>
        <v/>
      </c>
      <c r="ET41" s="74" t="str">
        <f>IF('Marks Entry'!BI41="","",'Marks Entry'!BI41)</f>
        <v/>
      </c>
      <c r="EU41" s="74" t="str">
        <f>IF('Marks Entry'!BJ41="","",'Marks Entry'!BJ41)</f>
        <v/>
      </c>
      <c r="EV41" s="528" t="str">
        <f t="shared" si="58"/>
        <v/>
      </c>
      <c r="EW41" s="530" t="str">
        <f t="shared" si="59"/>
        <v/>
      </c>
      <c r="EX41" s="368" t="str">
        <f t="shared" si="112"/>
        <v/>
      </c>
      <c r="EY41" s="65">
        <f t="shared" si="113"/>
        <v>0</v>
      </c>
      <c r="EZ41" s="65">
        <f t="shared" si="114"/>
        <v>0</v>
      </c>
      <c r="FA41" s="66" t="str">
        <f t="shared" si="115"/>
        <v/>
      </c>
      <c r="FB41" s="74" t="str">
        <f>IF('Marks Entry'!BK41="","",'Marks Entry'!BK41)</f>
        <v/>
      </c>
      <c r="FC41" s="74" t="str">
        <f>IF('Marks Entry'!BL41="","",'Marks Entry'!BL41)</f>
        <v/>
      </c>
      <c r="FD41" s="74" t="str">
        <f>IF('Marks Entry'!BM41="","",'Marks Entry'!BM41)</f>
        <v/>
      </c>
      <c r="FE41" s="74" t="str">
        <f>IF('Marks Entry'!BN41="","",'Marks Entry'!BN41)</f>
        <v/>
      </c>
      <c r="FF41" s="74" t="str">
        <f>IF('Marks Entry'!BO41="","",'Marks Entry'!BO41)</f>
        <v/>
      </c>
      <c r="FG41" s="74" t="str">
        <f>IF('Marks Entry'!BP41="","",'Marks Entry'!BP41)</f>
        <v/>
      </c>
      <c r="FH41" s="527" t="str">
        <f t="shared" si="60"/>
        <v/>
      </c>
      <c r="FI41" s="74" t="str">
        <f>IF('Marks Entry'!BQ41="","",'Marks Entry'!BQ41)</f>
        <v/>
      </c>
      <c r="FJ41" s="74" t="str">
        <f>IF('Marks Entry'!BR41="","",'Marks Entry'!BR41)</f>
        <v/>
      </c>
      <c r="FK41" s="528" t="str">
        <f t="shared" si="61"/>
        <v/>
      </c>
      <c r="FL41" s="529" t="str">
        <f t="shared" si="62"/>
        <v/>
      </c>
      <c r="FM41" s="74" t="str">
        <f>IF('Marks Entry'!BS41="","",'Marks Entry'!BS41)</f>
        <v/>
      </c>
      <c r="FN41" s="74" t="str">
        <f>IF('Marks Entry'!BT41="","",'Marks Entry'!BT41)</f>
        <v/>
      </c>
      <c r="FO41" s="528" t="str">
        <f t="shared" si="63"/>
        <v/>
      </c>
      <c r="FP41" s="530" t="str">
        <f t="shared" si="64"/>
        <v/>
      </c>
      <c r="FQ41" s="368" t="str">
        <f t="shared" si="116"/>
        <v/>
      </c>
      <c r="FR41" s="65">
        <f t="shared" si="117"/>
        <v>0</v>
      </c>
      <c r="FS41" s="65">
        <f t="shared" si="118"/>
        <v>0</v>
      </c>
      <c r="FT41" s="66" t="str">
        <f t="shared" si="119"/>
        <v/>
      </c>
      <c r="FU41" s="74" t="str">
        <f>IF('Marks Entry'!BU41="","",'Marks Entry'!BU41)</f>
        <v/>
      </c>
      <c r="FV41" s="74" t="str">
        <f>IF('Marks Entry'!BV41="","",'Marks Entry'!BV41)</f>
        <v/>
      </c>
      <c r="FW41" s="74" t="str">
        <f>IF('Marks Entry'!BW41="","",'Marks Entry'!BW41)</f>
        <v/>
      </c>
      <c r="FX41" s="75" t="str">
        <f t="shared" si="65"/>
        <v/>
      </c>
      <c r="FY41" s="368" t="str">
        <f t="shared" si="120"/>
        <v/>
      </c>
      <c r="FZ41" s="65">
        <f t="shared" si="121"/>
        <v>0</v>
      </c>
      <c r="GA41" s="66">
        <f t="shared" si="122"/>
        <v>0</v>
      </c>
      <c r="GB41" s="66" t="str">
        <f t="shared" si="123"/>
        <v/>
      </c>
      <c r="GC41" s="74" t="str">
        <f>IF('Marks Entry'!BX41="","",'Marks Entry'!BX41)</f>
        <v/>
      </c>
      <c r="GD41" s="74" t="str">
        <f>IF('Marks Entry'!BY41="","",'Marks Entry'!BY41)</f>
        <v/>
      </c>
      <c r="GE41" s="74" t="str">
        <f>IF('Marks Entry'!BZ41="","",'Marks Entry'!BZ41)</f>
        <v/>
      </c>
      <c r="GF41" s="75" t="str">
        <f t="shared" si="124"/>
        <v/>
      </c>
      <c r="GG41" s="368" t="str">
        <f t="shared" si="125"/>
        <v/>
      </c>
      <c r="GH41" s="65">
        <f t="shared" si="126"/>
        <v>0</v>
      </c>
      <c r="GI41" s="66">
        <f t="shared" si="127"/>
        <v>0</v>
      </c>
      <c r="GJ41" s="66" t="str">
        <f t="shared" si="128"/>
        <v/>
      </c>
      <c r="GK41" s="100" t="str">
        <f>IF(AND(F41="",B41=""),"",IF('Student DATA Entry'!M38="","",'Student DATA Entry'!M38))</f>
        <v/>
      </c>
      <c r="GL41" s="101" t="str">
        <f>IF(AND(B41="",F41=""),"",IF('Student DATA Entry'!N38="","",'Student DATA Entry'!N38))</f>
        <v/>
      </c>
      <c r="GM41" s="581" t="str">
        <f t="shared" si="129"/>
        <v/>
      </c>
      <c r="GN41" s="94" t="str">
        <f t="shared" si="130"/>
        <v/>
      </c>
      <c r="GO41" s="94" t="str">
        <f t="shared" si="131"/>
        <v/>
      </c>
      <c r="GP41" s="102" t="str">
        <f t="shared" si="162"/>
        <v/>
      </c>
      <c r="GQ41" s="94" t="str">
        <f t="shared" si="132"/>
        <v/>
      </c>
      <c r="GR41" s="103" t="str">
        <f t="shared" si="133"/>
        <v/>
      </c>
      <c r="GS41" s="102" t="str">
        <f t="shared" si="163"/>
        <v/>
      </c>
      <c r="GT41" s="104" t="str">
        <f t="shared" si="134"/>
        <v/>
      </c>
      <c r="GU41" s="94" t="str">
        <f>IF('Marks Entry'!V41=1,GT41,"")</f>
        <v/>
      </c>
      <c r="GV41" s="94" t="str">
        <f>IF('Marks Entry'!V41=2,GT41,"")</f>
        <v/>
      </c>
      <c r="GW41" s="94" t="str">
        <f>IF('Marks Entry'!V41=3,GT41,"")</f>
        <v/>
      </c>
      <c r="GX41" s="94" t="str">
        <f>IF('Marks Entry'!V41=4,GT41,"")</f>
        <v/>
      </c>
      <c r="GY41" s="94" t="str">
        <f>IF('Marks Entry'!V41=5,GT41,"")</f>
        <v/>
      </c>
      <c r="GZ41" s="94" t="str">
        <f t="shared" si="135"/>
        <v/>
      </c>
      <c r="HA41" s="105" t="str">
        <f t="shared" si="164"/>
        <v/>
      </c>
      <c r="HB41" s="94" t="str">
        <f t="shared" si="136"/>
        <v/>
      </c>
      <c r="HC41" s="94" t="str">
        <f t="shared" si="137"/>
        <v/>
      </c>
      <c r="HD41" s="105" t="str">
        <f t="shared" si="165"/>
        <v/>
      </c>
      <c r="HE41" s="94" t="str">
        <f t="shared" si="138"/>
        <v/>
      </c>
      <c r="HF41" s="94" t="str">
        <f t="shared" si="139"/>
        <v/>
      </c>
      <c r="HG41" s="105" t="str">
        <f t="shared" si="166"/>
        <v/>
      </c>
      <c r="HH41" s="94" t="str">
        <f t="shared" si="140"/>
        <v/>
      </c>
      <c r="HI41" s="94" t="str">
        <f t="shared" si="141"/>
        <v/>
      </c>
      <c r="HJ41" s="105" t="str">
        <f t="shared" si="167"/>
        <v/>
      </c>
      <c r="HK41" s="94" t="str">
        <f t="shared" si="142"/>
        <v/>
      </c>
      <c r="HL41" s="94" t="str">
        <f t="shared" si="143"/>
        <v/>
      </c>
      <c r="HM41" s="105" t="str">
        <f t="shared" si="168"/>
        <v/>
      </c>
      <c r="HN41" s="367" t="str">
        <f t="shared" si="144"/>
        <v xml:space="preserve">      </v>
      </c>
      <c r="HO41" s="418" t="str">
        <f t="shared" si="169"/>
        <v xml:space="preserve">      </v>
      </c>
      <c r="HP41" s="367" t="str">
        <f t="shared" si="146"/>
        <v xml:space="preserve">      </v>
      </c>
      <c r="HQ41" s="107" t="str">
        <f t="shared" si="147"/>
        <v xml:space="preserve">      </v>
      </c>
      <c r="HR41" s="366" t="str">
        <f t="shared" si="148"/>
        <v xml:space="preserve">      </v>
      </c>
      <c r="HS41" s="544" t="str">
        <f t="shared" si="170"/>
        <v/>
      </c>
      <c r="HT41" s="542" t="str">
        <f t="shared" si="149"/>
        <v/>
      </c>
      <c r="HU41" s="541" t="str">
        <f t="shared" si="160"/>
        <v/>
      </c>
      <c r="HV41" s="540" t="str">
        <f t="shared" si="150"/>
        <v/>
      </c>
      <c r="HW41" s="537" t="str">
        <f t="shared" si="151"/>
        <v/>
      </c>
      <c r="HX41" s="539" t="str">
        <f t="shared" si="152"/>
        <v/>
      </c>
      <c r="HY41" s="553" t="str">
        <f>IFERROR(IF(OR(HS41="SUPPLEMENTARY",HS41="RE-EXAM"),'Supp. Result Entry'!AQ39,""),"")</f>
        <v/>
      </c>
      <c r="HZ41" s="538" t="str">
        <f t="shared" si="153"/>
        <v/>
      </c>
      <c r="IA41" s="415" t="str">
        <f t="shared" si="154"/>
        <v/>
      </c>
      <c r="IB41" s="415" t="str">
        <f>IF(AND(HZ41="",IA41=""),"",IF(OR(HS41="SUPPLEMENTARY",HS41="RE-EXAM"),'Supp. Result Entry'!AQ39,HS41))</f>
        <v/>
      </c>
      <c r="IC41" s="87"/>
      <c r="ID41" s="111"/>
      <c r="IS41" s="109" t="str">
        <f>IF('Supp. Result Entry'!T39="","",'Supp. Result Entry'!$T$4)</f>
        <v/>
      </c>
      <c r="IT41" s="110" t="str">
        <f>IF('Supp. Result Entry'!W39="","",'Supp. Result Entry'!$W$4)</f>
        <v/>
      </c>
      <c r="IU41" s="110" t="str">
        <f>IF('Supp. Result Entry'!Z39="","",'Supp. Result Entry'!$Z$4)</f>
        <v/>
      </c>
      <c r="IV41" s="110" t="str">
        <f>IF('Supp. Result Entry'!AC39="","",'Supp. Result Entry'!$AC$4)</f>
        <v/>
      </c>
      <c r="IW41" s="110" t="str">
        <f>IF('Supp. Result Entry'!AF39="","",'Supp. Result Entry'!$AF$4)</f>
        <v/>
      </c>
      <c r="IX41" s="110" t="str">
        <f>IF('Supp. Result Entry'!AI39="","",'Supp. Result Entry'!$AI$4)</f>
        <v/>
      </c>
      <c r="IY41" s="110" t="str">
        <f>IF('Supp. Result Entry'!AI39="","",'Supp. Result Entry'!$AL$4)</f>
        <v/>
      </c>
      <c r="IZ41" s="110" t="str">
        <f>IF('Supp. Result Entry'!U39="","",'Supp. Result Entry'!U39)</f>
        <v/>
      </c>
      <c r="JA41" s="110" t="str">
        <f>IF('Supp. Result Entry'!X39="","",'Supp. Result Entry'!X39)</f>
        <v/>
      </c>
      <c r="JB41" s="110" t="str">
        <f>IF('Supp. Result Entry'!AA39="","",'Supp. Result Entry'!AA39)</f>
        <v/>
      </c>
      <c r="JC41" s="110" t="str">
        <f>IF('Supp. Result Entry'!AD39="","",'Supp. Result Entry'!AD39)</f>
        <v/>
      </c>
      <c r="JD41" s="110" t="str">
        <f>IF('Supp. Result Entry'!AG39="","",'Supp. Result Entry'!AG39)</f>
        <v/>
      </c>
      <c r="JE41" s="110" t="str">
        <f>IF('Supp. Result Entry'!AJ39="","",'Supp. Result Entry'!AJ39)</f>
        <v/>
      </c>
      <c r="JF41" s="110" t="str">
        <f>IF('Supp. Result Entry'!AM39="","",'Supp. Result Entry'!AM39)</f>
        <v/>
      </c>
      <c r="JG41" s="110" t="str">
        <f>IF('Supp. Result Entry'!V39="","",'Supp. Result Entry'!V39)</f>
        <v/>
      </c>
      <c r="JH41" s="110" t="str">
        <f>IF('Supp. Result Entry'!Y39="","",'Supp. Result Entry'!Y39)</f>
        <v/>
      </c>
      <c r="JI41" s="110" t="str">
        <f>IF('Supp. Result Entry'!AB39="","",'Supp. Result Entry'!AB39)</f>
        <v/>
      </c>
      <c r="JJ41" s="110" t="str">
        <f>IF('Supp. Result Entry'!AE39="","",'Supp. Result Entry'!AE39)</f>
        <v/>
      </c>
      <c r="JK41" s="110" t="str">
        <f>IF('Supp. Result Entry'!AH39="","",'Supp. Result Entry'!AH39)</f>
        <v/>
      </c>
      <c r="JL41" s="110" t="str">
        <f>IF('Supp. Result Entry'!AK39="","",'Supp. Result Entry'!AK39)</f>
        <v/>
      </c>
      <c r="JM41" s="110" t="str">
        <f>IF('Supp. Result Entry'!AN39="","",'Supp. Result Entry'!AN39)</f>
        <v/>
      </c>
      <c r="JN41" s="110">
        <f>COUNTIF('Supp. Result Entry'!K39:Q39,"S")</f>
        <v>0</v>
      </c>
      <c r="JO41" s="110">
        <f t="shared" si="155"/>
        <v>0</v>
      </c>
      <c r="JP41" s="110">
        <f t="shared" si="156"/>
        <v>0</v>
      </c>
      <c r="JQ41" s="110" t="str">
        <f t="shared" si="75"/>
        <v/>
      </c>
      <c r="JR41" s="110" t="str">
        <f t="shared" si="76"/>
        <v/>
      </c>
      <c r="JS41" s="110" t="str">
        <f t="shared" si="77"/>
        <v/>
      </c>
      <c r="JT41" s="110" t="str">
        <f t="shared" si="78"/>
        <v/>
      </c>
      <c r="JU41" s="110" t="str">
        <f t="shared" si="79"/>
        <v/>
      </c>
      <c r="JV41" s="110" t="str">
        <f t="shared" si="80"/>
        <v/>
      </c>
      <c r="JW41" s="110" t="str">
        <f t="shared" si="81"/>
        <v/>
      </c>
      <c r="JX41" s="110" t="str">
        <f t="shared" si="157"/>
        <v/>
      </c>
      <c r="JY41" s="110" t="str">
        <f t="shared" si="158"/>
        <v/>
      </c>
      <c r="JZ41" s="110" t="str">
        <f t="shared" si="82"/>
        <v/>
      </c>
      <c r="KA41" s="108" t="str">
        <f t="shared" si="159"/>
        <v/>
      </c>
    </row>
    <row r="42" spans="1:287" s="108" customFormat="1" ht="21.95" customHeight="1">
      <c r="A42" s="89">
        <v>36</v>
      </c>
      <c r="B42" s="90" t="str">
        <f>IF('Marks Entry'!B42="","",'Marks Entry'!B42)</f>
        <v/>
      </c>
      <c r="C42" s="94" t="str">
        <f>IF('Marks Entry'!D42="","",'Marks Entry'!D42)</f>
        <v/>
      </c>
      <c r="D42" s="91" t="str">
        <f>IF('Marks Entry'!E42="","",'Marks Entry'!E42)</f>
        <v/>
      </c>
      <c r="E42" s="92" t="str">
        <f>IF('Marks Entry'!F42="","",'Marks Entry'!F42)</f>
        <v/>
      </c>
      <c r="F42" s="93" t="str">
        <f>IF('Marks Entry'!G42="","",'Marks Entry'!G42)</f>
        <v/>
      </c>
      <c r="G42" s="93" t="str">
        <f>IF('Marks Entry'!H42="","",'Marks Entry'!H42)</f>
        <v/>
      </c>
      <c r="H42" s="93" t="str">
        <f>IF('Marks Entry'!I42="","",'Marks Entry'!I42)</f>
        <v/>
      </c>
      <c r="I42" s="94" t="str">
        <f>IF('Marks Entry'!J42="","",'Marks Entry'!J42)</f>
        <v/>
      </c>
      <c r="J42" s="95" t="str">
        <f>IF('Marks Entry'!K42="","",'Marks Entry'!K42)</f>
        <v/>
      </c>
      <c r="K42" s="68" t="str">
        <f>IF('Marks Entry'!L42="","",'Marks Entry'!L42)</f>
        <v/>
      </c>
      <c r="L42" s="68" t="str">
        <f>IF('Marks Entry'!M42="","",'Marks Entry'!M42)</f>
        <v/>
      </c>
      <c r="M42" s="68" t="str">
        <f>IF('Marks Entry'!N42="","",'Marks Entry'!N42)</f>
        <v/>
      </c>
      <c r="N42" s="514" t="str">
        <f t="shared" si="83"/>
        <v/>
      </c>
      <c r="O42" s="68" t="str">
        <f>IF('Marks Entry'!O42="","",'Marks Entry'!O42)</f>
        <v/>
      </c>
      <c r="P42" s="515" t="str">
        <f t="shared" si="84"/>
        <v/>
      </c>
      <c r="Q42" s="68" t="str">
        <f>IF('Marks Entry'!P42="","",'Marks Entry'!P42)</f>
        <v/>
      </c>
      <c r="R42" s="96" t="str">
        <f t="shared" si="85"/>
        <v/>
      </c>
      <c r="S42" s="65">
        <f t="shared" si="86"/>
        <v>0</v>
      </c>
      <c r="T42" s="65">
        <f t="shared" si="87"/>
        <v>0</v>
      </c>
      <c r="U42" s="66" t="str">
        <f t="shared" si="88"/>
        <v/>
      </c>
      <c r="V42" s="65" t="str">
        <f t="shared" si="89"/>
        <v/>
      </c>
      <c r="W42" s="65" t="str">
        <f t="shared" si="90"/>
        <v/>
      </c>
      <c r="X42" s="65" t="str">
        <f t="shared" si="91"/>
        <v/>
      </c>
      <c r="Y42" s="68" t="str">
        <f>IF('Marks Entry'!Q42="","",'Marks Entry'!Q42)</f>
        <v/>
      </c>
      <c r="Z42" s="68" t="str">
        <f>IF('Marks Entry'!R42="","",'Marks Entry'!R42)</f>
        <v/>
      </c>
      <c r="AA42" s="68" t="str">
        <f>IF('Marks Entry'!S42="","",'Marks Entry'!S42)</f>
        <v/>
      </c>
      <c r="AB42" s="514" t="str">
        <f t="shared" si="2"/>
        <v/>
      </c>
      <c r="AC42" s="68" t="str">
        <f>IF('Marks Entry'!T42="","",'Marks Entry'!T42)</f>
        <v/>
      </c>
      <c r="AD42" s="515" t="str">
        <f t="shared" si="3"/>
        <v/>
      </c>
      <c r="AE42" s="68" t="str">
        <f>IF('Marks Entry'!U42="","",'Marks Entry'!U42)</f>
        <v/>
      </c>
      <c r="AF42" s="96" t="str">
        <f t="shared" si="4"/>
        <v/>
      </c>
      <c r="AG42" s="65">
        <f t="shared" si="5"/>
        <v>0</v>
      </c>
      <c r="AH42" s="65">
        <f t="shared" si="6"/>
        <v>0</v>
      </c>
      <c r="AI42" s="66" t="str">
        <f t="shared" si="7"/>
        <v/>
      </c>
      <c r="AJ42" s="65" t="str">
        <f t="shared" si="8"/>
        <v/>
      </c>
      <c r="AK42" s="65" t="str">
        <f t="shared" si="9"/>
        <v/>
      </c>
      <c r="AL42" s="65" t="str">
        <f t="shared" si="10"/>
        <v/>
      </c>
      <c r="AM42" s="524" t="str">
        <f>IF('Marks Entry'!V42="","",IF('Marks Entry'!V42=1,'School Profile'!$I$9,IF('Marks Entry'!V42=2,'School Profile'!$I$10,IF('Marks Entry'!V42=3,'School Profile'!$I$11,IF('Marks Entry'!V42=4,'School Profile'!$I$12,IF('Marks Entry'!V42=5,'School Profile'!$I$13,IF('Marks Entry'!V42=6,'School Profile'!$I$14,"")))))))</f>
        <v/>
      </c>
      <c r="AN42" s="68" t="str">
        <f>IF('Marks Entry'!W42="","",'Marks Entry'!W42)</f>
        <v/>
      </c>
      <c r="AO42" s="68" t="str">
        <f>IF('Marks Entry'!X42="","",'Marks Entry'!X42)</f>
        <v/>
      </c>
      <c r="AP42" s="68" t="str">
        <f>IF('Marks Entry'!Y42="","",'Marks Entry'!Y42)</f>
        <v/>
      </c>
      <c r="AQ42" s="514" t="str">
        <f t="shared" si="11"/>
        <v/>
      </c>
      <c r="AR42" s="68" t="str">
        <f>IF('Marks Entry'!Z42="","",'Marks Entry'!Z42)</f>
        <v/>
      </c>
      <c r="AS42" s="515" t="str">
        <f t="shared" si="12"/>
        <v/>
      </c>
      <c r="AT42" s="68" t="str">
        <f>IF('Marks Entry'!AA42="","",'Marks Entry'!AA42)</f>
        <v/>
      </c>
      <c r="AU42" s="96" t="str">
        <f t="shared" si="13"/>
        <v/>
      </c>
      <c r="AV42" s="65">
        <f t="shared" si="14"/>
        <v>0</v>
      </c>
      <c r="AW42" s="65">
        <f t="shared" si="15"/>
        <v>0</v>
      </c>
      <c r="AX42" s="66" t="str">
        <f t="shared" si="16"/>
        <v/>
      </c>
      <c r="AY42" s="65" t="str">
        <f t="shared" si="17"/>
        <v/>
      </c>
      <c r="AZ42" s="65" t="str">
        <f t="shared" si="18"/>
        <v/>
      </c>
      <c r="BA42" s="65" t="str">
        <f t="shared" si="19"/>
        <v/>
      </c>
      <c r="BB42" s="68" t="str">
        <f>IF('Marks Entry'!AB42="","",'Marks Entry'!AB42)</f>
        <v/>
      </c>
      <c r="BC42" s="68" t="str">
        <f>IF('Marks Entry'!AC42="","",'Marks Entry'!AC42)</f>
        <v/>
      </c>
      <c r="BD42" s="68" t="str">
        <f>IF('Marks Entry'!AD42="","",'Marks Entry'!AD42)</f>
        <v/>
      </c>
      <c r="BE42" s="514" t="str">
        <f t="shared" si="20"/>
        <v/>
      </c>
      <c r="BF42" s="68" t="str">
        <f>IF('Marks Entry'!AE42="","",'Marks Entry'!AE42)</f>
        <v/>
      </c>
      <c r="BG42" s="515" t="str">
        <f t="shared" si="21"/>
        <v/>
      </c>
      <c r="BH42" s="68" t="str">
        <f>IF('Marks Entry'!AF42="","",'Marks Entry'!AF42)</f>
        <v/>
      </c>
      <c r="BI42" s="96" t="str">
        <f t="shared" si="22"/>
        <v/>
      </c>
      <c r="BJ42" s="65">
        <f t="shared" si="23"/>
        <v>0</v>
      </c>
      <c r="BK42" s="65">
        <f t="shared" si="92"/>
        <v>0</v>
      </c>
      <c r="BL42" s="66" t="str">
        <f t="shared" si="24"/>
        <v/>
      </c>
      <c r="BM42" s="65" t="str">
        <f t="shared" si="25"/>
        <v/>
      </c>
      <c r="BN42" s="65" t="str">
        <f t="shared" si="26"/>
        <v/>
      </c>
      <c r="BO42" s="65" t="str">
        <f t="shared" si="27"/>
        <v/>
      </c>
      <c r="BP42" s="68" t="str">
        <f>IF('Marks Entry'!AG42="","",'Marks Entry'!AG42)</f>
        <v/>
      </c>
      <c r="BQ42" s="68" t="str">
        <f>IF('Marks Entry'!AH42="","",'Marks Entry'!AH42)</f>
        <v/>
      </c>
      <c r="BR42" s="68" t="str">
        <f>IF('Marks Entry'!AI42="","",'Marks Entry'!AI42)</f>
        <v/>
      </c>
      <c r="BS42" s="514" t="str">
        <f t="shared" si="28"/>
        <v/>
      </c>
      <c r="BT42" s="68" t="str">
        <f>IF('Marks Entry'!AJ42="","",'Marks Entry'!AJ42)</f>
        <v/>
      </c>
      <c r="BU42" s="515" t="str">
        <f t="shared" si="29"/>
        <v/>
      </c>
      <c r="BV42" s="68" t="str">
        <f>IF('Marks Entry'!AK42="","",'Marks Entry'!AK42)</f>
        <v/>
      </c>
      <c r="BW42" s="96" t="str">
        <f t="shared" si="30"/>
        <v/>
      </c>
      <c r="BX42" s="65">
        <f t="shared" si="31"/>
        <v>0</v>
      </c>
      <c r="BY42" s="65">
        <f t="shared" si="32"/>
        <v>0</v>
      </c>
      <c r="BZ42" s="66" t="str">
        <f t="shared" si="33"/>
        <v/>
      </c>
      <c r="CA42" s="65" t="str">
        <f t="shared" si="34"/>
        <v/>
      </c>
      <c r="CB42" s="65" t="str">
        <f t="shared" si="35"/>
        <v/>
      </c>
      <c r="CC42" s="65" t="str">
        <f t="shared" si="36"/>
        <v/>
      </c>
      <c r="CD42" s="66">
        <f t="shared" si="161"/>
        <v>0</v>
      </c>
      <c r="CE42" s="68" t="str">
        <f>IF('Marks Entry'!AL42="","",'Marks Entry'!AL42)</f>
        <v/>
      </c>
      <c r="CF42" s="68" t="str">
        <f>IF('Marks Entry'!AM42="","",'Marks Entry'!AM42)</f>
        <v/>
      </c>
      <c r="CG42" s="68" t="str">
        <f>IF('Marks Entry'!AN42="","",'Marks Entry'!AN42)</f>
        <v/>
      </c>
      <c r="CH42" s="514" t="str">
        <f t="shared" si="37"/>
        <v/>
      </c>
      <c r="CI42" s="68" t="str">
        <f>IF('Marks Entry'!AO42="","",'Marks Entry'!AO42)</f>
        <v/>
      </c>
      <c r="CJ42" s="515" t="str">
        <f t="shared" si="38"/>
        <v/>
      </c>
      <c r="CK42" s="68" t="str">
        <f>IF('Marks Entry'!AP42="","",'Marks Entry'!AP42)</f>
        <v/>
      </c>
      <c r="CL42" s="96" t="str">
        <f t="shared" si="39"/>
        <v/>
      </c>
      <c r="CM42" s="65">
        <f t="shared" si="40"/>
        <v>0</v>
      </c>
      <c r="CN42" s="65">
        <f t="shared" si="41"/>
        <v>0</v>
      </c>
      <c r="CO42" s="66" t="str">
        <f t="shared" si="42"/>
        <v/>
      </c>
      <c r="CP42" s="65" t="str">
        <f t="shared" si="43"/>
        <v/>
      </c>
      <c r="CQ42" s="65" t="str">
        <f t="shared" si="44"/>
        <v/>
      </c>
      <c r="CR42" s="65" t="str">
        <f t="shared" si="45"/>
        <v/>
      </c>
      <c r="CS42" s="616" t="str">
        <f>IF('School Profile'!$D$20="NO","",IF('Marks Entry'!AQ42="","",IF('Marks Entry'!AQ42=1,'School Profile'!$I$29,IF('Marks Entry'!AQ42=2,'School Profile'!$I$30,IF('Marks Entry'!AQ42=3,'School Profile'!$I$31,IF('Marks Entry'!AQ42=4,'School Profile'!$I$32,IF('Marks Entry'!AQ42=5,'School Profile'!$I$33,IF('Marks Entry'!AQ42=6,'School Profile'!$I$34,IF('Marks Entry'!AQ42=7,'School Profile'!$I$35,IF('Marks Entry'!AQ42=8,'School Profile'!$I$36,IF('Marks Entry'!AQ42=9,'School Profile'!$I$37,IF('Marks Entry'!AQ42=10,'School Profile'!$I$38,IF('Marks Entry'!AQ42=11,'School Profile'!$I$39,"")))))))))))))</f>
        <v/>
      </c>
      <c r="CT42" s="68" t="str">
        <f>IF('School Profile'!$D$20="NO","",IF('Marks Entry'!AR42="","",'Marks Entry'!AR42))</f>
        <v/>
      </c>
      <c r="CU42" s="68" t="str">
        <f>IF('School Profile'!$D$20="NO","",IF('Marks Entry'!AS42="","",'Marks Entry'!AS42))</f>
        <v/>
      </c>
      <c r="CV42" s="68" t="str">
        <f>IF('School Profile'!$D$20="NO","",IF('Marks Entry'!AT42="","",'Marks Entry'!AT42))</f>
        <v/>
      </c>
      <c r="CW42" s="514" t="str">
        <f>IF('School Profile'!$D$20="NO","",IF(AND(CT42="",CU42="",CV42=""),"",SUM(CT42:CV42)))</f>
        <v/>
      </c>
      <c r="CX42" s="68" t="str">
        <f>IF('School Profile'!$D$20="NO","",IF('Marks Entry'!AU42="","",'Marks Entry'!AU42))</f>
        <v/>
      </c>
      <c r="CY42" s="68" t="str">
        <f>IF('School Profile'!$D$20="NO","",IF('Marks Entry'!AV42="","",'Marks Entry'!AV42))</f>
        <v/>
      </c>
      <c r="CZ42" s="515" t="str">
        <f>IF('School Profile'!$D$20="NO","",IF(AND(CX42="",CY42=""),"",SUM(CX42,CY42)))</f>
        <v/>
      </c>
      <c r="DA42" s="69" t="str">
        <f>IF('School Profile'!$D$20="NO","",IF(AND(CW42="",CZ42=""),"",SUM(CW42+CZ42)))</f>
        <v/>
      </c>
      <c r="DB42" s="68" t="str">
        <f>IF('School Profile'!$D$20="NO","",IF('Marks Entry'!AW42="","",'Marks Entry'!AW42))</f>
        <v/>
      </c>
      <c r="DC42" s="68" t="str">
        <f>IF('School Profile'!$D$20="NO","",IF('Marks Entry'!AX42="","",'Marks Entry'!AX42))</f>
        <v/>
      </c>
      <c r="DD42" s="515" t="str">
        <f>IF('School Profile'!$D$20="NO","",IF(AND(DB42="",DC42=""),"",SUM(DB42,DC42)))</f>
        <v/>
      </c>
      <c r="DE42" s="96" t="str">
        <f>IF('School Profile'!$D$20="NO","",IF(AND(DA42="",DD42=""),"",SUM(DA42,DD42)))</f>
        <v/>
      </c>
      <c r="DF42" s="532">
        <f t="shared" si="46"/>
        <v>0</v>
      </c>
      <c r="DG42" s="65">
        <f t="shared" si="47"/>
        <v>0</v>
      </c>
      <c r="DH42" s="66" t="str">
        <f t="shared" si="48"/>
        <v/>
      </c>
      <c r="DI42" s="65" t="str">
        <f t="shared" si="49"/>
        <v/>
      </c>
      <c r="DJ42" s="65" t="str">
        <f t="shared" si="50"/>
        <v/>
      </c>
      <c r="DK42" s="65" t="str">
        <f t="shared" si="51"/>
        <v/>
      </c>
      <c r="DL42" s="97" t="str">
        <f t="shared" si="94"/>
        <v/>
      </c>
      <c r="DM42" s="97" t="str">
        <f t="shared" si="95"/>
        <v/>
      </c>
      <c r="DN42" s="97" t="str">
        <f t="shared" si="96"/>
        <v/>
      </c>
      <c r="DO42" s="97" t="str">
        <f t="shared" si="97"/>
        <v/>
      </c>
      <c r="DP42" s="97" t="str">
        <f t="shared" si="98"/>
        <v/>
      </c>
      <c r="DQ42" s="97" t="str">
        <f t="shared" si="99"/>
        <v/>
      </c>
      <c r="DR42" s="97" t="str">
        <f t="shared" si="100"/>
        <v/>
      </c>
      <c r="DS42" s="98">
        <f t="shared" si="101"/>
        <v>0</v>
      </c>
      <c r="DT42" s="98">
        <f t="shared" si="102"/>
        <v>0</v>
      </c>
      <c r="DU42" s="98">
        <f t="shared" si="103"/>
        <v>0</v>
      </c>
      <c r="DV42" s="98">
        <f t="shared" si="104"/>
        <v>0</v>
      </c>
      <c r="DW42" s="98">
        <f t="shared" si="105"/>
        <v>0</v>
      </c>
      <c r="DX42" s="98" t="str">
        <f t="shared" si="106"/>
        <v/>
      </c>
      <c r="DY42" s="99" t="str">
        <f t="shared" si="107"/>
        <v/>
      </c>
      <c r="DZ42" s="74" t="str">
        <f>IF('Marks Entry'!AY42="","",'Marks Entry'!AY42)</f>
        <v/>
      </c>
      <c r="EA42" s="74" t="str">
        <f>IF('Marks Entry'!AZ42="","",'Marks Entry'!AZ42)</f>
        <v/>
      </c>
      <c r="EB42" s="74" t="str">
        <f>IF('Marks Entry'!BA42="","",'Marks Entry'!BA42)</f>
        <v/>
      </c>
      <c r="EC42" s="527" t="str">
        <f t="shared" si="52"/>
        <v/>
      </c>
      <c r="ED42" s="74" t="str">
        <f>IF('Marks Entry'!BB42="","",'Marks Entry'!BB42)</f>
        <v/>
      </c>
      <c r="EE42" s="528" t="str">
        <f t="shared" si="53"/>
        <v/>
      </c>
      <c r="EF42" s="74" t="str">
        <f>IF('Marks Entry'!BC42="","",'Marks Entry'!BC42)</f>
        <v/>
      </c>
      <c r="EG42" s="530" t="str">
        <f t="shared" si="54"/>
        <v/>
      </c>
      <c r="EH42" s="368" t="str">
        <f t="shared" si="108"/>
        <v/>
      </c>
      <c r="EI42" s="65">
        <f t="shared" si="109"/>
        <v>0</v>
      </c>
      <c r="EJ42" s="65">
        <f t="shared" si="110"/>
        <v>0</v>
      </c>
      <c r="EK42" s="66" t="str">
        <f t="shared" si="111"/>
        <v/>
      </c>
      <c r="EL42" s="74" t="str">
        <f>IF('Marks Entry'!BD42="","",'Marks Entry'!BD42)</f>
        <v/>
      </c>
      <c r="EM42" s="74" t="str">
        <f>IF('Marks Entry'!BE42="","",'Marks Entry'!BE42)</f>
        <v/>
      </c>
      <c r="EN42" s="74" t="str">
        <f>IF('Marks Entry'!BF42="","",'Marks Entry'!BF42)</f>
        <v/>
      </c>
      <c r="EO42" s="527" t="str">
        <f t="shared" si="55"/>
        <v/>
      </c>
      <c r="EP42" s="74" t="str">
        <f>IF('Marks Entry'!BG42="","",'Marks Entry'!BG42)</f>
        <v/>
      </c>
      <c r="EQ42" s="74" t="str">
        <f>IF('Marks Entry'!BH42="","",'Marks Entry'!BH42)</f>
        <v/>
      </c>
      <c r="ER42" s="528" t="str">
        <f t="shared" si="56"/>
        <v/>
      </c>
      <c r="ES42" s="529" t="str">
        <f t="shared" si="57"/>
        <v/>
      </c>
      <c r="ET42" s="74" t="str">
        <f>IF('Marks Entry'!BI42="","",'Marks Entry'!BI42)</f>
        <v/>
      </c>
      <c r="EU42" s="74" t="str">
        <f>IF('Marks Entry'!BJ42="","",'Marks Entry'!BJ42)</f>
        <v/>
      </c>
      <c r="EV42" s="528" t="str">
        <f t="shared" si="58"/>
        <v/>
      </c>
      <c r="EW42" s="530" t="str">
        <f t="shared" si="59"/>
        <v/>
      </c>
      <c r="EX42" s="368" t="str">
        <f t="shared" si="112"/>
        <v/>
      </c>
      <c r="EY42" s="65">
        <f t="shared" si="113"/>
        <v>0</v>
      </c>
      <c r="EZ42" s="65">
        <f t="shared" si="114"/>
        <v>0</v>
      </c>
      <c r="FA42" s="66" t="str">
        <f t="shared" si="115"/>
        <v/>
      </c>
      <c r="FB42" s="74" t="str">
        <f>IF('Marks Entry'!BK42="","",'Marks Entry'!BK42)</f>
        <v/>
      </c>
      <c r="FC42" s="74" t="str">
        <f>IF('Marks Entry'!BL42="","",'Marks Entry'!BL42)</f>
        <v/>
      </c>
      <c r="FD42" s="74" t="str">
        <f>IF('Marks Entry'!BM42="","",'Marks Entry'!BM42)</f>
        <v/>
      </c>
      <c r="FE42" s="74" t="str">
        <f>IF('Marks Entry'!BN42="","",'Marks Entry'!BN42)</f>
        <v/>
      </c>
      <c r="FF42" s="74" t="str">
        <f>IF('Marks Entry'!BO42="","",'Marks Entry'!BO42)</f>
        <v/>
      </c>
      <c r="FG42" s="74" t="str">
        <f>IF('Marks Entry'!BP42="","",'Marks Entry'!BP42)</f>
        <v/>
      </c>
      <c r="FH42" s="527" t="str">
        <f t="shared" si="60"/>
        <v/>
      </c>
      <c r="FI42" s="74" t="str">
        <f>IF('Marks Entry'!BQ42="","",'Marks Entry'!BQ42)</f>
        <v/>
      </c>
      <c r="FJ42" s="74" t="str">
        <f>IF('Marks Entry'!BR42="","",'Marks Entry'!BR42)</f>
        <v/>
      </c>
      <c r="FK42" s="528" t="str">
        <f t="shared" si="61"/>
        <v/>
      </c>
      <c r="FL42" s="529" t="str">
        <f t="shared" si="62"/>
        <v/>
      </c>
      <c r="FM42" s="74" t="str">
        <f>IF('Marks Entry'!BS42="","",'Marks Entry'!BS42)</f>
        <v/>
      </c>
      <c r="FN42" s="74" t="str">
        <f>IF('Marks Entry'!BT42="","",'Marks Entry'!BT42)</f>
        <v/>
      </c>
      <c r="FO42" s="528" t="str">
        <f t="shared" si="63"/>
        <v/>
      </c>
      <c r="FP42" s="530" t="str">
        <f t="shared" si="64"/>
        <v/>
      </c>
      <c r="FQ42" s="368" t="str">
        <f t="shared" si="116"/>
        <v/>
      </c>
      <c r="FR42" s="65">
        <f t="shared" si="117"/>
        <v>0</v>
      </c>
      <c r="FS42" s="65">
        <f t="shared" si="118"/>
        <v>0</v>
      </c>
      <c r="FT42" s="66" t="str">
        <f t="shared" si="119"/>
        <v/>
      </c>
      <c r="FU42" s="74" t="str">
        <f>IF('Marks Entry'!BU42="","",'Marks Entry'!BU42)</f>
        <v/>
      </c>
      <c r="FV42" s="74" t="str">
        <f>IF('Marks Entry'!BV42="","",'Marks Entry'!BV42)</f>
        <v/>
      </c>
      <c r="FW42" s="74" t="str">
        <f>IF('Marks Entry'!BW42="","",'Marks Entry'!BW42)</f>
        <v/>
      </c>
      <c r="FX42" s="75" t="str">
        <f t="shared" si="65"/>
        <v/>
      </c>
      <c r="FY42" s="368" t="str">
        <f t="shared" si="120"/>
        <v/>
      </c>
      <c r="FZ42" s="65">
        <f t="shared" si="121"/>
        <v>0</v>
      </c>
      <c r="GA42" s="66">
        <f t="shared" si="122"/>
        <v>0</v>
      </c>
      <c r="GB42" s="66" t="str">
        <f t="shared" si="123"/>
        <v/>
      </c>
      <c r="GC42" s="74" t="str">
        <f>IF('Marks Entry'!BX42="","",'Marks Entry'!BX42)</f>
        <v/>
      </c>
      <c r="GD42" s="74" t="str">
        <f>IF('Marks Entry'!BY42="","",'Marks Entry'!BY42)</f>
        <v/>
      </c>
      <c r="GE42" s="74" t="str">
        <f>IF('Marks Entry'!BZ42="","",'Marks Entry'!BZ42)</f>
        <v/>
      </c>
      <c r="GF42" s="75" t="str">
        <f t="shared" si="124"/>
        <v/>
      </c>
      <c r="GG42" s="368" t="str">
        <f t="shared" si="125"/>
        <v/>
      </c>
      <c r="GH42" s="65">
        <f t="shared" si="126"/>
        <v>0</v>
      </c>
      <c r="GI42" s="66">
        <f t="shared" si="127"/>
        <v>0</v>
      </c>
      <c r="GJ42" s="66" t="str">
        <f t="shared" si="128"/>
        <v/>
      </c>
      <c r="GK42" s="100" t="str">
        <f>IF(AND(F42="",B42=""),"",IF('Student DATA Entry'!M39="","",'Student DATA Entry'!M39))</f>
        <v/>
      </c>
      <c r="GL42" s="101" t="str">
        <f>IF(AND(B42="",F42=""),"",IF('Student DATA Entry'!N39="","",'Student DATA Entry'!N39))</f>
        <v/>
      </c>
      <c r="GM42" s="581" t="str">
        <f t="shared" si="129"/>
        <v/>
      </c>
      <c r="GN42" s="94" t="str">
        <f t="shared" si="130"/>
        <v/>
      </c>
      <c r="GO42" s="94" t="str">
        <f t="shared" si="131"/>
        <v/>
      </c>
      <c r="GP42" s="102" t="str">
        <f t="shared" si="162"/>
        <v/>
      </c>
      <c r="GQ42" s="94" t="str">
        <f t="shared" si="132"/>
        <v/>
      </c>
      <c r="GR42" s="103" t="str">
        <f t="shared" si="133"/>
        <v/>
      </c>
      <c r="GS42" s="102" t="str">
        <f t="shared" si="163"/>
        <v/>
      </c>
      <c r="GT42" s="104" t="str">
        <f t="shared" si="134"/>
        <v/>
      </c>
      <c r="GU42" s="94" t="str">
        <f>IF('Marks Entry'!V42=1,GT42,"")</f>
        <v/>
      </c>
      <c r="GV42" s="94" t="str">
        <f>IF('Marks Entry'!V42=2,GT42,"")</f>
        <v/>
      </c>
      <c r="GW42" s="94" t="str">
        <f>IF('Marks Entry'!V42=3,GT42,"")</f>
        <v/>
      </c>
      <c r="GX42" s="94" t="str">
        <f>IF('Marks Entry'!V42=4,GT42,"")</f>
        <v/>
      </c>
      <c r="GY42" s="94" t="str">
        <f>IF('Marks Entry'!V42=5,GT42,"")</f>
        <v/>
      </c>
      <c r="GZ42" s="94" t="str">
        <f t="shared" si="135"/>
        <v/>
      </c>
      <c r="HA42" s="105" t="str">
        <f t="shared" si="164"/>
        <v/>
      </c>
      <c r="HB42" s="94" t="str">
        <f t="shared" si="136"/>
        <v/>
      </c>
      <c r="HC42" s="94" t="str">
        <f t="shared" si="137"/>
        <v/>
      </c>
      <c r="HD42" s="105" t="str">
        <f t="shared" si="165"/>
        <v/>
      </c>
      <c r="HE42" s="94" t="str">
        <f t="shared" si="138"/>
        <v/>
      </c>
      <c r="HF42" s="94" t="str">
        <f t="shared" si="139"/>
        <v/>
      </c>
      <c r="HG42" s="105" t="str">
        <f t="shared" si="166"/>
        <v/>
      </c>
      <c r="HH42" s="94" t="str">
        <f t="shared" si="140"/>
        <v/>
      </c>
      <c r="HI42" s="94" t="str">
        <f t="shared" si="141"/>
        <v/>
      </c>
      <c r="HJ42" s="105" t="str">
        <f t="shared" si="167"/>
        <v/>
      </c>
      <c r="HK42" s="94" t="str">
        <f t="shared" si="142"/>
        <v/>
      </c>
      <c r="HL42" s="94" t="str">
        <f t="shared" si="143"/>
        <v/>
      </c>
      <c r="HM42" s="105" t="str">
        <f t="shared" si="168"/>
        <v/>
      </c>
      <c r="HN42" s="367" t="str">
        <f t="shared" si="144"/>
        <v xml:space="preserve">      </v>
      </c>
      <c r="HO42" s="418" t="str">
        <f t="shared" si="169"/>
        <v xml:space="preserve">      </v>
      </c>
      <c r="HP42" s="367" t="str">
        <f t="shared" si="146"/>
        <v xml:space="preserve">      </v>
      </c>
      <c r="HQ42" s="107" t="str">
        <f t="shared" si="147"/>
        <v xml:space="preserve">      </v>
      </c>
      <c r="HR42" s="366" t="str">
        <f t="shared" si="148"/>
        <v xml:space="preserve">      </v>
      </c>
      <c r="HS42" s="544" t="str">
        <f t="shared" si="170"/>
        <v/>
      </c>
      <c r="HT42" s="542" t="str">
        <f t="shared" si="149"/>
        <v/>
      </c>
      <c r="HU42" s="541" t="str">
        <f t="shared" si="160"/>
        <v/>
      </c>
      <c r="HV42" s="540" t="str">
        <f t="shared" si="150"/>
        <v/>
      </c>
      <c r="HW42" s="537" t="str">
        <f t="shared" si="151"/>
        <v/>
      </c>
      <c r="HX42" s="539" t="str">
        <f t="shared" si="152"/>
        <v/>
      </c>
      <c r="HY42" s="553" t="str">
        <f>IFERROR(IF(OR(HS42="SUPPLEMENTARY",HS42="RE-EXAM"),'Supp. Result Entry'!AQ40,""),"")</f>
        <v/>
      </c>
      <c r="HZ42" s="538" t="str">
        <f t="shared" si="153"/>
        <v/>
      </c>
      <c r="IA42" s="415" t="str">
        <f t="shared" si="154"/>
        <v/>
      </c>
      <c r="IB42" s="415" t="str">
        <f>IF(AND(HZ42="",IA42=""),"",IF(OR(HS42="SUPPLEMENTARY",HS42="RE-EXAM"),'Supp. Result Entry'!AQ40,HS42))</f>
        <v/>
      </c>
      <c r="IC42" s="87"/>
      <c r="ID42" s="111"/>
      <c r="IS42" s="109" t="str">
        <f>IF('Supp. Result Entry'!T40="","",'Supp. Result Entry'!$T$4)</f>
        <v/>
      </c>
      <c r="IT42" s="110" t="str">
        <f>IF('Supp. Result Entry'!W40="","",'Supp. Result Entry'!$W$4)</f>
        <v/>
      </c>
      <c r="IU42" s="110" t="str">
        <f>IF('Supp. Result Entry'!Z40="","",'Supp. Result Entry'!$Z$4)</f>
        <v/>
      </c>
      <c r="IV42" s="110" t="str">
        <f>IF('Supp. Result Entry'!AC40="","",'Supp. Result Entry'!$AC$4)</f>
        <v/>
      </c>
      <c r="IW42" s="110" t="str">
        <f>IF('Supp. Result Entry'!AF40="","",'Supp. Result Entry'!$AF$4)</f>
        <v/>
      </c>
      <c r="IX42" s="110" t="str">
        <f>IF('Supp. Result Entry'!AI40="","",'Supp. Result Entry'!$AI$4)</f>
        <v/>
      </c>
      <c r="IY42" s="110" t="str">
        <f>IF('Supp. Result Entry'!AI40="","",'Supp. Result Entry'!$AL$4)</f>
        <v/>
      </c>
      <c r="IZ42" s="110" t="str">
        <f>IF('Supp. Result Entry'!U40="","",'Supp. Result Entry'!U40)</f>
        <v/>
      </c>
      <c r="JA42" s="110" t="str">
        <f>IF('Supp. Result Entry'!X40="","",'Supp. Result Entry'!X40)</f>
        <v/>
      </c>
      <c r="JB42" s="110" t="str">
        <f>IF('Supp. Result Entry'!AA40="","",'Supp. Result Entry'!AA40)</f>
        <v/>
      </c>
      <c r="JC42" s="110" t="str">
        <f>IF('Supp. Result Entry'!AD40="","",'Supp. Result Entry'!AD40)</f>
        <v/>
      </c>
      <c r="JD42" s="110" t="str">
        <f>IF('Supp. Result Entry'!AG40="","",'Supp. Result Entry'!AG40)</f>
        <v/>
      </c>
      <c r="JE42" s="110" t="str">
        <f>IF('Supp. Result Entry'!AJ40="","",'Supp. Result Entry'!AJ40)</f>
        <v/>
      </c>
      <c r="JF42" s="110" t="str">
        <f>IF('Supp. Result Entry'!AM40="","",'Supp. Result Entry'!AM40)</f>
        <v/>
      </c>
      <c r="JG42" s="110" t="str">
        <f>IF('Supp. Result Entry'!V40="","",'Supp. Result Entry'!V40)</f>
        <v/>
      </c>
      <c r="JH42" s="110" t="str">
        <f>IF('Supp. Result Entry'!Y40="","",'Supp. Result Entry'!Y40)</f>
        <v/>
      </c>
      <c r="JI42" s="110" t="str">
        <f>IF('Supp. Result Entry'!AB40="","",'Supp. Result Entry'!AB40)</f>
        <v/>
      </c>
      <c r="JJ42" s="110" t="str">
        <f>IF('Supp. Result Entry'!AE40="","",'Supp. Result Entry'!AE40)</f>
        <v/>
      </c>
      <c r="JK42" s="110" t="str">
        <f>IF('Supp. Result Entry'!AH40="","",'Supp. Result Entry'!AH40)</f>
        <v/>
      </c>
      <c r="JL42" s="110" t="str">
        <f>IF('Supp. Result Entry'!AK40="","",'Supp. Result Entry'!AK40)</f>
        <v/>
      </c>
      <c r="JM42" s="110" t="str">
        <f>IF('Supp. Result Entry'!AN40="","",'Supp. Result Entry'!AN40)</f>
        <v/>
      </c>
      <c r="JN42" s="110">
        <f>COUNTIF('Supp. Result Entry'!K40:Q40,"S")</f>
        <v>0</v>
      </c>
      <c r="JO42" s="110">
        <f t="shared" si="155"/>
        <v>0</v>
      </c>
      <c r="JP42" s="110">
        <f t="shared" si="156"/>
        <v>0</v>
      </c>
      <c r="JQ42" s="110" t="str">
        <f t="shared" si="75"/>
        <v/>
      </c>
      <c r="JR42" s="110" t="str">
        <f t="shared" si="76"/>
        <v/>
      </c>
      <c r="JS42" s="110" t="str">
        <f t="shared" si="77"/>
        <v/>
      </c>
      <c r="JT42" s="110" t="str">
        <f t="shared" si="78"/>
        <v/>
      </c>
      <c r="JU42" s="110" t="str">
        <f t="shared" si="79"/>
        <v/>
      </c>
      <c r="JV42" s="110" t="str">
        <f t="shared" si="80"/>
        <v/>
      </c>
      <c r="JW42" s="110" t="str">
        <f t="shared" si="81"/>
        <v/>
      </c>
      <c r="JX42" s="110" t="str">
        <f t="shared" si="157"/>
        <v/>
      </c>
      <c r="JY42" s="110" t="str">
        <f t="shared" si="158"/>
        <v/>
      </c>
      <c r="JZ42" s="110" t="str">
        <f t="shared" si="82"/>
        <v/>
      </c>
      <c r="KA42" s="108" t="str">
        <f t="shared" si="159"/>
        <v/>
      </c>
    </row>
    <row r="43" spans="1:287" s="108" customFormat="1" ht="21.95" customHeight="1">
      <c r="A43" s="89">
        <v>37</v>
      </c>
      <c r="B43" s="90" t="str">
        <f>IF('Marks Entry'!B43="","",'Marks Entry'!B43)</f>
        <v/>
      </c>
      <c r="C43" s="94" t="str">
        <f>IF('Marks Entry'!D43="","",'Marks Entry'!D43)</f>
        <v/>
      </c>
      <c r="D43" s="91" t="str">
        <f>IF('Marks Entry'!E43="","",'Marks Entry'!E43)</f>
        <v/>
      </c>
      <c r="E43" s="92" t="str">
        <f>IF('Marks Entry'!F43="","",'Marks Entry'!F43)</f>
        <v/>
      </c>
      <c r="F43" s="93" t="str">
        <f>IF('Marks Entry'!G43="","",'Marks Entry'!G43)</f>
        <v/>
      </c>
      <c r="G43" s="93" t="str">
        <f>IF('Marks Entry'!H43="","",'Marks Entry'!H43)</f>
        <v/>
      </c>
      <c r="H43" s="93" t="str">
        <f>IF('Marks Entry'!I43="","",'Marks Entry'!I43)</f>
        <v/>
      </c>
      <c r="I43" s="94" t="str">
        <f>IF('Marks Entry'!J43="","",'Marks Entry'!J43)</f>
        <v/>
      </c>
      <c r="J43" s="95" t="str">
        <f>IF('Marks Entry'!K43="","",'Marks Entry'!K43)</f>
        <v/>
      </c>
      <c r="K43" s="68" t="str">
        <f>IF('Marks Entry'!L43="","",'Marks Entry'!L43)</f>
        <v/>
      </c>
      <c r="L43" s="68" t="str">
        <f>IF('Marks Entry'!M43="","",'Marks Entry'!M43)</f>
        <v/>
      </c>
      <c r="M43" s="68" t="str">
        <f>IF('Marks Entry'!N43="","",'Marks Entry'!N43)</f>
        <v/>
      </c>
      <c r="N43" s="514" t="str">
        <f t="shared" si="83"/>
        <v/>
      </c>
      <c r="O43" s="68" t="str">
        <f>IF('Marks Entry'!O43="","",'Marks Entry'!O43)</f>
        <v/>
      </c>
      <c r="P43" s="515" t="str">
        <f t="shared" si="84"/>
        <v/>
      </c>
      <c r="Q43" s="68" t="str">
        <f>IF('Marks Entry'!P43="","",'Marks Entry'!P43)</f>
        <v/>
      </c>
      <c r="R43" s="96" t="str">
        <f t="shared" si="85"/>
        <v/>
      </c>
      <c r="S43" s="65">
        <f t="shared" si="86"/>
        <v>0</v>
      </c>
      <c r="T43" s="65">
        <f t="shared" si="87"/>
        <v>0</v>
      </c>
      <c r="U43" s="66" t="str">
        <f t="shared" si="88"/>
        <v/>
      </c>
      <c r="V43" s="65" t="str">
        <f t="shared" si="89"/>
        <v/>
      </c>
      <c r="W43" s="65" t="str">
        <f t="shared" si="90"/>
        <v/>
      </c>
      <c r="X43" s="65" t="str">
        <f t="shared" si="91"/>
        <v/>
      </c>
      <c r="Y43" s="68" t="str">
        <f>IF('Marks Entry'!Q43="","",'Marks Entry'!Q43)</f>
        <v/>
      </c>
      <c r="Z43" s="68" t="str">
        <f>IF('Marks Entry'!R43="","",'Marks Entry'!R43)</f>
        <v/>
      </c>
      <c r="AA43" s="68" t="str">
        <f>IF('Marks Entry'!S43="","",'Marks Entry'!S43)</f>
        <v/>
      </c>
      <c r="AB43" s="514" t="str">
        <f t="shared" si="2"/>
        <v/>
      </c>
      <c r="AC43" s="68" t="str">
        <f>IF('Marks Entry'!T43="","",'Marks Entry'!T43)</f>
        <v/>
      </c>
      <c r="AD43" s="515" t="str">
        <f t="shared" si="3"/>
        <v/>
      </c>
      <c r="AE43" s="68" t="str">
        <f>IF('Marks Entry'!U43="","",'Marks Entry'!U43)</f>
        <v/>
      </c>
      <c r="AF43" s="96" t="str">
        <f t="shared" si="4"/>
        <v/>
      </c>
      <c r="AG43" s="65">
        <f t="shared" si="5"/>
        <v>0</v>
      </c>
      <c r="AH43" s="65">
        <f t="shared" si="6"/>
        <v>0</v>
      </c>
      <c r="AI43" s="66" t="str">
        <f t="shared" si="7"/>
        <v/>
      </c>
      <c r="AJ43" s="65" t="str">
        <f t="shared" si="8"/>
        <v/>
      </c>
      <c r="AK43" s="65" t="str">
        <f t="shared" si="9"/>
        <v/>
      </c>
      <c r="AL43" s="65" t="str">
        <f t="shared" si="10"/>
        <v/>
      </c>
      <c r="AM43" s="524" t="str">
        <f>IF('Marks Entry'!V43="","",IF('Marks Entry'!V43=1,'School Profile'!$I$9,IF('Marks Entry'!V43=2,'School Profile'!$I$10,IF('Marks Entry'!V43=3,'School Profile'!$I$11,IF('Marks Entry'!V43=4,'School Profile'!$I$12,IF('Marks Entry'!V43=5,'School Profile'!$I$13,IF('Marks Entry'!V43=6,'School Profile'!$I$14,"")))))))</f>
        <v/>
      </c>
      <c r="AN43" s="68" t="str">
        <f>IF('Marks Entry'!W43="","",'Marks Entry'!W43)</f>
        <v/>
      </c>
      <c r="AO43" s="68" t="str">
        <f>IF('Marks Entry'!X43="","",'Marks Entry'!X43)</f>
        <v/>
      </c>
      <c r="AP43" s="68" t="str">
        <f>IF('Marks Entry'!Y43="","",'Marks Entry'!Y43)</f>
        <v/>
      </c>
      <c r="AQ43" s="514" t="str">
        <f t="shared" si="11"/>
        <v/>
      </c>
      <c r="AR43" s="68" t="str">
        <f>IF('Marks Entry'!Z43="","",'Marks Entry'!Z43)</f>
        <v/>
      </c>
      <c r="AS43" s="515" t="str">
        <f t="shared" si="12"/>
        <v/>
      </c>
      <c r="AT43" s="68" t="str">
        <f>IF('Marks Entry'!AA43="","",'Marks Entry'!AA43)</f>
        <v/>
      </c>
      <c r="AU43" s="96" t="str">
        <f t="shared" si="13"/>
        <v/>
      </c>
      <c r="AV43" s="65">
        <f t="shared" si="14"/>
        <v>0</v>
      </c>
      <c r="AW43" s="65">
        <f t="shared" si="15"/>
        <v>0</v>
      </c>
      <c r="AX43" s="66" t="str">
        <f t="shared" si="16"/>
        <v/>
      </c>
      <c r="AY43" s="65" t="str">
        <f t="shared" si="17"/>
        <v/>
      </c>
      <c r="AZ43" s="65" t="str">
        <f t="shared" si="18"/>
        <v/>
      </c>
      <c r="BA43" s="65" t="str">
        <f t="shared" si="19"/>
        <v/>
      </c>
      <c r="BB43" s="68" t="str">
        <f>IF('Marks Entry'!AB43="","",'Marks Entry'!AB43)</f>
        <v/>
      </c>
      <c r="BC43" s="68" t="str">
        <f>IF('Marks Entry'!AC43="","",'Marks Entry'!AC43)</f>
        <v/>
      </c>
      <c r="BD43" s="68" t="str">
        <f>IF('Marks Entry'!AD43="","",'Marks Entry'!AD43)</f>
        <v/>
      </c>
      <c r="BE43" s="514" t="str">
        <f t="shared" si="20"/>
        <v/>
      </c>
      <c r="BF43" s="68" t="str">
        <f>IF('Marks Entry'!AE43="","",'Marks Entry'!AE43)</f>
        <v/>
      </c>
      <c r="BG43" s="515" t="str">
        <f t="shared" si="21"/>
        <v/>
      </c>
      <c r="BH43" s="68" t="str">
        <f>IF('Marks Entry'!AF43="","",'Marks Entry'!AF43)</f>
        <v/>
      </c>
      <c r="BI43" s="96" t="str">
        <f t="shared" si="22"/>
        <v/>
      </c>
      <c r="BJ43" s="65">
        <f t="shared" si="23"/>
        <v>0</v>
      </c>
      <c r="BK43" s="65">
        <f t="shared" si="92"/>
        <v>0</v>
      </c>
      <c r="BL43" s="66" t="str">
        <f t="shared" si="24"/>
        <v/>
      </c>
      <c r="BM43" s="65" t="str">
        <f t="shared" si="25"/>
        <v/>
      </c>
      <c r="BN43" s="65" t="str">
        <f t="shared" si="26"/>
        <v/>
      </c>
      <c r="BO43" s="65" t="str">
        <f t="shared" si="27"/>
        <v/>
      </c>
      <c r="BP43" s="68" t="str">
        <f>IF('Marks Entry'!AG43="","",'Marks Entry'!AG43)</f>
        <v/>
      </c>
      <c r="BQ43" s="68" t="str">
        <f>IF('Marks Entry'!AH43="","",'Marks Entry'!AH43)</f>
        <v/>
      </c>
      <c r="BR43" s="68" t="str">
        <f>IF('Marks Entry'!AI43="","",'Marks Entry'!AI43)</f>
        <v/>
      </c>
      <c r="BS43" s="514" t="str">
        <f t="shared" si="28"/>
        <v/>
      </c>
      <c r="BT43" s="68" t="str">
        <f>IF('Marks Entry'!AJ43="","",'Marks Entry'!AJ43)</f>
        <v/>
      </c>
      <c r="BU43" s="515" t="str">
        <f t="shared" si="29"/>
        <v/>
      </c>
      <c r="BV43" s="68" t="str">
        <f>IF('Marks Entry'!AK43="","",'Marks Entry'!AK43)</f>
        <v/>
      </c>
      <c r="BW43" s="96" t="str">
        <f t="shared" si="30"/>
        <v/>
      </c>
      <c r="BX43" s="65">
        <f t="shared" si="31"/>
        <v>0</v>
      </c>
      <c r="BY43" s="65">
        <f t="shared" si="32"/>
        <v>0</v>
      </c>
      <c r="BZ43" s="66" t="str">
        <f t="shared" si="33"/>
        <v/>
      </c>
      <c r="CA43" s="65" t="str">
        <f t="shared" si="34"/>
        <v/>
      </c>
      <c r="CB43" s="65" t="str">
        <f t="shared" si="35"/>
        <v/>
      </c>
      <c r="CC43" s="65" t="str">
        <f t="shared" si="36"/>
        <v/>
      </c>
      <c r="CD43" s="66">
        <f t="shared" si="161"/>
        <v>0</v>
      </c>
      <c r="CE43" s="68" t="str">
        <f>IF('Marks Entry'!AL43="","",'Marks Entry'!AL43)</f>
        <v/>
      </c>
      <c r="CF43" s="68" t="str">
        <f>IF('Marks Entry'!AM43="","",'Marks Entry'!AM43)</f>
        <v/>
      </c>
      <c r="CG43" s="68" t="str">
        <f>IF('Marks Entry'!AN43="","",'Marks Entry'!AN43)</f>
        <v/>
      </c>
      <c r="CH43" s="514" t="str">
        <f t="shared" si="37"/>
        <v/>
      </c>
      <c r="CI43" s="68" t="str">
        <f>IF('Marks Entry'!AO43="","",'Marks Entry'!AO43)</f>
        <v/>
      </c>
      <c r="CJ43" s="515" t="str">
        <f t="shared" si="38"/>
        <v/>
      </c>
      <c r="CK43" s="68" t="str">
        <f>IF('Marks Entry'!AP43="","",'Marks Entry'!AP43)</f>
        <v/>
      </c>
      <c r="CL43" s="96" t="str">
        <f t="shared" si="39"/>
        <v/>
      </c>
      <c r="CM43" s="65">
        <f t="shared" si="40"/>
        <v>0</v>
      </c>
      <c r="CN43" s="65">
        <f t="shared" si="41"/>
        <v>0</v>
      </c>
      <c r="CO43" s="66" t="str">
        <f t="shared" si="42"/>
        <v/>
      </c>
      <c r="CP43" s="65" t="str">
        <f t="shared" si="43"/>
        <v/>
      </c>
      <c r="CQ43" s="65" t="str">
        <f t="shared" si="44"/>
        <v/>
      </c>
      <c r="CR43" s="65" t="str">
        <f t="shared" si="45"/>
        <v/>
      </c>
      <c r="CS43" s="616" t="str">
        <f>IF('School Profile'!$D$20="NO","",IF('Marks Entry'!AQ43="","",IF('Marks Entry'!AQ43=1,'School Profile'!$I$29,IF('Marks Entry'!AQ43=2,'School Profile'!$I$30,IF('Marks Entry'!AQ43=3,'School Profile'!$I$31,IF('Marks Entry'!AQ43=4,'School Profile'!$I$32,IF('Marks Entry'!AQ43=5,'School Profile'!$I$33,IF('Marks Entry'!AQ43=6,'School Profile'!$I$34,IF('Marks Entry'!AQ43=7,'School Profile'!$I$35,IF('Marks Entry'!AQ43=8,'School Profile'!$I$36,IF('Marks Entry'!AQ43=9,'School Profile'!$I$37,IF('Marks Entry'!AQ43=10,'School Profile'!$I$38,IF('Marks Entry'!AQ43=11,'School Profile'!$I$39,"")))))))))))))</f>
        <v/>
      </c>
      <c r="CT43" s="68" t="str">
        <f>IF('School Profile'!$D$20="NO","",IF('Marks Entry'!AR43="","",'Marks Entry'!AR43))</f>
        <v/>
      </c>
      <c r="CU43" s="68" t="str">
        <f>IF('School Profile'!$D$20="NO","",IF('Marks Entry'!AS43="","",'Marks Entry'!AS43))</f>
        <v/>
      </c>
      <c r="CV43" s="68" t="str">
        <f>IF('School Profile'!$D$20="NO","",IF('Marks Entry'!AT43="","",'Marks Entry'!AT43))</f>
        <v/>
      </c>
      <c r="CW43" s="514" t="str">
        <f>IF('School Profile'!$D$20="NO","",IF(AND(CT43="",CU43="",CV43=""),"",SUM(CT43:CV43)))</f>
        <v/>
      </c>
      <c r="CX43" s="68" t="str">
        <f>IF('School Profile'!$D$20="NO","",IF('Marks Entry'!AU43="","",'Marks Entry'!AU43))</f>
        <v/>
      </c>
      <c r="CY43" s="68" t="str">
        <f>IF('School Profile'!$D$20="NO","",IF('Marks Entry'!AV43="","",'Marks Entry'!AV43))</f>
        <v/>
      </c>
      <c r="CZ43" s="515" t="str">
        <f>IF('School Profile'!$D$20="NO","",IF(AND(CX43="",CY43=""),"",SUM(CX43,CY43)))</f>
        <v/>
      </c>
      <c r="DA43" s="69" t="str">
        <f>IF('School Profile'!$D$20="NO","",IF(AND(CW43="",CZ43=""),"",SUM(CW43+CZ43)))</f>
        <v/>
      </c>
      <c r="DB43" s="68" t="str">
        <f>IF('School Profile'!$D$20="NO","",IF('Marks Entry'!AW43="","",'Marks Entry'!AW43))</f>
        <v/>
      </c>
      <c r="DC43" s="68" t="str">
        <f>IF('School Profile'!$D$20="NO","",IF('Marks Entry'!AX43="","",'Marks Entry'!AX43))</f>
        <v/>
      </c>
      <c r="DD43" s="515" t="str">
        <f>IF('School Profile'!$D$20="NO","",IF(AND(DB43="",DC43=""),"",SUM(DB43,DC43)))</f>
        <v/>
      </c>
      <c r="DE43" s="96" t="str">
        <f>IF('School Profile'!$D$20="NO","",IF(AND(DA43="",DD43=""),"",SUM(DA43,DD43)))</f>
        <v/>
      </c>
      <c r="DF43" s="532">
        <f t="shared" si="46"/>
        <v>0</v>
      </c>
      <c r="DG43" s="65">
        <f t="shared" si="47"/>
        <v>0</v>
      </c>
      <c r="DH43" s="66" t="str">
        <f t="shared" si="48"/>
        <v/>
      </c>
      <c r="DI43" s="65" t="str">
        <f t="shared" si="49"/>
        <v/>
      </c>
      <c r="DJ43" s="65" t="str">
        <f t="shared" si="50"/>
        <v/>
      </c>
      <c r="DK43" s="65" t="str">
        <f t="shared" si="51"/>
        <v/>
      </c>
      <c r="DL43" s="97" t="str">
        <f t="shared" si="94"/>
        <v/>
      </c>
      <c r="DM43" s="97" t="str">
        <f t="shared" si="95"/>
        <v/>
      </c>
      <c r="DN43" s="97" t="str">
        <f t="shared" si="96"/>
        <v/>
      </c>
      <c r="DO43" s="97" t="str">
        <f t="shared" si="97"/>
        <v/>
      </c>
      <c r="DP43" s="97" t="str">
        <f t="shared" si="98"/>
        <v/>
      </c>
      <c r="DQ43" s="97" t="str">
        <f t="shared" si="99"/>
        <v/>
      </c>
      <c r="DR43" s="97" t="str">
        <f t="shared" si="100"/>
        <v/>
      </c>
      <c r="DS43" s="98">
        <f t="shared" si="101"/>
        <v>0</v>
      </c>
      <c r="DT43" s="98">
        <f t="shared" si="102"/>
        <v>0</v>
      </c>
      <c r="DU43" s="98">
        <f t="shared" si="103"/>
        <v>0</v>
      </c>
      <c r="DV43" s="98">
        <f t="shared" si="104"/>
        <v>0</v>
      </c>
      <c r="DW43" s="98">
        <f t="shared" si="105"/>
        <v>0</v>
      </c>
      <c r="DX43" s="98" t="str">
        <f t="shared" si="106"/>
        <v/>
      </c>
      <c r="DY43" s="99" t="str">
        <f t="shared" si="107"/>
        <v/>
      </c>
      <c r="DZ43" s="74" t="str">
        <f>IF('Marks Entry'!AY43="","",'Marks Entry'!AY43)</f>
        <v/>
      </c>
      <c r="EA43" s="74" t="str">
        <f>IF('Marks Entry'!AZ43="","",'Marks Entry'!AZ43)</f>
        <v/>
      </c>
      <c r="EB43" s="74" t="str">
        <f>IF('Marks Entry'!BA43="","",'Marks Entry'!BA43)</f>
        <v/>
      </c>
      <c r="EC43" s="527" t="str">
        <f t="shared" si="52"/>
        <v/>
      </c>
      <c r="ED43" s="74" t="str">
        <f>IF('Marks Entry'!BB43="","",'Marks Entry'!BB43)</f>
        <v/>
      </c>
      <c r="EE43" s="528" t="str">
        <f t="shared" si="53"/>
        <v/>
      </c>
      <c r="EF43" s="74" t="str">
        <f>IF('Marks Entry'!BC43="","",'Marks Entry'!BC43)</f>
        <v/>
      </c>
      <c r="EG43" s="530" t="str">
        <f t="shared" si="54"/>
        <v/>
      </c>
      <c r="EH43" s="368" t="str">
        <f t="shared" si="108"/>
        <v/>
      </c>
      <c r="EI43" s="65">
        <f t="shared" si="109"/>
        <v>0</v>
      </c>
      <c r="EJ43" s="65">
        <f t="shared" si="110"/>
        <v>0</v>
      </c>
      <c r="EK43" s="66" t="str">
        <f t="shared" si="111"/>
        <v/>
      </c>
      <c r="EL43" s="74" t="str">
        <f>IF('Marks Entry'!BD43="","",'Marks Entry'!BD43)</f>
        <v/>
      </c>
      <c r="EM43" s="74" t="str">
        <f>IF('Marks Entry'!BE43="","",'Marks Entry'!BE43)</f>
        <v/>
      </c>
      <c r="EN43" s="74" t="str">
        <f>IF('Marks Entry'!BF43="","",'Marks Entry'!BF43)</f>
        <v/>
      </c>
      <c r="EO43" s="527" t="str">
        <f t="shared" si="55"/>
        <v/>
      </c>
      <c r="EP43" s="74" t="str">
        <f>IF('Marks Entry'!BG43="","",'Marks Entry'!BG43)</f>
        <v/>
      </c>
      <c r="EQ43" s="74" t="str">
        <f>IF('Marks Entry'!BH43="","",'Marks Entry'!BH43)</f>
        <v/>
      </c>
      <c r="ER43" s="528" t="str">
        <f t="shared" si="56"/>
        <v/>
      </c>
      <c r="ES43" s="529" t="str">
        <f t="shared" si="57"/>
        <v/>
      </c>
      <c r="ET43" s="74" t="str">
        <f>IF('Marks Entry'!BI43="","",'Marks Entry'!BI43)</f>
        <v/>
      </c>
      <c r="EU43" s="74" t="str">
        <f>IF('Marks Entry'!BJ43="","",'Marks Entry'!BJ43)</f>
        <v/>
      </c>
      <c r="EV43" s="528" t="str">
        <f t="shared" si="58"/>
        <v/>
      </c>
      <c r="EW43" s="530" t="str">
        <f t="shared" si="59"/>
        <v/>
      </c>
      <c r="EX43" s="368" t="str">
        <f t="shared" si="112"/>
        <v/>
      </c>
      <c r="EY43" s="65">
        <f t="shared" si="113"/>
        <v>0</v>
      </c>
      <c r="EZ43" s="65">
        <f t="shared" si="114"/>
        <v>0</v>
      </c>
      <c r="FA43" s="66" t="str">
        <f t="shared" si="115"/>
        <v/>
      </c>
      <c r="FB43" s="74" t="str">
        <f>IF('Marks Entry'!BK43="","",'Marks Entry'!BK43)</f>
        <v/>
      </c>
      <c r="FC43" s="74" t="str">
        <f>IF('Marks Entry'!BL43="","",'Marks Entry'!BL43)</f>
        <v/>
      </c>
      <c r="FD43" s="74" t="str">
        <f>IF('Marks Entry'!BM43="","",'Marks Entry'!BM43)</f>
        <v/>
      </c>
      <c r="FE43" s="74" t="str">
        <f>IF('Marks Entry'!BN43="","",'Marks Entry'!BN43)</f>
        <v/>
      </c>
      <c r="FF43" s="74" t="str">
        <f>IF('Marks Entry'!BO43="","",'Marks Entry'!BO43)</f>
        <v/>
      </c>
      <c r="FG43" s="74" t="str">
        <f>IF('Marks Entry'!BP43="","",'Marks Entry'!BP43)</f>
        <v/>
      </c>
      <c r="FH43" s="527" t="str">
        <f t="shared" si="60"/>
        <v/>
      </c>
      <c r="FI43" s="74" t="str">
        <f>IF('Marks Entry'!BQ43="","",'Marks Entry'!BQ43)</f>
        <v/>
      </c>
      <c r="FJ43" s="74" t="str">
        <f>IF('Marks Entry'!BR43="","",'Marks Entry'!BR43)</f>
        <v/>
      </c>
      <c r="FK43" s="528" t="str">
        <f t="shared" si="61"/>
        <v/>
      </c>
      <c r="FL43" s="529" t="str">
        <f t="shared" si="62"/>
        <v/>
      </c>
      <c r="FM43" s="74" t="str">
        <f>IF('Marks Entry'!BS43="","",'Marks Entry'!BS43)</f>
        <v/>
      </c>
      <c r="FN43" s="74" t="str">
        <f>IF('Marks Entry'!BT43="","",'Marks Entry'!BT43)</f>
        <v/>
      </c>
      <c r="FO43" s="528" t="str">
        <f t="shared" si="63"/>
        <v/>
      </c>
      <c r="FP43" s="530" t="str">
        <f t="shared" si="64"/>
        <v/>
      </c>
      <c r="FQ43" s="368" t="str">
        <f t="shared" si="116"/>
        <v/>
      </c>
      <c r="FR43" s="65">
        <f t="shared" si="117"/>
        <v>0</v>
      </c>
      <c r="FS43" s="65">
        <f t="shared" si="118"/>
        <v>0</v>
      </c>
      <c r="FT43" s="66" t="str">
        <f t="shared" si="119"/>
        <v/>
      </c>
      <c r="FU43" s="74" t="str">
        <f>IF('Marks Entry'!BU43="","",'Marks Entry'!BU43)</f>
        <v/>
      </c>
      <c r="FV43" s="74" t="str">
        <f>IF('Marks Entry'!BV43="","",'Marks Entry'!BV43)</f>
        <v/>
      </c>
      <c r="FW43" s="74" t="str">
        <f>IF('Marks Entry'!BW43="","",'Marks Entry'!BW43)</f>
        <v/>
      </c>
      <c r="FX43" s="75" t="str">
        <f t="shared" si="65"/>
        <v/>
      </c>
      <c r="FY43" s="368" t="str">
        <f t="shared" si="120"/>
        <v/>
      </c>
      <c r="FZ43" s="65">
        <f t="shared" si="121"/>
        <v>0</v>
      </c>
      <c r="GA43" s="66">
        <f t="shared" si="122"/>
        <v>0</v>
      </c>
      <c r="GB43" s="66" t="str">
        <f t="shared" si="123"/>
        <v/>
      </c>
      <c r="GC43" s="74" t="str">
        <f>IF('Marks Entry'!BX43="","",'Marks Entry'!BX43)</f>
        <v/>
      </c>
      <c r="GD43" s="74" t="str">
        <f>IF('Marks Entry'!BY43="","",'Marks Entry'!BY43)</f>
        <v/>
      </c>
      <c r="GE43" s="74" t="str">
        <f>IF('Marks Entry'!BZ43="","",'Marks Entry'!BZ43)</f>
        <v/>
      </c>
      <c r="GF43" s="75" t="str">
        <f t="shared" si="124"/>
        <v/>
      </c>
      <c r="GG43" s="368" t="str">
        <f t="shared" si="125"/>
        <v/>
      </c>
      <c r="GH43" s="65">
        <f t="shared" si="126"/>
        <v>0</v>
      </c>
      <c r="GI43" s="66">
        <f t="shared" si="127"/>
        <v>0</v>
      </c>
      <c r="GJ43" s="66" t="str">
        <f t="shared" si="128"/>
        <v/>
      </c>
      <c r="GK43" s="100" t="str">
        <f>IF(AND(F43="",B43=""),"",IF('Student DATA Entry'!M40="","",'Student DATA Entry'!M40))</f>
        <v/>
      </c>
      <c r="GL43" s="101" t="str">
        <f>IF(AND(B43="",F43=""),"",IF('Student DATA Entry'!N40="","",'Student DATA Entry'!N40))</f>
        <v/>
      </c>
      <c r="GM43" s="581" t="str">
        <f t="shared" si="129"/>
        <v/>
      </c>
      <c r="GN43" s="94" t="str">
        <f t="shared" si="130"/>
        <v/>
      </c>
      <c r="GO43" s="94" t="str">
        <f t="shared" si="131"/>
        <v/>
      </c>
      <c r="GP43" s="102" t="str">
        <f t="shared" si="162"/>
        <v/>
      </c>
      <c r="GQ43" s="94" t="str">
        <f t="shared" si="132"/>
        <v/>
      </c>
      <c r="GR43" s="103" t="str">
        <f t="shared" si="133"/>
        <v/>
      </c>
      <c r="GS43" s="102" t="str">
        <f t="shared" si="163"/>
        <v/>
      </c>
      <c r="GT43" s="104" t="str">
        <f t="shared" si="134"/>
        <v/>
      </c>
      <c r="GU43" s="94" t="str">
        <f>IF('Marks Entry'!V43=1,GT43,"")</f>
        <v/>
      </c>
      <c r="GV43" s="94" t="str">
        <f>IF('Marks Entry'!V43=2,GT43,"")</f>
        <v/>
      </c>
      <c r="GW43" s="94" t="str">
        <f>IF('Marks Entry'!V43=3,GT43,"")</f>
        <v/>
      </c>
      <c r="GX43" s="94" t="str">
        <f>IF('Marks Entry'!V43=4,GT43,"")</f>
        <v/>
      </c>
      <c r="GY43" s="94" t="str">
        <f>IF('Marks Entry'!V43=5,GT43,"")</f>
        <v/>
      </c>
      <c r="GZ43" s="94" t="str">
        <f t="shared" si="135"/>
        <v/>
      </c>
      <c r="HA43" s="105" t="str">
        <f t="shared" si="164"/>
        <v/>
      </c>
      <c r="HB43" s="94" t="str">
        <f t="shared" si="136"/>
        <v/>
      </c>
      <c r="HC43" s="94" t="str">
        <f t="shared" si="137"/>
        <v/>
      </c>
      <c r="HD43" s="105" t="str">
        <f t="shared" si="165"/>
        <v/>
      </c>
      <c r="HE43" s="94" t="str">
        <f t="shared" si="138"/>
        <v/>
      </c>
      <c r="HF43" s="94" t="str">
        <f t="shared" si="139"/>
        <v/>
      </c>
      <c r="HG43" s="105" t="str">
        <f t="shared" si="166"/>
        <v/>
      </c>
      <c r="HH43" s="94" t="str">
        <f t="shared" si="140"/>
        <v/>
      </c>
      <c r="HI43" s="94" t="str">
        <f t="shared" si="141"/>
        <v/>
      </c>
      <c r="HJ43" s="105" t="str">
        <f t="shared" si="167"/>
        <v/>
      </c>
      <c r="HK43" s="94" t="str">
        <f t="shared" si="142"/>
        <v/>
      </c>
      <c r="HL43" s="94" t="str">
        <f t="shared" si="143"/>
        <v/>
      </c>
      <c r="HM43" s="105" t="str">
        <f t="shared" si="168"/>
        <v/>
      </c>
      <c r="HN43" s="367" t="str">
        <f t="shared" si="144"/>
        <v xml:space="preserve">      </v>
      </c>
      <c r="HO43" s="418" t="str">
        <f t="shared" si="169"/>
        <v xml:space="preserve">      </v>
      </c>
      <c r="HP43" s="367" t="str">
        <f t="shared" si="146"/>
        <v xml:space="preserve">      </v>
      </c>
      <c r="HQ43" s="107" t="str">
        <f t="shared" si="147"/>
        <v xml:space="preserve">      </v>
      </c>
      <c r="HR43" s="366" t="str">
        <f t="shared" si="148"/>
        <v xml:space="preserve">      </v>
      </c>
      <c r="HS43" s="544" t="str">
        <f t="shared" si="170"/>
        <v/>
      </c>
      <c r="HT43" s="542" t="str">
        <f t="shared" si="149"/>
        <v/>
      </c>
      <c r="HU43" s="541" t="str">
        <f t="shared" si="160"/>
        <v/>
      </c>
      <c r="HV43" s="540" t="str">
        <f t="shared" si="150"/>
        <v/>
      </c>
      <c r="HW43" s="537" t="str">
        <f t="shared" si="151"/>
        <v/>
      </c>
      <c r="HX43" s="539" t="str">
        <f t="shared" si="152"/>
        <v/>
      </c>
      <c r="HY43" s="553" t="str">
        <f>IFERROR(IF(OR(HS43="SUPPLEMENTARY",HS43="RE-EXAM"),'Supp. Result Entry'!AQ41,""),"")</f>
        <v/>
      </c>
      <c r="HZ43" s="538" t="str">
        <f t="shared" si="153"/>
        <v/>
      </c>
      <c r="IA43" s="415" t="str">
        <f t="shared" si="154"/>
        <v/>
      </c>
      <c r="IB43" s="415" t="str">
        <f>IF(AND(HZ43="",IA43=""),"",IF(OR(HS43="SUPPLEMENTARY",HS43="RE-EXAM"),'Supp. Result Entry'!AQ41,HS43))</f>
        <v/>
      </c>
      <c r="IC43" s="87"/>
      <c r="ID43" s="111"/>
      <c r="IS43" s="109" t="str">
        <f>IF('Supp. Result Entry'!T41="","",'Supp. Result Entry'!$T$4)</f>
        <v/>
      </c>
      <c r="IT43" s="110" t="str">
        <f>IF('Supp. Result Entry'!W41="","",'Supp. Result Entry'!$W$4)</f>
        <v/>
      </c>
      <c r="IU43" s="110" t="str">
        <f>IF('Supp. Result Entry'!Z41="","",'Supp. Result Entry'!$Z$4)</f>
        <v/>
      </c>
      <c r="IV43" s="110" t="str">
        <f>IF('Supp. Result Entry'!AC41="","",'Supp. Result Entry'!$AC$4)</f>
        <v/>
      </c>
      <c r="IW43" s="110" t="str">
        <f>IF('Supp. Result Entry'!AF41="","",'Supp. Result Entry'!$AF$4)</f>
        <v/>
      </c>
      <c r="IX43" s="110" t="str">
        <f>IF('Supp. Result Entry'!AI41="","",'Supp. Result Entry'!$AI$4)</f>
        <v/>
      </c>
      <c r="IY43" s="110" t="str">
        <f>IF('Supp. Result Entry'!AI41="","",'Supp. Result Entry'!$AL$4)</f>
        <v/>
      </c>
      <c r="IZ43" s="110" t="str">
        <f>IF('Supp. Result Entry'!U41="","",'Supp. Result Entry'!U41)</f>
        <v/>
      </c>
      <c r="JA43" s="110" t="str">
        <f>IF('Supp. Result Entry'!X41="","",'Supp. Result Entry'!X41)</f>
        <v/>
      </c>
      <c r="JB43" s="110" t="str">
        <f>IF('Supp. Result Entry'!AA41="","",'Supp. Result Entry'!AA41)</f>
        <v/>
      </c>
      <c r="JC43" s="110" t="str">
        <f>IF('Supp. Result Entry'!AD41="","",'Supp. Result Entry'!AD41)</f>
        <v/>
      </c>
      <c r="JD43" s="110" t="str">
        <f>IF('Supp. Result Entry'!AG41="","",'Supp. Result Entry'!AG41)</f>
        <v/>
      </c>
      <c r="JE43" s="110" t="str">
        <f>IF('Supp. Result Entry'!AJ41="","",'Supp. Result Entry'!AJ41)</f>
        <v/>
      </c>
      <c r="JF43" s="110" t="str">
        <f>IF('Supp. Result Entry'!AM41="","",'Supp. Result Entry'!AM41)</f>
        <v/>
      </c>
      <c r="JG43" s="110" t="str">
        <f>IF('Supp. Result Entry'!V41="","",'Supp. Result Entry'!V41)</f>
        <v/>
      </c>
      <c r="JH43" s="110" t="str">
        <f>IF('Supp. Result Entry'!Y41="","",'Supp. Result Entry'!Y41)</f>
        <v/>
      </c>
      <c r="JI43" s="110" t="str">
        <f>IF('Supp. Result Entry'!AB41="","",'Supp. Result Entry'!AB41)</f>
        <v/>
      </c>
      <c r="JJ43" s="110" t="str">
        <f>IF('Supp. Result Entry'!AE41="","",'Supp. Result Entry'!AE41)</f>
        <v/>
      </c>
      <c r="JK43" s="110" t="str">
        <f>IF('Supp. Result Entry'!AH41="","",'Supp. Result Entry'!AH41)</f>
        <v/>
      </c>
      <c r="JL43" s="110" t="str">
        <f>IF('Supp. Result Entry'!AK41="","",'Supp. Result Entry'!AK41)</f>
        <v/>
      </c>
      <c r="JM43" s="110" t="str">
        <f>IF('Supp. Result Entry'!AN41="","",'Supp. Result Entry'!AN41)</f>
        <v/>
      </c>
      <c r="JN43" s="110">
        <f>COUNTIF('Supp. Result Entry'!K41:Q41,"S")</f>
        <v>0</v>
      </c>
      <c r="JO43" s="110">
        <f t="shared" si="155"/>
        <v>0</v>
      </c>
      <c r="JP43" s="110">
        <f t="shared" si="156"/>
        <v>0</v>
      </c>
      <c r="JQ43" s="110" t="str">
        <f t="shared" si="75"/>
        <v/>
      </c>
      <c r="JR43" s="110" t="str">
        <f t="shared" si="76"/>
        <v/>
      </c>
      <c r="JS43" s="110" t="str">
        <f t="shared" si="77"/>
        <v/>
      </c>
      <c r="JT43" s="110" t="str">
        <f t="shared" si="78"/>
        <v/>
      </c>
      <c r="JU43" s="110" t="str">
        <f t="shared" si="79"/>
        <v/>
      </c>
      <c r="JV43" s="110" t="str">
        <f t="shared" si="80"/>
        <v/>
      </c>
      <c r="JW43" s="110" t="str">
        <f t="shared" si="81"/>
        <v/>
      </c>
      <c r="JX43" s="110" t="str">
        <f t="shared" si="157"/>
        <v/>
      </c>
      <c r="JY43" s="110" t="str">
        <f t="shared" si="158"/>
        <v/>
      </c>
      <c r="JZ43" s="110" t="str">
        <f t="shared" si="82"/>
        <v/>
      </c>
      <c r="KA43" s="108" t="str">
        <f t="shared" si="159"/>
        <v/>
      </c>
    </row>
    <row r="44" spans="1:287" s="108" customFormat="1" ht="21.95" customHeight="1">
      <c r="A44" s="89">
        <v>38</v>
      </c>
      <c r="B44" s="90" t="str">
        <f>IF('Marks Entry'!B44="","",'Marks Entry'!B44)</f>
        <v/>
      </c>
      <c r="C44" s="94" t="str">
        <f>IF('Marks Entry'!D44="","",'Marks Entry'!D44)</f>
        <v/>
      </c>
      <c r="D44" s="91" t="str">
        <f>IF('Marks Entry'!E44="","",'Marks Entry'!E44)</f>
        <v/>
      </c>
      <c r="E44" s="92" t="str">
        <f>IF('Marks Entry'!F44="","",'Marks Entry'!F44)</f>
        <v/>
      </c>
      <c r="F44" s="93" t="str">
        <f>IF('Marks Entry'!G44="","",'Marks Entry'!G44)</f>
        <v/>
      </c>
      <c r="G44" s="93" t="str">
        <f>IF('Marks Entry'!H44="","",'Marks Entry'!H44)</f>
        <v/>
      </c>
      <c r="H44" s="93" t="str">
        <f>IF('Marks Entry'!I44="","",'Marks Entry'!I44)</f>
        <v/>
      </c>
      <c r="I44" s="94" t="str">
        <f>IF('Marks Entry'!J44="","",'Marks Entry'!J44)</f>
        <v/>
      </c>
      <c r="J44" s="95" t="str">
        <f>IF('Marks Entry'!K44="","",'Marks Entry'!K44)</f>
        <v/>
      </c>
      <c r="K44" s="68" t="str">
        <f>IF('Marks Entry'!L44="","",'Marks Entry'!L44)</f>
        <v/>
      </c>
      <c r="L44" s="68" t="str">
        <f>IF('Marks Entry'!M44="","",'Marks Entry'!M44)</f>
        <v/>
      </c>
      <c r="M44" s="68" t="str">
        <f>IF('Marks Entry'!N44="","",'Marks Entry'!N44)</f>
        <v/>
      </c>
      <c r="N44" s="514" t="str">
        <f t="shared" si="83"/>
        <v/>
      </c>
      <c r="O44" s="68" t="str">
        <f>IF('Marks Entry'!O44="","",'Marks Entry'!O44)</f>
        <v/>
      </c>
      <c r="P44" s="515" t="str">
        <f t="shared" si="84"/>
        <v/>
      </c>
      <c r="Q44" s="68" t="str">
        <f>IF('Marks Entry'!P44="","",'Marks Entry'!P44)</f>
        <v/>
      </c>
      <c r="R44" s="96" t="str">
        <f t="shared" si="85"/>
        <v/>
      </c>
      <c r="S44" s="65">
        <f t="shared" si="86"/>
        <v>0</v>
      </c>
      <c r="T44" s="65">
        <f t="shared" si="87"/>
        <v>0</v>
      </c>
      <c r="U44" s="66" t="str">
        <f t="shared" si="88"/>
        <v/>
      </c>
      <c r="V44" s="65" t="str">
        <f t="shared" si="89"/>
        <v/>
      </c>
      <c r="W44" s="65" t="str">
        <f t="shared" si="90"/>
        <v/>
      </c>
      <c r="X44" s="65" t="str">
        <f t="shared" si="91"/>
        <v/>
      </c>
      <c r="Y44" s="68" t="str">
        <f>IF('Marks Entry'!Q44="","",'Marks Entry'!Q44)</f>
        <v/>
      </c>
      <c r="Z44" s="68" t="str">
        <f>IF('Marks Entry'!R44="","",'Marks Entry'!R44)</f>
        <v/>
      </c>
      <c r="AA44" s="68" t="str">
        <f>IF('Marks Entry'!S44="","",'Marks Entry'!S44)</f>
        <v/>
      </c>
      <c r="AB44" s="514" t="str">
        <f t="shared" si="2"/>
        <v/>
      </c>
      <c r="AC44" s="68" t="str">
        <f>IF('Marks Entry'!T44="","",'Marks Entry'!T44)</f>
        <v/>
      </c>
      <c r="AD44" s="515" t="str">
        <f t="shared" si="3"/>
        <v/>
      </c>
      <c r="AE44" s="68" t="str">
        <f>IF('Marks Entry'!U44="","",'Marks Entry'!U44)</f>
        <v/>
      </c>
      <c r="AF44" s="96" t="str">
        <f t="shared" si="4"/>
        <v/>
      </c>
      <c r="AG44" s="65">
        <f t="shared" si="5"/>
        <v>0</v>
      </c>
      <c r="AH44" s="65">
        <f t="shared" si="6"/>
        <v>0</v>
      </c>
      <c r="AI44" s="66" t="str">
        <f t="shared" si="7"/>
        <v/>
      </c>
      <c r="AJ44" s="65" t="str">
        <f t="shared" si="8"/>
        <v/>
      </c>
      <c r="AK44" s="65" t="str">
        <f t="shared" si="9"/>
        <v/>
      </c>
      <c r="AL44" s="65" t="str">
        <f t="shared" si="10"/>
        <v/>
      </c>
      <c r="AM44" s="524" t="str">
        <f>IF('Marks Entry'!V44="","",IF('Marks Entry'!V44=1,'School Profile'!$I$9,IF('Marks Entry'!V44=2,'School Profile'!$I$10,IF('Marks Entry'!V44=3,'School Profile'!$I$11,IF('Marks Entry'!V44=4,'School Profile'!$I$12,IF('Marks Entry'!V44=5,'School Profile'!$I$13,IF('Marks Entry'!V44=6,'School Profile'!$I$14,"")))))))</f>
        <v/>
      </c>
      <c r="AN44" s="68" t="str">
        <f>IF('Marks Entry'!W44="","",'Marks Entry'!W44)</f>
        <v/>
      </c>
      <c r="AO44" s="68" t="str">
        <f>IF('Marks Entry'!X44="","",'Marks Entry'!X44)</f>
        <v/>
      </c>
      <c r="AP44" s="68" t="str">
        <f>IF('Marks Entry'!Y44="","",'Marks Entry'!Y44)</f>
        <v/>
      </c>
      <c r="AQ44" s="514" t="str">
        <f t="shared" si="11"/>
        <v/>
      </c>
      <c r="AR44" s="68" t="str">
        <f>IF('Marks Entry'!Z44="","",'Marks Entry'!Z44)</f>
        <v/>
      </c>
      <c r="AS44" s="515" t="str">
        <f t="shared" si="12"/>
        <v/>
      </c>
      <c r="AT44" s="68" t="str">
        <f>IF('Marks Entry'!AA44="","",'Marks Entry'!AA44)</f>
        <v/>
      </c>
      <c r="AU44" s="96" t="str">
        <f t="shared" si="13"/>
        <v/>
      </c>
      <c r="AV44" s="65">
        <f t="shared" si="14"/>
        <v>0</v>
      </c>
      <c r="AW44" s="65">
        <f t="shared" si="15"/>
        <v>0</v>
      </c>
      <c r="AX44" s="66" t="str">
        <f t="shared" si="16"/>
        <v/>
      </c>
      <c r="AY44" s="65" t="str">
        <f t="shared" si="17"/>
        <v/>
      </c>
      <c r="AZ44" s="65" t="str">
        <f t="shared" si="18"/>
        <v/>
      </c>
      <c r="BA44" s="65" t="str">
        <f t="shared" si="19"/>
        <v/>
      </c>
      <c r="BB44" s="68" t="str">
        <f>IF('Marks Entry'!AB44="","",'Marks Entry'!AB44)</f>
        <v/>
      </c>
      <c r="BC44" s="68" t="str">
        <f>IF('Marks Entry'!AC44="","",'Marks Entry'!AC44)</f>
        <v/>
      </c>
      <c r="BD44" s="68" t="str">
        <f>IF('Marks Entry'!AD44="","",'Marks Entry'!AD44)</f>
        <v/>
      </c>
      <c r="BE44" s="514" t="str">
        <f t="shared" si="20"/>
        <v/>
      </c>
      <c r="BF44" s="68" t="str">
        <f>IF('Marks Entry'!AE44="","",'Marks Entry'!AE44)</f>
        <v/>
      </c>
      <c r="BG44" s="515" t="str">
        <f t="shared" si="21"/>
        <v/>
      </c>
      <c r="BH44" s="68" t="str">
        <f>IF('Marks Entry'!AF44="","",'Marks Entry'!AF44)</f>
        <v/>
      </c>
      <c r="BI44" s="96" t="str">
        <f t="shared" si="22"/>
        <v/>
      </c>
      <c r="BJ44" s="65">
        <f t="shared" si="23"/>
        <v>0</v>
      </c>
      <c r="BK44" s="65">
        <f t="shared" si="92"/>
        <v>0</v>
      </c>
      <c r="BL44" s="66" t="str">
        <f t="shared" si="24"/>
        <v/>
      </c>
      <c r="BM44" s="65" t="str">
        <f t="shared" si="25"/>
        <v/>
      </c>
      <c r="BN44" s="65" t="str">
        <f t="shared" si="26"/>
        <v/>
      </c>
      <c r="BO44" s="65" t="str">
        <f t="shared" si="27"/>
        <v/>
      </c>
      <c r="BP44" s="68" t="str">
        <f>IF('Marks Entry'!AG44="","",'Marks Entry'!AG44)</f>
        <v/>
      </c>
      <c r="BQ44" s="68" t="str">
        <f>IF('Marks Entry'!AH44="","",'Marks Entry'!AH44)</f>
        <v/>
      </c>
      <c r="BR44" s="68" t="str">
        <f>IF('Marks Entry'!AI44="","",'Marks Entry'!AI44)</f>
        <v/>
      </c>
      <c r="BS44" s="514" t="str">
        <f t="shared" si="28"/>
        <v/>
      </c>
      <c r="BT44" s="68" t="str">
        <f>IF('Marks Entry'!AJ44="","",'Marks Entry'!AJ44)</f>
        <v/>
      </c>
      <c r="BU44" s="515" t="str">
        <f t="shared" si="29"/>
        <v/>
      </c>
      <c r="BV44" s="68" t="str">
        <f>IF('Marks Entry'!AK44="","",'Marks Entry'!AK44)</f>
        <v/>
      </c>
      <c r="BW44" s="96" t="str">
        <f t="shared" si="30"/>
        <v/>
      </c>
      <c r="BX44" s="65">
        <f t="shared" si="31"/>
        <v>0</v>
      </c>
      <c r="BY44" s="65">
        <f t="shared" si="32"/>
        <v>0</v>
      </c>
      <c r="BZ44" s="66" t="str">
        <f t="shared" si="33"/>
        <v/>
      </c>
      <c r="CA44" s="65" t="str">
        <f t="shared" si="34"/>
        <v/>
      </c>
      <c r="CB44" s="65" t="str">
        <f t="shared" si="35"/>
        <v/>
      </c>
      <c r="CC44" s="65" t="str">
        <f t="shared" si="36"/>
        <v/>
      </c>
      <c r="CD44" s="66">
        <f t="shared" si="161"/>
        <v>0</v>
      </c>
      <c r="CE44" s="68" t="str">
        <f>IF('Marks Entry'!AL44="","",'Marks Entry'!AL44)</f>
        <v/>
      </c>
      <c r="CF44" s="68" t="str">
        <f>IF('Marks Entry'!AM44="","",'Marks Entry'!AM44)</f>
        <v/>
      </c>
      <c r="CG44" s="68" t="str">
        <f>IF('Marks Entry'!AN44="","",'Marks Entry'!AN44)</f>
        <v/>
      </c>
      <c r="CH44" s="514" t="str">
        <f t="shared" si="37"/>
        <v/>
      </c>
      <c r="CI44" s="68" t="str">
        <f>IF('Marks Entry'!AO44="","",'Marks Entry'!AO44)</f>
        <v/>
      </c>
      <c r="CJ44" s="515" t="str">
        <f t="shared" si="38"/>
        <v/>
      </c>
      <c r="CK44" s="68" t="str">
        <f>IF('Marks Entry'!AP44="","",'Marks Entry'!AP44)</f>
        <v/>
      </c>
      <c r="CL44" s="96" t="str">
        <f t="shared" si="39"/>
        <v/>
      </c>
      <c r="CM44" s="65">
        <f t="shared" si="40"/>
        <v>0</v>
      </c>
      <c r="CN44" s="65">
        <f t="shared" si="41"/>
        <v>0</v>
      </c>
      <c r="CO44" s="66" t="str">
        <f t="shared" si="42"/>
        <v/>
      </c>
      <c r="CP44" s="65" t="str">
        <f t="shared" si="43"/>
        <v/>
      </c>
      <c r="CQ44" s="65" t="str">
        <f t="shared" si="44"/>
        <v/>
      </c>
      <c r="CR44" s="65" t="str">
        <f t="shared" si="45"/>
        <v/>
      </c>
      <c r="CS44" s="616" t="str">
        <f>IF('School Profile'!$D$20="NO","",IF('Marks Entry'!AQ44="","",IF('Marks Entry'!AQ44=1,'School Profile'!$I$29,IF('Marks Entry'!AQ44=2,'School Profile'!$I$30,IF('Marks Entry'!AQ44=3,'School Profile'!$I$31,IF('Marks Entry'!AQ44=4,'School Profile'!$I$32,IF('Marks Entry'!AQ44=5,'School Profile'!$I$33,IF('Marks Entry'!AQ44=6,'School Profile'!$I$34,IF('Marks Entry'!AQ44=7,'School Profile'!$I$35,IF('Marks Entry'!AQ44=8,'School Profile'!$I$36,IF('Marks Entry'!AQ44=9,'School Profile'!$I$37,IF('Marks Entry'!AQ44=10,'School Profile'!$I$38,IF('Marks Entry'!AQ44=11,'School Profile'!$I$39,"")))))))))))))</f>
        <v/>
      </c>
      <c r="CT44" s="68" t="str">
        <f>IF('School Profile'!$D$20="NO","",IF('Marks Entry'!AR44="","",'Marks Entry'!AR44))</f>
        <v/>
      </c>
      <c r="CU44" s="68" t="str">
        <f>IF('School Profile'!$D$20="NO","",IF('Marks Entry'!AS44="","",'Marks Entry'!AS44))</f>
        <v/>
      </c>
      <c r="CV44" s="68" t="str">
        <f>IF('School Profile'!$D$20="NO","",IF('Marks Entry'!AT44="","",'Marks Entry'!AT44))</f>
        <v/>
      </c>
      <c r="CW44" s="514" t="str">
        <f>IF('School Profile'!$D$20="NO","",IF(AND(CT44="",CU44="",CV44=""),"",SUM(CT44:CV44)))</f>
        <v/>
      </c>
      <c r="CX44" s="68" t="str">
        <f>IF('School Profile'!$D$20="NO","",IF('Marks Entry'!AU44="","",'Marks Entry'!AU44))</f>
        <v/>
      </c>
      <c r="CY44" s="68" t="str">
        <f>IF('School Profile'!$D$20="NO","",IF('Marks Entry'!AV44="","",'Marks Entry'!AV44))</f>
        <v/>
      </c>
      <c r="CZ44" s="515" t="str">
        <f>IF('School Profile'!$D$20="NO","",IF(AND(CX44="",CY44=""),"",SUM(CX44,CY44)))</f>
        <v/>
      </c>
      <c r="DA44" s="69" t="str">
        <f>IF('School Profile'!$D$20="NO","",IF(AND(CW44="",CZ44=""),"",SUM(CW44+CZ44)))</f>
        <v/>
      </c>
      <c r="DB44" s="68" t="str">
        <f>IF('School Profile'!$D$20="NO","",IF('Marks Entry'!AW44="","",'Marks Entry'!AW44))</f>
        <v/>
      </c>
      <c r="DC44" s="68" t="str">
        <f>IF('School Profile'!$D$20="NO","",IF('Marks Entry'!AX44="","",'Marks Entry'!AX44))</f>
        <v/>
      </c>
      <c r="DD44" s="515" t="str">
        <f>IF('School Profile'!$D$20="NO","",IF(AND(DB44="",DC44=""),"",SUM(DB44,DC44)))</f>
        <v/>
      </c>
      <c r="DE44" s="96" t="str">
        <f>IF('School Profile'!$D$20="NO","",IF(AND(DA44="",DD44=""),"",SUM(DA44,DD44)))</f>
        <v/>
      </c>
      <c r="DF44" s="532">
        <f t="shared" si="46"/>
        <v>0</v>
      </c>
      <c r="DG44" s="65">
        <f t="shared" si="47"/>
        <v>0</v>
      </c>
      <c r="DH44" s="66" t="str">
        <f t="shared" si="48"/>
        <v/>
      </c>
      <c r="DI44" s="65" t="str">
        <f t="shared" si="49"/>
        <v/>
      </c>
      <c r="DJ44" s="65" t="str">
        <f t="shared" si="50"/>
        <v/>
      </c>
      <c r="DK44" s="65" t="str">
        <f t="shared" si="51"/>
        <v/>
      </c>
      <c r="DL44" s="97" t="str">
        <f t="shared" si="94"/>
        <v/>
      </c>
      <c r="DM44" s="97" t="str">
        <f t="shared" si="95"/>
        <v/>
      </c>
      <c r="DN44" s="97" t="str">
        <f t="shared" si="96"/>
        <v/>
      </c>
      <c r="DO44" s="97" t="str">
        <f t="shared" si="97"/>
        <v/>
      </c>
      <c r="DP44" s="97" t="str">
        <f t="shared" si="98"/>
        <v/>
      </c>
      <c r="DQ44" s="97" t="str">
        <f t="shared" si="99"/>
        <v/>
      </c>
      <c r="DR44" s="97" t="str">
        <f t="shared" si="100"/>
        <v/>
      </c>
      <c r="DS44" s="98">
        <f t="shared" si="101"/>
        <v>0</v>
      </c>
      <c r="DT44" s="98">
        <f t="shared" si="102"/>
        <v>0</v>
      </c>
      <c r="DU44" s="98">
        <f t="shared" si="103"/>
        <v>0</v>
      </c>
      <c r="DV44" s="98">
        <f t="shared" si="104"/>
        <v>0</v>
      </c>
      <c r="DW44" s="98">
        <f t="shared" si="105"/>
        <v>0</v>
      </c>
      <c r="DX44" s="98" t="str">
        <f t="shared" si="106"/>
        <v/>
      </c>
      <c r="DY44" s="99" t="str">
        <f t="shared" si="107"/>
        <v/>
      </c>
      <c r="DZ44" s="74" t="str">
        <f>IF('Marks Entry'!AY44="","",'Marks Entry'!AY44)</f>
        <v/>
      </c>
      <c r="EA44" s="74" t="str">
        <f>IF('Marks Entry'!AZ44="","",'Marks Entry'!AZ44)</f>
        <v/>
      </c>
      <c r="EB44" s="74" t="str">
        <f>IF('Marks Entry'!BA44="","",'Marks Entry'!BA44)</f>
        <v/>
      </c>
      <c r="EC44" s="527" t="str">
        <f t="shared" si="52"/>
        <v/>
      </c>
      <c r="ED44" s="74" t="str">
        <f>IF('Marks Entry'!BB44="","",'Marks Entry'!BB44)</f>
        <v/>
      </c>
      <c r="EE44" s="528" t="str">
        <f t="shared" si="53"/>
        <v/>
      </c>
      <c r="EF44" s="74" t="str">
        <f>IF('Marks Entry'!BC44="","",'Marks Entry'!BC44)</f>
        <v/>
      </c>
      <c r="EG44" s="530" t="str">
        <f t="shared" si="54"/>
        <v/>
      </c>
      <c r="EH44" s="368" t="str">
        <f t="shared" si="108"/>
        <v/>
      </c>
      <c r="EI44" s="65">
        <f t="shared" si="109"/>
        <v>0</v>
      </c>
      <c r="EJ44" s="65">
        <f t="shared" si="110"/>
        <v>0</v>
      </c>
      <c r="EK44" s="66" t="str">
        <f t="shared" si="111"/>
        <v/>
      </c>
      <c r="EL44" s="74" t="str">
        <f>IF('Marks Entry'!BD44="","",'Marks Entry'!BD44)</f>
        <v/>
      </c>
      <c r="EM44" s="74" t="str">
        <f>IF('Marks Entry'!BE44="","",'Marks Entry'!BE44)</f>
        <v/>
      </c>
      <c r="EN44" s="74" t="str">
        <f>IF('Marks Entry'!BF44="","",'Marks Entry'!BF44)</f>
        <v/>
      </c>
      <c r="EO44" s="527" t="str">
        <f t="shared" si="55"/>
        <v/>
      </c>
      <c r="EP44" s="74" t="str">
        <f>IF('Marks Entry'!BG44="","",'Marks Entry'!BG44)</f>
        <v/>
      </c>
      <c r="EQ44" s="74" t="str">
        <f>IF('Marks Entry'!BH44="","",'Marks Entry'!BH44)</f>
        <v/>
      </c>
      <c r="ER44" s="528" t="str">
        <f t="shared" si="56"/>
        <v/>
      </c>
      <c r="ES44" s="529" t="str">
        <f t="shared" si="57"/>
        <v/>
      </c>
      <c r="ET44" s="74" t="str">
        <f>IF('Marks Entry'!BI44="","",'Marks Entry'!BI44)</f>
        <v/>
      </c>
      <c r="EU44" s="74" t="str">
        <f>IF('Marks Entry'!BJ44="","",'Marks Entry'!BJ44)</f>
        <v/>
      </c>
      <c r="EV44" s="528" t="str">
        <f t="shared" si="58"/>
        <v/>
      </c>
      <c r="EW44" s="530" t="str">
        <f t="shared" si="59"/>
        <v/>
      </c>
      <c r="EX44" s="368" t="str">
        <f t="shared" si="112"/>
        <v/>
      </c>
      <c r="EY44" s="65">
        <f t="shared" si="113"/>
        <v>0</v>
      </c>
      <c r="EZ44" s="65">
        <f t="shared" si="114"/>
        <v>0</v>
      </c>
      <c r="FA44" s="66" t="str">
        <f t="shared" si="115"/>
        <v/>
      </c>
      <c r="FB44" s="74" t="str">
        <f>IF('Marks Entry'!BK44="","",'Marks Entry'!BK44)</f>
        <v/>
      </c>
      <c r="FC44" s="74" t="str">
        <f>IF('Marks Entry'!BL44="","",'Marks Entry'!BL44)</f>
        <v/>
      </c>
      <c r="FD44" s="74" t="str">
        <f>IF('Marks Entry'!BM44="","",'Marks Entry'!BM44)</f>
        <v/>
      </c>
      <c r="FE44" s="74" t="str">
        <f>IF('Marks Entry'!BN44="","",'Marks Entry'!BN44)</f>
        <v/>
      </c>
      <c r="FF44" s="74" t="str">
        <f>IF('Marks Entry'!BO44="","",'Marks Entry'!BO44)</f>
        <v/>
      </c>
      <c r="FG44" s="74" t="str">
        <f>IF('Marks Entry'!BP44="","",'Marks Entry'!BP44)</f>
        <v/>
      </c>
      <c r="FH44" s="527" t="str">
        <f t="shared" si="60"/>
        <v/>
      </c>
      <c r="FI44" s="74" t="str">
        <f>IF('Marks Entry'!BQ44="","",'Marks Entry'!BQ44)</f>
        <v/>
      </c>
      <c r="FJ44" s="74" t="str">
        <f>IF('Marks Entry'!BR44="","",'Marks Entry'!BR44)</f>
        <v/>
      </c>
      <c r="FK44" s="528" t="str">
        <f t="shared" si="61"/>
        <v/>
      </c>
      <c r="FL44" s="529" t="str">
        <f t="shared" si="62"/>
        <v/>
      </c>
      <c r="FM44" s="74" t="str">
        <f>IF('Marks Entry'!BS44="","",'Marks Entry'!BS44)</f>
        <v/>
      </c>
      <c r="FN44" s="74" t="str">
        <f>IF('Marks Entry'!BT44="","",'Marks Entry'!BT44)</f>
        <v/>
      </c>
      <c r="FO44" s="528" t="str">
        <f t="shared" si="63"/>
        <v/>
      </c>
      <c r="FP44" s="530" t="str">
        <f t="shared" si="64"/>
        <v/>
      </c>
      <c r="FQ44" s="368" t="str">
        <f t="shared" si="116"/>
        <v/>
      </c>
      <c r="FR44" s="65">
        <f t="shared" si="117"/>
        <v>0</v>
      </c>
      <c r="FS44" s="65">
        <f t="shared" si="118"/>
        <v>0</v>
      </c>
      <c r="FT44" s="66" t="str">
        <f t="shared" si="119"/>
        <v/>
      </c>
      <c r="FU44" s="74" t="str">
        <f>IF('Marks Entry'!BU44="","",'Marks Entry'!BU44)</f>
        <v/>
      </c>
      <c r="FV44" s="74" t="str">
        <f>IF('Marks Entry'!BV44="","",'Marks Entry'!BV44)</f>
        <v/>
      </c>
      <c r="FW44" s="74" t="str">
        <f>IF('Marks Entry'!BW44="","",'Marks Entry'!BW44)</f>
        <v/>
      </c>
      <c r="FX44" s="75" t="str">
        <f t="shared" si="65"/>
        <v/>
      </c>
      <c r="FY44" s="368" t="str">
        <f t="shared" si="120"/>
        <v/>
      </c>
      <c r="FZ44" s="65">
        <f t="shared" si="121"/>
        <v>0</v>
      </c>
      <c r="GA44" s="66">
        <f t="shared" si="122"/>
        <v>0</v>
      </c>
      <c r="GB44" s="66" t="str">
        <f t="shared" si="123"/>
        <v/>
      </c>
      <c r="GC44" s="74" t="str">
        <f>IF('Marks Entry'!BX44="","",'Marks Entry'!BX44)</f>
        <v/>
      </c>
      <c r="GD44" s="74" t="str">
        <f>IF('Marks Entry'!BY44="","",'Marks Entry'!BY44)</f>
        <v/>
      </c>
      <c r="GE44" s="74" t="str">
        <f>IF('Marks Entry'!BZ44="","",'Marks Entry'!BZ44)</f>
        <v/>
      </c>
      <c r="GF44" s="75" t="str">
        <f t="shared" si="124"/>
        <v/>
      </c>
      <c r="GG44" s="368" t="str">
        <f t="shared" si="125"/>
        <v/>
      </c>
      <c r="GH44" s="65">
        <f t="shared" si="126"/>
        <v>0</v>
      </c>
      <c r="GI44" s="66">
        <f t="shared" si="127"/>
        <v>0</v>
      </c>
      <c r="GJ44" s="66" t="str">
        <f t="shared" si="128"/>
        <v/>
      </c>
      <c r="GK44" s="100" t="str">
        <f>IF(AND(F44="",B44=""),"",IF('Student DATA Entry'!M41="","",'Student DATA Entry'!M41))</f>
        <v/>
      </c>
      <c r="GL44" s="101" t="str">
        <f>IF(AND(B44="",F44=""),"",IF('Student DATA Entry'!N41="","",'Student DATA Entry'!N41))</f>
        <v/>
      </c>
      <c r="GM44" s="581" t="str">
        <f t="shared" si="129"/>
        <v/>
      </c>
      <c r="GN44" s="94" t="str">
        <f t="shared" si="130"/>
        <v/>
      </c>
      <c r="GO44" s="94" t="str">
        <f t="shared" si="131"/>
        <v/>
      </c>
      <c r="GP44" s="102" t="str">
        <f t="shared" si="162"/>
        <v/>
      </c>
      <c r="GQ44" s="94" t="str">
        <f t="shared" si="132"/>
        <v/>
      </c>
      <c r="GR44" s="103" t="str">
        <f t="shared" si="133"/>
        <v/>
      </c>
      <c r="GS44" s="102" t="str">
        <f t="shared" si="163"/>
        <v/>
      </c>
      <c r="GT44" s="104" t="str">
        <f t="shared" si="134"/>
        <v/>
      </c>
      <c r="GU44" s="94" t="str">
        <f>IF('Marks Entry'!V44=1,GT44,"")</f>
        <v/>
      </c>
      <c r="GV44" s="94" t="str">
        <f>IF('Marks Entry'!V44=2,GT44,"")</f>
        <v/>
      </c>
      <c r="GW44" s="94" t="str">
        <f>IF('Marks Entry'!V44=3,GT44,"")</f>
        <v/>
      </c>
      <c r="GX44" s="94" t="str">
        <f>IF('Marks Entry'!V44=4,GT44,"")</f>
        <v/>
      </c>
      <c r="GY44" s="94" t="str">
        <f>IF('Marks Entry'!V44=5,GT44,"")</f>
        <v/>
      </c>
      <c r="GZ44" s="94" t="str">
        <f t="shared" si="135"/>
        <v/>
      </c>
      <c r="HA44" s="105" t="str">
        <f t="shared" si="164"/>
        <v/>
      </c>
      <c r="HB44" s="94" t="str">
        <f t="shared" si="136"/>
        <v/>
      </c>
      <c r="HC44" s="94" t="str">
        <f t="shared" si="137"/>
        <v/>
      </c>
      <c r="HD44" s="105" t="str">
        <f t="shared" si="165"/>
        <v/>
      </c>
      <c r="HE44" s="94" t="str">
        <f t="shared" si="138"/>
        <v/>
      </c>
      <c r="HF44" s="94" t="str">
        <f t="shared" si="139"/>
        <v/>
      </c>
      <c r="HG44" s="105" t="str">
        <f t="shared" si="166"/>
        <v/>
      </c>
      <c r="HH44" s="94" t="str">
        <f t="shared" si="140"/>
        <v/>
      </c>
      <c r="HI44" s="94" t="str">
        <f t="shared" si="141"/>
        <v/>
      </c>
      <c r="HJ44" s="105" t="str">
        <f t="shared" si="167"/>
        <v/>
      </c>
      <c r="HK44" s="94" t="str">
        <f t="shared" si="142"/>
        <v/>
      </c>
      <c r="HL44" s="94" t="str">
        <f t="shared" si="143"/>
        <v/>
      </c>
      <c r="HM44" s="105" t="str">
        <f t="shared" si="168"/>
        <v/>
      </c>
      <c r="HN44" s="367" t="str">
        <f t="shared" si="144"/>
        <v xml:space="preserve">      </v>
      </c>
      <c r="HO44" s="418" t="str">
        <f t="shared" si="169"/>
        <v xml:space="preserve">      </v>
      </c>
      <c r="HP44" s="367" t="str">
        <f t="shared" si="146"/>
        <v xml:space="preserve">      </v>
      </c>
      <c r="HQ44" s="107" t="str">
        <f t="shared" si="147"/>
        <v xml:space="preserve">      </v>
      </c>
      <c r="HR44" s="366" t="str">
        <f t="shared" si="148"/>
        <v xml:space="preserve">      </v>
      </c>
      <c r="HS44" s="544" t="str">
        <f t="shared" si="170"/>
        <v/>
      </c>
      <c r="HT44" s="542" t="str">
        <f t="shared" si="149"/>
        <v/>
      </c>
      <c r="HU44" s="541" t="str">
        <f t="shared" si="160"/>
        <v/>
      </c>
      <c r="HV44" s="540" t="str">
        <f t="shared" si="150"/>
        <v/>
      </c>
      <c r="HW44" s="537" t="str">
        <f t="shared" si="151"/>
        <v/>
      </c>
      <c r="HX44" s="539" t="str">
        <f t="shared" si="152"/>
        <v/>
      </c>
      <c r="HY44" s="553" t="str">
        <f>IFERROR(IF(OR(HS44="SUPPLEMENTARY",HS44="RE-EXAM"),'Supp. Result Entry'!AQ42,""),"")</f>
        <v/>
      </c>
      <c r="HZ44" s="538" t="str">
        <f t="shared" si="153"/>
        <v/>
      </c>
      <c r="IA44" s="415" t="str">
        <f t="shared" si="154"/>
        <v/>
      </c>
      <c r="IB44" s="415" t="str">
        <f>IF(AND(HZ44="",IA44=""),"",IF(OR(HS44="SUPPLEMENTARY",HS44="RE-EXAM"),'Supp. Result Entry'!AQ42,HS44))</f>
        <v/>
      </c>
      <c r="IC44" s="87"/>
      <c r="ID44" s="111"/>
      <c r="IS44" s="109" t="str">
        <f>IF('Supp. Result Entry'!T42="","",'Supp. Result Entry'!$T$4)</f>
        <v/>
      </c>
      <c r="IT44" s="110" t="str">
        <f>IF('Supp. Result Entry'!W42="","",'Supp. Result Entry'!$W$4)</f>
        <v/>
      </c>
      <c r="IU44" s="110" t="str">
        <f>IF('Supp. Result Entry'!Z42="","",'Supp. Result Entry'!$Z$4)</f>
        <v/>
      </c>
      <c r="IV44" s="110" t="str">
        <f>IF('Supp. Result Entry'!AC42="","",'Supp. Result Entry'!$AC$4)</f>
        <v/>
      </c>
      <c r="IW44" s="110" t="str">
        <f>IF('Supp. Result Entry'!AF42="","",'Supp. Result Entry'!$AF$4)</f>
        <v/>
      </c>
      <c r="IX44" s="110" t="str">
        <f>IF('Supp. Result Entry'!AI42="","",'Supp. Result Entry'!$AI$4)</f>
        <v/>
      </c>
      <c r="IY44" s="110" t="str">
        <f>IF('Supp. Result Entry'!AI42="","",'Supp. Result Entry'!$AL$4)</f>
        <v/>
      </c>
      <c r="IZ44" s="110" t="str">
        <f>IF('Supp. Result Entry'!U42="","",'Supp. Result Entry'!U42)</f>
        <v/>
      </c>
      <c r="JA44" s="110" t="str">
        <f>IF('Supp. Result Entry'!X42="","",'Supp. Result Entry'!X42)</f>
        <v/>
      </c>
      <c r="JB44" s="110" t="str">
        <f>IF('Supp. Result Entry'!AA42="","",'Supp. Result Entry'!AA42)</f>
        <v/>
      </c>
      <c r="JC44" s="110" t="str">
        <f>IF('Supp. Result Entry'!AD42="","",'Supp. Result Entry'!AD42)</f>
        <v/>
      </c>
      <c r="JD44" s="110" t="str">
        <f>IF('Supp. Result Entry'!AG42="","",'Supp. Result Entry'!AG42)</f>
        <v/>
      </c>
      <c r="JE44" s="110" t="str">
        <f>IF('Supp. Result Entry'!AJ42="","",'Supp. Result Entry'!AJ42)</f>
        <v/>
      </c>
      <c r="JF44" s="110" t="str">
        <f>IF('Supp. Result Entry'!AM42="","",'Supp. Result Entry'!AM42)</f>
        <v/>
      </c>
      <c r="JG44" s="110" t="str">
        <f>IF('Supp. Result Entry'!V42="","",'Supp. Result Entry'!V42)</f>
        <v/>
      </c>
      <c r="JH44" s="110" t="str">
        <f>IF('Supp. Result Entry'!Y42="","",'Supp. Result Entry'!Y42)</f>
        <v/>
      </c>
      <c r="JI44" s="110" t="str">
        <f>IF('Supp. Result Entry'!AB42="","",'Supp. Result Entry'!AB42)</f>
        <v/>
      </c>
      <c r="JJ44" s="110" t="str">
        <f>IF('Supp. Result Entry'!AE42="","",'Supp. Result Entry'!AE42)</f>
        <v/>
      </c>
      <c r="JK44" s="110" t="str">
        <f>IF('Supp. Result Entry'!AH42="","",'Supp. Result Entry'!AH42)</f>
        <v/>
      </c>
      <c r="JL44" s="110" t="str">
        <f>IF('Supp. Result Entry'!AK42="","",'Supp. Result Entry'!AK42)</f>
        <v/>
      </c>
      <c r="JM44" s="110" t="str">
        <f>IF('Supp. Result Entry'!AN42="","",'Supp. Result Entry'!AN42)</f>
        <v/>
      </c>
      <c r="JN44" s="110">
        <f>COUNTIF('Supp. Result Entry'!K42:Q42,"S")</f>
        <v>0</v>
      </c>
      <c r="JO44" s="110">
        <f t="shared" si="155"/>
        <v>0</v>
      </c>
      <c r="JP44" s="110">
        <f t="shared" si="156"/>
        <v>0</v>
      </c>
      <c r="JQ44" s="110" t="str">
        <f t="shared" si="75"/>
        <v/>
      </c>
      <c r="JR44" s="110" t="str">
        <f t="shared" si="76"/>
        <v/>
      </c>
      <c r="JS44" s="110" t="str">
        <f t="shared" si="77"/>
        <v/>
      </c>
      <c r="JT44" s="110" t="str">
        <f t="shared" si="78"/>
        <v/>
      </c>
      <c r="JU44" s="110" t="str">
        <f t="shared" si="79"/>
        <v/>
      </c>
      <c r="JV44" s="110" t="str">
        <f t="shared" si="80"/>
        <v/>
      </c>
      <c r="JW44" s="110" t="str">
        <f t="shared" si="81"/>
        <v/>
      </c>
      <c r="JX44" s="110" t="str">
        <f t="shared" si="157"/>
        <v/>
      </c>
      <c r="JY44" s="110" t="str">
        <f t="shared" si="158"/>
        <v/>
      </c>
      <c r="JZ44" s="110" t="str">
        <f t="shared" si="82"/>
        <v/>
      </c>
      <c r="KA44" s="108" t="str">
        <f t="shared" si="159"/>
        <v/>
      </c>
    </row>
    <row r="45" spans="1:287" s="108" customFormat="1" ht="21.95" customHeight="1">
      <c r="A45" s="89">
        <v>39</v>
      </c>
      <c r="B45" s="90" t="str">
        <f>IF('Marks Entry'!B45="","",'Marks Entry'!B45)</f>
        <v/>
      </c>
      <c r="C45" s="94" t="str">
        <f>IF('Marks Entry'!D45="","",'Marks Entry'!D45)</f>
        <v/>
      </c>
      <c r="D45" s="91" t="str">
        <f>IF('Marks Entry'!E45="","",'Marks Entry'!E45)</f>
        <v/>
      </c>
      <c r="E45" s="92" t="str">
        <f>IF('Marks Entry'!F45="","",'Marks Entry'!F45)</f>
        <v/>
      </c>
      <c r="F45" s="93" t="str">
        <f>IF('Marks Entry'!G45="","",'Marks Entry'!G45)</f>
        <v/>
      </c>
      <c r="G45" s="93" t="str">
        <f>IF('Marks Entry'!H45="","",'Marks Entry'!H45)</f>
        <v/>
      </c>
      <c r="H45" s="93" t="str">
        <f>IF('Marks Entry'!I45="","",'Marks Entry'!I45)</f>
        <v/>
      </c>
      <c r="I45" s="94" t="str">
        <f>IF('Marks Entry'!J45="","",'Marks Entry'!J45)</f>
        <v/>
      </c>
      <c r="J45" s="95" t="str">
        <f>IF('Marks Entry'!K45="","",'Marks Entry'!K45)</f>
        <v/>
      </c>
      <c r="K45" s="68" t="str">
        <f>IF('Marks Entry'!L45="","",'Marks Entry'!L45)</f>
        <v/>
      </c>
      <c r="L45" s="68" t="str">
        <f>IF('Marks Entry'!M45="","",'Marks Entry'!M45)</f>
        <v/>
      </c>
      <c r="M45" s="68" t="str">
        <f>IF('Marks Entry'!N45="","",'Marks Entry'!N45)</f>
        <v/>
      </c>
      <c r="N45" s="514" t="str">
        <f t="shared" si="83"/>
        <v/>
      </c>
      <c r="O45" s="68" t="str">
        <f>IF('Marks Entry'!O45="","",'Marks Entry'!O45)</f>
        <v/>
      </c>
      <c r="P45" s="515" t="str">
        <f t="shared" si="84"/>
        <v/>
      </c>
      <c r="Q45" s="68" t="str">
        <f>IF('Marks Entry'!P45="","",'Marks Entry'!P45)</f>
        <v/>
      </c>
      <c r="R45" s="96" t="str">
        <f t="shared" si="85"/>
        <v/>
      </c>
      <c r="S45" s="65">
        <f t="shared" si="86"/>
        <v>0</v>
      </c>
      <c r="T45" s="65">
        <f t="shared" si="87"/>
        <v>0</v>
      </c>
      <c r="U45" s="66" t="str">
        <f t="shared" si="88"/>
        <v/>
      </c>
      <c r="V45" s="65" t="str">
        <f t="shared" si="89"/>
        <v/>
      </c>
      <c r="W45" s="65" t="str">
        <f t="shared" si="90"/>
        <v/>
      </c>
      <c r="X45" s="65" t="str">
        <f t="shared" si="91"/>
        <v/>
      </c>
      <c r="Y45" s="68" t="str">
        <f>IF('Marks Entry'!Q45="","",'Marks Entry'!Q45)</f>
        <v/>
      </c>
      <c r="Z45" s="68" t="str">
        <f>IF('Marks Entry'!R45="","",'Marks Entry'!R45)</f>
        <v/>
      </c>
      <c r="AA45" s="68" t="str">
        <f>IF('Marks Entry'!S45="","",'Marks Entry'!S45)</f>
        <v/>
      </c>
      <c r="AB45" s="514" t="str">
        <f t="shared" si="2"/>
        <v/>
      </c>
      <c r="AC45" s="68" t="str">
        <f>IF('Marks Entry'!T45="","",'Marks Entry'!T45)</f>
        <v/>
      </c>
      <c r="AD45" s="515" t="str">
        <f t="shared" si="3"/>
        <v/>
      </c>
      <c r="AE45" s="68" t="str">
        <f>IF('Marks Entry'!U45="","",'Marks Entry'!U45)</f>
        <v/>
      </c>
      <c r="AF45" s="96" t="str">
        <f t="shared" si="4"/>
        <v/>
      </c>
      <c r="AG45" s="65">
        <f t="shared" si="5"/>
        <v>0</v>
      </c>
      <c r="AH45" s="65">
        <f t="shared" si="6"/>
        <v>0</v>
      </c>
      <c r="AI45" s="66" t="str">
        <f t="shared" si="7"/>
        <v/>
      </c>
      <c r="AJ45" s="65" t="str">
        <f t="shared" si="8"/>
        <v/>
      </c>
      <c r="AK45" s="65" t="str">
        <f t="shared" si="9"/>
        <v/>
      </c>
      <c r="AL45" s="65" t="str">
        <f t="shared" si="10"/>
        <v/>
      </c>
      <c r="AM45" s="524" t="str">
        <f>IF('Marks Entry'!V45="","",IF('Marks Entry'!V45=1,'School Profile'!$I$9,IF('Marks Entry'!V45=2,'School Profile'!$I$10,IF('Marks Entry'!V45=3,'School Profile'!$I$11,IF('Marks Entry'!V45=4,'School Profile'!$I$12,IF('Marks Entry'!V45=5,'School Profile'!$I$13,IF('Marks Entry'!V45=6,'School Profile'!$I$14,"")))))))</f>
        <v/>
      </c>
      <c r="AN45" s="68" t="str">
        <f>IF('Marks Entry'!W45="","",'Marks Entry'!W45)</f>
        <v/>
      </c>
      <c r="AO45" s="68" t="str">
        <f>IF('Marks Entry'!X45="","",'Marks Entry'!X45)</f>
        <v/>
      </c>
      <c r="AP45" s="68" t="str">
        <f>IF('Marks Entry'!Y45="","",'Marks Entry'!Y45)</f>
        <v/>
      </c>
      <c r="AQ45" s="514" t="str">
        <f t="shared" si="11"/>
        <v/>
      </c>
      <c r="AR45" s="68" t="str">
        <f>IF('Marks Entry'!Z45="","",'Marks Entry'!Z45)</f>
        <v/>
      </c>
      <c r="AS45" s="515" t="str">
        <f t="shared" si="12"/>
        <v/>
      </c>
      <c r="AT45" s="68" t="str">
        <f>IF('Marks Entry'!AA45="","",'Marks Entry'!AA45)</f>
        <v/>
      </c>
      <c r="AU45" s="96" t="str">
        <f t="shared" si="13"/>
        <v/>
      </c>
      <c r="AV45" s="65">
        <f t="shared" si="14"/>
        <v>0</v>
      </c>
      <c r="AW45" s="65">
        <f t="shared" si="15"/>
        <v>0</v>
      </c>
      <c r="AX45" s="66" t="str">
        <f t="shared" si="16"/>
        <v/>
      </c>
      <c r="AY45" s="65" t="str">
        <f t="shared" si="17"/>
        <v/>
      </c>
      <c r="AZ45" s="65" t="str">
        <f t="shared" si="18"/>
        <v/>
      </c>
      <c r="BA45" s="65" t="str">
        <f t="shared" si="19"/>
        <v/>
      </c>
      <c r="BB45" s="68" t="str">
        <f>IF('Marks Entry'!AB45="","",'Marks Entry'!AB45)</f>
        <v/>
      </c>
      <c r="BC45" s="68" t="str">
        <f>IF('Marks Entry'!AC45="","",'Marks Entry'!AC45)</f>
        <v/>
      </c>
      <c r="BD45" s="68" t="str">
        <f>IF('Marks Entry'!AD45="","",'Marks Entry'!AD45)</f>
        <v/>
      </c>
      <c r="BE45" s="514" t="str">
        <f t="shared" si="20"/>
        <v/>
      </c>
      <c r="BF45" s="68" t="str">
        <f>IF('Marks Entry'!AE45="","",'Marks Entry'!AE45)</f>
        <v/>
      </c>
      <c r="BG45" s="515" t="str">
        <f t="shared" si="21"/>
        <v/>
      </c>
      <c r="BH45" s="68" t="str">
        <f>IF('Marks Entry'!AF45="","",'Marks Entry'!AF45)</f>
        <v/>
      </c>
      <c r="BI45" s="96" t="str">
        <f t="shared" si="22"/>
        <v/>
      </c>
      <c r="BJ45" s="65">
        <f t="shared" si="23"/>
        <v>0</v>
      </c>
      <c r="BK45" s="65">
        <f t="shared" si="92"/>
        <v>0</v>
      </c>
      <c r="BL45" s="66" t="str">
        <f t="shared" si="24"/>
        <v/>
      </c>
      <c r="BM45" s="65" t="str">
        <f t="shared" si="25"/>
        <v/>
      </c>
      <c r="BN45" s="65" t="str">
        <f t="shared" si="26"/>
        <v/>
      </c>
      <c r="BO45" s="65" t="str">
        <f t="shared" si="27"/>
        <v/>
      </c>
      <c r="BP45" s="68" t="str">
        <f>IF('Marks Entry'!AG45="","",'Marks Entry'!AG45)</f>
        <v/>
      </c>
      <c r="BQ45" s="68" t="str">
        <f>IF('Marks Entry'!AH45="","",'Marks Entry'!AH45)</f>
        <v/>
      </c>
      <c r="BR45" s="68" t="str">
        <f>IF('Marks Entry'!AI45="","",'Marks Entry'!AI45)</f>
        <v/>
      </c>
      <c r="BS45" s="514" t="str">
        <f t="shared" si="28"/>
        <v/>
      </c>
      <c r="BT45" s="68" t="str">
        <f>IF('Marks Entry'!AJ45="","",'Marks Entry'!AJ45)</f>
        <v/>
      </c>
      <c r="BU45" s="515" t="str">
        <f t="shared" si="29"/>
        <v/>
      </c>
      <c r="BV45" s="68" t="str">
        <f>IF('Marks Entry'!AK45="","",'Marks Entry'!AK45)</f>
        <v/>
      </c>
      <c r="BW45" s="96" t="str">
        <f t="shared" si="30"/>
        <v/>
      </c>
      <c r="BX45" s="65">
        <f t="shared" si="31"/>
        <v>0</v>
      </c>
      <c r="BY45" s="65">
        <f t="shared" si="32"/>
        <v>0</v>
      </c>
      <c r="BZ45" s="66" t="str">
        <f t="shared" si="33"/>
        <v/>
      </c>
      <c r="CA45" s="65" t="str">
        <f t="shared" si="34"/>
        <v/>
      </c>
      <c r="CB45" s="65" t="str">
        <f t="shared" si="35"/>
        <v/>
      </c>
      <c r="CC45" s="65" t="str">
        <f t="shared" si="36"/>
        <v/>
      </c>
      <c r="CD45" s="66">
        <f t="shared" si="161"/>
        <v>0</v>
      </c>
      <c r="CE45" s="68" t="str">
        <f>IF('Marks Entry'!AL45="","",'Marks Entry'!AL45)</f>
        <v/>
      </c>
      <c r="CF45" s="68" t="str">
        <f>IF('Marks Entry'!AM45="","",'Marks Entry'!AM45)</f>
        <v/>
      </c>
      <c r="CG45" s="68" t="str">
        <f>IF('Marks Entry'!AN45="","",'Marks Entry'!AN45)</f>
        <v/>
      </c>
      <c r="CH45" s="514" t="str">
        <f t="shared" si="37"/>
        <v/>
      </c>
      <c r="CI45" s="68" t="str">
        <f>IF('Marks Entry'!AO45="","",'Marks Entry'!AO45)</f>
        <v/>
      </c>
      <c r="CJ45" s="515" t="str">
        <f t="shared" si="38"/>
        <v/>
      </c>
      <c r="CK45" s="68" t="str">
        <f>IF('Marks Entry'!AP45="","",'Marks Entry'!AP45)</f>
        <v/>
      </c>
      <c r="CL45" s="96" t="str">
        <f t="shared" si="39"/>
        <v/>
      </c>
      <c r="CM45" s="65">
        <f t="shared" si="40"/>
        <v>0</v>
      </c>
      <c r="CN45" s="65">
        <f t="shared" si="41"/>
        <v>0</v>
      </c>
      <c r="CO45" s="66" t="str">
        <f t="shared" si="42"/>
        <v/>
      </c>
      <c r="CP45" s="65" t="str">
        <f t="shared" si="43"/>
        <v/>
      </c>
      <c r="CQ45" s="65" t="str">
        <f t="shared" si="44"/>
        <v/>
      </c>
      <c r="CR45" s="65" t="str">
        <f t="shared" si="45"/>
        <v/>
      </c>
      <c r="CS45" s="616" t="str">
        <f>IF('School Profile'!$D$20="NO","",IF('Marks Entry'!AQ45="","",IF('Marks Entry'!AQ45=1,'School Profile'!$I$29,IF('Marks Entry'!AQ45=2,'School Profile'!$I$30,IF('Marks Entry'!AQ45=3,'School Profile'!$I$31,IF('Marks Entry'!AQ45=4,'School Profile'!$I$32,IF('Marks Entry'!AQ45=5,'School Profile'!$I$33,IF('Marks Entry'!AQ45=6,'School Profile'!$I$34,IF('Marks Entry'!AQ45=7,'School Profile'!$I$35,IF('Marks Entry'!AQ45=8,'School Profile'!$I$36,IF('Marks Entry'!AQ45=9,'School Profile'!$I$37,IF('Marks Entry'!AQ45=10,'School Profile'!$I$38,IF('Marks Entry'!AQ45=11,'School Profile'!$I$39,"")))))))))))))</f>
        <v/>
      </c>
      <c r="CT45" s="68" t="str">
        <f>IF('School Profile'!$D$20="NO","",IF('Marks Entry'!AR45="","",'Marks Entry'!AR45))</f>
        <v/>
      </c>
      <c r="CU45" s="68" t="str">
        <f>IF('School Profile'!$D$20="NO","",IF('Marks Entry'!AS45="","",'Marks Entry'!AS45))</f>
        <v/>
      </c>
      <c r="CV45" s="68" t="str">
        <f>IF('School Profile'!$D$20="NO","",IF('Marks Entry'!AT45="","",'Marks Entry'!AT45))</f>
        <v/>
      </c>
      <c r="CW45" s="514" t="str">
        <f>IF('School Profile'!$D$20="NO","",IF(AND(CT45="",CU45="",CV45=""),"",SUM(CT45:CV45)))</f>
        <v/>
      </c>
      <c r="CX45" s="68" t="str">
        <f>IF('School Profile'!$D$20="NO","",IF('Marks Entry'!AU45="","",'Marks Entry'!AU45))</f>
        <v/>
      </c>
      <c r="CY45" s="68" t="str">
        <f>IF('School Profile'!$D$20="NO","",IF('Marks Entry'!AV45="","",'Marks Entry'!AV45))</f>
        <v/>
      </c>
      <c r="CZ45" s="515" t="str">
        <f>IF('School Profile'!$D$20="NO","",IF(AND(CX45="",CY45=""),"",SUM(CX45,CY45)))</f>
        <v/>
      </c>
      <c r="DA45" s="69" t="str">
        <f>IF('School Profile'!$D$20="NO","",IF(AND(CW45="",CZ45=""),"",SUM(CW45+CZ45)))</f>
        <v/>
      </c>
      <c r="DB45" s="68" t="str">
        <f>IF('School Profile'!$D$20="NO","",IF('Marks Entry'!AW45="","",'Marks Entry'!AW45))</f>
        <v/>
      </c>
      <c r="DC45" s="68" t="str">
        <f>IF('School Profile'!$D$20="NO","",IF('Marks Entry'!AX45="","",'Marks Entry'!AX45))</f>
        <v/>
      </c>
      <c r="DD45" s="515" t="str">
        <f>IF('School Profile'!$D$20="NO","",IF(AND(DB45="",DC45=""),"",SUM(DB45,DC45)))</f>
        <v/>
      </c>
      <c r="DE45" s="96" t="str">
        <f>IF('School Profile'!$D$20="NO","",IF(AND(DA45="",DD45=""),"",SUM(DA45,DD45)))</f>
        <v/>
      </c>
      <c r="DF45" s="532">
        <f t="shared" si="46"/>
        <v>0</v>
      </c>
      <c r="DG45" s="65">
        <f t="shared" si="47"/>
        <v>0</v>
      </c>
      <c r="DH45" s="66" t="str">
        <f t="shared" si="48"/>
        <v/>
      </c>
      <c r="DI45" s="65" t="str">
        <f t="shared" si="49"/>
        <v/>
      </c>
      <c r="DJ45" s="65" t="str">
        <f t="shared" si="50"/>
        <v/>
      </c>
      <c r="DK45" s="65" t="str">
        <f t="shared" si="51"/>
        <v/>
      </c>
      <c r="DL45" s="97" t="str">
        <f t="shared" si="94"/>
        <v/>
      </c>
      <c r="DM45" s="97" t="str">
        <f t="shared" si="95"/>
        <v/>
      </c>
      <c r="DN45" s="97" t="str">
        <f t="shared" si="96"/>
        <v/>
      </c>
      <c r="DO45" s="97" t="str">
        <f t="shared" si="97"/>
        <v/>
      </c>
      <c r="DP45" s="97" t="str">
        <f t="shared" si="98"/>
        <v/>
      </c>
      <c r="DQ45" s="97" t="str">
        <f t="shared" si="99"/>
        <v/>
      </c>
      <c r="DR45" s="97" t="str">
        <f t="shared" si="100"/>
        <v/>
      </c>
      <c r="DS45" s="98">
        <f t="shared" si="101"/>
        <v>0</v>
      </c>
      <c r="DT45" s="98">
        <f t="shared" si="102"/>
        <v>0</v>
      </c>
      <c r="DU45" s="98">
        <f t="shared" si="103"/>
        <v>0</v>
      </c>
      <c r="DV45" s="98">
        <f t="shared" si="104"/>
        <v>0</v>
      </c>
      <c r="DW45" s="98">
        <f t="shared" si="105"/>
        <v>0</v>
      </c>
      <c r="DX45" s="98" t="str">
        <f t="shared" si="106"/>
        <v/>
      </c>
      <c r="DY45" s="99" t="str">
        <f t="shared" si="107"/>
        <v/>
      </c>
      <c r="DZ45" s="74" t="str">
        <f>IF('Marks Entry'!AY45="","",'Marks Entry'!AY45)</f>
        <v/>
      </c>
      <c r="EA45" s="74" t="str">
        <f>IF('Marks Entry'!AZ45="","",'Marks Entry'!AZ45)</f>
        <v/>
      </c>
      <c r="EB45" s="74" t="str">
        <f>IF('Marks Entry'!BA45="","",'Marks Entry'!BA45)</f>
        <v/>
      </c>
      <c r="EC45" s="527" t="str">
        <f t="shared" si="52"/>
        <v/>
      </c>
      <c r="ED45" s="74" t="str">
        <f>IF('Marks Entry'!BB45="","",'Marks Entry'!BB45)</f>
        <v/>
      </c>
      <c r="EE45" s="528" t="str">
        <f t="shared" si="53"/>
        <v/>
      </c>
      <c r="EF45" s="74" t="str">
        <f>IF('Marks Entry'!BC45="","",'Marks Entry'!BC45)</f>
        <v/>
      </c>
      <c r="EG45" s="530" t="str">
        <f t="shared" si="54"/>
        <v/>
      </c>
      <c r="EH45" s="368" t="str">
        <f t="shared" si="108"/>
        <v/>
      </c>
      <c r="EI45" s="65">
        <f t="shared" si="109"/>
        <v>0</v>
      </c>
      <c r="EJ45" s="65">
        <f t="shared" si="110"/>
        <v>0</v>
      </c>
      <c r="EK45" s="66" t="str">
        <f t="shared" si="111"/>
        <v/>
      </c>
      <c r="EL45" s="74" t="str">
        <f>IF('Marks Entry'!BD45="","",'Marks Entry'!BD45)</f>
        <v/>
      </c>
      <c r="EM45" s="74" t="str">
        <f>IF('Marks Entry'!BE45="","",'Marks Entry'!BE45)</f>
        <v/>
      </c>
      <c r="EN45" s="74" t="str">
        <f>IF('Marks Entry'!BF45="","",'Marks Entry'!BF45)</f>
        <v/>
      </c>
      <c r="EO45" s="527" t="str">
        <f t="shared" si="55"/>
        <v/>
      </c>
      <c r="EP45" s="74" t="str">
        <f>IF('Marks Entry'!BG45="","",'Marks Entry'!BG45)</f>
        <v/>
      </c>
      <c r="EQ45" s="74" t="str">
        <f>IF('Marks Entry'!BH45="","",'Marks Entry'!BH45)</f>
        <v/>
      </c>
      <c r="ER45" s="528" t="str">
        <f t="shared" si="56"/>
        <v/>
      </c>
      <c r="ES45" s="529" t="str">
        <f t="shared" si="57"/>
        <v/>
      </c>
      <c r="ET45" s="74" t="str">
        <f>IF('Marks Entry'!BI45="","",'Marks Entry'!BI45)</f>
        <v/>
      </c>
      <c r="EU45" s="74" t="str">
        <f>IF('Marks Entry'!BJ45="","",'Marks Entry'!BJ45)</f>
        <v/>
      </c>
      <c r="EV45" s="528" t="str">
        <f t="shared" si="58"/>
        <v/>
      </c>
      <c r="EW45" s="530" t="str">
        <f t="shared" si="59"/>
        <v/>
      </c>
      <c r="EX45" s="368" t="str">
        <f t="shared" si="112"/>
        <v/>
      </c>
      <c r="EY45" s="65">
        <f t="shared" si="113"/>
        <v>0</v>
      </c>
      <c r="EZ45" s="65">
        <f t="shared" si="114"/>
        <v>0</v>
      </c>
      <c r="FA45" s="66" t="str">
        <f t="shared" si="115"/>
        <v/>
      </c>
      <c r="FB45" s="74" t="str">
        <f>IF('Marks Entry'!BK45="","",'Marks Entry'!BK45)</f>
        <v/>
      </c>
      <c r="FC45" s="74" t="str">
        <f>IF('Marks Entry'!BL45="","",'Marks Entry'!BL45)</f>
        <v/>
      </c>
      <c r="FD45" s="74" t="str">
        <f>IF('Marks Entry'!BM45="","",'Marks Entry'!BM45)</f>
        <v/>
      </c>
      <c r="FE45" s="74" t="str">
        <f>IF('Marks Entry'!BN45="","",'Marks Entry'!BN45)</f>
        <v/>
      </c>
      <c r="FF45" s="74" t="str">
        <f>IF('Marks Entry'!BO45="","",'Marks Entry'!BO45)</f>
        <v/>
      </c>
      <c r="FG45" s="74" t="str">
        <f>IF('Marks Entry'!BP45="","",'Marks Entry'!BP45)</f>
        <v/>
      </c>
      <c r="FH45" s="527" t="str">
        <f t="shared" si="60"/>
        <v/>
      </c>
      <c r="FI45" s="74" t="str">
        <f>IF('Marks Entry'!BQ45="","",'Marks Entry'!BQ45)</f>
        <v/>
      </c>
      <c r="FJ45" s="74" t="str">
        <f>IF('Marks Entry'!BR45="","",'Marks Entry'!BR45)</f>
        <v/>
      </c>
      <c r="FK45" s="528" t="str">
        <f t="shared" si="61"/>
        <v/>
      </c>
      <c r="FL45" s="529" t="str">
        <f t="shared" si="62"/>
        <v/>
      </c>
      <c r="FM45" s="74" t="str">
        <f>IF('Marks Entry'!BS45="","",'Marks Entry'!BS45)</f>
        <v/>
      </c>
      <c r="FN45" s="74" t="str">
        <f>IF('Marks Entry'!BT45="","",'Marks Entry'!BT45)</f>
        <v/>
      </c>
      <c r="FO45" s="528" t="str">
        <f t="shared" si="63"/>
        <v/>
      </c>
      <c r="FP45" s="530" t="str">
        <f t="shared" si="64"/>
        <v/>
      </c>
      <c r="FQ45" s="368" t="str">
        <f t="shared" si="116"/>
        <v/>
      </c>
      <c r="FR45" s="65">
        <f t="shared" si="117"/>
        <v>0</v>
      </c>
      <c r="FS45" s="65">
        <f t="shared" si="118"/>
        <v>0</v>
      </c>
      <c r="FT45" s="66" t="str">
        <f t="shared" si="119"/>
        <v/>
      </c>
      <c r="FU45" s="74" t="str">
        <f>IF('Marks Entry'!BU45="","",'Marks Entry'!BU45)</f>
        <v/>
      </c>
      <c r="FV45" s="74" t="str">
        <f>IF('Marks Entry'!BV45="","",'Marks Entry'!BV45)</f>
        <v/>
      </c>
      <c r="FW45" s="74" t="str">
        <f>IF('Marks Entry'!BW45="","",'Marks Entry'!BW45)</f>
        <v/>
      </c>
      <c r="FX45" s="75" t="str">
        <f t="shared" si="65"/>
        <v/>
      </c>
      <c r="FY45" s="368" t="str">
        <f t="shared" si="120"/>
        <v/>
      </c>
      <c r="FZ45" s="65">
        <f t="shared" si="121"/>
        <v>0</v>
      </c>
      <c r="GA45" s="66">
        <f t="shared" si="122"/>
        <v>0</v>
      </c>
      <c r="GB45" s="66" t="str">
        <f t="shared" si="123"/>
        <v/>
      </c>
      <c r="GC45" s="74" t="str">
        <f>IF('Marks Entry'!BX45="","",'Marks Entry'!BX45)</f>
        <v/>
      </c>
      <c r="GD45" s="74" t="str">
        <f>IF('Marks Entry'!BY45="","",'Marks Entry'!BY45)</f>
        <v/>
      </c>
      <c r="GE45" s="74" t="str">
        <f>IF('Marks Entry'!BZ45="","",'Marks Entry'!BZ45)</f>
        <v/>
      </c>
      <c r="GF45" s="75" t="str">
        <f t="shared" si="124"/>
        <v/>
      </c>
      <c r="GG45" s="368" t="str">
        <f t="shared" si="125"/>
        <v/>
      </c>
      <c r="GH45" s="65">
        <f t="shared" si="126"/>
        <v>0</v>
      </c>
      <c r="GI45" s="66">
        <f t="shared" si="127"/>
        <v>0</v>
      </c>
      <c r="GJ45" s="66" t="str">
        <f t="shared" si="128"/>
        <v/>
      </c>
      <c r="GK45" s="100" t="str">
        <f>IF(AND(F45="",B45=""),"",IF('Student DATA Entry'!M42="","",'Student DATA Entry'!M42))</f>
        <v/>
      </c>
      <c r="GL45" s="101" t="str">
        <f>IF(AND(B45="",F45=""),"",IF('Student DATA Entry'!N42="","",'Student DATA Entry'!N42))</f>
        <v/>
      </c>
      <c r="GM45" s="581" t="str">
        <f t="shared" si="129"/>
        <v/>
      </c>
      <c r="GN45" s="94" t="str">
        <f t="shared" si="130"/>
        <v/>
      </c>
      <c r="GO45" s="94" t="str">
        <f t="shared" si="131"/>
        <v/>
      </c>
      <c r="GP45" s="102" t="str">
        <f t="shared" si="162"/>
        <v/>
      </c>
      <c r="GQ45" s="94" t="str">
        <f t="shared" si="132"/>
        <v/>
      </c>
      <c r="GR45" s="103" t="str">
        <f t="shared" si="133"/>
        <v/>
      </c>
      <c r="GS45" s="102" t="str">
        <f t="shared" si="163"/>
        <v/>
      </c>
      <c r="GT45" s="104" t="str">
        <f t="shared" si="134"/>
        <v/>
      </c>
      <c r="GU45" s="94" t="str">
        <f>IF('Marks Entry'!V45=1,GT45,"")</f>
        <v/>
      </c>
      <c r="GV45" s="94" t="str">
        <f>IF('Marks Entry'!V45=2,GT45,"")</f>
        <v/>
      </c>
      <c r="GW45" s="94" t="str">
        <f>IF('Marks Entry'!V45=3,GT45,"")</f>
        <v/>
      </c>
      <c r="GX45" s="94" t="str">
        <f>IF('Marks Entry'!V45=4,GT45,"")</f>
        <v/>
      </c>
      <c r="GY45" s="94" t="str">
        <f>IF('Marks Entry'!V45=5,GT45,"")</f>
        <v/>
      </c>
      <c r="GZ45" s="94" t="str">
        <f t="shared" si="135"/>
        <v/>
      </c>
      <c r="HA45" s="105" t="str">
        <f t="shared" si="164"/>
        <v/>
      </c>
      <c r="HB45" s="94" t="str">
        <f t="shared" si="136"/>
        <v/>
      </c>
      <c r="HC45" s="94" t="str">
        <f t="shared" si="137"/>
        <v/>
      </c>
      <c r="HD45" s="105" t="str">
        <f t="shared" si="165"/>
        <v/>
      </c>
      <c r="HE45" s="94" t="str">
        <f t="shared" si="138"/>
        <v/>
      </c>
      <c r="HF45" s="94" t="str">
        <f t="shared" si="139"/>
        <v/>
      </c>
      <c r="HG45" s="105" t="str">
        <f t="shared" si="166"/>
        <v/>
      </c>
      <c r="HH45" s="94" t="str">
        <f t="shared" si="140"/>
        <v/>
      </c>
      <c r="HI45" s="94" t="str">
        <f t="shared" si="141"/>
        <v/>
      </c>
      <c r="HJ45" s="105" t="str">
        <f t="shared" si="167"/>
        <v/>
      </c>
      <c r="HK45" s="94" t="str">
        <f t="shared" si="142"/>
        <v/>
      </c>
      <c r="HL45" s="94" t="str">
        <f t="shared" si="143"/>
        <v/>
      </c>
      <c r="HM45" s="105" t="str">
        <f t="shared" si="168"/>
        <v/>
      </c>
      <c r="HN45" s="367" t="str">
        <f t="shared" si="144"/>
        <v xml:space="preserve">      </v>
      </c>
      <c r="HO45" s="418" t="str">
        <f t="shared" si="169"/>
        <v xml:space="preserve">      </v>
      </c>
      <c r="HP45" s="367" t="str">
        <f t="shared" si="146"/>
        <v xml:space="preserve">      </v>
      </c>
      <c r="HQ45" s="107" t="str">
        <f t="shared" si="147"/>
        <v xml:space="preserve">      </v>
      </c>
      <c r="HR45" s="366" t="str">
        <f t="shared" si="148"/>
        <v xml:space="preserve">      </v>
      </c>
      <c r="HS45" s="544" t="str">
        <f t="shared" si="170"/>
        <v/>
      </c>
      <c r="HT45" s="542" t="str">
        <f t="shared" si="149"/>
        <v/>
      </c>
      <c r="HU45" s="541" t="str">
        <f t="shared" si="160"/>
        <v/>
      </c>
      <c r="HV45" s="540" t="str">
        <f t="shared" si="150"/>
        <v/>
      </c>
      <c r="HW45" s="537" t="str">
        <f t="shared" si="151"/>
        <v/>
      </c>
      <c r="HX45" s="539" t="str">
        <f t="shared" si="152"/>
        <v/>
      </c>
      <c r="HY45" s="553" t="str">
        <f>IFERROR(IF(OR(HS45="SUPPLEMENTARY",HS45="RE-EXAM"),'Supp. Result Entry'!AQ43,""),"")</f>
        <v/>
      </c>
      <c r="HZ45" s="538" t="str">
        <f t="shared" si="153"/>
        <v/>
      </c>
      <c r="IA45" s="415" t="str">
        <f t="shared" si="154"/>
        <v/>
      </c>
      <c r="IB45" s="415" t="str">
        <f>IF(AND(HZ45="",IA45=""),"",IF(OR(HS45="SUPPLEMENTARY",HS45="RE-EXAM"),'Supp. Result Entry'!AQ43,HS45))</f>
        <v/>
      </c>
      <c r="IC45" s="87"/>
      <c r="ID45" s="111"/>
      <c r="IS45" s="109" t="str">
        <f>IF('Supp. Result Entry'!T43="","",'Supp. Result Entry'!$T$4)</f>
        <v/>
      </c>
      <c r="IT45" s="110" t="str">
        <f>IF('Supp. Result Entry'!W43="","",'Supp. Result Entry'!$W$4)</f>
        <v/>
      </c>
      <c r="IU45" s="110" t="str">
        <f>IF('Supp. Result Entry'!Z43="","",'Supp. Result Entry'!$Z$4)</f>
        <v/>
      </c>
      <c r="IV45" s="110" t="str">
        <f>IF('Supp. Result Entry'!AC43="","",'Supp. Result Entry'!$AC$4)</f>
        <v/>
      </c>
      <c r="IW45" s="110" t="str">
        <f>IF('Supp. Result Entry'!AF43="","",'Supp. Result Entry'!$AF$4)</f>
        <v/>
      </c>
      <c r="IX45" s="110" t="str">
        <f>IF('Supp. Result Entry'!AI43="","",'Supp. Result Entry'!$AI$4)</f>
        <v/>
      </c>
      <c r="IY45" s="110" t="str">
        <f>IF('Supp. Result Entry'!AI43="","",'Supp. Result Entry'!$AL$4)</f>
        <v/>
      </c>
      <c r="IZ45" s="110" t="str">
        <f>IF('Supp. Result Entry'!U43="","",'Supp. Result Entry'!U43)</f>
        <v/>
      </c>
      <c r="JA45" s="110" t="str">
        <f>IF('Supp. Result Entry'!X43="","",'Supp. Result Entry'!X43)</f>
        <v/>
      </c>
      <c r="JB45" s="110" t="str">
        <f>IF('Supp. Result Entry'!AA43="","",'Supp. Result Entry'!AA43)</f>
        <v/>
      </c>
      <c r="JC45" s="110" t="str">
        <f>IF('Supp. Result Entry'!AD43="","",'Supp. Result Entry'!AD43)</f>
        <v/>
      </c>
      <c r="JD45" s="110" t="str">
        <f>IF('Supp. Result Entry'!AG43="","",'Supp. Result Entry'!AG43)</f>
        <v/>
      </c>
      <c r="JE45" s="110" t="str">
        <f>IF('Supp. Result Entry'!AJ43="","",'Supp. Result Entry'!AJ43)</f>
        <v/>
      </c>
      <c r="JF45" s="110" t="str">
        <f>IF('Supp. Result Entry'!AM43="","",'Supp. Result Entry'!AM43)</f>
        <v/>
      </c>
      <c r="JG45" s="110" t="str">
        <f>IF('Supp. Result Entry'!V43="","",'Supp. Result Entry'!V43)</f>
        <v/>
      </c>
      <c r="JH45" s="110" t="str">
        <f>IF('Supp. Result Entry'!Y43="","",'Supp. Result Entry'!Y43)</f>
        <v/>
      </c>
      <c r="JI45" s="110" t="str">
        <f>IF('Supp. Result Entry'!AB43="","",'Supp. Result Entry'!AB43)</f>
        <v/>
      </c>
      <c r="JJ45" s="110" t="str">
        <f>IF('Supp. Result Entry'!AE43="","",'Supp. Result Entry'!AE43)</f>
        <v/>
      </c>
      <c r="JK45" s="110" t="str">
        <f>IF('Supp. Result Entry'!AH43="","",'Supp. Result Entry'!AH43)</f>
        <v/>
      </c>
      <c r="JL45" s="110" t="str">
        <f>IF('Supp. Result Entry'!AK43="","",'Supp. Result Entry'!AK43)</f>
        <v/>
      </c>
      <c r="JM45" s="110" t="str">
        <f>IF('Supp. Result Entry'!AN43="","",'Supp. Result Entry'!AN43)</f>
        <v/>
      </c>
      <c r="JN45" s="110">
        <f>COUNTIF('Supp. Result Entry'!K43:Q43,"S")</f>
        <v>0</v>
      </c>
      <c r="JO45" s="110">
        <f t="shared" si="155"/>
        <v>0</v>
      </c>
      <c r="JP45" s="110">
        <f t="shared" si="156"/>
        <v>0</v>
      </c>
      <c r="JQ45" s="110" t="str">
        <f t="shared" si="75"/>
        <v/>
      </c>
      <c r="JR45" s="110" t="str">
        <f t="shared" si="76"/>
        <v/>
      </c>
      <c r="JS45" s="110" t="str">
        <f t="shared" si="77"/>
        <v/>
      </c>
      <c r="JT45" s="110" t="str">
        <f t="shared" si="78"/>
        <v/>
      </c>
      <c r="JU45" s="110" t="str">
        <f t="shared" si="79"/>
        <v/>
      </c>
      <c r="JV45" s="110" t="str">
        <f t="shared" si="80"/>
        <v/>
      </c>
      <c r="JW45" s="110" t="str">
        <f t="shared" si="81"/>
        <v/>
      </c>
      <c r="JX45" s="110" t="str">
        <f t="shared" si="157"/>
        <v/>
      </c>
      <c r="JY45" s="110" t="str">
        <f t="shared" si="158"/>
        <v/>
      </c>
      <c r="JZ45" s="110" t="str">
        <f t="shared" si="82"/>
        <v/>
      </c>
      <c r="KA45" s="108" t="str">
        <f t="shared" si="159"/>
        <v/>
      </c>
    </row>
    <row r="46" spans="1:287" s="108" customFormat="1" ht="21.95" customHeight="1">
      <c r="A46" s="89">
        <v>40</v>
      </c>
      <c r="B46" s="90" t="str">
        <f>IF('Marks Entry'!B46="","",'Marks Entry'!B46)</f>
        <v/>
      </c>
      <c r="C46" s="94" t="str">
        <f>IF('Marks Entry'!D46="","",'Marks Entry'!D46)</f>
        <v/>
      </c>
      <c r="D46" s="91" t="str">
        <f>IF('Marks Entry'!E46="","",'Marks Entry'!E46)</f>
        <v/>
      </c>
      <c r="E46" s="92" t="str">
        <f>IF('Marks Entry'!F46="","",'Marks Entry'!F46)</f>
        <v/>
      </c>
      <c r="F46" s="93" t="str">
        <f>IF('Marks Entry'!G46="","",'Marks Entry'!G46)</f>
        <v/>
      </c>
      <c r="G46" s="93" t="str">
        <f>IF('Marks Entry'!H46="","",'Marks Entry'!H46)</f>
        <v/>
      </c>
      <c r="H46" s="93" t="str">
        <f>IF('Marks Entry'!I46="","",'Marks Entry'!I46)</f>
        <v/>
      </c>
      <c r="I46" s="94" t="str">
        <f>IF('Marks Entry'!J46="","",'Marks Entry'!J46)</f>
        <v/>
      </c>
      <c r="J46" s="95" t="str">
        <f>IF('Marks Entry'!K46="","",'Marks Entry'!K46)</f>
        <v/>
      </c>
      <c r="K46" s="68" t="str">
        <f>IF('Marks Entry'!L46="","",'Marks Entry'!L46)</f>
        <v/>
      </c>
      <c r="L46" s="68" t="str">
        <f>IF('Marks Entry'!M46="","",'Marks Entry'!M46)</f>
        <v/>
      </c>
      <c r="M46" s="68" t="str">
        <f>IF('Marks Entry'!N46="","",'Marks Entry'!N46)</f>
        <v/>
      </c>
      <c r="N46" s="514" t="str">
        <f t="shared" si="83"/>
        <v/>
      </c>
      <c r="O46" s="68" t="str">
        <f>IF('Marks Entry'!O46="","",'Marks Entry'!O46)</f>
        <v/>
      </c>
      <c r="P46" s="515" t="str">
        <f t="shared" si="84"/>
        <v/>
      </c>
      <c r="Q46" s="68" t="str">
        <f>IF('Marks Entry'!P46="","",'Marks Entry'!P46)</f>
        <v/>
      </c>
      <c r="R46" s="96" t="str">
        <f t="shared" si="85"/>
        <v/>
      </c>
      <c r="S46" s="65">
        <f t="shared" si="86"/>
        <v>0</v>
      </c>
      <c r="T46" s="65">
        <f t="shared" si="87"/>
        <v>0</v>
      </c>
      <c r="U46" s="66" t="str">
        <f t="shared" si="88"/>
        <v/>
      </c>
      <c r="V46" s="65" t="str">
        <f t="shared" si="89"/>
        <v/>
      </c>
      <c r="W46" s="65" t="str">
        <f t="shared" si="90"/>
        <v/>
      </c>
      <c r="X46" s="65" t="str">
        <f t="shared" si="91"/>
        <v/>
      </c>
      <c r="Y46" s="68" t="str">
        <f>IF('Marks Entry'!Q46="","",'Marks Entry'!Q46)</f>
        <v/>
      </c>
      <c r="Z46" s="68" t="str">
        <f>IF('Marks Entry'!R46="","",'Marks Entry'!R46)</f>
        <v/>
      </c>
      <c r="AA46" s="68" t="str">
        <f>IF('Marks Entry'!S46="","",'Marks Entry'!S46)</f>
        <v/>
      </c>
      <c r="AB46" s="514" t="str">
        <f t="shared" si="2"/>
        <v/>
      </c>
      <c r="AC46" s="68" t="str">
        <f>IF('Marks Entry'!T46="","",'Marks Entry'!T46)</f>
        <v/>
      </c>
      <c r="AD46" s="515" t="str">
        <f t="shared" si="3"/>
        <v/>
      </c>
      <c r="AE46" s="68" t="str">
        <f>IF('Marks Entry'!U46="","",'Marks Entry'!U46)</f>
        <v/>
      </c>
      <c r="AF46" s="96" t="str">
        <f t="shared" si="4"/>
        <v/>
      </c>
      <c r="AG46" s="65">
        <f t="shared" si="5"/>
        <v>0</v>
      </c>
      <c r="AH46" s="65">
        <f t="shared" si="6"/>
        <v>0</v>
      </c>
      <c r="AI46" s="66" t="str">
        <f t="shared" si="7"/>
        <v/>
      </c>
      <c r="AJ46" s="65" t="str">
        <f t="shared" si="8"/>
        <v/>
      </c>
      <c r="AK46" s="65" t="str">
        <f t="shared" si="9"/>
        <v/>
      </c>
      <c r="AL46" s="65" t="str">
        <f t="shared" si="10"/>
        <v/>
      </c>
      <c r="AM46" s="524" t="str">
        <f>IF('Marks Entry'!V46="","",IF('Marks Entry'!V46=1,'School Profile'!$I$9,IF('Marks Entry'!V46=2,'School Profile'!$I$10,IF('Marks Entry'!V46=3,'School Profile'!$I$11,IF('Marks Entry'!V46=4,'School Profile'!$I$12,IF('Marks Entry'!V46=5,'School Profile'!$I$13,IF('Marks Entry'!V46=6,'School Profile'!$I$14,"")))))))</f>
        <v/>
      </c>
      <c r="AN46" s="68" t="str">
        <f>IF('Marks Entry'!W46="","",'Marks Entry'!W46)</f>
        <v/>
      </c>
      <c r="AO46" s="68" t="str">
        <f>IF('Marks Entry'!X46="","",'Marks Entry'!X46)</f>
        <v/>
      </c>
      <c r="AP46" s="68" t="str">
        <f>IF('Marks Entry'!Y46="","",'Marks Entry'!Y46)</f>
        <v/>
      </c>
      <c r="AQ46" s="514" t="str">
        <f t="shared" si="11"/>
        <v/>
      </c>
      <c r="AR46" s="68" t="str">
        <f>IF('Marks Entry'!Z46="","",'Marks Entry'!Z46)</f>
        <v/>
      </c>
      <c r="AS46" s="515" t="str">
        <f t="shared" si="12"/>
        <v/>
      </c>
      <c r="AT46" s="68" t="str">
        <f>IF('Marks Entry'!AA46="","",'Marks Entry'!AA46)</f>
        <v/>
      </c>
      <c r="AU46" s="96" t="str">
        <f t="shared" si="13"/>
        <v/>
      </c>
      <c r="AV46" s="65">
        <f t="shared" si="14"/>
        <v>0</v>
      </c>
      <c r="AW46" s="65">
        <f t="shared" si="15"/>
        <v>0</v>
      </c>
      <c r="AX46" s="66" t="str">
        <f t="shared" si="16"/>
        <v/>
      </c>
      <c r="AY46" s="65" t="str">
        <f t="shared" si="17"/>
        <v/>
      </c>
      <c r="AZ46" s="65" t="str">
        <f t="shared" si="18"/>
        <v/>
      </c>
      <c r="BA46" s="65" t="str">
        <f t="shared" si="19"/>
        <v/>
      </c>
      <c r="BB46" s="68" t="str">
        <f>IF('Marks Entry'!AB46="","",'Marks Entry'!AB46)</f>
        <v/>
      </c>
      <c r="BC46" s="68" t="str">
        <f>IF('Marks Entry'!AC46="","",'Marks Entry'!AC46)</f>
        <v/>
      </c>
      <c r="BD46" s="68" t="str">
        <f>IF('Marks Entry'!AD46="","",'Marks Entry'!AD46)</f>
        <v/>
      </c>
      <c r="BE46" s="514" t="str">
        <f t="shared" si="20"/>
        <v/>
      </c>
      <c r="BF46" s="68" t="str">
        <f>IF('Marks Entry'!AE46="","",'Marks Entry'!AE46)</f>
        <v/>
      </c>
      <c r="BG46" s="515" t="str">
        <f t="shared" si="21"/>
        <v/>
      </c>
      <c r="BH46" s="68" t="str">
        <f>IF('Marks Entry'!AF46="","",'Marks Entry'!AF46)</f>
        <v/>
      </c>
      <c r="BI46" s="96" t="str">
        <f t="shared" si="22"/>
        <v/>
      </c>
      <c r="BJ46" s="65">
        <f t="shared" si="23"/>
        <v>0</v>
      </c>
      <c r="BK46" s="65">
        <f t="shared" si="92"/>
        <v>0</v>
      </c>
      <c r="BL46" s="66" t="str">
        <f t="shared" si="24"/>
        <v/>
      </c>
      <c r="BM46" s="65" t="str">
        <f t="shared" si="25"/>
        <v/>
      </c>
      <c r="BN46" s="65" t="str">
        <f t="shared" si="26"/>
        <v/>
      </c>
      <c r="BO46" s="65" t="str">
        <f t="shared" si="27"/>
        <v/>
      </c>
      <c r="BP46" s="68" t="str">
        <f>IF('Marks Entry'!AG46="","",'Marks Entry'!AG46)</f>
        <v/>
      </c>
      <c r="BQ46" s="68" t="str">
        <f>IF('Marks Entry'!AH46="","",'Marks Entry'!AH46)</f>
        <v/>
      </c>
      <c r="BR46" s="68" t="str">
        <f>IF('Marks Entry'!AI46="","",'Marks Entry'!AI46)</f>
        <v/>
      </c>
      <c r="BS46" s="514" t="str">
        <f t="shared" si="28"/>
        <v/>
      </c>
      <c r="BT46" s="68" t="str">
        <f>IF('Marks Entry'!AJ46="","",'Marks Entry'!AJ46)</f>
        <v/>
      </c>
      <c r="BU46" s="515" t="str">
        <f t="shared" si="29"/>
        <v/>
      </c>
      <c r="BV46" s="68" t="str">
        <f>IF('Marks Entry'!AK46="","",'Marks Entry'!AK46)</f>
        <v/>
      </c>
      <c r="BW46" s="96" t="str">
        <f t="shared" si="30"/>
        <v/>
      </c>
      <c r="BX46" s="65">
        <f t="shared" si="31"/>
        <v>0</v>
      </c>
      <c r="BY46" s="65">
        <f t="shared" si="32"/>
        <v>0</v>
      </c>
      <c r="BZ46" s="66" t="str">
        <f t="shared" si="33"/>
        <v/>
      </c>
      <c r="CA46" s="65" t="str">
        <f t="shared" si="34"/>
        <v/>
      </c>
      <c r="CB46" s="65" t="str">
        <f t="shared" si="35"/>
        <v/>
      </c>
      <c r="CC46" s="65" t="str">
        <f t="shared" si="36"/>
        <v/>
      </c>
      <c r="CD46" s="66">
        <f t="shared" si="161"/>
        <v>0</v>
      </c>
      <c r="CE46" s="68" t="str">
        <f>IF('Marks Entry'!AL46="","",'Marks Entry'!AL46)</f>
        <v/>
      </c>
      <c r="CF46" s="68" t="str">
        <f>IF('Marks Entry'!AM46="","",'Marks Entry'!AM46)</f>
        <v/>
      </c>
      <c r="CG46" s="68" t="str">
        <f>IF('Marks Entry'!AN46="","",'Marks Entry'!AN46)</f>
        <v/>
      </c>
      <c r="CH46" s="514" t="str">
        <f t="shared" si="37"/>
        <v/>
      </c>
      <c r="CI46" s="68" t="str">
        <f>IF('Marks Entry'!AO46="","",'Marks Entry'!AO46)</f>
        <v/>
      </c>
      <c r="CJ46" s="515" t="str">
        <f t="shared" si="38"/>
        <v/>
      </c>
      <c r="CK46" s="68" t="str">
        <f>IF('Marks Entry'!AP46="","",'Marks Entry'!AP46)</f>
        <v/>
      </c>
      <c r="CL46" s="96" t="str">
        <f t="shared" si="39"/>
        <v/>
      </c>
      <c r="CM46" s="65">
        <f t="shared" si="40"/>
        <v>0</v>
      </c>
      <c r="CN46" s="65">
        <f t="shared" si="41"/>
        <v>0</v>
      </c>
      <c r="CO46" s="66" t="str">
        <f t="shared" si="42"/>
        <v/>
      </c>
      <c r="CP46" s="65" t="str">
        <f t="shared" si="43"/>
        <v/>
      </c>
      <c r="CQ46" s="65" t="str">
        <f t="shared" si="44"/>
        <v/>
      </c>
      <c r="CR46" s="65" t="str">
        <f t="shared" si="45"/>
        <v/>
      </c>
      <c r="CS46" s="616" t="str">
        <f>IF('School Profile'!$D$20="NO","",IF('Marks Entry'!AQ46="","",IF('Marks Entry'!AQ46=1,'School Profile'!$I$29,IF('Marks Entry'!AQ46=2,'School Profile'!$I$30,IF('Marks Entry'!AQ46=3,'School Profile'!$I$31,IF('Marks Entry'!AQ46=4,'School Profile'!$I$32,IF('Marks Entry'!AQ46=5,'School Profile'!$I$33,IF('Marks Entry'!AQ46=6,'School Profile'!$I$34,IF('Marks Entry'!AQ46=7,'School Profile'!$I$35,IF('Marks Entry'!AQ46=8,'School Profile'!$I$36,IF('Marks Entry'!AQ46=9,'School Profile'!$I$37,IF('Marks Entry'!AQ46=10,'School Profile'!$I$38,IF('Marks Entry'!AQ46=11,'School Profile'!$I$39,"")))))))))))))</f>
        <v/>
      </c>
      <c r="CT46" s="68" t="str">
        <f>IF('School Profile'!$D$20="NO","",IF('Marks Entry'!AR46="","",'Marks Entry'!AR46))</f>
        <v/>
      </c>
      <c r="CU46" s="68" t="str">
        <f>IF('School Profile'!$D$20="NO","",IF('Marks Entry'!AS46="","",'Marks Entry'!AS46))</f>
        <v/>
      </c>
      <c r="CV46" s="68" t="str">
        <f>IF('School Profile'!$D$20="NO","",IF('Marks Entry'!AT46="","",'Marks Entry'!AT46))</f>
        <v/>
      </c>
      <c r="CW46" s="514" t="str">
        <f>IF('School Profile'!$D$20="NO","",IF(AND(CT46="",CU46="",CV46=""),"",SUM(CT46:CV46)))</f>
        <v/>
      </c>
      <c r="CX46" s="68" t="str">
        <f>IF('School Profile'!$D$20="NO","",IF('Marks Entry'!AU46="","",'Marks Entry'!AU46))</f>
        <v/>
      </c>
      <c r="CY46" s="68" t="str">
        <f>IF('School Profile'!$D$20="NO","",IF('Marks Entry'!AV46="","",'Marks Entry'!AV46))</f>
        <v/>
      </c>
      <c r="CZ46" s="515" t="str">
        <f>IF('School Profile'!$D$20="NO","",IF(AND(CX46="",CY46=""),"",SUM(CX46,CY46)))</f>
        <v/>
      </c>
      <c r="DA46" s="69" t="str">
        <f>IF('School Profile'!$D$20="NO","",IF(AND(CW46="",CZ46=""),"",SUM(CW46+CZ46)))</f>
        <v/>
      </c>
      <c r="DB46" s="68" t="str">
        <f>IF('School Profile'!$D$20="NO","",IF('Marks Entry'!AW46="","",'Marks Entry'!AW46))</f>
        <v/>
      </c>
      <c r="DC46" s="68" t="str">
        <f>IF('School Profile'!$D$20="NO","",IF('Marks Entry'!AX46="","",'Marks Entry'!AX46))</f>
        <v/>
      </c>
      <c r="DD46" s="515" t="str">
        <f>IF('School Profile'!$D$20="NO","",IF(AND(DB46="",DC46=""),"",SUM(DB46,DC46)))</f>
        <v/>
      </c>
      <c r="DE46" s="96" t="str">
        <f>IF('School Profile'!$D$20="NO","",IF(AND(DA46="",DD46=""),"",SUM(DA46,DD46)))</f>
        <v/>
      </c>
      <c r="DF46" s="532">
        <f t="shared" si="46"/>
        <v>0</v>
      </c>
      <c r="DG46" s="65">
        <f t="shared" si="47"/>
        <v>0</v>
      </c>
      <c r="DH46" s="66" t="str">
        <f t="shared" si="48"/>
        <v/>
      </c>
      <c r="DI46" s="65" t="str">
        <f t="shared" si="49"/>
        <v/>
      </c>
      <c r="DJ46" s="65" t="str">
        <f t="shared" si="50"/>
        <v/>
      </c>
      <c r="DK46" s="65" t="str">
        <f t="shared" si="51"/>
        <v/>
      </c>
      <c r="DL46" s="97" t="str">
        <f t="shared" si="94"/>
        <v/>
      </c>
      <c r="DM46" s="97" t="str">
        <f t="shared" si="95"/>
        <v/>
      </c>
      <c r="DN46" s="97" t="str">
        <f t="shared" si="96"/>
        <v/>
      </c>
      <c r="DO46" s="97" t="str">
        <f t="shared" si="97"/>
        <v/>
      </c>
      <c r="DP46" s="97" t="str">
        <f t="shared" si="98"/>
        <v/>
      </c>
      <c r="DQ46" s="97" t="str">
        <f t="shared" si="99"/>
        <v/>
      </c>
      <c r="DR46" s="97" t="str">
        <f t="shared" si="100"/>
        <v/>
      </c>
      <c r="DS46" s="98">
        <f t="shared" si="101"/>
        <v>0</v>
      </c>
      <c r="DT46" s="98">
        <f t="shared" si="102"/>
        <v>0</v>
      </c>
      <c r="DU46" s="98">
        <f t="shared" si="103"/>
        <v>0</v>
      </c>
      <c r="DV46" s="98">
        <f t="shared" si="104"/>
        <v>0</v>
      </c>
      <c r="DW46" s="98">
        <f t="shared" si="105"/>
        <v>0</v>
      </c>
      <c r="DX46" s="98" t="str">
        <f t="shared" si="106"/>
        <v/>
      </c>
      <c r="DY46" s="99" t="str">
        <f t="shared" si="107"/>
        <v/>
      </c>
      <c r="DZ46" s="74" t="str">
        <f>IF('Marks Entry'!AY46="","",'Marks Entry'!AY46)</f>
        <v/>
      </c>
      <c r="EA46" s="74" t="str">
        <f>IF('Marks Entry'!AZ46="","",'Marks Entry'!AZ46)</f>
        <v/>
      </c>
      <c r="EB46" s="74" t="str">
        <f>IF('Marks Entry'!BA46="","",'Marks Entry'!BA46)</f>
        <v/>
      </c>
      <c r="EC46" s="527" t="str">
        <f t="shared" si="52"/>
        <v/>
      </c>
      <c r="ED46" s="74" t="str">
        <f>IF('Marks Entry'!BB46="","",'Marks Entry'!BB46)</f>
        <v/>
      </c>
      <c r="EE46" s="528" t="str">
        <f t="shared" si="53"/>
        <v/>
      </c>
      <c r="EF46" s="74" t="str">
        <f>IF('Marks Entry'!BC46="","",'Marks Entry'!BC46)</f>
        <v/>
      </c>
      <c r="EG46" s="530" t="str">
        <f t="shared" si="54"/>
        <v/>
      </c>
      <c r="EH46" s="368" t="str">
        <f t="shared" si="108"/>
        <v/>
      </c>
      <c r="EI46" s="65">
        <f t="shared" si="109"/>
        <v>0</v>
      </c>
      <c r="EJ46" s="65">
        <f t="shared" si="110"/>
        <v>0</v>
      </c>
      <c r="EK46" s="66" t="str">
        <f t="shared" si="111"/>
        <v/>
      </c>
      <c r="EL46" s="74" t="str">
        <f>IF('Marks Entry'!BD46="","",'Marks Entry'!BD46)</f>
        <v/>
      </c>
      <c r="EM46" s="74" t="str">
        <f>IF('Marks Entry'!BE46="","",'Marks Entry'!BE46)</f>
        <v/>
      </c>
      <c r="EN46" s="74" t="str">
        <f>IF('Marks Entry'!BF46="","",'Marks Entry'!BF46)</f>
        <v/>
      </c>
      <c r="EO46" s="527" t="str">
        <f t="shared" si="55"/>
        <v/>
      </c>
      <c r="EP46" s="74" t="str">
        <f>IF('Marks Entry'!BG46="","",'Marks Entry'!BG46)</f>
        <v/>
      </c>
      <c r="EQ46" s="74" t="str">
        <f>IF('Marks Entry'!BH46="","",'Marks Entry'!BH46)</f>
        <v/>
      </c>
      <c r="ER46" s="528" t="str">
        <f t="shared" si="56"/>
        <v/>
      </c>
      <c r="ES46" s="529" t="str">
        <f t="shared" si="57"/>
        <v/>
      </c>
      <c r="ET46" s="74" t="str">
        <f>IF('Marks Entry'!BI46="","",'Marks Entry'!BI46)</f>
        <v/>
      </c>
      <c r="EU46" s="74" t="str">
        <f>IF('Marks Entry'!BJ46="","",'Marks Entry'!BJ46)</f>
        <v/>
      </c>
      <c r="EV46" s="528" t="str">
        <f t="shared" si="58"/>
        <v/>
      </c>
      <c r="EW46" s="530" t="str">
        <f t="shared" si="59"/>
        <v/>
      </c>
      <c r="EX46" s="368" t="str">
        <f t="shared" si="112"/>
        <v/>
      </c>
      <c r="EY46" s="65">
        <f t="shared" si="113"/>
        <v>0</v>
      </c>
      <c r="EZ46" s="65">
        <f t="shared" si="114"/>
        <v>0</v>
      </c>
      <c r="FA46" s="66" t="str">
        <f t="shared" si="115"/>
        <v/>
      </c>
      <c r="FB46" s="74" t="str">
        <f>IF('Marks Entry'!BK46="","",'Marks Entry'!BK46)</f>
        <v/>
      </c>
      <c r="FC46" s="74" t="str">
        <f>IF('Marks Entry'!BL46="","",'Marks Entry'!BL46)</f>
        <v/>
      </c>
      <c r="FD46" s="74" t="str">
        <f>IF('Marks Entry'!BM46="","",'Marks Entry'!BM46)</f>
        <v/>
      </c>
      <c r="FE46" s="74" t="str">
        <f>IF('Marks Entry'!BN46="","",'Marks Entry'!BN46)</f>
        <v/>
      </c>
      <c r="FF46" s="74" t="str">
        <f>IF('Marks Entry'!BO46="","",'Marks Entry'!BO46)</f>
        <v/>
      </c>
      <c r="FG46" s="74" t="str">
        <f>IF('Marks Entry'!BP46="","",'Marks Entry'!BP46)</f>
        <v/>
      </c>
      <c r="FH46" s="527" t="str">
        <f t="shared" si="60"/>
        <v/>
      </c>
      <c r="FI46" s="74" t="str">
        <f>IF('Marks Entry'!BQ46="","",'Marks Entry'!BQ46)</f>
        <v/>
      </c>
      <c r="FJ46" s="74" t="str">
        <f>IF('Marks Entry'!BR46="","",'Marks Entry'!BR46)</f>
        <v/>
      </c>
      <c r="FK46" s="528" t="str">
        <f t="shared" si="61"/>
        <v/>
      </c>
      <c r="FL46" s="529" t="str">
        <f t="shared" si="62"/>
        <v/>
      </c>
      <c r="FM46" s="74" t="str">
        <f>IF('Marks Entry'!BS46="","",'Marks Entry'!BS46)</f>
        <v/>
      </c>
      <c r="FN46" s="74" t="str">
        <f>IF('Marks Entry'!BT46="","",'Marks Entry'!BT46)</f>
        <v/>
      </c>
      <c r="FO46" s="528" t="str">
        <f t="shared" si="63"/>
        <v/>
      </c>
      <c r="FP46" s="530" t="str">
        <f t="shared" si="64"/>
        <v/>
      </c>
      <c r="FQ46" s="368" t="str">
        <f t="shared" si="116"/>
        <v/>
      </c>
      <c r="FR46" s="65">
        <f t="shared" si="117"/>
        <v>0</v>
      </c>
      <c r="FS46" s="65">
        <f t="shared" si="118"/>
        <v>0</v>
      </c>
      <c r="FT46" s="66" t="str">
        <f t="shared" si="119"/>
        <v/>
      </c>
      <c r="FU46" s="74" t="str">
        <f>IF('Marks Entry'!BU46="","",'Marks Entry'!BU46)</f>
        <v/>
      </c>
      <c r="FV46" s="74" t="str">
        <f>IF('Marks Entry'!BV46="","",'Marks Entry'!BV46)</f>
        <v/>
      </c>
      <c r="FW46" s="74" t="str">
        <f>IF('Marks Entry'!BW46="","",'Marks Entry'!BW46)</f>
        <v/>
      </c>
      <c r="FX46" s="75" t="str">
        <f t="shared" si="65"/>
        <v/>
      </c>
      <c r="FY46" s="368" t="str">
        <f t="shared" si="120"/>
        <v/>
      </c>
      <c r="FZ46" s="65">
        <f t="shared" si="121"/>
        <v>0</v>
      </c>
      <c r="GA46" s="66">
        <f t="shared" si="122"/>
        <v>0</v>
      </c>
      <c r="GB46" s="66" t="str">
        <f t="shared" si="123"/>
        <v/>
      </c>
      <c r="GC46" s="74" t="str">
        <f>IF('Marks Entry'!BX46="","",'Marks Entry'!BX46)</f>
        <v/>
      </c>
      <c r="GD46" s="74" t="str">
        <f>IF('Marks Entry'!BY46="","",'Marks Entry'!BY46)</f>
        <v/>
      </c>
      <c r="GE46" s="74" t="str">
        <f>IF('Marks Entry'!BZ46="","",'Marks Entry'!BZ46)</f>
        <v/>
      </c>
      <c r="GF46" s="75" t="str">
        <f t="shared" si="124"/>
        <v/>
      </c>
      <c r="GG46" s="368" t="str">
        <f t="shared" si="125"/>
        <v/>
      </c>
      <c r="GH46" s="65">
        <f t="shared" si="126"/>
        <v>0</v>
      </c>
      <c r="GI46" s="66">
        <f t="shared" si="127"/>
        <v>0</v>
      </c>
      <c r="GJ46" s="66" t="str">
        <f t="shared" si="128"/>
        <v/>
      </c>
      <c r="GK46" s="100" t="str">
        <f>IF(AND(F46="",B46=""),"",IF('Student DATA Entry'!M43="","",'Student DATA Entry'!M43))</f>
        <v/>
      </c>
      <c r="GL46" s="101" t="str">
        <f>IF(AND(B46="",F46=""),"",IF('Student DATA Entry'!N43="","",'Student DATA Entry'!N43))</f>
        <v/>
      </c>
      <c r="GM46" s="581" t="str">
        <f t="shared" si="129"/>
        <v/>
      </c>
      <c r="GN46" s="94" t="str">
        <f t="shared" si="130"/>
        <v/>
      </c>
      <c r="GO46" s="94" t="str">
        <f t="shared" si="131"/>
        <v/>
      </c>
      <c r="GP46" s="102" t="str">
        <f t="shared" si="162"/>
        <v/>
      </c>
      <c r="GQ46" s="94" t="str">
        <f t="shared" si="132"/>
        <v/>
      </c>
      <c r="GR46" s="103" t="str">
        <f t="shared" si="133"/>
        <v/>
      </c>
      <c r="GS46" s="102" t="str">
        <f t="shared" si="163"/>
        <v/>
      </c>
      <c r="GT46" s="104" t="str">
        <f t="shared" si="134"/>
        <v/>
      </c>
      <c r="GU46" s="94" t="str">
        <f>IF('Marks Entry'!V46=1,GT46,"")</f>
        <v/>
      </c>
      <c r="GV46" s="94" t="str">
        <f>IF('Marks Entry'!V46=2,GT46,"")</f>
        <v/>
      </c>
      <c r="GW46" s="94" t="str">
        <f>IF('Marks Entry'!V46=3,GT46,"")</f>
        <v/>
      </c>
      <c r="GX46" s="94" t="str">
        <f>IF('Marks Entry'!V46=4,GT46,"")</f>
        <v/>
      </c>
      <c r="GY46" s="94" t="str">
        <f>IF('Marks Entry'!V46=5,GT46,"")</f>
        <v/>
      </c>
      <c r="GZ46" s="94" t="str">
        <f t="shared" si="135"/>
        <v/>
      </c>
      <c r="HA46" s="105" t="str">
        <f t="shared" si="164"/>
        <v/>
      </c>
      <c r="HB46" s="94" t="str">
        <f t="shared" si="136"/>
        <v/>
      </c>
      <c r="HC46" s="94" t="str">
        <f t="shared" si="137"/>
        <v/>
      </c>
      <c r="HD46" s="105" t="str">
        <f t="shared" si="165"/>
        <v/>
      </c>
      <c r="HE46" s="94" t="str">
        <f t="shared" si="138"/>
        <v/>
      </c>
      <c r="HF46" s="94" t="str">
        <f t="shared" si="139"/>
        <v/>
      </c>
      <c r="HG46" s="105" t="str">
        <f t="shared" si="166"/>
        <v/>
      </c>
      <c r="HH46" s="94" t="str">
        <f t="shared" si="140"/>
        <v/>
      </c>
      <c r="HI46" s="94" t="str">
        <f t="shared" si="141"/>
        <v/>
      </c>
      <c r="HJ46" s="105" t="str">
        <f t="shared" si="167"/>
        <v/>
      </c>
      <c r="HK46" s="94" t="str">
        <f t="shared" si="142"/>
        <v/>
      </c>
      <c r="HL46" s="94" t="str">
        <f t="shared" si="143"/>
        <v/>
      </c>
      <c r="HM46" s="105" t="str">
        <f t="shared" si="168"/>
        <v/>
      </c>
      <c r="HN46" s="367" t="str">
        <f t="shared" si="144"/>
        <v xml:space="preserve">      </v>
      </c>
      <c r="HO46" s="418" t="str">
        <f t="shared" si="169"/>
        <v xml:space="preserve">      </v>
      </c>
      <c r="HP46" s="367" t="str">
        <f t="shared" si="146"/>
        <v xml:space="preserve">      </v>
      </c>
      <c r="HQ46" s="107" t="str">
        <f t="shared" si="147"/>
        <v xml:space="preserve">      </v>
      </c>
      <c r="HR46" s="366" t="str">
        <f t="shared" si="148"/>
        <v xml:space="preserve">      </v>
      </c>
      <c r="HS46" s="544" t="str">
        <f t="shared" si="170"/>
        <v/>
      </c>
      <c r="HT46" s="542" t="str">
        <f t="shared" si="149"/>
        <v/>
      </c>
      <c r="HU46" s="541" t="str">
        <f t="shared" si="160"/>
        <v/>
      </c>
      <c r="HV46" s="540" t="str">
        <f t="shared" si="150"/>
        <v/>
      </c>
      <c r="HW46" s="537" t="str">
        <f t="shared" si="151"/>
        <v/>
      </c>
      <c r="HX46" s="539" t="str">
        <f t="shared" si="152"/>
        <v/>
      </c>
      <c r="HY46" s="553" t="str">
        <f>IFERROR(IF(OR(HS46="SUPPLEMENTARY",HS46="RE-EXAM"),'Supp. Result Entry'!AQ44,""),"")</f>
        <v/>
      </c>
      <c r="HZ46" s="538" t="str">
        <f t="shared" si="153"/>
        <v/>
      </c>
      <c r="IA46" s="415" t="str">
        <f t="shared" si="154"/>
        <v/>
      </c>
      <c r="IB46" s="415" t="str">
        <f>IF(AND(HZ46="",IA46=""),"",IF(OR(HS46="SUPPLEMENTARY",HS46="RE-EXAM"),'Supp. Result Entry'!AQ44,HS46))</f>
        <v/>
      </c>
      <c r="IC46" s="87"/>
      <c r="ID46" s="111"/>
      <c r="IS46" s="109" t="str">
        <f>IF('Supp. Result Entry'!T44="","",'Supp. Result Entry'!$T$4)</f>
        <v/>
      </c>
      <c r="IT46" s="110" t="str">
        <f>IF('Supp. Result Entry'!W44="","",'Supp. Result Entry'!$W$4)</f>
        <v/>
      </c>
      <c r="IU46" s="110" t="str">
        <f>IF('Supp. Result Entry'!Z44="","",'Supp. Result Entry'!$Z$4)</f>
        <v/>
      </c>
      <c r="IV46" s="110" t="str">
        <f>IF('Supp. Result Entry'!AC44="","",'Supp. Result Entry'!$AC$4)</f>
        <v/>
      </c>
      <c r="IW46" s="110" t="str">
        <f>IF('Supp. Result Entry'!AF44="","",'Supp. Result Entry'!$AF$4)</f>
        <v/>
      </c>
      <c r="IX46" s="110" t="str">
        <f>IF('Supp. Result Entry'!AI44="","",'Supp. Result Entry'!$AI$4)</f>
        <v/>
      </c>
      <c r="IY46" s="110" t="str">
        <f>IF('Supp. Result Entry'!AI44="","",'Supp. Result Entry'!$AL$4)</f>
        <v/>
      </c>
      <c r="IZ46" s="110" t="str">
        <f>IF('Supp. Result Entry'!U44="","",'Supp. Result Entry'!U44)</f>
        <v/>
      </c>
      <c r="JA46" s="110" t="str">
        <f>IF('Supp. Result Entry'!X44="","",'Supp. Result Entry'!X44)</f>
        <v/>
      </c>
      <c r="JB46" s="110" t="str">
        <f>IF('Supp. Result Entry'!AA44="","",'Supp. Result Entry'!AA44)</f>
        <v/>
      </c>
      <c r="JC46" s="110" t="str">
        <f>IF('Supp. Result Entry'!AD44="","",'Supp. Result Entry'!AD44)</f>
        <v/>
      </c>
      <c r="JD46" s="110" t="str">
        <f>IF('Supp. Result Entry'!AG44="","",'Supp. Result Entry'!AG44)</f>
        <v/>
      </c>
      <c r="JE46" s="110" t="str">
        <f>IF('Supp. Result Entry'!AJ44="","",'Supp. Result Entry'!AJ44)</f>
        <v/>
      </c>
      <c r="JF46" s="110" t="str">
        <f>IF('Supp. Result Entry'!AM44="","",'Supp. Result Entry'!AM44)</f>
        <v/>
      </c>
      <c r="JG46" s="110" t="str">
        <f>IF('Supp. Result Entry'!V44="","",'Supp. Result Entry'!V44)</f>
        <v/>
      </c>
      <c r="JH46" s="110" t="str">
        <f>IF('Supp. Result Entry'!Y44="","",'Supp. Result Entry'!Y44)</f>
        <v/>
      </c>
      <c r="JI46" s="110" t="str">
        <f>IF('Supp. Result Entry'!AB44="","",'Supp. Result Entry'!AB44)</f>
        <v/>
      </c>
      <c r="JJ46" s="110" t="str">
        <f>IF('Supp. Result Entry'!AE44="","",'Supp. Result Entry'!AE44)</f>
        <v/>
      </c>
      <c r="JK46" s="110" t="str">
        <f>IF('Supp. Result Entry'!AH44="","",'Supp. Result Entry'!AH44)</f>
        <v/>
      </c>
      <c r="JL46" s="110" t="str">
        <f>IF('Supp. Result Entry'!AK44="","",'Supp. Result Entry'!AK44)</f>
        <v/>
      </c>
      <c r="JM46" s="110" t="str">
        <f>IF('Supp. Result Entry'!AN44="","",'Supp. Result Entry'!AN44)</f>
        <v/>
      </c>
      <c r="JN46" s="110">
        <f>COUNTIF('Supp. Result Entry'!K44:Q44,"S")</f>
        <v>0</v>
      </c>
      <c r="JO46" s="110">
        <f t="shared" si="155"/>
        <v>0</v>
      </c>
      <c r="JP46" s="110">
        <f t="shared" si="156"/>
        <v>0</v>
      </c>
      <c r="JQ46" s="110" t="str">
        <f t="shared" si="75"/>
        <v/>
      </c>
      <c r="JR46" s="110" t="str">
        <f t="shared" si="76"/>
        <v/>
      </c>
      <c r="JS46" s="110" t="str">
        <f t="shared" si="77"/>
        <v/>
      </c>
      <c r="JT46" s="110" t="str">
        <f t="shared" si="78"/>
        <v/>
      </c>
      <c r="JU46" s="110" t="str">
        <f t="shared" si="79"/>
        <v/>
      </c>
      <c r="JV46" s="110" t="str">
        <f t="shared" si="80"/>
        <v/>
      </c>
      <c r="JW46" s="110" t="str">
        <f t="shared" si="81"/>
        <v/>
      </c>
      <c r="JX46" s="110" t="str">
        <f t="shared" si="157"/>
        <v/>
      </c>
      <c r="JY46" s="110" t="str">
        <f t="shared" si="158"/>
        <v/>
      </c>
      <c r="JZ46" s="110" t="str">
        <f t="shared" si="82"/>
        <v/>
      </c>
      <c r="KA46" s="108" t="str">
        <f t="shared" si="159"/>
        <v/>
      </c>
    </row>
    <row r="47" spans="1:287" s="108" customFormat="1" ht="21.95" customHeight="1">
      <c r="A47" s="89">
        <v>41</v>
      </c>
      <c r="B47" s="90" t="str">
        <f>IF('Marks Entry'!B47="","",'Marks Entry'!B47)</f>
        <v/>
      </c>
      <c r="C47" s="94" t="str">
        <f>IF('Marks Entry'!D47="","",'Marks Entry'!D47)</f>
        <v/>
      </c>
      <c r="D47" s="91" t="str">
        <f>IF('Marks Entry'!E47="","",'Marks Entry'!E47)</f>
        <v/>
      </c>
      <c r="E47" s="92" t="str">
        <f>IF('Marks Entry'!F47="","",'Marks Entry'!F47)</f>
        <v/>
      </c>
      <c r="F47" s="93" t="str">
        <f>IF('Marks Entry'!G47="","",'Marks Entry'!G47)</f>
        <v/>
      </c>
      <c r="G47" s="93" t="str">
        <f>IF('Marks Entry'!H47="","",'Marks Entry'!H47)</f>
        <v/>
      </c>
      <c r="H47" s="93" t="str">
        <f>IF('Marks Entry'!I47="","",'Marks Entry'!I47)</f>
        <v/>
      </c>
      <c r="I47" s="94" t="str">
        <f>IF('Marks Entry'!J47="","",'Marks Entry'!J47)</f>
        <v/>
      </c>
      <c r="J47" s="95" t="str">
        <f>IF('Marks Entry'!K47="","",'Marks Entry'!K47)</f>
        <v/>
      </c>
      <c r="K47" s="68" t="str">
        <f>IF('Marks Entry'!L47="","",'Marks Entry'!L47)</f>
        <v/>
      </c>
      <c r="L47" s="68" t="str">
        <f>IF('Marks Entry'!M47="","",'Marks Entry'!M47)</f>
        <v/>
      </c>
      <c r="M47" s="68" t="str">
        <f>IF('Marks Entry'!N47="","",'Marks Entry'!N47)</f>
        <v/>
      </c>
      <c r="N47" s="514" t="str">
        <f t="shared" si="83"/>
        <v/>
      </c>
      <c r="O47" s="68" t="str">
        <f>IF('Marks Entry'!O47="","",'Marks Entry'!O47)</f>
        <v/>
      </c>
      <c r="P47" s="515" t="str">
        <f t="shared" si="84"/>
        <v/>
      </c>
      <c r="Q47" s="68" t="str">
        <f>IF('Marks Entry'!P47="","",'Marks Entry'!P47)</f>
        <v/>
      </c>
      <c r="R47" s="96" t="str">
        <f t="shared" si="85"/>
        <v/>
      </c>
      <c r="S47" s="65">
        <f t="shared" si="86"/>
        <v>0</v>
      </c>
      <c r="T47" s="65">
        <f t="shared" si="87"/>
        <v>0</v>
      </c>
      <c r="U47" s="66" t="str">
        <f t="shared" si="88"/>
        <v/>
      </c>
      <c r="V47" s="65" t="str">
        <f t="shared" si="89"/>
        <v/>
      </c>
      <c r="W47" s="65" t="str">
        <f t="shared" si="90"/>
        <v/>
      </c>
      <c r="X47" s="65" t="str">
        <f t="shared" si="91"/>
        <v/>
      </c>
      <c r="Y47" s="68" t="str">
        <f>IF('Marks Entry'!Q47="","",'Marks Entry'!Q47)</f>
        <v/>
      </c>
      <c r="Z47" s="68" t="str">
        <f>IF('Marks Entry'!R47="","",'Marks Entry'!R47)</f>
        <v/>
      </c>
      <c r="AA47" s="68" t="str">
        <f>IF('Marks Entry'!S47="","",'Marks Entry'!S47)</f>
        <v/>
      </c>
      <c r="AB47" s="514" t="str">
        <f t="shared" si="2"/>
        <v/>
      </c>
      <c r="AC47" s="68" t="str">
        <f>IF('Marks Entry'!T47="","",'Marks Entry'!T47)</f>
        <v/>
      </c>
      <c r="AD47" s="515" t="str">
        <f t="shared" si="3"/>
        <v/>
      </c>
      <c r="AE47" s="68" t="str">
        <f>IF('Marks Entry'!U47="","",'Marks Entry'!U47)</f>
        <v/>
      </c>
      <c r="AF47" s="96" t="str">
        <f t="shared" si="4"/>
        <v/>
      </c>
      <c r="AG47" s="65">
        <f t="shared" si="5"/>
        <v>0</v>
      </c>
      <c r="AH47" s="65">
        <f t="shared" si="6"/>
        <v>0</v>
      </c>
      <c r="AI47" s="66" t="str">
        <f t="shared" si="7"/>
        <v/>
      </c>
      <c r="AJ47" s="65" t="str">
        <f t="shared" si="8"/>
        <v/>
      </c>
      <c r="AK47" s="65" t="str">
        <f t="shared" si="9"/>
        <v/>
      </c>
      <c r="AL47" s="65" t="str">
        <f t="shared" si="10"/>
        <v/>
      </c>
      <c r="AM47" s="524" t="str">
        <f>IF('Marks Entry'!V47="","",IF('Marks Entry'!V47=1,'School Profile'!$I$9,IF('Marks Entry'!V47=2,'School Profile'!$I$10,IF('Marks Entry'!V47=3,'School Profile'!$I$11,IF('Marks Entry'!V47=4,'School Profile'!$I$12,IF('Marks Entry'!V47=5,'School Profile'!$I$13,IF('Marks Entry'!V47=6,'School Profile'!$I$14,"")))))))</f>
        <v/>
      </c>
      <c r="AN47" s="68" t="str">
        <f>IF('Marks Entry'!W47="","",'Marks Entry'!W47)</f>
        <v/>
      </c>
      <c r="AO47" s="68" t="str">
        <f>IF('Marks Entry'!X47="","",'Marks Entry'!X47)</f>
        <v/>
      </c>
      <c r="AP47" s="68" t="str">
        <f>IF('Marks Entry'!Y47="","",'Marks Entry'!Y47)</f>
        <v/>
      </c>
      <c r="AQ47" s="514" t="str">
        <f t="shared" si="11"/>
        <v/>
      </c>
      <c r="AR47" s="68" t="str">
        <f>IF('Marks Entry'!Z47="","",'Marks Entry'!Z47)</f>
        <v/>
      </c>
      <c r="AS47" s="515" t="str">
        <f t="shared" si="12"/>
        <v/>
      </c>
      <c r="AT47" s="68" t="str">
        <f>IF('Marks Entry'!AA47="","",'Marks Entry'!AA47)</f>
        <v/>
      </c>
      <c r="AU47" s="96" t="str">
        <f t="shared" si="13"/>
        <v/>
      </c>
      <c r="AV47" s="65">
        <f t="shared" si="14"/>
        <v>0</v>
      </c>
      <c r="AW47" s="65">
        <f t="shared" si="15"/>
        <v>0</v>
      </c>
      <c r="AX47" s="66" t="str">
        <f t="shared" si="16"/>
        <v/>
      </c>
      <c r="AY47" s="65" t="str">
        <f t="shared" si="17"/>
        <v/>
      </c>
      <c r="AZ47" s="65" t="str">
        <f t="shared" si="18"/>
        <v/>
      </c>
      <c r="BA47" s="65" t="str">
        <f t="shared" si="19"/>
        <v/>
      </c>
      <c r="BB47" s="68" t="str">
        <f>IF('Marks Entry'!AB47="","",'Marks Entry'!AB47)</f>
        <v/>
      </c>
      <c r="BC47" s="68" t="str">
        <f>IF('Marks Entry'!AC47="","",'Marks Entry'!AC47)</f>
        <v/>
      </c>
      <c r="BD47" s="68" t="str">
        <f>IF('Marks Entry'!AD47="","",'Marks Entry'!AD47)</f>
        <v/>
      </c>
      <c r="BE47" s="514" t="str">
        <f t="shared" si="20"/>
        <v/>
      </c>
      <c r="BF47" s="68" t="str">
        <f>IF('Marks Entry'!AE47="","",'Marks Entry'!AE47)</f>
        <v/>
      </c>
      <c r="BG47" s="515" t="str">
        <f t="shared" si="21"/>
        <v/>
      </c>
      <c r="BH47" s="68" t="str">
        <f>IF('Marks Entry'!AF47="","",'Marks Entry'!AF47)</f>
        <v/>
      </c>
      <c r="BI47" s="96" t="str">
        <f t="shared" si="22"/>
        <v/>
      </c>
      <c r="BJ47" s="65">
        <f t="shared" si="23"/>
        <v>0</v>
      </c>
      <c r="BK47" s="65">
        <f t="shared" si="92"/>
        <v>0</v>
      </c>
      <c r="BL47" s="66" t="str">
        <f t="shared" si="24"/>
        <v/>
      </c>
      <c r="BM47" s="65" t="str">
        <f t="shared" si="25"/>
        <v/>
      </c>
      <c r="BN47" s="65" t="str">
        <f t="shared" si="26"/>
        <v/>
      </c>
      <c r="BO47" s="65" t="str">
        <f t="shared" si="27"/>
        <v/>
      </c>
      <c r="BP47" s="68" t="str">
        <f>IF('Marks Entry'!AG47="","",'Marks Entry'!AG47)</f>
        <v/>
      </c>
      <c r="BQ47" s="68" t="str">
        <f>IF('Marks Entry'!AH47="","",'Marks Entry'!AH47)</f>
        <v/>
      </c>
      <c r="BR47" s="68" t="str">
        <f>IF('Marks Entry'!AI47="","",'Marks Entry'!AI47)</f>
        <v/>
      </c>
      <c r="BS47" s="514" t="str">
        <f t="shared" si="28"/>
        <v/>
      </c>
      <c r="BT47" s="68" t="str">
        <f>IF('Marks Entry'!AJ47="","",'Marks Entry'!AJ47)</f>
        <v/>
      </c>
      <c r="BU47" s="515" t="str">
        <f t="shared" si="29"/>
        <v/>
      </c>
      <c r="BV47" s="68" t="str">
        <f>IF('Marks Entry'!AK47="","",'Marks Entry'!AK47)</f>
        <v/>
      </c>
      <c r="BW47" s="96" t="str">
        <f t="shared" si="30"/>
        <v/>
      </c>
      <c r="BX47" s="65">
        <f t="shared" si="31"/>
        <v>0</v>
      </c>
      <c r="BY47" s="65">
        <f t="shared" si="32"/>
        <v>0</v>
      </c>
      <c r="BZ47" s="66" t="str">
        <f t="shared" si="33"/>
        <v/>
      </c>
      <c r="CA47" s="65" t="str">
        <f t="shared" si="34"/>
        <v/>
      </c>
      <c r="CB47" s="65" t="str">
        <f t="shared" si="35"/>
        <v/>
      </c>
      <c r="CC47" s="65" t="str">
        <f t="shared" si="36"/>
        <v/>
      </c>
      <c r="CD47" s="66">
        <f t="shared" si="161"/>
        <v>0</v>
      </c>
      <c r="CE47" s="68" t="str">
        <f>IF('Marks Entry'!AL47="","",'Marks Entry'!AL47)</f>
        <v/>
      </c>
      <c r="CF47" s="68" t="str">
        <f>IF('Marks Entry'!AM47="","",'Marks Entry'!AM47)</f>
        <v/>
      </c>
      <c r="CG47" s="68" t="str">
        <f>IF('Marks Entry'!AN47="","",'Marks Entry'!AN47)</f>
        <v/>
      </c>
      <c r="CH47" s="514" t="str">
        <f t="shared" si="37"/>
        <v/>
      </c>
      <c r="CI47" s="68" t="str">
        <f>IF('Marks Entry'!AO47="","",'Marks Entry'!AO47)</f>
        <v/>
      </c>
      <c r="CJ47" s="515" t="str">
        <f t="shared" si="38"/>
        <v/>
      </c>
      <c r="CK47" s="68" t="str">
        <f>IF('Marks Entry'!AP47="","",'Marks Entry'!AP47)</f>
        <v/>
      </c>
      <c r="CL47" s="96" t="str">
        <f t="shared" si="39"/>
        <v/>
      </c>
      <c r="CM47" s="65">
        <f t="shared" si="40"/>
        <v>0</v>
      </c>
      <c r="CN47" s="65">
        <f t="shared" si="41"/>
        <v>0</v>
      </c>
      <c r="CO47" s="66" t="str">
        <f t="shared" si="42"/>
        <v/>
      </c>
      <c r="CP47" s="65" t="str">
        <f t="shared" si="43"/>
        <v/>
      </c>
      <c r="CQ47" s="65" t="str">
        <f t="shared" si="44"/>
        <v/>
      </c>
      <c r="CR47" s="65" t="str">
        <f t="shared" si="45"/>
        <v/>
      </c>
      <c r="CS47" s="616" t="str">
        <f>IF('School Profile'!$D$20="NO","",IF('Marks Entry'!AQ47="","",IF('Marks Entry'!AQ47=1,'School Profile'!$I$29,IF('Marks Entry'!AQ47=2,'School Profile'!$I$30,IF('Marks Entry'!AQ47=3,'School Profile'!$I$31,IF('Marks Entry'!AQ47=4,'School Profile'!$I$32,IF('Marks Entry'!AQ47=5,'School Profile'!$I$33,IF('Marks Entry'!AQ47=6,'School Profile'!$I$34,IF('Marks Entry'!AQ47=7,'School Profile'!$I$35,IF('Marks Entry'!AQ47=8,'School Profile'!$I$36,IF('Marks Entry'!AQ47=9,'School Profile'!$I$37,IF('Marks Entry'!AQ47=10,'School Profile'!$I$38,IF('Marks Entry'!AQ47=11,'School Profile'!$I$39,"")))))))))))))</f>
        <v/>
      </c>
      <c r="CT47" s="68" t="str">
        <f>IF('School Profile'!$D$20="NO","",IF('Marks Entry'!AR47="","",'Marks Entry'!AR47))</f>
        <v/>
      </c>
      <c r="CU47" s="68" t="str">
        <f>IF('School Profile'!$D$20="NO","",IF('Marks Entry'!AS47="","",'Marks Entry'!AS47))</f>
        <v/>
      </c>
      <c r="CV47" s="68" t="str">
        <f>IF('School Profile'!$D$20="NO","",IF('Marks Entry'!AT47="","",'Marks Entry'!AT47))</f>
        <v/>
      </c>
      <c r="CW47" s="514" t="str">
        <f>IF('School Profile'!$D$20="NO","",IF(AND(CT47="",CU47="",CV47=""),"",SUM(CT47:CV47)))</f>
        <v/>
      </c>
      <c r="CX47" s="68" t="str">
        <f>IF('School Profile'!$D$20="NO","",IF('Marks Entry'!AU47="","",'Marks Entry'!AU47))</f>
        <v/>
      </c>
      <c r="CY47" s="68" t="str">
        <f>IF('School Profile'!$D$20="NO","",IF('Marks Entry'!AV47="","",'Marks Entry'!AV47))</f>
        <v/>
      </c>
      <c r="CZ47" s="515" t="str">
        <f>IF('School Profile'!$D$20="NO","",IF(AND(CX47="",CY47=""),"",SUM(CX47,CY47)))</f>
        <v/>
      </c>
      <c r="DA47" s="69" t="str">
        <f>IF('School Profile'!$D$20="NO","",IF(AND(CW47="",CZ47=""),"",SUM(CW47+CZ47)))</f>
        <v/>
      </c>
      <c r="DB47" s="68" t="str">
        <f>IF('School Profile'!$D$20="NO","",IF('Marks Entry'!AW47="","",'Marks Entry'!AW47))</f>
        <v/>
      </c>
      <c r="DC47" s="68" t="str">
        <f>IF('School Profile'!$D$20="NO","",IF('Marks Entry'!AX47="","",'Marks Entry'!AX47))</f>
        <v/>
      </c>
      <c r="DD47" s="515" t="str">
        <f>IF('School Profile'!$D$20="NO","",IF(AND(DB47="",DC47=""),"",SUM(DB47,DC47)))</f>
        <v/>
      </c>
      <c r="DE47" s="96" t="str">
        <f>IF('School Profile'!$D$20="NO","",IF(AND(DA47="",DD47=""),"",SUM(DA47,DD47)))</f>
        <v/>
      </c>
      <c r="DF47" s="532">
        <f t="shared" si="46"/>
        <v>0</v>
      </c>
      <c r="DG47" s="65">
        <f t="shared" si="47"/>
        <v>0</v>
      </c>
      <c r="DH47" s="66" t="str">
        <f t="shared" si="48"/>
        <v/>
      </c>
      <c r="DI47" s="65" t="str">
        <f t="shared" si="49"/>
        <v/>
      </c>
      <c r="DJ47" s="65" t="str">
        <f t="shared" si="50"/>
        <v/>
      </c>
      <c r="DK47" s="65" t="str">
        <f t="shared" si="51"/>
        <v/>
      </c>
      <c r="DL47" s="97" t="str">
        <f t="shared" si="94"/>
        <v/>
      </c>
      <c r="DM47" s="97" t="str">
        <f t="shared" si="95"/>
        <v/>
      </c>
      <c r="DN47" s="97" t="str">
        <f t="shared" si="96"/>
        <v/>
      </c>
      <c r="DO47" s="97" t="str">
        <f t="shared" si="97"/>
        <v/>
      </c>
      <c r="DP47" s="97" t="str">
        <f t="shared" si="98"/>
        <v/>
      </c>
      <c r="DQ47" s="97" t="str">
        <f t="shared" si="99"/>
        <v/>
      </c>
      <c r="DR47" s="97" t="str">
        <f t="shared" si="100"/>
        <v/>
      </c>
      <c r="DS47" s="98">
        <f t="shared" si="101"/>
        <v>0</v>
      </c>
      <c r="DT47" s="98">
        <f t="shared" si="102"/>
        <v>0</v>
      </c>
      <c r="DU47" s="98">
        <f t="shared" si="103"/>
        <v>0</v>
      </c>
      <c r="DV47" s="98">
        <f t="shared" si="104"/>
        <v>0</v>
      </c>
      <c r="DW47" s="98">
        <f t="shared" si="105"/>
        <v>0</v>
      </c>
      <c r="DX47" s="98" t="str">
        <f t="shared" si="106"/>
        <v/>
      </c>
      <c r="DY47" s="99" t="str">
        <f t="shared" si="107"/>
        <v/>
      </c>
      <c r="DZ47" s="74" t="str">
        <f>IF('Marks Entry'!AY47="","",'Marks Entry'!AY47)</f>
        <v/>
      </c>
      <c r="EA47" s="74" t="str">
        <f>IF('Marks Entry'!AZ47="","",'Marks Entry'!AZ47)</f>
        <v/>
      </c>
      <c r="EB47" s="74" t="str">
        <f>IF('Marks Entry'!BA47="","",'Marks Entry'!BA47)</f>
        <v/>
      </c>
      <c r="EC47" s="527" t="str">
        <f t="shared" si="52"/>
        <v/>
      </c>
      <c r="ED47" s="74" t="str">
        <f>IF('Marks Entry'!BB47="","",'Marks Entry'!BB47)</f>
        <v/>
      </c>
      <c r="EE47" s="528" t="str">
        <f t="shared" si="53"/>
        <v/>
      </c>
      <c r="EF47" s="74" t="str">
        <f>IF('Marks Entry'!BC47="","",'Marks Entry'!BC47)</f>
        <v/>
      </c>
      <c r="EG47" s="530" t="str">
        <f t="shared" si="54"/>
        <v/>
      </c>
      <c r="EH47" s="368" t="str">
        <f t="shared" si="108"/>
        <v/>
      </c>
      <c r="EI47" s="65">
        <f t="shared" si="109"/>
        <v>0</v>
      </c>
      <c r="EJ47" s="65">
        <f t="shared" si="110"/>
        <v>0</v>
      </c>
      <c r="EK47" s="66" t="str">
        <f t="shared" si="111"/>
        <v/>
      </c>
      <c r="EL47" s="74" t="str">
        <f>IF('Marks Entry'!BD47="","",'Marks Entry'!BD47)</f>
        <v/>
      </c>
      <c r="EM47" s="74" t="str">
        <f>IF('Marks Entry'!BE47="","",'Marks Entry'!BE47)</f>
        <v/>
      </c>
      <c r="EN47" s="74" t="str">
        <f>IF('Marks Entry'!BF47="","",'Marks Entry'!BF47)</f>
        <v/>
      </c>
      <c r="EO47" s="527" t="str">
        <f t="shared" si="55"/>
        <v/>
      </c>
      <c r="EP47" s="74" t="str">
        <f>IF('Marks Entry'!BG47="","",'Marks Entry'!BG47)</f>
        <v/>
      </c>
      <c r="EQ47" s="74" t="str">
        <f>IF('Marks Entry'!BH47="","",'Marks Entry'!BH47)</f>
        <v/>
      </c>
      <c r="ER47" s="528" t="str">
        <f t="shared" si="56"/>
        <v/>
      </c>
      <c r="ES47" s="529" t="str">
        <f t="shared" si="57"/>
        <v/>
      </c>
      <c r="ET47" s="74" t="str">
        <f>IF('Marks Entry'!BI47="","",'Marks Entry'!BI47)</f>
        <v/>
      </c>
      <c r="EU47" s="74" t="str">
        <f>IF('Marks Entry'!BJ47="","",'Marks Entry'!BJ47)</f>
        <v/>
      </c>
      <c r="EV47" s="528" t="str">
        <f t="shared" si="58"/>
        <v/>
      </c>
      <c r="EW47" s="530" t="str">
        <f t="shared" si="59"/>
        <v/>
      </c>
      <c r="EX47" s="368" t="str">
        <f t="shared" si="112"/>
        <v/>
      </c>
      <c r="EY47" s="65">
        <f t="shared" si="113"/>
        <v>0</v>
      </c>
      <c r="EZ47" s="65">
        <f t="shared" si="114"/>
        <v>0</v>
      </c>
      <c r="FA47" s="66" t="str">
        <f t="shared" si="115"/>
        <v/>
      </c>
      <c r="FB47" s="74" t="str">
        <f>IF('Marks Entry'!BK47="","",'Marks Entry'!BK47)</f>
        <v/>
      </c>
      <c r="FC47" s="74" t="str">
        <f>IF('Marks Entry'!BL47="","",'Marks Entry'!BL47)</f>
        <v/>
      </c>
      <c r="FD47" s="74" t="str">
        <f>IF('Marks Entry'!BM47="","",'Marks Entry'!BM47)</f>
        <v/>
      </c>
      <c r="FE47" s="74" t="str">
        <f>IF('Marks Entry'!BN47="","",'Marks Entry'!BN47)</f>
        <v/>
      </c>
      <c r="FF47" s="74" t="str">
        <f>IF('Marks Entry'!BO47="","",'Marks Entry'!BO47)</f>
        <v/>
      </c>
      <c r="FG47" s="74" t="str">
        <f>IF('Marks Entry'!BP47="","",'Marks Entry'!BP47)</f>
        <v/>
      </c>
      <c r="FH47" s="527" t="str">
        <f t="shared" si="60"/>
        <v/>
      </c>
      <c r="FI47" s="74" t="str">
        <f>IF('Marks Entry'!BQ47="","",'Marks Entry'!BQ47)</f>
        <v/>
      </c>
      <c r="FJ47" s="74" t="str">
        <f>IF('Marks Entry'!BR47="","",'Marks Entry'!BR47)</f>
        <v/>
      </c>
      <c r="FK47" s="528" t="str">
        <f t="shared" si="61"/>
        <v/>
      </c>
      <c r="FL47" s="529" t="str">
        <f t="shared" si="62"/>
        <v/>
      </c>
      <c r="FM47" s="74" t="str">
        <f>IF('Marks Entry'!BS47="","",'Marks Entry'!BS47)</f>
        <v/>
      </c>
      <c r="FN47" s="74" t="str">
        <f>IF('Marks Entry'!BT47="","",'Marks Entry'!BT47)</f>
        <v/>
      </c>
      <c r="FO47" s="528" t="str">
        <f t="shared" si="63"/>
        <v/>
      </c>
      <c r="FP47" s="530" t="str">
        <f t="shared" si="64"/>
        <v/>
      </c>
      <c r="FQ47" s="368" t="str">
        <f t="shared" si="116"/>
        <v/>
      </c>
      <c r="FR47" s="65">
        <f t="shared" si="117"/>
        <v>0</v>
      </c>
      <c r="FS47" s="65">
        <f t="shared" si="118"/>
        <v>0</v>
      </c>
      <c r="FT47" s="66" t="str">
        <f t="shared" si="119"/>
        <v/>
      </c>
      <c r="FU47" s="74" t="str">
        <f>IF('Marks Entry'!BU47="","",'Marks Entry'!BU47)</f>
        <v/>
      </c>
      <c r="FV47" s="74" t="str">
        <f>IF('Marks Entry'!BV47="","",'Marks Entry'!BV47)</f>
        <v/>
      </c>
      <c r="FW47" s="74" t="str">
        <f>IF('Marks Entry'!BW47="","",'Marks Entry'!BW47)</f>
        <v/>
      </c>
      <c r="FX47" s="75" t="str">
        <f t="shared" si="65"/>
        <v/>
      </c>
      <c r="FY47" s="368" t="str">
        <f t="shared" si="120"/>
        <v/>
      </c>
      <c r="FZ47" s="65">
        <f t="shared" si="121"/>
        <v>0</v>
      </c>
      <c r="GA47" s="66">
        <f t="shared" si="122"/>
        <v>0</v>
      </c>
      <c r="GB47" s="66" t="str">
        <f t="shared" si="123"/>
        <v/>
      </c>
      <c r="GC47" s="74" t="str">
        <f>IF('Marks Entry'!BX47="","",'Marks Entry'!BX47)</f>
        <v/>
      </c>
      <c r="GD47" s="74" t="str">
        <f>IF('Marks Entry'!BY47="","",'Marks Entry'!BY47)</f>
        <v/>
      </c>
      <c r="GE47" s="74" t="str">
        <f>IF('Marks Entry'!BZ47="","",'Marks Entry'!BZ47)</f>
        <v/>
      </c>
      <c r="GF47" s="75" t="str">
        <f t="shared" si="124"/>
        <v/>
      </c>
      <c r="GG47" s="368" t="str">
        <f t="shared" si="125"/>
        <v/>
      </c>
      <c r="GH47" s="65">
        <f t="shared" si="126"/>
        <v>0</v>
      </c>
      <c r="GI47" s="66">
        <f t="shared" si="127"/>
        <v>0</v>
      </c>
      <c r="GJ47" s="66" t="str">
        <f t="shared" si="128"/>
        <v/>
      </c>
      <c r="GK47" s="100" t="str">
        <f>IF(AND(F47="",B47=""),"",IF('Student DATA Entry'!M44="","",'Student DATA Entry'!M44))</f>
        <v/>
      </c>
      <c r="GL47" s="101" t="str">
        <f>IF(AND(B47="",F47=""),"",IF('Student DATA Entry'!N44="","",'Student DATA Entry'!N44))</f>
        <v/>
      </c>
      <c r="GM47" s="581" t="str">
        <f t="shared" si="129"/>
        <v/>
      </c>
      <c r="GN47" s="94" t="str">
        <f t="shared" si="130"/>
        <v/>
      </c>
      <c r="GO47" s="94" t="str">
        <f t="shared" si="131"/>
        <v/>
      </c>
      <c r="GP47" s="102" t="str">
        <f t="shared" si="162"/>
        <v/>
      </c>
      <c r="GQ47" s="94" t="str">
        <f t="shared" si="132"/>
        <v/>
      </c>
      <c r="GR47" s="103" t="str">
        <f t="shared" si="133"/>
        <v/>
      </c>
      <c r="GS47" s="102" t="str">
        <f t="shared" si="163"/>
        <v/>
      </c>
      <c r="GT47" s="104" t="str">
        <f t="shared" si="134"/>
        <v/>
      </c>
      <c r="GU47" s="94" t="str">
        <f>IF('Marks Entry'!V47=1,GT47,"")</f>
        <v/>
      </c>
      <c r="GV47" s="94" t="str">
        <f>IF('Marks Entry'!V47=2,GT47,"")</f>
        <v/>
      </c>
      <c r="GW47" s="94" t="str">
        <f>IF('Marks Entry'!V47=3,GT47,"")</f>
        <v/>
      </c>
      <c r="GX47" s="94" t="str">
        <f>IF('Marks Entry'!V47=4,GT47,"")</f>
        <v/>
      </c>
      <c r="GY47" s="94" t="str">
        <f>IF('Marks Entry'!V47=5,GT47,"")</f>
        <v/>
      </c>
      <c r="GZ47" s="94" t="str">
        <f t="shared" si="135"/>
        <v/>
      </c>
      <c r="HA47" s="105" t="str">
        <f t="shared" si="164"/>
        <v/>
      </c>
      <c r="HB47" s="94" t="str">
        <f t="shared" si="136"/>
        <v/>
      </c>
      <c r="HC47" s="94" t="str">
        <f t="shared" si="137"/>
        <v/>
      </c>
      <c r="HD47" s="105" t="str">
        <f t="shared" si="165"/>
        <v/>
      </c>
      <c r="HE47" s="94" t="str">
        <f t="shared" si="138"/>
        <v/>
      </c>
      <c r="HF47" s="94" t="str">
        <f t="shared" si="139"/>
        <v/>
      </c>
      <c r="HG47" s="105" t="str">
        <f t="shared" si="166"/>
        <v/>
      </c>
      <c r="HH47" s="94" t="str">
        <f t="shared" si="140"/>
        <v/>
      </c>
      <c r="HI47" s="94" t="str">
        <f t="shared" si="141"/>
        <v/>
      </c>
      <c r="HJ47" s="105" t="str">
        <f t="shared" si="167"/>
        <v/>
      </c>
      <c r="HK47" s="94" t="str">
        <f t="shared" si="142"/>
        <v/>
      </c>
      <c r="HL47" s="94" t="str">
        <f t="shared" si="143"/>
        <v/>
      </c>
      <c r="HM47" s="105" t="str">
        <f t="shared" si="168"/>
        <v/>
      </c>
      <c r="HN47" s="367" t="str">
        <f t="shared" si="144"/>
        <v xml:space="preserve">      </v>
      </c>
      <c r="HO47" s="418" t="str">
        <f t="shared" si="169"/>
        <v xml:space="preserve">      </v>
      </c>
      <c r="HP47" s="367" t="str">
        <f t="shared" si="146"/>
        <v xml:space="preserve">      </v>
      </c>
      <c r="HQ47" s="107" t="str">
        <f t="shared" si="147"/>
        <v xml:space="preserve">      </v>
      </c>
      <c r="HR47" s="366" t="str">
        <f t="shared" si="148"/>
        <v xml:space="preserve">      </v>
      </c>
      <c r="HS47" s="544" t="str">
        <f t="shared" si="170"/>
        <v/>
      </c>
      <c r="HT47" s="542" t="str">
        <f t="shared" si="149"/>
        <v/>
      </c>
      <c r="HU47" s="541" t="str">
        <f t="shared" si="160"/>
        <v/>
      </c>
      <c r="HV47" s="540" t="str">
        <f t="shared" si="150"/>
        <v/>
      </c>
      <c r="HW47" s="537" t="str">
        <f t="shared" si="151"/>
        <v/>
      </c>
      <c r="HX47" s="539" t="str">
        <f t="shared" si="152"/>
        <v/>
      </c>
      <c r="HY47" s="553" t="str">
        <f>IFERROR(IF(OR(HS47="SUPPLEMENTARY",HS47="RE-EXAM"),'Supp. Result Entry'!AQ45,""),"")</f>
        <v/>
      </c>
      <c r="HZ47" s="538" t="str">
        <f t="shared" si="153"/>
        <v/>
      </c>
      <c r="IA47" s="415" t="str">
        <f t="shared" si="154"/>
        <v/>
      </c>
      <c r="IB47" s="415" t="str">
        <f>IF(AND(HZ47="",IA47=""),"",IF(OR(HS47="SUPPLEMENTARY",HS47="RE-EXAM"),'Supp. Result Entry'!AQ45,HS47))</f>
        <v/>
      </c>
      <c r="IC47" s="87"/>
      <c r="ID47" s="111"/>
      <c r="IS47" s="109" t="str">
        <f>IF('Supp. Result Entry'!T45="","",'Supp. Result Entry'!$T$4)</f>
        <v/>
      </c>
      <c r="IT47" s="110" t="str">
        <f>IF('Supp. Result Entry'!W45="","",'Supp. Result Entry'!$W$4)</f>
        <v/>
      </c>
      <c r="IU47" s="110" t="str">
        <f>IF('Supp. Result Entry'!Z45="","",'Supp. Result Entry'!$Z$4)</f>
        <v/>
      </c>
      <c r="IV47" s="110" t="str">
        <f>IF('Supp. Result Entry'!AC45="","",'Supp. Result Entry'!$AC$4)</f>
        <v/>
      </c>
      <c r="IW47" s="110" t="str">
        <f>IF('Supp. Result Entry'!AF45="","",'Supp. Result Entry'!$AF$4)</f>
        <v/>
      </c>
      <c r="IX47" s="110" t="str">
        <f>IF('Supp. Result Entry'!AI45="","",'Supp. Result Entry'!$AI$4)</f>
        <v/>
      </c>
      <c r="IY47" s="110" t="str">
        <f>IF('Supp. Result Entry'!AI45="","",'Supp. Result Entry'!$AL$4)</f>
        <v/>
      </c>
      <c r="IZ47" s="110" t="str">
        <f>IF('Supp. Result Entry'!U45="","",'Supp. Result Entry'!U45)</f>
        <v/>
      </c>
      <c r="JA47" s="110" t="str">
        <f>IF('Supp. Result Entry'!X45="","",'Supp. Result Entry'!X45)</f>
        <v/>
      </c>
      <c r="JB47" s="110" t="str">
        <f>IF('Supp. Result Entry'!AA45="","",'Supp. Result Entry'!AA45)</f>
        <v/>
      </c>
      <c r="JC47" s="110" t="str">
        <f>IF('Supp. Result Entry'!AD45="","",'Supp. Result Entry'!AD45)</f>
        <v/>
      </c>
      <c r="JD47" s="110" t="str">
        <f>IF('Supp. Result Entry'!AG45="","",'Supp. Result Entry'!AG45)</f>
        <v/>
      </c>
      <c r="JE47" s="110" t="str">
        <f>IF('Supp. Result Entry'!AJ45="","",'Supp. Result Entry'!AJ45)</f>
        <v/>
      </c>
      <c r="JF47" s="110" t="str">
        <f>IF('Supp. Result Entry'!AM45="","",'Supp. Result Entry'!AM45)</f>
        <v/>
      </c>
      <c r="JG47" s="110" t="str">
        <f>IF('Supp. Result Entry'!V45="","",'Supp. Result Entry'!V45)</f>
        <v/>
      </c>
      <c r="JH47" s="110" t="str">
        <f>IF('Supp. Result Entry'!Y45="","",'Supp. Result Entry'!Y45)</f>
        <v/>
      </c>
      <c r="JI47" s="110" t="str">
        <f>IF('Supp. Result Entry'!AB45="","",'Supp. Result Entry'!AB45)</f>
        <v/>
      </c>
      <c r="JJ47" s="110" t="str">
        <f>IF('Supp. Result Entry'!AE45="","",'Supp. Result Entry'!AE45)</f>
        <v/>
      </c>
      <c r="JK47" s="110" t="str">
        <f>IF('Supp. Result Entry'!AH45="","",'Supp. Result Entry'!AH45)</f>
        <v/>
      </c>
      <c r="JL47" s="110" t="str">
        <f>IF('Supp. Result Entry'!AK45="","",'Supp. Result Entry'!AK45)</f>
        <v/>
      </c>
      <c r="JM47" s="110" t="str">
        <f>IF('Supp. Result Entry'!AN45="","",'Supp. Result Entry'!AN45)</f>
        <v/>
      </c>
      <c r="JN47" s="110">
        <f>COUNTIF('Supp. Result Entry'!K45:Q45,"S")</f>
        <v>0</v>
      </c>
      <c r="JO47" s="110">
        <f t="shared" si="155"/>
        <v>0</v>
      </c>
      <c r="JP47" s="110">
        <f t="shared" si="156"/>
        <v>0</v>
      </c>
      <c r="JQ47" s="110" t="str">
        <f t="shared" si="75"/>
        <v/>
      </c>
      <c r="JR47" s="110" t="str">
        <f t="shared" si="76"/>
        <v/>
      </c>
      <c r="JS47" s="110" t="str">
        <f t="shared" si="77"/>
        <v/>
      </c>
      <c r="JT47" s="110" t="str">
        <f t="shared" si="78"/>
        <v/>
      </c>
      <c r="JU47" s="110" t="str">
        <f t="shared" si="79"/>
        <v/>
      </c>
      <c r="JV47" s="110" t="str">
        <f t="shared" si="80"/>
        <v/>
      </c>
      <c r="JW47" s="110" t="str">
        <f t="shared" si="81"/>
        <v/>
      </c>
      <c r="JX47" s="110" t="str">
        <f t="shared" si="157"/>
        <v/>
      </c>
      <c r="JY47" s="110" t="str">
        <f t="shared" si="158"/>
        <v/>
      </c>
      <c r="JZ47" s="110" t="str">
        <f t="shared" si="82"/>
        <v/>
      </c>
      <c r="KA47" s="108" t="str">
        <f t="shared" si="159"/>
        <v/>
      </c>
    </row>
    <row r="48" spans="1:287" s="108" customFormat="1" ht="21.95" customHeight="1">
      <c r="A48" s="89">
        <v>42</v>
      </c>
      <c r="B48" s="90" t="str">
        <f>IF('Marks Entry'!B48="","",'Marks Entry'!B48)</f>
        <v/>
      </c>
      <c r="C48" s="94" t="str">
        <f>IF('Marks Entry'!D48="","",'Marks Entry'!D48)</f>
        <v/>
      </c>
      <c r="D48" s="91" t="str">
        <f>IF('Marks Entry'!E48="","",'Marks Entry'!E48)</f>
        <v/>
      </c>
      <c r="E48" s="92" t="str">
        <f>IF('Marks Entry'!F48="","",'Marks Entry'!F48)</f>
        <v/>
      </c>
      <c r="F48" s="93" t="str">
        <f>IF('Marks Entry'!G48="","",'Marks Entry'!G48)</f>
        <v/>
      </c>
      <c r="G48" s="93" t="str">
        <f>IF('Marks Entry'!H48="","",'Marks Entry'!H48)</f>
        <v/>
      </c>
      <c r="H48" s="93" t="str">
        <f>IF('Marks Entry'!I48="","",'Marks Entry'!I48)</f>
        <v/>
      </c>
      <c r="I48" s="94" t="str">
        <f>IF('Marks Entry'!J48="","",'Marks Entry'!J48)</f>
        <v/>
      </c>
      <c r="J48" s="95" t="str">
        <f>IF('Marks Entry'!K48="","",'Marks Entry'!K48)</f>
        <v/>
      </c>
      <c r="K48" s="68" t="str">
        <f>IF('Marks Entry'!L48="","",'Marks Entry'!L48)</f>
        <v/>
      </c>
      <c r="L48" s="68" t="str">
        <f>IF('Marks Entry'!M48="","",'Marks Entry'!M48)</f>
        <v/>
      </c>
      <c r="M48" s="68" t="str">
        <f>IF('Marks Entry'!N48="","",'Marks Entry'!N48)</f>
        <v/>
      </c>
      <c r="N48" s="514" t="str">
        <f t="shared" si="83"/>
        <v/>
      </c>
      <c r="O48" s="68" t="str">
        <f>IF('Marks Entry'!O48="","",'Marks Entry'!O48)</f>
        <v/>
      </c>
      <c r="P48" s="515" t="str">
        <f t="shared" si="84"/>
        <v/>
      </c>
      <c r="Q48" s="68" t="str">
        <f>IF('Marks Entry'!P48="","",'Marks Entry'!P48)</f>
        <v/>
      </c>
      <c r="R48" s="96" t="str">
        <f t="shared" si="85"/>
        <v/>
      </c>
      <c r="S48" s="65">
        <f t="shared" si="86"/>
        <v>0</v>
      </c>
      <c r="T48" s="65">
        <f t="shared" si="87"/>
        <v>0</v>
      </c>
      <c r="U48" s="66" t="str">
        <f t="shared" si="88"/>
        <v/>
      </c>
      <c r="V48" s="65" t="str">
        <f t="shared" si="89"/>
        <v/>
      </c>
      <c r="W48" s="65" t="str">
        <f t="shared" si="90"/>
        <v/>
      </c>
      <c r="X48" s="65" t="str">
        <f t="shared" si="91"/>
        <v/>
      </c>
      <c r="Y48" s="68" t="str">
        <f>IF('Marks Entry'!Q48="","",'Marks Entry'!Q48)</f>
        <v/>
      </c>
      <c r="Z48" s="68" t="str">
        <f>IF('Marks Entry'!R48="","",'Marks Entry'!R48)</f>
        <v/>
      </c>
      <c r="AA48" s="68" t="str">
        <f>IF('Marks Entry'!S48="","",'Marks Entry'!S48)</f>
        <v/>
      </c>
      <c r="AB48" s="514" t="str">
        <f t="shared" si="2"/>
        <v/>
      </c>
      <c r="AC48" s="68" t="str">
        <f>IF('Marks Entry'!T48="","",'Marks Entry'!T48)</f>
        <v/>
      </c>
      <c r="AD48" s="515" t="str">
        <f t="shared" si="3"/>
        <v/>
      </c>
      <c r="AE48" s="68" t="str">
        <f>IF('Marks Entry'!U48="","",'Marks Entry'!U48)</f>
        <v/>
      </c>
      <c r="AF48" s="96" t="str">
        <f t="shared" si="4"/>
        <v/>
      </c>
      <c r="AG48" s="65">
        <f t="shared" si="5"/>
        <v>0</v>
      </c>
      <c r="AH48" s="65">
        <f t="shared" si="6"/>
        <v>0</v>
      </c>
      <c r="AI48" s="66" t="str">
        <f t="shared" si="7"/>
        <v/>
      </c>
      <c r="AJ48" s="65" t="str">
        <f t="shared" si="8"/>
        <v/>
      </c>
      <c r="AK48" s="65" t="str">
        <f t="shared" si="9"/>
        <v/>
      </c>
      <c r="AL48" s="65" t="str">
        <f t="shared" si="10"/>
        <v/>
      </c>
      <c r="AM48" s="524" t="str">
        <f>IF('Marks Entry'!V48="","",IF('Marks Entry'!V48=1,'School Profile'!$I$9,IF('Marks Entry'!V48=2,'School Profile'!$I$10,IF('Marks Entry'!V48=3,'School Profile'!$I$11,IF('Marks Entry'!V48=4,'School Profile'!$I$12,IF('Marks Entry'!V48=5,'School Profile'!$I$13,IF('Marks Entry'!V48=6,'School Profile'!$I$14,"")))))))</f>
        <v/>
      </c>
      <c r="AN48" s="68" t="str">
        <f>IF('Marks Entry'!W48="","",'Marks Entry'!W48)</f>
        <v/>
      </c>
      <c r="AO48" s="68" t="str">
        <f>IF('Marks Entry'!X48="","",'Marks Entry'!X48)</f>
        <v/>
      </c>
      <c r="AP48" s="68" t="str">
        <f>IF('Marks Entry'!Y48="","",'Marks Entry'!Y48)</f>
        <v/>
      </c>
      <c r="AQ48" s="514" t="str">
        <f t="shared" si="11"/>
        <v/>
      </c>
      <c r="AR48" s="68" t="str">
        <f>IF('Marks Entry'!Z48="","",'Marks Entry'!Z48)</f>
        <v/>
      </c>
      <c r="AS48" s="515" t="str">
        <f t="shared" si="12"/>
        <v/>
      </c>
      <c r="AT48" s="68" t="str">
        <f>IF('Marks Entry'!AA48="","",'Marks Entry'!AA48)</f>
        <v/>
      </c>
      <c r="AU48" s="96" t="str">
        <f t="shared" si="13"/>
        <v/>
      </c>
      <c r="AV48" s="65">
        <f t="shared" si="14"/>
        <v>0</v>
      </c>
      <c r="AW48" s="65">
        <f t="shared" si="15"/>
        <v>0</v>
      </c>
      <c r="AX48" s="66" t="str">
        <f t="shared" si="16"/>
        <v/>
      </c>
      <c r="AY48" s="65" t="str">
        <f t="shared" si="17"/>
        <v/>
      </c>
      <c r="AZ48" s="65" t="str">
        <f t="shared" si="18"/>
        <v/>
      </c>
      <c r="BA48" s="65" t="str">
        <f t="shared" si="19"/>
        <v/>
      </c>
      <c r="BB48" s="68" t="str">
        <f>IF('Marks Entry'!AB48="","",'Marks Entry'!AB48)</f>
        <v/>
      </c>
      <c r="BC48" s="68" t="str">
        <f>IF('Marks Entry'!AC48="","",'Marks Entry'!AC48)</f>
        <v/>
      </c>
      <c r="BD48" s="68" t="str">
        <f>IF('Marks Entry'!AD48="","",'Marks Entry'!AD48)</f>
        <v/>
      </c>
      <c r="BE48" s="514" t="str">
        <f t="shared" si="20"/>
        <v/>
      </c>
      <c r="BF48" s="68" t="str">
        <f>IF('Marks Entry'!AE48="","",'Marks Entry'!AE48)</f>
        <v/>
      </c>
      <c r="BG48" s="515" t="str">
        <f t="shared" si="21"/>
        <v/>
      </c>
      <c r="BH48" s="68" t="str">
        <f>IF('Marks Entry'!AF48="","",'Marks Entry'!AF48)</f>
        <v/>
      </c>
      <c r="BI48" s="96" t="str">
        <f t="shared" si="22"/>
        <v/>
      </c>
      <c r="BJ48" s="65">
        <f t="shared" si="23"/>
        <v>0</v>
      </c>
      <c r="BK48" s="65">
        <f t="shared" si="92"/>
        <v>0</v>
      </c>
      <c r="BL48" s="66" t="str">
        <f t="shared" si="24"/>
        <v/>
      </c>
      <c r="BM48" s="65" t="str">
        <f t="shared" si="25"/>
        <v/>
      </c>
      <c r="BN48" s="65" t="str">
        <f t="shared" si="26"/>
        <v/>
      </c>
      <c r="BO48" s="65" t="str">
        <f t="shared" si="27"/>
        <v/>
      </c>
      <c r="BP48" s="68" t="str">
        <f>IF('Marks Entry'!AG48="","",'Marks Entry'!AG48)</f>
        <v/>
      </c>
      <c r="BQ48" s="68" t="str">
        <f>IF('Marks Entry'!AH48="","",'Marks Entry'!AH48)</f>
        <v/>
      </c>
      <c r="BR48" s="68" t="str">
        <f>IF('Marks Entry'!AI48="","",'Marks Entry'!AI48)</f>
        <v/>
      </c>
      <c r="BS48" s="514" t="str">
        <f t="shared" si="28"/>
        <v/>
      </c>
      <c r="BT48" s="68" t="str">
        <f>IF('Marks Entry'!AJ48="","",'Marks Entry'!AJ48)</f>
        <v/>
      </c>
      <c r="BU48" s="515" t="str">
        <f t="shared" si="29"/>
        <v/>
      </c>
      <c r="BV48" s="68" t="str">
        <f>IF('Marks Entry'!AK48="","",'Marks Entry'!AK48)</f>
        <v/>
      </c>
      <c r="BW48" s="96" t="str">
        <f t="shared" si="30"/>
        <v/>
      </c>
      <c r="BX48" s="65">
        <f t="shared" si="31"/>
        <v>0</v>
      </c>
      <c r="BY48" s="65">
        <f t="shared" si="32"/>
        <v>0</v>
      </c>
      <c r="BZ48" s="66" t="str">
        <f t="shared" si="33"/>
        <v/>
      </c>
      <c r="CA48" s="65" t="str">
        <f t="shared" si="34"/>
        <v/>
      </c>
      <c r="CB48" s="65" t="str">
        <f t="shared" si="35"/>
        <v/>
      </c>
      <c r="CC48" s="65" t="str">
        <f t="shared" si="36"/>
        <v/>
      </c>
      <c r="CD48" s="66">
        <f t="shared" si="161"/>
        <v>0</v>
      </c>
      <c r="CE48" s="68" t="str">
        <f>IF('Marks Entry'!AL48="","",'Marks Entry'!AL48)</f>
        <v/>
      </c>
      <c r="CF48" s="68" t="str">
        <f>IF('Marks Entry'!AM48="","",'Marks Entry'!AM48)</f>
        <v/>
      </c>
      <c r="CG48" s="68" t="str">
        <f>IF('Marks Entry'!AN48="","",'Marks Entry'!AN48)</f>
        <v/>
      </c>
      <c r="CH48" s="514" t="str">
        <f t="shared" si="37"/>
        <v/>
      </c>
      <c r="CI48" s="68" t="str">
        <f>IF('Marks Entry'!AO48="","",'Marks Entry'!AO48)</f>
        <v/>
      </c>
      <c r="CJ48" s="515" t="str">
        <f t="shared" si="38"/>
        <v/>
      </c>
      <c r="CK48" s="68" t="str">
        <f>IF('Marks Entry'!AP48="","",'Marks Entry'!AP48)</f>
        <v/>
      </c>
      <c r="CL48" s="96" t="str">
        <f t="shared" si="39"/>
        <v/>
      </c>
      <c r="CM48" s="65">
        <f t="shared" si="40"/>
        <v>0</v>
      </c>
      <c r="CN48" s="65">
        <f t="shared" si="41"/>
        <v>0</v>
      </c>
      <c r="CO48" s="66" t="str">
        <f t="shared" si="42"/>
        <v/>
      </c>
      <c r="CP48" s="65" t="str">
        <f t="shared" si="43"/>
        <v/>
      </c>
      <c r="CQ48" s="65" t="str">
        <f t="shared" si="44"/>
        <v/>
      </c>
      <c r="CR48" s="65" t="str">
        <f t="shared" si="45"/>
        <v/>
      </c>
      <c r="CS48" s="616" t="str">
        <f>IF('School Profile'!$D$20="NO","",IF('Marks Entry'!AQ48="","",IF('Marks Entry'!AQ48=1,'School Profile'!$I$29,IF('Marks Entry'!AQ48=2,'School Profile'!$I$30,IF('Marks Entry'!AQ48=3,'School Profile'!$I$31,IF('Marks Entry'!AQ48=4,'School Profile'!$I$32,IF('Marks Entry'!AQ48=5,'School Profile'!$I$33,IF('Marks Entry'!AQ48=6,'School Profile'!$I$34,IF('Marks Entry'!AQ48=7,'School Profile'!$I$35,IF('Marks Entry'!AQ48=8,'School Profile'!$I$36,IF('Marks Entry'!AQ48=9,'School Profile'!$I$37,IF('Marks Entry'!AQ48=10,'School Profile'!$I$38,IF('Marks Entry'!AQ48=11,'School Profile'!$I$39,"")))))))))))))</f>
        <v/>
      </c>
      <c r="CT48" s="68" t="str">
        <f>IF('School Profile'!$D$20="NO","",IF('Marks Entry'!AR48="","",'Marks Entry'!AR48))</f>
        <v/>
      </c>
      <c r="CU48" s="68" t="str">
        <f>IF('School Profile'!$D$20="NO","",IF('Marks Entry'!AS48="","",'Marks Entry'!AS48))</f>
        <v/>
      </c>
      <c r="CV48" s="68" t="str">
        <f>IF('School Profile'!$D$20="NO","",IF('Marks Entry'!AT48="","",'Marks Entry'!AT48))</f>
        <v/>
      </c>
      <c r="CW48" s="514" t="str">
        <f>IF('School Profile'!$D$20="NO","",IF(AND(CT48="",CU48="",CV48=""),"",SUM(CT48:CV48)))</f>
        <v/>
      </c>
      <c r="CX48" s="68" t="str">
        <f>IF('School Profile'!$D$20="NO","",IF('Marks Entry'!AU48="","",'Marks Entry'!AU48))</f>
        <v/>
      </c>
      <c r="CY48" s="68" t="str">
        <f>IF('School Profile'!$D$20="NO","",IF('Marks Entry'!AV48="","",'Marks Entry'!AV48))</f>
        <v/>
      </c>
      <c r="CZ48" s="515" t="str">
        <f>IF('School Profile'!$D$20="NO","",IF(AND(CX48="",CY48=""),"",SUM(CX48,CY48)))</f>
        <v/>
      </c>
      <c r="DA48" s="69" t="str">
        <f>IF('School Profile'!$D$20="NO","",IF(AND(CW48="",CZ48=""),"",SUM(CW48+CZ48)))</f>
        <v/>
      </c>
      <c r="DB48" s="68" t="str">
        <f>IF('School Profile'!$D$20="NO","",IF('Marks Entry'!AW48="","",'Marks Entry'!AW48))</f>
        <v/>
      </c>
      <c r="DC48" s="68" t="str">
        <f>IF('School Profile'!$D$20="NO","",IF('Marks Entry'!AX48="","",'Marks Entry'!AX48))</f>
        <v/>
      </c>
      <c r="DD48" s="515" t="str">
        <f>IF('School Profile'!$D$20="NO","",IF(AND(DB48="",DC48=""),"",SUM(DB48,DC48)))</f>
        <v/>
      </c>
      <c r="DE48" s="96" t="str">
        <f>IF('School Profile'!$D$20="NO","",IF(AND(DA48="",DD48=""),"",SUM(DA48,DD48)))</f>
        <v/>
      </c>
      <c r="DF48" s="532">
        <f t="shared" si="46"/>
        <v>0</v>
      </c>
      <c r="DG48" s="65">
        <f t="shared" si="47"/>
        <v>0</v>
      </c>
      <c r="DH48" s="66" t="str">
        <f t="shared" si="48"/>
        <v/>
      </c>
      <c r="DI48" s="65" t="str">
        <f t="shared" si="49"/>
        <v/>
      </c>
      <c r="DJ48" s="65" t="str">
        <f t="shared" si="50"/>
        <v/>
      </c>
      <c r="DK48" s="65" t="str">
        <f t="shared" si="51"/>
        <v/>
      </c>
      <c r="DL48" s="97" t="str">
        <f t="shared" si="94"/>
        <v/>
      </c>
      <c r="DM48" s="97" t="str">
        <f t="shared" si="95"/>
        <v/>
      </c>
      <c r="DN48" s="97" t="str">
        <f t="shared" si="96"/>
        <v/>
      </c>
      <c r="DO48" s="97" t="str">
        <f t="shared" si="97"/>
        <v/>
      </c>
      <c r="DP48" s="97" t="str">
        <f t="shared" si="98"/>
        <v/>
      </c>
      <c r="DQ48" s="97" t="str">
        <f t="shared" si="99"/>
        <v/>
      </c>
      <c r="DR48" s="97" t="str">
        <f t="shared" si="100"/>
        <v/>
      </c>
      <c r="DS48" s="98">
        <f t="shared" si="101"/>
        <v>0</v>
      </c>
      <c r="DT48" s="98">
        <f t="shared" si="102"/>
        <v>0</v>
      </c>
      <c r="DU48" s="98">
        <f t="shared" si="103"/>
        <v>0</v>
      </c>
      <c r="DV48" s="98">
        <f t="shared" si="104"/>
        <v>0</v>
      </c>
      <c r="DW48" s="98">
        <f t="shared" si="105"/>
        <v>0</v>
      </c>
      <c r="DX48" s="98" t="str">
        <f t="shared" si="106"/>
        <v/>
      </c>
      <c r="DY48" s="99" t="str">
        <f t="shared" si="107"/>
        <v/>
      </c>
      <c r="DZ48" s="74" t="str">
        <f>IF('Marks Entry'!AY48="","",'Marks Entry'!AY48)</f>
        <v/>
      </c>
      <c r="EA48" s="74" t="str">
        <f>IF('Marks Entry'!AZ48="","",'Marks Entry'!AZ48)</f>
        <v/>
      </c>
      <c r="EB48" s="74" t="str">
        <f>IF('Marks Entry'!BA48="","",'Marks Entry'!BA48)</f>
        <v/>
      </c>
      <c r="EC48" s="527" t="str">
        <f t="shared" si="52"/>
        <v/>
      </c>
      <c r="ED48" s="74" t="str">
        <f>IF('Marks Entry'!BB48="","",'Marks Entry'!BB48)</f>
        <v/>
      </c>
      <c r="EE48" s="528" t="str">
        <f t="shared" si="53"/>
        <v/>
      </c>
      <c r="EF48" s="74" t="str">
        <f>IF('Marks Entry'!BC48="","",'Marks Entry'!BC48)</f>
        <v/>
      </c>
      <c r="EG48" s="530" t="str">
        <f t="shared" si="54"/>
        <v/>
      </c>
      <c r="EH48" s="368" t="str">
        <f t="shared" si="108"/>
        <v/>
      </c>
      <c r="EI48" s="65">
        <f t="shared" si="109"/>
        <v>0</v>
      </c>
      <c r="EJ48" s="65">
        <f t="shared" si="110"/>
        <v>0</v>
      </c>
      <c r="EK48" s="66" t="str">
        <f t="shared" si="111"/>
        <v/>
      </c>
      <c r="EL48" s="74" t="str">
        <f>IF('Marks Entry'!BD48="","",'Marks Entry'!BD48)</f>
        <v/>
      </c>
      <c r="EM48" s="74" t="str">
        <f>IF('Marks Entry'!BE48="","",'Marks Entry'!BE48)</f>
        <v/>
      </c>
      <c r="EN48" s="74" t="str">
        <f>IF('Marks Entry'!BF48="","",'Marks Entry'!BF48)</f>
        <v/>
      </c>
      <c r="EO48" s="527" t="str">
        <f t="shared" si="55"/>
        <v/>
      </c>
      <c r="EP48" s="74" t="str">
        <f>IF('Marks Entry'!BG48="","",'Marks Entry'!BG48)</f>
        <v/>
      </c>
      <c r="EQ48" s="74" t="str">
        <f>IF('Marks Entry'!BH48="","",'Marks Entry'!BH48)</f>
        <v/>
      </c>
      <c r="ER48" s="528" t="str">
        <f t="shared" si="56"/>
        <v/>
      </c>
      <c r="ES48" s="529" t="str">
        <f t="shared" si="57"/>
        <v/>
      </c>
      <c r="ET48" s="74" t="str">
        <f>IF('Marks Entry'!BI48="","",'Marks Entry'!BI48)</f>
        <v/>
      </c>
      <c r="EU48" s="74" t="str">
        <f>IF('Marks Entry'!BJ48="","",'Marks Entry'!BJ48)</f>
        <v/>
      </c>
      <c r="EV48" s="528" t="str">
        <f t="shared" si="58"/>
        <v/>
      </c>
      <c r="EW48" s="530" t="str">
        <f t="shared" si="59"/>
        <v/>
      </c>
      <c r="EX48" s="368" t="str">
        <f t="shared" si="112"/>
        <v/>
      </c>
      <c r="EY48" s="65">
        <f t="shared" si="113"/>
        <v>0</v>
      </c>
      <c r="EZ48" s="65">
        <f t="shared" si="114"/>
        <v>0</v>
      </c>
      <c r="FA48" s="66" t="str">
        <f t="shared" si="115"/>
        <v/>
      </c>
      <c r="FB48" s="74" t="str">
        <f>IF('Marks Entry'!BK48="","",'Marks Entry'!BK48)</f>
        <v/>
      </c>
      <c r="FC48" s="74" t="str">
        <f>IF('Marks Entry'!BL48="","",'Marks Entry'!BL48)</f>
        <v/>
      </c>
      <c r="FD48" s="74" t="str">
        <f>IF('Marks Entry'!BM48="","",'Marks Entry'!BM48)</f>
        <v/>
      </c>
      <c r="FE48" s="74" t="str">
        <f>IF('Marks Entry'!BN48="","",'Marks Entry'!BN48)</f>
        <v/>
      </c>
      <c r="FF48" s="74" t="str">
        <f>IF('Marks Entry'!BO48="","",'Marks Entry'!BO48)</f>
        <v/>
      </c>
      <c r="FG48" s="74" t="str">
        <f>IF('Marks Entry'!BP48="","",'Marks Entry'!BP48)</f>
        <v/>
      </c>
      <c r="FH48" s="527" t="str">
        <f t="shared" si="60"/>
        <v/>
      </c>
      <c r="FI48" s="74" t="str">
        <f>IF('Marks Entry'!BQ48="","",'Marks Entry'!BQ48)</f>
        <v/>
      </c>
      <c r="FJ48" s="74" t="str">
        <f>IF('Marks Entry'!BR48="","",'Marks Entry'!BR48)</f>
        <v/>
      </c>
      <c r="FK48" s="528" t="str">
        <f t="shared" si="61"/>
        <v/>
      </c>
      <c r="FL48" s="529" t="str">
        <f t="shared" si="62"/>
        <v/>
      </c>
      <c r="FM48" s="74" t="str">
        <f>IF('Marks Entry'!BS48="","",'Marks Entry'!BS48)</f>
        <v/>
      </c>
      <c r="FN48" s="74" t="str">
        <f>IF('Marks Entry'!BT48="","",'Marks Entry'!BT48)</f>
        <v/>
      </c>
      <c r="FO48" s="528" t="str">
        <f t="shared" si="63"/>
        <v/>
      </c>
      <c r="FP48" s="530" t="str">
        <f t="shared" si="64"/>
        <v/>
      </c>
      <c r="FQ48" s="368" t="str">
        <f t="shared" si="116"/>
        <v/>
      </c>
      <c r="FR48" s="65">
        <f t="shared" si="117"/>
        <v>0</v>
      </c>
      <c r="FS48" s="65">
        <f t="shared" si="118"/>
        <v>0</v>
      </c>
      <c r="FT48" s="66" t="str">
        <f t="shared" si="119"/>
        <v/>
      </c>
      <c r="FU48" s="74" t="str">
        <f>IF('Marks Entry'!BU48="","",'Marks Entry'!BU48)</f>
        <v/>
      </c>
      <c r="FV48" s="74" t="str">
        <f>IF('Marks Entry'!BV48="","",'Marks Entry'!BV48)</f>
        <v/>
      </c>
      <c r="FW48" s="74" t="str">
        <f>IF('Marks Entry'!BW48="","",'Marks Entry'!BW48)</f>
        <v/>
      </c>
      <c r="FX48" s="75" t="str">
        <f t="shared" si="65"/>
        <v/>
      </c>
      <c r="FY48" s="368" t="str">
        <f t="shared" si="120"/>
        <v/>
      </c>
      <c r="FZ48" s="65">
        <f t="shared" si="121"/>
        <v>0</v>
      </c>
      <c r="GA48" s="66">
        <f t="shared" si="122"/>
        <v>0</v>
      </c>
      <c r="GB48" s="66" t="str">
        <f t="shared" si="123"/>
        <v/>
      </c>
      <c r="GC48" s="74" t="str">
        <f>IF('Marks Entry'!BX48="","",'Marks Entry'!BX48)</f>
        <v/>
      </c>
      <c r="GD48" s="74" t="str">
        <f>IF('Marks Entry'!BY48="","",'Marks Entry'!BY48)</f>
        <v/>
      </c>
      <c r="GE48" s="74" t="str">
        <f>IF('Marks Entry'!BZ48="","",'Marks Entry'!BZ48)</f>
        <v/>
      </c>
      <c r="GF48" s="75" t="str">
        <f t="shared" si="124"/>
        <v/>
      </c>
      <c r="GG48" s="368" t="str">
        <f t="shared" si="125"/>
        <v/>
      </c>
      <c r="GH48" s="65">
        <f t="shared" si="126"/>
        <v>0</v>
      </c>
      <c r="GI48" s="66">
        <f t="shared" si="127"/>
        <v>0</v>
      </c>
      <c r="GJ48" s="66" t="str">
        <f t="shared" si="128"/>
        <v/>
      </c>
      <c r="GK48" s="100" t="str">
        <f>IF(AND(F48="",B48=""),"",IF('Student DATA Entry'!M45="","",'Student DATA Entry'!M45))</f>
        <v/>
      </c>
      <c r="GL48" s="101" t="str">
        <f>IF(AND(B48="",F48=""),"",IF('Student DATA Entry'!N45="","",'Student DATA Entry'!N45))</f>
        <v/>
      </c>
      <c r="GM48" s="581" t="str">
        <f t="shared" si="129"/>
        <v/>
      </c>
      <c r="GN48" s="94" t="str">
        <f t="shared" si="130"/>
        <v/>
      </c>
      <c r="GO48" s="94" t="str">
        <f t="shared" si="131"/>
        <v/>
      </c>
      <c r="GP48" s="102" t="str">
        <f t="shared" si="162"/>
        <v/>
      </c>
      <c r="GQ48" s="94" t="str">
        <f t="shared" si="132"/>
        <v/>
      </c>
      <c r="GR48" s="103" t="str">
        <f t="shared" si="133"/>
        <v/>
      </c>
      <c r="GS48" s="102" t="str">
        <f t="shared" si="163"/>
        <v/>
      </c>
      <c r="GT48" s="104" t="str">
        <f t="shared" si="134"/>
        <v/>
      </c>
      <c r="GU48" s="94" t="str">
        <f>IF('Marks Entry'!V48=1,GT48,"")</f>
        <v/>
      </c>
      <c r="GV48" s="94" t="str">
        <f>IF('Marks Entry'!V48=2,GT48,"")</f>
        <v/>
      </c>
      <c r="GW48" s="94" t="str">
        <f>IF('Marks Entry'!V48=3,GT48,"")</f>
        <v/>
      </c>
      <c r="GX48" s="94" t="str">
        <f>IF('Marks Entry'!V48=4,GT48,"")</f>
        <v/>
      </c>
      <c r="GY48" s="94" t="str">
        <f>IF('Marks Entry'!V48=5,GT48,"")</f>
        <v/>
      </c>
      <c r="GZ48" s="94" t="str">
        <f t="shared" si="135"/>
        <v/>
      </c>
      <c r="HA48" s="105" t="str">
        <f t="shared" si="164"/>
        <v/>
      </c>
      <c r="HB48" s="94" t="str">
        <f t="shared" si="136"/>
        <v/>
      </c>
      <c r="HC48" s="94" t="str">
        <f t="shared" si="137"/>
        <v/>
      </c>
      <c r="HD48" s="105" t="str">
        <f t="shared" si="165"/>
        <v/>
      </c>
      <c r="HE48" s="94" t="str">
        <f t="shared" si="138"/>
        <v/>
      </c>
      <c r="HF48" s="94" t="str">
        <f t="shared" si="139"/>
        <v/>
      </c>
      <c r="HG48" s="105" t="str">
        <f t="shared" si="166"/>
        <v/>
      </c>
      <c r="HH48" s="94" t="str">
        <f t="shared" si="140"/>
        <v/>
      </c>
      <c r="HI48" s="94" t="str">
        <f t="shared" si="141"/>
        <v/>
      </c>
      <c r="HJ48" s="105" t="str">
        <f t="shared" si="167"/>
        <v/>
      </c>
      <c r="HK48" s="94" t="str">
        <f t="shared" si="142"/>
        <v/>
      </c>
      <c r="HL48" s="94" t="str">
        <f t="shared" si="143"/>
        <v/>
      </c>
      <c r="HM48" s="105" t="str">
        <f t="shared" si="168"/>
        <v/>
      </c>
      <c r="HN48" s="367" t="str">
        <f t="shared" si="144"/>
        <v xml:space="preserve">      </v>
      </c>
      <c r="HO48" s="418" t="str">
        <f t="shared" si="169"/>
        <v xml:space="preserve">      </v>
      </c>
      <c r="HP48" s="367" t="str">
        <f t="shared" si="146"/>
        <v xml:space="preserve">      </v>
      </c>
      <c r="HQ48" s="107" t="str">
        <f t="shared" si="147"/>
        <v xml:space="preserve">      </v>
      </c>
      <c r="HR48" s="366" t="str">
        <f t="shared" si="148"/>
        <v xml:space="preserve">      </v>
      </c>
      <c r="HS48" s="544" t="str">
        <f t="shared" si="170"/>
        <v/>
      </c>
      <c r="HT48" s="542" t="str">
        <f t="shared" si="149"/>
        <v/>
      </c>
      <c r="HU48" s="541" t="str">
        <f t="shared" si="160"/>
        <v/>
      </c>
      <c r="HV48" s="540" t="str">
        <f t="shared" si="150"/>
        <v/>
      </c>
      <c r="HW48" s="537" t="str">
        <f t="shared" si="151"/>
        <v/>
      </c>
      <c r="HX48" s="539" t="str">
        <f t="shared" si="152"/>
        <v/>
      </c>
      <c r="HY48" s="553" t="str">
        <f>IFERROR(IF(OR(HS48="SUPPLEMENTARY",HS48="RE-EXAM"),'Supp. Result Entry'!AQ46,""),"")</f>
        <v/>
      </c>
      <c r="HZ48" s="538" t="str">
        <f t="shared" si="153"/>
        <v/>
      </c>
      <c r="IA48" s="415" t="str">
        <f t="shared" si="154"/>
        <v/>
      </c>
      <c r="IB48" s="415" t="str">
        <f>IF(AND(HZ48="",IA48=""),"",IF(OR(HS48="SUPPLEMENTARY",HS48="RE-EXAM"),'Supp. Result Entry'!AQ46,HS48))</f>
        <v/>
      </c>
      <c r="IC48" s="87"/>
      <c r="ID48" s="111"/>
      <c r="IS48" s="109" t="str">
        <f>IF('Supp. Result Entry'!T46="","",'Supp. Result Entry'!$T$4)</f>
        <v/>
      </c>
      <c r="IT48" s="110" t="str">
        <f>IF('Supp. Result Entry'!W46="","",'Supp. Result Entry'!$W$4)</f>
        <v/>
      </c>
      <c r="IU48" s="110" t="str">
        <f>IF('Supp. Result Entry'!Z46="","",'Supp. Result Entry'!$Z$4)</f>
        <v/>
      </c>
      <c r="IV48" s="110" t="str">
        <f>IF('Supp. Result Entry'!AC46="","",'Supp. Result Entry'!$AC$4)</f>
        <v/>
      </c>
      <c r="IW48" s="110" t="str">
        <f>IF('Supp. Result Entry'!AF46="","",'Supp. Result Entry'!$AF$4)</f>
        <v/>
      </c>
      <c r="IX48" s="110" t="str">
        <f>IF('Supp. Result Entry'!AI46="","",'Supp. Result Entry'!$AI$4)</f>
        <v/>
      </c>
      <c r="IY48" s="110" t="str">
        <f>IF('Supp. Result Entry'!AI46="","",'Supp. Result Entry'!$AL$4)</f>
        <v/>
      </c>
      <c r="IZ48" s="110" t="str">
        <f>IF('Supp. Result Entry'!U46="","",'Supp. Result Entry'!U46)</f>
        <v/>
      </c>
      <c r="JA48" s="110" t="str">
        <f>IF('Supp. Result Entry'!X46="","",'Supp. Result Entry'!X46)</f>
        <v/>
      </c>
      <c r="JB48" s="110" t="str">
        <f>IF('Supp. Result Entry'!AA46="","",'Supp. Result Entry'!AA46)</f>
        <v/>
      </c>
      <c r="JC48" s="110" t="str">
        <f>IF('Supp. Result Entry'!AD46="","",'Supp. Result Entry'!AD46)</f>
        <v/>
      </c>
      <c r="JD48" s="110" t="str">
        <f>IF('Supp. Result Entry'!AG46="","",'Supp. Result Entry'!AG46)</f>
        <v/>
      </c>
      <c r="JE48" s="110" t="str">
        <f>IF('Supp. Result Entry'!AJ46="","",'Supp. Result Entry'!AJ46)</f>
        <v/>
      </c>
      <c r="JF48" s="110" t="str">
        <f>IF('Supp. Result Entry'!AM46="","",'Supp. Result Entry'!AM46)</f>
        <v/>
      </c>
      <c r="JG48" s="110" t="str">
        <f>IF('Supp. Result Entry'!V46="","",'Supp. Result Entry'!V46)</f>
        <v/>
      </c>
      <c r="JH48" s="110" t="str">
        <f>IF('Supp. Result Entry'!Y46="","",'Supp. Result Entry'!Y46)</f>
        <v/>
      </c>
      <c r="JI48" s="110" t="str">
        <f>IF('Supp. Result Entry'!AB46="","",'Supp. Result Entry'!AB46)</f>
        <v/>
      </c>
      <c r="JJ48" s="110" t="str">
        <f>IF('Supp. Result Entry'!AE46="","",'Supp. Result Entry'!AE46)</f>
        <v/>
      </c>
      <c r="JK48" s="110" t="str">
        <f>IF('Supp. Result Entry'!AH46="","",'Supp. Result Entry'!AH46)</f>
        <v/>
      </c>
      <c r="JL48" s="110" t="str">
        <f>IF('Supp. Result Entry'!AK46="","",'Supp. Result Entry'!AK46)</f>
        <v/>
      </c>
      <c r="JM48" s="110" t="str">
        <f>IF('Supp. Result Entry'!AN46="","",'Supp. Result Entry'!AN46)</f>
        <v/>
      </c>
      <c r="JN48" s="110">
        <f>COUNTIF('Supp. Result Entry'!K46:Q46,"S")</f>
        <v>0</v>
      </c>
      <c r="JO48" s="110">
        <f t="shared" si="155"/>
        <v>0</v>
      </c>
      <c r="JP48" s="110">
        <f t="shared" si="156"/>
        <v>0</v>
      </c>
      <c r="JQ48" s="110" t="str">
        <f t="shared" si="75"/>
        <v/>
      </c>
      <c r="JR48" s="110" t="str">
        <f t="shared" si="76"/>
        <v/>
      </c>
      <c r="JS48" s="110" t="str">
        <f t="shared" si="77"/>
        <v/>
      </c>
      <c r="JT48" s="110" t="str">
        <f t="shared" si="78"/>
        <v/>
      </c>
      <c r="JU48" s="110" t="str">
        <f t="shared" si="79"/>
        <v/>
      </c>
      <c r="JV48" s="110" t="str">
        <f t="shared" si="80"/>
        <v/>
      </c>
      <c r="JW48" s="110" t="str">
        <f t="shared" si="81"/>
        <v/>
      </c>
      <c r="JX48" s="110" t="str">
        <f t="shared" si="157"/>
        <v/>
      </c>
      <c r="JY48" s="110" t="str">
        <f t="shared" si="158"/>
        <v/>
      </c>
      <c r="JZ48" s="110" t="str">
        <f t="shared" si="82"/>
        <v/>
      </c>
      <c r="KA48" s="108" t="str">
        <f t="shared" si="159"/>
        <v/>
      </c>
    </row>
    <row r="49" spans="1:287" s="108" customFormat="1" ht="21.95" customHeight="1">
      <c r="A49" s="89">
        <v>43</v>
      </c>
      <c r="B49" s="90" t="str">
        <f>IF('Marks Entry'!B49="","",'Marks Entry'!B49)</f>
        <v/>
      </c>
      <c r="C49" s="94" t="str">
        <f>IF('Marks Entry'!D49="","",'Marks Entry'!D49)</f>
        <v/>
      </c>
      <c r="D49" s="91" t="str">
        <f>IF('Marks Entry'!E49="","",'Marks Entry'!E49)</f>
        <v/>
      </c>
      <c r="E49" s="92" t="str">
        <f>IF('Marks Entry'!F49="","",'Marks Entry'!F49)</f>
        <v/>
      </c>
      <c r="F49" s="93" t="str">
        <f>IF('Marks Entry'!G49="","",'Marks Entry'!G49)</f>
        <v/>
      </c>
      <c r="G49" s="93" t="str">
        <f>IF('Marks Entry'!H49="","",'Marks Entry'!H49)</f>
        <v/>
      </c>
      <c r="H49" s="93" t="str">
        <f>IF('Marks Entry'!I49="","",'Marks Entry'!I49)</f>
        <v/>
      </c>
      <c r="I49" s="94" t="str">
        <f>IF('Marks Entry'!J49="","",'Marks Entry'!J49)</f>
        <v/>
      </c>
      <c r="J49" s="95" t="str">
        <f>IF('Marks Entry'!K49="","",'Marks Entry'!K49)</f>
        <v/>
      </c>
      <c r="K49" s="68" t="str">
        <f>IF('Marks Entry'!L49="","",'Marks Entry'!L49)</f>
        <v/>
      </c>
      <c r="L49" s="68" t="str">
        <f>IF('Marks Entry'!M49="","",'Marks Entry'!M49)</f>
        <v/>
      </c>
      <c r="M49" s="68" t="str">
        <f>IF('Marks Entry'!N49="","",'Marks Entry'!N49)</f>
        <v/>
      </c>
      <c r="N49" s="514" t="str">
        <f t="shared" si="83"/>
        <v/>
      </c>
      <c r="O49" s="68" t="str">
        <f>IF('Marks Entry'!O49="","",'Marks Entry'!O49)</f>
        <v/>
      </c>
      <c r="P49" s="515" t="str">
        <f t="shared" si="84"/>
        <v/>
      </c>
      <c r="Q49" s="68" t="str">
        <f>IF('Marks Entry'!P49="","",'Marks Entry'!P49)</f>
        <v/>
      </c>
      <c r="R49" s="96" t="str">
        <f t="shared" si="85"/>
        <v/>
      </c>
      <c r="S49" s="65">
        <f t="shared" si="86"/>
        <v>0</v>
      </c>
      <c r="T49" s="65">
        <f t="shared" si="87"/>
        <v>0</v>
      </c>
      <c r="U49" s="66" t="str">
        <f t="shared" si="88"/>
        <v/>
      </c>
      <c r="V49" s="65" t="str">
        <f t="shared" si="89"/>
        <v/>
      </c>
      <c r="W49" s="65" t="str">
        <f t="shared" si="90"/>
        <v/>
      </c>
      <c r="X49" s="65" t="str">
        <f t="shared" si="91"/>
        <v/>
      </c>
      <c r="Y49" s="68" t="str">
        <f>IF('Marks Entry'!Q49="","",'Marks Entry'!Q49)</f>
        <v/>
      </c>
      <c r="Z49" s="68" t="str">
        <f>IF('Marks Entry'!R49="","",'Marks Entry'!R49)</f>
        <v/>
      </c>
      <c r="AA49" s="68" t="str">
        <f>IF('Marks Entry'!S49="","",'Marks Entry'!S49)</f>
        <v/>
      </c>
      <c r="AB49" s="514" t="str">
        <f t="shared" si="2"/>
        <v/>
      </c>
      <c r="AC49" s="68" t="str">
        <f>IF('Marks Entry'!T49="","",'Marks Entry'!T49)</f>
        <v/>
      </c>
      <c r="AD49" s="515" t="str">
        <f t="shared" si="3"/>
        <v/>
      </c>
      <c r="AE49" s="68" t="str">
        <f>IF('Marks Entry'!U49="","",'Marks Entry'!U49)</f>
        <v/>
      </c>
      <c r="AF49" s="96" t="str">
        <f t="shared" si="4"/>
        <v/>
      </c>
      <c r="AG49" s="65">
        <f t="shared" si="5"/>
        <v>0</v>
      </c>
      <c r="AH49" s="65">
        <f t="shared" si="6"/>
        <v>0</v>
      </c>
      <c r="AI49" s="66" t="str">
        <f t="shared" si="7"/>
        <v/>
      </c>
      <c r="AJ49" s="65" t="str">
        <f t="shared" si="8"/>
        <v/>
      </c>
      <c r="AK49" s="65" t="str">
        <f t="shared" si="9"/>
        <v/>
      </c>
      <c r="AL49" s="65" t="str">
        <f t="shared" si="10"/>
        <v/>
      </c>
      <c r="AM49" s="524" t="str">
        <f>IF('Marks Entry'!V49="","",IF('Marks Entry'!V49=1,'School Profile'!$I$9,IF('Marks Entry'!V49=2,'School Profile'!$I$10,IF('Marks Entry'!V49=3,'School Profile'!$I$11,IF('Marks Entry'!V49=4,'School Profile'!$I$12,IF('Marks Entry'!V49=5,'School Profile'!$I$13,IF('Marks Entry'!V49=6,'School Profile'!$I$14,"")))))))</f>
        <v/>
      </c>
      <c r="AN49" s="68" t="str">
        <f>IF('Marks Entry'!W49="","",'Marks Entry'!W49)</f>
        <v/>
      </c>
      <c r="AO49" s="68" t="str">
        <f>IF('Marks Entry'!X49="","",'Marks Entry'!X49)</f>
        <v/>
      </c>
      <c r="AP49" s="68" t="str">
        <f>IF('Marks Entry'!Y49="","",'Marks Entry'!Y49)</f>
        <v/>
      </c>
      <c r="AQ49" s="514" t="str">
        <f t="shared" si="11"/>
        <v/>
      </c>
      <c r="AR49" s="68" t="str">
        <f>IF('Marks Entry'!Z49="","",'Marks Entry'!Z49)</f>
        <v/>
      </c>
      <c r="AS49" s="515" t="str">
        <f t="shared" si="12"/>
        <v/>
      </c>
      <c r="AT49" s="68" t="str">
        <f>IF('Marks Entry'!AA49="","",'Marks Entry'!AA49)</f>
        <v/>
      </c>
      <c r="AU49" s="96" t="str">
        <f t="shared" si="13"/>
        <v/>
      </c>
      <c r="AV49" s="65">
        <f t="shared" si="14"/>
        <v>0</v>
      </c>
      <c r="AW49" s="65">
        <f t="shared" si="15"/>
        <v>0</v>
      </c>
      <c r="AX49" s="66" t="str">
        <f t="shared" si="16"/>
        <v/>
      </c>
      <c r="AY49" s="65" t="str">
        <f t="shared" si="17"/>
        <v/>
      </c>
      <c r="AZ49" s="65" t="str">
        <f t="shared" si="18"/>
        <v/>
      </c>
      <c r="BA49" s="65" t="str">
        <f t="shared" si="19"/>
        <v/>
      </c>
      <c r="BB49" s="68" t="str">
        <f>IF('Marks Entry'!AB49="","",'Marks Entry'!AB49)</f>
        <v/>
      </c>
      <c r="BC49" s="68" t="str">
        <f>IF('Marks Entry'!AC49="","",'Marks Entry'!AC49)</f>
        <v/>
      </c>
      <c r="BD49" s="68" t="str">
        <f>IF('Marks Entry'!AD49="","",'Marks Entry'!AD49)</f>
        <v/>
      </c>
      <c r="BE49" s="514" t="str">
        <f t="shared" si="20"/>
        <v/>
      </c>
      <c r="BF49" s="68" t="str">
        <f>IF('Marks Entry'!AE49="","",'Marks Entry'!AE49)</f>
        <v/>
      </c>
      <c r="BG49" s="515" t="str">
        <f t="shared" si="21"/>
        <v/>
      </c>
      <c r="BH49" s="68" t="str">
        <f>IF('Marks Entry'!AF49="","",'Marks Entry'!AF49)</f>
        <v/>
      </c>
      <c r="BI49" s="96" t="str">
        <f t="shared" si="22"/>
        <v/>
      </c>
      <c r="BJ49" s="65">
        <f t="shared" si="23"/>
        <v>0</v>
      </c>
      <c r="BK49" s="65">
        <f t="shared" si="92"/>
        <v>0</v>
      </c>
      <c r="BL49" s="66" t="str">
        <f t="shared" si="24"/>
        <v/>
      </c>
      <c r="BM49" s="65" t="str">
        <f t="shared" si="25"/>
        <v/>
      </c>
      <c r="BN49" s="65" t="str">
        <f t="shared" si="26"/>
        <v/>
      </c>
      <c r="BO49" s="65" t="str">
        <f t="shared" si="27"/>
        <v/>
      </c>
      <c r="BP49" s="68" t="str">
        <f>IF('Marks Entry'!AG49="","",'Marks Entry'!AG49)</f>
        <v/>
      </c>
      <c r="BQ49" s="68" t="str">
        <f>IF('Marks Entry'!AH49="","",'Marks Entry'!AH49)</f>
        <v/>
      </c>
      <c r="BR49" s="68" t="str">
        <f>IF('Marks Entry'!AI49="","",'Marks Entry'!AI49)</f>
        <v/>
      </c>
      <c r="BS49" s="514" t="str">
        <f t="shared" si="28"/>
        <v/>
      </c>
      <c r="BT49" s="68" t="str">
        <f>IF('Marks Entry'!AJ49="","",'Marks Entry'!AJ49)</f>
        <v/>
      </c>
      <c r="BU49" s="515" t="str">
        <f t="shared" si="29"/>
        <v/>
      </c>
      <c r="BV49" s="68" t="str">
        <f>IF('Marks Entry'!AK49="","",'Marks Entry'!AK49)</f>
        <v/>
      </c>
      <c r="BW49" s="96" t="str">
        <f t="shared" si="30"/>
        <v/>
      </c>
      <c r="BX49" s="65">
        <f t="shared" si="31"/>
        <v>0</v>
      </c>
      <c r="BY49" s="65">
        <f t="shared" si="32"/>
        <v>0</v>
      </c>
      <c r="BZ49" s="66" t="str">
        <f t="shared" si="33"/>
        <v/>
      </c>
      <c r="CA49" s="65" t="str">
        <f t="shared" si="34"/>
        <v/>
      </c>
      <c r="CB49" s="65" t="str">
        <f t="shared" si="35"/>
        <v/>
      </c>
      <c r="CC49" s="65" t="str">
        <f t="shared" si="36"/>
        <v/>
      </c>
      <c r="CD49" s="66">
        <f t="shared" si="161"/>
        <v>0</v>
      </c>
      <c r="CE49" s="68" t="str">
        <f>IF('Marks Entry'!AL49="","",'Marks Entry'!AL49)</f>
        <v/>
      </c>
      <c r="CF49" s="68" t="str">
        <f>IF('Marks Entry'!AM49="","",'Marks Entry'!AM49)</f>
        <v/>
      </c>
      <c r="CG49" s="68" t="str">
        <f>IF('Marks Entry'!AN49="","",'Marks Entry'!AN49)</f>
        <v/>
      </c>
      <c r="CH49" s="514" t="str">
        <f t="shared" si="37"/>
        <v/>
      </c>
      <c r="CI49" s="68" t="str">
        <f>IF('Marks Entry'!AO49="","",'Marks Entry'!AO49)</f>
        <v/>
      </c>
      <c r="CJ49" s="515" t="str">
        <f t="shared" si="38"/>
        <v/>
      </c>
      <c r="CK49" s="68" t="str">
        <f>IF('Marks Entry'!AP49="","",'Marks Entry'!AP49)</f>
        <v/>
      </c>
      <c r="CL49" s="96" t="str">
        <f t="shared" si="39"/>
        <v/>
      </c>
      <c r="CM49" s="65">
        <f t="shared" si="40"/>
        <v>0</v>
      </c>
      <c r="CN49" s="65">
        <f t="shared" si="41"/>
        <v>0</v>
      </c>
      <c r="CO49" s="66" t="str">
        <f t="shared" si="42"/>
        <v/>
      </c>
      <c r="CP49" s="65" t="str">
        <f t="shared" si="43"/>
        <v/>
      </c>
      <c r="CQ49" s="65" t="str">
        <f t="shared" si="44"/>
        <v/>
      </c>
      <c r="CR49" s="65" t="str">
        <f t="shared" si="45"/>
        <v/>
      </c>
      <c r="CS49" s="616" t="str">
        <f>IF('School Profile'!$D$20="NO","",IF('Marks Entry'!AQ49="","",IF('Marks Entry'!AQ49=1,'School Profile'!$I$29,IF('Marks Entry'!AQ49=2,'School Profile'!$I$30,IF('Marks Entry'!AQ49=3,'School Profile'!$I$31,IF('Marks Entry'!AQ49=4,'School Profile'!$I$32,IF('Marks Entry'!AQ49=5,'School Profile'!$I$33,IF('Marks Entry'!AQ49=6,'School Profile'!$I$34,IF('Marks Entry'!AQ49=7,'School Profile'!$I$35,IF('Marks Entry'!AQ49=8,'School Profile'!$I$36,IF('Marks Entry'!AQ49=9,'School Profile'!$I$37,IF('Marks Entry'!AQ49=10,'School Profile'!$I$38,IF('Marks Entry'!AQ49=11,'School Profile'!$I$39,"")))))))))))))</f>
        <v/>
      </c>
      <c r="CT49" s="68" t="str">
        <f>IF('School Profile'!$D$20="NO","",IF('Marks Entry'!AR49="","",'Marks Entry'!AR49))</f>
        <v/>
      </c>
      <c r="CU49" s="68" t="str">
        <f>IF('School Profile'!$D$20="NO","",IF('Marks Entry'!AS49="","",'Marks Entry'!AS49))</f>
        <v/>
      </c>
      <c r="CV49" s="68" t="str">
        <f>IF('School Profile'!$D$20="NO","",IF('Marks Entry'!AT49="","",'Marks Entry'!AT49))</f>
        <v/>
      </c>
      <c r="CW49" s="514" t="str">
        <f>IF('School Profile'!$D$20="NO","",IF(AND(CT49="",CU49="",CV49=""),"",SUM(CT49:CV49)))</f>
        <v/>
      </c>
      <c r="CX49" s="68" t="str">
        <f>IF('School Profile'!$D$20="NO","",IF('Marks Entry'!AU49="","",'Marks Entry'!AU49))</f>
        <v/>
      </c>
      <c r="CY49" s="68" t="str">
        <f>IF('School Profile'!$D$20="NO","",IF('Marks Entry'!AV49="","",'Marks Entry'!AV49))</f>
        <v/>
      </c>
      <c r="CZ49" s="515" t="str">
        <f>IF('School Profile'!$D$20="NO","",IF(AND(CX49="",CY49=""),"",SUM(CX49,CY49)))</f>
        <v/>
      </c>
      <c r="DA49" s="69" t="str">
        <f>IF('School Profile'!$D$20="NO","",IF(AND(CW49="",CZ49=""),"",SUM(CW49+CZ49)))</f>
        <v/>
      </c>
      <c r="DB49" s="68" t="str">
        <f>IF('School Profile'!$D$20="NO","",IF('Marks Entry'!AW49="","",'Marks Entry'!AW49))</f>
        <v/>
      </c>
      <c r="DC49" s="68" t="str">
        <f>IF('School Profile'!$D$20="NO","",IF('Marks Entry'!AX49="","",'Marks Entry'!AX49))</f>
        <v/>
      </c>
      <c r="DD49" s="515" t="str">
        <f>IF('School Profile'!$D$20="NO","",IF(AND(DB49="",DC49=""),"",SUM(DB49,DC49)))</f>
        <v/>
      </c>
      <c r="DE49" s="96" t="str">
        <f>IF('School Profile'!$D$20="NO","",IF(AND(DA49="",DD49=""),"",SUM(DA49,DD49)))</f>
        <v/>
      </c>
      <c r="DF49" s="532">
        <f t="shared" si="46"/>
        <v>0</v>
      </c>
      <c r="DG49" s="65">
        <f t="shared" si="47"/>
        <v>0</v>
      </c>
      <c r="DH49" s="66" t="str">
        <f t="shared" si="48"/>
        <v/>
      </c>
      <c r="DI49" s="65" t="str">
        <f t="shared" si="49"/>
        <v/>
      </c>
      <c r="DJ49" s="65" t="str">
        <f t="shared" si="50"/>
        <v/>
      </c>
      <c r="DK49" s="65" t="str">
        <f t="shared" si="51"/>
        <v/>
      </c>
      <c r="DL49" s="97" t="str">
        <f t="shared" si="94"/>
        <v/>
      </c>
      <c r="DM49" s="97" t="str">
        <f t="shared" si="95"/>
        <v/>
      </c>
      <c r="DN49" s="97" t="str">
        <f t="shared" si="96"/>
        <v/>
      </c>
      <c r="DO49" s="97" t="str">
        <f t="shared" si="97"/>
        <v/>
      </c>
      <c r="DP49" s="97" t="str">
        <f t="shared" si="98"/>
        <v/>
      </c>
      <c r="DQ49" s="97" t="str">
        <f t="shared" si="99"/>
        <v/>
      </c>
      <c r="DR49" s="97" t="str">
        <f t="shared" si="100"/>
        <v/>
      </c>
      <c r="DS49" s="98">
        <f t="shared" si="101"/>
        <v>0</v>
      </c>
      <c r="DT49" s="98">
        <f t="shared" si="102"/>
        <v>0</v>
      </c>
      <c r="DU49" s="98">
        <f t="shared" si="103"/>
        <v>0</v>
      </c>
      <c r="DV49" s="98">
        <f t="shared" si="104"/>
        <v>0</v>
      </c>
      <c r="DW49" s="98">
        <f t="shared" si="105"/>
        <v>0</v>
      </c>
      <c r="DX49" s="98" t="str">
        <f t="shared" si="106"/>
        <v/>
      </c>
      <c r="DY49" s="99" t="str">
        <f t="shared" si="107"/>
        <v/>
      </c>
      <c r="DZ49" s="74" t="str">
        <f>IF('Marks Entry'!AY49="","",'Marks Entry'!AY49)</f>
        <v/>
      </c>
      <c r="EA49" s="74" t="str">
        <f>IF('Marks Entry'!AZ49="","",'Marks Entry'!AZ49)</f>
        <v/>
      </c>
      <c r="EB49" s="74" t="str">
        <f>IF('Marks Entry'!BA49="","",'Marks Entry'!BA49)</f>
        <v/>
      </c>
      <c r="EC49" s="527" t="str">
        <f t="shared" si="52"/>
        <v/>
      </c>
      <c r="ED49" s="74" t="str">
        <f>IF('Marks Entry'!BB49="","",'Marks Entry'!BB49)</f>
        <v/>
      </c>
      <c r="EE49" s="528" t="str">
        <f t="shared" si="53"/>
        <v/>
      </c>
      <c r="EF49" s="74" t="str">
        <f>IF('Marks Entry'!BC49="","",'Marks Entry'!BC49)</f>
        <v/>
      </c>
      <c r="EG49" s="530" t="str">
        <f t="shared" si="54"/>
        <v/>
      </c>
      <c r="EH49" s="368" t="str">
        <f t="shared" si="108"/>
        <v/>
      </c>
      <c r="EI49" s="65">
        <f t="shared" si="109"/>
        <v>0</v>
      </c>
      <c r="EJ49" s="65">
        <f t="shared" si="110"/>
        <v>0</v>
      </c>
      <c r="EK49" s="66" t="str">
        <f t="shared" si="111"/>
        <v/>
      </c>
      <c r="EL49" s="74" t="str">
        <f>IF('Marks Entry'!BD49="","",'Marks Entry'!BD49)</f>
        <v/>
      </c>
      <c r="EM49" s="74" t="str">
        <f>IF('Marks Entry'!BE49="","",'Marks Entry'!BE49)</f>
        <v/>
      </c>
      <c r="EN49" s="74" t="str">
        <f>IF('Marks Entry'!BF49="","",'Marks Entry'!BF49)</f>
        <v/>
      </c>
      <c r="EO49" s="527" t="str">
        <f t="shared" si="55"/>
        <v/>
      </c>
      <c r="EP49" s="74" t="str">
        <f>IF('Marks Entry'!BG49="","",'Marks Entry'!BG49)</f>
        <v/>
      </c>
      <c r="EQ49" s="74" t="str">
        <f>IF('Marks Entry'!BH49="","",'Marks Entry'!BH49)</f>
        <v/>
      </c>
      <c r="ER49" s="528" t="str">
        <f t="shared" si="56"/>
        <v/>
      </c>
      <c r="ES49" s="529" t="str">
        <f t="shared" si="57"/>
        <v/>
      </c>
      <c r="ET49" s="74" t="str">
        <f>IF('Marks Entry'!BI49="","",'Marks Entry'!BI49)</f>
        <v/>
      </c>
      <c r="EU49" s="74" t="str">
        <f>IF('Marks Entry'!BJ49="","",'Marks Entry'!BJ49)</f>
        <v/>
      </c>
      <c r="EV49" s="528" t="str">
        <f t="shared" si="58"/>
        <v/>
      </c>
      <c r="EW49" s="530" t="str">
        <f t="shared" si="59"/>
        <v/>
      </c>
      <c r="EX49" s="368" t="str">
        <f t="shared" si="112"/>
        <v/>
      </c>
      <c r="EY49" s="65">
        <f t="shared" si="113"/>
        <v>0</v>
      </c>
      <c r="EZ49" s="65">
        <f t="shared" si="114"/>
        <v>0</v>
      </c>
      <c r="FA49" s="66" t="str">
        <f t="shared" si="115"/>
        <v/>
      </c>
      <c r="FB49" s="74" t="str">
        <f>IF('Marks Entry'!BK49="","",'Marks Entry'!BK49)</f>
        <v/>
      </c>
      <c r="FC49" s="74" t="str">
        <f>IF('Marks Entry'!BL49="","",'Marks Entry'!BL49)</f>
        <v/>
      </c>
      <c r="FD49" s="74" t="str">
        <f>IF('Marks Entry'!BM49="","",'Marks Entry'!BM49)</f>
        <v/>
      </c>
      <c r="FE49" s="74" t="str">
        <f>IF('Marks Entry'!BN49="","",'Marks Entry'!BN49)</f>
        <v/>
      </c>
      <c r="FF49" s="74" t="str">
        <f>IF('Marks Entry'!BO49="","",'Marks Entry'!BO49)</f>
        <v/>
      </c>
      <c r="FG49" s="74" t="str">
        <f>IF('Marks Entry'!BP49="","",'Marks Entry'!BP49)</f>
        <v/>
      </c>
      <c r="FH49" s="527" t="str">
        <f t="shared" si="60"/>
        <v/>
      </c>
      <c r="FI49" s="74" t="str">
        <f>IF('Marks Entry'!BQ49="","",'Marks Entry'!BQ49)</f>
        <v/>
      </c>
      <c r="FJ49" s="74" t="str">
        <f>IF('Marks Entry'!BR49="","",'Marks Entry'!BR49)</f>
        <v/>
      </c>
      <c r="FK49" s="528" t="str">
        <f t="shared" si="61"/>
        <v/>
      </c>
      <c r="FL49" s="529" t="str">
        <f t="shared" si="62"/>
        <v/>
      </c>
      <c r="FM49" s="74" t="str">
        <f>IF('Marks Entry'!BS49="","",'Marks Entry'!BS49)</f>
        <v/>
      </c>
      <c r="FN49" s="74" t="str">
        <f>IF('Marks Entry'!BT49="","",'Marks Entry'!BT49)</f>
        <v/>
      </c>
      <c r="FO49" s="528" t="str">
        <f t="shared" si="63"/>
        <v/>
      </c>
      <c r="FP49" s="530" t="str">
        <f t="shared" si="64"/>
        <v/>
      </c>
      <c r="FQ49" s="368" t="str">
        <f t="shared" si="116"/>
        <v/>
      </c>
      <c r="FR49" s="65">
        <f t="shared" si="117"/>
        <v>0</v>
      </c>
      <c r="FS49" s="65">
        <f t="shared" si="118"/>
        <v>0</v>
      </c>
      <c r="FT49" s="66" t="str">
        <f t="shared" si="119"/>
        <v/>
      </c>
      <c r="FU49" s="74" t="str">
        <f>IF('Marks Entry'!BU49="","",'Marks Entry'!BU49)</f>
        <v/>
      </c>
      <c r="FV49" s="74" t="str">
        <f>IF('Marks Entry'!BV49="","",'Marks Entry'!BV49)</f>
        <v/>
      </c>
      <c r="FW49" s="74" t="str">
        <f>IF('Marks Entry'!BW49="","",'Marks Entry'!BW49)</f>
        <v/>
      </c>
      <c r="FX49" s="75" t="str">
        <f t="shared" si="65"/>
        <v/>
      </c>
      <c r="FY49" s="368" t="str">
        <f t="shared" si="120"/>
        <v/>
      </c>
      <c r="FZ49" s="65">
        <f t="shared" si="121"/>
        <v>0</v>
      </c>
      <c r="GA49" s="66">
        <f t="shared" si="122"/>
        <v>0</v>
      </c>
      <c r="GB49" s="66" t="str">
        <f t="shared" si="123"/>
        <v/>
      </c>
      <c r="GC49" s="74" t="str">
        <f>IF('Marks Entry'!BX49="","",'Marks Entry'!BX49)</f>
        <v/>
      </c>
      <c r="GD49" s="74" t="str">
        <f>IF('Marks Entry'!BY49="","",'Marks Entry'!BY49)</f>
        <v/>
      </c>
      <c r="GE49" s="74" t="str">
        <f>IF('Marks Entry'!BZ49="","",'Marks Entry'!BZ49)</f>
        <v/>
      </c>
      <c r="GF49" s="75" t="str">
        <f t="shared" si="124"/>
        <v/>
      </c>
      <c r="GG49" s="368" t="str">
        <f t="shared" si="125"/>
        <v/>
      </c>
      <c r="GH49" s="65">
        <f t="shared" si="126"/>
        <v>0</v>
      </c>
      <c r="GI49" s="66">
        <f t="shared" si="127"/>
        <v>0</v>
      </c>
      <c r="GJ49" s="66" t="str">
        <f t="shared" si="128"/>
        <v/>
      </c>
      <c r="GK49" s="100" t="str">
        <f>IF(AND(F49="",B49=""),"",IF('Student DATA Entry'!M46="","",'Student DATA Entry'!M46))</f>
        <v/>
      </c>
      <c r="GL49" s="101" t="str">
        <f>IF(AND(B49="",F49=""),"",IF('Student DATA Entry'!N46="","",'Student DATA Entry'!N46))</f>
        <v/>
      </c>
      <c r="GM49" s="581" t="str">
        <f t="shared" si="129"/>
        <v/>
      </c>
      <c r="GN49" s="94" t="str">
        <f t="shared" si="130"/>
        <v/>
      </c>
      <c r="GO49" s="94" t="str">
        <f t="shared" si="131"/>
        <v/>
      </c>
      <c r="GP49" s="102" t="str">
        <f t="shared" si="162"/>
        <v/>
      </c>
      <c r="GQ49" s="94" t="str">
        <f t="shared" si="132"/>
        <v/>
      </c>
      <c r="GR49" s="103" t="str">
        <f t="shared" si="133"/>
        <v/>
      </c>
      <c r="GS49" s="102" t="str">
        <f t="shared" si="163"/>
        <v/>
      </c>
      <c r="GT49" s="104" t="str">
        <f t="shared" si="134"/>
        <v/>
      </c>
      <c r="GU49" s="94" t="str">
        <f>IF('Marks Entry'!V49=1,GT49,"")</f>
        <v/>
      </c>
      <c r="GV49" s="94" t="str">
        <f>IF('Marks Entry'!V49=2,GT49,"")</f>
        <v/>
      </c>
      <c r="GW49" s="94" t="str">
        <f>IF('Marks Entry'!V49=3,GT49,"")</f>
        <v/>
      </c>
      <c r="GX49" s="94" t="str">
        <f>IF('Marks Entry'!V49=4,GT49,"")</f>
        <v/>
      </c>
      <c r="GY49" s="94" t="str">
        <f>IF('Marks Entry'!V49=5,GT49,"")</f>
        <v/>
      </c>
      <c r="GZ49" s="94" t="str">
        <f t="shared" si="135"/>
        <v/>
      </c>
      <c r="HA49" s="105" t="str">
        <f t="shared" si="164"/>
        <v/>
      </c>
      <c r="HB49" s="94" t="str">
        <f t="shared" si="136"/>
        <v/>
      </c>
      <c r="HC49" s="94" t="str">
        <f t="shared" si="137"/>
        <v/>
      </c>
      <c r="HD49" s="105" t="str">
        <f t="shared" si="165"/>
        <v/>
      </c>
      <c r="HE49" s="94" t="str">
        <f t="shared" si="138"/>
        <v/>
      </c>
      <c r="HF49" s="94" t="str">
        <f t="shared" si="139"/>
        <v/>
      </c>
      <c r="HG49" s="105" t="str">
        <f t="shared" si="166"/>
        <v/>
      </c>
      <c r="HH49" s="94" t="str">
        <f t="shared" si="140"/>
        <v/>
      </c>
      <c r="HI49" s="94" t="str">
        <f t="shared" si="141"/>
        <v/>
      </c>
      <c r="HJ49" s="105" t="str">
        <f t="shared" si="167"/>
        <v/>
      </c>
      <c r="HK49" s="94" t="str">
        <f t="shared" si="142"/>
        <v/>
      </c>
      <c r="HL49" s="94" t="str">
        <f t="shared" si="143"/>
        <v/>
      </c>
      <c r="HM49" s="105" t="str">
        <f t="shared" si="168"/>
        <v/>
      </c>
      <c r="HN49" s="367" t="str">
        <f t="shared" si="144"/>
        <v xml:space="preserve">      </v>
      </c>
      <c r="HO49" s="418" t="str">
        <f t="shared" si="169"/>
        <v xml:space="preserve">      </v>
      </c>
      <c r="HP49" s="367" t="str">
        <f t="shared" si="146"/>
        <v xml:space="preserve">      </v>
      </c>
      <c r="HQ49" s="107" t="str">
        <f t="shared" si="147"/>
        <v xml:space="preserve">      </v>
      </c>
      <c r="HR49" s="366" t="str">
        <f t="shared" si="148"/>
        <v xml:space="preserve">      </v>
      </c>
      <c r="HS49" s="544" t="str">
        <f t="shared" si="170"/>
        <v/>
      </c>
      <c r="HT49" s="542" t="str">
        <f t="shared" si="149"/>
        <v/>
      </c>
      <c r="HU49" s="541" t="str">
        <f t="shared" si="160"/>
        <v/>
      </c>
      <c r="HV49" s="540" t="str">
        <f t="shared" si="150"/>
        <v/>
      </c>
      <c r="HW49" s="537" t="str">
        <f t="shared" si="151"/>
        <v/>
      </c>
      <c r="HX49" s="539" t="str">
        <f t="shared" si="152"/>
        <v/>
      </c>
      <c r="HY49" s="553" t="str">
        <f>IFERROR(IF(OR(HS49="SUPPLEMENTARY",HS49="RE-EXAM"),'Supp. Result Entry'!AQ47,""),"")</f>
        <v/>
      </c>
      <c r="HZ49" s="538" t="str">
        <f t="shared" si="153"/>
        <v/>
      </c>
      <c r="IA49" s="415" t="str">
        <f t="shared" si="154"/>
        <v/>
      </c>
      <c r="IB49" s="415" t="str">
        <f>IF(AND(HZ49="",IA49=""),"",IF(OR(HS49="SUPPLEMENTARY",HS49="RE-EXAM"),'Supp. Result Entry'!AQ47,HS49))</f>
        <v/>
      </c>
      <c r="IC49" s="87"/>
      <c r="ID49" s="111"/>
      <c r="IS49" s="109" t="str">
        <f>IF('Supp. Result Entry'!T47="","",'Supp. Result Entry'!$T$4)</f>
        <v/>
      </c>
      <c r="IT49" s="110" t="str">
        <f>IF('Supp. Result Entry'!W47="","",'Supp. Result Entry'!$W$4)</f>
        <v/>
      </c>
      <c r="IU49" s="110" t="str">
        <f>IF('Supp. Result Entry'!Z47="","",'Supp. Result Entry'!$Z$4)</f>
        <v/>
      </c>
      <c r="IV49" s="110" t="str">
        <f>IF('Supp. Result Entry'!AC47="","",'Supp. Result Entry'!$AC$4)</f>
        <v/>
      </c>
      <c r="IW49" s="110" t="str">
        <f>IF('Supp. Result Entry'!AF47="","",'Supp. Result Entry'!$AF$4)</f>
        <v/>
      </c>
      <c r="IX49" s="110" t="str">
        <f>IF('Supp. Result Entry'!AI47="","",'Supp. Result Entry'!$AI$4)</f>
        <v/>
      </c>
      <c r="IY49" s="110" t="str">
        <f>IF('Supp. Result Entry'!AI47="","",'Supp. Result Entry'!$AL$4)</f>
        <v/>
      </c>
      <c r="IZ49" s="110" t="str">
        <f>IF('Supp. Result Entry'!U47="","",'Supp. Result Entry'!U47)</f>
        <v/>
      </c>
      <c r="JA49" s="110" t="str">
        <f>IF('Supp. Result Entry'!X47="","",'Supp. Result Entry'!X47)</f>
        <v/>
      </c>
      <c r="JB49" s="110" t="str">
        <f>IF('Supp. Result Entry'!AA47="","",'Supp. Result Entry'!AA47)</f>
        <v/>
      </c>
      <c r="JC49" s="110" t="str">
        <f>IF('Supp. Result Entry'!AD47="","",'Supp. Result Entry'!AD47)</f>
        <v/>
      </c>
      <c r="JD49" s="110" t="str">
        <f>IF('Supp. Result Entry'!AG47="","",'Supp. Result Entry'!AG47)</f>
        <v/>
      </c>
      <c r="JE49" s="110" t="str">
        <f>IF('Supp. Result Entry'!AJ47="","",'Supp. Result Entry'!AJ47)</f>
        <v/>
      </c>
      <c r="JF49" s="110" t="str">
        <f>IF('Supp. Result Entry'!AM47="","",'Supp. Result Entry'!AM47)</f>
        <v/>
      </c>
      <c r="JG49" s="110" t="str">
        <f>IF('Supp. Result Entry'!V47="","",'Supp. Result Entry'!V47)</f>
        <v/>
      </c>
      <c r="JH49" s="110" t="str">
        <f>IF('Supp. Result Entry'!Y47="","",'Supp. Result Entry'!Y47)</f>
        <v/>
      </c>
      <c r="JI49" s="110" t="str">
        <f>IF('Supp. Result Entry'!AB47="","",'Supp. Result Entry'!AB47)</f>
        <v/>
      </c>
      <c r="JJ49" s="110" t="str">
        <f>IF('Supp. Result Entry'!AE47="","",'Supp. Result Entry'!AE47)</f>
        <v/>
      </c>
      <c r="JK49" s="110" t="str">
        <f>IF('Supp. Result Entry'!AH47="","",'Supp. Result Entry'!AH47)</f>
        <v/>
      </c>
      <c r="JL49" s="110" t="str">
        <f>IF('Supp. Result Entry'!AK47="","",'Supp. Result Entry'!AK47)</f>
        <v/>
      </c>
      <c r="JM49" s="110" t="str">
        <f>IF('Supp. Result Entry'!AN47="","",'Supp. Result Entry'!AN47)</f>
        <v/>
      </c>
      <c r="JN49" s="110">
        <f>COUNTIF('Supp. Result Entry'!K47:Q47,"S")</f>
        <v>0</v>
      </c>
      <c r="JO49" s="110">
        <f t="shared" si="155"/>
        <v>0</v>
      </c>
      <c r="JP49" s="110">
        <f t="shared" si="156"/>
        <v>0</v>
      </c>
      <c r="JQ49" s="110" t="str">
        <f t="shared" si="75"/>
        <v/>
      </c>
      <c r="JR49" s="110" t="str">
        <f t="shared" si="76"/>
        <v/>
      </c>
      <c r="JS49" s="110" t="str">
        <f t="shared" si="77"/>
        <v/>
      </c>
      <c r="JT49" s="110" t="str">
        <f t="shared" si="78"/>
        <v/>
      </c>
      <c r="JU49" s="110" t="str">
        <f t="shared" si="79"/>
        <v/>
      </c>
      <c r="JV49" s="110" t="str">
        <f t="shared" si="80"/>
        <v/>
      </c>
      <c r="JW49" s="110" t="str">
        <f t="shared" si="81"/>
        <v/>
      </c>
      <c r="JX49" s="110" t="str">
        <f t="shared" si="157"/>
        <v/>
      </c>
      <c r="JY49" s="110" t="str">
        <f t="shared" si="158"/>
        <v/>
      </c>
      <c r="JZ49" s="110" t="str">
        <f t="shared" si="82"/>
        <v/>
      </c>
      <c r="KA49" s="108" t="str">
        <f t="shared" si="159"/>
        <v/>
      </c>
    </row>
    <row r="50" spans="1:287" s="108" customFormat="1" ht="21.95" customHeight="1">
      <c r="A50" s="89">
        <v>44</v>
      </c>
      <c r="B50" s="90" t="str">
        <f>IF('Marks Entry'!B50="","",'Marks Entry'!B50)</f>
        <v/>
      </c>
      <c r="C50" s="94" t="str">
        <f>IF('Marks Entry'!D50="","",'Marks Entry'!D50)</f>
        <v/>
      </c>
      <c r="D50" s="91" t="str">
        <f>IF('Marks Entry'!E50="","",'Marks Entry'!E50)</f>
        <v/>
      </c>
      <c r="E50" s="92" t="str">
        <f>IF('Marks Entry'!F50="","",'Marks Entry'!F50)</f>
        <v/>
      </c>
      <c r="F50" s="93" t="str">
        <f>IF('Marks Entry'!G50="","",'Marks Entry'!G50)</f>
        <v/>
      </c>
      <c r="G50" s="93" t="str">
        <f>IF('Marks Entry'!H50="","",'Marks Entry'!H50)</f>
        <v/>
      </c>
      <c r="H50" s="93" t="str">
        <f>IF('Marks Entry'!I50="","",'Marks Entry'!I50)</f>
        <v/>
      </c>
      <c r="I50" s="94" t="str">
        <f>IF('Marks Entry'!J50="","",'Marks Entry'!J50)</f>
        <v/>
      </c>
      <c r="J50" s="95" t="str">
        <f>IF('Marks Entry'!K50="","",'Marks Entry'!K50)</f>
        <v/>
      </c>
      <c r="K50" s="68" t="str">
        <f>IF('Marks Entry'!L50="","",'Marks Entry'!L50)</f>
        <v/>
      </c>
      <c r="L50" s="68" t="str">
        <f>IF('Marks Entry'!M50="","",'Marks Entry'!M50)</f>
        <v/>
      </c>
      <c r="M50" s="68" t="str">
        <f>IF('Marks Entry'!N50="","",'Marks Entry'!N50)</f>
        <v/>
      </c>
      <c r="N50" s="514" t="str">
        <f t="shared" si="83"/>
        <v/>
      </c>
      <c r="O50" s="68" t="str">
        <f>IF('Marks Entry'!O50="","",'Marks Entry'!O50)</f>
        <v/>
      </c>
      <c r="P50" s="515" t="str">
        <f t="shared" si="84"/>
        <v/>
      </c>
      <c r="Q50" s="68" t="str">
        <f>IF('Marks Entry'!P50="","",'Marks Entry'!P50)</f>
        <v/>
      </c>
      <c r="R50" s="96" t="str">
        <f t="shared" si="85"/>
        <v/>
      </c>
      <c r="S50" s="65">
        <f t="shared" si="86"/>
        <v>0</v>
      </c>
      <c r="T50" s="65">
        <f t="shared" si="87"/>
        <v>0</v>
      </c>
      <c r="U50" s="66" t="str">
        <f t="shared" si="88"/>
        <v/>
      </c>
      <c r="V50" s="65" t="str">
        <f t="shared" si="89"/>
        <v/>
      </c>
      <c r="W50" s="65" t="str">
        <f t="shared" si="90"/>
        <v/>
      </c>
      <c r="X50" s="65" t="str">
        <f t="shared" si="91"/>
        <v/>
      </c>
      <c r="Y50" s="68" t="str">
        <f>IF('Marks Entry'!Q50="","",'Marks Entry'!Q50)</f>
        <v/>
      </c>
      <c r="Z50" s="68" t="str">
        <f>IF('Marks Entry'!R50="","",'Marks Entry'!R50)</f>
        <v/>
      </c>
      <c r="AA50" s="68" t="str">
        <f>IF('Marks Entry'!S50="","",'Marks Entry'!S50)</f>
        <v/>
      </c>
      <c r="AB50" s="514" t="str">
        <f t="shared" si="2"/>
        <v/>
      </c>
      <c r="AC50" s="68" t="str">
        <f>IF('Marks Entry'!T50="","",'Marks Entry'!T50)</f>
        <v/>
      </c>
      <c r="AD50" s="515" t="str">
        <f t="shared" si="3"/>
        <v/>
      </c>
      <c r="AE50" s="68" t="str">
        <f>IF('Marks Entry'!U50="","",'Marks Entry'!U50)</f>
        <v/>
      </c>
      <c r="AF50" s="96" t="str">
        <f t="shared" si="4"/>
        <v/>
      </c>
      <c r="AG50" s="65">
        <f t="shared" si="5"/>
        <v>0</v>
      </c>
      <c r="AH50" s="65">
        <f t="shared" si="6"/>
        <v>0</v>
      </c>
      <c r="AI50" s="66" t="str">
        <f t="shared" si="7"/>
        <v/>
      </c>
      <c r="AJ50" s="65" t="str">
        <f t="shared" si="8"/>
        <v/>
      </c>
      <c r="AK50" s="65" t="str">
        <f t="shared" si="9"/>
        <v/>
      </c>
      <c r="AL50" s="65" t="str">
        <f t="shared" si="10"/>
        <v/>
      </c>
      <c r="AM50" s="524" t="str">
        <f>IF('Marks Entry'!V50="","",IF('Marks Entry'!V50=1,'School Profile'!$I$9,IF('Marks Entry'!V50=2,'School Profile'!$I$10,IF('Marks Entry'!V50=3,'School Profile'!$I$11,IF('Marks Entry'!V50=4,'School Profile'!$I$12,IF('Marks Entry'!V50=5,'School Profile'!$I$13,IF('Marks Entry'!V50=6,'School Profile'!$I$14,"")))))))</f>
        <v/>
      </c>
      <c r="AN50" s="68" t="str">
        <f>IF('Marks Entry'!W50="","",'Marks Entry'!W50)</f>
        <v/>
      </c>
      <c r="AO50" s="68" t="str">
        <f>IF('Marks Entry'!X50="","",'Marks Entry'!X50)</f>
        <v/>
      </c>
      <c r="AP50" s="68" t="str">
        <f>IF('Marks Entry'!Y50="","",'Marks Entry'!Y50)</f>
        <v/>
      </c>
      <c r="AQ50" s="514" t="str">
        <f t="shared" si="11"/>
        <v/>
      </c>
      <c r="AR50" s="68" t="str">
        <f>IF('Marks Entry'!Z50="","",'Marks Entry'!Z50)</f>
        <v/>
      </c>
      <c r="AS50" s="515" t="str">
        <f t="shared" si="12"/>
        <v/>
      </c>
      <c r="AT50" s="68" t="str">
        <f>IF('Marks Entry'!AA50="","",'Marks Entry'!AA50)</f>
        <v/>
      </c>
      <c r="AU50" s="96" t="str">
        <f t="shared" si="13"/>
        <v/>
      </c>
      <c r="AV50" s="65">
        <f t="shared" si="14"/>
        <v>0</v>
      </c>
      <c r="AW50" s="65">
        <f t="shared" si="15"/>
        <v>0</v>
      </c>
      <c r="AX50" s="66" t="str">
        <f t="shared" si="16"/>
        <v/>
      </c>
      <c r="AY50" s="65" t="str">
        <f t="shared" si="17"/>
        <v/>
      </c>
      <c r="AZ50" s="65" t="str">
        <f t="shared" si="18"/>
        <v/>
      </c>
      <c r="BA50" s="65" t="str">
        <f t="shared" si="19"/>
        <v/>
      </c>
      <c r="BB50" s="68" t="str">
        <f>IF('Marks Entry'!AB50="","",'Marks Entry'!AB50)</f>
        <v/>
      </c>
      <c r="BC50" s="68" t="str">
        <f>IF('Marks Entry'!AC50="","",'Marks Entry'!AC50)</f>
        <v/>
      </c>
      <c r="BD50" s="68" t="str">
        <f>IF('Marks Entry'!AD50="","",'Marks Entry'!AD50)</f>
        <v/>
      </c>
      <c r="BE50" s="514" t="str">
        <f t="shared" si="20"/>
        <v/>
      </c>
      <c r="BF50" s="68" t="str">
        <f>IF('Marks Entry'!AE50="","",'Marks Entry'!AE50)</f>
        <v/>
      </c>
      <c r="BG50" s="515" t="str">
        <f t="shared" si="21"/>
        <v/>
      </c>
      <c r="BH50" s="68" t="str">
        <f>IF('Marks Entry'!AF50="","",'Marks Entry'!AF50)</f>
        <v/>
      </c>
      <c r="BI50" s="96" t="str">
        <f t="shared" si="22"/>
        <v/>
      </c>
      <c r="BJ50" s="65">
        <f t="shared" si="23"/>
        <v>0</v>
      </c>
      <c r="BK50" s="65">
        <f t="shared" si="92"/>
        <v>0</v>
      </c>
      <c r="BL50" s="66" t="str">
        <f t="shared" si="24"/>
        <v/>
      </c>
      <c r="BM50" s="65" t="str">
        <f t="shared" si="25"/>
        <v/>
      </c>
      <c r="BN50" s="65" t="str">
        <f t="shared" si="26"/>
        <v/>
      </c>
      <c r="BO50" s="65" t="str">
        <f t="shared" si="27"/>
        <v/>
      </c>
      <c r="BP50" s="68" t="str">
        <f>IF('Marks Entry'!AG50="","",'Marks Entry'!AG50)</f>
        <v/>
      </c>
      <c r="BQ50" s="68" t="str">
        <f>IF('Marks Entry'!AH50="","",'Marks Entry'!AH50)</f>
        <v/>
      </c>
      <c r="BR50" s="68" t="str">
        <f>IF('Marks Entry'!AI50="","",'Marks Entry'!AI50)</f>
        <v/>
      </c>
      <c r="BS50" s="514" t="str">
        <f t="shared" si="28"/>
        <v/>
      </c>
      <c r="BT50" s="68" t="str">
        <f>IF('Marks Entry'!AJ50="","",'Marks Entry'!AJ50)</f>
        <v/>
      </c>
      <c r="BU50" s="515" t="str">
        <f t="shared" si="29"/>
        <v/>
      </c>
      <c r="BV50" s="68" t="str">
        <f>IF('Marks Entry'!AK50="","",'Marks Entry'!AK50)</f>
        <v/>
      </c>
      <c r="BW50" s="96" t="str">
        <f t="shared" si="30"/>
        <v/>
      </c>
      <c r="BX50" s="65">
        <f t="shared" si="31"/>
        <v>0</v>
      </c>
      <c r="BY50" s="65">
        <f t="shared" si="32"/>
        <v>0</v>
      </c>
      <c r="BZ50" s="66" t="str">
        <f t="shared" si="33"/>
        <v/>
      </c>
      <c r="CA50" s="65" t="str">
        <f t="shared" si="34"/>
        <v/>
      </c>
      <c r="CB50" s="65" t="str">
        <f t="shared" si="35"/>
        <v/>
      </c>
      <c r="CC50" s="65" t="str">
        <f t="shared" si="36"/>
        <v/>
      </c>
      <c r="CD50" s="66">
        <f t="shared" si="161"/>
        <v>0</v>
      </c>
      <c r="CE50" s="68" t="str">
        <f>IF('Marks Entry'!AL50="","",'Marks Entry'!AL50)</f>
        <v/>
      </c>
      <c r="CF50" s="68" t="str">
        <f>IF('Marks Entry'!AM50="","",'Marks Entry'!AM50)</f>
        <v/>
      </c>
      <c r="CG50" s="68" t="str">
        <f>IF('Marks Entry'!AN50="","",'Marks Entry'!AN50)</f>
        <v/>
      </c>
      <c r="CH50" s="514" t="str">
        <f t="shared" si="37"/>
        <v/>
      </c>
      <c r="CI50" s="68" t="str">
        <f>IF('Marks Entry'!AO50="","",'Marks Entry'!AO50)</f>
        <v/>
      </c>
      <c r="CJ50" s="515" t="str">
        <f t="shared" si="38"/>
        <v/>
      </c>
      <c r="CK50" s="68" t="str">
        <f>IF('Marks Entry'!AP50="","",'Marks Entry'!AP50)</f>
        <v/>
      </c>
      <c r="CL50" s="96" t="str">
        <f t="shared" si="39"/>
        <v/>
      </c>
      <c r="CM50" s="65">
        <f t="shared" si="40"/>
        <v>0</v>
      </c>
      <c r="CN50" s="65">
        <f t="shared" si="41"/>
        <v>0</v>
      </c>
      <c r="CO50" s="66" t="str">
        <f t="shared" si="42"/>
        <v/>
      </c>
      <c r="CP50" s="65" t="str">
        <f t="shared" si="43"/>
        <v/>
      </c>
      <c r="CQ50" s="65" t="str">
        <f t="shared" si="44"/>
        <v/>
      </c>
      <c r="CR50" s="65" t="str">
        <f t="shared" si="45"/>
        <v/>
      </c>
      <c r="CS50" s="616" t="str">
        <f>IF('School Profile'!$D$20="NO","",IF('Marks Entry'!AQ50="","",IF('Marks Entry'!AQ50=1,'School Profile'!$I$29,IF('Marks Entry'!AQ50=2,'School Profile'!$I$30,IF('Marks Entry'!AQ50=3,'School Profile'!$I$31,IF('Marks Entry'!AQ50=4,'School Profile'!$I$32,IF('Marks Entry'!AQ50=5,'School Profile'!$I$33,IF('Marks Entry'!AQ50=6,'School Profile'!$I$34,IF('Marks Entry'!AQ50=7,'School Profile'!$I$35,IF('Marks Entry'!AQ50=8,'School Profile'!$I$36,IF('Marks Entry'!AQ50=9,'School Profile'!$I$37,IF('Marks Entry'!AQ50=10,'School Profile'!$I$38,IF('Marks Entry'!AQ50=11,'School Profile'!$I$39,"")))))))))))))</f>
        <v/>
      </c>
      <c r="CT50" s="68" t="str">
        <f>IF('School Profile'!$D$20="NO","",IF('Marks Entry'!AR50="","",'Marks Entry'!AR50))</f>
        <v/>
      </c>
      <c r="CU50" s="68" t="str">
        <f>IF('School Profile'!$D$20="NO","",IF('Marks Entry'!AS50="","",'Marks Entry'!AS50))</f>
        <v/>
      </c>
      <c r="CV50" s="68" t="str">
        <f>IF('School Profile'!$D$20="NO","",IF('Marks Entry'!AT50="","",'Marks Entry'!AT50))</f>
        <v/>
      </c>
      <c r="CW50" s="514" t="str">
        <f>IF('School Profile'!$D$20="NO","",IF(AND(CT50="",CU50="",CV50=""),"",SUM(CT50:CV50)))</f>
        <v/>
      </c>
      <c r="CX50" s="68" t="str">
        <f>IF('School Profile'!$D$20="NO","",IF('Marks Entry'!AU50="","",'Marks Entry'!AU50))</f>
        <v/>
      </c>
      <c r="CY50" s="68" t="str">
        <f>IF('School Profile'!$D$20="NO","",IF('Marks Entry'!AV50="","",'Marks Entry'!AV50))</f>
        <v/>
      </c>
      <c r="CZ50" s="515" t="str">
        <f>IF('School Profile'!$D$20="NO","",IF(AND(CX50="",CY50=""),"",SUM(CX50,CY50)))</f>
        <v/>
      </c>
      <c r="DA50" s="69" t="str">
        <f>IF('School Profile'!$D$20="NO","",IF(AND(CW50="",CZ50=""),"",SUM(CW50+CZ50)))</f>
        <v/>
      </c>
      <c r="DB50" s="68" t="str">
        <f>IF('School Profile'!$D$20="NO","",IF('Marks Entry'!AW50="","",'Marks Entry'!AW50))</f>
        <v/>
      </c>
      <c r="DC50" s="68" t="str">
        <f>IF('School Profile'!$D$20="NO","",IF('Marks Entry'!AX50="","",'Marks Entry'!AX50))</f>
        <v/>
      </c>
      <c r="DD50" s="515" t="str">
        <f>IF('School Profile'!$D$20="NO","",IF(AND(DB50="",DC50=""),"",SUM(DB50,DC50)))</f>
        <v/>
      </c>
      <c r="DE50" s="96" t="str">
        <f>IF('School Profile'!$D$20="NO","",IF(AND(DA50="",DD50=""),"",SUM(DA50,DD50)))</f>
        <v/>
      </c>
      <c r="DF50" s="532">
        <f t="shared" si="46"/>
        <v>0</v>
      </c>
      <c r="DG50" s="65">
        <f t="shared" si="47"/>
        <v>0</v>
      </c>
      <c r="DH50" s="66" t="str">
        <f t="shared" si="48"/>
        <v/>
      </c>
      <c r="DI50" s="65" t="str">
        <f t="shared" si="49"/>
        <v/>
      </c>
      <c r="DJ50" s="65" t="str">
        <f t="shared" si="50"/>
        <v/>
      </c>
      <c r="DK50" s="65" t="str">
        <f t="shared" si="51"/>
        <v/>
      </c>
      <c r="DL50" s="97" t="str">
        <f t="shared" si="94"/>
        <v/>
      </c>
      <c r="DM50" s="97" t="str">
        <f t="shared" si="95"/>
        <v/>
      </c>
      <c r="DN50" s="97" t="str">
        <f t="shared" si="96"/>
        <v/>
      </c>
      <c r="DO50" s="97" t="str">
        <f t="shared" si="97"/>
        <v/>
      </c>
      <c r="DP50" s="97" t="str">
        <f t="shared" si="98"/>
        <v/>
      </c>
      <c r="DQ50" s="97" t="str">
        <f t="shared" si="99"/>
        <v/>
      </c>
      <c r="DR50" s="97" t="str">
        <f t="shared" si="100"/>
        <v/>
      </c>
      <c r="DS50" s="98">
        <f t="shared" si="101"/>
        <v>0</v>
      </c>
      <c r="DT50" s="98">
        <f t="shared" si="102"/>
        <v>0</v>
      </c>
      <c r="DU50" s="98">
        <f t="shared" si="103"/>
        <v>0</v>
      </c>
      <c r="DV50" s="98">
        <f t="shared" si="104"/>
        <v>0</v>
      </c>
      <c r="DW50" s="98">
        <f t="shared" si="105"/>
        <v>0</v>
      </c>
      <c r="DX50" s="98" t="str">
        <f t="shared" si="106"/>
        <v/>
      </c>
      <c r="DY50" s="99" t="str">
        <f t="shared" si="107"/>
        <v/>
      </c>
      <c r="DZ50" s="74" t="str">
        <f>IF('Marks Entry'!AY50="","",'Marks Entry'!AY50)</f>
        <v/>
      </c>
      <c r="EA50" s="74" t="str">
        <f>IF('Marks Entry'!AZ50="","",'Marks Entry'!AZ50)</f>
        <v/>
      </c>
      <c r="EB50" s="74" t="str">
        <f>IF('Marks Entry'!BA50="","",'Marks Entry'!BA50)</f>
        <v/>
      </c>
      <c r="EC50" s="527" t="str">
        <f t="shared" si="52"/>
        <v/>
      </c>
      <c r="ED50" s="74" t="str">
        <f>IF('Marks Entry'!BB50="","",'Marks Entry'!BB50)</f>
        <v/>
      </c>
      <c r="EE50" s="528" t="str">
        <f t="shared" si="53"/>
        <v/>
      </c>
      <c r="EF50" s="74" t="str">
        <f>IF('Marks Entry'!BC50="","",'Marks Entry'!BC50)</f>
        <v/>
      </c>
      <c r="EG50" s="530" t="str">
        <f t="shared" si="54"/>
        <v/>
      </c>
      <c r="EH50" s="368" t="str">
        <f t="shared" si="108"/>
        <v/>
      </c>
      <c r="EI50" s="65">
        <f t="shared" si="109"/>
        <v>0</v>
      </c>
      <c r="EJ50" s="65">
        <f t="shared" si="110"/>
        <v>0</v>
      </c>
      <c r="EK50" s="66" t="str">
        <f t="shared" si="111"/>
        <v/>
      </c>
      <c r="EL50" s="74" t="str">
        <f>IF('Marks Entry'!BD50="","",'Marks Entry'!BD50)</f>
        <v/>
      </c>
      <c r="EM50" s="74" t="str">
        <f>IF('Marks Entry'!BE50="","",'Marks Entry'!BE50)</f>
        <v/>
      </c>
      <c r="EN50" s="74" t="str">
        <f>IF('Marks Entry'!BF50="","",'Marks Entry'!BF50)</f>
        <v/>
      </c>
      <c r="EO50" s="527" t="str">
        <f t="shared" si="55"/>
        <v/>
      </c>
      <c r="EP50" s="74" t="str">
        <f>IF('Marks Entry'!BG50="","",'Marks Entry'!BG50)</f>
        <v/>
      </c>
      <c r="EQ50" s="74" t="str">
        <f>IF('Marks Entry'!BH50="","",'Marks Entry'!BH50)</f>
        <v/>
      </c>
      <c r="ER50" s="528" t="str">
        <f t="shared" si="56"/>
        <v/>
      </c>
      <c r="ES50" s="529" t="str">
        <f t="shared" si="57"/>
        <v/>
      </c>
      <c r="ET50" s="74" t="str">
        <f>IF('Marks Entry'!BI50="","",'Marks Entry'!BI50)</f>
        <v/>
      </c>
      <c r="EU50" s="74" t="str">
        <f>IF('Marks Entry'!BJ50="","",'Marks Entry'!BJ50)</f>
        <v/>
      </c>
      <c r="EV50" s="528" t="str">
        <f t="shared" si="58"/>
        <v/>
      </c>
      <c r="EW50" s="530" t="str">
        <f t="shared" si="59"/>
        <v/>
      </c>
      <c r="EX50" s="368" t="str">
        <f t="shared" si="112"/>
        <v/>
      </c>
      <c r="EY50" s="65">
        <f t="shared" si="113"/>
        <v>0</v>
      </c>
      <c r="EZ50" s="65">
        <f t="shared" si="114"/>
        <v>0</v>
      </c>
      <c r="FA50" s="66" t="str">
        <f t="shared" si="115"/>
        <v/>
      </c>
      <c r="FB50" s="74" t="str">
        <f>IF('Marks Entry'!BK50="","",'Marks Entry'!BK50)</f>
        <v/>
      </c>
      <c r="FC50" s="74" t="str">
        <f>IF('Marks Entry'!BL50="","",'Marks Entry'!BL50)</f>
        <v/>
      </c>
      <c r="FD50" s="74" t="str">
        <f>IF('Marks Entry'!BM50="","",'Marks Entry'!BM50)</f>
        <v/>
      </c>
      <c r="FE50" s="74" t="str">
        <f>IF('Marks Entry'!BN50="","",'Marks Entry'!BN50)</f>
        <v/>
      </c>
      <c r="FF50" s="74" t="str">
        <f>IF('Marks Entry'!BO50="","",'Marks Entry'!BO50)</f>
        <v/>
      </c>
      <c r="FG50" s="74" t="str">
        <f>IF('Marks Entry'!BP50="","",'Marks Entry'!BP50)</f>
        <v/>
      </c>
      <c r="FH50" s="527" t="str">
        <f t="shared" si="60"/>
        <v/>
      </c>
      <c r="FI50" s="74" t="str">
        <f>IF('Marks Entry'!BQ50="","",'Marks Entry'!BQ50)</f>
        <v/>
      </c>
      <c r="FJ50" s="74" t="str">
        <f>IF('Marks Entry'!BR50="","",'Marks Entry'!BR50)</f>
        <v/>
      </c>
      <c r="FK50" s="528" t="str">
        <f t="shared" si="61"/>
        <v/>
      </c>
      <c r="FL50" s="529" t="str">
        <f t="shared" si="62"/>
        <v/>
      </c>
      <c r="FM50" s="74" t="str">
        <f>IF('Marks Entry'!BS50="","",'Marks Entry'!BS50)</f>
        <v/>
      </c>
      <c r="FN50" s="74" t="str">
        <f>IF('Marks Entry'!BT50="","",'Marks Entry'!BT50)</f>
        <v/>
      </c>
      <c r="FO50" s="528" t="str">
        <f t="shared" si="63"/>
        <v/>
      </c>
      <c r="FP50" s="530" t="str">
        <f t="shared" si="64"/>
        <v/>
      </c>
      <c r="FQ50" s="368" t="str">
        <f t="shared" si="116"/>
        <v/>
      </c>
      <c r="FR50" s="65">
        <f t="shared" si="117"/>
        <v>0</v>
      </c>
      <c r="FS50" s="65">
        <f t="shared" si="118"/>
        <v>0</v>
      </c>
      <c r="FT50" s="66" t="str">
        <f t="shared" si="119"/>
        <v/>
      </c>
      <c r="FU50" s="74" t="str">
        <f>IF('Marks Entry'!BU50="","",'Marks Entry'!BU50)</f>
        <v/>
      </c>
      <c r="FV50" s="74" t="str">
        <f>IF('Marks Entry'!BV50="","",'Marks Entry'!BV50)</f>
        <v/>
      </c>
      <c r="FW50" s="74" t="str">
        <f>IF('Marks Entry'!BW50="","",'Marks Entry'!BW50)</f>
        <v/>
      </c>
      <c r="FX50" s="75" t="str">
        <f t="shared" si="65"/>
        <v/>
      </c>
      <c r="FY50" s="368" t="str">
        <f t="shared" si="120"/>
        <v/>
      </c>
      <c r="FZ50" s="65">
        <f t="shared" si="121"/>
        <v>0</v>
      </c>
      <c r="GA50" s="66">
        <f t="shared" si="122"/>
        <v>0</v>
      </c>
      <c r="GB50" s="66" t="str">
        <f t="shared" si="123"/>
        <v/>
      </c>
      <c r="GC50" s="74" t="str">
        <f>IF('Marks Entry'!BX50="","",'Marks Entry'!BX50)</f>
        <v/>
      </c>
      <c r="GD50" s="74" t="str">
        <f>IF('Marks Entry'!BY50="","",'Marks Entry'!BY50)</f>
        <v/>
      </c>
      <c r="GE50" s="74" t="str">
        <f>IF('Marks Entry'!BZ50="","",'Marks Entry'!BZ50)</f>
        <v/>
      </c>
      <c r="GF50" s="75" t="str">
        <f t="shared" si="124"/>
        <v/>
      </c>
      <c r="GG50" s="368" t="str">
        <f t="shared" si="125"/>
        <v/>
      </c>
      <c r="GH50" s="65">
        <f t="shared" si="126"/>
        <v>0</v>
      </c>
      <c r="GI50" s="66">
        <f t="shared" si="127"/>
        <v>0</v>
      </c>
      <c r="GJ50" s="66" t="str">
        <f t="shared" si="128"/>
        <v/>
      </c>
      <c r="GK50" s="100" t="str">
        <f>IF(AND(F50="",B50=""),"",IF('Student DATA Entry'!M47="","",'Student DATA Entry'!M47))</f>
        <v/>
      </c>
      <c r="GL50" s="101" t="str">
        <f>IF(AND(B50="",F50=""),"",IF('Student DATA Entry'!N47="","",'Student DATA Entry'!N47))</f>
        <v/>
      </c>
      <c r="GM50" s="581" t="str">
        <f t="shared" si="129"/>
        <v/>
      </c>
      <c r="GN50" s="94" t="str">
        <f t="shared" si="130"/>
        <v/>
      </c>
      <c r="GO50" s="94" t="str">
        <f t="shared" si="131"/>
        <v/>
      </c>
      <c r="GP50" s="102" t="str">
        <f t="shared" si="162"/>
        <v/>
      </c>
      <c r="GQ50" s="94" t="str">
        <f t="shared" si="132"/>
        <v/>
      </c>
      <c r="GR50" s="103" t="str">
        <f t="shared" si="133"/>
        <v/>
      </c>
      <c r="GS50" s="102" t="str">
        <f t="shared" si="163"/>
        <v/>
      </c>
      <c r="GT50" s="104" t="str">
        <f t="shared" si="134"/>
        <v/>
      </c>
      <c r="GU50" s="94" t="str">
        <f>IF('Marks Entry'!V50=1,GT50,"")</f>
        <v/>
      </c>
      <c r="GV50" s="94" t="str">
        <f>IF('Marks Entry'!V50=2,GT50,"")</f>
        <v/>
      </c>
      <c r="GW50" s="94" t="str">
        <f>IF('Marks Entry'!V50=3,GT50,"")</f>
        <v/>
      </c>
      <c r="GX50" s="94" t="str">
        <f>IF('Marks Entry'!V50=4,GT50,"")</f>
        <v/>
      </c>
      <c r="GY50" s="94" t="str">
        <f>IF('Marks Entry'!V50=5,GT50,"")</f>
        <v/>
      </c>
      <c r="GZ50" s="94" t="str">
        <f t="shared" si="135"/>
        <v/>
      </c>
      <c r="HA50" s="105" t="str">
        <f t="shared" si="164"/>
        <v/>
      </c>
      <c r="HB50" s="94" t="str">
        <f t="shared" si="136"/>
        <v/>
      </c>
      <c r="HC50" s="94" t="str">
        <f t="shared" si="137"/>
        <v/>
      </c>
      <c r="HD50" s="105" t="str">
        <f t="shared" si="165"/>
        <v/>
      </c>
      <c r="HE50" s="94" t="str">
        <f t="shared" si="138"/>
        <v/>
      </c>
      <c r="HF50" s="94" t="str">
        <f t="shared" si="139"/>
        <v/>
      </c>
      <c r="HG50" s="105" t="str">
        <f t="shared" si="166"/>
        <v/>
      </c>
      <c r="HH50" s="94" t="str">
        <f t="shared" si="140"/>
        <v/>
      </c>
      <c r="HI50" s="94" t="str">
        <f t="shared" si="141"/>
        <v/>
      </c>
      <c r="HJ50" s="105" t="str">
        <f t="shared" si="167"/>
        <v/>
      </c>
      <c r="HK50" s="94" t="str">
        <f t="shared" si="142"/>
        <v/>
      </c>
      <c r="HL50" s="94" t="str">
        <f t="shared" si="143"/>
        <v/>
      </c>
      <c r="HM50" s="105" t="str">
        <f t="shared" si="168"/>
        <v/>
      </c>
      <c r="HN50" s="367" t="str">
        <f t="shared" si="144"/>
        <v xml:space="preserve">      </v>
      </c>
      <c r="HO50" s="418" t="str">
        <f t="shared" si="169"/>
        <v xml:space="preserve">      </v>
      </c>
      <c r="HP50" s="367" t="str">
        <f t="shared" si="146"/>
        <v xml:space="preserve">      </v>
      </c>
      <c r="HQ50" s="107" t="str">
        <f t="shared" si="147"/>
        <v xml:space="preserve">      </v>
      </c>
      <c r="HR50" s="366" t="str">
        <f t="shared" si="148"/>
        <v xml:space="preserve">      </v>
      </c>
      <c r="HS50" s="544" t="str">
        <f t="shared" si="170"/>
        <v/>
      </c>
      <c r="HT50" s="542" t="str">
        <f t="shared" si="149"/>
        <v/>
      </c>
      <c r="HU50" s="541" t="str">
        <f t="shared" si="160"/>
        <v/>
      </c>
      <c r="HV50" s="540" t="str">
        <f t="shared" si="150"/>
        <v/>
      </c>
      <c r="HW50" s="537" t="str">
        <f t="shared" si="151"/>
        <v/>
      </c>
      <c r="HX50" s="539" t="str">
        <f t="shared" si="152"/>
        <v/>
      </c>
      <c r="HY50" s="553" t="str">
        <f>IFERROR(IF(OR(HS50="SUPPLEMENTARY",HS50="RE-EXAM"),'Supp. Result Entry'!AQ48,""),"")</f>
        <v/>
      </c>
      <c r="HZ50" s="538" t="str">
        <f t="shared" si="153"/>
        <v/>
      </c>
      <c r="IA50" s="415" t="str">
        <f t="shared" si="154"/>
        <v/>
      </c>
      <c r="IB50" s="415" t="str">
        <f>IF(AND(HZ50="",IA50=""),"",IF(OR(HS50="SUPPLEMENTARY",HS50="RE-EXAM"),'Supp. Result Entry'!AQ48,HS50))</f>
        <v/>
      </c>
      <c r="IC50" s="87"/>
      <c r="ID50" s="111"/>
      <c r="IS50" s="109" t="str">
        <f>IF('Supp. Result Entry'!T48="","",'Supp. Result Entry'!$T$4)</f>
        <v/>
      </c>
      <c r="IT50" s="110" t="str">
        <f>IF('Supp. Result Entry'!W48="","",'Supp. Result Entry'!$W$4)</f>
        <v/>
      </c>
      <c r="IU50" s="110" t="str">
        <f>IF('Supp. Result Entry'!Z48="","",'Supp. Result Entry'!$Z$4)</f>
        <v/>
      </c>
      <c r="IV50" s="110" t="str">
        <f>IF('Supp. Result Entry'!AC48="","",'Supp. Result Entry'!$AC$4)</f>
        <v/>
      </c>
      <c r="IW50" s="110" t="str">
        <f>IF('Supp. Result Entry'!AF48="","",'Supp. Result Entry'!$AF$4)</f>
        <v/>
      </c>
      <c r="IX50" s="110" t="str">
        <f>IF('Supp. Result Entry'!AI48="","",'Supp. Result Entry'!$AI$4)</f>
        <v/>
      </c>
      <c r="IY50" s="110" t="str">
        <f>IF('Supp. Result Entry'!AI48="","",'Supp. Result Entry'!$AL$4)</f>
        <v/>
      </c>
      <c r="IZ50" s="110" t="str">
        <f>IF('Supp. Result Entry'!U48="","",'Supp. Result Entry'!U48)</f>
        <v/>
      </c>
      <c r="JA50" s="110" t="str">
        <f>IF('Supp. Result Entry'!X48="","",'Supp. Result Entry'!X48)</f>
        <v/>
      </c>
      <c r="JB50" s="110" t="str">
        <f>IF('Supp. Result Entry'!AA48="","",'Supp. Result Entry'!AA48)</f>
        <v/>
      </c>
      <c r="JC50" s="110" t="str">
        <f>IF('Supp. Result Entry'!AD48="","",'Supp. Result Entry'!AD48)</f>
        <v/>
      </c>
      <c r="JD50" s="110" t="str">
        <f>IF('Supp. Result Entry'!AG48="","",'Supp. Result Entry'!AG48)</f>
        <v/>
      </c>
      <c r="JE50" s="110" t="str">
        <f>IF('Supp. Result Entry'!AJ48="","",'Supp. Result Entry'!AJ48)</f>
        <v/>
      </c>
      <c r="JF50" s="110" t="str">
        <f>IF('Supp. Result Entry'!AM48="","",'Supp. Result Entry'!AM48)</f>
        <v/>
      </c>
      <c r="JG50" s="110" t="str">
        <f>IF('Supp. Result Entry'!V48="","",'Supp. Result Entry'!V48)</f>
        <v/>
      </c>
      <c r="JH50" s="110" t="str">
        <f>IF('Supp. Result Entry'!Y48="","",'Supp. Result Entry'!Y48)</f>
        <v/>
      </c>
      <c r="JI50" s="110" t="str">
        <f>IF('Supp. Result Entry'!AB48="","",'Supp. Result Entry'!AB48)</f>
        <v/>
      </c>
      <c r="JJ50" s="110" t="str">
        <f>IF('Supp. Result Entry'!AE48="","",'Supp. Result Entry'!AE48)</f>
        <v/>
      </c>
      <c r="JK50" s="110" t="str">
        <f>IF('Supp. Result Entry'!AH48="","",'Supp. Result Entry'!AH48)</f>
        <v/>
      </c>
      <c r="JL50" s="110" t="str">
        <f>IF('Supp. Result Entry'!AK48="","",'Supp. Result Entry'!AK48)</f>
        <v/>
      </c>
      <c r="JM50" s="110" t="str">
        <f>IF('Supp. Result Entry'!AN48="","",'Supp. Result Entry'!AN48)</f>
        <v/>
      </c>
      <c r="JN50" s="110">
        <f>COUNTIF('Supp. Result Entry'!K48:Q48,"S")</f>
        <v>0</v>
      </c>
      <c r="JO50" s="110">
        <f t="shared" si="155"/>
        <v>0</v>
      </c>
      <c r="JP50" s="110">
        <f t="shared" si="156"/>
        <v>0</v>
      </c>
      <c r="JQ50" s="110" t="str">
        <f t="shared" si="75"/>
        <v/>
      </c>
      <c r="JR50" s="110" t="str">
        <f t="shared" si="76"/>
        <v/>
      </c>
      <c r="JS50" s="110" t="str">
        <f t="shared" si="77"/>
        <v/>
      </c>
      <c r="JT50" s="110" t="str">
        <f t="shared" si="78"/>
        <v/>
      </c>
      <c r="JU50" s="110" t="str">
        <f t="shared" si="79"/>
        <v/>
      </c>
      <c r="JV50" s="110" t="str">
        <f t="shared" si="80"/>
        <v/>
      </c>
      <c r="JW50" s="110" t="str">
        <f t="shared" si="81"/>
        <v/>
      </c>
      <c r="JX50" s="110" t="str">
        <f t="shared" si="157"/>
        <v/>
      </c>
      <c r="JY50" s="110" t="str">
        <f t="shared" si="158"/>
        <v/>
      </c>
      <c r="JZ50" s="110" t="str">
        <f t="shared" si="82"/>
        <v/>
      </c>
      <c r="KA50" s="108" t="str">
        <f t="shared" si="159"/>
        <v/>
      </c>
    </row>
    <row r="51" spans="1:287" s="108" customFormat="1" ht="21.95" customHeight="1">
      <c r="A51" s="89">
        <v>45</v>
      </c>
      <c r="B51" s="90" t="str">
        <f>IF('Marks Entry'!B51="","",'Marks Entry'!B51)</f>
        <v/>
      </c>
      <c r="C51" s="94" t="str">
        <f>IF('Marks Entry'!D51="","",'Marks Entry'!D51)</f>
        <v/>
      </c>
      <c r="D51" s="91" t="str">
        <f>IF('Marks Entry'!E51="","",'Marks Entry'!E51)</f>
        <v/>
      </c>
      <c r="E51" s="92" t="str">
        <f>IF('Marks Entry'!F51="","",'Marks Entry'!F51)</f>
        <v/>
      </c>
      <c r="F51" s="93" t="str">
        <f>IF('Marks Entry'!G51="","",'Marks Entry'!G51)</f>
        <v/>
      </c>
      <c r="G51" s="93" t="str">
        <f>IF('Marks Entry'!H51="","",'Marks Entry'!H51)</f>
        <v/>
      </c>
      <c r="H51" s="93" t="str">
        <f>IF('Marks Entry'!I51="","",'Marks Entry'!I51)</f>
        <v/>
      </c>
      <c r="I51" s="94" t="str">
        <f>IF('Marks Entry'!J51="","",'Marks Entry'!J51)</f>
        <v/>
      </c>
      <c r="J51" s="95" t="str">
        <f>IF('Marks Entry'!K51="","",'Marks Entry'!K51)</f>
        <v/>
      </c>
      <c r="K51" s="68" t="str">
        <f>IF('Marks Entry'!L51="","",'Marks Entry'!L51)</f>
        <v/>
      </c>
      <c r="L51" s="68" t="str">
        <f>IF('Marks Entry'!M51="","",'Marks Entry'!M51)</f>
        <v/>
      </c>
      <c r="M51" s="68" t="str">
        <f>IF('Marks Entry'!N51="","",'Marks Entry'!N51)</f>
        <v/>
      </c>
      <c r="N51" s="514" t="str">
        <f t="shared" si="83"/>
        <v/>
      </c>
      <c r="O51" s="68" t="str">
        <f>IF('Marks Entry'!O51="","",'Marks Entry'!O51)</f>
        <v/>
      </c>
      <c r="P51" s="515" t="str">
        <f t="shared" si="84"/>
        <v/>
      </c>
      <c r="Q51" s="68" t="str">
        <f>IF('Marks Entry'!P51="","",'Marks Entry'!P51)</f>
        <v/>
      </c>
      <c r="R51" s="96" t="str">
        <f t="shared" si="85"/>
        <v/>
      </c>
      <c r="S51" s="65">
        <f t="shared" si="86"/>
        <v>0</v>
      </c>
      <c r="T51" s="65">
        <f t="shared" si="87"/>
        <v>0</v>
      </c>
      <c r="U51" s="66" t="str">
        <f t="shared" si="88"/>
        <v/>
      </c>
      <c r="V51" s="65" t="str">
        <f t="shared" si="89"/>
        <v/>
      </c>
      <c r="W51" s="65" t="str">
        <f t="shared" si="90"/>
        <v/>
      </c>
      <c r="X51" s="65" t="str">
        <f t="shared" si="91"/>
        <v/>
      </c>
      <c r="Y51" s="68" t="str">
        <f>IF('Marks Entry'!Q51="","",'Marks Entry'!Q51)</f>
        <v/>
      </c>
      <c r="Z51" s="68" t="str">
        <f>IF('Marks Entry'!R51="","",'Marks Entry'!R51)</f>
        <v/>
      </c>
      <c r="AA51" s="68" t="str">
        <f>IF('Marks Entry'!S51="","",'Marks Entry'!S51)</f>
        <v/>
      </c>
      <c r="AB51" s="514" t="str">
        <f t="shared" si="2"/>
        <v/>
      </c>
      <c r="AC51" s="68" t="str">
        <f>IF('Marks Entry'!T51="","",'Marks Entry'!T51)</f>
        <v/>
      </c>
      <c r="AD51" s="515" t="str">
        <f t="shared" si="3"/>
        <v/>
      </c>
      <c r="AE51" s="68" t="str">
        <f>IF('Marks Entry'!U51="","",'Marks Entry'!U51)</f>
        <v/>
      </c>
      <c r="AF51" s="96" t="str">
        <f t="shared" si="4"/>
        <v/>
      </c>
      <c r="AG51" s="65">
        <f t="shared" si="5"/>
        <v>0</v>
      </c>
      <c r="AH51" s="65">
        <f t="shared" si="6"/>
        <v>0</v>
      </c>
      <c r="AI51" s="66" t="str">
        <f t="shared" si="7"/>
        <v/>
      </c>
      <c r="AJ51" s="65" t="str">
        <f t="shared" si="8"/>
        <v/>
      </c>
      <c r="AK51" s="65" t="str">
        <f t="shared" si="9"/>
        <v/>
      </c>
      <c r="AL51" s="65" t="str">
        <f t="shared" si="10"/>
        <v/>
      </c>
      <c r="AM51" s="524" t="str">
        <f>IF('Marks Entry'!V51="","",IF('Marks Entry'!V51=1,'School Profile'!$I$9,IF('Marks Entry'!V51=2,'School Profile'!$I$10,IF('Marks Entry'!V51=3,'School Profile'!$I$11,IF('Marks Entry'!V51=4,'School Profile'!$I$12,IF('Marks Entry'!V51=5,'School Profile'!$I$13,IF('Marks Entry'!V51=6,'School Profile'!$I$14,"")))))))</f>
        <v/>
      </c>
      <c r="AN51" s="68" t="str">
        <f>IF('Marks Entry'!W51="","",'Marks Entry'!W51)</f>
        <v/>
      </c>
      <c r="AO51" s="68" t="str">
        <f>IF('Marks Entry'!X51="","",'Marks Entry'!X51)</f>
        <v/>
      </c>
      <c r="AP51" s="68" t="str">
        <f>IF('Marks Entry'!Y51="","",'Marks Entry'!Y51)</f>
        <v/>
      </c>
      <c r="AQ51" s="514" t="str">
        <f t="shared" si="11"/>
        <v/>
      </c>
      <c r="AR51" s="68" t="str">
        <f>IF('Marks Entry'!Z51="","",'Marks Entry'!Z51)</f>
        <v/>
      </c>
      <c r="AS51" s="515" t="str">
        <f t="shared" si="12"/>
        <v/>
      </c>
      <c r="AT51" s="68" t="str">
        <f>IF('Marks Entry'!AA51="","",'Marks Entry'!AA51)</f>
        <v/>
      </c>
      <c r="AU51" s="96" t="str">
        <f t="shared" si="13"/>
        <v/>
      </c>
      <c r="AV51" s="65">
        <f t="shared" si="14"/>
        <v>0</v>
      </c>
      <c r="AW51" s="65">
        <f t="shared" si="15"/>
        <v>0</v>
      </c>
      <c r="AX51" s="66" t="str">
        <f t="shared" si="16"/>
        <v/>
      </c>
      <c r="AY51" s="65" t="str">
        <f t="shared" si="17"/>
        <v/>
      </c>
      <c r="AZ51" s="65" t="str">
        <f t="shared" si="18"/>
        <v/>
      </c>
      <c r="BA51" s="65" t="str">
        <f t="shared" si="19"/>
        <v/>
      </c>
      <c r="BB51" s="68" t="str">
        <f>IF('Marks Entry'!AB51="","",'Marks Entry'!AB51)</f>
        <v/>
      </c>
      <c r="BC51" s="68" t="str">
        <f>IF('Marks Entry'!AC51="","",'Marks Entry'!AC51)</f>
        <v/>
      </c>
      <c r="BD51" s="68" t="str">
        <f>IF('Marks Entry'!AD51="","",'Marks Entry'!AD51)</f>
        <v/>
      </c>
      <c r="BE51" s="514" t="str">
        <f t="shared" si="20"/>
        <v/>
      </c>
      <c r="BF51" s="68" t="str">
        <f>IF('Marks Entry'!AE51="","",'Marks Entry'!AE51)</f>
        <v/>
      </c>
      <c r="BG51" s="515" t="str">
        <f t="shared" si="21"/>
        <v/>
      </c>
      <c r="BH51" s="68" t="str">
        <f>IF('Marks Entry'!AF51="","",'Marks Entry'!AF51)</f>
        <v/>
      </c>
      <c r="BI51" s="96" t="str">
        <f t="shared" si="22"/>
        <v/>
      </c>
      <c r="BJ51" s="65">
        <f t="shared" si="23"/>
        <v>0</v>
      </c>
      <c r="BK51" s="65">
        <f t="shared" si="92"/>
        <v>0</v>
      </c>
      <c r="BL51" s="66" t="str">
        <f t="shared" si="24"/>
        <v/>
      </c>
      <c r="BM51" s="65" t="str">
        <f t="shared" si="25"/>
        <v/>
      </c>
      <c r="BN51" s="65" t="str">
        <f t="shared" si="26"/>
        <v/>
      </c>
      <c r="BO51" s="65" t="str">
        <f t="shared" si="27"/>
        <v/>
      </c>
      <c r="BP51" s="68" t="str">
        <f>IF('Marks Entry'!AG51="","",'Marks Entry'!AG51)</f>
        <v/>
      </c>
      <c r="BQ51" s="68" t="str">
        <f>IF('Marks Entry'!AH51="","",'Marks Entry'!AH51)</f>
        <v/>
      </c>
      <c r="BR51" s="68" t="str">
        <f>IF('Marks Entry'!AI51="","",'Marks Entry'!AI51)</f>
        <v/>
      </c>
      <c r="BS51" s="514" t="str">
        <f t="shared" si="28"/>
        <v/>
      </c>
      <c r="BT51" s="68" t="str">
        <f>IF('Marks Entry'!AJ51="","",'Marks Entry'!AJ51)</f>
        <v/>
      </c>
      <c r="BU51" s="515" t="str">
        <f t="shared" si="29"/>
        <v/>
      </c>
      <c r="BV51" s="68" t="str">
        <f>IF('Marks Entry'!AK51="","",'Marks Entry'!AK51)</f>
        <v/>
      </c>
      <c r="BW51" s="96" t="str">
        <f t="shared" si="30"/>
        <v/>
      </c>
      <c r="BX51" s="65">
        <f t="shared" si="31"/>
        <v>0</v>
      </c>
      <c r="BY51" s="65">
        <f t="shared" si="32"/>
        <v>0</v>
      </c>
      <c r="BZ51" s="66" t="str">
        <f t="shared" si="33"/>
        <v/>
      </c>
      <c r="CA51" s="65" t="str">
        <f t="shared" si="34"/>
        <v/>
      </c>
      <c r="CB51" s="65" t="str">
        <f t="shared" si="35"/>
        <v/>
      </c>
      <c r="CC51" s="65" t="str">
        <f t="shared" si="36"/>
        <v/>
      </c>
      <c r="CD51" s="66">
        <f t="shared" si="161"/>
        <v>0</v>
      </c>
      <c r="CE51" s="68" t="str">
        <f>IF('Marks Entry'!AL51="","",'Marks Entry'!AL51)</f>
        <v/>
      </c>
      <c r="CF51" s="68" t="str">
        <f>IF('Marks Entry'!AM51="","",'Marks Entry'!AM51)</f>
        <v/>
      </c>
      <c r="CG51" s="68" t="str">
        <f>IF('Marks Entry'!AN51="","",'Marks Entry'!AN51)</f>
        <v/>
      </c>
      <c r="CH51" s="514" t="str">
        <f t="shared" si="37"/>
        <v/>
      </c>
      <c r="CI51" s="68" t="str">
        <f>IF('Marks Entry'!AO51="","",'Marks Entry'!AO51)</f>
        <v/>
      </c>
      <c r="CJ51" s="515" t="str">
        <f t="shared" si="38"/>
        <v/>
      </c>
      <c r="CK51" s="68" t="str">
        <f>IF('Marks Entry'!AP51="","",'Marks Entry'!AP51)</f>
        <v/>
      </c>
      <c r="CL51" s="96" t="str">
        <f t="shared" si="39"/>
        <v/>
      </c>
      <c r="CM51" s="65">
        <f t="shared" si="40"/>
        <v>0</v>
      </c>
      <c r="CN51" s="65">
        <f t="shared" si="41"/>
        <v>0</v>
      </c>
      <c r="CO51" s="66" t="str">
        <f t="shared" si="42"/>
        <v/>
      </c>
      <c r="CP51" s="65" t="str">
        <f t="shared" si="43"/>
        <v/>
      </c>
      <c r="CQ51" s="65" t="str">
        <f t="shared" si="44"/>
        <v/>
      </c>
      <c r="CR51" s="65" t="str">
        <f t="shared" si="45"/>
        <v/>
      </c>
      <c r="CS51" s="616" t="str">
        <f>IF('School Profile'!$D$20="NO","",IF('Marks Entry'!AQ51="","",IF('Marks Entry'!AQ51=1,'School Profile'!$I$29,IF('Marks Entry'!AQ51=2,'School Profile'!$I$30,IF('Marks Entry'!AQ51=3,'School Profile'!$I$31,IF('Marks Entry'!AQ51=4,'School Profile'!$I$32,IF('Marks Entry'!AQ51=5,'School Profile'!$I$33,IF('Marks Entry'!AQ51=6,'School Profile'!$I$34,IF('Marks Entry'!AQ51=7,'School Profile'!$I$35,IF('Marks Entry'!AQ51=8,'School Profile'!$I$36,IF('Marks Entry'!AQ51=9,'School Profile'!$I$37,IF('Marks Entry'!AQ51=10,'School Profile'!$I$38,IF('Marks Entry'!AQ51=11,'School Profile'!$I$39,"")))))))))))))</f>
        <v/>
      </c>
      <c r="CT51" s="68" t="str">
        <f>IF('School Profile'!$D$20="NO","",IF('Marks Entry'!AR51="","",'Marks Entry'!AR51))</f>
        <v/>
      </c>
      <c r="CU51" s="68" t="str">
        <f>IF('School Profile'!$D$20="NO","",IF('Marks Entry'!AS51="","",'Marks Entry'!AS51))</f>
        <v/>
      </c>
      <c r="CV51" s="68" t="str">
        <f>IF('School Profile'!$D$20="NO","",IF('Marks Entry'!AT51="","",'Marks Entry'!AT51))</f>
        <v/>
      </c>
      <c r="CW51" s="514" t="str">
        <f>IF('School Profile'!$D$20="NO","",IF(AND(CT51="",CU51="",CV51=""),"",SUM(CT51:CV51)))</f>
        <v/>
      </c>
      <c r="CX51" s="68" t="str">
        <f>IF('School Profile'!$D$20="NO","",IF('Marks Entry'!AU51="","",'Marks Entry'!AU51))</f>
        <v/>
      </c>
      <c r="CY51" s="68" t="str">
        <f>IF('School Profile'!$D$20="NO","",IF('Marks Entry'!AV51="","",'Marks Entry'!AV51))</f>
        <v/>
      </c>
      <c r="CZ51" s="515" t="str">
        <f>IF('School Profile'!$D$20="NO","",IF(AND(CX51="",CY51=""),"",SUM(CX51,CY51)))</f>
        <v/>
      </c>
      <c r="DA51" s="69" t="str">
        <f>IF('School Profile'!$D$20="NO","",IF(AND(CW51="",CZ51=""),"",SUM(CW51+CZ51)))</f>
        <v/>
      </c>
      <c r="DB51" s="68" t="str">
        <f>IF('School Profile'!$D$20="NO","",IF('Marks Entry'!AW51="","",'Marks Entry'!AW51))</f>
        <v/>
      </c>
      <c r="DC51" s="68" t="str">
        <f>IF('School Profile'!$D$20="NO","",IF('Marks Entry'!AX51="","",'Marks Entry'!AX51))</f>
        <v/>
      </c>
      <c r="DD51" s="515" t="str">
        <f>IF('School Profile'!$D$20="NO","",IF(AND(DB51="",DC51=""),"",SUM(DB51,DC51)))</f>
        <v/>
      </c>
      <c r="DE51" s="96" t="str">
        <f>IF('School Profile'!$D$20="NO","",IF(AND(DA51="",DD51=""),"",SUM(DA51,DD51)))</f>
        <v/>
      </c>
      <c r="DF51" s="532">
        <f t="shared" si="46"/>
        <v>0</v>
      </c>
      <c r="DG51" s="65">
        <f t="shared" si="47"/>
        <v>0</v>
      </c>
      <c r="DH51" s="66" t="str">
        <f t="shared" si="48"/>
        <v/>
      </c>
      <c r="DI51" s="65" t="str">
        <f t="shared" si="49"/>
        <v/>
      </c>
      <c r="DJ51" s="65" t="str">
        <f t="shared" si="50"/>
        <v/>
      </c>
      <c r="DK51" s="65" t="str">
        <f t="shared" si="51"/>
        <v/>
      </c>
      <c r="DL51" s="97" t="str">
        <f t="shared" si="94"/>
        <v/>
      </c>
      <c r="DM51" s="97" t="str">
        <f t="shared" si="95"/>
        <v/>
      </c>
      <c r="DN51" s="97" t="str">
        <f t="shared" si="96"/>
        <v/>
      </c>
      <c r="DO51" s="97" t="str">
        <f t="shared" si="97"/>
        <v/>
      </c>
      <c r="DP51" s="97" t="str">
        <f t="shared" si="98"/>
        <v/>
      </c>
      <c r="DQ51" s="97" t="str">
        <f t="shared" si="99"/>
        <v/>
      </c>
      <c r="DR51" s="97" t="str">
        <f t="shared" si="100"/>
        <v/>
      </c>
      <c r="DS51" s="98">
        <f t="shared" si="101"/>
        <v>0</v>
      </c>
      <c r="DT51" s="98">
        <f t="shared" si="102"/>
        <v>0</v>
      </c>
      <c r="DU51" s="98">
        <f t="shared" si="103"/>
        <v>0</v>
      </c>
      <c r="DV51" s="98">
        <f t="shared" si="104"/>
        <v>0</v>
      </c>
      <c r="DW51" s="98">
        <f t="shared" si="105"/>
        <v>0</v>
      </c>
      <c r="DX51" s="98" t="str">
        <f t="shared" si="106"/>
        <v/>
      </c>
      <c r="DY51" s="99" t="str">
        <f t="shared" si="107"/>
        <v/>
      </c>
      <c r="DZ51" s="74" t="str">
        <f>IF('Marks Entry'!AY51="","",'Marks Entry'!AY51)</f>
        <v/>
      </c>
      <c r="EA51" s="74" t="str">
        <f>IF('Marks Entry'!AZ51="","",'Marks Entry'!AZ51)</f>
        <v/>
      </c>
      <c r="EB51" s="74" t="str">
        <f>IF('Marks Entry'!BA51="","",'Marks Entry'!BA51)</f>
        <v/>
      </c>
      <c r="EC51" s="527" t="str">
        <f t="shared" si="52"/>
        <v/>
      </c>
      <c r="ED51" s="74" t="str">
        <f>IF('Marks Entry'!BB51="","",'Marks Entry'!BB51)</f>
        <v/>
      </c>
      <c r="EE51" s="528" t="str">
        <f t="shared" si="53"/>
        <v/>
      </c>
      <c r="EF51" s="74" t="str">
        <f>IF('Marks Entry'!BC51="","",'Marks Entry'!BC51)</f>
        <v/>
      </c>
      <c r="EG51" s="530" t="str">
        <f t="shared" si="54"/>
        <v/>
      </c>
      <c r="EH51" s="368" t="str">
        <f t="shared" si="108"/>
        <v/>
      </c>
      <c r="EI51" s="65">
        <f t="shared" si="109"/>
        <v>0</v>
      </c>
      <c r="EJ51" s="65">
        <f t="shared" si="110"/>
        <v>0</v>
      </c>
      <c r="EK51" s="66" t="str">
        <f t="shared" si="111"/>
        <v/>
      </c>
      <c r="EL51" s="74" t="str">
        <f>IF('Marks Entry'!BD51="","",'Marks Entry'!BD51)</f>
        <v/>
      </c>
      <c r="EM51" s="74" t="str">
        <f>IF('Marks Entry'!BE51="","",'Marks Entry'!BE51)</f>
        <v/>
      </c>
      <c r="EN51" s="74" t="str">
        <f>IF('Marks Entry'!BF51="","",'Marks Entry'!BF51)</f>
        <v/>
      </c>
      <c r="EO51" s="527" t="str">
        <f t="shared" si="55"/>
        <v/>
      </c>
      <c r="EP51" s="74" t="str">
        <f>IF('Marks Entry'!BG51="","",'Marks Entry'!BG51)</f>
        <v/>
      </c>
      <c r="EQ51" s="74" t="str">
        <f>IF('Marks Entry'!BH51="","",'Marks Entry'!BH51)</f>
        <v/>
      </c>
      <c r="ER51" s="528" t="str">
        <f t="shared" si="56"/>
        <v/>
      </c>
      <c r="ES51" s="529" t="str">
        <f t="shared" si="57"/>
        <v/>
      </c>
      <c r="ET51" s="74" t="str">
        <f>IF('Marks Entry'!BI51="","",'Marks Entry'!BI51)</f>
        <v/>
      </c>
      <c r="EU51" s="74" t="str">
        <f>IF('Marks Entry'!BJ51="","",'Marks Entry'!BJ51)</f>
        <v/>
      </c>
      <c r="EV51" s="528" t="str">
        <f t="shared" si="58"/>
        <v/>
      </c>
      <c r="EW51" s="530" t="str">
        <f t="shared" si="59"/>
        <v/>
      </c>
      <c r="EX51" s="368" t="str">
        <f t="shared" si="112"/>
        <v/>
      </c>
      <c r="EY51" s="65">
        <f t="shared" si="113"/>
        <v>0</v>
      </c>
      <c r="EZ51" s="65">
        <f t="shared" si="114"/>
        <v>0</v>
      </c>
      <c r="FA51" s="66" t="str">
        <f t="shared" si="115"/>
        <v/>
      </c>
      <c r="FB51" s="74" t="str">
        <f>IF('Marks Entry'!BK51="","",'Marks Entry'!BK51)</f>
        <v/>
      </c>
      <c r="FC51" s="74" t="str">
        <f>IF('Marks Entry'!BL51="","",'Marks Entry'!BL51)</f>
        <v/>
      </c>
      <c r="FD51" s="74" t="str">
        <f>IF('Marks Entry'!BM51="","",'Marks Entry'!BM51)</f>
        <v/>
      </c>
      <c r="FE51" s="74" t="str">
        <f>IF('Marks Entry'!BN51="","",'Marks Entry'!BN51)</f>
        <v/>
      </c>
      <c r="FF51" s="74" t="str">
        <f>IF('Marks Entry'!BO51="","",'Marks Entry'!BO51)</f>
        <v/>
      </c>
      <c r="FG51" s="74" t="str">
        <f>IF('Marks Entry'!BP51="","",'Marks Entry'!BP51)</f>
        <v/>
      </c>
      <c r="FH51" s="527" t="str">
        <f t="shared" si="60"/>
        <v/>
      </c>
      <c r="FI51" s="74" t="str">
        <f>IF('Marks Entry'!BQ51="","",'Marks Entry'!BQ51)</f>
        <v/>
      </c>
      <c r="FJ51" s="74" t="str">
        <f>IF('Marks Entry'!BR51="","",'Marks Entry'!BR51)</f>
        <v/>
      </c>
      <c r="FK51" s="528" t="str">
        <f t="shared" si="61"/>
        <v/>
      </c>
      <c r="FL51" s="529" t="str">
        <f t="shared" si="62"/>
        <v/>
      </c>
      <c r="FM51" s="74" t="str">
        <f>IF('Marks Entry'!BS51="","",'Marks Entry'!BS51)</f>
        <v/>
      </c>
      <c r="FN51" s="74" t="str">
        <f>IF('Marks Entry'!BT51="","",'Marks Entry'!BT51)</f>
        <v/>
      </c>
      <c r="FO51" s="528" t="str">
        <f t="shared" si="63"/>
        <v/>
      </c>
      <c r="FP51" s="530" t="str">
        <f t="shared" si="64"/>
        <v/>
      </c>
      <c r="FQ51" s="368" t="str">
        <f t="shared" si="116"/>
        <v/>
      </c>
      <c r="FR51" s="65">
        <f t="shared" si="117"/>
        <v>0</v>
      </c>
      <c r="FS51" s="65">
        <f t="shared" si="118"/>
        <v>0</v>
      </c>
      <c r="FT51" s="66" t="str">
        <f t="shared" si="119"/>
        <v/>
      </c>
      <c r="FU51" s="74" t="str">
        <f>IF('Marks Entry'!BU51="","",'Marks Entry'!BU51)</f>
        <v/>
      </c>
      <c r="FV51" s="74" t="str">
        <f>IF('Marks Entry'!BV51="","",'Marks Entry'!BV51)</f>
        <v/>
      </c>
      <c r="FW51" s="74" t="str">
        <f>IF('Marks Entry'!BW51="","",'Marks Entry'!BW51)</f>
        <v/>
      </c>
      <c r="FX51" s="75" t="str">
        <f t="shared" si="65"/>
        <v/>
      </c>
      <c r="FY51" s="368" t="str">
        <f t="shared" si="120"/>
        <v/>
      </c>
      <c r="FZ51" s="65">
        <f t="shared" si="121"/>
        <v>0</v>
      </c>
      <c r="GA51" s="66">
        <f t="shared" si="122"/>
        <v>0</v>
      </c>
      <c r="GB51" s="66" t="str">
        <f t="shared" si="123"/>
        <v/>
      </c>
      <c r="GC51" s="74" t="str">
        <f>IF('Marks Entry'!BX51="","",'Marks Entry'!BX51)</f>
        <v/>
      </c>
      <c r="GD51" s="74" t="str">
        <f>IF('Marks Entry'!BY51="","",'Marks Entry'!BY51)</f>
        <v/>
      </c>
      <c r="GE51" s="74" t="str">
        <f>IF('Marks Entry'!BZ51="","",'Marks Entry'!BZ51)</f>
        <v/>
      </c>
      <c r="GF51" s="75" t="str">
        <f t="shared" si="124"/>
        <v/>
      </c>
      <c r="GG51" s="368" t="str">
        <f t="shared" si="125"/>
        <v/>
      </c>
      <c r="GH51" s="65">
        <f t="shared" si="126"/>
        <v>0</v>
      </c>
      <c r="GI51" s="66">
        <f t="shared" si="127"/>
        <v>0</v>
      </c>
      <c r="GJ51" s="66" t="str">
        <f t="shared" si="128"/>
        <v/>
      </c>
      <c r="GK51" s="100" t="str">
        <f>IF(AND(F51="",B51=""),"",IF('Student DATA Entry'!M48="","",'Student DATA Entry'!M48))</f>
        <v/>
      </c>
      <c r="GL51" s="101" t="str">
        <f>IF(AND(B51="",F51=""),"",IF('Student DATA Entry'!N48="","",'Student DATA Entry'!N48))</f>
        <v/>
      </c>
      <c r="GM51" s="581" t="str">
        <f t="shared" si="129"/>
        <v/>
      </c>
      <c r="GN51" s="94" t="str">
        <f t="shared" si="130"/>
        <v/>
      </c>
      <c r="GO51" s="94" t="str">
        <f t="shared" si="131"/>
        <v/>
      </c>
      <c r="GP51" s="102" t="str">
        <f t="shared" si="162"/>
        <v/>
      </c>
      <c r="GQ51" s="94" t="str">
        <f t="shared" si="132"/>
        <v/>
      </c>
      <c r="GR51" s="103" t="str">
        <f t="shared" si="133"/>
        <v/>
      </c>
      <c r="GS51" s="102" t="str">
        <f t="shared" si="163"/>
        <v/>
      </c>
      <c r="GT51" s="104" t="str">
        <f t="shared" si="134"/>
        <v/>
      </c>
      <c r="GU51" s="94" t="str">
        <f>IF('Marks Entry'!V51=1,GT51,"")</f>
        <v/>
      </c>
      <c r="GV51" s="94" t="str">
        <f>IF('Marks Entry'!V51=2,GT51,"")</f>
        <v/>
      </c>
      <c r="GW51" s="94" t="str">
        <f>IF('Marks Entry'!V51=3,GT51,"")</f>
        <v/>
      </c>
      <c r="GX51" s="94" t="str">
        <f>IF('Marks Entry'!V51=4,GT51,"")</f>
        <v/>
      </c>
      <c r="GY51" s="94" t="str">
        <f>IF('Marks Entry'!V51=5,GT51,"")</f>
        <v/>
      </c>
      <c r="GZ51" s="94" t="str">
        <f t="shared" si="135"/>
        <v/>
      </c>
      <c r="HA51" s="105" t="str">
        <f t="shared" si="164"/>
        <v/>
      </c>
      <c r="HB51" s="94" t="str">
        <f t="shared" si="136"/>
        <v/>
      </c>
      <c r="HC51" s="94" t="str">
        <f t="shared" si="137"/>
        <v/>
      </c>
      <c r="HD51" s="105" t="str">
        <f t="shared" si="165"/>
        <v/>
      </c>
      <c r="HE51" s="94" t="str">
        <f t="shared" si="138"/>
        <v/>
      </c>
      <c r="HF51" s="94" t="str">
        <f t="shared" si="139"/>
        <v/>
      </c>
      <c r="HG51" s="105" t="str">
        <f t="shared" si="166"/>
        <v/>
      </c>
      <c r="HH51" s="94" t="str">
        <f t="shared" si="140"/>
        <v/>
      </c>
      <c r="HI51" s="94" t="str">
        <f t="shared" si="141"/>
        <v/>
      </c>
      <c r="HJ51" s="105" t="str">
        <f t="shared" si="167"/>
        <v/>
      </c>
      <c r="HK51" s="94" t="str">
        <f t="shared" si="142"/>
        <v/>
      </c>
      <c r="HL51" s="94" t="str">
        <f t="shared" si="143"/>
        <v/>
      </c>
      <c r="HM51" s="105" t="str">
        <f t="shared" si="168"/>
        <v/>
      </c>
      <c r="HN51" s="367" t="str">
        <f t="shared" si="144"/>
        <v xml:space="preserve">      </v>
      </c>
      <c r="HO51" s="418" t="str">
        <f t="shared" si="169"/>
        <v xml:space="preserve">      </v>
      </c>
      <c r="HP51" s="367" t="str">
        <f t="shared" si="146"/>
        <v xml:space="preserve">      </v>
      </c>
      <c r="HQ51" s="107" t="str">
        <f t="shared" si="147"/>
        <v xml:space="preserve">      </v>
      </c>
      <c r="HR51" s="366" t="str">
        <f t="shared" si="148"/>
        <v xml:space="preserve">      </v>
      </c>
      <c r="HS51" s="544" t="str">
        <f t="shared" si="170"/>
        <v/>
      </c>
      <c r="HT51" s="542" t="str">
        <f t="shared" si="149"/>
        <v/>
      </c>
      <c r="HU51" s="541" t="str">
        <f t="shared" si="160"/>
        <v/>
      </c>
      <c r="HV51" s="540" t="str">
        <f t="shared" si="150"/>
        <v/>
      </c>
      <c r="HW51" s="537" t="str">
        <f t="shared" si="151"/>
        <v/>
      </c>
      <c r="HX51" s="539" t="str">
        <f t="shared" si="152"/>
        <v/>
      </c>
      <c r="HY51" s="553" t="str">
        <f>IFERROR(IF(OR(HS51="SUPPLEMENTARY",HS51="RE-EXAM"),'Supp. Result Entry'!AQ49,""),"")</f>
        <v/>
      </c>
      <c r="HZ51" s="538" t="str">
        <f t="shared" si="153"/>
        <v/>
      </c>
      <c r="IA51" s="415" t="str">
        <f t="shared" si="154"/>
        <v/>
      </c>
      <c r="IB51" s="415" t="str">
        <f>IF(AND(HZ51="",IA51=""),"",IF(OR(HS51="SUPPLEMENTARY",HS51="RE-EXAM"),'Supp. Result Entry'!AQ49,HS51))</f>
        <v/>
      </c>
      <c r="IC51" s="87"/>
      <c r="ID51" s="111"/>
      <c r="IS51" s="109" t="str">
        <f>IF('Supp. Result Entry'!T49="","",'Supp. Result Entry'!$T$4)</f>
        <v/>
      </c>
      <c r="IT51" s="110" t="str">
        <f>IF('Supp. Result Entry'!W49="","",'Supp. Result Entry'!$W$4)</f>
        <v/>
      </c>
      <c r="IU51" s="110" t="str">
        <f>IF('Supp. Result Entry'!Z49="","",'Supp. Result Entry'!$Z$4)</f>
        <v/>
      </c>
      <c r="IV51" s="110" t="str">
        <f>IF('Supp. Result Entry'!AC49="","",'Supp. Result Entry'!$AC$4)</f>
        <v/>
      </c>
      <c r="IW51" s="110" t="str">
        <f>IF('Supp. Result Entry'!AF49="","",'Supp. Result Entry'!$AF$4)</f>
        <v/>
      </c>
      <c r="IX51" s="110" t="str">
        <f>IF('Supp. Result Entry'!AI49="","",'Supp. Result Entry'!$AI$4)</f>
        <v/>
      </c>
      <c r="IY51" s="110" t="str">
        <f>IF('Supp. Result Entry'!AI49="","",'Supp. Result Entry'!$AL$4)</f>
        <v/>
      </c>
      <c r="IZ51" s="110" t="str">
        <f>IF('Supp. Result Entry'!U49="","",'Supp. Result Entry'!U49)</f>
        <v/>
      </c>
      <c r="JA51" s="110" t="str">
        <f>IF('Supp. Result Entry'!X49="","",'Supp. Result Entry'!X49)</f>
        <v/>
      </c>
      <c r="JB51" s="110" t="str">
        <f>IF('Supp. Result Entry'!AA49="","",'Supp. Result Entry'!AA49)</f>
        <v/>
      </c>
      <c r="JC51" s="110" t="str">
        <f>IF('Supp. Result Entry'!AD49="","",'Supp. Result Entry'!AD49)</f>
        <v/>
      </c>
      <c r="JD51" s="110" t="str">
        <f>IF('Supp. Result Entry'!AG49="","",'Supp. Result Entry'!AG49)</f>
        <v/>
      </c>
      <c r="JE51" s="110" t="str">
        <f>IF('Supp. Result Entry'!AJ49="","",'Supp. Result Entry'!AJ49)</f>
        <v/>
      </c>
      <c r="JF51" s="110" t="str">
        <f>IF('Supp. Result Entry'!AM49="","",'Supp. Result Entry'!AM49)</f>
        <v/>
      </c>
      <c r="JG51" s="110" t="str">
        <f>IF('Supp. Result Entry'!V49="","",'Supp. Result Entry'!V49)</f>
        <v/>
      </c>
      <c r="JH51" s="110" t="str">
        <f>IF('Supp. Result Entry'!Y49="","",'Supp. Result Entry'!Y49)</f>
        <v/>
      </c>
      <c r="JI51" s="110" t="str">
        <f>IF('Supp. Result Entry'!AB49="","",'Supp. Result Entry'!AB49)</f>
        <v/>
      </c>
      <c r="JJ51" s="110" t="str">
        <f>IF('Supp. Result Entry'!AE49="","",'Supp. Result Entry'!AE49)</f>
        <v/>
      </c>
      <c r="JK51" s="110" t="str">
        <f>IF('Supp. Result Entry'!AH49="","",'Supp. Result Entry'!AH49)</f>
        <v/>
      </c>
      <c r="JL51" s="110" t="str">
        <f>IF('Supp. Result Entry'!AK49="","",'Supp. Result Entry'!AK49)</f>
        <v/>
      </c>
      <c r="JM51" s="110" t="str">
        <f>IF('Supp. Result Entry'!AN49="","",'Supp. Result Entry'!AN49)</f>
        <v/>
      </c>
      <c r="JN51" s="110">
        <f>COUNTIF('Supp. Result Entry'!K49:Q49,"S")</f>
        <v>0</v>
      </c>
      <c r="JO51" s="110">
        <f t="shared" si="155"/>
        <v>0</v>
      </c>
      <c r="JP51" s="110">
        <f t="shared" si="156"/>
        <v>0</v>
      </c>
      <c r="JQ51" s="110" t="str">
        <f t="shared" si="75"/>
        <v/>
      </c>
      <c r="JR51" s="110" t="str">
        <f t="shared" si="76"/>
        <v/>
      </c>
      <c r="JS51" s="110" t="str">
        <f t="shared" si="77"/>
        <v/>
      </c>
      <c r="JT51" s="110" t="str">
        <f t="shared" si="78"/>
        <v/>
      </c>
      <c r="JU51" s="110" t="str">
        <f t="shared" si="79"/>
        <v/>
      </c>
      <c r="JV51" s="110" t="str">
        <f t="shared" si="80"/>
        <v/>
      </c>
      <c r="JW51" s="110" t="str">
        <f t="shared" si="81"/>
        <v/>
      </c>
      <c r="JX51" s="110" t="str">
        <f t="shared" si="157"/>
        <v/>
      </c>
      <c r="JY51" s="110" t="str">
        <f t="shared" si="158"/>
        <v/>
      </c>
      <c r="JZ51" s="110" t="str">
        <f t="shared" si="82"/>
        <v/>
      </c>
      <c r="KA51" s="108" t="str">
        <f t="shared" si="159"/>
        <v/>
      </c>
    </row>
    <row r="52" spans="1:287" s="108" customFormat="1" ht="21.95" customHeight="1">
      <c r="A52" s="89">
        <v>46</v>
      </c>
      <c r="B52" s="90" t="str">
        <f>IF('Marks Entry'!B52="","",'Marks Entry'!B52)</f>
        <v/>
      </c>
      <c r="C52" s="94" t="str">
        <f>IF('Marks Entry'!D52="","",'Marks Entry'!D52)</f>
        <v/>
      </c>
      <c r="D52" s="91" t="str">
        <f>IF('Marks Entry'!E52="","",'Marks Entry'!E52)</f>
        <v/>
      </c>
      <c r="E52" s="92" t="str">
        <f>IF('Marks Entry'!F52="","",'Marks Entry'!F52)</f>
        <v/>
      </c>
      <c r="F52" s="93" t="str">
        <f>IF('Marks Entry'!G52="","",'Marks Entry'!G52)</f>
        <v/>
      </c>
      <c r="G52" s="93" t="str">
        <f>IF('Marks Entry'!H52="","",'Marks Entry'!H52)</f>
        <v/>
      </c>
      <c r="H52" s="93" t="str">
        <f>IF('Marks Entry'!I52="","",'Marks Entry'!I52)</f>
        <v/>
      </c>
      <c r="I52" s="94" t="str">
        <f>IF('Marks Entry'!J52="","",'Marks Entry'!J52)</f>
        <v/>
      </c>
      <c r="J52" s="95" t="str">
        <f>IF('Marks Entry'!K52="","",'Marks Entry'!K52)</f>
        <v/>
      </c>
      <c r="K52" s="68" t="str">
        <f>IF('Marks Entry'!L52="","",'Marks Entry'!L52)</f>
        <v/>
      </c>
      <c r="L52" s="68" t="str">
        <f>IF('Marks Entry'!M52="","",'Marks Entry'!M52)</f>
        <v/>
      </c>
      <c r="M52" s="68" t="str">
        <f>IF('Marks Entry'!N52="","",'Marks Entry'!N52)</f>
        <v/>
      </c>
      <c r="N52" s="514" t="str">
        <f t="shared" si="83"/>
        <v/>
      </c>
      <c r="O52" s="68" t="str">
        <f>IF('Marks Entry'!O52="","",'Marks Entry'!O52)</f>
        <v/>
      </c>
      <c r="P52" s="515" t="str">
        <f t="shared" si="84"/>
        <v/>
      </c>
      <c r="Q52" s="68" t="str">
        <f>IF('Marks Entry'!P52="","",'Marks Entry'!P52)</f>
        <v/>
      </c>
      <c r="R52" s="96" t="str">
        <f t="shared" si="85"/>
        <v/>
      </c>
      <c r="S52" s="65">
        <f t="shared" si="86"/>
        <v>0</v>
      </c>
      <c r="T52" s="65">
        <f t="shared" si="87"/>
        <v>0</v>
      </c>
      <c r="U52" s="66" t="str">
        <f t="shared" si="88"/>
        <v/>
      </c>
      <c r="V52" s="65" t="str">
        <f t="shared" si="89"/>
        <v/>
      </c>
      <c r="W52" s="65" t="str">
        <f t="shared" si="90"/>
        <v/>
      </c>
      <c r="X52" s="65" t="str">
        <f t="shared" si="91"/>
        <v/>
      </c>
      <c r="Y52" s="68" t="str">
        <f>IF('Marks Entry'!Q52="","",'Marks Entry'!Q52)</f>
        <v/>
      </c>
      <c r="Z52" s="68" t="str">
        <f>IF('Marks Entry'!R52="","",'Marks Entry'!R52)</f>
        <v/>
      </c>
      <c r="AA52" s="68" t="str">
        <f>IF('Marks Entry'!S52="","",'Marks Entry'!S52)</f>
        <v/>
      </c>
      <c r="AB52" s="514" t="str">
        <f t="shared" si="2"/>
        <v/>
      </c>
      <c r="AC52" s="68" t="str">
        <f>IF('Marks Entry'!T52="","",'Marks Entry'!T52)</f>
        <v/>
      </c>
      <c r="AD52" s="515" t="str">
        <f t="shared" si="3"/>
        <v/>
      </c>
      <c r="AE52" s="68" t="str">
        <f>IF('Marks Entry'!U52="","",'Marks Entry'!U52)</f>
        <v/>
      </c>
      <c r="AF52" s="96" t="str">
        <f t="shared" si="4"/>
        <v/>
      </c>
      <c r="AG52" s="65">
        <f t="shared" si="5"/>
        <v>0</v>
      </c>
      <c r="AH52" s="65">
        <f t="shared" si="6"/>
        <v>0</v>
      </c>
      <c r="AI52" s="66" t="str">
        <f t="shared" si="7"/>
        <v/>
      </c>
      <c r="AJ52" s="65" t="str">
        <f t="shared" si="8"/>
        <v/>
      </c>
      <c r="AK52" s="65" t="str">
        <f t="shared" si="9"/>
        <v/>
      </c>
      <c r="AL52" s="65" t="str">
        <f t="shared" si="10"/>
        <v/>
      </c>
      <c r="AM52" s="524" t="str">
        <f>IF('Marks Entry'!V52="","",IF('Marks Entry'!V52=1,'School Profile'!$I$9,IF('Marks Entry'!V52=2,'School Profile'!$I$10,IF('Marks Entry'!V52=3,'School Profile'!$I$11,IF('Marks Entry'!V52=4,'School Profile'!$I$12,IF('Marks Entry'!V52=5,'School Profile'!$I$13,IF('Marks Entry'!V52=6,'School Profile'!$I$14,"")))))))</f>
        <v/>
      </c>
      <c r="AN52" s="68" t="str">
        <f>IF('Marks Entry'!W52="","",'Marks Entry'!W52)</f>
        <v/>
      </c>
      <c r="AO52" s="68" t="str">
        <f>IF('Marks Entry'!X52="","",'Marks Entry'!X52)</f>
        <v/>
      </c>
      <c r="AP52" s="68" t="str">
        <f>IF('Marks Entry'!Y52="","",'Marks Entry'!Y52)</f>
        <v/>
      </c>
      <c r="AQ52" s="514" t="str">
        <f t="shared" si="11"/>
        <v/>
      </c>
      <c r="AR52" s="68" t="str">
        <f>IF('Marks Entry'!Z52="","",'Marks Entry'!Z52)</f>
        <v/>
      </c>
      <c r="AS52" s="515" t="str">
        <f t="shared" si="12"/>
        <v/>
      </c>
      <c r="AT52" s="68" t="str">
        <f>IF('Marks Entry'!AA52="","",'Marks Entry'!AA52)</f>
        <v/>
      </c>
      <c r="AU52" s="96" t="str">
        <f t="shared" si="13"/>
        <v/>
      </c>
      <c r="AV52" s="65">
        <f t="shared" si="14"/>
        <v>0</v>
      </c>
      <c r="AW52" s="65">
        <f t="shared" si="15"/>
        <v>0</v>
      </c>
      <c r="AX52" s="66" t="str">
        <f t="shared" si="16"/>
        <v/>
      </c>
      <c r="AY52" s="65" t="str">
        <f t="shared" si="17"/>
        <v/>
      </c>
      <c r="AZ52" s="65" t="str">
        <f t="shared" si="18"/>
        <v/>
      </c>
      <c r="BA52" s="65" t="str">
        <f t="shared" si="19"/>
        <v/>
      </c>
      <c r="BB52" s="68" t="str">
        <f>IF('Marks Entry'!AB52="","",'Marks Entry'!AB52)</f>
        <v/>
      </c>
      <c r="BC52" s="68" t="str">
        <f>IF('Marks Entry'!AC52="","",'Marks Entry'!AC52)</f>
        <v/>
      </c>
      <c r="BD52" s="68" t="str">
        <f>IF('Marks Entry'!AD52="","",'Marks Entry'!AD52)</f>
        <v/>
      </c>
      <c r="BE52" s="514" t="str">
        <f t="shared" si="20"/>
        <v/>
      </c>
      <c r="BF52" s="68" t="str">
        <f>IF('Marks Entry'!AE52="","",'Marks Entry'!AE52)</f>
        <v/>
      </c>
      <c r="BG52" s="515" t="str">
        <f t="shared" si="21"/>
        <v/>
      </c>
      <c r="BH52" s="68" t="str">
        <f>IF('Marks Entry'!AF52="","",'Marks Entry'!AF52)</f>
        <v/>
      </c>
      <c r="BI52" s="96" t="str">
        <f t="shared" si="22"/>
        <v/>
      </c>
      <c r="BJ52" s="65">
        <f t="shared" si="23"/>
        <v>0</v>
      </c>
      <c r="BK52" s="65">
        <f t="shared" si="92"/>
        <v>0</v>
      </c>
      <c r="BL52" s="66" t="str">
        <f t="shared" si="24"/>
        <v/>
      </c>
      <c r="BM52" s="65" t="str">
        <f t="shared" si="25"/>
        <v/>
      </c>
      <c r="BN52" s="65" t="str">
        <f t="shared" si="26"/>
        <v/>
      </c>
      <c r="BO52" s="65" t="str">
        <f t="shared" si="27"/>
        <v/>
      </c>
      <c r="BP52" s="68" t="str">
        <f>IF('Marks Entry'!AG52="","",'Marks Entry'!AG52)</f>
        <v/>
      </c>
      <c r="BQ52" s="68" t="str">
        <f>IF('Marks Entry'!AH52="","",'Marks Entry'!AH52)</f>
        <v/>
      </c>
      <c r="BR52" s="68" t="str">
        <f>IF('Marks Entry'!AI52="","",'Marks Entry'!AI52)</f>
        <v/>
      </c>
      <c r="BS52" s="514" t="str">
        <f t="shared" si="28"/>
        <v/>
      </c>
      <c r="BT52" s="68" t="str">
        <f>IF('Marks Entry'!AJ52="","",'Marks Entry'!AJ52)</f>
        <v/>
      </c>
      <c r="BU52" s="515" t="str">
        <f t="shared" si="29"/>
        <v/>
      </c>
      <c r="BV52" s="68" t="str">
        <f>IF('Marks Entry'!AK52="","",'Marks Entry'!AK52)</f>
        <v/>
      </c>
      <c r="BW52" s="96" t="str">
        <f t="shared" si="30"/>
        <v/>
      </c>
      <c r="BX52" s="65">
        <f t="shared" si="31"/>
        <v>0</v>
      </c>
      <c r="BY52" s="65">
        <f t="shared" si="32"/>
        <v>0</v>
      </c>
      <c r="BZ52" s="66" t="str">
        <f t="shared" si="33"/>
        <v/>
      </c>
      <c r="CA52" s="65" t="str">
        <f t="shared" si="34"/>
        <v/>
      </c>
      <c r="CB52" s="65" t="str">
        <f t="shared" si="35"/>
        <v/>
      </c>
      <c r="CC52" s="65" t="str">
        <f t="shared" si="36"/>
        <v/>
      </c>
      <c r="CD52" s="66">
        <f t="shared" si="161"/>
        <v>0</v>
      </c>
      <c r="CE52" s="68" t="str">
        <f>IF('Marks Entry'!AL52="","",'Marks Entry'!AL52)</f>
        <v/>
      </c>
      <c r="CF52" s="68" t="str">
        <f>IF('Marks Entry'!AM52="","",'Marks Entry'!AM52)</f>
        <v/>
      </c>
      <c r="CG52" s="68" t="str">
        <f>IF('Marks Entry'!AN52="","",'Marks Entry'!AN52)</f>
        <v/>
      </c>
      <c r="CH52" s="514" t="str">
        <f t="shared" si="37"/>
        <v/>
      </c>
      <c r="CI52" s="68" t="str">
        <f>IF('Marks Entry'!AO52="","",'Marks Entry'!AO52)</f>
        <v/>
      </c>
      <c r="CJ52" s="515" t="str">
        <f t="shared" si="38"/>
        <v/>
      </c>
      <c r="CK52" s="68" t="str">
        <f>IF('Marks Entry'!AP52="","",'Marks Entry'!AP52)</f>
        <v/>
      </c>
      <c r="CL52" s="96" t="str">
        <f t="shared" si="39"/>
        <v/>
      </c>
      <c r="CM52" s="65">
        <f t="shared" si="40"/>
        <v>0</v>
      </c>
      <c r="CN52" s="65">
        <f t="shared" si="41"/>
        <v>0</v>
      </c>
      <c r="CO52" s="66" t="str">
        <f t="shared" si="42"/>
        <v/>
      </c>
      <c r="CP52" s="65" t="str">
        <f t="shared" si="43"/>
        <v/>
      </c>
      <c r="CQ52" s="65" t="str">
        <f t="shared" si="44"/>
        <v/>
      </c>
      <c r="CR52" s="65" t="str">
        <f t="shared" si="45"/>
        <v/>
      </c>
      <c r="CS52" s="616" t="str">
        <f>IF('School Profile'!$D$20="NO","",IF('Marks Entry'!AQ52="","",IF('Marks Entry'!AQ52=1,'School Profile'!$I$29,IF('Marks Entry'!AQ52=2,'School Profile'!$I$30,IF('Marks Entry'!AQ52=3,'School Profile'!$I$31,IF('Marks Entry'!AQ52=4,'School Profile'!$I$32,IF('Marks Entry'!AQ52=5,'School Profile'!$I$33,IF('Marks Entry'!AQ52=6,'School Profile'!$I$34,IF('Marks Entry'!AQ52=7,'School Profile'!$I$35,IF('Marks Entry'!AQ52=8,'School Profile'!$I$36,IF('Marks Entry'!AQ52=9,'School Profile'!$I$37,IF('Marks Entry'!AQ52=10,'School Profile'!$I$38,IF('Marks Entry'!AQ52=11,'School Profile'!$I$39,"")))))))))))))</f>
        <v/>
      </c>
      <c r="CT52" s="68" t="str">
        <f>IF('School Profile'!$D$20="NO","",IF('Marks Entry'!AR52="","",'Marks Entry'!AR52))</f>
        <v/>
      </c>
      <c r="CU52" s="68" t="str">
        <f>IF('School Profile'!$D$20="NO","",IF('Marks Entry'!AS52="","",'Marks Entry'!AS52))</f>
        <v/>
      </c>
      <c r="CV52" s="68" t="str">
        <f>IF('School Profile'!$D$20="NO","",IF('Marks Entry'!AT52="","",'Marks Entry'!AT52))</f>
        <v/>
      </c>
      <c r="CW52" s="514" t="str">
        <f>IF('School Profile'!$D$20="NO","",IF(AND(CT52="",CU52="",CV52=""),"",SUM(CT52:CV52)))</f>
        <v/>
      </c>
      <c r="CX52" s="68" t="str">
        <f>IF('School Profile'!$D$20="NO","",IF('Marks Entry'!AU52="","",'Marks Entry'!AU52))</f>
        <v/>
      </c>
      <c r="CY52" s="68" t="str">
        <f>IF('School Profile'!$D$20="NO","",IF('Marks Entry'!AV52="","",'Marks Entry'!AV52))</f>
        <v/>
      </c>
      <c r="CZ52" s="515" t="str">
        <f>IF('School Profile'!$D$20="NO","",IF(AND(CX52="",CY52=""),"",SUM(CX52,CY52)))</f>
        <v/>
      </c>
      <c r="DA52" s="69" t="str">
        <f>IF('School Profile'!$D$20="NO","",IF(AND(CW52="",CZ52=""),"",SUM(CW52+CZ52)))</f>
        <v/>
      </c>
      <c r="DB52" s="68" t="str">
        <f>IF('School Profile'!$D$20="NO","",IF('Marks Entry'!AW52="","",'Marks Entry'!AW52))</f>
        <v/>
      </c>
      <c r="DC52" s="68" t="str">
        <f>IF('School Profile'!$D$20="NO","",IF('Marks Entry'!AX52="","",'Marks Entry'!AX52))</f>
        <v/>
      </c>
      <c r="DD52" s="515" t="str">
        <f>IF('School Profile'!$D$20="NO","",IF(AND(DB52="",DC52=""),"",SUM(DB52,DC52)))</f>
        <v/>
      </c>
      <c r="DE52" s="96" t="str">
        <f>IF('School Profile'!$D$20="NO","",IF(AND(DA52="",DD52=""),"",SUM(DA52,DD52)))</f>
        <v/>
      </c>
      <c r="DF52" s="532">
        <f t="shared" si="46"/>
        <v>0</v>
      </c>
      <c r="DG52" s="65">
        <f t="shared" si="47"/>
        <v>0</v>
      </c>
      <c r="DH52" s="66" t="str">
        <f t="shared" si="48"/>
        <v/>
      </c>
      <c r="DI52" s="65" t="str">
        <f t="shared" si="49"/>
        <v/>
      </c>
      <c r="DJ52" s="65" t="str">
        <f t="shared" si="50"/>
        <v/>
      </c>
      <c r="DK52" s="65" t="str">
        <f t="shared" si="51"/>
        <v/>
      </c>
      <c r="DL52" s="97" t="str">
        <f t="shared" si="94"/>
        <v/>
      </c>
      <c r="DM52" s="97" t="str">
        <f t="shared" si="95"/>
        <v/>
      </c>
      <c r="DN52" s="97" t="str">
        <f t="shared" si="96"/>
        <v/>
      </c>
      <c r="DO52" s="97" t="str">
        <f t="shared" si="97"/>
        <v/>
      </c>
      <c r="DP52" s="97" t="str">
        <f t="shared" si="98"/>
        <v/>
      </c>
      <c r="DQ52" s="97" t="str">
        <f t="shared" si="99"/>
        <v/>
      </c>
      <c r="DR52" s="97" t="str">
        <f t="shared" si="100"/>
        <v/>
      </c>
      <c r="DS52" s="98">
        <f t="shared" si="101"/>
        <v>0</v>
      </c>
      <c r="DT52" s="98">
        <f t="shared" si="102"/>
        <v>0</v>
      </c>
      <c r="DU52" s="98">
        <f t="shared" si="103"/>
        <v>0</v>
      </c>
      <c r="DV52" s="98">
        <f t="shared" si="104"/>
        <v>0</v>
      </c>
      <c r="DW52" s="98">
        <f t="shared" si="105"/>
        <v>0</v>
      </c>
      <c r="DX52" s="98" t="str">
        <f t="shared" si="106"/>
        <v/>
      </c>
      <c r="DY52" s="99" t="str">
        <f t="shared" si="107"/>
        <v/>
      </c>
      <c r="DZ52" s="74" t="str">
        <f>IF('Marks Entry'!AY52="","",'Marks Entry'!AY52)</f>
        <v/>
      </c>
      <c r="EA52" s="74" t="str">
        <f>IF('Marks Entry'!AZ52="","",'Marks Entry'!AZ52)</f>
        <v/>
      </c>
      <c r="EB52" s="74" t="str">
        <f>IF('Marks Entry'!BA52="","",'Marks Entry'!BA52)</f>
        <v/>
      </c>
      <c r="EC52" s="527" t="str">
        <f t="shared" si="52"/>
        <v/>
      </c>
      <c r="ED52" s="74" t="str">
        <f>IF('Marks Entry'!BB52="","",'Marks Entry'!BB52)</f>
        <v/>
      </c>
      <c r="EE52" s="528" t="str">
        <f t="shared" si="53"/>
        <v/>
      </c>
      <c r="EF52" s="74" t="str">
        <f>IF('Marks Entry'!BC52="","",'Marks Entry'!BC52)</f>
        <v/>
      </c>
      <c r="EG52" s="530" t="str">
        <f t="shared" si="54"/>
        <v/>
      </c>
      <c r="EH52" s="368" t="str">
        <f t="shared" si="108"/>
        <v/>
      </c>
      <c r="EI52" s="65">
        <f t="shared" si="109"/>
        <v>0</v>
      </c>
      <c r="EJ52" s="65">
        <f t="shared" si="110"/>
        <v>0</v>
      </c>
      <c r="EK52" s="66" t="str">
        <f t="shared" si="111"/>
        <v/>
      </c>
      <c r="EL52" s="74" t="str">
        <f>IF('Marks Entry'!BD52="","",'Marks Entry'!BD52)</f>
        <v/>
      </c>
      <c r="EM52" s="74" t="str">
        <f>IF('Marks Entry'!BE52="","",'Marks Entry'!BE52)</f>
        <v/>
      </c>
      <c r="EN52" s="74" t="str">
        <f>IF('Marks Entry'!BF52="","",'Marks Entry'!BF52)</f>
        <v/>
      </c>
      <c r="EO52" s="527" t="str">
        <f t="shared" si="55"/>
        <v/>
      </c>
      <c r="EP52" s="74" t="str">
        <f>IF('Marks Entry'!BG52="","",'Marks Entry'!BG52)</f>
        <v/>
      </c>
      <c r="EQ52" s="74" t="str">
        <f>IF('Marks Entry'!BH52="","",'Marks Entry'!BH52)</f>
        <v/>
      </c>
      <c r="ER52" s="528" t="str">
        <f t="shared" si="56"/>
        <v/>
      </c>
      <c r="ES52" s="529" t="str">
        <f t="shared" si="57"/>
        <v/>
      </c>
      <c r="ET52" s="74" t="str">
        <f>IF('Marks Entry'!BI52="","",'Marks Entry'!BI52)</f>
        <v/>
      </c>
      <c r="EU52" s="74" t="str">
        <f>IF('Marks Entry'!BJ52="","",'Marks Entry'!BJ52)</f>
        <v/>
      </c>
      <c r="EV52" s="528" t="str">
        <f t="shared" si="58"/>
        <v/>
      </c>
      <c r="EW52" s="530" t="str">
        <f t="shared" si="59"/>
        <v/>
      </c>
      <c r="EX52" s="368" t="str">
        <f t="shared" si="112"/>
        <v/>
      </c>
      <c r="EY52" s="65">
        <f t="shared" si="113"/>
        <v>0</v>
      </c>
      <c r="EZ52" s="65">
        <f t="shared" si="114"/>
        <v>0</v>
      </c>
      <c r="FA52" s="66" t="str">
        <f t="shared" si="115"/>
        <v/>
      </c>
      <c r="FB52" s="74" t="str">
        <f>IF('Marks Entry'!BK52="","",'Marks Entry'!BK52)</f>
        <v/>
      </c>
      <c r="FC52" s="74" t="str">
        <f>IF('Marks Entry'!BL52="","",'Marks Entry'!BL52)</f>
        <v/>
      </c>
      <c r="FD52" s="74" t="str">
        <f>IF('Marks Entry'!BM52="","",'Marks Entry'!BM52)</f>
        <v/>
      </c>
      <c r="FE52" s="74" t="str">
        <f>IF('Marks Entry'!BN52="","",'Marks Entry'!BN52)</f>
        <v/>
      </c>
      <c r="FF52" s="74" t="str">
        <f>IF('Marks Entry'!BO52="","",'Marks Entry'!BO52)</f>
        <v/>
      </c>
      <c r="FG52" s="74" t="str">
        <f>IF('Marks Entry'!BP52="","",'Marks Entry'!BP52)</f>
        <v/>
      </c>
      <c r="FH52" s="527" t="str">
        <f t="shared" si="60"/>
        <v/>
      </c>
      <c r="FI52" s="74" t="str">
        <f>IF('Marks Entry'!BQ52="","",'Marks Entry'!BQ52)</f>
        <v/>
      </c>
      <c r="FJ52" s="74" t="str">
        <f>IF('Marks Entry'!BR52="","",'Marks Entry'!BR52)</f>
        <v/>
      </c>
      <c r="FK52" s="528" t="str">
        <f t="shared" si="61"/>
        <v/>
      </c>
      <c r="FL52" s="529" t="str">
        <f t="shared" si="62"/>
        <v/>
      </c>
      <c r="FM52" s="74" t="str">
        <f>IF('Marks Entry'!BS52="","",'Marks Entry'!BS52)</f>
        <v/>
      </c>
      <c r="FN52" s="74" t="str">
        <f>IF('Marks Entry'!BT52="","",'Marks Entry'!BT52)</f>
        <v/>
      </c>
      <c r="FO52" s="528" t="str">
        <f t="shared" si="63"/>
        <v/>
      </c>
      <c r="FP52" s="530" t="str">
        <f t="shared" si="64"/>
        <v/>
      </c>
      <c r="FQ52" s="368" t="str">
        <f t="shared" si="116"/>
        <v/>
      </c>
      <c r="FR52" s="65">
        <f t="shared" si="117"/>
        <v>0</v>
      </c>
      <c r="FS52" s="65">
        <f t="shared" si="118"/>
        <v>0</v>
      </c>
      <c r="FT52" s="66" t="str">
        <f t="shared" si="119"/>
        <v/>
      </c>
      <c r="FU52" s="74" t="str">
        <f>IF('Marks Entry'!BU52="","",'Marks Entry'!BU52)</f>
        <v/>
      </c>
      <c r="FV52" s="74" t="str">
        <f>IF('Marks Entry'!BV52="","",'Marks Entry'!BV52)</f>
        <v/>
      </c>
      <c r="FW52" s="74" t="str">
        <f>IF('Marks Entry'!BW52="","",'Marks Entry'!BW52)</f>
        <v/>
      </c>
      <c r="FX52" s="75" t="str">
        <f t="shared" si="65"/>
        <v/>
      </c>
      <c r="FY52" s="368" t="str">
        <f t="shared" si="120"/>
        <v/>
      </c>
      <c r="FZ52" s="65">
        <f t="shared" si="121"/>
        <v>0</v>
      </c>
      <c r="GA52" s="66">
        <f t="shared" si="122"/>
        <v>0</v>
      </c>
      <c r="GB52" s="66" t="str">
        <f t="shared" si="123"/>
        <v/>
      </c>
      <c r="GC52" s="74" t="str">
        <f>IF('Marks Entry'!BX52="","",'Marks Entry'!BX52)</f>
        <v/>
      </c>
      <c r="GD52" s="74" t="str">
        <f>IF('Marks Entry'!BY52="","",'Marks Entry'!BY52)</f>
        <v/>
      </c>
      <c r="GE52" s="74" t="str">
        <f>IF('Marks Entry'!BZ52="","",'Marks Entry'!BZ52)</f>
        <v/>
      </c>
      <c r="GF52" s="75" t="str">
        <f t="shared" si="124"/>
        <v/>
      </c>
      <c r="GG52" s="368" t="str">
        <f t="shared" si="125"/>
        <v/>
      </c>
      <c r="GH52" s="65">
        <f t="shared" si="126"/>
        <v>0</v>
      </c>
      <c r="GI52" s="66">
        <f t="shared" si="127"/>
        <v>0</v>
      </c>
      <c r="GJ52" s="66" t="str">
        <f t="shared" si="128"/>
        <v/>
      </c>
      <c r="GK52" s="100" t="str">
        <f>IF(AND(F52="",B52=""),"",IF('Student DATA Entry'!M49="","",'Student DATA Entry'!M49))</f>
        <v/>
      </c>
      <c r="GL52" s="101" t="str">
        <f>IF(AND(B52="",F52=""),"",IF('Student DATA Entry'!N49="","",'Student DATA Entry'!N49))</f>
        <v/>
      </c>
      <c r="GM52" s="581" t="str">
        <f t="shared" si="129"/>
        <v/>
      </c>
      <c r="GN52" s="94" t="str">
        <f t="shared" si="130"/>
        <v/>
      </c>
      <c r="GO52" s="94" t="str">
        <f t="shared" si="131"/>
        <v/>
      </c>
      <c r="GP52" s="102" t="str">
        <f t="shared" si="162"/>
        <v/>
      </c>
      <c r="GQ52" s="94" t="str">
        <f t="shared" si="132"/>
        <v/>
      </c>
      <c r="GR52" s="103" t="str">
        <f t="shared" si="133"/>
        <v/>
      </c>
      <c r="GS52" s="102" t="str">
        <f t="shared" si="163"/>
        <v/>
      </c>
      <c r="GT52" s="104" t="str">
        <f t="shared" si="134"/>
        <v/>
      </c>
      <c r="GU52" s="94" t="str">
        <f>IF('Marks Entry'!V52=1,GT52,"")</f>
        <v/>
      </c>
      <c r="GV52" s="94" t="str">
        <f>IF('Marks Entry'!V52=2,GT52,"")</f>
        <v/>
      </c>
      <c r="GW52" s="94" t="str">
        <f>IF('Marks Entry'!V52=3,GT52,"")</f>
        <v/>
      </c>
      <c r="GX52" s="94" t="str">
        <f>IF('Marks Entry'!V52=4,GT52,"")</f>
        <v/>
      </c>
      <c r="GY52" s="94" t="str">
        <f>IF('Marks Entry'!V52=5,GT52,"")</f>
        <v/>
      </c>
      <c r="GZ52" s="94" t="str">
        <f t="shared" si="135"/>
        <v/>
      </c>
      <c r="HA52" s="105" t="str">
        <f t="shared" si="164"/>
        <v/>
      </c>
      <c r="HB52" s="94" t="str">
        <f t="shared" si="136"/>
        <v/>
      </c>
      <c r="HC52" s="94" t="str">
        <f t="shared" si="137"/>
        <v/>
      </c>
      <c r="HD52" s="105" t="str">
        <f t="shared" si="165"/>
        <v/>
      </c>
      <c r="HE52" s="94" t="str">
        <f t="shared" si="138"/>
        <v/>
      </c>
      <c r="HF52" s="94" t="str">
        <f t="shared" si="139"/>
        <v/>
      </c>
      <c r="HG52" s="105" t="str">
        <f t="shared" si="166"/>
        <v/>
      </c>
      <c r="HH52" s="94" t="str">
        <f t="shared" si="140"/>
        <v/>
      </c>
      <c r="HI52" s="94" t="str">
        <f t="shared" si="141"/>
        <v/>
      </c>
      <c r="HJ52" s="105" t="str">
        <f t="shared" si="167"/>
        <v/>
      </c>
      <c r="HK52" s="94" t="str">
        <f t="shared" si="142"/>
        <v/>
      </c>
      <c r="HL52" s="94" t="str">
        <f t="shared" si="143"/>
        <v/>
      </c>
      <c r="HM52" s="105" t="str">
        <f t="shared" si="168"/>
        <v/>
      </c>
      <c r="HN52" s="367" t="str">
        <f t="shared" si="144"/>
        <v xml:space="preserve">      </v>
      </c>
      <c r="HO52" s="418" t="str">
        <f t="shared" si="169"/>
        <v xml:space="preserve">      </v>
      </c>
      <c r="HP52" s="367" t="str">
        <f t="shared" si="146"/>
        <v xml:space="preserve">      </v>
      </c>
      <c r="HQ52" s="107" t="str">
        <f t="shared" si="147"/>
        <v xml:space="preserve">      </v>
      </c>
      <c r="HR52" s="366" t="str">
        <f t="shared" si="148"/>
        <v xml:space="preserve">      </v>
      </c>
      <c r="HS52" s="544" t="str">
        <f t="shared" si="170"/>
        <v/>
      </c>
      <c r="HT52" s="542" t="str">
        <f t="shared" si="149"/>
        <v/>
      </c>
      <c r="HU52" s="541" t="str">
        <f t="shared" si="160"/>
        <v/>
      </c>
      <c r="HV52" s="540" t="str">
        <f t="shared" si="150"/>
        <v/>
      </c>
      <c r="HW52" s="537" t="str">
        <f t="shared" si="151"/>
        <v/>
      </c>
      <c r="HX52" s="539" t="str">
        <f t="shared" si="152"/>
        <v/>
      </c>
      <c r="HY52" s="553" t="str">
        <f>IFERROR(IF(OR(HS52="SUPPLEMENTARY",HS52="RE-EXAM"),'Supp. Result Entry'!AQ50,""),"")</f>
        <v/>
      </c>
      <c r="HZ52" s="538" t="str">
        <f t="shared" si="153"/>
        <v/>
      </c>
      <c r="IA52" s="415" t="str">
        <f t="shared" si="154"/>
        <v/>
      </c>
      <c r="IB52" s="415" t="str">
        <f>IF(AND(HZ52="",IA52=""),"",IF(OR(HS52="SUPPLEMENTARY",HS52="RE-EXAM"),'Supp. Result Entry'!AQ50,HS52))</f>
        <v/>
      </c>
      <c r="IC52" s="87"/>
      <c r="ID52" s="111"/>
      <c r="IS52" s="109" t="str">
        <f>IF('Supp. Result Entry'!T50="","",'Supp. Result Entry'!$T$4)</f>
        <v/>
      </c>
      <c r="IT52" s="110" t="str">
        <f>IF('Supp. Result Entry'!W50="","",'Supp. Result Entry'!$W$4)</f>
        <v/>
      </c>
      <c r="IU52" s="110" t="str">
        <f>IF('Supp. Result Entry'!Z50="","",'Supp. Result Entry'!$Z$4)</f>
        <v/>
      </c>
      <c r="IV52" s="110" t="str">
        <f>IF('Supp. Result Entry'!AC50="","",'Supp. Result Entry'!$AC$4)</f>
        <v/>
      </c>
      <c r="IW52" s="110" t="str">
        <f>IF('Supp. Result Entry'!AF50="","",'Supp. Result Entry'!$AF$4)</f>
        <v/>
      </c>
      <c r="IX52" s="110" t="str">
        <f>IF('Supp. Result Entry'!AI50="","",'Supp. Result Entry'!$AI$4)</f>
        <v/>
      </c>
      <c r="IY52" s="110" t="str">
        <f>IF('Supp. Result Entry'!AI50="","",'Supp. Result Entry'!$AL$4)</f>
        <v/>
      </c>
      <c r="IZ52" s="110" t="str">
        <f>IF('Supp. Result Entry'!U50="","",'Supp. Result Entry'!U50)</f>
        <v/>
      </c>
      <c r="JA52" s="110" t="str">
        <f>IF('Supp. Result Entry'!X50="","",'Supp. Result Entry'!X50)</f>
        <v/>
      </c>
      <c r="JB52" s="110" t="str">
        <f>IF('Supp. Result Entry'!AA50="","",'Supp. Result Entry'!AA50)</f>
        <v/>
      </c>
      <c r="JC52" s="110" t="str">
        <f>IF('Supp. Result Entry'!AD50="","",'Supp. Result Entry'!AD50)</f>
        <v/>
      </c>
      <c r="JD52" s="110" t="str">
        <f>IF('Supp. Result Entry'!AG50="","",'Supp. Result Entry'!AG50)</f>
        <v/>
      </c>
      <c r="JE52" s="110" t="str">
        <f>IF('Supp. Result Entry'!AJ50="","",'Supp. Result Entry'!AJ50)</f>
        <v/>
      </c>
      <c r="JF52" s="110" t="str">
        <f>IF('Supp. Result Entry'!AM50="","",'Supp. Result Entry'!AM50)</f>
        <v/>
      </c>
      <c r="JG52" s="110" t="str">
        <f>IF('Supp. Result Entry'!V50="","",'Supp. Result Entry'!V50)</f>
        <v/>
      </c>
      <c r="JH52" s="110" t="str">
        <f>IF('Supp. Result Entry'!Y50="","",'Supp. Result Entry'!Y50)</f>
        <v/>
      </c>
      <c r="JI52" s="110" t="str">
        <f>IF('Supp. Result Entry'!AB50="","",'Supp. Result Entry'!AB50)</f>
        <v/>
      </c>
      <c r="JJ52" s="110" t="str">
        <f>IF('Supp. Result Entry'!AE50="","",'Supp. Result Entry'!AE50)</f>
        <v/>
      </c>
      <c r="JK52" s="110" t="str">
        <f>IF('Supp. Result Entry'!AH50="","",'Supp. Result Entry'!AH50)</f>
        <v/>
      </c>
      <c r="JL52" s="110" t="str">
        <f>IF('Supp. Result Entry'!AK50="","",'Supp. Result Entry'!AK50)</f>
        <v/>
      </c>
      <c r="JM52" s="110" t="str">
        <f>IF('Supp. Result Entry'!AN50="","",'Supp. Result Entry'!AN50)</f>
        <v/>
      </c>
      <c r="JN52" s="110">
        <f>COUNTIF('Supp. Result Entry'!K50:Q50,"S")</f>
        <v>0</v>
      </c>
      <c r="JO52" s="110">
        <f t="shared" si="155"/>
        <v>0</v>
      </c>
      <c r="JP52" s="110">
        <f t="shared" si="156"/>
        <v>0</v>
      </c>
      <c r="JQ52" s="110" t="str">
        <f t="shared" si="75"/>
        <v/>
      </c>
      <c r="JR52" s="110" t="str">
        <f t="shared" si="76"/>
        <v/>
      </c>
      <c r="JS52" s="110" t="str">
        <f t="shared" si="77"/>
        <v/>
      </c>
      <c r="JT52" s="110" t="str">
        <f t="shared" si="78"/>
        <v/>
      </c>
      <c r="JU52" s="110" t="str">
        <f t="shared" si="79"/>
        <v/>
      </c>
      <c r="JV52" s="110" t="str">
        <f t="shared" si="80"/>
        <v/>
      </c>
      <c r="JW52" s="110" t="str">
        <f t="shared" si="81"/>
        <v/>
      </c>
      <c r="JX52" s="110" t="str">
        <f t="shared" si="157"/>
        <v/>
      </c>
      <c r="JY52" s="110" t="str">
        <f t="shared" si="158"/>
        <v/>
      </c>
      <c r="JZ52" s="110" t="str">
        <f t="shared" si="82"/>
        <v/>
      </c>
      <c r="KA52" s="108" t="str">
        <f t="shared" si="159"/>
        <v/>
      </c>
    </row>
    <row r="53" spans="1:287" s="108" customFormat="1" ht="21.95" customHeight="1">
      <c r="A53" s="89">
        <v>47</v>
      </c>
      <c r="B53" s="90" t="str">
        <f>IF('Marks Entry'!B53="","",'Marks Entry'!B53)</f>
        <v/>
      </c>
      <c r="C53" s="94" t="str">
        <f>IF('Marks Entry'!D53="","",'Marks Entry'!D53)</f>
        <v/>
      </c>
      <c r="D53" s="91" t="str">
        <f>IF('Marks Entry'!E53="","",'Marks Entry'!E53)</f>
        <v/>
      </c>
      <c r="E53" s="92" t="str">
        <f>IF('Marks Entry'!F53="","",'Marks Entry'!F53)</f>
        <v/>
      </c>
      <c r="F53" s="93" t="str">
        <f>IF('Marks Entry'!G53="","",'Marks Entry'!G53)</f>
        <v/>
      </c>
      <c r="G53" s="93" t="str">
        <f>IF('Marks Entry'!H53="","",'Marks Entry'!H53)</f>
        <v/>
      </c>
      <c r="H53" s="93" t="str">
        <f>IF('Marks Entry'!I53="","",'Marks Entry'!I53)</f>
        <v/>
      </c>
      <c r="I53" s="94" t="str">
        <f>IF('Marks Entry'!J53="","",'Marks Entry'!J53)</f>
        <v/>
      </c>
      <c r="J53" s="95" t="str">
        <f>IF('Marks Entry'!K53="","",'Marks Entry'!K53)</f>
        <v/>
      </c>
      <c r="K53" s="68" t="str">
        <f>IF('Marks Entry'!L53="","",'Marks Entry'!L53)</f>
        <v/>
      </c>
      <c r="L53" s="68" t="str">
        <f>IF('Marks Entry'!M53="","",'Marks Entry'!M53)</f>
        <v/>
      </c>
      <c r="M53" s="68" t="str">
        <f>IF('Marks Entry'!N53="","",'Marks Entry'!N53)</f>
        <v/>
      </c>
      <c r="N53" s="514" t="str">
        <f t="shared" si="83"/>
        <v/>
      </c>
      <c r="O53" s="68" t="str">
        <f>IF('Marks Entry'!O53="","",'Marks Entry'!O53)</f>
        <v/>
      </c>
      <c r="P53" s="515" t="str">
        <f t="shared" si="84"/>
        <v/>
      </c>
      <c r="Q53" s="68" t="str">
        <f>IF('Marks Entry'!P53="","",'Marks Entry'!P53)</f>
        <v/>
      </c>
      <c r="R53" s="96" t="str">
        <f t="shared" si="85"/>
        <v/>
      </c>
      <c r="S53" s="65">
        <f t="shared" si="86"/>
        <v>0</v>
      </c>
      <c r="T53" s="65">
        <f t="shared" si="87"/>
        <v>0</v>
      </c>
      <c r="U53" s="66" t="str">
        <f t="shared" si="88"/>
        <v/>
      </c>
      <c r="V53" s="65" t="str">
        <f t="shared" si="89"/>
        <v/>
      </c>
      <c r="W53" s="65" t="str">
        <f t="shared" si="90"/>
        <v/>
      </c>
      <c r="X53" s="65" t="str">
        <f t="shared" si="91"/>
        <v/>
      </c>
      <c r="Y53" s="68" t="str">
        <f>IF('Marks Entry'!Q53="","",'Marks Entry'!Q53)</f>
        <v/>
      </c>
      <c r="Z53" s="68" t="str">
        <f>IF('Marks Entry'!R53="","",'Marks Entry'!R53)</f>
        <v/>
      </c>
      <c r="AA53" s="68" t="str">
        <f>IF('Marks Entry'!S53="","",'Marks Entry'!S53)</f>
        <v/>
      </c>
      <c r="AB53" s="514" t="str">
        <f t="shared" si="2"/>
        <v/>
      </c>
      <c r="AC53" s="68" t="str">
        <f>IF('Marks Entry'!T53="","",'Marks Entry'!T53)</f>
        <v/>
      </c>
      <c r="AD53" s="515" t="str">
        <f t="shared" si="3"/>
        <v/>
      </c>
      <c r="AE53" s="68" t="str">
        <f>IF('Marks Entry'!U53="","",'Marks Entry'!U53)</f>
        <v/>
      </c>
      <c r="AF53" s="96" t="str">
        <f t="shared" si="4"/>
        <v/>
      </c>
      <c r="AG53" s="65">
        <f t="shared" si="5"/>
        <v>0</v>
      </c>
      <c r="AH53" s="65">
        <f t="shared" si="6"/>
        <v>0</v>
      </c>
      <c r="AI53" s="66" t="str">
        <f t="shared" si="7"/>
        <v/>
      </c>
      <c r="AJ53" s="65" t="str">
        <f t="shared" si="8"/>
        <v/>
      </c>
      <c r="AK53" s="65" t="str">
        <f t="shared" si="9"/>
        <v/>
      </c>
      <c r="AL53" s="65" t="str">
        <f t="shared" si="10"/>
        <v/>
      </c>
      <c r="AM53" s="524" t="str">
        <f>IF('Marks Entry'!V53="","",IF('Marks Entry'!V53=1,'School Profile'!$I$9,IF('Marks Entry'!V53=2,'School Profile'!$I$10,IF('Marks Entry'!V53=3,'School Profile'!$I$11,IF('Marks Entry'!V53=4,'School Profile'!$I$12,IF('Marks Entry'!V53=5,'School Profile'!$I$13,IF('Marks Entry'!V53=6,'School Profile'!$I$14,"")))))))</f>
        <v/>
      </c>
      <c r="AN53" s="68" t="str">
        <f>IF('Marks Entry'!W53="","",'Marks Entry'!W53)</f>
        <v/>
      </c>
      <c r="AO53" s="68" t="str">
        <f>IF('Marks Entry'!X53="","",'Marks Entry'!X53)</f>
        <v/>
      </c>
      <c r="AP53" s="68" t="str">
        <f>IF('Marks Entry'!Y53="","",'Marks Entry'!Y53)</f>
        <v/>
      </c>
      <c r="AQ53" s="514" t="str">
        <f t="shared" si="11"/>
        <v/>
      </c>
      <c r="AR53" s="68" t="str">
        <f>IF('Marks Entry'!Z53="","",'Marks Entry'!Z53)</f>
        <v/>
      </c>
      <c r="AS53" s="515" t="str">
        <f t="shared" si="12"/>
        <v/>
      </c>
      <c r="AT53" s="68" t="str">
        <f>IF('Marks Entry'!AA53="","",'Marks Entry'!AA53)</f>
        <v/>
      </c>
      <c r="AU53" s="96" t="str">
        <f t="shared" si="13"/>
        <v/>
      </c>
      <c r="AV53" s="65">
        <f t="shared" si="14"/>
        <v>0</v>
      </c>
      <c r="AW53" s="65">
        <f t="shared" si="15"/>
        <v>0</v>
      </c>
      <c r="AX53" s="66" t="str">
        <f t="shared" si="16"/>
        <v/>
      </c>
      <c r="AY53" s="65" t="str">
        <f t="shared" si="17"/>
        <v/>
      </c>
      <c r="AZ53" s="65" t="str">
        <f t="shared" si="18"/>
        <v/>
      </c>
      <c r="BA53" s="65" t="str">
        <f t="shared" si="19"/>
        <v/>
      </c>
      <c r="BB53" s="68" t="str">
        <f>IF('Marks Entry'!AB53="","",'Marks Entry'!AB53)</f>
        <v/>
      </c>
      <c r="BC53" s="68" t="str">
        <f>IF('Marks Entry'!AC53="","",'Marks Entry'!AC53)</f>
        <v/>
      </c>
      <c r="BD53" s="68" t="str">
        <f>IF('Marks Entry'!AD53="","",'Marks Entry'!AD53)</f>
        <v/>
      </c>
      <c r="BE53" s="514" t="str">
        <f t="shared" si="20"/>
        <v/>
      </c>
      <c r="BF53" s="68" t="str">
        <f>IF('Marks Entry'!AE53="","",'Marks Entry'!AE53)</f>
        <v/>
      </c>
      <c r="BG53" s="515" t="str">
        <f t="shared" si="21"/>
        <v/>
      </c>
      <c r="BH53" s="68" t="str">
        <f>IF('Marks Entry'!AF53="","",'Marks Entry'!AF53)</f>
        <v/>
      </c>
      <c r="BI53" s="96" t="str">
        <f t="shared" si="22"/>
        <v/>
      </c>
      <c r="BJ53" s="65">
        <f t="shared" si="23"/>
        <v>0</v>
      </c>
      <c r="BK53" s="65">
        <f t="shared" si="92"/>
        <v>0</v>
      </c>
      <c r="BL53" s="66" t="str">
        <f t="shared" si="24"/>
        <v/>
      </c>
      <c r="BM53" s="65" t="str">
        <f t="shared" si="25"/>
        <v/>
      </c>
      <c r="BN53" s="65" t="str">
        <f t="shared" si="26"/>
        <v/>
      </c>
      <c r="BO53" s="65" t="str">
        <f t="shared" si="27"/>
        <v/>
      </c>
      <c r="BP53" s="68" t="str">
        <f>IF('Marks Entry'!AG53="","",'Marks Entry'!AG53)</f>
        <v/>
      </c>
      <c r="BQ53" s="68" t="str">
        <f>IF('Marks Entry'!AH53="","",'Marks Entry'!AH53)</f>
        <v/>
      </c>
      <c r="BR53" s="68" t="str">
        <f>IF('Marks Entry'!AI53="","",'Marks Entry'!AI53)</f>
        <v/>
      </c>
      <c r="BS53" s="514" t="str">
        <f t="shared" si="28"/>
        <v/>
      </c>
      <c r="BT53" s="68" t="str">
        <f>IF('Marks Entry'!AJ53="","",'Marks Entry'!AJ53)</f>
        <v/>
      </c>
      <c r="BU53" s="515" t="str">
        <f t="shared" si="29"/>
        <v/>
      </c>
      <c r="BV53" s="68" t="str">
        <f>IF('Marks Entry'!AK53="","",'Marks Entry'!AK53)</f>
        <v/>
      </c>
      <c r="BW53" s="96" t="str">
        <f t="shared" si="30"/>
        <v/>
      </c>
      <c r="BX53" s="65">
        <f t="shared" si="31"/>
        <v>0</v>
      </c>
      <c r="BY53" s="65">
        <f t="shared" si="32"/>
        <v>0</v>
      </c>
      <c r="BZ53" s="66" t="str">
        <f t="shared" si="33"/>
        <v/>
      </c>
      <c r="CA53" s="65" t="str">
        <f t="shared" si="34"/>
        <v/>
      </c>
      <c r="CB53" s="65" t="str">
        <f t="shared" si="35"/>
        <v/>
      </c>
      <c r="CC53" s="65" t="str">
        <f t="shared" si="36"/>
        <v/>
      </c>
      <c r="CD53" s="66">
        <f t="shared" si="161"/>
        <v>0</v>
      </c>
      <c r="CE53" s="68" t="str">
        <f>IF('Marks Entry'!AL53="","",'Marks Entry'!AL53)</f>
        <v/>
      </c>
      <c r="CF53" s="68" t="str">
        <f>IF('Marks Entry'!AM53="","",'Marks Entry'!AM53)</f>
        <v/>
      </c>
      <c r="CG53" s="68" t="str">
        <f>IF('Marks Entry'!AN53="","",'Marks Entry'!AN53)</f>
        <v/>
      </c>
      <c r="CH53" s="514" t="str">
        <f t="shared" si="37"/>
        <v/>
      </c>
      <c r="CI53" s="68" t="str">
        <f>IF('Marks Entry'!AO53="","",'Marks Entry'!AO53)</f>
        <v/>
      </c>
      <c r="CJ53" s="515" t="str">
        <f t="shared" si="38"/>
        <v/>
      </c>
      <c r="CK53" s="68" t="str">
        <f>IF('Marks Entry'!AP53="","",'Marks Entry'!AP53)</f>
        <v/>
      </c>
      <c r="CL53" s="96" t="str">
        <f t="shared" si="39"/>
        <v/>
      </c>
      <c r="CM53" s="65">
        <f t="shared" si="40"/>
        <v>0</v>
      </c>
      <c r="CN53" s="65">
        <f t="shared" si="41"/>
        <v>0</v>
      </c>
      <c r="CO53" s="66" t="str">
        <f t="shared" si="42"/>
        <v/>
      </c>
      <c r="CP53" s="65" t="str">
        <f t="shared" si="43"/>
        <v/>
      </c>
      <c r="CQ53" s="65" t="str">
        <f t="shared" si="44"/>
        <v/>
      </c>
      <c r="CR53" s="65" t="str">
        <f t="shared" si="45"/>
        <v/>
      </c>
      <c r="CS53" s="616" t="str">
        <f>IF('School Profile'!$D$20="NO","",IF('Marks Entry'!AQ53="","",IF('Marks Entry'!AQ53=1,'School Profile'!$I$29,IF('Marks Entry'!AQ53=2,'School Profile'!$I$30,IF('Marks Entry'!AQ53=3,'School Profile'!$I$31,IF('Marks Entry'!AQ53=4,'School Profile'!$I$32,IF('Marks Entry'!AQ53=5,'School Profile'!$I$33,IF('Marks Entry'!AQ53=6,'School Profile'!$I$34,IF('Marks Entry'!AQ53=7,'School Profile'!$I$35,IF('Marks Entry'!AQ53=8,'School Profile'!$I$36,IF('Marks Entry'!AQ53=9,'School Profile'!$I$37,IF('Marks Entry'!AQ53=10,'School Profile'!$I$38,IF('Marks Entry'!AQ53=11,'School Profile'!$I$39,"")))))))))))))</f>
        <v/>
      </c>
      <c r="CT53" s="68" t="str">
        <f>IF('School Profile'!$D$20="NO","",IF('Marks Entry'!AR53="","",'Marks Entry'!AR53))</f>
        <v/>
      </c>
      <c r="CU53" s="68" t="str">
        <f>IF('School Profile'!$D$20="NO","",IF('Marks Entry'!AS53="","",'Marks Entry'!AS53))</f>
        <v/>
      </c>
      <c r="CV53" s="68" t="str">
        <f>IF('School Profile'!$D$20="NO","",IF('Marks Entry'!AT53="","",'Marks Entry'!AT53))</f>
        <v/>
      </c>
      <c r="CW53" s="514" t="str">
        <f>IF('School Profile'!$D$20="NO","",IF(AND(CT53="",CU53="",CV53=""),"",SUM(CT53:CV53)))</f>
        <v/>
      </c>
      <c r="CX53" s="68" t="str">
        <f>IF('School Profile'!$D$20="NO","",IF('Marks Entry'!AU53="","",'Marks Entry'!AU53))</f>
        <v/>
      </c>
      <c r="CY53" s="68" t="str">
        <f>IF('School Profile'!$D$20="NO","",IF('Marks Entry'!AV53="","",'Marks Entry'!AV53))</f>
        <v/>
      </c>
      <c r="CZ53" s="515" t="str">
        <f>IF('School Profile'!$D$20="NO","",IF(AND(CX53="",CY53=""),"",SUM(CX53,CY53)))</f>
        <v/>
      </c>
      <c r="DA53" s="69" t="str">
        <f>IF('School Profile'!$D$20="NO","",IF(AND(CW53="",CZ53=""),"",SUM(CW53+CZ53)))</f>
        <v/>
      </c>
      <c r="DB53" s="68" t="str">
        <f>IF('School Profile'!$D$20="NO","",IF('Marks Entry'!AW53="","",'Marks Entry'!AW53))</f>
        <v/>
      </c>
      <c r="DC53" s="68" t="str">
        <f>IF('School Profile'!$D$20="NO","",IF('Marks Entry'!AX53="","",'Marks Entry'!AX53))</f>
        <v/>
      </c>
      <c r="DD53" s="515" t="str">
        <f>IF('School Profile'!$D$20="NO","",IF(AND(DB53="",DC53=""),"",SUM(DB53,DC53)))</f>
        <v/>
      </c>
      <c r="DE53" s="96" t="str">
        <f>IF('School Profile'!$D$20="NO","",IF(AND(DA53="",DD53=""),"",SUM(DA53,DD53)))</f>
        <v/>
      </c>
      <c r="DF53" s="532">
        <f t="shared" si="46"/>
        <v>0</v>
      </c>
      <c r="DG53" s="65">
        <f t="shared" si="47"/>
        <v>0</v>
      </c>
      <c r="DH53" s="66" t="str">
        <f t="shared" si="48"/>
        <v/>
      </c>
      <c r="DI53" s="65" t="str">
        <f t="shared" si="49"/>
        <v/>
      </c>
      <c r="DJ53" s="65" t="str">
        <f t="shared" si="50"/>
        <v/>
      </c>
      <c r="DK53" s="65" t="str">
        <f t="shared" si="51"/>
        <v/>
      </c>
      <c r="DL53" s="97" t="str">
        <f t="shared" si="94"/>
        <v/>
      </c>
      <c r="DM53" s="97" t="str">
        <f t="shared" si="95"/>
        <v/>
      </c>
      <c r="DN53" s="97" t="str">
        <f t="shared" si="96"/>
        <v/>
      </c>
      <c r="DO53" s="97" t="str">
        <f t="shared" si="97"/>
        <v/>
      </c>
      <c r="DP53" s="97" t="str">
        <f t="shared" si="98"/>
        <v/>
      </c>
      <c r="DQ53" s="97" t="str">
        <f t="shared" si="99"/>
        <v/>
      </c>
      <c r="DR53" s="97" t="str">
        <f t="shared" si="100"/>
        <v/>
      </c>
      <c r="DS53" s="98">
        <f t="shared" si="101"/>
        <v>0</v>
      </c>
      <c r="DT53" s="98">
        <f t="shared" si="102"/>
        <v>0</v>
      </c>
      <c r="DU53" s="98">
        <f t="shared" si="103"/>
        <v>0</v>
      </c>
      <c r="DV53" s="98">
        <f t="shared" si="104"/>
        <v>0</v>
      </c>
      <c r="DW53" s="98">
        <f t="shared" si="105"/>
        <v>0</v>
      </c>
      <c r="DX53" s="98" t="str">
        <f t="shared" si="106"/>
        <v/>
      </c>
      <c r="DY53" s="99" t="str">
        <f t="shared" si="107"/>
        <v/>
      </c>
      <c r="DZ53" s="74" t="str">
        <f>IF('Marks Entry'!AY53="","",'Marks Entry'!AY53)</f>
        <v/>
      </c>
      <c r="EA53" s="74" t="str">
        <f>IF('Marks Entry'!AZ53="","",'Marks Entry'!AZ53)</f>
        <v/>
      </c>
      <c r="EB53" s="74" t="str">
        <f>IF('Marks Entry'!BA53="","",'Marks Entry'!BA53)</f>
        <v/>
      </c>
      <c r="EC53" s="527" t="str">
        <f t="shared" si="52"/>
        <v/>
      </c>
      <c r="ED53" s="74" t="str">
        <f>IF('Marks Entry'!BB53="","",'Marks Entry'!BB53)</f>
        <v/>
      </c>
      <c r="EE53" s="528" t="str">
        <f t="shared" si="53"/>
        <v/>
      </c>
      <c r="EF53" s="74" t="str">
        <f>IF('Marks Entry'!BC53="","",'Marks Entry'!BC53)</f>
        <v/>
      </c>
      <c r="EG53" s="530" t="str">
        <f t="shared" si="54"/>
        <v/>
      </c>
      <c r="EH53" s="368" t="str">
        <f t="shared" si="108"/>
        <v/>
      </c>
      <c r="EI53" s="65">
        <f t="shared" si="109"/>
        <v>0</v>
      </c>
      <c r="EJ53" s="65">
        <f t="shared" si="110"/>
        <v>0</v>
      </c>
      <c r="EK53" s="66" t="str">
        <f t="shared" si="111"/>
        <v/>
      </c>
      <c r="EL53" s="74" t="str">
        <f>IF('Marks Entry'!BD53="","",'Marks Entry'!BD53)</f>
        <v/>
      </c>
      <c r="EM53" s="74" t="str">
        <f>IF('Marks Entry'!BE53="","",'Marks Entry'!BE53)</f>
        <v/>
      </c>
      <c r="EN53" s="74" t="str">
        <f>IF('Marks Entry'!BF53="","",'Marks Entry'!BF53)</f>
        <v/>
      </c>
      <c r="EO53" s="527" t="str">
        <f t="shared" si="55"/>
        <v/>
      </c>
      <c r="EP53" s="74" t="str">
        <f>IF('Marks Entry'!BG53="","",'Marks Entry'!BG53)</f>
        <v/>
      </c>
      <c r="EQ53" s="74" t="str">
        <f>IF('Marks Entry'!BH53="","",'Marks Entry'!BH53)</f>
        <v/>
      </c>
      <c r="ER53" s="528" t="str">
        <f t="shared" si="56"/>
        <v/>
      </c>
      <c r="ES53" s="529" t="str">
        <f t="shared" si="57"/>
        <v/>
      </c>
      <c r="ET53" s="74" t="str">
        <f>IF('Marks Entry'!BI53="","",'Marks Entry'!BI53)</f>
        <v/>
      </c>
      <c r="EU53" s="74" t="str">
        <f>IF('Marks Entry'!BJ53="","",'Marks Entry'!BJ53)</f>
        <v/>
      </c>
      <c r="EV53" s="528" t="str">
        <f t="shared" si="58"/>
        <v/>
      </c>
      <c r="EW53" s="530" t="str">
        <f t="shared" si="59"/>
        <v/>
      </c>
      <c r="EX53" s="368" t="str">
        <f t="shared" si="112"/>
        <v/>
      </c>
      <c r="EY53" s="65">
        <f t="shared" si="113"/>
        <v>0</v>
      </c>
      <c r="EZ53" s="65">
        <f t="shared" si="114"/>
        <v>0</v>
      </c>
      <c r="FA53" s="66" t="str">
        <f t="shared" si="115"/>
        <v/>
      </c>
      <c r="FB53" s="74" t="str">
        <f>IF('Marks Entry'!BK53="","",'Marks Entry'!BK53)</f>
        <v/>
      </c>
      <c r="FC53" s="74" t="str">
        <f>IF('Marks Entry'!BL53="","",'Marks Entry'!BL53)</f>
        <v/>
      </c>
      <c r="FD53" s="74" t="str">
        <f>IF('Marks Entry'!BM53="","",'Marks Entry'!BM53)</f>
        <v/>
      </c>
      <c r="FE53" s="74" t="str">
        <f>IF('Marks Entry'!BN53="","",'Marks Entry'!BN53)</f>
        <v/>
      </c>
      <c r="FF53" s="74" t="str">
        <f>IF('Marks Entry'!BO53="","",'Marks Entry'!BO53)</f>
        <v/>
      </c>
      <c r="FG53" s="74" t="str">
        <f>IF('Marks Entry'!BP53="","",'Marks Entry'!BP53)</f>
        <v/>
      </c>
      <c r="FH53" s="527" t="str">
        <f t="shared" si="60"/>
        <v/>
      </c>
      <c r="FI53" s="74" t="str">
        <f>IF('Marks Entry'!BQ53="","",'Marks Entry'!BQ53)</f>
        <v/>
      </c>
      <c r="FJ53" s="74" t="str">
        <f>IF('Marks Entry'!BR53="","",'Marks Entry'!BR53)</f>
        <v/>
      </c>
      <c r="FK53" s="528" t="str">
        <f t="shared" si="61"/>
        <v/>
      </c>
      <c r="FL53" s="529" t="str">
        <f t="shared" si="62"/>
        <v/>
      </c>
      <c r="FM53" s="74" t="str">
        <f>IF('Marks Entry'!BS53="","",'Marks Entry'!BS53)</f>
        <v/>
      </c>
      <c r="FN53" s="74" t="str">
        <f>IF('Marks Entry'!BT53="","",'Marks Entry'!BT53)</f>
        <v/>
      </c>
      <c r="FO53" s="528" t="str">
        <f t="shared" si="63"/>
        <v/>
      </c>
      <c r="FP53" s="530" t="str">
        <f t="shared" si="64"/>
        <v/>
      </c>
      <c r="FQ53" s="368" t="str">
        <f t="shared" si="116"/>
        <v/>
      </c>
      <c r="FR53" s="65">
        <f t="shared" si="117"/>
        <v>0</v>
      </c>
      <c r="FS53" s="65">
        <f t="shared" si="118"/>
        <v>0</v>
      </c>
      <c r="FT53" s="66" t="str">
        <f t="shared" si="119"/>
        <v/>
      </c>
      <c r="FU53" s="74" t="str">
        <f>IF('Marks Entry'!BU53="","",'Marks Entry'!BU53)</f>
        <v/>
      </c>
      <c r="FV53" s="74" t="str">
        <f>IF('Marks Entry'!BV53="","",'Marks Entry'!BV53)</f>
        <v/>
      </c>
      <c r="FW53" s="74" t="str">
        <f>IF('Marks Entry'!BW53="","",'Marks Entry'!BW53)</f>
        <v/>
      </c>
      <c r="FX53" s="75" t="str">
        <f t="shared" si="65"/>
        <v/>
      </c>
      <c r="FY53" s="368" t="str">
        <f t="shared" si="120"/>
        <v/>
      </c>
      <c r="FZ53" s="65">
        <f t="shared" si="121"/>
        <v>0</v>
      </c>
      <c r="GA53" s="66">
        <f t="shared" si="122"/>
        <v>0</v>
      </c>
      <c r="GB53" s="66" t="str">
        <f t="shared" si="123"/>
        <v/>
      </c>
      <c r="GC53" s="74" t="str">
        <f>IF('Marks Entry'!BX53="","",'Marks Entry'!BX53)</f>
        <v/>
      </c>
      <c r="GD53" s="74" t="str">
        <f>IF('Marks Entry'!BY53="","",'Marks Entry'!BY53)</f>
        <v/>
      </c>
      <c r="GE53" s="74" t="str">
        <f>IF('Marks Entry'!BZ53="","",'Marks Entry'!BZ53)</f>
        <v/>
      </c>
      <c r="GF53" s="75" t="str">
        <f t="shared" si="124"/>
        <v/>
      </c>
      <c r="GG53" s="368" t="str">
        <f t="shared" si="125"/>
        <v/>
      </c>
      <c r="GH53" s="65">
        <f t="shared" si="126"/>
        <v>0</v>
      </c>
      <c r="GI53" s="66">
        <f t="shared" si="127"/>
        <v>0</v>
      </c>
      <c r="GJ53" s="66" t="str">
        <f t="shared" si="128"/>
        <v/>
      </c>
      <c r="GK53" s="100" t="str">
        <f>IF(AND(F53="",B53=""),"",IF('Student DATA Entry'!M50="","",'Student DATA Entry'!M50))</f>
        <v/>
      </c>
      <c r="GL53" s="101" t="str">
        <f>IF(AND(B53="",F53=""),"",IF('Student DATA Entry'!N50="","",'Student DATA Entry'!N50))</f>
        <v/>
      </c>
      <c r="GM53" s="581" t="str">
        <f t="shared" si="129"/>
        <v/>
      </c>
      <c r="GN53" s="94" t="str">
        <f t="shared" si="130"/>
        <v/>
      </c>
      <c r="GO53" s="94" t="str">
        <f t="shared" si="131"/>
        <v/>
      </c>
      <c r="GP53" s="102" t="str">
        <f t="shared" si="162"/>
        <v/>
      </c>
      <c r="GQ53" s="94" t="str">
        <f t="shared" si="132"/>
        <v/>
      </c>
      <c r="GR53" s="103" t="str">
        <f t="shared" si="133"/>
        <v/>
      </c>
      <c r="GS53" s="102" t="str">
        <f t="shared" si="163"/>
        <v/>
      </c>
      <c r="GT53" s="104" t="str">
        <f t="shared" si="134"/>
        <v/>
      </c>
      <c r="GU53" s="94" t="str">
        <f>IF('Marks Entry'!V53=1,GT53,"")</f>
        <v/>
      </c>
      <c r="GV53" s="94" t="str">
        <f>IF('Marks Entry'!V53=2,GT53,"")</f>
        <v/>
      </c>
      <c r="GW53" s="94" t="str">
        <f>IF('Marks Entry'!V53=3,GT53,"")</f>
        <v/>
      </c>
      <c r="GX53" s="94" t="str">
        <f>IF('Marks Entry'!V53=4,GT53,"")</f>
        <v/>
      </c>
      <c r="GY53" s="94" t="str">
        <f>IF('Marks Entry'!V53=5,GT53,"")</f>
        <v/>
      </c>
      <c r="GZ53" s="94" t="str">
        <f t="shared" si="135"/>
        <v/>
      </c>
      <c r="HA53" s="105" t="str">
        <f t="shared" si="164"/>
        <v/>
      </c>
      <c r="HB53" s="94" t="str">
        <f t="shared" si="136"/>
        <v/>
      </c>
      <c r="HC53" s="94" t="str">
        <f t="shared" si="137"/>
        <v/>
      </c>
      <c r="HD53" s="105" t="str">
        <f t="shared" si="165"/>
        <v/>
      </c>
      <c r="HE53" s="94" t="str">
        <f t="shared" si="138"/>
        <v/>
      </c>
      <c r="HF53" s="94" t="str">
        <f t="shared" si="139"/>
        <v/>
      </c>
      <c r="HG53" s="105" t="str">
        <f t="shared" si="166"/>
        <v/>
      </c>
      <c r="HH53" s="94" t="str">
        <f t="shared" si="140"/>
        <v/>
      </c>
      <c r="HI53" s="94" t="str">
        <f t="shared" si="141"/>
        <v/>
      </c>
      <c r="HJ53" s="105" t="str">
        <f t="shared" si="167"/>
        <v/>
      </c>
      <c r="HK53" s="94" t="str">
        <f t="shared" si="142"/>
        <v/>
      </c>
      <c r="HL53" s="94" t="str">
        <f t="shared" si="143"/>
        <v/>
      </c>
      <c r="HM53" s="105" t="str">
        <f t="shared" si="168"/>
        <v/>
      </c>
      <c r="HN53" s="367" t="str">
        <f t="shared" si="144"/>
        <v xml:space="preserve">      </v>
      </c>
      <c r="HO53" s="418" t="str">
        <f t="shared" si="169"/>
        <v xml:space="preserve">      </v>
      </c>
      <c r="HP53" s="367" t="str">
        <f t="shared" si="146"/>
        <v xml:space="preserve">      </v>
      </c>
      <c r="HQ53" s="107" t="str">
        <f t="shared" si="147"/>
        <v xml:space="preserve">      </v>
      </c>
      <c r="HR53" s="366" t="str">
        <f t="shared" si="148"/>
        <v xml:space="preserve">      </v>
      </c>
      <c r="HS53" s="544" t="str">
        <f t="shared" si="170"/>
        <v/>
      </c>
      <c r="HT53" s="542" t="str">
        <f t="shared" si="149"/>
        <v/>
      </c>
      <c r="HU53" s="541" t="str">
        <f t="shared" si="160"/>
        <v/>
      </c>
      <c r="HV53" s="540" t="str">
        <f t="shared" si="150"/>
        <v/>
      </c>
      <c r="HW53" s="537" t="str">
        <f t="shared" si="151"/>
        <v/>
      </c>
      <c r="HX53" s="539" t="str">
        <f t="shared" si="152"/>
        <v/>
      </c>
      <c r="HY53" s="553" t="str">
        <f>IFERROR(IF(OR(HS53="SUPPLEMENTARY",HS53="RE-EXAM"),'Supp. Result Entry'!AQ51,""),"")</f>
        <v/>
      </c>
      <c r="HZ53" s="538" t="str">
        <f t="shared" si="153"/>
        <v/>
      </c>
      <c r="IA53" s="415" t="str">
        <f t="shared" si="154"/>
        <v/>
      </c>
      <c r="IB53" s="415" t="str">
        <f>IF(AND(HZ53="",IA53=""),"",IF(OR(HS53="SUPPLEMENTARY",HS53="RE-EXAM"),'Supp. Result Entry'!AQ51,HS53))</f>
        <v/>
      </c>
      <c r="IC53" s="87"/>
      <c r="ID53" s="111"/>
      <c r="IS53" s="109" t="str">
        <f>IF('Supp. Result Entry'!T51="","",'Supp. Result Entry'!$T$4)</f>
        <v/>
      </c>
      <c r="IT53" s="110" t="str">
        <f>IF('Supp. Result Entry'!W51="","",'Supp. Result Entry'!$W$4)</f>
        <v/>
      </c>
      <c r="IU53" s="110" t="str">
        <f>IF('Supp. Result Entry'!Z51="","",'Supp. Result Entry'!$Z$4)</f>
        <v/>
      </c>
      <c r="IV53" s="110" t="str">
        <f>IF('Supp. Result Entry'!AC51="","",'Supp. Result Entry'!$AC$4)</f>
        <v/>
      </c>
      <c r="IW53" s="110" t="str">
        <f>IF('Supp. Result Entry'!AF51="","",'Supp. Result Entry'!$AF$4)</f>
        <v/>
      </c>
      <c r="IX53" s="110" t="str">
        <f>IF('Supp. Result Entry'!AI51="","",'Supp. Result Entry'!$AI$4)</f>
        <v/>
      </c>
      <c r="IY53" s="110" t="str">
        <f>IF('Supp. Result Entry'!AI51="","",'Supp. Result Entry'!$AL$4)</f>
        <v/>
      </c>
      <c r="IZ53" s="110" t="str">
        <f>IF('Supp. Result Entry'!U51="","",'Supp. Result Entry'!U51)</f>
        <v/>
      </c>
      <c r="JA53" s="110" t="str">
        <f>IF('Supp. Result Entry'!X51="","",'Supp. Result Entry'!X51)</f>
        <v/>
      </c>
      <c r="JB53" s="110" t="str">
        <f>IF('Supp. Result Entry'!AA51="","",'Supp. Result Entry'!AA51)</f>
        <v/>
      </c>
      <c r="JC53" s="110" t="str">
        <f>IF('Supp. Result Entry'!AD51="","",'Supp. Result Entry'!AD51)</f>
        <v/>
      </c>
      <c r="JD53" s="110" t="str">
        <f>IF('Supp. Result Entry'!AG51="","",'Supp. Result Entry'!AG51)</f>
        <v/>
      </c>
      <c r="JE53" s="110" t="str">
        <f>IF('Supp. Result Entry'!AJ51="","",'Supp. Result Entry'!AJ51)</f>
        <v/>
      </c>
      <c r="JF53" s="110" t="str">
        <f>IF('Supp. Result Entry'!AM51="","",'Supp. Result Entry'!AM51)</f>
        <v/>
      </c>
      <c r="JG53" s="110" t="str">
        <f>IF('Supp. Result Entry'!V51="","",'Supp. Result Entry'!V51)</f>
        <v/>
      </c>
      <c r="JH53" s="110" t="str">
        <f>IF('Supp. Result Entry'!Y51="","",'Supp. Result Entry'!Y51)</f>
        <v/>
      </c>
      <c r="JI53" s="110" t="str">
        <f>IF('Supp. Result Entry'!AB51="","",'Supp. Result Entry'!AB51)</f>
        <v/>
      </c>
      <c r="JJ53" s="110" t="str">
        <f>IF('Supp. Result Entry'!AE51="","",'Supp. Result Entry'!AE51)</f>
        <v/>
      </c>
      <c r="JK53" s="110" t="str">
        <f>IF('Supp. Result Entry'!AH51="","",'Supp. Result Entry'!AH51)</f>
        <v/>
      </c>
      <c r="JL53" s="110" t="str">
        <f>IF('Supp. Result Entry'!AK51="","",'Supp. Result Entry'!AK51)</f>
        <v/>
      </c>
      <c r="JM53" s="110" t="str">
        <f>IF('Supp. Result Entry'!AN51="","",'Supp. Result Entry'!AN51)</f>
        <v/>
      </c>
      <c r="JN53" s="110">
        <f>COUNTIF('Supp. Result Entry'!K51:Q51,"S")</f>
        <v>0</v>
      </c>
      <c r="JO53" s="110">
        <f t="shared" si="155"/>
        <v>0</v>
      </c>
      <c r="JP53" s="110">
        <f t="shared" si="156"/>
        <v>0</v>
      </c>
      <c r="JQ53" s="110" t="str">
        <f t="shared" si="75"/>
        <v/>
      </c>
      <c r="JR53" s="110" t="str">
        <f t="shared" si="76"/>
        <v/>
      </c>
      <c r="JS53" s="110" t="str">
        <f t="shared" si="77"/>
        <v/>
      </c>
      <c r="JT53" s="110" t="str">
        <f t="shared" si="78"/>
        <v/>
      </c>
      <c r="JU53" s="110" t="str">
        <f t="shared" si="79"/>
        <v/>
      </c>
      <c r="JV53" s="110" t="str">
        <f t="shared" si="80"/>
        <v/>
      </c>
      <c r="JW53" s="110" t="str">
        <f t="shared" si="81"/>
        <v/>
      </c>
      <c r="JX53" s="110" t="str">
        <f t="shared" si="157"/>
        <v/>
      </c>
      <c r="JY53" s="110" t="str">
        <f t="shared" si="158"/>
        <v/>
      </c>
      <c r="JZ53" s="110" t="str">
        <f t="shared" si="82"/>
        <v/>
      </c>
      <c r="KA53" s="108" t="str">
        <f t="shared" si="159"/>
        <v/>
      </c>
    </row>
    <row r="54" spans="1:287" s="108" customFormat="1" ht="21.95" customHeight="1">
      <c r="A54" s="89">
        <v>48</v>
      </c>
      <c r="B54" s="90" t="str">
        <f>IF('Marks Entry'!B54="","",'Marks Entry'!B54)</f>
        <v/>
      </c>
      <c r="C54" s="94" t="str">
        <f>IF('Marks Entry'!D54="","",'Marks Entry'!D54)</f>
        <v/>
      </c>
      <c r="D54" s="91" t="str">
        <f>IF('Marks Entry'!E54="","",'Marks Entry'!E54)</f>
        <v/>
      </c>
      <c r="E54" s="92" t="str">
        <f>IF('Marks Entry'!F54="","",'Marks Entry'!F54)</f>
        <v/>
      </c>
      <c r="F54" s="93" t="str">
        <f>IF('Marks Entry'!G54="","",'Marks Entry'!G54)</f>
        <v/>
      </c>
      <c r="G54" s="93" t="str">
        <f>IF('Marks Entry'!H54="","",'Marks Entry'!H54)</f>
        <v/>
      </c>
      <c r="H54" s="93" t="str">
        <f>IF('Marks Entry'!I54="","",'Marks Entry'!I54)</f>
        <v/>
      </c>
      <c r="I54" s="94" t="str">
        <f>IF('Marks Entry'!J54="","",'Marks Entry'!J54)</f>
        <v/>
      </c>
      <c r="J54" s="95" t="str">
        <f>IF('Marks Entry'!K54="","",'Marks Entry'!K54)</f>
        <v/>
      </c>
      <c r="K54" s="68" t="str">
        <f>IF('Marks Entry'!L54="","",'Marks Entry'!L54)</f>
        <v/>
      </c>
      <c r="L54" s="68" t="str">
        <f>IF('Marks Entry'!M54="","",'Marks Entry'!M54)</f>
        <v/>
      </c>
      <c r="M54" s="68" t="str">
        <f>IF('Marks Entry'!N54="","",'Marks Entry'!N54)</f>
        <v/>
      </c>
      <c r="N54" s="514" t="str">
        <f t="shared" si="83"/>
        <v/>
      </c>
      <c r="O54" s="68" t="str">
        <f>IF('Marks Entry'!O54="","",'Marks Entry'!O54)</f>
        <v/>
      </c>
      <c r="P54" s="515" t="str">
        <f t="shared" si="84"/>
        <v/>
      </c>
      <c r="Q54" s="68" t="str">
        <f>IF('Marks Entry'!P54="","",'Marks Entry'!P54)</f>
        <v/>
      </c>
      <c r="R54" s="96" t="str">
        <f t="shared" si="85"/>
        <v/>
      </c>
      <c r="S54" s="65">
        <f t="shared" si="86"/>
        <v>0</v>
      </c>
      <c r="T54" s="65">
        <f t="shared" si="87"/>
        <v>0</v>
      </c>
      <c r="U54" s="66" t="str">
        <f t="shared" si="88"/>
        <v/>
      </c>
      <c r="V54" s="65" t="str">
        <f t="shared" si="89"/>
        <v/>
      </c>
      <c r="W54" s="65" t="str">
        <f t="shared" si="90"/>
        <v/>
      </c>
      <c r="X54" s="65" t="str">
        <f t="shared" si="91"/>
        <v/>
      </c>
      <c r="Y54" s="68" t="str">
        <f>IF('Marks Entry'!Q54="","",'Marks Entry'!Q54)</f>
        <v/>
      </c>
      <c r="Z54" s="68" t="str">
        <f>IF('Marks Entry'!R54="","",'Marks Entry'!R54)</f>
        <v/>
      </c>
      <c r="AA54" s="68" t="str">
        <f>IF('Marks Entry'!S54="","",'Marks Entry'!S54)</f>
        <v/>
      </c>
      <c r="AB54" s="514" t="str">
        <f t="shared" si="2"/>
        <v/>
      </c>
      <c r="AC54" s="68" t="str">
        <f>IF('Marks Entry'!T54="","",'Marks Entry'!T54)</f>
        <v/>
      </c>
      <c r="AD54" s="515" t="str">
        <f t="shared" si="3"/>
        <v/>
      </c>
      <c r="AE54" s="68" t="str">
        <f>IF('Marks Entry'!U54="","",'Marks Entry'!U54)</f>
        <v/>
      </c>
      <c r="AF54" s="96" t="str">
        <f t="shared" si="4"/>
        <v/>
      </c>
      <c r="AG54" s="65">
        <f t="shared" si="5"/>
        <v>0</v>
      </c>
      <c r="AH54" s="65">
        <f t="shared" si="6"/>
        <v>0</v>
      </c>
      <c r="AI54" s="66" t="str">
        <f t="shared" si="7"/>
        <v/>
      </c>
      <c r="AJ54" s="65" t="str">
        <f t="shared" si="8"/>
        <v/>
      </c>
      <c r="AK54" s="65" t="str">
        <f t="shared" si="9"/>
        <v/>
      </c>
      <c r="AL54" s="65" t="str">
        <f t="shared" si="10"/>
        <v/>
      </c>
      <c r="AM54" s="524" t="str">
        <f>IF('Marks Entry'!V54="","",IF('Marks Entry'!V54=1,'School Profile'!$I$9,IF('Marks Entry'!V54=2,'School Profile'!$I$10,IF('Marks Entry'!V54=3,'School Profile'!$I$11,IF('Marks Entry'!V54=4,'School Profile'!$I$12,IF('Marks Entry'!V54=5,'School Profile'!$I$13,IF('Marks Entry'!V54=6,'School Profile'!$I$14,"")))))))</f>
        <v/>
      </c>
      <c r="AN54" s="68" t="str">
        <f>IF('Marks Entry'!W54="","",'Marks Entry'!W54)</f>
        <v/>
      </c>
      <c r="AO54" s="68" t="str">
        <f>IF('Marks Entry'!X54="","",'Marks Entry'!X54)</f>
        <v/>
      </c>
      <c r="AP54" s="68" t="str">
        <f>IF('Marks Entry'!Y54="","",'Marks Entry'!Y54)</f>
        <v/>
      </c>
      <c r="AQ54" s="514" t="str">
        <f t="shared" si="11"/>
        <v/>
      </c>
      <c r="AR54" s="68" t="str">
        <f>IF('Marks Entry'!Z54="","",'Marks Entry'!Z54)</f>
        <v/>
      </c>
      <c r="AS54" s="515" t="str">
        <f t="shared" si="12"/>
        <v/>
      </c>
      <c r="AT54" s="68" t="str">
        <f>IF('Marks Entry'!AA54="","",'Marks Entry'!AA54)</f>
        <v/>
      </c>
      <c r="AU54" s="96" t="str">
        <f t="shared" si="13"/>
        <v/>
      </c>
      <c r="AV54" s="65">
        <f t="shared" si="14"/>
        <v>0</v>
      </c>
      <c r="AW54" s="65">
        <f t="shared" si="15"/>
        <v>0</v>
      </c>
      <c r="AX54" s="66" t="str">
        <f t="shared" si="16"/>
        <v/>
      </c>
      <c r="AY54" s="65" t="str">
        <f t="shared" si="17"/>
        <v/>
      </c>
      <c r="AZ54" s="65" t="str">
        <f t="shared" si="18"/>
        <v/>
      </c>
      <c r="BA54" s="65" t="str">
        <f t="shared" si="19"/>
        <v/>
      </c>
      <c r="BB54" s="68" t="str">
        <f>IF('Marks Entry'!AB54="","",'Marks Entry'!AB54)</f>
        <v/>
      </c>
      <c r="BC54" s="68" t="str">
        <f>IF('Marks Entry'!AC54="","",'Marks Entry'!AC54)</f>
        <v/>
      </c>
      <c r="BD54" s="68" t="str">
        <f>IF('Marks Entry'!AD54="","",'Marks Entry'!AD54)</f>
        <v/>
      </c>
      <c r="BE54" s="514" t="str">
        <f t="shared" si="20"/>
        <v/>
      </c>
      <c r="BF54" s="68" t="str">
        <f>IF('Marks Entry'!AE54="","",'Marks Entry'!AE54)</f>
        <v/>
      </c>
      <c r="BG54" s="515" t="str">
        <f t="shared" si="21"/>
        <v/>
      </c>
      <c r="BH54" s="68" t="str">
        <f>IF('Marks Entry'!AF54="","",'Marks Entry'!AF54)</f>
        <v/>
      </c>
      <c r="BI54" s="96" t="str">
        <f t="shared" si="22"/>
        <v/>
      </c>
      <c r="BJ54" s="65">
        <f t="shared" si="23"/>
        <v>0</v>
      </c>
      <c r="BK54" s="65">
        <f t="shared" si="92"/>
        <v>0</v>
      </c>
      <c r="BL54" s="66" t="str">
        <f t="shared" si="24"/>
        <v/>
      </c>
      <c r="BM54" s="65" t="str">
        <f t="shared" si="25"/>
        <v/>
      </c>
      <c r="BN54" s="65" t="str">
        <f t="shared" si="26"/>
        <v/>
      </c>
      <c r="BO54" s="65" t="str">
        <f t="shared" si="27"/>
        <v/>
      </c>
      <c r="BP54" s="68" t="str">
        <f>IF('Marks Entry'!AG54="","",'Marks Entry'!AG54)</f>
        <v/>
      </c>
      <c r="BQ54" s="68" t="str">
        <f>IF('Marks Entry'!AH54="","",'Marks Entry'!AH54)</f>
        <v/>
      </c>
      <c r="BR54" s="68" t="str">
        <f>IF('Marks Entry'!AI54="","",'Marks Entry'!AI54)</f>
        <v/>
      </c>
      <c r="BS54" s="514" t="str">
        <f t="shared" si="28"/>
        <v/>
      </c>
      <c r="BT54" s="68" t="str">
        <f>IF('Marks Entry'!AJ54="","",'Marks Entry'!AJ54)</f>
        <v/>
      </c>
      <c r="BU54" s="515" t="str">
        <f t="shared" si="29"/>
        <v/>
      </c>
      <c r="BV54" s="68" t="str">
        <f>IF('Marks Entry'!AK54="","",'Marks Entry'!AK54)</f>
        <v/>
      </c>
      <c r="BW54" s="96" t="str">
        <f t="shared" si="30"/>
        <v/>
      </c>
      <c r="BX54" s="65">
        <f t="shared" si="31"/>
        <v>0</v>
      </c>
      <c r="BY54" s="65">
        <f t="shared" si="32"/>
        <v>0</v>
      </c>
      <c r="BZ54" s="66" t="str">
        <f t="shared" si="33"/>
        <v/>
      </c>
      <c r="CA54" s="65" t="str">
        <f t="shared" si="34"/>
        <v/>
      </c>
      <c r="CB54" s="65" t="str">
        <f t="shared" si="35"/>
        <v/>
      </c>
      <c r="CC54" s="65" t="str">
        <f t="shared" si="36"/>
        <v/>
      </c>
      <c r="CD54" s="66">
        <f t="shared" si="161"/>
        <v>0</v>
      </c>
      <c r="CE54" s="68" t="str">
        <f>IF('Marks Entry'!AL54="","",'Marks Entry'!AL54)</f>
        <v/>
      </c>
      <c r="CF54" s="68" t="str">
        <f>IF('Marks Entry'!AM54="","",'Marks Entry'!AM54)</f>
        <v/>
      </c>
      <c r="CG54" s="68" t="str">
        <f>IF('Marks Entry'!AN54="","",'Marks Entry'!AN54)</f>
        <v/>
      </c>
      <c r="CH54" s="514" t="str">
        <f t="shared" si="37"/>
        <v/>
      </c>
      <c r="CI54" s="68" t="str">
        <f>IF('Marks Entry'!AO54="","",'Marks Entry'!AO54)</f>
        <v/>
      </c>
      <c r="CJ54" s="515" t="str">
        <f t="shared" si="38"/>
        <v/>
      </c>
      <c r="CK54" s="68" t="str">
        <f>IF('Marks Entry'!AP54="","",'Marks Entry'!AP54)</f>
        <v/>
      </c>
      <c r="CL54" s="96" t="str">
        <f t="shared" si="39"/>
        <v/>
      </c>
      <c r="CM54" s="65">
        <f t="shared" si="40"/>
        <v>0</v>
      </c>
      <c r="CN54" s="65">
        <f t="shared" si="41"/>
        <v>0</v>
      </c>
      <c r="CO54" s="66" t="str">
        <f t="shared" si="42"/>
        <v/>
      </c>
      <c r="CP54" s="65" t="str">
        <f t="shared" si="43"/>
        <v/>
      </c>
      <c r="CQ54" s="65" t="str">
        <f t="shared" si="44"/>
        <v/>
      </c>
      <c r="CR54" s="65" t="str">
        <f t="shared" si="45"/>
        <v/>
      </c>
      <c r="CS54" s="616" t="str">
        <f>IF('School Profile'!$D$20="NO","",IF('Marks Entry'!AQ54="","",IF('Marks Entry'!AQ54=1,'School Profile'!$I$29,IF('Marks Entry'!AQ54=2,'School Profile'!$I$30,IF('Marks Entry'!AQ54=3,'School Profile'!$I$31,IF('Marks Entry'!AQ54=4,'School Profile'!$I$32,IF('Marks Entry'!AQ54=5,'School Profile'!$I$33,IF('Marks Entry'!AQ54=6,'School Profile'!$I$34,IF('Marks Entry'!AQ54=7,'School Profile'!$I$35,IF('Marks Entry'!AQ54=8,'School Profile'!$I$36,IF('Marks Entry'!AQ54=9,'School Profile'!$I$37,IF('Marks Entry'!AQ54=10,'School Profile'!$I$38,IF('Marks Entry'!AQ54=11,'School Profile'!$I$39,"")))))))))))))</f>
        <v/>
      </c>
      <c r="CT54" s="68" t="str">
        <f>IF('School Profile'!$D$20="NO","",IF('Marks Entry'!AR54="","",'Marks Entry'!AR54))</f>
        <v/>
      </c>
      <c r="CU54" s="68" t="str">
        <f>IF('School Profile'!$D$20="NO","",IF('Marks Entry'!AS54="","",'Marks Entry'!AS54))</f>
        <v/>
      </c>
      <c r="CV54" s="68" t="str">
        <f>IF('School Profile'!$D$20="NO","",IF('Marks Entry'!AT54="","",'Marks Entry'!AT54))</f>
        <v/>
      </c>
      <c r="CW54" s="514" t="str">
        <f>IF('School Profile'!$D$20="NO","",IF(AND(CT54="",CU54="",CV54=""),"",SUM(CT54:CV54)))</f>
        <v/>
      </c>
      <c r="CX54" s="68" t="str">
        <f>IF('School Profile'!$D$20="NO","",IF('Marks Entry'!AU54="","",'Marks Entry'!AU54))</f>
        <v/>
      </c>
      <c r="CY54" s="68" t="str">
        <f>IF('School Profile'!$D$20="NO","",IF('Marks Entry'!AV54="","",'Marks Entry'!AV54))</f>
        <v/>
      </c>
      <c r="CZ54" s="515" t="str">
        <f>IF('School Profile'!$D$20="NO","",IF(AND(CX54="",CY54=""),"",SUM(CX54,CY54)))</f>
        <v/>
      </c>
      <c r="DA54" s="69" t="str">
        <f>IF('School Profile'!$D$20="NO","",IF(AND(CW54="",CZ54=""),"",SUM(CW54+CZ54)))</f>
        <v/>
      </c>
      <c r="DB54" s="68" t="str">
        <f>IF('School Profile'!$D$20="NO","",IF('Marks Entry'!AW54="","",'Marks Entry'!AW54))</f>
        <v/>
      </c>
      <c r="DC54" s="68" t="str">
        <f>IF('School Profile'!$D$20="NO","",IF('Marks Entry'!AX54="","",'Marks Entry'!AX54))</f>
        <v/>
      </c>
      <c r="DD54" s="515" t="str">
        <f>IF('School Profile'!$D$20="NO","",IF(AND(DB54="",DC54=""),"",SUM(DB54,DC54)))</f>
        <v/>
      </c>
      <c r="DE54" s="96" t="str">
        <f>IF('School Profile'!$D$20="NO","",IF(AND(DA54="",DD54=""),"",SUM(DA54,DD54)))</f>
        <v/>
      </c>
      <c r="DF54" s="532">
        <f t="shared" si="46"/>
        <v>0</v>
      </c>
      <c r="DG54" s="65">
        <f t="shared" si="47"/>
        <v>0</v>
      </c>
      <c r="DH54" s="66" t="str">
        <f t="shared" si="48"/>
        <v/>
      </c>
      <c r="DI54" s="65" t="str">
        <f t="shared" si="49"/>
        <v/>
      </c>
      <c r="DJ54" s="65" t="str">
        <f t="shared" si="50"/>
        <v/>
      </c>
      <c r="DK54" s="65" t="str">
        <f t="shared" si="51"/>
        <v/>
      </c>
      <c r="DL54" s="97" t="str">
        <f t="shared" si="94"/>
        <v/>
      </c>
      <c r="DM54" s="97" t="str">
        <f t="shared" si="95"/>
        <v/>
      </c>
      <c r="DN54" s="97" t="str">
        <f t="shared" si="96"/>
        <v/>
      </c>
      <c r="DO54" s="97" t="str">
        <f t="shared" si="97"/>
        <v/>
      </c>
      <c r="DP54" s="97" t="str">
        <f t="shared" si="98"/>
        <v/>
      </c>
      <c r="DQ54" s="97" t="str">
        <f t="shared" si="99"/>
        <v/>
      </c>
      <c r="DR54" s="97" t="str">
        <f t="shared" si="100"/>
        <v/>
      </c>
      <c r="DS54" s="98">
        <f t="shared" si="101"/>
        <v>0</v>
      </c>
      <c r="DT54" s="98">
        <f t="shared" si="102"/>
        <v>0</v>
      </c>
      <c r="DU54" s="98">
        <f t="shared" si="103"/>
        <v>0</v>
      </c>
      <c r="DV54" s="98">
        <f t="shared" si="104"/>
        <v>0</v>
      </c>
      <c r="DW54" s="98">
        <f t="shared" si="105"/>
        <v>0</v>
      </c>
      <c r="DX54" s="98" t="str">
        <f t="shared" si="106"/>
        <v/>
      </c>
      <c r="DY54" s="99" t="str">
        <f t="shared" si="107"/>
        <v/>
      </c>
      <c r="DZ54" s="74" t="str">
        <f>IF('Marks Entry'!AY54="","",'Marks Entry'!AY54)</f>
        <v/>
      </c>
      <c r="EA54" s="74" t="str">
        <f>IF('Marks Entry'!AZ54="","",'Marks Entry'!AZ54)</f>
        <v/>
      </c>
      <c r="EB54" s="74" t="str">
        <f>IF('Marks Entry'!BA54="","",'Marks Entry'!BA54)</f>
        <v/>
      </c>
      <c r="EC54" s="527" t="str">
        <f t="shared" si="52"/>
        <v/>
      </c>
      <c r="ED54" s="74" t="str">
        <f>IF('Marks Entry'!BB54="","",'Marks Entry'!BB54)</f>
        <v/>
      </c>
      <c r="EE54" s="528" t="str">
        <f t="shared" si="53"/>
        <v/>
      </c>
      <c r="EF54" s="74" t="str">
        <f>IF('Marks Entry'!BC54="","",'Marks Entry'!BC54)</f>
        <v/>
      </c>
      <c r="EG54" s="530" t="str">
        <f t="shared" si="54"/>
        <v/>
      </c>
      <c r="EH54" s="368" t="str">
        <f t="shared" si="108"/>
        <v/>
      </c>
      <c r="EI54" s="65">
        <f t="shared" si="109"/>
        <v>0</v>
      </c>
      <c r="EJ54" s="65">
        <f t="shared" si="110"/>
        <v>0</v>
      </c>
      <c r="EK54" s="66" t="str">
        <f t="shared" si="111"/>
        <v/>
      </c>
      <c r="EL54" s="74" t="str">
        <f>IF('Marks Entry'!BD54="","",'Marks Entry'!BD54)</f>
        <v/>
      </c>
      <c r="EM54" s="74" t="str">
        <f>IF('Marks Entry'!BE54="","",'Marks Entry'!BE54)</f>
        <v/>
      </c>
      <c r="EN54" s="74" t="str">
        <f>IF('Marks Entry'!BF54="","",'Marks Entry'!BF54)</f>
        <v/>
      </c>
      <c r="EO54" s="527" t="str">
        <f t="shared" si="55"/>
        <v/>
      </c>
      <c r="EP54" s="74" t="str">
        <f>IF('Marks Entry'!BG54="","",'Marks Entry'!BG54)</f>
        <v/>
      </c>
      <c r="EQ54" s="74" t="str">
        <f>IF('Marks Entry'!BH54="","",'Marks Entry'!BH54)</f>
        <v/>
      </c>
      <c r="ER54" s="528" t="str">
        <f t="shared" si="56"/>
        <v/>
      </c>
      <c r="ES54" s="529" t="str">
        <f t="shared" si="57"/>
        <v/>
      </c>
      <c r="ET54" s="74" t="str">
        <f>IF('Marks Entry'!BI54="","",'Marks Entry'!BI54)</f>
        <v/>
      </c>
      <c r="EU54" s="74" t="str">
        <f>IF('Marks Entry'!BJ54="","",'Marks Entry'!BJ54)</f>
        <v/>
      </c>
      <c r="EV54" s="528" t="str">
        <f t="shared" si="58"/>
        <v/>
      </c>
      <c r="EW54" s="530" t="str">
        <f t="shared" si="59"/>
        <v/>
      </c>
      <c r="EX54" s="368" t="str">
        <f t="shared" si="112"/>
        <v/>
      </c>
      <c r="EY54" s="65">
        <f t="shared" si="113"/>
        <v>0</v>
      </c>
      <c r="EZ54" s="65">
        <f t="shared" si="114"/>
        <v>0</v>
      </c>
      <c r="FA54" s="66" t="str">
        <f t="shared" si="115"/>
        <v/>
      </c>
      <c r="FB54" s="74" t="str">
        <f>IF('Marks Entry'!BK54="","",'Marks Entry'!BK54)</f>
        <v/>
      </c>
      <c r="FC54" s="74" t="str">
        <f>IF('Marks Entry'!BL54="","",'Marks Entry'!BL54)</f>
        <v/>
      </c>
      <c r="FD54" s="74" t="str">
        <f>IF('Marks Entry'!BM54="","",'Marks Entry'!BM54)</f>
        <v/>
      </c>
      <c r="FE54" s="74" t="str">
        <f>IF('Marks Entry'!BN54="","",'Marks Entry'!BN54)</f>
        <v/>
      </c>
      <c r="FF54" s="74" t="str">
        <f>IF('Marks Entry'!BO54="","",'Marks Entry'!BO54)</f>
        <v/>
      </c>
      <c r="FG54" s="74" t="str">
        <f>IF('Marks Entry'!BP54="","",'Marks Entry'!BP54)</f>
        <v/>
      </c>
      <c r="FH54" s="527" t="str">
        <f t="shared" si="60"/>
        <v/>
      </c>
      <c r="FI54" s="74" t="str">
        <f>IF('Marks Entry'!BQ54="","",'Marks Entry'!BQ54)</f>
        <v/>
      </c>
      <c r="FJ54" s="74" t="str">
        <f>IF('Marks Entry'!BR54="","",'Marks Entry'!BR54)</f>
        <v/>
      </c>
      <c r="FK54" s="528" t="str">
        <f t="shared" si="61"/>
        <v/>
      </c>
      <c r="FL54" s="529" t="str">
        <f t="shared" si="62"/>
        <v/>
      </c>
      <c r="FM54" s="74" t="str">
        <f>IF('Marks Entry'!BS54="","",'Marks Entry'!BS54)</f>
        <v/>
      </c>
      <c r="FN54" s="74" t="str">
        <f>IF('Marks Entry'!BT54="","",'Marks Entry'!BT54)</f>
        <v/>
      </c>
      <c r="FO54" s="528" t="str">
        <f t="shared" si="63"/>
        <v/>
      </c>
      <c r="FP54" s="530" t="str">
        <f t="shared" si="64"/>
        <v/>
      </c>
      <c r="FQ54" s="368" t="str">
        <f t="shared" si="116"/>
        <v/>
      </c>
      <c r="FR54" s="65">
        <f t="shared" si="117"/>
        <v>0</v>
      </c>
      <c r="FS54" s="65">
        <f t="shared" si="118"/>
        <v>0</v>
      </c>
      <c r="FT54" s="66" t="str">
        <f t="shared" si="119"/>
        <v/>
      </c>
      <c r="FU54" s="74" t="str">
        <f>IF('Marks Entry'!BU54="","",'Marks Entry'!BU54)</f>
        <v/>
      </c>
      <c r="FV54" s="74" t="str">
        <f>IF('Marks Entry'!BV54="","",'Marks Entry'!BV54)</f>
        <v/>
      </c>
      <c r="FW54" s="74" t="str">
        <f>IF('Marks Entry'!BW54="","",'Marks Entry'!BW54)</f>
        <v/>
      </c>
      <c r="FX54" s="75" t="str">
        <f t="shared" si="65"/>
        <v/>
      </c>
      <c r="FY54" s="368" t="str">
        <f t="shared" si="120"/>
        <v/>
      </c>
      <c r="FZ54" s="65">
        <f t="shared" si="121"/>
        <v>0</v>
      </c>
      <c r="GA54" s="66">
        <f t="shared" si="122"/>
        <v>0</v>
      </c>
      <c r="GB54" s="66" t="str">
        <f t="shared" si="123"/>
        <v/>
      </c>
      <c r="GC54" s="74" t="str">
        <f>IF('Marks Entry'!BX54="","",'Marks Entry'!BX54)</f>
        <v/>
      </c>
      <c r="GD54" s="74" t="str">
        <f>IF('Marks Entry'!BY54="","",'Marks Entry'!BY54)</f>
        <v/>
      </c>
      <c r="GE54" s="74" t="str">
        <f>IF('Marks Entry'!BZ54="","",'Marks Entry'!BZ54)</f>
        <v/>
      </c>
      <c r="GF54" s="75" t="str">
        <f t="shared" si="124"/>
        <v/>
      </c>
      <c r="GG54" s="368" t="str">
        <f t="shared" si="125"/>
        <v/>
      </c>
      <c r="GH54" s="65">
        <f t="shared" si="126"/>
        <v>0</v>
      </c>
      <c r="GI54" s="66">
        <f t="shared" si="127"/>
        <v>0</v>
      </c>
      <c r="GJ54" s="66" t="str">
        <f t="shared" si="128"/>
        <v/>
      </c>
      <c r="GK54" s="100" t="str">
        <f>IF(AND(F54="",B54=""),"",IF('Student DATA Entry'!M51="","",'Student DATA Entry'!M51))</f>
        <v/>
      </c>
      <c r="GL54" s="101" t="str">
        <f>IF(AND(B54="",F54=""),"",IF('Student DATA Entry'!N51="","",'Student DATA Entry'!N51))</f>
        <v/>
      </c>
      <c r="GM54" s="581" t="str">
        <f t="shared" si="129"/>
        <v/>
      </c>
      <c r="GN54" s="94" t="str">
        <f t="shared" si="130"/>
        <v/>
      </c>
      <c r="GO54" s="94" t="str">
        <f t="shared" si="131"/>
        <v/>
      </c>
      <c r="GP54" s="102" t="str">
        <f t="shared" si="162"/>
        <v/>
      </c>
      <c r="GQ54" s="94" t="str">
        <f t="shared" si="132"/>
        <v/>
      </c>
      <c r="GR54" s="103" t="str">
        <f t="shared" si="133"/>
        <v/>
      </c>
      <c r="GS54" s="102" t="str">
        <f t="shared" si="163"/>
        <v/>
      </c>
      <c r="GT54" s="104" t="str">
        <f t="shared" si="134"/>
        <v/>
      </c>
      <c r="GU54" s="94" t="str">
        <f>IF('Marks Entry'!V54=1,GT54,"")</f>
        <v/>
      </c>
      <c r="GV54" s="94" t="str">
        <f>IF('Marks Entry'!V54=2,GT54,"")</f>
        <v/>
      </c>
      <c r="GW54" s="94" t="str">
        <f>IF('Marks Entry'!V54=3,GT54,"")</f>
        <v/>
      </c>
      <c r="GX54" s="94" t="str">
        <f>IF('Marks Entry'!V54=4,GT54,"")</f>
        <v/>
      </c>
      <c r="GY54" s="94" t="str">
        <f>IF('Marks Entry'!V54=5,GT54,"")</f>
        <v/>
      </c>
      <c r="GZ54" s="94" t="str">
        <f t="shared" si="135"/>
        <v/>
      </c>
      <c r="HA54" s="105" t="str">
        <f t="shared" si="164"/>
        <v/>
      </c>
      <c r="HB54" s="94" t="str">
        <f t="shared" si="136"/>
        <v/>
      </c>
      <c r="HC54" s="94" t="str">
        <f t="shared" si="137"/>
        <v/>
      </c>
      <c r="HD54" s="105" t="str">
        <f t="shared" si="165"/>
        <v/>
      </c>
      <c r="HE54" s="94" t="str">
        <f t="shared" si="138"/>
        <v/>
      </c>
      <c r="HF54" s="94" t="str">
        <f t="shared" si="139"/>
        <v/>
      </c>
      <c r="HG54" s="105" t="str">
        <f t="shared" si="166"/>
        <v/>
      </c>
      <c r="HH54" s="94" t="str">
        <f t="shared" si="140"/>
        <v/>
      </c>
      <c r="HI54" s="94" t="str">
        <f t="shared" si="141"/>
        <v/>
      </c>
      <c r="HJ54" s="105" t="str">
        <f t="shared" si="167"/>
        <v/>
      </c>
      <c r="HK54" s="94" t="str">
        <f t="shared" si="142"/>
        <v/>
      </c>
      <c r="HL54" s="94" t="str">
        <f t="shared" si="143"/>
        <v/>
      </c>
      <c r="HM54" s="105" t="str">
        <f t="shared" si="168"/>
        <v/>
      </c>
      <c r="HN54" s="367" t="str">
        <f t="shared" si="144"/>
        <v xml:space="preserve">      </v>
      </c>
      <c r="HO54" s="418" t="str">
        <f t="shared" si="169"/>
        <v xml:space="preserve">      </v>
      </c>
      <c r="HP54" s="367" t="str">
        <f t="shared" si="146"/>
        <v xml:space="preserve">      </v>
      </c>
      <c r="HQ54" s="107" t="str">
        <f t="shared" si="147"/>
        <v xml:space="preserve">      </v>
      </c>
      <c r="HR54" s="366" t="str">
        <f t="shared" si="148"/>
        <v xml:space="preserve">      </v>
      </c>
      <c r="HS54" s="544" t="str">
        <f t="shared" si="170"/>
        <v/>
      </c>
      <c r="HT54" s="542" t="str">
        <f t="shared" si="149"/>
        <v/>
      </c>
      <c r="HU54" s="541" t="str">
        <f t="shared" si="160"/>
        <v/>
      </c>
      <c r="HV54" s="540" t="str">
        <f t="shared" si="150"/>
        <v/>
      </c>
      <c r="HW54" s="537" t="str">
        <f t="shared" si="151"/>
        <v/>
      </c>
      <c r="HX54" s="539" t="str">
        <f t="shared" si="152"/>
        <v/>
      </c>
      <c r="HY54" s="553" t="str">
        <f>IFERROR(IF(OR(HS54="SUPPLEMENTARY",HS54="RE-EXAM"),'Supp. Result Entry'!AQ52,""),"")</f>
        <v/>
      </c>
      <c r="HZ54" s="538" t="str">
        <f t="shared" si="153"/>
        <v/>
      </c>
      <c r="IA54" s="415" t="str">
        <f t="shared" si="154"/>
        <v/>
      </c>
      <c r="IB54" s="415" t="str">
        <f>IF(AND(HZ54="",IA54=""),"",IF(OR(HS54="SUPPLEMENTARY",HS54="RE-EXAM"),'Supp. Result Entry'!AQ52,HS54))</f>
        <v/>
      </c>
      <c r="IC54" s="87"/>
      <c r="ID54" s="111"/>
      <c r="IS54" s="109" t="str">
        <f>IF('Supp. Result Entry'!T52="","",'Supp. Result Entry'!$T$4)</f>
        <v/>
      </c>
      <c r="IT54" s="110" t="str">
        <f>IF('Supp. Result Entry'!W52="","",'Supp. Result Entry'!$W$4)</f>
        <v/>
      </c>
      <c r="IU54" s="110" t="str">
        <f>IF('Supp. Result Entry'!Z52="","",'Supp. Result Entry'!$Z$4)</f>
        <v/>
      </c>
      <c r="IV54" s="110" t="str">
        <f>IF('Supp. Result Entry'!AC52="","",'Supp. Result Entry'!$AC$4)</f>
        <v/>
      </c>
      <c r="IW54" s="110" t="str">
        <f>IF('Supp. Result Entry'!AF52="","",'Supp. Result Entry'!$AF$4)</f>
        <v/>
      </c>
      <c r="IX54" s="110" t="str">
        <f>IF('Supp. Result Entry'!AI52="","",'Supp. Result Entry'!$AI$4)</f>
        <v/>
      </c>
      <c r="IY54" s="110" t="str">
        <f>IF('Supp. Result Entry'!AI52="","",'Supp. Result Entry'!$AL$4)</f>
        <v/>
      </c>
      <c r="IZ54" s="110" t="str">
        <f>IF('Supp. Result Entry'!U52="","",'Supp. Result Entry'!U52)</f>
        <v/>
      </c>
      <c r="JA54" s="110" t="str">
        <f>IF('Supp. Result Entry'!X52="","",'Supp. Result Entry'!X52)</f>
        <v/>
      </c>
      <c r="JB54" s="110" t="str">
        <f>IF('Supp. Result Entry'!AA52="","",'Supp. Result Entry'!AA52)</f>
        <v/>
      </c>
      <c r="JC54" s="110" t="str">
        <f>IF('Supp. Result Entry'!AD52="","",'Supp. Result Entry'!AD52)</f>
        <v/>
      </c>
      <c r="JD54" s="110" t="str">
        <f>IF('Supp. Result Entry'!AG52="","",'Supp. Result Entry'!AG52)</f>
        <v/>
      </c>
      <c r="JE54" s="110" t="str">
        <f>IF('Supp. Result Entry'!AJ52="","",'Supp. Result Entry'!AJ52)</f>
        <v/>
      </c>
      <c r="JF54" s="110" t="str">
        <f>IF('Supp. Result Entry'!AM52="","",'Supp. Result Entry'!AM52)</f>
        <v/>
      </c>
      <c r="JG54" s="110" t="str">
        <f>IF('Supp. Result Entry'!V52="","",'Supp. Result Entry'!V52)</f>
        <v/>
      </c>
      <c r="JH54" s="110" t="str">
        <f>IF('Supp. Result Entry'!Y52="","",'Supp. Result Entry'!Y52)</f>
        <v/>
      </c>
      <c r="JI54" s="110" t="str">
        <f>IF('Supp. Result Entry'!AB52="","",'Supp. Result Entry'!AB52)</f>
        <v/>
      </c>
      <c r="JJ54" s="110" t="str">
        <f>IF('Supp. Result Entry'!AE52="","",'Supp. Result Entry'!AE52)</f>
        <v/>
      </c>
      <c r="JK54" s="110" t="str">
        <f>IF('Supp. Result Entry'!AH52="","",'Supp. Result Entry'!AH52)</f>
        <v/>
      </c>
      <c r="JL54" s="110" t="str">
        <f>IF('Supp. Result Entry'!AK52="","",'Supp. Result Entry'!AK52)</f>
        <v/>
      </c>
      <c r="JM54" s="110" t="str">
        <f>IF('Supp. Result Entry'!AN52="","",'Supp. Result Entry'!AN52)</f>
        <v/>
      </c>
      <c r="JN54" s="110">
        <f>COUNTIF('Supp. Result Entry'!K52:Q52,"S")</f>
        <v>0</v>
      </c>
      <c r="JO54" s="110">
        <f t="shared" si="155"/>
        <v>0</v>
      </c>
      <c r="JP54" s="110">
        <f t="shared" si="156"/>
        <v>0</v>
      </c>
      <c r="JQ54" s="110" t="str">
        <f t="shared" si="75"/>
        <v/>
      </c>
      <c r="JR54" s="110" t="str">
        <f t="shared" si="76"/>
        <v/>
      </c>
      <c r="JS54" s="110" t="str">
        <f t="shared" si="77"/>
        <v/>
      </c>
      <c r="JT54" s="110" t="str">
        <f t="shared" si="78"/>
        <v/>
      </c>
      <c r="JU54" s="110" t="str">
        <f t="shared" si="79"/>
        <v/>
      </c>
      <c r="JV54" s="110" t="str">
        <f t="shared" si="80"/>
        <v/>
      </c>
      <c r="JW54" s="110" t="str">
        <f t="shared" si="81"/>
        <v/>
      </c>
      <c r="JX54" s="110" t="str">
        <f t="shared" si="157"/>
        <v/>
      </c>
      <c r="JY54" s="110" t="str">
        <f t="shared" si="158"/>
        <v/>
      </c>
      <c r="JZ54" s="110" t="str">
        <f t="shared" si="82"/>
        <v/>
      </c>
      <c r="KA54" s="108" t="str">
        <f t="shared" si="159"/>
        <v/>
      </c>
    </row>
    <row r="55" spans="1:287" s="108" customFormat="1" ht="21.95" customHeight="1">
      <c r="A55" s="89">
        <v>49</v>
      </c>
      <c r="B55" s="90" t="str">
        <f>IF('Marks Entry'!B55="","",'Marks Entry'!B55)</f>
        <v/>
      </c>
      <c r="C55" s="94" t="str">
        <f>IF('Marks Entry'!D55="","",'Marks Entry'!D55)</f>
        <v/>
      </c>
      <c r="D55" s="91" t="str">
        <f>IF('Marks Entry'!E55="","",'Marks Entry'!E55)</f>
        <v/>
      </c>
      <c r="E55" s="92" t="str">
        <f>IF('Marks Entry'!F55="","",'Marks Entry'!F55)</f>
        <v/>
      </c>
      <c r="F55" s="93" t="str">
        <f>IF('Marks Entry'!G55="","",'Marks Entry'!G55)</f>
        <v/>
      </c>
      <c r="G55" s="93" t="str">
        <f>IF('Marks Entry'!H55="","",'Marks Entry'!H55)</f>
        <v/>
      </c>
      <c r="H55" s="93" t="str">
        <f>IF('Marks Entry'!I55="","",'Marks Entry'!I55)</f>
        <v/>
      </c>
      <c r="I55" s="94" t="str">
        <f>IF('Marks Entry'!J55="","",'Marks Entry'!J55)</f>
        <v/>
      </c>
      <c r="J55" s="95" t="str">
        <f>IF('Marks Entry'!K55="","",'Marks Entry'!K55)</f>
        <v/>
      </c>
      <c r="K55" s="68" t="str">
        <f>IF('Marks Entry'!L55="","",'Marks Entry'!L55)</f>
        <v/>
      </c>
      <c r="L55" s="68" t="str">
        <f>IF('Marks Entry'!M55="","",'Marks Entry'!M55)</f>
        <v/>
      </c>
      <c r="M55" s="68" t="str">
        <f>IF('Marks Entry'!N55="","",'Marks Entry'!N55)</f>
        <v/>
      </c>
      <c r="N55" s="514" t="str">
        <f t="shared" si="83"/>
        <v/>
      </c>
      <c r="O55" s="68" t="str">
        <f>IF('Marks Entry'!O55="","",'Marks Entry'!O55)</f>
        <v/>
      </c>
      <c r="P55" s="515" t="str">
        <f t="shared" si="84"/>
        <v/>
      </c>
      <c r="Q55" s="68" t="str">
        <f>IF('Marks Entry'!P55="","",'Marks Entry'!P55)</f>
        <v/>
      </c>
      <c r="R55" s="96" t="str">
        <f t="shared" si="85"/>
        <v/>
      </c>
      <c r="S55" s="65">
        <f t="shared" si="86"/>
        <v>0</v>
      </c>
      <c r="T55" s="65">
        <f t="shared" si="87"/>
        <v>0</v>
      </c>
      <c r="U55" s="66" t="str">
        <f t="shared" si="88"/>
        <v/>
      </c>
      <c r="V55" s="65" t="str">
        <f t="shared" si="89"/>
        <v/>
      </c>
      <c r="W55" s="65" t="str">
        <f t="shared" si="90"/>
        <v/>
      </c>
      <c r="X55" s="65" t="str">
        <f t="shared" si="91"/>
        <v/>
      </c>
      <c r="Y55" s="68" t="str">
        <f>IF('Marks Entry'!Q55="","",'Marks Entry'!Q55)</f>
        <v/>
      </c>
      <c r="Z55" s="68" t="str">
        <f>IF('Marks Entry'!R55="","",'Marks Entry'!R55)</f>
        <v/>
      </c>
      <c r="AA55" s="68" t="str">
        <f>IF('Marks Entry'!S55="","",'Marks Entry'!S55)</f>
        <v/>
      </c>
      <c r="AB55" s="514" t="str">
        <f t="shared" si="2"/>
        <v/>
      </c>
      <c r="AC55" s="68" t="str">
        <f>IF('Marks Entry'!T55="","",'Marks Entry'!T55)</f>
        <v/>
      </c>
      <c r="AD55" s="515" t="str">
        <f t="shared" si="3"/>
        <v/>
      </c>
      <c r="AE55" s="68" t="str">
        <f>IF('Marks Entry'!U55="","",'Marks Entry'!U55)</f>
        <v/>
      </c>
      <c r="AF55" s="96" t="str">
        <f t="shared" si="4"/>
        <v/>
      </c>
      <c r="AG55" s="65">
        <f t="shared" si="5"/>
        <v>0</v>
      </c>
      <c r="AH55" s="65">
        <f t="shared" si="6"/>
        <v>0</v>
      </c>
      <c r="AI55" s="66" t="str">
        <f t="shared" si="7"/>
        <v/>
      </c>
      <c r="AJ55" s="65" t="str">
        <f t="shared" si="8"/>
        <v/>
      </c>
      <c r="AK55" s="65" t="str">
        <f t="shared" si="9"/>
        <v/>
      </c>
      <c r="AL55" s="65" t="str">
        <f t="shared" si="10"/>
        <v/>
      </c>
      <c r="AM55" s="524" t="str">
        <f>IF('Marks Entry'!V55="","",IF('Marks Entry'!V55=1,'School Profile'!$I$9,IF('Marks Entry'!V55=2,'School Profile'!$I$10,IF('Marks Entry'!V55=3,'School Profile'!$I$11,IF('Marks Entry'!V55=4,'School Profile'!$I$12,IF('Marks Entry'!V55=5,'School Profile'!$I$13,IF('Marks Entry'!V55=6,'School Profile'!$I$14,"")))))))</f>
        <v/>
      </c>
      <c r="AN55" s="68" t="str">
        <f>IF('Marks Entry'!W55="","",'Marks Entry'!W55)</f>
        <v/>
      </c>
      <c r="AO55" s="68" t="str">
        <f>IF('Marks Entry'!X55="","",'Marks Entry'!X55)</f>
        <v/>
      </c>
      <c r="AP55" s="68" t="str">
        <f>IF('Marks Entry'!Y55="","",'Marks Entry'!Y55)</f>
        <v/>
      </c>
      <c r="AQ55" s="514" t="str">
        <f t="shared" si="11"/>
        <v/>
      </c>
      <c r="AR55" s="68" t="str">
        <f>IF('Marks Entry'!Z55="","",'Marks Entry'!Z55)</f>
        <v/>
      </c>
      <c r="AS55" s="515" t="str">
        <f t="shared" si="12"/>
        <v/>
      </c>
      <c r="AT55" s="68" t="str">
        <f>IF('Marks Entry'!AA55="","",'Marks Entry'!AA55)</f>
        <v/>
      </c>
      <c r="AU55" s="96" t="str">
        <f t="shared" si="13"/>
        <v/>
      </c>
      <c r="AV55" s="65">
        <f t="shared" si="14"/>
        <v>0</v>
      </c>
      <c r="AW55" s="65">
        <f t="shared" si="15"/>
        <v>0</v>
      </c>
      <c r="AX55" s="66" t="str">
        <f t="shared" si="16"/>
        <v/>
      </c>
      <c r="AY55" s="65" t="str">
        <f t="shared" si="17"/>
        <v/>
      </c>
      <c r="AZ55" s="65" t="str">
        <f t="shared" si="18"/>
        <v/>
      </c>
      <c r="BA55" s="65" t="str">
        <f t="shared" si="19"/>
        <v/>
      </c>
      <c r="BB55" s="68" t="str">
        <f>IF('Marks Entry'!AB55="","",'Marks Entry'!AB55)</f>
        <v/>
      </c>
      <c r="BC55" s="68" t="str">
        <f>IF('Marks Entry'!AC55="","",'Marks Entry'!AC55)</f>
        <v/>
      </c>
      <c r="BD55" s="68" t="str">
        <f>IF('Marks Entry'!AD55="","",'Marks Entry'!AD55)</f>
        <v/>
      </c>
      <c r="BE55" s="514" t="str">
        <f t="shared" si="20"/>
        <v/>
      </c>
      <c r="BF55" s="68" t="str">
        <f>IF('Marks Entry'!AE55="","",'Marks Entry'!AE55)</f>
        <v/>
      </c>
      <c r="BG55" s="515" t="str">
        <f t="shared" si="21"/>
        <v/>
      </c>
      <c r="BH55" s="68" t="str">
        <f>IF('Marks Entry'!AF55="","",'Marks Entry'!AF55)</f>
        <v/>
      </c>
      <c r="BI55" s="96" t="str">
        <f t="shared" si="22"/>
        <v/>
      </c>
      <c r="BJ55" s="65">
        <f t="shared" si="23"/>
        <v>0</v>
      </c>
      <c r="BK55" s="65">
        <f t="shared" si="92"/>
        <v>0</v>
      </c>
      <c r="BL55" s="66" t="str">
        <f t="shared" si="24"/>
        <v/>
      </c>
      <c r="BM55" s="65" t="str">
        <f t="shared" si="25"/>
        <v/>
      </c>
      <c r="BN55" s="65" t="str">
        <f t="shared" si="26"/>
        <v/>
      </c>
      <c r="BO55" s="65" t="str">
        <f t="shared" si="27"/>
        <v/>
      </c>
      <c r="BP55" s="68" t="str">
        <f>IF('Marks Entry'!AG55="","",'Marks Entry'!AG55)</f>
        <v/>
      </c>
      <c r="BQ55" s="68" t="str">
        <f>IF('Marks Entry'!AH55="","",'Marks Entry'!AH55)</f>
        <v/>
      </c>
      <c r="BR55" s="68" t="str">
        <f>IF('Marks Entry'!AI55="","",'Marks Entry'!AI55)</f>
        <v/>
      </c>
      <c r="BS55" s="514" t="str">
        <f t="shared" si="28"/>
        <v/>
      </c>
      <c r="BT55" s="68" t="str">
        <f>IF('Marks Entry'!AJ55="","",'Marks Entry'!AJ55)</f>
        <v/>
      </c>
      <c r="BU55" s="515" t="str">
        <f t="shared" si="29"/>
        <v/>
      </c>
      <c r="BV55" s="68" t="str">
        <f>IF('Marks Entry'!AK55="","",'Marks Entry'!AK55)</f>
        <v/>
      </c>
      <c r="BW55" s="96" t="str">
        <f t="shared" si="30"/>
        <v/>
      </c>
      <c r="BX55" s="65">
        <f t="shared" si="31"/>
        <v>0</v>
      </c>
      <c r="BY55" s="65">
        <f t="shared" si="32"/>
        <v>0</v>
      </c>
      <c r="BZ55" s="66" t="str">
        <f t="shared" si="33"/>
        <v/>
      </c>
      <c r="CA55" s="65" t="str">
        <f t="shared" si="34"/>
        <v/>
      </c>
      <c r="CB55" s="65" t="str">
        <f t="shared" si="35"/>
        <v/>
      </c>
      <c r="CC55" s="65" t="str">
        <f t="shared" si="36"/>
        <v/>
      </c>
      <c r="CD55" s="66">
        <f t="shared" si="161"/>
        <v>0</v>
      </c>
      <c r="CE55" s="68" t="str">
        <f>IF('Marks Entry'!AL55="","",'Marks Entry'!AL55)</f>
        <v/>
      </c>
      <c r="CF55" s="68" t="str">
        <f>IF('Marks Entry'!AM55="","",'Marks Entry'!AM55)</f>
        <v/>
      </c>
      <c r="CG55" s="68" t="str">
        <f>IF('Marks Entry'!AN55="","",'Marks Entry'!AN55)</f>
        <v/>
      </c>
      <c r="CH55" s="514" t="str">
        <f t="shared" si="37"/>
        <v/>
      </c>
      <c r="CI55" s="68" t="str">
        <f>IF('Marks Entry'!AO55="","",'Marks Entry'!AO55)</f>
        <v/>
      </c>
      <c r="CJ55" s="515" t="str">
        <f t="shared" si="38"/>
        <v/>
      </c>
      <c r="CK55" s="68" t="str">
        <f>IF('Marks Entry'!AP55="","",'Marks Entry'!AP55)</f>
        <v/>
      </c>
      <c r="CL55" s="96" t="str">
        <f t="shared" si="39"/>
        <v/>
      </c>
      <c r="CM55" s="65">
        <f t="shared" si="40"/>
        <v>0</v>
      </c>
      <c r="CN55" s="65">
        <f t="shared" si="41"/>
        <v>0</v>
      </c>
      <c r="CO55" s="66" t="str">
        <f t="shared" si="42"/>
        <v/>
      </c>
      <c r="CP55" s="65" t="str">
        <f t="shared" si="43"/>
        <v/>
      </c>
      <c r="CQ55" s="65" t="str">
        <f t="shared" si="44"/>
        <v/>
      </c>
      <c r="CR55" s="65" t="str">
        <f t="shared" si="45"/>
        <v/>
      </c>
      <c r="CS55" s="616" t="str">
        <f>IF('School Profile'!$D$20="NO","",IF('Marks Entry'!AQ55="","",IF('Marks Entry'!AQ55=1,'School Profile'!$I$29,IF('Marks Entry'!AQ55=2,'School Profile'!$I$30,IF('Marks Entry'!AQ55=3,'School Profile'!$I$31,IF('Marks Entry'!AQ55=4,'School Profile'!$I$32,IF('Marks Entry'!AQ55=5,'School Profile'!$I$33,IF('Marks Entry'!AQ55=6,'School Profile'!$I$34,IF('Marks Entry'!AQ55=7,'School Profile'!$I$35,IF('Marks Entry'!AQ55=8,'School Profile'!$I$36,IF('Marks Entry'!AQ55=9,'School Profile'!$I$37,IF('Marks Entry'!AQ55=10,'School Profile'!$I$38,IF('Marks Entry'!AQ55=11,'School Profile'!$I$39,"")))))))))))))</f>
        <v/>
      </c>
      <c r="CT55" s="68" t="str">
        <f>IF('School Profile'!$D$20="NO","",IF('Marks Entry'!AR55="","",'Marks Entry'!AR55))</f>
        <v/>
      </c>
      <c r="CU55" s="68" t="str">
        <f>IF('School Profile'!$D$20="NO","",IF('Marks Entry'!AS55="","",'Marks Entry'!AS55))</f>
        <v/>
      </c>
      <c r="CV55" s="68" t="str">
        <f>IF('School Profile'!$D$20="NO","",IF('Marks Entry'!AT55="","",'Marks Entry'!AT55))</f>
        <v/>
      </c>
      <c r="CW55" s="514" t="str">
        <f>IF('School Profile'!$D$20="NO","",IF(AND(CT55="",CU55="",CV55=""),"",SUM(CT55:CV55)))</f>
        <v/>
      </c>
      <c r="CX55" s="68" t="str">
        <f>IF('School Profile'!$D$20="NO","",IF('Marks Entry'!AU55="","",'Marks Entry'!AU55))</f>
        <v/>
      </c>
      <c r="CY55" s="68" t="str">
        <f>IF('School Profile'!$D$20="NO","",IF('Marks Entry'!AV55="","",'Marks Entry'!AV55))</f>
        <v/>
      </c>
      <c r="CZ55" s="515" t="str">
        <f>IF('School Profile'!$D$20="NO","",IF(AND(CX55="",CY55=""),"",SUM(CX55,CY55)))</f>
        <v/>
      </c>
      <c r="DA55" s="69" t="str">
        <f>IF('School Profile'!$D$20="NO","",IF(AND(CW55="",CZ55=""),"",SUM(CW55+CZ55)))</f>
        <v/>
      </c>
      <c r="DB55" s="68" t="str">
        <f>IF('School Profile'!$D$20="NO","",IF('Marks Entry'!AW55="","",'Marks Entry'!AW55))</f>
        <v/>
      </c>
      <c r="DC55" s="68" t="str">
        <f>IF('School Profile'!$D$20="NO","",IF('Marks Entry'!AX55="","",'Marks Entry'!AX55))</f>
        <v/>
      </c>
      <c r="DD55" s="515" t="str">
        <f>IF('School Profile'!$D$20="NO","",IF(AND(DB55="",DC55=""),"",SUM(DB55,DC55)))</f>
        <v/>
      </c>
      <c r="DE55" s="96" t="str">
        <f>IF('School Profile'!$D$20="NO","",IF(AND(DA55="",DD55=""),"",SUM(DA55,DD55)))</f>
        <v/>
      </c>
      <c r="DF55" s="532">
        <f t="shared" si="46"/>
        <v>0</v>
      </c>
      <c r="DG55" s="65">
        <f t="shared" si="47"/>
        <v>0</v>
      </c>
      <c r="DH55" s="66" t="str">
        <f t="shared" si="48"/>
        <v/>
      </c>
      <c r="DI55" s="65" t="str">
        <f t="shared" si="49"/>
        <v/>
      </c>
      <c r="DJ55" s="65" t="str">
        <f t="shared" si="50"/>
        <v/>
      </c>
      <c r="DK55" s="65" t="str">
        <f t="shared" si="51"/>
        <v/>
      </c>
      <c r="DL55" s="97" t="str">
        <f t="shared" si="94"/>
        <v/>
      </c>
      <c r="DM55" s="97" t="str">
        <f t="shared" si="95"/>
        <v/>
      </c>
      <c r="DN55" s="97" t="str">
        <f t="shared" si="96"/>
        <v/>
      </c>
      <c r="DO55" s="97" t="str">
        <f t="shared" si="97"/>
        <v/>
      </c>
      <c r="DP55" s="97" t="str">
        <f t="shared" si="98"/>
        <v/>
      </c>
      <c r="DQ55" s="97" t="str">
        <f t="shared" si="99"/>
        <v/>
      </c>
      <c r="DR55" s="97" t="str">
        <f t="shared" si="100"/>
        <v/>
      </c>
      <c r="DS55" s="98">
        <f t="shared" si="101"/>
        <v>0</v>
      </c>
      <c r="DT55" s="98">
        <f t="shared" si="102"/>
        <v>0</v>
      </c>
      <c r="DU55" s="98">
        <f t="shared" si="103"/>
        <v>0</v>
      </c>
      <c r="DV55" s="98">
        <f t="shared" si="104"/>
        <v>0</v>
      </c>
      <c r="DW55" s="98">
        <f t="shared" si="105"/>
        <v>0</v>
      </c>
      <c r="DX55" s="98" t="str">
        <f t="shared" si="106"/>
        <v/>
      </c>
      <c r="DY55" s="99" t="str">
        <f t="shared" si="107"/>
        <v/>
      </c>
      <c r="DZ55" s="74" t="str">
        <f>IF('Marks Entry'!AY55="","",'Marks Entry'!AY55)</f>
        <v/>
      </c>
      <c r="EA55" s="74" t="str">
        <f>IF('Marks Entry'!AZ55="","",'Marks Entry'!AZ55)</f>
        <v/>
      </c>
      <c r="EB55" s="74" t="str">
        <f>IF('Marks Entry'!BA55="","",'Marks Entry'!BA55)</f>
        <v/>
      </c>
      <c r="EC55" s="527" t="str">
        <f t="shared" si="52"/>
        <v/>
      </c>
      <c r="ED55" s="74" t="str">
        <f>IF('Marks Entry'!BB55="","",'Marks Entry'!BB55)</f>
        <v/>
      </c>
      <c r="EE55" s="528" t="str">
        <f t="shared" si="53"/>
        <v/>
      </c>
      <c r="EF55" s="74" t="str">
        <f>IF('Marks Entry'!BC55="","",'Marks Entry'!BC55)</f>
        <v/>
      </c>
      <c r="EG55" s="530" t="str">
        <f t="shared" si="54"/>
        <v/>
      </c>
      <c r="EH55" s="368" t="str">
        <f t="shared" si="108"/>
        <v/>
      </c>
      <c r="EI55" s="65">
        <f t="shared" si="109"/>
        <v>0</v>
      </c>
      <c r="EJ55" s="65">
        <f t="shared" si="110"/>
        <v>0</v>
      </c>
      <c r="EK55" s="66" t="str">
        <f t="shared" si="111"/>
        <v/>
      </c>
      <c r="EL55" s="74" t="str">
        <f>IF('Marks Entry'!BD55="","",'Marks Entry'!BD55)</f>
        <v/>
      </c>
      <c r="EM55" s="74" t="str">
        <f>IF('Marks Entry'!BE55="","",'Marks Entry'!BE55)</f>
        <v/>
      </c>
      <c r="EN55" s="74" t="str">
        <f>IF('Marks Entry'!BF55="","",'Marks Entry'!BF55)</f>
        <v/>
      </c>
      <c r="EO55" s="527" t="str">
        <f t="shared" si="55"/>
        <v/>
      </c>
      <c r="EP55" s="74" t="str">
        <f>IF('Marks Entry'!BG55="","",'Marks Entry'!BG55)</f>
        <v/>
      </c>
      <c r="EQ55" s="74" t="str">
        <f>IF('Marks Entry'!BH55="","",'Marks Entry'!BH55)</f>
        <v/>
      </c>
      <c r="ER55" s="528" t="str">
        <f t="shared" si="56"/>
        <v/>
      </c>
      <c r="ES55" s="529" t="str">
        <f t="shared" si="57"/>
        <v/>
      </c>
      <c r="ET55" s="74" t="str">
        <f>IF('Marks Entry'!BI55="","",'Marks Entry'!BI55)</f>
        <v/>
      </c>
      <c r="EU55" s="74" t="str">
        <f>IF('Marks Entry'!BJ55="","",'Marks Entry'!BJ55)</f>
        <v/>
      </c>
      <c r="EV55" s="528" t="str">
        <f t="shared" si="58"/>
        <v/>
      </c>
      <c r="EW55" s="530" t="str">
        <f t="shared" si="59"/>
        <v/>
      </c>
      <c r="EX55" s="368" t="str">
        <f t="shared" si="112"/>
        <v/>
      </c>
      <c r="EY55" s="65">
        <f t="shared" si="113"/>
        <v>0</v>
      </c>
      <c r="EZ55" s="65">
        <f t="shared" si="114"/>
        <v>0</v>
      </c>
      <c r="FA55" s="66" t="str">
        <f t="shared" si="115"/>
        <v/>
      </c>
      <c r="FB55" s="74" t="str">
        <f>IF('Marks Entry'!BK55="","",'Marks Entry'!BK55)</f>
        <v/>
      </c>
      <c r="FC55" s="74" t="str">
        <f>IF('Marks Entry'!BL55="","",'Marks Entry'!BL55)</f>
        <v/>
      </c>
      <c r="FD55" s="74" t="str">
        <f>IF('Marks Entry'!BM55="","",'Marks Entry'!BM55)</f>
        <v/>
      </c>
      <c r="FE55" s="74" t="str">
        <f>IF('Marks Entry'!BN55="","",'Marks Entry'!BN55)</f>
        <v/>
      </c>
      <c r="FF55" s="74" t="str">
        <f>IF('Marks Entry'!BO55="","",'Marks Entry'!BO55)</f>
        <v/>
      </c>
      <c r="FG55" s="74" t="str">
        <f>IF('Marks Entry'!BP55="","",'Marks Entry'!BP55)</f>
        <v/>
      </c>
      <c r="FH55" s="527" t="str">
        <f t="shared" si="60"/>
        <v/>
      </c>
      <c r="FI55" s="74" t="str">
        <f>IF('Marks Entry'!BQ55="","",'Marks Entry'!BQ55)</f>
        <v/>
      </c>
      <c r="FJ55" s="74" t="str">
        <f>IF('Marks Entry'!BR55="","",'Marks Entry'!BR55)</f>
        <v/>
      </c>
      <c r="FK55" s="528" t="str">
        <f t="shared" si="61"/>
        <v/>
      </c>
      <c r="FL55" s="529" t="str">
        <f t="shared" si="62"/>
        <v/>
      </c>
      <c r="FM55" s="74" t="str">
        <f>IF('Marks Entry'!BS55="","",'Marks Entry'!BS55)</f>
        <v/>
      </c>
      <c r="FN55" s="74" t="str">
        <f>IF('Marks Entry'!BT55="","",'Marks Entry'!BT55)</f>
        <v/>
      </c>
      <c r="FO55" s="528" t="str">
        <f t="shared" si="63"/>
        <v/>
      </c>
      <c r="FP55" s="530" t="str">
        <f t="shared" si="64"/>
        <v/>
      </c>
      <c r="FQ55" s="368" t="str">
        <f t="shared" si="116"/>
        <v/>
      </c>
      <c r="FR55" s="65">
        <f t="shared" si="117"/>
        <v>0</v>
      </c>
      <c r="FS55" s="65">
        <f t="shared" si="118"/>
        <v>0</v>
      </c>
      <c r="FT55" s="66" t="str">
        <f t="shared" si="119"/>
        <v/>
      </c>
      <c r="FU55" s="74" t="str">
        <f>IF('Marks Entry'!BU55="","",'Marks Entry'!BU55)</f>
        <v/>
      </c>
      <c r="FV55" s="74" t="str">
        <f>IF('Marks Entry'!BV55="","",'Marks Entry'!BV55)</f>
        <v/>
      </c>
      <c r="FW55" s="74" t="str">
        <f>IF('Marks Entry'!BW55="","",'Marks Entry'!BW55)</f>
        <v/>
      </c>
      <c r="FX55" s="75" t="str">
        <f t="shared" si="65"/>
        <v/>
      </c>
      <c r="FY55" s="368" t="str">
        <f t="shared" si="120"/>
        <v/>
      </c>
      <c r="FZ55" s="65">
        <f t="shared" si="121"/>
        <v>0</v>
      </c>
      <c r="GA55" s="66">
        <f t="shared" si="122"/>
        <v>0</v>
      </c>
      <c r="GB55" s="66" t="str">
        <f t="shared" si="123"/>
        <v/>
      </c>
      <c r="GC55" s="74" t="str">
        <f>IF('Marks Entry'!BX55="","",'Marks Entry'!BX55)</f>
        <v/>
      </c>
      <c r="GD55" s="74" t="str">
        <f>IF('Marks Entry'!BY55="","",'Marks Entry'!BY55)</f>
        <v/>
      </c>
      <c r="GE55" s="74" t="str">
        <f>IF('Marks Entry'!BZ55="","",'Marks Entry'!BZ55)</f>
        <v/>
      </c>
      <c r="GF55" s="75" t="str">
        <f t="shared" si="124"/>
        <v/>
      </c>
      <c r="GG55" s="368" t="str">
        <f t="shared" si="125"/>
        <v/>
      </c>
      <c r="GH55" s="65">
        <f t="shared" si="126"/>
        <v>0</v>
      </c>
      <c r="GI55" s="66">
        <f t="shared" si="127"/>
        <v>0</v>
      </c>
      <c r="GJ55" s="66" t="str">
        <f t="shared" si="128"/>
        <v/>
      </c>
      <c r="GK55" s="100" t="str">
        <f>IF(AND(F55="",B55=""),"",IF('Student DATA Entry'!M52="","",'Student DATA Entry'!M52))</f>
        <v/>
      </c>
      <c r="GL55" s="101" t="str">
        <f>IF(AND(B55="",F55=""),"",IF('Student DATA Entry'!N52="","",'Student DATA Entry'!N52))</f>
        <v/>
      </c>
      <c r="GM55" s="581" t="str">
        <f t="shared" si="129"/>
        <v/>
      </c>
      <c r="GN55" s="94" t="str">
        <f t="shared" si="130"/>
        <v/>
      </c>
      <c r="GO55" s="94" t="str">
        <f t="shared" si="131"/>
        <v/>
      </c>
      <c r="GP55" s="102" t="str">
        <f t="shared" si="162"/>
        <v/>
      </c>
      <c r="GQ55" s="94" t="str">
        <f t="shared" si="132"/>
        <v/>
      </c>
      <c r="GR55" s="103" t="str">
        <f t="shared" si="133"/>
        <v/>
      </c>
      <c r="GS55" s="102" t="str">
        <f t="shared" si="163"/>
        <v/>
      </c>
      <c r="GT55" s="104" t="str">
        <f t="shared" si="134"/>
        <v/>
      </c>
      <c r="GU55" s="94" t="str">
        <f>IF('Marks Entry'!V55=1,GT55,"")</f>
        <v/>
      </c>
      <c r="GV55" s="94" t="str">
        <f>IF('Marks Entry'!V55=2,GT55,"")</f>
        <v/>
      </c>
      <c r="GW55" s="94" t="str">
        <f>IF('Marks Entry'!V55=3,GT55,"")</f>
        <v/>
      </c>
      <c r="GX55" s="94" t="str">
        <f>IF('Marks Entry'!V55=4,GT55,"")</f>
        <v/>
      </c>
      <c r="GY55" s="94" t="str">
        <f>IF('Marks Entry'!V55=5,GT55,"")</f>
        <v/>
      </c>
      <c r="GZ55" s="94" t="str">
        <f t="shared" si="135"/>
        <v/>
      </c>
      <c r="HA55" s="105" t="str">
        <f t="shared" si="164"/>
        <v/>
      </c>
      <c r="HB55" s="94" t="str">
        <f t="shared" si="136"/>
        <v/>
      </c>
      <c r="HC55" s="94" t="str">
        <f t="shared" si="137"/>
        <v/>
      </c>
      <c r="HD55" s="105" t="str">
        <f t="shared" si="165"/>
        <v/>
      </c>
      <c r="HE55" s="94" t="str">
        <f t="shared" si="138"/>
        <v/>
      </c>
      <c r="HF55" s="94" t="str">
        <f t="shared" si="139"/>
        <v/>
      </c>
      <c r="HG55" s="105" t="str">
        <f t="shared" si="166"/>
        <v/>
      </c>
      <c r="HH55" s="94" t="str">
        <f t="shared" si="140"/>
        <v/>
      </c>
      <c r="HI55" s="94" t="str">
        <f t="shared" si="141"/>
        <v/>
      </c>
      <c r="HJ55" s="105" t="str">
        <f t="shared" si="167"/>
        <v/>
      </c>
      <c r="HK55" s="94" t="str">
        <f t="shared" si="142"/>
        <v/>
      </c>
      <c r="HL55" s="94" t="str">
        <f t="shared" si="143"/>
        <v/>
      </c>
      <c r="HM55" s="105" t="str">
        <f t="shared" si="168"/>
        <v/>
      </c>
      <c r="HN55" s="367" t="str">
        <f t="shared" si="144"/>
        <v xml:space="preserve">      </v>
      </c>
      <c r="HO55" s="418" t="str">
        <f t="shared" si="169"/>
        <v xml:space="preserve">      </v>
      </c>
      <c r="HP55" s="367" t="str">
        <f t="shared" si="146"/>
        <v xml:space="preserve">      </v>
      </c>
      <c r="HQ55" s="107" t="str">
        <f t="shared" si="147"/>
        <v xml:space="preserve">      </v>
      </c>
      <c r="HR55" s="366" t="str">
        <f t="shared" si="148"/>
        <v xml:space="preserve">      </v>
      </c>
      <c r="HS55" s="544" t="str">
        <f t="shared" si="170"/>
        <v/>
      </c>
      <c r="HT55" s="542" t="str">
        <f t="shared" si="149"/>
        <v/>
      </c>
      <c r="HU55" s="541" t="str">
        <f t="shared" si="160"/>
        <v/>
      </c>
      <c r="HV55" s="540" t="str">
        <f t="shared" si="150"/>
        <v/>
      </c>
      <c r="HW55" s="537" t="str">
        <f t="shared" si="151"/>
        <v/>
      </c>
      <c r="HX55" s="539" t="str">
        <f t="shared" si="152"/>
        <v/>
      </c>
      <c r="HY55" s="553" t="str">
        <f>IFERROR(IF(OR(HS55="SUPPLEMENTARY",HS55="RE-EXAM"),'Supp. Result Entry'!AQ53,""),"")</f>
        <v/>
      </c>
      <c r="HZ55" s="538" t="str">
        <f t="shared" si="153"/>
        <v/>
      </c>
      <c r="IA55" s="415" t="str">
        <f t="shared" si="154"/>
        <v/>
      </c>
      <c r="IB55" s="415" t="str">
        <f>IF(AND(HZ55="",IA55=""),"",IF(OR(HS55="SUPPLEMENTARY",HS55="RE-EXAM"),'Supp. Result Entry'!AQ53,HS55))</f>
        <v/>
      </c>
      <c r="IC55" s="87"/>
      <c r="ID55" s="111"/>
      <c r="IS55" s="109" t="str">
        <f>IF('Supp. Result Entry'!T53="","",'Supp. Result Entry'!$T$4)</f>
        <v/>
      </c>
      <c r="IT55" s="110" t="str">
        <f>IF('Supp. Result Entry'!W53="","",'Supp. Result Entry'!$W$4)</f>
        <v/>
      </c>
      <c r="IU55" s="110" t="str">
        <f>IF('Supp. Result Entry'!Z53="","",'Supp. Result Entry'!$Z$4)</f>
        <v/>
      </c>
      <c r="IV55" s="110" t="str">
        <f>IF('Supp. Result Entry'!AC53="","",'Supp. Result Entry'!$AC$4)</f>
        <v/>
      </c>
      <c r="IW55" s="110" t="str">
        <f>IF('Supp. Result Entry'!AF53="","",'Supp. Result Entry'!$AF$4)</f>
        <v/>
      </c>
      <c r="IX55" s="110" t="str">
        <f>IF('Supp. Result Entry'!AI53="","",'Supp. Result Entry'!$AI$4)</f>
        <v/>
      </c>
      <c r="IY55" s="110" t="str">
        <f>IF('Supp. Result Entry'!AI53="","",'Supp. Result Entry'!$AL$4)</f>
        <v/>
      </c>
      <c r="IZ55" s="110" t="str">
        <f>IF('Supp. Result Entry'!U53="","",'Supp. Result Entry'!U53)</f>
        <v/>
      </c>
      <c r="JA55" s="110" t="str">
        <f>IF('Supp. Result Entry'!X53="","",'Supp. Result Entry'!X53)</f>
        <v/>
      </c>
      <c r="JB55" s="110" t="str">
        <f>IF('Supp. Result Entry'!AA53="","",'Supp. Result Entry'!AA53)</f>
        <v/>
      </c>
      <c r="JC55" s="110" t="str">
        <f>IF('Supp. Result Entry'!AD53="","",'Supp. Result Entry'!AD53)</f>
        <v/>
      </c>
      <c r="JD55" s="110" t="str">
        <f>IF('Supp. Result Entry'!AG53="","",'Supp. Result Entry'!AG53)</f>
        <v/>
      </c>
      <c r="JE55" s="110" t="str">
        <f>IF('Supp. Result Entry'!AJ53="","",'Supp. Result Entry'!AJ53)</f>
        <v/>
      </c>
      <c r="JF55" s="110" t="str">
        <f>IF('Supp. Result Entry'!AM53="","",'Supp. Result Entry'!AM53)</f>
        <v/>
      </c>
      <c r="JG55" s="110" t="str">
        <f>IF('Supp. Result Entry'!V53="","",'Supp. Result Entry'!V53)</f>
        <v/>
      </c>
      <c r="JH55" s="110" t="str">
        <f>IF('Supp. Result Entry'!Y53="","",'Supp. Result Entry'!Y53)</f>
        <v/>
      </c>
      <c r="JI55" s="110" t="str">
        <f>IF('Supp. Result Entry'!AB53="","",'Supp. Result Entry'!AB53)</f>
        <v/>
      </c>
      <c r="JJ55" s="110" t="str">
        <f>IF('Supp. Result Entry'!AE53="","",'Supp. Result Entry'!AE53)</f>
        <v/>
      </c>
      <c r="JK55" s="110" t="str">
        <f>IF('Supp. Result Entry'!AH53="","",'Supp. Result Entry'!AH53)</f>
        <v/>
      </c>
      <c r="JL55" s="110" t="str">
        <f>IF('Supp. Result Entry'!AK53="","",'Supp. Result Entry'!AK53)</f>
        <v/>
      </c>
      <c r="JM55" s="110" t="str">
        <f>IF('Supp. Result Entry'!AN53="","",'Supp. Result Entry'!AN53)</f>
        <v/>
      </c>
      <c r="JN55" s="110">
        <f>COUNTIF('Supp. Result Entry'!K53:Q53,"S")</f>
        <v>0</v>
      </c>
      <c r="JO55" s="110">
        <f t="shared" si="155"/>
        <v>0</v>
      </c>
      <c r="JP55" s="110">
        <f t="shared" si="156"/>
        <v>0</v>
      </c>
      <c r="JQ55" s="110" t="str">
        <f t="shared" si="75"/>
        <v/>
      </c>
      <c r="JR55" s="110" t="str">
        <f t="shared" si="76"/>
        <v/>
      </c>
      <c r="JS55" s="110" t="str">
        <f t="shared" si="77"/>
        <v/>
      </c>
      <c r="JT55" s="110" t="str">
        <f t="shared" si="78"/>
        <v/>
      </c>
      <c r="JU55" s="110" t="str">
        <f t="shared" si="79"/>
        <v/>
      </c>
      <c r="JV55" s="110" t="str">
        <f t="shared" si="80"/>
        <v/>
      </c>
      <c r="JW55" s="110" t="str">
        <f t="shared" si="81"/>
        <v/>
      </c>
      <c r="JX55" s="110" t="str">
        <f t="shared" si="157"/>
        <v/>
      </c>
      <c r="JY55" s="110" t="str">
        <f t="shared" si="158"/>
        <v/>
      </c>
      <c r="JZ55" s="110" t="str">
        <f t="shared" si="82"/>
        <v/>
      </c>
      <c r="KA55" s="108" t="str">
        <f t="shared" si="159"/>
        <v/>
      </c>
    </row>
    <row r="56" spans="1:287" s="108" customFormat="1" ht="21.95" customHeight="1">
      <c r="A56" s="89">
        <v>50</v>
      </c>
      <c r="B56" s="90" t="str">
        <f>IF('Marks Entry'!B56="","",'Marks Entry'!B56)</f>
        <v/>
      </c>
      <c r="C56" s="94" t="str">
        <f>IF('Marks Entry'!D56="","",'Marks Entry'!D56)</f>
        <v/>
      </c>
      <c r="D56" s="91" t="str">
        <f>IF('Marks Entry'!E56="","",'Marks Entry'!E56)</f>
        <v/>
      </c>
      <c r="E56" s="92" t="str">
        <f>IF('Marks Entry'!F56="","",'Marks Entry'!F56)</f>
        <v/>
      </c>
      <c r="F56" s="93" t="str">
        <f>IF('Marks Entry'!G56="","",'Marks Entry'!G56)</f>
        <v/>
      </c>
      <c r="G56" s="93" t="str">
        <f>IF('Marks Entry'!H56="","",'Marks Entry'!H56)</f>
        <v/>
      </c>
      <c r="H56" s="93" t="str">
        <f>IF('Marks Entry'!I56="","",'Marks Entry'!I56)</f>
        <v/>
      </c>
      <c r="I56" s="94" t="str">
        <f>IF('Marks Entry'!J56="","",'Marks Entry'!J56)</f>
        <v/>
      </c>
      <c r="J56" s="95" t="str">
        <f>IF('Marks Entry'!K56="","",'Marks Entry'!K56)</f>
        <v/>
      </c>
      <c r="K56" s="68" t="str">
        <f>IF('Marks Entry'!L56="","",'Marks Entry'!L56)</f>
        <v/>
      </c>
      <c r="L56" s="68" t="str">
        <f>IF('Marks Entry'!M56="","",'Marks Entry'!M56)</f>
        <v/>
      </c>
      <c r="M56" s="68" t="str">
        <f>IF('Marks Entry'!N56="","",'Marks Entry'!N56)</f>
        <v/>
      </c>
      <c r="N56" s="514" t="str">
        <f t="shared" si="83"/>
        <v/>
      </c>
      <c r="O56" s="68" t="str">
        <f>IF('Marks Entry'!O56="","",'Marks Entry'!O56)</f>
        <v/>
      </c>
      <c r="P56" s="515" t="str">
        <f t="shared" si="84"/>
        <v/>
      </c>
      <c r="Q56" s="68" t="str">
        <f>IF('Marks Entry'!P56="","",'Marks Entry'!P56)</f>
        <v/>
      </c>
      <c r="R56" s="96" t="str">
        <f t="shared" si="85"/>
        <v/>
      </c>
      <c r="S56" s="65">
        <f t="shared" si="86"/>
        <v>0</v>
      </c>
      <c r="T56" s="65">
        <f t="shared" si="87"/>
        <v>0</v>
      </c>
      <c r="U56" s="66" t="str">
        <f t="shared" si="88"/>
        <v/>
      </c>
      <c r="V56" s="65" t="str">
        <f t="shared" si="89"/>
        <v/>
      </c>
      <c r="W56" s="65" t="str">
        <f t="shared" si="90"/>
        <v/>
      </c>
      <c r="X56" s="65" t="str">
        <f t="shared" si="91"/>
        <v/>
      </c>
      <c r="Y56" s="68" t="str">
        <f>IF('Marks Entry'!Q56="","",'Marks Entry'!Q56)</f>
        <v/>
      </c>
      <c r="Z56" s="68" t="str">
        <f>IF('Marks Entry'!R56="","",'Marks Entry'!R56)</f>
        <v/>
      </c>
      <c r="AA56" s="68" t="str">
        <f>IF('Marks Entry'!S56="","",'Marks Entry'!S56)</f>
        <v/>
      </c>
      <c r="AB56" s="514" t="str">
        <f t="shared" si="2"/>
        <v/>
      </c>
      <c r="AC56" s="68" t="str">
        <f>IF('Marks Entry'!T56="","",'Marks Entry'!T56)</f>
        <v/>
      </c>
      <c r="AD56" s="515" t="str">
        <f t="shared" si="3"/>
        <v/>
      </c>
      <c r="AE56" s="68" t="str">
        <f>IF('Marks Entry'!U56="","",'Marks Entry'!U56)</f>
        <v/>
      </c>
      <c r="AF56" s="96" t="str">
        <f t="shared" si="4"/>
        <v/>
      </c>
      <c r="AG56" s="65">
        <f t="shared" si="5"/>
        <v>0</v>
      </c>
      <c r="AH56" s="65">
        <f t="shared" si="6"/>
        <v>0</v>
      </c>
      <c r="AI56" s="66" t="str">
        <f t="shared" si="7"/>
        <v/>
      </c>
      <c r="AJ56" s="65" t="str">
        <f t="shared" si="8"/>
        <v/>
      </c>
      <c r="AK56" s="65" t="str">
        <f t="shared" si="9"/>
        <v/>
      </c>
      <c r="AL56" s="65" t="str">
        <f t="shared" si="10"/>
        <v/>
      </c>
      <c r="AM56" s="524" t="str">
        <f>IF('Marks Entry'!V56="","",IF('Marks Entry'!V56=1,'School Profile'!$I$9,IF('Marks Entry'!V56=2,'School Profile'!$I$10,IF('Marks Entry'!V56=3,'School Profile'!$I$11,IF('Marks Entry'!V56=4,'School Profile'!$I$12,IF('Marks Entry'!V56=5,'School Profile'!$I$13,IF('Marks Entry'!V56=6,'School Profile'!$I$14,"")))))))</f>
        <v/>
      </c>
      <c r="AN56" s="68" t="str">
        <f>IF('Marks Entry'!W56="","",'Marks Entry'!W56)</f>
        <v/>
      </c>
      <c r="AO56" s="68" t="str">
        <f>IF('Marks Entry'!X56="","",'Marks Entry'!X56)</f>
        <v/>
      </c>
      <c r="AP56" s="68" t="str">
        <f>IF('Marks Entry'!Y56="","",'Marks Entry'!Y56)</f>
        <v/>
      </c>
      <c r="AQ56" s="514" t="str">
        <f t="shared" si="11"/>
        <v/>
      </c>
      <c r="AR56" s="68" t="str">
        <f>IF('Marks Entry'!Z56="","",'Marks Entry'!Z56)</f>
        <v/>
      </c>
      <c r="AS56" s="515" t="str">
        <f t="shared" si="12"/>
        <v/>
      </c>
      <c r="AT56" s="68" t="str">
        <f>IF('Marks Entry'!AA56="","",'Marks Entry'!AA56)</f>
        <v/>
      </c>
      <c r="AU56" s="96" t="str">
        <f t="shared" si="13"/>
        <v/>
      </c>
      <c r="AV56" s="65">
        <f t="shared" si="14"/>
        <v>0</v>
      </c>
      <c r="AW56" s="65">
        <f t="shared" si="15"/>
        <v>0</v>
      </c>
      <c r="AX56" s="66" t="str">
        <f t="shared" si="16"/>
        <v/>
      </c>
      <c r="AY56" s="65" t="str">
        <f t="shared" si="17"/>
        <v/>
      </c>
      <c r="AZ56" s="65" t="str">
        <f t="shared" si="18"/>
        <v/>
      </c>
      <c r="BA56" s="65" t="str">
        <f t="shared" si="19"/>
        <v/>
      </c>
      <c r="BB56" s="68" t="str">
        <f>IF('Marks Entry'!AB56="","",'Marks Entry'!AB56)</f>
        <v/>
      </c>
      <c r="BC56" s="68" t="str">
        <f>IF('Marks Entry'!AC56="","",'Marks Entry'!AC56)</f>
        <v/>
      </c>
      <c r="BD56" s="68" t="str">
        <f>IF('Marks Entry'!AD56="","",'Marks Entry'!AD56)</f>
        <v/>
      </c>
      <c r="BE56" s="514" t="str">
        <f t="shared" si="20"/>
        <v/>
      </c>
      <c r="BF56" s="68" t="str">
        <f>IF('Marks Entry'!AE56="","",'Marks Entry'!AE56)</f>
        <v/>
      </c>
      <c r="BG56" s="515" t="str">
        <f t="shared" si="21"/>
        <v/>
      </c>
      <c r="BH56" s="68" t="str">
        <f>IF('Marks Entry'!AF56="","",'Marks Entry'!AF56)</f>
        <v/>
      </c>
      <c r="BI56" s="96" t="str">
        <f t="shared" si="22"/>
        <v/>
      </c>
      <c r="BJ56" s="65">
        <f t="shared" si="23"/>
        <v>0</v>
      </c>
      <c r="BK56" s="65">
        <f t="shared" si="92"/>
        <v>0</v>
      </c>
      <c r="BL56" s="66" t="str">
        <f t="shared" si="24"/>
        <v/>
      </c>
      <c r="BM56" s="65" t="str">
        <f t="shared" si="25"/>
        <v/>
      </c>
      <c r="BN56" s="65" t="str">
        <f t="shared" si="26"/>
        <v/>
      </c>
      <c r="BO56" s="65" t="str">
        <f t="shared" si="27"/>
        <v/>
      </c>
      <c r="BP56" s="68" t="str">
        <f>IF('Marks Entry'!AG56="","",'Marks Entry'!AG56)</f>
        <v/>
      </c>
      <c r="BQ56" s="68" t="str">
        <f>IF('Marks Entry'!AH56="","",'Marks Entry'!AH56)</f>
        <v/>
      </c>
      <c r="BR56" s="68" t="str">
        <f>IF('Marks Entry'!AI56="","",'Marks Entry'!AI56)</f>
        <v/>
      </c>
      <c r="BS56" s="514" t="str">
        <f t="shared" si="28"/>
        <v/>
      </c>
      <c r="BT56" s="68" t="str">
        <f>IF('Marks Entry'!AJ56="","",'Marks Entry'!AJ56)</f>
        <v/>
      </c>
      <c r="BU56" s="515" t="str">
        <f t="shared" si="29"/>
        <v/>
      </c>
      <c r="BV56" s="68" t="str">
        <f>IF('Marks Entry'!AK56="","",'Marks Entry'!AK56)</f>
        <v/>
      </c>
      <c r="BW56" s="96" t="str">
        <f t="shared" si="30"/>
        <v/>
      </c>
      <c r="BX56" s="65">
        <f t="shared" si="31"/>
        <v>0</v>
      </c>
      <c r="BY56" s="65">
        <f t="shared" si="32"/>
        <v>0</v>
      </c>
      <c r="BZ56" s="66" t="str">
        <f t="shared" si="33"/>
        <v/>
      </c>
      <c r="CA56" s="65" t="str">
        <f t="shared" si="34"/>
        <v/>
      </c>
      <c r="CB56" s="65" t="str">
        <f t="shared" si="35"/>
        <v/>
      </c>
      <c r="CC56" s="65" t="str">
        <f t="shared" si="36"/>
        <v/>
      </c>
      <c r="CD56" s="66">
        <f t="shared" si="161"/>
        <v>0</v>
      </c>
      <c r="CE56" s="68" t="str">
        <f>IF('Marks Entry'!AL56="","",'Marks Entry'!AL56)</f>
        <v/>
      </c>
      <c r="CF56" s="68" t="str">
        <f>IF('Marks Entry'!AM56="","",'Marks Entry'!AM56)</f>
        <v/>
      </c>
      <c r="CG56" s="68" t="str">
        <f>IF('Marks Entry'!AN56="","",'Marks Entry'!AN56)</f>
        <v/>
      </c>
      <c r="CH56" s="514" t="str">
        <f t="shared" si="37"/>
        <v/>
      </c>
      <c r="CI56" s="68" t="str">
        <f>IF('Marks Entry'!AO56="","",'Marks Entry'!AO56)</f>
        <v/>
      </c>
      <c r="CJ56" s="515" t="str">
        <f t="shared" si="38"/>
        <v/>
      </c>
      <c r="CK56" s="68" t="str">
        <f>IF('Marks Entry'!AP56="","",'Marks Entry'!AP56)</f>
        <v/>
      </c>
      <c r="CL56" s="96" t="str">
        <f t="shared" si="39"/>
        <v/>
      </c>
      <c r="CM56" s="65">
        <f t="shared" si="40"/>
        <v>0</v>
      </c>
      <c r="CN56" s="65">
        <f t="shared" si="41"/>
        <v>0</v>
      </c>
      <c r="CO56" s="66" t="str">
        <f t="shared" si="42"/>
        <v/>
      </c>
      <c r="CP56" s="65" t="str">
        <f t="shared" si="43"/>
        <v/>
      </c>
      <c r="CQ56" s="65" t="str">
        <f t="shared" si="44"/>
        <v/>
      </c>
      <c r="CR56" s="65" t="str">
        <f t="shared" si="45"/>
        <v/>
      </c>
      <c r="CS56" s="616" t="str">
        <f>IF('School Profile'!$D$20="NO","",IF('Marks Entry'!AQ56="","",IF('Marks Entry'!AQ56=1,'School Profile'!$I$29,IF('Marks Entry'!AQ56=2,'School Profile'!$I$30,IF('Marks Entry'!AQ56=3,'School Profile'!$I$31,IF('Marks Entry'!AQ56=4,'School Profile'!$I$32,IF('Marks Entry'!AQ56=5,'School Profile'!$I$33,IF('Marks Entry'!AQ56=6,'School Profile'!$I$34,IF('Marks Entry'!AQ56=7,'School Profile'!$I$35,IF('Marks Entry'!AQ56=8,'School Profile'!$I$36,IF('Marks Entry'!AQ56=9,'School Profile'!$I$37,IF('Marks Entry'!AQ56=10,'School Profile'!$I$38,IF('Marks Entry'!AQ56=11,'School Profile'!$I$39,"")))))))))))))</f>
        <v/>
      </c>
      <c r="CT56" s="68" t="str">
        <f>IF('School Profile'!$D$20="NO","",IF('Marks Entry'!AR56="","",'Marks Entry'!AR56))</f>
        <v/>
      </c>
      <c r="CU56" s="68" t="str">
        <f>IF('School Profile'!$D$20="NO","",IF('Marks Entry'!AS56="","",'Marks Entry'!AS56))</f>
        <v/>
      </c>
      <c r="CV56" s="68" t="str">
        <f>IF('School Profile'!$D$20="NO","",IF('Marks Entry'!AT56="","",'Marks Entry'!AT56))</f>
        <v/>
      </c>
      <c r="CW56" s="514" t="str">
        <f>IF('School Profile'!$D$20="NO","",IF(AND(CT56="",CU56="",CV56=""),"",SUM(CT56:CV56)))</f>
        <v/>
      </c>
      <c r="CX56" s="68" t="str">
        <f>IF('School Profile'!$D$20="NO","",IF('Marks Entry'!AU56="","",'Marks Entry'!AU56))</f>
        <v/>
      </c>
      <c r="CY56" s="68" t="str">
        <f>IF('School Profile'!$D$20="NO","",IF('Marks Entry'!AV56="","",'Marks Entry'!AV56))</f>
        <v/>
      </c>
      <c r="CZ56" s="515" t="str">
        <f>IF('School Profile'!$D$20="NO","",IF(AND(CX56="",CY56=""),"",SUM(CX56,CY56)))</f>
        <v/>
      </c>
      <c r="DA56" s="69" t="str">
        <f>IF('School Profile'!$D$20="NO","",IF(AND(CW56="",CZ56=""),"",SUM(CW56+CZ56)))</f>
        <v/>
      </c>
      <c r="DB56" s="68" t="str">
        <f>IF('School Profile'!$D$20="NO","",IF('Marks Entry'!AW56="","",'Marks Entry'!AW56))</f>
        <v/>
      </c>
      <c r="DC56" s="68" t="str">
        <f>IF('School Profile'!$D$20="NO","",IF('Marks Entry'!AX56="","",'Marks Entry'!AX56))</f>
        <v/>
      </c>
      <c r="DD56" s="515" t="str">
        <f>IF('School Profile'!$D$20="NO","",IF(AND(DB56="",DC56=""),"",SUM(DB56,DC56)))</f>
        <v/>
      </c>
      <c r="DE56" s="96" t="str">
        <f>IF('School Profile'!$D$20="NO","",IF(AND(DA56="",DD56=""),"",SUM(DA56,DD56)))</f>
        <v/>
      </c>
      <c r="DF56" s="532">
        <f t="shared" si="46"/>
        <v>0</v>
      </c>
      <c r="DG56" s="65">
        <f t="shared" si="47"/>
        <v>0</v>
      </c>
      <c r="DH56" s="66" t="str">
        <f t="shared" si="48"/>
        <v/>
      </c>
      <c r="DI56" s="65" t="str">
        <f t="shared" si="49"/>
        <v/>
      </c>
      <c r="DJ56" s="65" t="str">
        <f t="shared" si="50"/>
        <v/>
      </c>
      <c r="DK56" s="65" t="str">
        <f t="shared" si="51"/>
        <v/>
      </c>
      <c r="DL56" s="97" t="str">
        <f t="shared" si="94"/>
        <v/>
      </c>
      <c r="DM56" s="97" t="str">
        <f t="shared" si="95"/>
        <v/>
      </c>
      <c r="DN56" s="97" t="str">
        <f t="shared" si="96"/>
        <v/>
      </c>
      <c r="DO56" s="97" t="str">
        <f t="shared" si="97"/>
        <v/>
      </c>
      <c r="DP56" s="97" t="str">
        <f t="shared" si="98"/>
        <v/>
      </c>
      <c r="DQ56" s="97" t="str">
        <f t="shared" si="99"/>
        <v/>
      </c>
      <c r="DR56" s="97" t="str">
        <f t="shared" si="100"/>
        <v/>
      </c>
      <c r="DS56" s="98">
        <f t="shared" si="101"/>
        <v>0</v>
      </c>
      <c r="DT56" s="98">
        <f t="shared" si="102"/>
        <v>0</v>
      </c>
      <c r="DU56" s="98">
        <f t="shared" si="103"/>
        <v>0</v>
      </c>
      <c r="DV56" s="98">
        <f t="shared" si="104"/>
        <v>0</v>
      </c>
      <c r="DW56" s="98">
        <f t="shared" si="105"/>
        <v>0</v>
      </c>
      <c r="DX56" s="98" t="str">
        <f t="shared" si="106"/>
        <v/>
      </c>
      <c r="DY56" s="99" t="str">
        <f t="shared" si="107"/>
        <v/>
      </c>
      <c r="DZ56" s="74" t="str">
        <f>IF('Marks Entry'!AY56="","",'Marks Entry'!AY56)</f>
        <v/>
      </c>
      <c r="EA56" s="74" t="str">
        <f>IF('Marks Entry'!AZ56="","",'Marks Entry'!AZ56)</f>
        <v/>
      </c>
      <c r="EB56" s="74" t="str">
        <f>IF('Marks Entry'!BA56="","",'Marks Entry'!BA56)</f>
        <v/>
      </c>
      <c r="EC56" s="527" t="str">
        <f t="shared" si="52"/>
        <v/>
      </c>
      <c r="ED56" s="74" t="str">
        <f>IF('Marks Entry'!BB56="","",'Marks Entry'!BB56)</f>
        <v/>
      </c>
      <c r="EE56" s="528" t="str">
        <f t="shared" si="53"/>
        <v/>
      </c>
      <c r="EF56" s="74" t="str">
        <f>IF('Marks Entry'!BC56="","",'Marks Entry'!BC56)</f>
        <v/>
      </c>
      <c r="EG56" s="530" t="str">
        <f t="shared" si="54"/>
        <v/>
      </c>
      <c r="EH56" s="368" t="str">
        <f t="shared" si="108"/>
        <v/>
      </c>
      <c r="EI56" s="65">
        <f t="shared" si="109"/>
        <v>0</v>
      </c>
      <c r="EJ56" s="65">
        <f t="shared" si="110"/>
        <v>0</v>
      </c>
      <c r="EK56" s="66" t="str">
        <f t="shared" si="111"/>
        <v/>
      </c>
      <c r="EL56" s="74" t="str">
        <f>IF('Marks Entry'!BD56="","",'Marks Entry'!BD56)</f>
        <v/>
      </c>
      <c r="EM56" s="74" t="str">
        <f>IF('Marks Entry'!BE56="","",'Marks Entry'!BE56)</f>
        <v/>
      </c>
      <c r="EN56" s="74" t="str">
        <f>IF('Marks Entry'!BF56="","",'Marks Entry'!BF56)</f>
        <v/>
      </c>
      <c r="EO56" s="527" t="str">
        <f t="shared" si="55"/>
        <v/>
      </c>
      <c r="EP56" s="74" t="str">
        <f>IF('Marks Entry'!BG56="","",'Marks Entry'!BG56)</f>
        <v/>
      </c>
      <c r="EQ56" s="74" t="str">
        <f>IF('Marks Entry'!BH56="","",'Marks Entry'!BH56)</f>
        <v/>
      </c>
      <c r="ER56" s="528" t="str">
        <f t="shared" si="56"/>
        <v/>
      </c>
      <c r="ES56" s="529" t="str">
        <f t="shared" si="57"/>
        <v/>
      </c>
      <c r="ET56" s="74" t="str">
        <f>IF('Marks Entry'!BI56="","",'Marks Entry'!BI56)</f>
        <v/>
      </c>
      <c r="EU56" s="74" t="str">
        <f>IF('Marks Entry'!BJ56="","",'Marks Entry'!BJ56)</f>
        <v/>
      </c>
      <c r="EV56" s="528" t="str">
        <f t="shared" si="58"/>
        <v/>
      </c>
      <c r="EW56" s="530" t="str">
        <f t="shared" si="59"/>
        <v/>
      </c>
      <c r="EX56" s="368" t="str">
        <f t="shared" si="112"/>
        <v/>
      </c>
      <c r="EY56" s="65">
        <f t="shared" si="113"/>
        <v>0</v>
      </c>
      <c r="EZ56" s="65">
        <f t="shared" si="114"/>
        <v>0</v>
      </c>
      <c r="FA56" s="66" t="str">
        <f t="shared" si="115"/>
        <v/>
      </c>
      <c r="FB56" s="74" t="str">
        <f>IF('Marks Entry'!BK56="","",'Marks Entry'!BK56)</f>
        <v/>
      </c>
      <c r="FC56" s="74" t="str">
        <f>IF('Marks Entry'!BL56="","",'Marks Entry'!BL56)</f>
        <v/>
      </c>
      <c r="FD56" s="74" t="str">
        <f>IF('Marks Entry'!BM56="","",'Marks Entry'!BM56)</f>
        <v/>
      </c>
      <c r="FE56" s="74" t="str">
        <f>IF('Marks Entry'!BN56="","",'Marks Entry'!BN56)</f>
        <v/>
      </c>
      <c r="FF56" s="74" t="str">
        <f>IF('Marks Entry'!BO56="","",'Marks Entry'!BO56)</f>
        <v/>
      </c>
      <c r="FG56" s="74" t="str">
        <f>IF('Marks Entry'!BP56="","",'Marks Entry'!BP56)</f>
        <v/>
      </c>
      <c r="FH56" s="527" t="str">
        <f t="shared" si="60"/>
        <v/>
      </c>
      <c r="FI56" s="74" t="str">
        <f>IF('Marks Entry'!BQ56="","",'Marks Entry'!BQ56)</f>
        <v/>
      </c>
      <c r="FJ56" s="74" t="str">
        <f>IF('Marks Entry'!BR56="","",'Marks Entry'!BR56)</f>
        <v/>
      </c>
      <c r="FK56" s="528" t="str">
        <f t="shared" si="61"/>
        <v/>
      </c>
      <c r="FL56" s="529" t="str">
        <f t="shared" si="62"/>
        <v/>
      </c>
      <c r="FM56" s="74" t="str">
        <f>IF('Marks Entry'!BS56="","",'Marks Entry'!BS56)</f>
        <v/>
      </c>
      <c r="FN56" s="74" t="str">
        <f>IF('Marks Entry'!BT56="","",'Marks Entry'!BT56)</f>
        <v/>
      </c>
      <c r="FO56" s="528" t="str">
        <f t="shared" si="63"/>
        <v/>
      </c>
      <c r="FP56" s="530" t="str">
        <f t="shared" si="64"/>
        <v/>
      </c>
      <c r="FQ56" s="368" t="str">
        <f t="shared" si="116"/>
        <v/>
      </c>
      <c r="FR56" s="65">
        <f t="shared" si="117"/>
        <v>0</v>
      </c>
      <c r="FS56" s="65">
        <f t="shared" si="118"/>
        <v>0</v>
      </c>
      <c r="FT56" s="66" t="str">
        <f t="shared" si="119"/>
        <v/>
      </c>
      <c r="FU56" s="74" t="str">
        <f>IF('Marks Entry'!BU56="","",'Marks Entry'!BU56)</f>
        <v/>
      </c>
      <c r="FV56" s="74" t="str">
        <f>IF('Marks Entry'!BV56="","",'Marks Entry'!BV56)</f>
        <v/>
      </c>
      <c r="FW56" s="74" t="str">
        <f>IF('Marks Entry'!BW56="","",'Marks Entry'!BW56)</f>
        <v/>
      </c>
      <c r="FX56" s="75" t="str">
        <f t="shared" si="65"/>
        <v/>
      </c>
      <c r="FY56" s="368" t="str">
        <f t="shared" si="120"/>
        <v/>
      </c>
      <c r="FZ56" s="65">
        <f t="shared" si="121"/>
        <v>0</v>
      </c>
      <c r="GA56" s="66">
        <f t="shared" si="122"/>
        <v>0</v>
      </c>
      <c r="GB56" s="66" t="str">
        <f t="shared" si="123"/>
        <v/>
      </c>
      <c r="GC56" s="74" t="str">
        <f>IF('Marks Entry'!BX56="","",'Marks Entry'!BX56)</f>
        <v/>
      </c>
      <c r="GD56" s="74" t="str">
        <f>IF('Marks Entry'!BY56="","",'Marks Entry'!BY56)</f>
        <v/>
      </c>
      <c r="GE56" s="74" t="str">
        <f>IF('Marks Entry'!BZ56="","",'Marks Entry'!BZ56)</f>
        <v/>
      </c>
      <c r="GF56" s="75" t="str">
        <f t="shared" si="124"/>
        <v/>
      </c>
      <c r="GG56" s="368" t="str">
        <f t="shared" si="125"/>
        <v/>
      </c>
      <c r="GH56" s="65">
        <f t="shared" si="126"/>
        <v>0</v>
      </c>
      <c r="GI56" s="66">
        <f t="shared" si="127"/>
        <v>0</v>
      </c>
      <c r="GJ56" s="66" t="str">
        <f t="shared" si="128"/>
        <v/>
      </c>
      <c r="GK56" s="100" t="str">
        <f>IF(AND(F56="",B56=""),"",IF('Student DATA Entry'!M53="","",'Student DATA Entry'!M53))</f>
        <v/>
      </c>
      <c r="GL56" s="101" t="str">
        <f>IF(AND(B56="",F56=""),"",IF('Student DATA Entry'!N53="","",'Student DATA Entry'!N53))</f>
        <v/>
      </c>
      <c r="GM56" s="581" t="str">
        <f t="shared" si="129"/>
        <v/>
      </c>
      <c r="GN56" s="94" t="str">
        <f t="shared" si="130"/>
        <v/>
      </c>
      <c r="GO56" s="94" t="str">
        <f t="shared" si="131"/>
        <v/>
      </c>
      <c r="GP56" s="102" t="str">
        <f t="shared" si="162"/>
        <v/>
      </c>
      <c r="GQ56" s="94" t="str">
        <f t="shared" si="132"/>
        <v/>
      </c>
      <c r="GR56" s="103" t="str">
        <f t="shared" si="133"/>
        <v/>
      </c>
      <c r="GS56" s="102" t="str">
        <f t="shared" si="163"/>
        <v/>
      </c>
      <c r="GT56" s="104" t="str">
        <f t="shared" si="134"/>
        <v/>
      </c>
      <c r="GU56" s="94" t="str">
        <f>IF('Marks Entry'!V56=1,GT56,"")</f>
        <v/>
      </c>
      <c r="GV56" s="94" t="str">
        <f>IF('Marks Entry'!V56=2,GT56,"")</f>
        <v/>
      </c>
      <c r="GW56" s="94" t="str">
        <f>IF('Marks Entry'!V56=3,GT56,"")</f>
        <v/>
      </c>
      <c r="GX56" s="94" t="str">
        <f>IF('Marks Entry'!V56=4,GT56,"")</f>
        <v/>
      </c>
      <c r="GY56" s="94" t="str">
        <f>IF('Marks Entry'!V56=5,GT56,"")</f>
        <v/>
      </c>
      <c r="GZ56" s="94" t="str">
        <f t="shared" si="135"/>
        <v/>
      </c>
      <c r="HA56" s="105" t="str">
        <f t="shared" si="164"/>
        <v/>
      </c>
      <c r="HB56" s="94" t="str">
        <f t="shared" si="136"/>
        <v/>
      </c>
      <c r="HC56" s="94" t="str">
        <f t="shared" si="137"/>
        <v/>
      </c>
      <c r="HD56" s="105" t="str">
        <f t="shared" si="165"/>
        <v/>
      </c>
      <c r="HE56" s="94" t="str">
        <f t="shared" si="138"/>
        <v/>
      </c>
      <c r="HF56" s="94" t="str">
        <f t="shared" si="139"/>
        <v/>
      </c>
      <c r="HG56" s="105" t="str">
        <f t="shared" si="166"/>
        <v/>
      </c>
      <c r="HH56" s="94" t="str">
        <f t="shared" si="140"/>
        <v/>
      </c>
      <c r="HI56" s="94" t="str">
        <f t="shared" si="141"/>
        <v/>
      </c>
      <c r="HJ56" s="105" t="str">
        <f t="shared" si="167"/>
        <v/>
      </c>
      <c r="HK56" s="94" t="str">
        <f t="shared" si="142"/>
        <v/>
      </c>
      <c r="HL56" s="94" t="str">
        <f t="shared" si="143"/>
        <v/>
      </c>
      <c r="HM56" s="105" t="str">
        <f t="shared" si="168"/>
        <v/>
      </c>
      <c r="HN56" s="367" t="str">
        <f t="shared" si="144"/>
        <v xml:space="preserve">      </v>
      </c>
      <c r="HO56" s="418" t="str">
        <f t="shared" si="169"/>
        <v xml:space="preserve">      </v>
      </c>
      <c r="HP56" s="367" t="str">
        <f t="shared" si="146"/>
        <v xml:space="preserve">      </v>
      </c>
      <c r="HQ56" s="107" t="str">
        <f t="shared" si="147"/>
        <v xml:space="preserve">      </v>
      </c>
      <c r="HR56" s="366" t="str">
        <f t="shared" si="148"/>
        <v xml:space="preserve">      </v>
      </c>
      <c r="HS56" s="544" t="str">
        <f t="shared" si="170"/>
        <v/>
      </c>
      <c r="HT56" s="542" t="str">
        <f t="shared" si="149"/>
        <v/>
      </c>
      <c r="HU56" s="541" t="str">
        <f t="shared" si="160"/>
        <v/>
      </c>
      <c r="HV56" s="540" t="str">
        <f t="shared" si="150"/>
        <v/>
      </c>
      <c r="HW56" s="537" t="str">
        <f t="shared" si="151"/>
        <v/>
      </c>
      <c r="HX56" s="539" t="str">
        <f t="shared" si="152"/>
        <v/>
      </c>
      <c r="HY56" s="553" t="str">
        <f>IFERROR(IF(OR(HS56="SUPPLEMENTARY",HS56="RE-EXAM"),'Supp. Result Entry'!AQ54,""),"")</f>
        <v/>
      </c>
      <c r="HZ56" s="538" t="str">
        <f t="shared" si="153"/>
        <v/>
      </c>
      <c r="IA56" s="415" t="str">
        <f t="shared" si="154"/>
        <v/>
      </c>
      <c r="IB56" s="415" t="str">
        <f>IF(AND(HZ56="",IA56=""),"",IF(OR(HS56="SUPPLEMENTARY",HS56="RE-EXAM"),'Supp. Result Entry'!AQ54,HS56))</f>
        <v/>
      </c>
      <c r="IC56" s="87"/>
      <c r="ID56" s="111"/>
      <c r="IS56" s="109" t="str">
        <f>IF('Supp. Result Entry'!T54="","",'Supp. Result Entry'!$T$4)</f>
        <v/>
      </c>
      <c r="IT56" s="110" t="str">
        <f>IF('Supp. Result Entry'!W54="","",'Supp. Result Entry'!$W$4)</f>
        <v/>
      </c>
      <c r="IU56" s="110" t="str">
        <f>IF('Supp. Result Entry'!Z54="","",'Supp. Result Entry'!$Z$4)</f>
        <v/>
      </c>
      <c r="IV56" s="110" t="str">
        <f>IF('Supp. Result Entry'!AC54="","",'Supp. Result Entry'!$AC$4)</f>
        <v/>
      </c>
      <c r="IW56" s="110" t="str">
        <f>IF('Supp. Result Entry'!AF54="","",'Supp. Result Entry'!$AF$4)</f>
        <v/>
      </c>
      <c r="IX56" s="110" t="str">
        <f>IF('Supp. Result Entry'!AI54="","",'Supp. Result Entry'!$AI$4)</f>
        <v/>
      </c>
      <c r="IY56" s="110" t="str">
        <f>IF('Supp. Result Entry'!AI54="","",'Supp. Result Entry'!$AL$4)</f>
        <v/>
      </c>
      <c r="IZ56" s="110" t="str">
        <f>IF('Supp. Result Entry'!U54="","",'Supp. Result Entry'!U54)</f>
        <v/>
      </c>
      <c r="JA56" s="110" t="str">
        <f>IF('Supp. Result Entry'!X54="","",'Supp. Result Entry'!X54)</f>
        <v/>
      </c>
      <c r="JB56" s="110" t="str">
        <f>IF('Supp. Result Entry'!AA54="","",'Supp. Result Entry'!AA54)</f>
        <v/>
      </c>
      <c r="JC56" s="110" t="str">
        <f>IF('Supp. Result Entry'!AD54="","",'Supp. Result Entry'!AD54)</f>
        <v/>
      </c>
      <c r="JD56" s="110" t="str">
        <f>IF('Supp. Result Entry'!AG54="","",'Supp. Result Entry'!AG54)</f>
        <v/>
      </c>
      <c r="JE56" s="110" t="str">
        <f>IF('Supp. Result Entry'!AJ54="","",'Supp. Result Entry'!AJ54)</f>
        <v/>
      </c>
      <c r="JF56" s="110" t="str">
        <f>IF('Supp. Result Entry'!AM54="","",'Supp. Result Entry'!AM54)</f>
        <v/>
      </c>
      <c r="JG56" s="110" t="str">
        <f>IF('Supp. Result Entry'!V54="","",'Supp. Result Entry'!V54)</f>
        <v/>
      </c>
      <c r="JH56" s="110" t="str">
        <f>IF('Supp. Result Entry'!Y54="","",'Supp. Result Entry'!Y54)</f>
        <v/>
      </c>
      <c r="JI56" s="110" t="str">
        <f>IF('Supp. Result Entry'!AB54="","",'Supp. Result Entry'!AB54)</f>
        <v/>
      </c>
      <c r="JJ56" s="110" t="str">
        <f>IF('Supp. Result Entry'!AE54="","",'Supp. Result Entry'!AE54)</f>
        <v/>
      </c>
      <c r="JK56" s="110" t="str">
        <f>IF('Supp. Result Entry'!AH54="","",'Supp. Result Entry'!AH54)</f>
        <v/>
      </c>
      <c r="JL56" s="110" t="str">
        <f>IF('Supp. Result Entry'!AK54="","",'Supp. Result Entry'!AK54)</f>
        <v/>
      </c>
      <c r="JM56" s="110" t="str">
        <f>IF('Supp. Result Entry'!AN54="","",'Supp. Result Entry'!AN54)</f>
        <v/>
      </c>
      <c r="JN56" s="110">
        <f>COUNTIF('Supp. Result Entry'!K54:Q54,"S")</f>
        <v>0</v>
      </c>
      <c r="JO56" s="110">
        <f t="shared" si="155"/>
        <v>0</v>
      </c>
      <c r="JP56" s="110">
        <f t="shared" si="156"/>
        <v>0</v>
      </c>
      <c r="JQ56" s="110" t="str">
        <f t="shared" si="75"/>
        <v/>
      </c>
      <c r="JR56" s="110" t="str">
        <f t="shared" si="76"/>
        <v/>
      </c>
      <c r="JS56" s="110" t="str">
        <f t="shared" si="77"/>
        <v/>
      </c>
      <c r="JT56" s="110" t="str">
        <f t="shared" si="78"/>
        <v/>
      </c>
      <c r="JU56" s="110" t="str">
        <f t="shared" si="79"/>
        <v/>
      </c>
      <c r="JV56" s="110" t="str">
        <f t="shared" si="80"/>
        <v/>
      </c>
      <c r="JW56" s="110" t="str">
        <f t="shared" si="81"/>
        <v/>
      </c>
      <c r="JX56" s="110" t="str">
        <f t="shared" si="157"/>
        <v/>
      </c>
      <c r="JY56" s="110" t="str">
        <f t="shared" si="158"/>
        <v/>
      </c>
      <c r="JZ56" s="110" t="str">
        <f t="shared" si="82"/>
        <v/>
      </c>
      <c r="KA56" s="108" t="str">
        <f t="shared" si="159"/>
        <v/>
      </c>
    </row>
    <row r="57" spans="1:287" s="108" customFormat="1" ht="21.95" customHeight="1">
      <c r="A57" s="89">
        <v>51</v>
      </c>
      <c r="B57" s="90" t="str">
        <f>IF('Marks Entry'!B57="","",'Marks Entry'!B57)</f>
        <v/>
      </c>
      <c r="C57" s="94" t="str">
        <f>IF('Marks Entry'!D57="","",'Marks Entry'!D57)</f>
        <v/>
      </c>
      <c r="D57" s="91" t="str">
        <f>IF('Marks Entry'!E57="","",'Marks Entry'!E57)</f>
        <v/>
      </c>
      <c r="E57" s="92" t="str">
        <f>IF('Marks Entry'!F57="","",'Marks Entry'!F57)</f>
        <v/>
      </c>
      <c r="F57" s="93" t="str">
        <f>IF('Marks Entry'!G57="","",'Marks Entry'!G57)</f>
        <v/>
      </c>
      <c r="G57" s="93" t="str">
        <f>IF('Marks Entry'!H57="","",'Marks Entry'!H57)</f>
        <v/>
      </c>
      <c r="H57" s="93" t="str">
        <f>IF('Marks Entry'!I57="","",'Marks Entry'!I57)</f>
        <v/>
      </c>
      <c r="I57" s="94" t="str">
        <f>IF('Marks Entry'!J57="","",'Marks Entry'!J57)</f>
        <v/>
      </c>
      <c r="J57" s="95" t="str">
        <f>IF('Marks Entry'!K57="","",'Marks Entry'!K57)</f>
        <v/>
      </c>
      <c r="K57" s="68" t="str">
        <f>IF('Marks Entry'!L57="","",'Marks Entry'!L57)</f>
        <v/>
      </c>
      <c r="L57" s="68" t="str">
        <f>IF('Marks Entry'!M57="","",'Marks Entry'!M57)</f>
        <v/>
      </c>
      <c r="M57" s="68" t="str">
        <f>IF('Marks Entry'!N57="","",'Marks Entry'!N57)</f>
        <v/>
      </c>
      <c r="N57" s="514" t="str">
        <f t="shared" si="83"/>
        <v/>
      </c>
      <c r="O57" s="68" t="str">
        <f>IF('Marks Entry'!O57="","",'Marks Entry'!O57)</f>
        <v/>
      </c>
      <c r="P57" s="515" t="str">
        <f t="shared" si="84"/>
        <v/>
      </c>
      <c r="Q57" s="68" t="str">
        <f>IF('Marks Entry'!P57="","",'Marks Entry'!P57)</f>
        <v/>
      </c>
      <c r="R57" s="96" t="str">
        <f t="shared" si="85"/>
        <v/>
      </c>
      <c r="S57" s="65">
        <f t="shared" si="86"/>
        <v>0</v>
      </c>
      <c r="T57" s="65">
        <f t="shared" si="87"/>
        <v>0</v>
      </c>
      <c r="U57" s="66" t="str">
        <f t="shared" si="88"/>
        <v/>
      </c>
      <c r="V57" s="65" t="str">
        <f t="shared" si="89"/>
        <v/>
      </c>
      <c r="W57" s="65" t="str">
        <f t="shared" si="90"/>
        <v/>
      </c>
      <c r="X57" s="65" t="str">
        <f t="shared" si="91"/>
        <v/>
      </c>
      <c r="Y57" s="68" t="str">
        <f>IF('Marks Entry'!Q57="","",'Marks Entry'!Q57)</f>
        <v/>
      </c>
      <c r="Z57" s="68" t="str">
        <f>IF('Marks Entry'!R57="","",'Marks Entry'!R57)</f>
        <v/>
      </c>
      <c r="AA57" s="68" t="str">
        <f>IF('Marks Entry'!S57="","",'Marks Entry'!S57)</f>
        <v/>
      </c>
      <c r="AB57" s="514" t="str">
        <f t="shared" si="2"/>
        <v/>
      </c>
      <c r="AC57" s="68" t="str">
        <f>IF('Marks Entry'!T57="","",'Marks Entry'!T57)</f>
        <v/>
      </c>
      <c r="AD57" s="515" t="str">
        <f t="shared" si="3"/>
        <v/>
      </c>
      <c r="AE57" s="68" t="str">
        <f>IF('Marks Entry'!U57="","",'Marks Entry'!U57)</f>
        <v/>
      </c>
      <c r="AF57" s="96" t="str">
        <f t="shared" si="4"/>
        <v/>
      </c>
      <c r="AG57" s="65">
        <f t="shared" si="5"/>
        <v>0</v>
      </c>
      <c r="AH57" s="65">
        <f t="shared" si="6"/>
        <v>0</v>
      </c>
      <c r="AI57" s="66" t="str">
        <f t="shared" si="7"/>
        <v/>
      </c>
      <c r="AJ57" s="65" t="str">
        <f t="shared" si="8"/>
        <v/>
      </c>
      <c r="AK57" s="65" t="str">
        <f t="shared" si="9"/>
        <v/>
      </c>
      <c r="AL57" s="65" t="str">
        <f t="shared" si="10"/>
        <v/>
      </c>
      <c r="AM57" s="524" t="str">
        <f>IF('Marks Entry'!V57="","",IF('Marks Entry'!V57=1,'School Profile'!$I$9,IF('Marks Entry'!V57=2,'School Profile'!$I$10,IF('Marks Entry'!V57=3,'School Profile'!$I$11,IF('Marks Entry'!V57=4,'School Profile'!$I$12,IF('Marks Entry'!V57=5,'School Profile'!$I$13,IF('Marks Entry'!V57=6,'School Profile'!$I$14,"")))))))</f>
        <v/>
      </c>
      <c r="AN57" s="68" t="str">
        <f>IF('Marks Entry'!W57="","",'Marks Entry'!W57)</f>
        <v/>
      </c>
      <c r="AO57" s="68" t="str">
        <f>IF('Marks Entry'!X57="","",'Marks Entry'!X57)</f>
        <v/>
      </c>
      <c r="AP57" s="68" t="str">
        <f>IF('Marks Entry'!Y57="","",'Marks Entry'!Y57)</f>
        <v/>
      </c>
      <c r="AQ57" s="514" t="str">
        <f t="shared" si="11"/>
        <v/>
      </c>
      <c r="AR57" s="68" t="str">
        <f>IF('Marks Entry'!Z57="","",'Marks Entry'!Z57)</f>
        <v/>
      </c>
      <c r="AS57" s="515" t="str">
        <f t="shared" si="12"/>
        <v/>
      </c>
      <c r="AT57" s="68" t="str">
        <f>IF('Marks Entry'!AA57="","",'Marks Entry'!AA57)</f>
        <v/>
      </c>
      <c r="AU57" s="96" t="str">
        <f t="shared" si="13"/>
        <v/>
      </c>
      <c r="AV57" s="65">
        <f t="shared" si="14"/>
        <v>0</v>
      </c>
      <c r="AW57" s="65">
        <f t="shared" si="15"/>
        <v>0</v>
      </c>
      <c r="AX57" s="66" t="str">
        <f t="shared" si="16"/>
        <v/>
      </c>
      <c r="AY57" s="65" t="str">
        <f t="shared" si="17"/>
        <v/>
      </c>
      <c r="AZ57" s="65" t="str">
        <f t="shared" si="18"/>
        <v/>
      </c>
      <c r="BA57" s="65" t="str">
        <f t="shared" si="19"/>
        <v/>
      </c>
      <c r="BB57" s="68" t="str">
        <f>IF('Marks Entry'!AB57="","",'Marks Entry'!AB57)</f>
        <v/>
      </c>
      <c r="BC57" s="68" t="str">
        <f>IF('Marks Entry'!AC57="","",'Marks Entry'!AC57)</f>
        <v/>
      </c>
      <c r="BD57" s="68" t="str">
        <f>IF('Marks Entry'!AD57="","",'Marks Entry'!AD57)</f>
        <v/>
      </c>
      <c r="BE57" s="514" t="str">
        <f t="shared" si="20"/>
        <v/>
      </c>
      <c r="BF57" s="68" t="str">
        <f>IF('Marks Entry'!AE57="","",'Marks Entry'!AE57)</f>
        <v/>
      </c>
      <c r="BG57" s="515" t="str">
        <f t="shared" si="21"/>
        <v/>
      </c>
      <c r="BH57" s="68" t="str">
        <f>IF('Marks Entry'!AF57="","",'Marks Entry'!AF57)</f>
        <v/>
      </c>
      <c r="BI57" s="96" t="str">
        <f t="shared" si="22"/>
        <v/>
      </c>
      <c r="BJ57" s="65">
        <f t="shared" si="23"/>
        <v>0</v>
      </c>
      <c r="BK57" s="65">
        <f t="shared" si="92"/>
        <v>0</v>
      </c>
      <c r="BL57" s="66" t="str">
        <f t="shared" si="24"/>
        <v/>
      </c>
      <c r="BM57" s="65" t="str">
        <f t="shared" si="25"/>
        <v/>
      </c>
      <c r="BN57" s="65" t="str">
        <f t="shared" si="26"/>
        <v/>
      </c>
      <c r="BO57" s="65" t="str">
        <f t="shared" si="27"/>
        <v/>
      </c>
      <c r="BP57" s="68" t="str">
        <f>IF('Marks Entry'!AG57="","",'Marks Entry'!AG57)</f>
        <v/>
      </c>
      <c r="BQ57" s="68" t="str">
        <f>IF('Marks Entry'!AH57="","",'Marks Entry'!AH57)</f>
        <v/>
      </c>
      <c r="BR57" s="68" t="str">
        <f>IF('Marks Entry'!AI57="","",'Marks Entry'!AI57)</f>
        <v/>
      </c>
      <c r="BS57" s="514" t="str">
        <f t="shared" si="28"/>
        <v/>
      </c>
      <c r="BT57" s="68" t="str">
        <f>IF('Marks Entry'!AJ57="","",'Marks Entry'!AJ57)</f>
        <v/>
      </c>
      <c r="BU57" s="515" t="str">
        <f t="shared" si="29"/>
        <v/>
      </c>
      <c r="BV57" s="68" t="str">
        <f>IF('Marks Entry'!AK57="","",'Marks Entry'!AK57)</f>
        <v/>
      </c>
      <c r="BW57" s="96" t="str">
        <f t="shared" si="30"/>
        <v/>
      </c>
      <c r="BX57" s="65">
        <f t="shared" si="31"/>
        <v>0</v>
      </c>
      <c r="BY57" s="65">
        <f t="shared" si="32"/>
        <v>0</v>
      </c>
      <c r="BZ57" s="66" t="str">
        <f t="shared" si="33"/>
        <v/>
      </c>
      <c r="CA57" s="65" t="str">
        <f t="shared" si="34"/>
        <v/>
      </c>
      <c r="CB57" s="65" t="str">
        <f t="shared" si="35"/>
        <v/>
      </c>
      <c r="CC57" s="65" t="str">
        <f t="shared" si="36"/>
        <v/>
      </c>
      <c r="CD57" s="66">
        <f t="shared" si="161"/>
        <v>0</v>
      </c>
      <c r="CE57" s="68" t="str">
        <f>IF('Marks Entry'!AL57="","",'Marks Entry'!AL57)</f>
        <v/>
      </c>
      <c r="CF57" s="68" t="str">
        <f>IF('Marks Entry'!AM57="","",'Marks Entry'!AM57)</f>
        <v/>
      </c>
      <c r="CG57" s="68" t="str">
        <f>IF('Marks Entry'!AN57="","",'Marks Entry'!AN57)</f>
        <v/>
      </c>
      <c r="CH57" s="514" t="str">
        <f t="shared" si="37"/>
        <v/>
      </c>
      <c r="CI57" s="68" t="str">
        <f>IF('Marks Entry'!AO57="","",'Marks Entry'!AO57)</f>
        <v/>
      </c>
      <c r="CJ57" s="515" t="str">
        <f t="shared" si="38"/>
        <v/>
      </c>
      <c r="CK57" s="68" t="str">
        <f>IF('Marks Entry'!AP57="","",'Marks Entry'!AP57)</f>
        <v/>
      </c>
      <c r="CL57" s="96" t="str">
        <f t="shared" si="39"/>
        <v/>
      </c>
      <c r="CM57" s="65">
        <f t="shared" si="40"/>
        <v>0</v>
      </c>
      <c r="CN57" s="65">
        <f t="shared" si="41"/>
        <v>0</v>
      </c>
      <c r="CO57" s="66" t="str">
        <f t="shared" si="42"/>
        <v/>
      </c>
      <c r="CP57" s="65" t="str">
        <f t="shared" si="43"/>
        <v/>
      </c>
      <c r="CQ57" s="65" t="str">
        <f t="shared" si="44"/>
        <v/>
      </c>
      <c r="CR57" s="65" t="str">
        <f t="shared" si="45"/>
        <v/>
      </c>
      <c r="CS57" s="616" t="str">
        <f>IF('School Profile'!$D$20="NO","",IF('Marks Entry'!AQ57="","",IF('Marks Entry'!AQ57=1,'School Profile'!$I$29,IF('Marks Entry'!AQ57=2,'School Profile'!$I$30,IF('Marks Entry'!AQ57=3,'School Profile'!$I$31,IF('Marks Entry'!AQ57=4,'School Profile'!$I$32,IF('Marks Entry'!AQ57=5,'School Profile'!$I$33,IF('Marks Entry'!AQ57=6,'School Profile'!$I$34,IF('Marks Entry'!AQ57=7,'School Profile'!$I$35,IF('Marks Entry'!AQ57=8,'School Profile'!$I$36,IF('Marks Entry'!AQ57=9,'School Profile'!$I$37,IF('Marks Entry'!AQ57=10,'School Profile'!$I$38,IF('Marks Entry'!AQ57=11,'School Profile'!$I$39,"")))))))))))))</f>
        <v/>
      </c>
      <c r="CT57" s="68" t="str">
        <f>IF('School Profile'!$D$20="NO","",IF('Marks Entry'!AR57="","",'Marks Entry'!AR57))</f>
        <v/>
      </c>
      <c r="CU57" s="68" t="str">
        <f>IF('School Profile'!$D$20="NO","",IF('Marks Entry'!AS57="","",'Marks Entry'!AS57))</f>
        <v/>
      </c>
      <c r="CV57" s="68" t="str">
        <f>IF('School Profile'!$D$20="NO","",IF('Marks Entry'!AT57="","",'Marks Entry'!AT57))</f>
        <v/>
      </c>
      <c r="CW57" s="514" t="str">
        <f>IF('School Profile'!$D$20="NO","",IF(AND(CT57="",CU57="",CV57=""),"",SUM(CT57:CV57)))</f>
        <v/>
      </c>
      <c r="CX57" s="68" t="str">
        <f>IF('School Profile'!$D$20="NO","",IF('Marks Entry'!AU57="","",'Marks Entry'!AU57))</f>
        <v/>
      </c>
      <c r="CY57" s="68" t="str">
        <f>IF('School Profile'!$D$20="NO","",IF('Marks Entry'!AV57="","",'Marks Entry'!AV57))</f>
        <v/>
      </c>
      <c r="CZ57" s="515" t="str">
        <f>IF('School Profile'!$D$20="NO","",IF(AND(CX57="",CY57=""),"",SUM(CX57,CY57)))</f>
        <v/>
      </c>
      <c r="DA57" s="69" t="str">
        <f>IF('School Profile'!$D$20="NO","",IF(AND(CW57="",CZ57=""),"",SUM(CW57+CZ57)))</f>
        <v/>
      </c>
      <c r="DB57" s="68" t="str">
        <f>IF('School Profile'!$D$20="NO","",IF('Marks Entry'!AW57="","",'Marks Entry'!AW57))</f>
        <v/>
      </c>
      <c r="DC57" s="68" t="str">
        <f>IF('School Profile'!$D$20="NO","",IF('Marks Entry'!AX57="","",'Marks Entry'!AX57))</f>
        <v/>
      </c>
      <c r="DD57" s="515" t="str">
        <f>IF('School Profile'!$D$20="NO","",IF(AND(DB57="",DC57=""),"",SUM(DB57,DC57)))</f>
        <v/>
      </c>
      <c r="DE57" s="96" t="str">
        <f>IF('School Profile'!$D$20="NO","",IF(AND(DA57="",DD57=""),"",SUM(DA57,DD57)))</f>
        <v/>
      </c>
      <c r="DF57" s="532">
        <f t="shared" si="46"/>
        <v>0</v>
      </c>
      <c r="DG57" s="65">
        <f t="shared" si="47"/>
        <v>0</v>
      </c>
      <c r="DH57" s="66" t="str">
        <f t="shared" si="48"/>
        <v/>
      </c>
      <c r="DI57" s="65" t="str">
        <f t="shared" si="49"/>
        <v/>
      </c>
      <c r="DJ57" s="65" t="str">
        <f t="shared" si="50"/>
        <v/>
      </c>
      <c r="DK57" s="65" t="str">
        <f t="shared" si="51"/>
        <v/>
      </c>
      <c r="DL57" s="97" t="str">
        <f t="shared" si="94"/>
        <v/>
      </c>
      <c r="DM57" s="97" t="str">
        <f t="shared" si="95"/>
        <v/>
      </c>
      <c r="DN57" s="97" t="str">
        <f t="shared" si="96"/>
        <v/>
      </c>
      <c r="DO57" s="97" t="str">
        <f t="shared" si="97"/>
        <v/>
      </c>
      <c r="DP57" s="97" t="str">
        <f t="shared" si="98"/>
        <v/>
      </c>
      <c r="DQ57" s="97" t="str">
        <f t="shared" si="99"/>
        <v/>
      </c>
      <c r="DR57" s="97" t="str">
        <f t="shared" si="100"/>
        <v/>
      </c>
      <c r="DS57" s="98">
        <f t="shared" si="101"/>
        <v>0</v>
      </c>
      <c r="DT57" s="98">
        <f t="shared" si="102"/>
        <v>0</v>
      </c>
      <c r="DU57" s="98">
        <f t="shared" si="103"/>
        <v>0</v>
      </c>
      <c r="DV57" s="98">
        <f t="shared" si="104"/>
        <v>0</v>
      </c>
      <c r="DW57" s="98">
        <f t="shared" si="105"/>
        <v>0</v>
      </c>
      <c r="DX57" s="98" t="str">
        <f t="shared" si="106"/>
        <v/>
      </c>
      <c r="DY57" s="99" t="str">
        <f t="shared" si="107"/>
        <v/>
      </c>
      <c r="DZ57" s="74" t="str">
        <f>IF('Marks Entry'!AY57="","",'Marks Entry'!AY57)</f>
        <v/>
      </c>
      <c r="EA57" s="74" t="str">
        <f>IF('Marks Entry'!AZ57="","",'Marks Entry'!AZ57)</f>
        <v/>
      </c>
      <c r="EB57" s="74" t="str">
        <f>IF('Marks Entry'!BA57="","",'Marks Entry'!BA57)</f>
        <v/>
      </c>
      <c r="EC57" s="527" t="str">
        <f t="shared" si="52"/>
        <v/>
      </c>
      <c r="ED57" s="74" t="str">
        <f>IF('Marks Entry'!BB57="","",'Marks Entry'!BB57)</f>
        <v/>
      </c>
      <c r="EE57" s="528" t="str">
        <f t="shared" si="53"/>
        <v/>
      </c>
      <c r="EF57" s="74" t="str">
        <f>IF('Marks Entry'!BC57="","",'Marks Entry'!BC57)</f>
        <v/>
      </c>
      <c r="EG57" s="530" t="str">
        <f t="shared" si="54"/>
        <v/>
      </c>
      <c r="EH57" s="368" t="str">
        <f t="shared" si="108"/>
        <v/>
      </c>
      <c r="EI57" s="65">
        <f t="shared" si="109"/>
        <v>0</v>
      </c>
      <c r="EJ57" s="65">
        <f t="shared" si="110"/>
        <v>0</v>
      </c>
      <c r="EK57" s="66" t="str">
        <f t="shared" si="111"/>
        <v/>
      </c>
      <c r="EL57" s="74" t="str">
        <f>IF('Marks Entry'!BD57="","",'Marks Entry'!BD57)</f>
        <v/>
      </c>
      <c r="EM57" s="74" t="str">
        <f>IF('Marks Entry'!BE57="","",'Marks Entry'!BE57)</f>
        <v/>
      </c>
      <c r="EN57" s="74" t="str">
        <f>IF('Marks Entry'!BF57="","",'Marks Entry'!BF57)</f>
        <v/>
      </c>
      <c r="EO57" s="527" t="str">
        <f t="shared" si="55"/>
        <v/>
      </c>
      <c r="EP57" s="74" t="str">
        <f>IF('Marks Entry'!BG57="","",'Marks Entry'!BG57)</f>
        <v/>
      </c>
      <c r="EQ57" s="74" t="str">
        <f>IF('Marks Entry'!BH57="","",'Marks Entry'!BH57)</f>
        <v/>
      </c>
      <c r="ER57" s="528" t="str">
        <f t="shared" si="56"/>
        <v/>
      </c>
      <c r="ES57" s="529" t="str">
        <f t="shared" si="57"/>
        <v/>
      </c>
      <c r="ET57" s="74" t="str">
        <f>IF('Marks Entry'!BI57="","",'Marks Entry'!BI57)</f>
        <v/>
      </c>
      <c r="EU57" s="74" t="str">
        <f>IF('Marks Entry'!BJ57="","",'Marks Entry'!BJ57)</f>
        <v/>
      </c>
      <c r="EV57" s="528" t="str">
        <f t="shared" si="58"/>
        <v/>
      </c>
      <c r="EW57" s="530" t="str">
        <f t="shared" si="59"/>
        <v/>
      </c>
      <c r="EX57" s="368" t="str">
        <f t="shared" si="112"/>
        <v/>
      </c>
      <c r="EY57" s="65">
        <f t="shared" si="113"/>
        <v>0</v>
      </c>
      <c r="EZ57" s="65">
        <f t="shared" si="114"/>
        <v>0</v>
      </c>
      <c r="FA57" s="66" t="str">
        <f t="shared" si="115"/>
        <v/>
      </c>
      <c r="FB57" s="74" t="str">
        <f>IF('Marks Entry'!BK57="","",'Marks Entry'!BK57)</f>
        <v/>
      </c>
      <c r="FC57" s="74" t="str">
        <f>IF('Marks Entry'!BL57="","",'Marks Entry'!BL57)</f>
        <v/>
      </c>
      <c r="FD57" s="74" t="str">
        <f>IF('Marks Entry'!BM57="","",'Marks Entry'!BM57)</f>
        <v/>
      </c>
      <c r="FE57" s="74" t="str">
        <f>IF('Marks Entry'!BN57="","",'Marks Entry'!BN57)</f>
        <v/>
      </c>
      <c r="FF57" s="74" t="str">
        <f>IF('Marks Entry'!BO57="","",'Marks Entry'!BO57)</f>
        <v/>
      </c>
      <c r="FG57" s="74" t="str">
        <f>IF('Marks Entry'!BP57="","",'Marks Entry'!BP57)</f>
        <v/>
      </c>
      <c r="FH57" s="527" t="str">
        <f t="shared" si="60"/>
        <v/>
      </c>
      <c r="FI57" s="74" t="str">
        <f>IF('Marks Entry'!BQ57="","",'Marks Entry'!BQ57)</f>
        <v/>
      </c>
      <c r="FJ57" s="74" t="str">
        <f>IF('Marks Entry'!BR57="","",'Marks Entry'!BR57)</f>
        <v/>
      </c>
      <c r="FK57" s="528" t="str">
        <f t="shared" si="61"/>
        <v/>
      </c>
      <c r="FL57" s="529" t="str">
        <f t="shared" si="62"/>
        <v/>
      </c>
      <c r="FM57" s="74" t="str">
        <f>IF('Marks Entry'!BS57="","",'Marks Entry'!BS57)</f>
        <v/>
      </c>
      <c r="FN57" s="74" t="str">
        <f>IF('Marks Entry'!BT57="","",'Marks Entry'!BT57)</f>
        <v/>
      </c>
      <c r="FO57" s="528" t="str">
        <f t="shared" si="63"/>
        <v/>
      </c>
      <c r="FP57" s="530" t="str">
        <f t="shared" si="64"/>
        <v/>
      </c>
      <c r="FQ57" s="368" t="str">
        <f t="shared" si="116"/>
        <v/>
      </c>
      <c r="FR57" s="65">
        <f t="shared" si="117"/>
        <v>0</v>
      </c>
      <c r="FS57" s="65">
        <f t="shared" si="118"/>
        <v>0</v>
      </c>
      <c r="FT57" s="66" t="str">
        <f t="shared" si="119"/>
        <v/>
      </c>
      <c r="FU57" s="74" t="str">
        <f>IF('Marks Entry'!BU57="","",'Marks Entry'!BU57)</f>
        <v/>
      </c>
      <c r="FV57" s="74" t="str">
        <f>IF('Marks Entry'!BV57="","",'Marks Entry'!BV57)</f>
        <v/>
      </c>
      <c r="FW57" s="74" t="str">
        <f>IF('Marks Entry'!BW57="","",'Marks Entry'!BW57)</f>
        <v/>
      </c>
      <c r="FX57" s="75" t="str">
        <f t="shared" si="65"/>
        <v/>
      </c>
      <c r="FY57" s="368" t="str">
        <f t="shared" si="120"/>
        <v/>
      </c>
      <c r="FZ57" s="65">
        <f t="shared" si="121"/>
        <v>0</v>
      </c>
      <c r="GA57" s="66">
        <f t="shared" si="122"/>
        <v>0</v>
      </c>
      <c r="GB57" s="66" t="str">
        <f t="shared" si="123"/>
        <v/>
      </c>
      <c r="GC57" s="74" t="str">
        <f>IF('Marks Entry'!BX57="","",'Marks Entry'!BX57)</f>
        <v/>
      </c>
      <c r="GD57" s="74" t="str">
        <f>IF('Marks Entry'!BY57="","",'Marks Entry'!BY57)</f>
        <v/>
      </c>
      <c r="GE57" s="74" t="str">
        <f>IF('Marks Entry'!BZ57="","",'Marks Entry'!BZ57)</f>
        <v/>
      </c>
      <c r="GF57" s="75" t="str">
        <f t="shared" si="124"/>
        <v/>
      </c>
      <c r="GG57" s="368" t="str">
        <f t="shared" si="125"/>
        <v/>
      </c>
      <c r="GH57" s="65">
        <f t="shared" si="126"/>
        <v>0</v>
      </c>
      <c r="GI57" s="66">
        <f t="shared" si="127"/>
        <v>0</v>
      </c>
      <c r="GJ57" s="66" t="str">
        <f t="shared" si="128"/>
        <v/>
      </c>
      <c r="GK57" s="100" t="str">
        <f>IF(AND(F57="",B57=""),"",IF('Student DATA Entry'!M54="","",'Student DATA Entry'!M54))</f>
        <v/>
      </c>
      <c r="GL57" s="101" t="str">
        <f>IF(AND(B57="",F57=""),"",IF('Student DATA Entry'!N54="","",'Student DATA Entry'!N54))</f>
        <v/>
      </c>
      <c r="GM57" s="581" t="str">
        <f t="shared" si="129"/>
        <v/>
      </c>
      <c r="GN57" s="94" t="str">
        <f t="shared" si="130"/>
        <v/>
      </c>
      <c r="GO57" s="94" t="str">
        <f t="shared" si="131"/>
        <v/>
      </c>
      <c r="GP57" s="102" t="str">
        <f t="shared" si="162"/>
        <v/>
      </c>
      <c r="GQ57" s="94" t="str">
        <f t="shared" si="132"/>
        <v/>
      </c>
      <c r="GR57" s="103" t="str">
        <f t="shared" si="133"/>
        <v/>
      </c>
      <c r="GS57" s="102" t="str">
        <f t="shared" si="163"/>
        <v/>
      </c>
      <c r="GT57" s="104" t="str">
        <f t="shared" si="134"/>
        <v/>
      </c>
      <c r="GU57" s="94" t="str">
        <f>IF('Marks Entry'!V57=1,GT57,"")</f>
        <v/>
      </c>
      <c r="GV57" s="94" t="str">
        <f>IF('Marks Entry'!V57=2,GT57,"")</f>
        <v/>
      </c>
      <c r="GW57" s="94" t="str">
        <f>IF('Marks Entry'!V57=3,GT57,"")</f>
        <v/>
      </c>
      <c r="GX57" s="94" t="str">
        <f>IF('Marks Entry'!V57=4,GT57,"")</f>
        <v/>
      </c>
      <c r="GY57" s="94" t="str">
        <f>IF('Marks Entry'!V57=5,GT57,"")</f>
        <v/>
      </c>
      <c r="GZ57" s="94" t="str">
        <f t="shared" si="135"/>
        <v/>
      </c>
      <c r="HA57" s="105" t="str">
        <f t="shared" si="164"/>
        <v/>
      </c>
      <c r="HB57" s="94" t="str">
        <f t="shared" si="136"/>
        <v/>
      </c>
      <c r="HC57" s="94" t="str">
        <f t="shared" si="137"/>
        <v/>
      </c>
      <c r="HD57" s="105" t="str">
        <f t="shared" si="165"/>
        <v/>
      </c>
      <c r="HE57" s="94" t="str">
        <f t="shared" si="138"/>
        <v/>
      </c>
      <c r="HF57" s="94" t="str">
        <f t="shared" si="139"/>
        <v/>
      </c>
      <c r="HG57" s="105" t="str">
        <f t="shared" si="166"/>
        <v/>
      </c>
      <c r="HH57" s="94" t="str">
        <f t="shared" si="140"/>
        <v/>
      </c>
      <c r="HI57" s="94" t="str">
        <f t="shared" si="141"/>
        <v/>
      </c>
      <c r="HJ57" s="105" t="str">
        <f t="shared" si="167"/>
        <v/>
      </c>
      <c r="HK57" s="94" t="str">
        <f t="shared" si="142"/>
        <v/>
      </c>
      <c r="HL57" s="94" t="str">
        <f t="shared" si="143"/>
        <v/>
      </c>
      <c r="HM57" s="105" t="str">
        <f t="shared" si="168"/>
        <v/>
      </c>
      <c r="HN57" s="367" t="str">
        <f t="shared" si="144"/>
        <v xml:space="preserve">      </v>
      </c>
      <c r="HO57" s="418" t="str">
        <f t="shared" si="169"/>
        <v xml:space="preserve">      </v>
      </c>
      <c r="HP57" s="367" t="str">
        <f t="shared" si="146"/>
        <v xml:space="preserve">      </v>
      </c>
      <c r="HQ57" s="107" t="str">
        <f t="shared" si="147"/>
        <v xml:space="preserve">      </v>
      </c>
      <c r="HR57" s="366" t="str">
        <f t="shared" si="148"/>
        <v xml:space="preserve">      </v>
      </c>
      <c r="HS57" s="544" t="str">
        <f t="shared" si="170"/>
        <v/>
      </c>
      <c r="HT57" s="542" t="str">
        <f t="shared" si="149"/>
        <v/>
      </c>
      <c r="HU57" s="541" t="str">
        <f t="shared" si="160"/>
        <v/>
      </c>
      <c r="HV57" s="540" t="str">
        <f t="shared" si="150"/>
        <v/>
      </c>
      <c r="HW57" s="537" t="str">
        <f t="shared" si="151"/>
        <v/>
      </c>
      <c r="HX57" s="539" t="str">
        <f t="shared" si="152"/>
        <v/>
      </c>
      <c r="HY57" s="553" t="str">
        <f>IFERROR(IF(OR(HS57="SUPPLEMENTARY",HS57="RE-EXAM"),'Supp. Result Entry'!AQ55,""),"")</f>
        <v/>
      </c>
      <c r="HZ57" s="538" t="str">
        <f t="shared" si="153"/>
        <v/>
      </c>
      <c r="IA57" s="415" t="str">
        <f t="shared" si="154"/>
        <v/>
      </c>
      <c r="IB57" s="415" t="str">
        <f>IF(AND(HZ57="",IA57=""),"",IF(OR(HS57="SUPPLEMENTARY",HS57="RE-EXAM"),'Supp. Result Entry'!AQ55,HS57))</f>
        <v/>
      </c>
      <c r="IC57" s="87"/>
      <c r="IS57" s="109" t="str">
        <f>IF('Supp. Result Entry'!T55="","",'Supp. Result Entry'!$T$4)</f>
        <v/>
      </c>
      <c r="IT57" s="110" t="str">
        <f>IF('Supp. Result Entry'!W55="","",'Supp. Result Entry'!$W$4)</f>
        <v/>
      </c>
      <c r="IU57" s="110" t="str">
        <f>IF('Supp. Result Entry'!Z55="","",'Supp. Result Entry'!$Z$4)</f>
        <v/>
      </c>
      <c r="IV57" s="110" t="str">
        <f>IF('Supp. Result Entry'!AC55="","",'Supp. Result Entry'!$AC$4)</f>
        <v/>
      </c>
      <c r="IW57" s="110" t="str">
        <f>IF('Supp. Result Entry'!AF55="","",'Supp. Result Entry'!$AF$4)</f>
        <v/>
      </c>
      <c r="IX57" s="110" t="str">
        <f>IF('Supp. Result Entry'!AI55="","",'Supp. Result Entry'!$AI$4)</f>
        <v/>
      </c>
      <c r="IY57" s="110" t="str">
        <f>IF('Supp. Result Entry'!AI55="","",'Supp. Result Entry'!$AL$4)</f>
        <v/>
      </c>
      <c r="IZ57" s="110" t="str">
        <f>IF('Supp. Result Entry'!U55="","",'Supp. Result Entry'!U55)</f>
        <v/>
      </c>
      <c r="JA57" s="110" t="str">
        <f>IF('Supp. Result Entry'!X55="","",'Supp. Result Entry'!X55)</f>
        <v/>
      </c>
      <c r="JB57" s="110" t="str">
        <f>IF('Supp. Result Entry'!AA55="","",'Supp. Result Entry'!AA55)</f>
        <v/>
      </c>
      <c r="JC57" s="110" t="str">
        <f>IF('Supp. Result Entry'!AD55="","",'Supp. Result Entry'!AD55)</f>
        <v/>
      </c>
      <c r="JD57" s="110" t="str">
        <f>IF('Supp. Result Entry'!AG55="","",'Supp. Result Entry'!AG55)</f>
        <v/>
      </c>
      <c r="JE57" s="110" t="str">
        <f>IF('Supp. Result Entry'!AJ55="","",'Supp. Result Entry'!AJ55)</f>
        <v/>
      </c>
      <c r="JF57" s="110" t="str">
        <f>IF('Supp. Result Entry'!AM55="","",'Supp. Result Entry'!AM55)</f>
        <v/>
      </c>
      <c r="JG57" s="110" t="str">
        <f>IF('Supp. Result Entry'!V55="","",'Supp. Result Entry'!V55)</f>
        <v/>
      </c>
      <c r="JH57" s="110" t="str">
        <f>IF('Supp. Result Entry'!Y55="","",'Supp. Result Entry'!Y55)</f>
        <v/>
      </c>
      <c r="JI57" s="110" t="str">
        <f>IF('Supp. Result Entry'!AB55="","",'Supp. Result Entry'!AB55)</f>
        <v/>
      </c>
      <c r="JJ57" s="110" t="str">
        <f>IF('Supp. Result Entry'!AE55="","",'Supp. Result Entry'!AE55)</f>
        <v/>
      </c>
      <c r="JK57" s="110" t="str">
        <f>IF('Supp. Result Entry'!AH55="","",'Supp. Result Entry'!AH55)</f>
        <v/>
      </c>
      <c r="JL57" s="110" t="str">
        <f>IF('Supp. Result Entry'!AK55="","",'Supp. Result Entry'!AK55)</f>
        <v/>
      </c>
      <c r="JM57" s="110" t="str">
        <f>IF('Supp. Result Entry'!AN55="","",'Supp. Result Entry'!AN55)</f>
        <v/>
      </c>
      <c r="JN57" s="110">
        <f>COUNTIF('Supp. Result Entry'!K55:Q55,"S")</f>
        <v>0</v>
      </c>
      <c r="JO57" s="110">
        <f t="shared" si="155"/>
        <v>0</v>
      </c>
      <c r="JP57" s="110">
        <f t="shared" si="156"/>
        <v>0</v>
      </c>
      <c r="JQ57" s="110" t="str">
        <f t="shared" si="75"/>
        <v/>
      </c>
      <c r="JR57" s="110" t="str">
        <f t="shared" si="76"/>
        <v/>
      </c>
      <c r="JS57" s="110" t="str">
        <f t="shared" si="77"/>
        <v/>
      </c>
      <c r="JT57" s="110" t="str">
        <f t="shared" si="78"/>
        <v/>
      </c>
      <c r="JU57" s="110" t="str">
        <f t="shared" si="79"/>
        <v/>
      </c>
      <c r="JV57" s="110" t="str">
        <f t="shared" si="80"/>
        <v/>
      </c>
      <c r="JW57" s="110" t="str">
        <f t="shared" si="81"/>
        <v/>
      </c>
      <c r="JX57" s="110" t="str">
        <f t="shared" si="157"/>
        <v/>
      </c>
      <c r="JY57" s="110" t="str">
        <f t="shared" si="158"/>
        <v/>
      </c>
      <c r="JZ57" s="110" t="str">
        <f t="shared" si="82"/>
        <v/>
      </c>
      <c r="KA57" s="108" t="str">
        <f t="shared" si="159"/>
        <v/>
      </c>
    </row>
    <row r="58" spans="1:287" s="108" customFormat="1" ht="21.95" customHeight="1">
      <c r="A58" s="89">
        <v>52</v>
      </c>
      <c r="B58" s="90" t="str">
        <f>IF('Marks Entry'!B58="","",'Marks Entry'!B58)</f>
        <v/>
      </c>
      <c r="C58" s="94" t="str">
        <f>IF('Marks Entry'!D58="","",'Marks Entry'!D58)</f>
        <v/>
      </c>
      <c r="D58" s="91" t="str">
        <f>IF('Marks Entry'!E58="","",'Marks Entry'!E58)</f>
        <v/>
      </c>
      <c r="E58" s="92" t="str">
        <f>IF('Marks Entry'!F58="","",'Marks Entry'!F58)</f>
        <v/>
      </c>
      <c r="F58" s="93" t="str">
        <f>IF('Marks Entry'!G58="","",'Marks Entry'!G58)</f>
        <v/>
      </c>
      <c r="G58" s="93" t="str">
        <f>IF('Marks Entry'!H58="","",'Marks Entry'!H58)</f>
        <v/>
      </c>
      <c r="H58" s="93" t="str">
        <f>IF('Marks Entry'!I58="","",'Marks Entry'!I58)</f>
        <v/>
      </c>
      <c r="I58" s="94" t="str">
        <f>IF('Marks Entry'!J58="","",'Marks Entry'!J58)</f>
        <v/>
      </c>
      <c r="J58" s="95" t="str">
        <f>IF('Marks Entry'!K58="","",'Marks Entry'!K58)</f>
        <v/>
      </c>
      <c r="K58" s="68" t="str">
        <f>IF('Marks Entry'!L58="","",'Marks Entry'!L58)</f>
        <v/>
      </c>
      <c r="L58" s="68" t="str">
        <f>IF('Marks Entry'!M58="","",'Marks Entry'!M58)</f>
        <v/>
      </c>
      <c r="M58" s="68" t="str">
        <f>IF('Marks Entry'!N58="","",'Marks Entry'!N58)</f>
        <v/>
      </c>
      <c r="N58" s="514" t="str">
        <f t="shared" si="83"/>
        <v/>
      </c>
      <c r="O58" s="68" t="str">
        <f>IF('Marks Entry'!O58="","",'Marks Entry'!O58)</f>
        <v/>
      </c>
      <c r="P58" s="515" t="str">
        <f t="shared" si="84"/>
        <v/>
      </c>
      <c r="Q58" s="68" t="str">
        <f>IF('Marks Entry'!P58="","",'Marks Entry'!P58)</f>
        <v/>
      </c>
      <c r="R58" s="96" t="str">
        <f t="shared" si="85"/>
        <v/>
      </c>
      <c r="S58" s="65">
        <f t="shared" si="86"/>
        <v>0</v>
      </c>
      <c r="T58" s="65">
        <f t="shared" si="87"/>
        <v>0</v>
      </c>
      <c r="U58" s="66" t="str">
        <f t="shared" si="88"/>
        <v/>
      </c>
      <c r="V58" s="65" t="str">
        <f t="shared" si="89"/>
        <v/>
      </c>
      <c r="W58" s="65" t="str">
        <f t="shared" si="90"/>
        <v/>
      </c>
      <c r="X58" s="65" t="str">
        <f t="shared" si="91"/>
        <v/>
      </c>
      <c r="Y58" s="68" t="str">
        <f>IF('Marks Entry'!Q58="","",'Marks Entry'!Q58)</f>
        <v/>
      </c>
      <c r="Z58" s="68" t="str">
        <f>IF('Marks Entry'!R58="","",'Marks Entry'!R58)</f>
        <v/>
      </c>
      <c r="AA58" s="68" t="str">
        <f>IF('Marks Entry'!S58="","",'Marks Entry'!S58)</f>
        <v/>
      </c>
      <c r="AB58" s="514" t="str">
        <f t="shared" si="2"/>
        <v/>
      </c>
      <c r="AC58" s="68" t="str">
        <f>IF('Marks Entry'!T58="","",'Marks Entry'!T58)</f>
        <v/>
      </c>
      <c r="AD58" s="515" t="str">
        <f t="shared" si="3"/>
        <v/>
      </c>
      <c r="AE58" s="68" t="str">
        <f>IF('Marks Entry'!U58="","",'Marks Entry'!U58)</f>
        <v/>
      </c>
      <c r="AF58" s="96" t="str">
        <f t="shared" si="4"/>
        <v/>
      </c>
      <c r="AG58" s="65">
        <f t="shared" si="5"/>
        <v>0</v>
      </c>
      <c r="AH58" s="65">
        <f t="shared" si="6"/>
        <v>0</v>
      </c>
      <c r="AI58" s="66" t="str">
        <f t="shared" si="7"/>
        <v/>
      </c>
      <c r="AJ58" s="65" t="str">
        <f t="shared" si="8"/>
        <v/>
      </c>
      <c r="AK58" s="65" t="str">
        <f t="shared" si="9"/>
        <v/>
      </c>
      <c r="AL58" s="65" t="str">
        <f t="shared" si="10"/>
        <v/>
      </c>
      <c r="AM58" s="524" t="str">
        <f>IF('Marks Entry'!V58="","",IF('Marks Entry'!V58=1,'School Profile'!$I$9,IF('Marks Entry'!V58=2,'School Profile'!$I$10,IF('Marks Entry'!V58=3,'School Profile'!$I$11,IF('Marks Entry'!V58=4,'School Profile'!$I$12,IF('Marks Entry'!V58=5,'School Profile'!$I$13,IF('Marks Entry'!V58=6,'School Profile'!$I$14,"")))))))</f>
        <v/>
      </c>
      <c r="AN58" s="68" t="str">
        <f>IF('Marks Entry'!W58="","",'Marks Entry'!W58)</f>
        <v/>
      </c>
      <c r="AO58" s="68" t="str">
        <f>IF('Marks Entry'!X58="","",'Marks Entry'!X58)</f>
        <v/>
      </c>
      <c r="AP58" s="68" t="str">
        <f>IF('Marks Entry'!Y58="","",'Marks Entry'!Y58)</f>
        <v/>
      </c>
      <c r="AQ58" s="514" t="str">
        <f t="shared" si="11"/>
        <v/>
      </c>
      <c r="AR58" s="68" t="str">
        <f>IF('Marks Entry'!Z58="","",'Marks Entry'!Z58)</f>
        <v/>
      </c>
      <c r="AS58" s="515" t="str">
        <f t="shared" si="12"/>
        <v/>
      </c>
      <c r="AT58" s="68" t="str">
        <f>IF('Marks Entry'!AA58="","",'Marks Entry'!AA58)</f>
        <v/>
      </c>
      <c r="AU58" s="96" t="str">
        <f t="shared" si="13"/>
        <v/>
      </c>
      <c r="AV58" s="65">
        <f t="shared" si="14"/>
        <v>0</v>
      </c>
      <c r="AW58" s="65">
        <f t="shared" si="15"/>
        <v>0</v>
      </c>
      <c r="AX58" s="66" t="str">
        <f t="shared" si="16"/>
        <v/>
      </c>
      <c r="AY58" s="65" t="str">
        <f t="shared" si="17"/>
        <v/>
      </c>
      <c r="AZ58" s="65" t="str">
        <f t="shared" si="18"/>
        <v/>
      </c>
      <c r="BA58" s="65" t="str">
        <f t="shared" si="19"/>
        <v/>
      </c>
      <c r="BB58" s="68" t="str">
        <f>IF('Marks Entry'!AB58="","",'Marks Entry'!AB58)</f>
        <v/>
      </c>
      <c r="BC58" s="68" t="str">
        <f>IF('Marks Entry'!AC58="","",'Marks Entry'!AC58)</f>
        <v/>
      </c>
      <c r="BD58" s="68" t="str">
        <f>IF('Marks Entry'!AD58="","",'Marks Entry'!AD58)</f>
        <v/>
      </c>
      <c r="BE58" s="514" t="str">
        <f t="shared" si="20"/>
        <v/>
      </c>
      <c r="BF58" s="68" t="str">
        <f>IF('Marks Entry'!AE58="","",'Marks Entry'!AE58)</f>
        <v/>
      </c>
      <c r="BG58" s="515" t="str">
        <f t="shared" si="21"/>
        <v/>
      </c>
      <c r="BH58" s="68" t="str">
        <f>IF('Marks Entry'!AF58="","",'Marks Entry'!AF58)</f>
        <v/>
      </c>
      <c r="BI58" s="96" t="str">
        <f t="shared" si="22"/>
        <v/>
      </c>
      <c r="BJ58" s="65">
        <f t="shared" si="23"/>
        <v>0</v>
      </c>
      <c r="BK58" s="65">
        <f t="shared" si="92"/>
        <v>0</v>
      </c>
      <c r="BL58" s="66" t="str">
        <f t="shared" si="24"/>
        <v/>
      </c>
      <c r="BM58" s="65" t="str">
        <f t="shared" si="25"/>
        <v/>
      </c>
      <c r="BN58" s="65" t="str">
        <f t="shared" si="26"/>
        <v/>
      </c>
      <c r="BO58" s="65" t="str">
        <f t="shared" si="27"/>
        <v/>
      </c>
      <c r="BP58" s="68" t="str">
        <f>IF('Marks Entry'!AG58="","",'Marks Entry'!AG58)</f>
        <v/>
      </c>
      <c r="BQ58" s="68" t="str">
        <f>IF('Marks Entry'!AH58="","",'Marks Entry'!AH58)</f>
        <v/>
      </c>
      <c r="BR58" s="68" t="str">
        <f>IF('Marks Entry'!AI58="","",'Marks Entry'!AI58)</f>
        <v/>
      </c>
      <c r="BS58" s="514" t="str">
        <f t="shared" si="28"/>
        <v/>
      </c>
      <c r="BT58" s="68" t="str">
        <f>IF('Marks Entry'!AJ58="","",'Marks Entry'!AJ58)</f>
        <v/>
      </c>
      <c r="BU58" s="515" t="str">
        <f t="shared" si="29"/>
        <v/>
      </c>
      <c r="BV58" s="68" t="str">
        <f>IF('Marks Entry'!AK58="","",'Marks Entry'!AK58)</f>
        <v/>
      </c>
      <c r="BW58" s="96" t="str">
        <f t="shared" si="30"/>
        <v/>
      </c>
      <c r="BX58" s="65">
        <f t="shared" si="31"/>
        <v>0</v>
      </c>
      <c r="BY58" s="65">
        <f t="shared" si="32"/>
        <v>0</v>
      </c>
      <c r="BZ58" s="66" t="str">
        <f t="shared" si="33"/>
        <v/>
      </c>
      <c r="CA58" s="65" t="str">
        <f t="shared" si="34"/>
        <v/>
      </c>
      <c r="CB58" s="65" t="str">
        <f t="shared" si="35"/>
        <v/>
      </c>
      <c r="CC58" s="65" t="str">
        <f t="shared" si="36"/>
        <v/>
      </c>
      <c r="CD58" s="66">
        <f t="shared" si="161"/>
        <v>0</v>
      </c>
      <c r="CE58" s="68" t="str">
        <f>IF('Marks Entry'!AL58="","",'Marks Entry'!AL58)</f>
        <v/>
      </c>
      <c r="CF58" s="68" t="str">
        <f>IF('Marks Entry'!AM58="","",'Marks Entry'!AM58)</f>
        <v/>
      </c>
      <c r="CG58" s="68" t="str">
        <f>IF('Marks Entry'!AN58="","",'Marks Entry'!AN58)</f>
        <v/>
      </c>
      <c r="CH58" s="514" t="str">
        <f t="shared" si="37"/>
        <v/>
      </c>
      <c r="CI58" s="68" t="str">
        <f>IF('Marks Entry'!AO58="","",'Marks Entry'!AO58)</f>
        <v/>
      </c>
      <c r="CJ58" s="515" t="str">
        <f t="shared" si="38"/>
        <v/>
      </c>
      <c r="CK58" s="68" t="str">
        <f>IF('Marks Entry'!AP58="","",'Marks Entry'!AP58)</f>
        <v/>
      </c>
      <c r="CL58" s="96" t="str">
        <f t="shared" si="39"/>
        <v/>
      </c>
      <c r="CM58" s="65">
        <f t="shared" si="40"/>
        <v>0</v>
      </c>
      <c r="CN58" s="65">
        <f t="shared" si="41"/>
        <v>0</v>
      </c>
      <c r="CO58" s="66" t="str">
        <f t="shared" si="42"/>
        <v/>
      </c>
      <c r="CP58" s="65" t="str">
        <f t="shared" si="43"/>
        <v/>
      </c>
      <c r="CQ58" s="65" t="str">
        <f t="shared" si="44"/>
        <v/>
      </c>
      <c r="CR58" s="65" t="str">
        <f t="shared" si="45"/>
        <v/>
      </c>
      <c r="CS58" s="616" t="str">
        <f>IF('School Profile'!$D$20="NO","",IF('Marks Entry'!AQ58="","",IF('Marks Entry'!AQ58=1,'School Profile'!$I$29,IF('Marks Entry'!AQ58=2,'School Profile'!$I$30,IF('Marks Entry'!AQ58=3,'School Profile'!$I$31,IF('Marks Entry'!AQ58=4,'School Profile'!$I$32,IF('Marks Entry'!AQ58=5,'School Profile'!$I$33,IF('Marks Entry'!AQ58=6,'School Profile'!$I$34,IF('Marks Entry'!AQ58=7,'School Profile'!$I$35,IF('Marks Entry'!AQ58=8,'School Profile'!$I$36,IF('Marks Entry'!AQ58=9,'School Profile'!$I$37,IF('Marks Entry'!AQ58=10,'School Profile'!$I$38,IF('Marks Entry'!AQ58=11,'School Profile'!$I$39,"")))))))))))))</f>
        <v/>
      </c>
      <c r="CT58" s="68" t="str">
        <f>IF('School Profile'!$D$20="NO","",IF('Marks Entry'!AR58="","",'Marks Entry'!AR58))</f>
        <v/>
      </c>
      <c r="CU58" s="68" t="str">
        <f>IF('School Profile'!$D$20="NO","",IF('Marks Entry'!AS58="","",'Marks Entry'!AS58))</f>
        <v/>
      </c>
      <c r="CV58" s="68" t="str">
        <f>IF('School Profile'!$D$20="NO","",IF('Marks Entry'!AT58="","",'Marks Entry'!AT58))</f>
        <v/>
      </c>
      <c r="CW58" s="514" t="str">
        <f>IF('School Profile'!$D$20="NO","",IF(AND(CT58="",CU58="",CV58=""),"",SUM(CT58:CV58)))</f>
        <v/>
      </c>
      <c r="CX58" s="68" t="str">
        <f>IF('School Profile'!$D$20="NO","",IF('Marks Entry'!AU58="","",'Marks Entry'!AU58))</f>
        <v/>
      </c>
      <c r="CY58" s="68" t="str">
        <f>IF('School Profile'!$D$20="NO","",IF('Marks Entry'!AV58="","",'Marks Entry'!AV58))</f>
        <v/>
      </c>
      <c r="CZ58" s="515" t="str">
        <f>IF('School Profile'!$D$20="NO","",IF(AND(CX58="",CY58=""),"",SUM(CX58,CY58)))</f>
        <v/>
      </c>
      <c r="DA58" s="69" t="str">
        <f>IF('School Profile'!$D$20="NO","",IF(AND(CW58="",CZ58=""),"",SUM(CW58+CZ58)))</f>
        <v/>
      </c>
      <c r="DB58" s="68" t="str">
        <f>IF('School Profile'!$D$20="NO","",IF('Marks Entry'!AW58="","",'Marks Entry'!AW58))</f>
        <v/>
      </c>
      <c r="DC58" s="68" t="str">
        <f>IF('School Profile'!$D$20="NO","",IF('Marks Entry'!AX58="","",'Marks Entry'!AX58))</f>
        <v/>
      </c>
      <c r="DD58" s="515" t="str">
        <f>IF('School Profile'!$D$20="NO","",IF(AND(DB58="",DC58=""),"",SUM(DB58,DC58)))</f>
        <v/>
      </c>
      <c r="DE58" s="96" t="str">
        <f>IF('School Profile'!$D$20="NO","",IF(AND(DA58="",DD58=""),"",SUM(DA58,DD58)))</f>
        <v/>
      </c>
      <c r="DF58" s="532">
        <f t="shared" si="46"/>
        <v>0</v>
      </c>
      <c r="DG58" s="65">
        <f t="shared" si="47"/>
        <v>0</v>
      </c>
      <c r="DH58" s="66" t="str">
        <f t="shared" si="48"/>
        <v/>
      </c>
      <c r="DI58" s="65" t="str">
        <f t="shared" si="49"/>
        <v/>
      </c>
      <c r="DJ58" s="65" t="str">
        <f t="shared" si="50"/>
        <v/>
      </c>
      <c r="DK58" s="65" t="str">
        <f t="shared" si="51"/>
        <v/>
      </c>
      <c r="DL58" s="97" t="str">
        <f t="shared" si="94"/>
        <v/>
      </c>
      <c r="DM58" s="97" t="str">
        <f t="shared" si="95"/>
        <v/>
      </c>
      <c r="DN58" s="97" t="str">
        <f t="shared" si="96"/>
        <v/>
      </c>
      <c r="DO58" s="97" t="str">
        <f t="shared" si="97"/>
        <v/>
      </c>
      <c r="DP58" s="97" t="str">
        <f t="shared" si="98"/>
        <v/>
      </c>
      <c r="DQ58" s="97" t="str">
        <f t="shared" si="99"/>
        <v/>
      </c>
      <c r="DR58" s="97" t="str">
        <f t="shared" si="100"/>
        <v/>
      </c>
      <c r="DS58" s="98">
        <f t="shared" si="101"/>
        <v>0</v>
      </c>
      <c r="DT58" s="98">
        <f t="shared" si="102"/>
        <v>0</v>
      </c>
      <c r="DU58" s="98">
        <f t="shared" si="103"/>
        <v>0</v>
      </c>
      <c r="DV58" s="98">
        <f t="shared" si="104"/>
        <v>0</v>
      </c>
      <c r="DW58" s="98">
        <f t="shared" si="105"/>
        <v>0</v>
      </c>
      <c r="DX58" s="98" t="str">
        <f t="shared" si="106"/>
        <v/>
      </c>
      <c r="DY58" s="99" t="str">
        <f t="shared" si="107"/>
        <v/>
      </c>
      <c r="DZ58" s="74" t="str">
        <f>IF('Marks Entry'!AY58="","",'Marks Entry'!AY58)</f>
        <v/>
      </c>
      <c r="EA58" s="74" t="str">
        <f>IF('Marks Entry'!AZ58="","",'Marks Entry'!AZ58)</f>
        <v/>
      </c>
      <c r="EB58" s="74" t="str">
        <f>IF('Marks Entry'!BA58="","",'Marks Entry'!BA58)</f>
        <v/>
      </c>
      <c r="EC58" s="527" t="str">
        <f t="shared" si="52"/>
        <v/>
      </c>
      <c r="ED58" s="74" t="str">
        <f>IF('Marks Entry'!BB58="","",'Marks Entry'!BB58)</f>
        <v/>
      </c>
      <c r="EE58" s="528" t="str">
        <f t="shared" si="53"/>
        <v/>
      </c>
      <c r="EF58" s="74" t="str">
        <f>IF('Marks Entry'!BC58="","",'Marks Entry'!BC58)</f>
        <v/>
      </c>
      <c r="EG58" s="530" t="str">
        <f t="shared" si="54"/>
        <v/>
      </c>
      <c r="EH58" s="368" t="str">
        <f t="shared" si="108"/>
        <v/>
      </c>
      <c r="EI58" s="65">
        <f t="shared" si="109"/>
        <v>0</v>
      </c>
      <c r="EJ58" s="65">
        <f t="shared" si="110"/>
        <v>0</v>
      </c>
      <c r="EK58" s="66" t="str">
        <f t="shared" si="111"/>
        <v/>
      </c>
      <c r="EL58" s="74" t="str">
        <f>IF('Marks Entry'!BD58="","",'Marks Entry'!BD58)</f>
        <v/>
      </c>
      <c r="EM58" s="74" t="str">
        <f>IF('Marks Entry'!BE58="","",'Marks Entry'!BE58)</f>
        <v/>
      </c>
      <c r="EN58" s="74" t="str">
        <f>IF('Marks Entry'!BF58="","",'Marks Entry'!BF58)</f>
        <v/>
      </c>
      <c r="EO58" s="527" t="str">
        <f t="shared" si="55"/>
        <v/>
      </c>
      <c r="EP58" s="74" t="str">
        <f>IF('Marks Entry'!BG58="","",'Marks Entry'!BG58)</f>
        <v/>
      </c>
      <c r="EQ58" s="74" t="str">
        <f>IF('Marks Entry'!BH58="","",'Marks Entry'!BH58)</f>
        <v/>
      </c>
      <c r="ER58" s="528" t="str">
        <f t="shared" si="56"/>
        <v/>
      </c>
      <c r="ES58" s="529" t="str">
        <f t="shared" si="57"/>
        <v/>
      </c>
      <c r="ET58" s="74" t="str">
        <f>IF('Marks Entry'!BI58="","",'Marks Entry'!BI58)</f>
        <v/>
      </c>
      <c r="EU58" s="74" t="str">
        <f>IF('Marks Entry'!BJ58="","",'Marks Entry'!BJ58)</f>
        <v/>
      </c>
      <c r="EV58" s="528" t="str">
        <f t="shared" si="58"/>
        <v/>
      </c>
      <c r="EW58" s="530" t="str">
        <f t="shared" si="59"/>
        <v/>
      </c>
      <c r="EX58" s="368" t="str">
        <f t="shared" si="112"/>
        <v/>
      </c>
      <c r="EY58" s="65">
        <f t="shared" si="113"/>
        <v>0</v>
      </c>
      <c r="EZ58" s="65">
        <f t="shared" si="114"/>
        <v>0</v>
      </c>
      <c r="FA58" s="66" t="str">
        <f t="shared" si="115"/>
        <v/>
      </c>
      <c r="FB58" s="74" t="str">
        <f>IF('Marks Entry'!BK58="","",'Marks Entry'!BK58)</f>
        <v/>
      </c>
      <c r="FC58" s="74" t="str">
        <f>IF('Marks Entry'!BL58="","",'Marks Entry'!BL58)</f>
        <v/>
      </c>
      <c r="FD58" s="74" t="str">
        <f>IF('Marks Entry'!BM58="","",'Marks Entry'!BM58)</f>
        <v/>
      </c>
      <c r="FE58" s="74" t="str">
        <f>IF('Marks Entry'!BN58="","",'Marks Entry'!BN58)</f>
        <v/>
      </c>
      <c r="FF58" s="74" t="str">
        <f>IF('Marks Entry'!BO58="","",'Marks Entry'!BO58)</f>
        <v/>
      </c>
      <c r="FG58" s="74" t="str">
        <f>IF('Marks Entry'!BP58="","",'Marks Entry'!BP58)</f>
        <v/>
      </c>
      <c r="FH58" s="527" t="str">
        <f t="shared" si="60"/>
        <v/>
      </c>
      <c r="FI58" s="74" t="str">
        <f>IF('Marks Entry'!BQ58="","",'Marks Entry'!BQ58)</f>
        <v/>
      </c>
      <c r="FJ58" s="74" t="str">
        <f>IF('Marks Entry'!BR58="","",'Marks Entry'!BR58)</f>
        <v/>
      </c>
      <c r="FK58" s="528" t="str">
        <f t="shared" si="61"/>
        <v/>
      </c>
      <c r="FL58" s="529" t="str">
        <f t="shared" si="62"/>
        <v/>
      </c>
      <c r="FM58" s="74" t="str">
        <f>IF('Marks Entry'!BS58="","",'Marks Entry'!BS58)</f>
        <v/>
      </c>
      <c r="FN58" s="74" t="str">
        <f>IF('Marks Entry'!BT58="","",'Marks Entry'!BT58)</f>
        <v/>
      </c>
      <c r="FO58" s="528" t="str">
        <f t="shared" si="63"/>
        <v/>
      </c>
      <c r="FP58" s="530" t="str">
        <f t="shared" si="64"/>
        <v/>
      </c>
      <c r="FQ58" s="368" t="str">
        <f t="shared" si="116"/>
        <v/>
      </c>
      <c r="FR58" s="65">
        <f t="shared" si="117"/>
        <v>0</v>
      </c>
      <c r="FS58" s="65">
        <f t="shared" si="118"/>
        <v>0</v>
      </c>
      <c r="FT58" s="66" t="str">
        <f t="shared" si="119"/>
        <v/>
      </c>
      <c r="FU58" s="74" t="str">
        <f>IF('Marks Entry'!BU58="","",'Marks Entry'!BU58)</f>
        <v/>
      </c>
      <c r="FV58" s="74" t="str">
        <f>IF('Marks Entry'!BV58="","",'Marks Entry'!BV58)</f>
        <v/>
      </c>
      <c r="FW58" s="74" t="str">
        <f>IF('Marks Entry'!BW58="","",'Marks Entry'!BW58)</f>
        <v/>
      </c>
      <c r="FX58" s="75" t="str">
        <f t="shared" si="65"/>
        <v/>
      </c>
      <c r="FY58" s="368" t="str">
        <f t="shared" si="120"/>
        <v/>
      </c>
      <c r="FZ58" s="65">
        <f t="shared" si="121"/>
        <v>0</v>
      </c>
      <c r="GA58" s="66">
        <f t="shared" si="122"/>
        <v>0</v>
      </c>
      <c r="GB58" s="66" t="str">
        <f t="shared" si="123"/>
        <v/>
      </c>
      <c r="GC58" s="74" t="str">
        <f>IF('Marks Entry'!BX58="","",'Marks Entry'!BX58)</f>
        <v/>
      </c>
      <c r="GD58" s="74" t="str">
        <f>IF('Marks Entry'!BY58="","",'Marks Entry'!BY58)</f>
        <v/>
      </c>
      <c r="GE58" s="74" t="str">
        <f>IF('Marks Entry'!BZ58="","",'Marks Entry'!BZ58)</f>
        <v/>
      </c>
      <c r="GF58" s="75" t="str">
        <f t="shared" si="124"/>
        <v/>
      </c>
      <c r="GG58" s="368" t="str">
        <f t="shared" si="125"/>
        <v/>
      </c>
      <c r="GH58" s="65">
        <f t="shared" si="126"/>
        <v>0</v>
      </c>
      <c r="GI58" s="66">
        <f t="shared" si="127"/>
        <v>0</v>
      </c>
      <c r="GJ58" s="66" t="str">
        <f t="shared" si="128"/>
        <v/>
      </c>
      <c r="GK58" s="100" t="str">
        <f>IF(AND(F58="",B58=""),"",IF('Student DATA Entry'!M55="","",'Student DATA Entry'!M55))</f>
        <v/>
      </c>
      <c r="GL58" s="101" t="str">
        <f>IF(AND(B58="",F58=""),"",IF('Student DATA Entry'!N55="","",'Student DATA Entry'!N55))</f>
        <v/>
      </c>
      <c r="GM58" s="581" t="str">
        <f t="shared" si="129"/>
        <v/>
      </c>
      <c r="GN58" s="94" t="str">
        <f t="shared" si="130"/>
        <v/>
      </c>
      <c r="GO58" s="94" t="str">
        <f t="shared" si="131"/>
        <v/>
      </c>
      <c r="GP58" s="102" t="str">
        <f t="shared" si="162"/>
        <v/>
      </c>
      <c r="GQ58" s="94" t="str">
        <f t="shared" si="132"/>
        <v/>
      </c>
      <c r="GR58" s="103" t="str">
        <f t="shared" si="133"/>
        <v/>
      </c>
      <c r="GS58" s="102" t="str">
        <f t="shared" si="163"/>
        <v/>
      </c>
      <c r="GT58" s="104" t="str">
        <f t="shared" si="134"/>
        <v/>
      </c>
      <c r="GU58" s="94" t="str">
        <f>IF('Marks Entry'!V58=1,GT58,"")</f>
        <v/>
      </c>
      <c r="GV58" s="94" t="str">
        <f>IF('Marks Entry'!V58=2,GT58,"")</f>
        <v/>
      </c>
      <c r="GW58" s="94" t="str">
        <f>IF('Marks Entry'!V58=3,GT58,"")</f>
        <v/>
      </c>
      <c r="GX58" s="94" t="str">
        <f>IF('Marks Entry'!V58=4,GT58,"")</f>
        <v/>
      </c>
      <c r="GY58" s="94" t="str">
        <f>IF('Marks Entry'!V58=5,GT58,"")</f>
        <v/>
      </c>
      <c r="GZ58" s="94" t="str">
        <f t="shared" si="135"/>
        <v/>
      </c>
      <c r="HA58" s="105" t="str">
        <f t="shared" si="164"/>
        <v/>
      </c>
      <c r="HB58" s="94" t="str">
        <f t="shared" si="136"/>
        <v/>
      </c>
      <c r="HC58" s="94" t="str">
        <f t="shared" si="137"/>
        <v/>
      </c>
      <c r="HD58" s="105" t="str">
        <f t="shared" si="165"/>
        <v/>
      </c>
      <c r="HE58" s="94" t="str">
        <f t="shared" si="138"/>
        <v/>
      </c>
      <c r="HF58" s="94" t="str">
        <f t="shared" si="139"/>
        <v/>
      </c>
      <c r="HG58" s="105" t="str">
        <f t="shared" si="166"/>
        <v/>
      </c>
      <c r="HH58" s="94" t="str">
        <f t="shared" si="140"/>
        <v/>
      </c>
      <c r="HI58" s="94" t="str">
        <f t="shared" si="141"/>
        <v/>
      </c>
      <c r="HJ58" s="105" t="str">
        <f t="shared" si="167"/>
        <v/>
      </c>
      <c r="HK58" s="94" t="str">
        <f t="shared" si="142"/>
        <v/>
      </c>
      <c r="HL58" s="94" t="str">
        <f t="shared" si="143"/>
        <v/>
      </c>
      <c r="HM58" s="105" t="str">
        <f t="shared" si="168"/>
        <v/>
      </c>
      <c r="HN58" s="367" t="str">
        <f t="shared" si="144"/>
        <v xml:space="preserve">      </v>
      </c>
      <c r="HO58" s="418" t="str">
        <f t="shared" si="169"/>
        <v xml:space="preserve">      </v>
      </c>
      <c r="HP58" s="367" t="str">
        <f t="shared" si="146"/>
        <v xml:space="preserve">      </v>
      </c>
      <c r="HQ58" s="107" t="str">
        <f t="shared" si="147"/>
        <v xml:space="preserve">      </v>
      </c>
      <c r="HR58" s="366" t="str">
        <f t="shared" si="148"/>
        <v xml:space="preserve">      </v>
      </c>
      <c r="HS58" s="544" t="str">
        <f t="shared" si="170"/>
        <v/>
      </c>
      <c r="HT58" s="542" t="str">
        <f t="shared" si="149"/>
        <v/>
      </c>
      <c r="HU58" s="541" t="str">
        <f t="shared" si="160"/>
        <v/>
      </c>
      <c r="HV58" s="540" t="str">
        <f t="shared" si="150"/>
        <v/>
      </c>
      <c r="HW58" s="537" t="str">
        <f t="shared" si="151"/>
        <v/>
      </c>
      <c r="HX58" s="539" t="str">
        <f t="shared" si="152"/>
        <v/>
      </c>
      <c r="HY58" s="553" t="str">
        <f>IFERROR(IF(OR(HS58="SUPPLEMENTARY",HS58="RE-EXAM"),'Supp. Result Entry'!AQ56,""),"")</f>
        <v/>
      </c>
      <c r="HZ58" s="538" t="str">
        <f t="shared" si="153"/>
        <v/>
      </c>
      <c r="IA58" s="415" t="str">
        <f t="shared" si="154"/>
        <v/>
      </c>
      <c r="IB58" s="415" t="str">
        <f>IF(AND(HZ58="",IA58=""),"",IF(OR(HS58="SUPPLEMENTARY",HS58="RE-EXAM"),'Supp. Result Entry'!AQ56,HS58))</f>
        <v/>
      </c>
      <c r="IC58" s="87"/>
      <c r="IS58" s="109" t="str">
        <f>IF('Supp. Result Entry'!T56="","",'Supp. Result Entry'!$T$4)</f>
        <v/>
      </c>
      <c r="IT58" s="110" t="str">
        <f>IF('Supp. Result Entry'!W56="","",'Supp. Result Entry'!$W$4)</f>
        <v/>
      </c>
      <c r="IU58" s="110" t="str">
        <f>IF('Supp. Result Entry'!Z56="","",'Supp. Result Entry'!$Z$4)</f>
        <v/>
      </c>
      <c r="IV58" s="110" t="str">
        <f>IF('Supp. Result Entry'!AC56="","",'Supp. Result Entry'!$AC$4)</f>
        <v/>
      </c>
      <c r="IW58" s="110" t="str">
        <f>IF('Supp. Result Entry'!AF56="","",'Supp. Result Entry'!$AF$4)</f>
        <v/>
      </c>
      <c r="IX58" s="110" t="str">
        <f>IF('Supp. Result Entry'!AI56="","",'Supp. Result Entry'!$AI$4)</f>
        <v/>
      </c>
      <c r="IY58" s="110" t="str">
        <f>IF('Supp. Result Entry'!AI56="","",'Supp. Result Entry'!$AL$4)</f>
        <v/>
      </c>
      <c r="IZ58" s="110" t="str">
        <f>IF('Supp. Result Entry'!U56="","",'Supp. Result Entry'!U56)</f>
        <v/>
      </c>
      <c r="JA58" s="110" t="str">
        <f>IF('Supp. Result Entry'!X56="","",'Supp. Result Entry'!X56)</f>
        <v/>
      </c>
      <c r="JB58" s="110" t="str">
        <f>IF('Supp. Result Entry'!AA56="","",'Supp. Result Entry'!AA56)</f>
        <v/>
      </c>
      <c r="JC58" s="110" t="str">
        <f>IF('Supp. Result Entry'!AD56="","",'Supp. Result Entry'!AD56)</f>
        <v/>
      </c>
      <c r="JD58" s="110" t="str">
        <f>IF('Supp. Result Entry'!AG56="","",'Supp. Result Entry'!AG56)</f>
        <v/>
      </c>
      <c r="JE58" s="110" t="str">
        <f>IF('Supp. Result Entry'!AJ56="","",'Supp. Result Entry'!AJ56)</f>
        <v/>
      </c>
      <c r="JF58" s="110" t="str">
        <f>IF('Supp. Result Entry'!AM56="","",'Supp. Result Entry'!AM56)</f>
        <v/>
      </c>
      <c r="JG58" s="110" t="str">
        <f>IF('Supp. Result Entry'!V56="","",'Supp. Result Entry'!V56)</f>
        <v/>
      </c>
      <c r="JH58" s="110" t="str">
        <f>IF('Supp. Result Entry'!Y56="","",'Supp. Result Entry'!Y56)</f>
        <v/>
      </c>
      <c r="JI58" s="110" t="str">
        <f>IF('Supp. Result Entry'!AB56="","",'Supp. Result Entry'!AB56)</f>
        <v/>
      </c>
      <c r="JJ58" s="110" t="str">
        <f>IF('Supp. Result Entry'!AE56="","",'Supp. Result Entry'!AE56)</f>
        <v/>
      </c>
      <c r="JK58" s="110" t="str">
        <f>IF('Supp. Result Entry'!AH56="","",'Supp. Result Entry'!AH56)</f>
        <v/>
      </c>
      <c r="JL58" s="110" t="str">
        <f>IF('Supp. Result Entry'!AK56="","",'Supp. Result Entry'!AK56)</f>
        <v/>
      </c>
      <c r="JM58" s="110" t="str">
        <f>IF('Supp. Result Entry'!AN56="","",'Supp. Result Entry'!AN56)</f>
        <v/>
      </c>
      <c r="JN58" s="110">
        <f>COUNTIF('Supp. Result Entry'!K56:Q56,"S")</f>
        <v>0</v>
      </c>
      <c r="JO58" s="110">
        <f t="shared" si="155"/>
        <v>0</v>
      </c>
      <c r="JP58" s="110">
        <f t="shared" si="156"/>
        <v>0</v>
      </c>
      <c r="JQ58" s="110" t="str">
        <f t="shared" si="75"/>
        <v/>
      </c>
      <c r="JR58" s="110" t="str">
        <f t="shared" si="76"/>
        <v/>
      </c>
      <c r="JS58" s="110" t="str">
        <f t="shared" si="77"/>
        <v/>
      </c>
      <c r="JT58" s="110" t="str">
        <f t="shared" si="78"/>
        <v/>
      </c>
      <c r="JU58" s="110" t="str">
        <f t="shared" si="79"/>
        <v/>
      </c>
      <c r="JV58" s="110" t="str">
        <f t="shared" si="80"/>
        <v/>
      </c>
      <c r="JW58" s="110" t="str">
        <f t="shared" si="81"/>
        <v/>
      </c>
      <c r="JX58" s="110" t="str">
        <f t="shared" si="157"/>
        <v/>
      </c>
      <c r="JY58" s="110" t="str">
        <f t="shared" si="158"/>
        <v/>
      </c>
      <c r="JZ58" s="110" t="str">
        <f t="shared" si="82"/>
        <v/>
      </c>
      <c r="KA58" s="108" t="str">
        <f t="shared" si="159"/>
        <v/>
      </c>
    </row>
    <row r="59" spans="1:287" s="108" customFormat="1" ht="21.95" customHeight="1">
      <c r="A59" s="89">
        <v>53</v>
      </c>
      <c r="B59" s="90" t="str">
        <f>IF('Marks Entry'!B59="","",'Marks Entry'!B59)</f>
        <v/>
      </c>
      <c r="C59" s="94" t="str">
        <f>IF('Marks Entry'!D59="","",'Marks Entry'!D59)</f>
        <v/>
      </c>
      <c r="D59" s="91" t="str">
        <f>IF('Marks Entry'!E59="","",'Marks Entry'!E59)</f>
        <v/>
      </c>
      <c r="E59" s="92" t="str">
        <f>IF('Marks Entry'!F59="","",'Marks Entry'!F59)</f>
        <v/>
      </c>
      <c r="F59" s="93" t="str">
        <f>IF('Marks Entry'!G59="","",'Marks Entry'!G59)</f>
        <v/>
      </c>
      <c r="G59" s="93" t="str">
        <f>IF('Marks Entry'!H59="","",'Marks Entry'!H59)</f>
        <v/>
      </c>
      <c r="H59" s="93" t="str">
        <f>IF('Marks Entry'!I59="","",'Marks Entry'!I59)</f>
        <v/>
      </c>
      <c r="I59" s="94" t="str">
        <f>IF('Marks Entry'!J59="","",'Marks Entry'!J59)</f>
        <v/>
      </c>
      <c r="J59" s="95" t="str">
        <f>IF('Marks Entry'!K59="","",'Marks Entry'!K59)</f>
        <v/>
      </c>
      <c r="K59" s="68" t="str">
        <f>IF('Marks Entry'!L59="","",'Marks Entry'!L59)</f>
        <v/>
      </c>
      <c r="L59" s="68" t="str">
        <f>IF('Marks Entry'!M59="","",'Marks Entry'!M59)</f>
        <v/>
      </c>
      <c r="M59" s="68" t="str">
        <f>IF('Marks Entry'!N59="","",'Marks Entry'!N59)</f>
        <v/>
      </c>
      <c r="N59" s="514" t="str">
        <f t="shared" si="83"/>
        <v/>
      </c>
      <c r="O59" s="68" t="str">
        <f>IF('Marks Entry'!O59="","",'Marks Entry'!O59)</f>
        <v/>
      </c>
      <c r="P59" s="515" t="str">
        <f t="shared" si="84"/>
        <v/>
      </c>
      <c r="Q59" s="68" t="str">
        <f>IF('Marks Entry'!P59="","",'Marks Entry'!P59)</f>
        <v/>
      </c>
      <c r="R59" s="96" t="str">
        <f t="shared" si="85"/>
        <v/>
      </c>
      <c r="S59" s="65">
        <f t="shared" si="86"/>
        <v>0</v>
      </c>
      <c r="T59" s="65">
        <f t="shared" si="87"/>
        <v>0</v>
      </c>
      <c r="U59" s="66" t="str">
        <f t="shared" si="88"/>
        <v/>
      </c>
      <c r="V59" s="65" t="str">
        <f t="shared" si="89"/>
        <v/>
      </c>
      <c r="W59" s="65" t="str">
        <f t="shared" si="90"/>
        <v/>
      </c>
      <c r="X59" s="65" t="str">
        <f t="shared" si="91"/>
        <v/>
      </c>
      <c r="Y59" s="68" t="str">
        <f>IF('Marks Entry'!Q59="","",'Marks Entry'!Q59)</f>
        <v/>
      </c>
      <c r="Z59" s="68" t="str">
        <f>IF('Marks Entry'!R59="","",'Marks Entry'!R59)</f>
        <v/>
      </c>
      <c r="AA59" s="68" t="str">
        <f>IF('Marks Entry'!S59="","",'Marks Entry'!S59)</f>
        <v/>
      </c>
      <c r="AB59" s="514" t="str">
        <f t="shared" si="2"/>
        <v/>
      </c>
      <c r="AC59" s="68" t="str">
        <f>IF('Marks Entry'!T59="","",'Marks Entry'!T59)</f>
        <v/>
      </c>
      <c r="AD59" s="515" t="str">
        <f t="shared" si="3"/>
        <v/>
      </c>
      <c r="AE59" s="68" t="str">
        <f>IF('Marks Entry'!U59="","",'Marks Entry'!U59)</f>
        <v/>
      </c>
      <c r="AF59" s="96" t="str">
        <f t="shared" si="4"/>
        <v/>
      </c>
      <c r="AG59" s="65">
        <f t="shared" si="5"/>
        <v>0</v>
      </c>
      <c r="AH59" s="65">
        <f t="shared" si="6"/>
        <v>0</v>
      </c>
      <c r="AI59" s="66" t="str">
        <f t="shared" si="7"/>
        <v/>
      </c>
      <c r="AJ59" s="65" t="str">
        <f t="shared" si="8"/>
        <v/>
      </c>
      <c r="AK59" s="65" t="str">
        <f t="shared" si="9"/>
        <v/>
      </c>
      <c r="AL59" s="65" t="str">
        <f t="shared" si="10"/>
        <v/>
      </c>
      <c r="AM59" s="524" t="str">
        <f>IF('Marks Entry'!V59="","",IF('Marks Entry'!V59=1,'School Profile'!$I$9,IF('Marks Entry'!V59=2,'School Profile'!$I$10,IF('Marks Entry'!V59=3,'School Profile'!$I$11,IF('Marks Entry'!V59=4,'School Profile'!$I$12,IF('Marks Entry'!V59=5,'School Profile'!$I$13,IF('Marks Entry'!V59=6,'School Profile'!$I$14,"")))))))</f>
        <v/>
      </c>
      <c r="AN59" s="68" t="str">
        <f>IF('Marks Entry'!W59="","",'Marks Entry'!W59)</f>
        <v/>
      </c>
      <c r="AO59" s="68" t="str">
        <f>IF('Marks Entry'!X59="","",'Marks Entry'!X59)</f>
        <v/>
      </c>
      <c r="AP59" s="68" t="str">
        <f>IF('Marks Entry'!Y59="","",'Marks Entry'!Y59)</f>
        <v/>
      </c>
      <c r="AQ59" s="514" t="str">
        <f t="shared" si="11"/>
        <v/>
      </c>
      <c r="AR59" s="68" t="str">
        <f>IF('Marks Entry'!Z59="","",'Marks Entry'!Z59)</f>
        <v/>
      </c>
      <c r="AS59" s="515" t="str">
        <f t="shared" si="12"/>
        <v/>
      </c>
      <c r="AT59" s="68" t="str">
        <f>IF('Marks Entry'!AA59="","",'Marks Entry'!AA59)</f>
        <v/>
      </c>
      <c r="AU59" s="96" t="str">
        <f t="shared" si="13"/>
        <v/>
      </c>
      <c r="AV59" s="65">
        <f t="shared" si="14"/>
        <v>0</v>
      </c>
      <c r="AW59" s="65">
        <f t="shared" si="15"/>
        <v>0</v>
      </c>
      <c r="AX59" s="66" t="str">
        <f t="shared" si="16"/>
        <v/>
      </c>
      <c r="AY59" s="65" t="str">
        <f t="shared" si="17"/>
        <v/>
      </c>
      <c r="AZ59" s="65" t="str">
        <f t="shared" si="18"/>
        <v/>
      </c>
      <c r="BA59" s="65" t="str">
        <f t="shared" si="19"/>
        <v/>
      </c>
      <c r="BB59" s="68" t="str">
        <f>IF('Marks Entry'!AB59="","",'Marks Entry'!AB59)</f>
        <v/>
      </c>
      <c r="BC59" s="68" t="str">
        <f>IF('Marks Entry'!AC59="","",'Marks Entry'!AC59)</f>
        <v/>
      </c>
      <c r="BD59" s="68" t="str">
        <f>IF('Marks Entry'!AD59="","",'Marks Entry'!AD59)</f>
        <v/>
      </c>
      <c r="BE59" s="514" t="str">
        <f t="shared" si="20"/>
        <v/>
      </c>
      <c r="BF59" s="68" t="str">
        <f>IF('Marks Entry'!AE59="","",'Marks Entry'!AE59)</f>
        <v/>
      </c>
      <c r="BG59" s="515" t="str">
        <f t="shared" si="21"/>
        <v/>
      </c>
      <c r="BH59" s="68" t="str">
        <f>IF('Marks Entry'!AF59="","",'Marks Entry'!AF59)</f>
        <v/>
      </c>
      <c r="BI59" s="96" t="str">
        <f t="shared" si="22"/>
        <v/>
      </c>
      <c r="BJ59" s="65">
        <f t="shared" si="23"/>
        <v>0</v>
      </c>
      <c r="BK59" s="65">
        <f t="shared" si="92"/>
        <v>0</v>
      </c>
      <c r="BL59" s="66" t="str">
        <f t="shared" si="24"/>
        <v/>
      </c>
      <c r="BM59" s="65" t="str">
        <f t="shared" si="25"/>
        <v/>
      </c>
      <c r="BN59" s="65" t="str">
        <f t="shared" si="26"/>
        <v/>
      </c>
      <c r="BO59" s="65" t="str">
        <f t="shared" si="27"/>
        <v/>
      </c>
      <c r="BP59" s="68" t="str">
        <f>IF('Marks Entry'!AG59="","",'Marks Entry'!AG59)</f>
        <v/>
      </c>
      <c r="BQ59" s="68" t="str">
        <f>IF('Marks Entry'!AH59="","",'Marks Entry'!AH59)</f>
        <v/>
      </c>
      <c r="BR59" s="68" t="str">
        <f>IF('Marks Entry'!AI59="","",'Marks Entry'!AI59)</f>
        <v/>
      </c>
      <c r="BS59" s="514" t="str">
        <f t="shared" si="28"/>
        <v/>
      </c>
      <c r="BT59" s="68" t="str">
        <f>IF('Marks Entry'!AJ59="","",'Marks Entry'!AJ59)</f>
        <v/>
      </c>
      <c r="BU59" s="515" t="str">
        <f t="shared" si="29"/>
        <v/>
      </c>
      <c r="BV59" s="68" t="str">
        <f>IF('Marks Entry'!AK59="","",'Marks Entry'!AK59)</f>
        <v/>
      </c>
      <c r="BW59" s="96" t="str">
        <f t="shared" si="30"/>
        <v/>
      </c>
      <c r="BX59" s="65">
        <f t="shared" si="31"/>
        <v>0</v>
      </c>
      <c r="BY59" s="65">
        <f t="shared" si="32"/>
        <v>0</v>
      </c>
      <c r="BZ59" s="66" t="str">
        <f t="shared" si="33"/>
        <v/>
      </c>
      <c r="CA59" s="65" t="str">
        <f t="shared" si="34"/>
        <v/>
      </c>
      <c r="CB59" s="65" t="str">
        <f t="shared" si="35"/>
        <v/>
      </c>
      <c r="CC59" s="65" t="str">
        <f t="shared" si="36"/>
        <v/>
      </c>
      <c r="CD59" s="66">
        <f t="shared" si="161"/>
        <v>0</v>
      </c>
      <c r="CE59" s="68" t="str">
        <f>IF('Marks Entry'!AL59="","",'Marks Entry'!AL59)</f>
        <v/>
      </c>
      <c r="CF59" s="68" t="str">
        <f>IF('Marks Entry'!AM59="","",'Marks Entry'!AM59)</f>
        <v/>
      </c>
      <c r="CG59" s="68" t="str">
        <f>IF('Marks Entry'!AN59="","",'Marks Entry'!AN59)</f>
        <v/>
      </c>
      <c r="CH59" s="514" t="str">
        <f t="shared" si="37"/>
        <v/>
      </c>
      <c r="CI59" s="68" t="str">
        <f>IF('Marks Entry'!AO59="","",'Marks Entry'!AO59)</f>
        <v/>
      </c>
      <c r="CJ59" s="515" t="str">
        <f t="shared" si="38"/>
        <v/>
      </c>
      <c r="CK59" s="68" t="str">
        <f>IF('Marks Entry'!AP59="","",'Marks Entry'!AP59)</f>
        <v/>
      </c>
      <c r="CL59" s="96" t="str">
        <f t="shared" si="39"/>
        <v/>
      </c>
      <c r="CM59" s="65">
        <f t="shared" si="40"/>
        <v>0</v>
      </c>
      <c r="CN59" s="65">
        <f t="shared" si="41"/>
        <v>0</v>
      </c>
      <c r="CO59" s="66" t="str">
        <f t="shared" si="42"/>
        <v/>
      </c>
      <c r="CP59" s="65" t="str">
        <f t="shared" si="43"/>
        <v/>
      </c>
      <c r="CQ59" s="65" t="str">
        <f t="shared" si="44"/>
        <v/>
      </c>
      <c r="CR59" s="65" t="str">
        <f t="shared" si="45"/>
        <v/>
      </c>
      <c r="CS59" s="616" t="str">
        <f>IF('School Profile'!$D$20="NO","",IF('Marks Entry'!AQ59="","",IF('Marks Entry'!AQ59=1,'School Profile'!$I$29,IF('Marks Entry'!AQ59=2,'School Profile'!$I$30,IF('Marks Entry'!AQ59=3,'School Profile'!$I$31,IF('Marks Entry'!AQ59=4,'School Profile'!$I$32,IF('Marks Entry'!AQ59=5,'School Profile'!$I$33,IF('Marks Entry'!AQ59=6,'School Profile'!$I$34,IF('Marks Entry'!AQ59=7,'School Profile'!$I$35,IF('Marks Entry'!AQ59=8,'School Profile'!$I$36,IF('Marks Entry'!AQ59=9,'School Profile'!$I$37,IF('Marks Entry'!AQ59=10,'School Profile'!$I$38,IF('Marks Entry'!AQ59=11,'School Profile'!$I$39,"")))))))))))))</f>
        <v/>
      </c>
      <c r="CT59" s="68" t="str">
        <f>IF('School Profile'!$D$20="NO","",IF('Marks Entry'!AR59="","",'Marks Entry'!AR59))</f>
        <v/>
      </c>
      <c r="CU59" s="68" t="str">
        <f>IF('School Profile'!$D$20="NO","",IF('Marks Entry'!AS59="","",'Marks Entry'!AS59))</f>
        <v/>
      </c>
      <c r="CV59" s="68" t="str">
        <f>IF('School Profile'!$D$20="NO","",IF('Marks Entry'!AT59="","",'Marks Entry'!AT59))</f>
        <v/>
      </c>
      <c r="CW59" s="514" t="str">
        <f>IF('School Profile'!$D$20="NO","",IF(AND(CT59="",CU59="",CV59=""),"",SUM(CT59:CV59)))</f>
        <v/>
      </c>
      <c r="CX59" s="68" t="str">
        <f>IF('School Profile'!$D$20="NO","",IF('Marks Entry'!AU59="","",'Marks Entry'!AU59))</f>
        <v/>
      </c>
      <c r="CY59" s="68" t="str">
        <f>IF('School Profile'!$D$20="NO","",IF('Marks Entry'!AV59="","",'Marks Entry'!AV59))</f>
        <v/>
      </c>
      <c r="CZ59" s="515" t="str">
        <f>IF('School Profile'!$D$20="NO","",IF(AND(CX59="",CY59=""),"",SUM(CX59,CY59)))</f>
        <v/>
      </c>
      <c r="DA59" s="69" t="str">
        <f>IF('School Profile'!$D$20="NO","",IF(AND(CW59="",CZ59=""),"",SUM(CW59+CZ59)))</f>
        <v/>
      </c>
      <c r="DB59" s="68" t="str">
        <f>IF('School Profile'!$D$20="NO","",IF('Marks Entry'!AW59="","",'Marks Entry'!AW59))</f>
        <v/>
      </c>
      <c r="DC59" s="68" t="str">
        <f>IF('School Profile'!$D$20="NO","",IF('Marks Entry'!AX59="","",'Marks Entry'!AX59))</f>
        <v/>
      </c>
      <c r="DD59" s="515" t="str">
        <f>IF('School Profile'!$D$20="NO","",IF(AND(DB59="",DC59=""),"",SUM(DB59,DC59)))</f>
        <v/>
      </c>
      <c r="DE59" s="96" t="str">
        <f>IF('School Profile'!$D$20="NO","",IF(AND(DA59="",DD59=""),"",SUM(DA59,DD59)))</f>
        <v/>
      </c>
      <c r="DF59" s="532">
        <f t="shared" si="46"/>
        <v>0</v>
      </c>
      <c r="DG59" s="65">
        <f t="shared" si="47"/>
        <v>0</v>
      </c>
      <c r="DH59" s="66" t="str">
        <f t="shared" si="48"/>
        <v/>
      </c>
      <c r="DI59" s="65" t="str">
        <f t="shared" si="49"/>
        <v/>
      </c>
      <c r="DJ59" s="65" t="str">
        <f t="shared" si="50"/>
        <v/>
      </c>
      <c r="DK59" s="65" t="str">
        <f t="shared" si="51"/>
        <v/>
      </c>
      <c r="DL59" s="97" t="str">
        <f t="shared" si="94"/>
        <v/>
      </c>
      <c r="DM59" s="97" t="str">
        <f t="shared" si="95"/>
        <v/>
      </c>
      <c r="DN59" s="97" t="str">
        <f t="shared" si="96"/>
        <v/>
      </c>
      <c r="DO59" s="97" t="str">
        <f t="shared" si="97"/>
        <v/>
      </c>
      <c r="DP59" s="97" t="str">
        <f t="shared" si="98"/>
        <v/>
      </c>
      <c r="DQ59" s="97" t="str">
        <f t="shared" si="99"/>
        <v/>
      </c>
      <c r="DR59" s="97" t="str">
        <f t="shared" si="100"/>
        <v/>
      </c>
      <c r="DS59" s="98">
        <f t="shared" si="101"/>
        <v>0</v>
      </c>
      <c r="DT59" s="98">
        <f t="shared" si="102"/>
        <v>0</v>
      </c>
      <c r="DU59" s="98">
        <f t="shared" si="103"/>
        <v>0</v>
      </c>
      <c r="DV59" s="98">
        <f t="shared" si="104"/>
        <v>0</v>
      </c>
      <c r="DW59" s="98">
        <f t="shared" si="105"/>
        <v>0</v>
      </c>
      <c r="DX59" s="98" t="str">
        <f t="shared" si="106"/>
        <v/>
      </c>
      <c r="DY59" s="99" t="str">
        <f t="shared" si="107"/>
        <v/>
      </c>
      <c r="DZ59" s="74" t="str">
        <f>IF('Marks Entry'!AY59="","",'Marks Entry'!AY59)</f>
        <v/>
      </c>
      <c r="EA59" s="74" t="str">
        <f>IF('Marks Entry'!AZ59="","",'Marks Entry'!AZ59)</f>
        <v/>
      </c>
      <c r="EB59" s="74" t="str">
        <f>IF('Marks Entry'!BA59="","",'Marks Entry'!BA59)</f>
        <v/>
      </c>
      <c r="EC59" s="527" t="str">
        <f t="shared" si="52"/>
        <v/>
      </c>
      <c r="ED59" s="74" t="str">
        <f>IF('Marks Entry'!BB59="","",'Marks Entry'!BB59)</f>
        <v/>
      </c>
      <c r="EE59" s="528" t="str">
        <f t="shared" si="53"/>
        <v/>
      </c>
      <c r="EF59" s="74" t="str">
        <f>IF('Marks Entry'!BC59="","",'Marks Entry'!BC59)</f>
        <v/>
      </c>
      <c r="EG59" s="530" t="str">
        <f t="shared" si="54"/>
        <v/>
      </c>
      <c r="EH59" s="368" t="str">
        <f t="shared" si="108"/>
        <v/>
      </c>
      <c r="EI59" s="65">
        <f t="shared" si="109"/>
        <v>0</v>
      </c>
      <c r="EJ59" s="65">
        <f t="shared" si="110"/>
        <v>0</v>
      </c>
      <c r="EK59" s="66" t="str">
        <f t="shared" si="111"/>
        <v/>
      </c>
      <c r="EL59" s="74" t="str">
        <f>IF('Marks Entry'!BD59="","",'Marks Entry'!BD59)</f>
        <v/>
      </c>
      <c r="EM59" s="74" t="str">
        <f>IF('Marks Entry'!BE59="","",'Marks Entry'!BE59)</f>
        <v/>
      </c>
      <c r="EN59" s="74" t="str">
        <f>IF('Marks Entry'!BF59="","",'Marks Entry'!BF59)</f>
        <v/>
      </c>
      <c r="EO59" s="527" t="str">
        <f t="shared" si="55"/>
        <v/>
      </c>
      <c r="EP59" s="74" t="str">
        <f>IF('Marks Entry'!BG59="","",'Marks Entry'!BG59)</f>
        <v/>
      </c>
      <c r="EQ59" s="74" t="str">
        <f>IF('Marks Entry'!BH59="","",'Marks Entry'!BH59)</f>
        <v/>
      </c>
      <c r="ER59" s="528" t="str">
        <f t="shared" si="56"/>
        <v/>
      </c>
      <c r="ES59" s="529" t="str">
        <f t="shared" si="57"/>
        <v/>
      </c>
      <c r="ET59" s="74" t="str">
        <f>IF('Marks Entry'!BI59="","",'Marks Entry'!BI59)</f>
        <v/>
      </c>
      <c r="EU59" s="74" t="str">
        <f>IF('Marks Entry'!BJ59="","",'Marks Entry'!BJ59)</f>
        <v/>
      </c>
      <c r="EV59" s="528" t="str">
        <f t="shared" si="58"/>
        <v/>
      </c>
      <c r="EW59" s="530" t="str">
        <f t="shared" si="59"/>
        <v/>
      </c>
      <c r="EX59" s="368" t="str">
        <f t="shared" si="112"/>
        <v/>
      </c>
      <c r="EY59" s="65">
        <f t="shared" si="113"/>
        <v>0</v>
      </c>
      <c r="EZ59" s="65">
        <f t="shared" si="114"/>
        <v>0</v>
      </c>
      <c r="FA59" s="66" t="str">
        <f t="shared" si="115"/>
        <v/>
      </c>
      <c r="FB59" s="74" t="str">
        <f>IF('Marks Entry'!BK59="","",'Marks Entry'!BK59)</f>
        <v/>
      </c>
      <c r="FC59" s="74" t="str">
        <f>IF('Marks Entry'!BL59="","",'Marks Entry'!BL59)</f>
        <v/>
      </c>
      <c r="FD59" s="74" t="str">
        <f>IF('Marks Entry'!BM59="","",'Marks Entry'!BM59)</f>
        <v/>
      </c>
      <c r="FE59" s="74" t="str">
        <f>IF('Marks Entry'!BN59="","",'Marks Entry'!BN59)</f>
        <v/>
      </c>
      <c r="FF59" s="74" t="str">
        <f>IF('Marks Entry'!BO59="","",'Marks Entry'!BO59)</f>
        <v/>
      </c>
      <c r="FG59" s="74" t="str">
        <f>IF('Marks Entry'!BP59="","",'Marks Entry'!BP59)</f>
        <v/>
      </c>
      <c r="FH59" s="527" t="str">
        <f t="shared" si="60"/>
        <v/>
      </c>
      <c r="FI59" s="74" t="str">
        <f>IF('Marks Entry'!BQ59="","",'Marks Entry'!BQ59)</f>
        <v/>
      </c>
      <c r="FJ59" s="74" t="str">
        <f>IF('Marks Entry'!BR59="","",'Marks Entry'!BR59)</f>
        <v/>
      </c>
      <c r="FK59" s="528" t="str">
        <f t="shared" si="61"/>
        <v/>
      </c>
      <c r="FL59" s="529" t="str">
        <f t="shared" si="62"/>
        <v/>
      </c>
      <c r="FM59" s="74" t="str">
        <f>IF('Marks Entry'!BS59="","",'Marks Entry'!BS59)</f>
        <v/>
      </c>
      <c r="FN59" s="74" t="str">
        <f>IF('Marks Entry'!BT59="","",'Marks Entry'!BT59)</f>
        <v/>
      </c>
      <c r="FO59" s="528" t="str">
        <f t="shared" si="63"/>
        <v/>
      </c>
      <c r="FP59" s="530" t="str">
        <f t="shared" si="64"/>
        <v/>
      </c>
      <c r="FQ59" s="368" t="str">
        <f t="shared" si="116"/>
        <v/>
      </c>
      <c r="FR59" s="65">
        <f t="shared" si="117"/>
        <v>0</v>
      </c>
      <c r="FS59" s="65">
        <f t="shared" si="118"/>
        <v>0</v>
      </c>
      <c r="FT59" s="66" t="str">
        <f t="shared" si="119"/>
        <v/>
      </c>
      <c r="FU59" s="74" t="str">
        <f>IF('Marks Entry'!BU59="","",'Marks Entry'!BU59)</f>
        <v/>
      </c>
      <c r="FV59" s="74" t="str">
        <f>IF('Marks Entry'!BV59="","",'Marks Entry'!BV59)</f>
        <v/>
      </c>
      <c r="FW59" s="74" t="str">
        <f>IF('Marks Entry'!BW59="","",'Marks Entry'!BW59)</f>
        <v/>
      </c>
      <c r="FX59" s="75" t="str">
        <f t="shared" si="65"/>
        <v/>
      </c>
      <c r="FY59" s="368" t="str">
        <f t="shared" si="120"/>
        <v/>
      </c>
      <c r="FZ59" s="65">
        <f t="shared" si="121"/>
        <v>0</v>
      </c>
      <c r="GA59" s="66">
        <f t="shared" si="122"/>
        <v>0</v>
      </c>
      <c r="GB59" s="66" t="str">
        <f t="shared" si="123"/>
        <v/>
      </c>
      <c r="GC59" s="74" t="str">
        <f>IF('Marks Entry'!BX59="","",'Marks Entry'!BX59)</f>
        <v/>
      </c>
      <c r="GD59" s="74" t="str">
        <f>IF('Marks Entry'!BY59="","",'Marks Entry'!BY59)</f>
        <v/>
      </c>
      <c r="GE59" s="74" t="str">
        <f>IF('Marks Entry'!BZ59="","",'Marks Entry'!BZ59)</f>
        <v/>
      </c>
      <c r="GF59" s="75" t="str">
        <f t="shared" si="124"/>
        <v/>
      </c>
      <c r="GG59" s="368" t="str">
        <f t="shared" si="125"/>
        <v/>
      </c>
      <c r="GH59" s="65">
        <f t="shared" si="126"/>
        <v>0</v>
      </c>
      <c r="GI59" s="66">
        <f t="shared" si="127"/>
        <v>0</v>
      </c>
      <c r="GJ59" s="66" t="str">
        <f t="shared" si="128"/>
        <v/>
      </c>
      <c r="GK59" s="100" t="str">
        <f>IF(AND(F59="",B59=""),"",IF('Student DATA Entry'!M56="","",'Student DATA Entry'!M56))</f>
        <v/>
      </c>
      <c r="GL59" s="101" t="str">
        <f>IF(AND(B59="",F59=""),"",IF('Student DATA Entry'!N56="","",'Student DATA Entry'!N56))</f>
        <v/>
      </c>
      <c r="GM59" s="581" t="str">
        <f t="shared" si="129"/>
        <v/>
      </c>
      <c r="GN59" s="94" t="str">
        <f t="shared" si="130"/>
        <v/>
      </c>
      <c r="GO59" s="94" t="str">
        <f t="shared" si="131"/>
        <v/>
      </c>
      <c r="GP59" s="102" t="str">
        <f t="shared" si="162"/>
        <v/>
      </c>
      <c r="GQ59" s="94" t="str">
        <f t="shared" si="132"/>
        <v/>
      </c>
      <c r="GR59" s="103" t="str">
        <f t="shared" si="133"/>
        <v/>
      </c>
      <c r="GS59" s="102" t="str">
        <f t="shared" si="163"/>
        <v/>
      </c>
      <c r="GT59" s="104" t="str">
        <f t="shared" si="134"/>
        <v/>
      </c>
      <c r="GU59" s="94" t="str">
        <f>IF('Marks Entry'!V59=1,GT59,"")</f>
        <v/>
      </c>
      <c r="GV59" s="94" t="str">
        <f>IF('Marks Entry'!V59=2,GT59,"")</f>
        <v/>
      </c>
      <c r="GW59" s="94" t="str">
        <f>IF('Marks Entry'!V59=3,GT59,"")</f>
        <v/>
      </c>
      <c r="GX59" s="94" t="str">
        <f>IF('Marks Entry'!V59=4,GT59,"")</f>
        <v/>
      </c>
      <c r="GY59" s="94" t="str">
        <f>IF('Marks Entry'!V59=5,GT59,"")</f>
        <v/>
      </c>
      <c r="GZ59" s="94" t="str">
        <f t="shared" si="135"/>
        <v/>
      </c>
      <c r="HA59" s="105" t="str">
        <f t="shared" si="164"/>
        <v/>
      </c>
      <c r="HB59" s="94" t="str">
        <f t="shared" si="136"/>
        <v/>
      </c>
      <c r="HC59" s="94" t="str">
        <f t="shared" si="137"/>
        <v/>
      </c>
      <c r="HD59" s="105" t="str">
        <f t="shared" si="165"/>
        <v/>
      </c>
      <c r="HE59" s="94" t="str">
        <f t="shared" si="138"/>
        <v/>
      </c>
      <c r="HF59" s="94" t="str">
        <f t="shared" si="139"/>
        <v/>
      </c>
      <c r="HG59" s="105" t="str">
        <f t="shared" si="166"/>
        <v/>
      </c>
      <c r="HH59" s="94" t="str">
        <f t="shared" si="140"/>
        <v/>
      </c>
      <c r="HI59" s="94" t="str">
        <f t="shared" si="141"/>
        <v/>
      </c>
      <c r="HJ59" s="105" t="str">
        <f t="shared" si="167"/>
        <v/>
      </c>
      <c r="HK59" s="94" t="str">
        <f t="shared" si="142"/>
        <v/>
      </c>
      <c r="HL59" s="94" t="str">
        <f t="shared" si="143"/>
        <v/>
      </c>
      <c r="HM59" s="105" t="str">
        <f t="shared" si="168"/>
        <v/>
      </c>
      <c r="HN59" s="367" t="str">
        <f t="shared" si="144"/>
        <v xml:space="preserve">      </v>
      </c>
      <c r="HO59" s="418" t="str">
        <f t="shared" si="169"/>
        <v xml:space="preserve">      </v>
      </c>
      <c r="HP59" s="367" t="str">
        <f t="shared" si="146"/>
        <v xml:space="preserve">      </v>
      </c>
      <c r="HQ59" s="107" t="str">
        <f t="shared" si="147"/>
        <v xml:space="preserve">      </v>
      </c>
      <c r="HR59" s="366" t="str">
        <f t="shared" si="148"/>
        <v xml:space="preserve">      </v>
      </c>
      <c r="HS59" s="544" t="str">
        <f t="shared" si="170"/>
        <v/>
      </c>
      <c r="HT59" s="542" t="str">
        <f t="shared" si="149"/>
        <v/>
      </c>
      <c r="HU59" s="541" t="str">
        <f t="shared" si="160"/>
        <v/>
      </c>
      <c r="HV59" s="540" t="str">
        <f t="shared" si="150"/>
        <v/>
      </c>
      <c r="HW59" s="537" t="str">
        <f t="shared" si="151"/>
        <v/>
      </c>
      <c r="HX59" s="539" t="str">
        <f t="shared" si="152"/>
        <v/>
      </c>
      <c r="HY59" s="553" t="str">
        <f>IFERROR(IF(OR(HS59="SUPPLEMENTARY",HS59="RE-EXAM"),'Supp. Result Entry'!AQ57,""),"")</f>
        <v/>
      </c>
      <c r="HZ59" s="538" t="str">
        <f t="shared" si="153"/>
        <v/>
      </c>
      <c r="IA59" s="415" t="str">
        <f t="shared" si="154"/>
        <v/>
      </c>
      <c r="IB59" s="415" t="str">
        <f>IF(AND(HZ59="",IA59=""),"",IF(OR(HS59="SUPPLEMENTARY",HS59="RE-EXAM"),'Supp. Result Entry'!AQ57,HS59))</f>
        <v/>
      </c>
      <c r="IC59" s="87"/>
      <c r="IS59" s="109" t="str">
        <f>IF('Supp. Result Entry'!T57="","",'Supp. Result Entry'!$T$4)</f>
        <v/>
      </c>
      <c r="IT59" s="110" t="str">
        <f>IF('Supp. Result Entry'!W57="","",'Supp. Result Entry'!$W$4)</f>
        <v/>
      </c>
      <c r="IU59" s="110" t="str">
        <f>IF('Supp. Result Entry'!Z57="","",'Supp. Result Entry'!$Z$4)</f>
        <v/>
      </c>
      <c r="IV59" s="110" t="str">
        <f>IF('Supp. Result Entry'!AC57="","",'Supp. Result Entry'!$AC$4)</f>
        <v/>
      </c>
      <c r="IW59" s="110" t="str">
        <f>IF('Supp. Result Entry'!AF57="","",'Supp. Result Entry'!$AF$4)</f>
        <v/>
      </c>
      <c r="IX59" s="110" t="str">
        <f>IF('Supp. Result Entry'!AI57="","",'Supp. Result Entry'!$AI$4)</f>
        <v/>
      </c>
      <c r="IY59" s="110" t="str">
        <f>IF('Supp. Result Entry'!AI57="","",'Supp. Result Entry'!$AL$4)</f>
        <v/>
      </c>
      <c r="IZ59" s="110" t="str">
        <f>IF('Supp. Result Entry'!U57="","",'Supp. Result Entry'!U57)</f>
        <v/>
      </c>
      <c r="JA59" s="110" t="str">
        <f>IF('Supp. Result Entry'!X57="","",'Supp. Result Entry'!X57)</f>
        <v/>
      </c>
      <c r="JB59" s="110" t="str">
        <f>IF('Supp. Result Entry'!AA57="","",'Supp. Result Entry'!AA57)</f>
        <v/>
      </c>
      <c r="JC59" s="110" t="str">
        <f>IF('Supp. Result Entry'!AD57="","",'Supp. Result Entry'!AD57)</f>
        <v/>
      </c>
      <c r="JD59" s="110" t="str">
        <f>IF('Supp. Result Entry'!AG57="","",'Supp. Result Entry'!AG57)</f>
        <v/>
      </c>
      <c r="JE59" s="110" t="str">
        <f>IF('Supp. Result Entry'!AJ57="","",'Supp. Result Entry'!AJ57)</f>
        <v/>
      </c>
      <c r="JF59" s="110" t="str">
        <f>IF('Supp. Result Entry'!AM57="","",'Supp. Result Entry'!AM57)</f>
        <v/>
      </c>
      <c r="JG59" s="110" t="str">
        <f>IF('Supp. Result Entry'!V57="","",'Supp. Result Entry'!V57)</f>
        <v/>
      </c>
      <c r="JH59" s="110" t="str">
        <f>IF('Supp. Result Entry'!Y57="","",'Supp. Result Entry'!Y57)</f>
        <v/>
      </c>
      <c r="JI59" s="110" t="str">
        <f>IF('Supp. Result Entry'!AB57="","",'Supp. Result Entry'!AB57)</f>
        <v/>
      </c>
      <c r="JJ59" s="110" t="str">
        <f>IF('Supp. Result Entry'!AE57="","",'Supp. Result Entry'!AE57)</f>
        <v/>
      </c>
      <c r="JK59" s="110" t="str">
        <f>IF('Supp. Result Entry'!AH57="","",'Supp. Result Entry'!AH57)</f>
        <v/>
      </c>
      <c r="JL59" s="110" t="str">
        <f>IF('Supp. Result Entry'!AK57="","",'Supp. Result Entry'!AK57)</f>
        <v/>
      </c>
      <c r="JM59" s="110" t="str">
        <f>IF('Supp. Result Entry'!AN57="","",'Supp. Result Entry'!AN57)</f>
        <v/>
      </c>
      <c r="JN59" s="110">
        <f>COUNTIF('Supp. Result Entry'!K57:Q57,"S")</f>
        <v>0</v>
      </c>
      <c r="JO59" s="110">
        <f t="shared" si="155"/>
        <v>0</v>
      </c>
      <c r="JP59" s="110">
        <f t="shared" si="156"/>
        <v>0</v>
      </c>
      <c r="JQ59" s="110" t="str">
        <f t="shared" si="75"/>
        <v/>
      </c>
      <c r="JR59" s="110" t="str">
        <f t="shared" si="76"/>
        <v/>
      </c>
      <c r="JS59" s="110" t="str">
        <f t="shared" si="77"/>
        <v/>
      </c>
      <c r="JT59" s="110" t="str">
        <f t="shared" si="78"/>
        <v/>
      </c>
      <c r="JU59" s="110" t="str">
        <f t="shared" si="79"/>
        <v/>
      </c>
      <c r="JV59" s="110" t="str">
        <f t="shared" si="80"/>
        <v/>
      </c>
      <c r="JW59" s="110" t="str">
        <f t="shared" si="81"/>
        <v/>
      </c>
      <c r="JX59" s="110" t="str">
        <f t="shared" si="157"/>
        <v/>
      </c>
      <c r="JY59" s="110" t="str">
        <f t="shared" si="158"/>
        <v/>
      </c>
      <c r="JZ59" s="110" t="str">
        <f t="shared" si="82"/>
        <v/>
      </c>
      <c r="KA59" s="108" t="str">
        <f t="shared" si="159"/>
        <v/>
      </c>
    </row>
    <row r="60" spans="1:287" s="108" customFormat="1" ht="21.95" customHeight="1">
      <c r="A60" s="89">
        <v>54</v>
      </c>
      <c r="B60" s="90" t="str">
        <f>IF('Marks Entry'!B60="","",'Marks Entry'!B60)</f>
        <v/>
      </c>
      <c r="C60" s="94" t="str">
        <f>IF('Marks Entry'!D60="","",'Marks Entry'!D60)</f>
        <v/>
      </c>
      <c r="D60" s="91" t="str">
        <f>IF('Marks Entry'!E60="","",'Marks Entry'!E60)</f>
        <v/>
      </c>
      <c r="E60" s="92" t="str">
        <f>IF('Marks Entry'!F60="","",'Marks Entry'!F60)</f>
        <v/>
      </c>
      <c r="F60" s="93" t="str">
        <f>IF('Marks Entry'!G60="","",'Marks Entry'!G60)</f>
        <v/>
      </c>
      <c r="G60" s="93" t="str">
        <f>IF('Marks Entry'!H60="","",'Marks Entry'!H60)</f>
        <v/>
      </c>
      <c r="H60" s="93" t="str">
        <f>IF('Marks Entry'!I60="","",'Marks Entry'!I60)</f>
        <v/>
      </c>
      <c r="I60" s="94" t="str">
        <f>IF('Marks Entry'!J60="","",'Marks Entry'!J60)</f>
        <v/>
      </c>
      <c r="J60" s="95" t="str">
        <f>IF('Marks Entry'!K60="","",'Marks Entry'!K60)</f>
        <v/>
      </c>
      <c r="K60" s="68" t="str">
        <f>IF('Marks Entry'!L60="","",'Marks Entry'!L60)</f>
        <v/>
      </c>
      <c r="L60" s="68" t="str">
        <f>IF('Marks Entry'!M60="","",'Marks Entry'!M60)</f>
        <v/>
      </c>
      <c r="M60" s="68" t="str">
        <f>IF('Marks Entry'!N60="","",'Marks Entry'!N60)</f>
        <v/>
      </c>
      <c r="N60" s="514" t="str">
        <f t="shared" si="83"/>
        <v/>
      </c>
      <c r="O60" s="68" t="str">
        <f>IF('Marks Entry'!O60="","",'Marks Entry'!O60)</f>
        <v/>
      </c>
      <c r="P60" s="515" t="str">
        <f t="shared" si="84"/>
        <v/>
      </c>
      <c r="Q60" s="68" t="str">
        <f>IF('Marks Entry'!P60="","",'Marks Entry'!P60)</f>
        <v/>
      </c>
      <c r="R60" s="96" t="str">
        <f t="shared" si="85"/>
        <v/>
      </c>
      <c r="S60" s="65">
        <f t="shared" si="86"/>
        <v>0</v>
      </c>
      <c r="T60" s="65">
        <f t="shared" si="87"/>
        <v>0</v>
      </c>
      <c r="U60" s="66" t="str">
        <f t="shared" si="88"/>
        <v/>
      </c>
      <c r="V60" s="65" t="str">
        <f t="shared" si="89"/>
        <v/>
      </c>
      <c r="W60" s="65" t="str">
        <f t="shared" si="90"/>
        <v/>
      </c>
      <c r="X60" s="65" t="str">
        <f t="shared" si="91"/>
        <v/>
      </c>
      <c r="Y60" s="68" t="str">
        <f>IF('Marks Entry'!Q60="","",'Marks Entry'!Q60)</f>
        <v/>
      </c>
      <c r="Z60" s="68" t="str">
        <f>IF('Marks Entry'!R60="","",'Marks Entry'!R60)</f>
        <v/>
      </c>
      <c r="AA60" s="68" t="str">
        <f>IF('Marks Entry'!S60="","",'Marks Entry'!S60)</f>
        <v/>
      </c>
      <c r="AB60" s="514" t="str">
        <f t="shared" si="2"/>
        <v/>
      </c>
      <c r="AC60" s="68" t="str">
        <f>IF('Marks Entry'!T60="","",'Marks Entry'!T60)</f>
        <v/>
      </c>
      <c r="AD60" s="515" t="str">
        <f t="shared" si="3"/>
        <v/>
      </c>
      <c r="AE60" s="68" t="str">
        <f>IF('Marks Entry'!U60="","",'Marks Entry'!U60)</f>
        <v/>
      </c>
      <c r="AF60" s="96" t="str">
        <f t="shared" si="4"/>
        <v/>
      </c>
      <c r="AG60" s="65">
        <f t="shared" si="5"/>
        <v>0</v>
      </c>
      <c r="AH60" s="65">
        <f t="shared" si="6"/>
        <v>0</v>
      </c>
      <c r="AI60" s="66" t="str">
        <f t="shared" si="7"/>
        <v/>
      </c>
      <c r="AJ60" s="65" t="str">
        <f t="shared" si="8"/>
        <v/>
      </c>
      <c r="AK60" s="65" t="str">
        <f t="shared" si="9"/>
        <v/>
      </c>
      <c r="AL60" s="65" t="str">
        <f t="shared" si="10"/>
        <v/>
      </c>
      <c r="AM60" s="524" t="str">
        <f>IF('Marks Entry'!V60="","",IF('Marks Entry'!V60=1,'School Profile'!$I$9,IF('Marks Entry'!V60=2,'School Profile'!$I$10,IF('Marks Entry'!V60=3,'School Profile'!$I$11,IF('Marks Entry'!V60=4,'School Profile'!$I$12,IF('Marks Entry'!V60=5,'School Profile'!$I$13,IF('Marks Entry'!V60=6,'School Profile'!$I$14,"")))))))</f>
        <v/>
      </c>
      <c r="AN60" s="68" t="str">
        <f>IF('Marks Entry'!W60="","",'Marks Entry'!W60)</f>
        <v/>
      </c>
      <c r="AO60" s="68" t="str">
        <f>IF('Marks Entry'!X60="","",'Marks Entry'!X60)</f>
        <v/>
      </c>
      <c r="AP60" s="68" t="str">
        <f>IF('Marks Entry'!Y60="","",'Marks Entry'!Y60)</f>
        <v/>
      </c>
      <c r="AQ60" s="514" t="str">
        <f t="shared" si="11"/>
        <v/>
      </c>
      <c r="AR60" s="68" t="str">
        <f>IF('Marks Entry'!Z60="","",'Marks Entry'!Z60)</f>
        <v/>
      </c>
      <c r="AS60" s="515" t="str">
        <f t="shared" si="12"/>
        <v/>
      </c>
      <c r="AT60" s="68" t="str">
        <f>IF('Marks Entry'!AA60="","",'Marks Entry'!AA60)</f>
        <v/>
      </c>
      <c r="AU60" s="96" t="str">
        <f t="shared" si="13"/>
        <v/>
      </c>
      <c r="AV60" s="65">
        <f t="shared" si="14"/>
        <v>0</v>
      </c>
      <c r="AW60" s="65">
        <f t="shared" si="15"/>
        <v>0</v>
      </c>
      <c r="AX60" s="66" t="str">
        <f t="shared" si="16"/>
        <v/>
      </c>
      <c r="AY60" s="65" t="str">
        <f t="shared" si="17"/>
        <v/>
      </c>
      <c r="AZ60" s="65" t="str">
        <f t="shared" si="18"/>
        <v/>
      </c>
      <c r="BA60" s="65" t="str">
        <f t="shared" si="19"/>
        <v/>
      </c>
      <c r="BB60" s="68" t="str">
        <f>IF('Marks Entry'!AB60="","",'Marks Entry'!AB60)</f>
        <v/>
      </c>
      <c r="BC60" s="68" t="str">
        <f>IF('Marks Entry'!AC60="","",'Marks Entry'!AC60)</f>
        <v/>
      </c>
      <c r="BD60" s="68" t="str">
        <f>IF('Marks Entry'!AD60="","",'Marks Entry'!AD60)</f>
        <v/>
      </c>
      <c r="BE60" s="514" t="str">
        <f t="shared" si="20"/>
        <v/>
      </c>
      <c r="BF60" s="68" t="str">
        <f>IF('Marks Entry'!AE60="","",'Marks Entry'!AE60)</f>
        <v/>
      </c>
      <c r="BG60" s="515" t="str">
        <f t="shared" si="21"/>
        <v/>
      </c>
      <c r="BH60" s="68" t="str">
        <f>IF('Marks Entry'!AF60="","",'Marks Entry'!AF60)</f>
        <v/>
      </c>
      <c r="BI60" s="96" t="str">
        <f t="shared" si="22"/>
        <v/>
      </c>
      <c r="BJ60" s="65">
        <f t="shared" si="23"/>
        <v>0</v>
      </c>
      <c r="BK60" s="65">
        <f t="shared" si="92"/>
        <v>0</v>
      </c>
      <c r="BL60" s="66" t="str">
        <f t="shared" si="24"/>
        <v/>
      </c>
      <c r="BM60" s="65" t="str">
        <f t="shared" si="25"/>
        <v/>
      </c>
      <c r="BN60" s="65" t="str">
        <f t="shared" si="26"/>
        <v/>
      </c>
      <c r="BO60" s="65" t="str">
        <f t="shared" si="27"/>
        <v/>
      </c>
      <c r="BP60" s="68" t="str">
        <f>IF('Marks Entry'!AG60="","",'Marks Entry'!AG60)</f>
        <v/>
      </c>
      <c r="BQ60" s="68" t="str">
        <f>IF('Marks Entry'!AH60="","",'Marks Entry'!AH60)</f>
        <v/>
      </c>
      <c r="BR60" s="68" t="str">
        <f>IF('Marks Entry'!AI60="","",'Marks Entry'!AI60)</f>
        <v/>
      </c>
      <c r="BS60" s="514" t="str">
        <f t="shared" si="28"/>
        <v/>
      </c>
      <c r="BT60" s="68" t="str">
        <f>IF('Marks Entry'!AJ60="","",'Marks Entry'!AJ60)</f>
        <v/>
      </c>
      <c r="BU60" s="515" t="str">
        <f t="shared" si="29"/>
        <v/>
      </c>
      <c r="BV60" s="68" t="str">
        <f>IF('Marks Entry'!AK60="","",'Marks Entry'!AK60)</f>
        <v/>
      </c>
      <c r="BW60" s="96" t="str">
        <f t="shared" si="30"/>
        <v/>
      </c>
      <c r="BX60" s="65">
        <f t="shared" si="31"/>
        <v>0</v>
      </c>
      <c r="BY60" s="65">
        <f t="shared" si="32"/>
        <v>0</v>
      </c>
      <c r="BZ60" s="66" t="str">
        <f t="shared" si="33"/>
        <v/>
      </c>
      <c r="CA60" s="65" t="str">
        <f t="shared" si="34"/>
        <v/>
      </c>
      <c r="CB60" s="65" t="str">
        <f t="shared" si="35"/>
        <v/>
      </c>
      <c r="CC60" s="65" t="str">
        <f t="shared" si="36"/>
        <v/>
      </c>
      <c r="CD60" s="66">
        <f t="shared" si="161"/>
        <v>0</v>
      </c>
      <c r="CE60" s="68" t="str">
        <f>IF('Marks Entry'!AL60="","",'Marks Entry'!AL60)</f>
        <v/>
      </c>
      <c r="CF60" s="68" t="str">
        <f>IF('Marks Entry'!AM60="","",'Marks Entry'!AM60)</f>
        <v/>
      </c>
      <c r="CG60" s="68" t="str">
        <f>IF('Marks Entry'!AN60="","",'Marks Entry'!AN60)</f>
        <v/>
      </c>
      <c r="CH60" s="514" t="str">
        <f t="shared" si="37"/>
        <v/>
      </c>
      <c r="CI60" s="68" t="str">
        <f>IF('Marks Entry'!AO60="","",'Marks Entry'!AO60)</f>
        <v/>
      </c>
      <c r="CJ60" s="515" t="str">
        <f t="shared" si="38"/>
        <v/>
      </c>
      <c r="CK60" s="68" t="str">
        <f>IF('Marks Entry'!AP60="","",'Marks Entry'!AP60)</f>
        <v/>
      </c>
      <c r="CL60" s="96" t="str">
        <f t="shared" si="39"/>
        <v/>
      </c>
      <c r="CM60" s="65">
        <f t="shared" si="40"/>
        <v>0</v>
      </c>
      <c r="CN60" s="65">
        <f t="shared" si="41"/>
        <v>0</v>
      </c>
      <c r="CO60" s="66" t="str">
        <f t="shared" si="42"/>
        <v/>
      </c>
      <c r="CP60" s="65" t="str">
        <f t="shared" si="43"/>
        <v/>
      </c>
      <c r="CQ60" s="65" t="str">
        <f t="shared" si="44"/>
        <v/>
      </c>
      <c r="CR60" s="65" t="str">
        <f t="shared" si="45"/>
        <v/>
      </c>
      <c r="CS60" s="616" t="str">
        <f>IF('School Profile'!$D$20="NO","",IF('Marks Entry'!AQ60="","",IF('Marks Entry'!AQ60=1,'School Profile'!$I$29,IF('Marks Entry'!AQ60=2,'School Profile'!$I$30,IF('Marks Entry'!AQ60=3,'School Profile'!$I$31,IF('Marks Entry'!AQ60=4,'School Profile'!$I$32,IF('Marks Entry'!AQ60=5,'School Profile'!$I$33,IF('Marks Entry'!AQ60=6,'School Profile'!$I$34,IF('Marks Entry'!AQ60=7,'School Profile'!$I$35,IF('Marks Entry'!AQ60=8,'School Profile'!$I$36,IF('Marks Entry'!AQ60=9,'School Profile'!$I$37,IF('Marks Entry'!AQ60=10,'School Profile'!$I$38,IF('Marks Entry'!AQ60=11,'School Profile'!$I$39,"")))))))))))))</f>
        <v/>
      </c>
      <c r="CT60" s="68" t="str">
        <f>IF('School Profile'!$D$20="NO","",IF('Marks Entry'!AR60="","",'Marks Entry'!AR60))</f>
        <v/>
      </c>
      <c r="CU60" s="68" t="str">
        <f>IF('School Profile'!$D$20="NO","",IF('Marks Entry'!AS60="","",'Marks Entry'!AS60))</f>
        <v/>
      </c>
      <c r="CV60" s="68" t="str">
        <f>IF('School Profile'!$D$20="NO","",IF('Marks Entry'!AT60="","",'Marks Entry'!AT60))</f>
        <v/>
      </c>
      <c r="CW60" s="514" t="str">
        <f>IF('School Profile'!$D$20="NO","",IF(AND(CT60="",CU60="",CV60=""),"",SUM(CT60:CV60)))</f>
        <v/>
      </c>
      <c r="CX60" s="68" t="str">
        <f>IF('School Profile'!$D$20="NO","",IF('Marks Entry'!AU60="","",'Marks Entry'!AU60))</f>
        <v/>
      </c>
      <c r="CY60" s="68" t="str">
        <f>IF('School Profile'!$D$20="NO","",IF('Marks Entry'!AV60="","",'Marks Entry'!AV60))</f>
        <v/>
      </c>
      <c r="CZ60" s="515" t="str">
        <f>IF('School Profile'!$D$20="NO","",IF(AND(CX60="",CY60=""),"",SUM(CX60,CY60)))</f>
        <v/>
      </c>
      <c r="DA60" s="69" t="str">
        <f>IF('School Profile'!$D$20="NO","",IF(AND(CW60="",CZ60=""),"",SUM(CW60+CZ60)))</f>
        <v/>
      </c>
      <c r="DB60" s="68" t="str">
        <f>IF('School Profile'!$D$20="NO","",IF('Marks Entry'!AW60="","",'Marks Entry'!AW60))</f>
        <v/>
      </c>
      <c r="DC60" s="68" t="str">
        <f>IF('School Profile'!$D$20="NO","",IF('Marks Entry'!AX60="","",'Marks Entry'!AX60))</f>
        <v/>
      </c>
      <c r="DD60" s="515" t="str">
        <f>IF('School Profile'!$D$20="NO","",IF(AND(DB60="",DC60=""),"",SUM(DB60,DC60)))</f>
        <v/>
      </c>
      <c r="DE60" s="96" t="str">
        <f>IF('School Profile'!$D$20="NO","",IF(AND(DA60="",DD60=""),"",SUM(DA60,DD60)))</f>
        <v/>
      </c>
      <c r="DF60" s="532">
        <f t="shared" si="46"/>
        <v>0</v>
      </c>
      <c r="DG60" s="65">
        <f t="shared" si="47"/>
        <v>0</v>
      </c>
      <c r="DH60" s="66" t="str">
        <f t="shared" si="48"/>
        <v/>
      </c>
      <c r="DI60" s="65" t="str">
        <f t="shared" si="49"/>
        <v/>
      </c>
      <c r="DJ60" s="65" t="str">
        <f t="shared" si="50"/>
        <v/>
      </c>
      <c r="DK60" s="65" t="str">
        <f t="shared" si="51"/>
        <v/>
      </c>
      <c r="DL60" s="97" t="str">
        <f t="shared" si="94"/>
        <v/>
      </c>
      <c r="DM60" s="97" t="str">
        <f t="shared" si="95"/>
        <v/>
      </c>
      <c r="DN60" s="97" t="str">
        <f t="shared" si="96"/>
        <v/>
      </c>
      <c r="DO60" s="97" t="str">
        <f t="shared" si="97"/>
        <v/>
      </c>
      <c r="DP60" s="97" t="str">
        <f t="shared" si="98"/>
        <v/>
      </c>
      <c r="DQ60" s="97" t="str">
        <f t="shared" si="99"/>
        <v/>
      </c>
      <c r="DR60" s="97" t="str">
        <f t="shared" si="100"/>
        <v/>
      </c>
      <c r="DS60" s="98">
        <f t="shared" si="101"/>
        <v>0</v>
      </c>
      <c r="DT60" s="98">
        <f t="shared" si="102"/>
        <v>0</v>
      </c>
      <c r="DU60" s="98">
        <f t="shared" si="103"/>
        <v>0</v>
      </c>
      <c r="DV60" s="98">
        <f t="shared" si="104"/>
        <v>0</v>
      </c>
      <c r="DW60" s="98">
        <f t="shared" si="105"/>
        <v>0</v>
      </c>
      <c r="DX60" s="98" t="str">
        <f t="shared" si="106"/>
        <v/>
      </c>
      <c r="DY60" s="99" t="str">
        <f t="shared" si="107"/>
        <v/>
      </c>
      <c r="DZ60" s="74" t="str">
        <f>IF('Marks Entry'!AY60="","",'Marks Entry'!AY60)</f>
        <v/>
      </c>
      <c r="EA60" s="74" t="str">
        <f>IF('Marks Entry'!AZ60="","",'Marks Entry'!AZ60)</f>
        <v/>
      </c>
      <c r="EB60" s="74" t="str">
        <f>IF('Marks Entry'!BA60="","",'Marks Entry'!BA60)</f>
        <v/>
      </c>
      <c r="EC60" s="527" t="str">
        <f t="shared" si="52"/>
        <v/>
      </c>
      <c r="ED60" s="74" t="str">
        <f>IF('Marks Entry'!BB60="","",'Marks Entry'!BB60)</f>
        <v/>
      </c>
      <c r="EE60" s="528" t="str">
        <f t="shared" si="53"/>
        <v/>
      </c>
      <c r="EF60" s="74" t="str">
        <f>IF('Marks Entry'!BC60="","",'Marks Entry'!BC60)</f>
        <v/>
      </c>
      <c r="EG60" s="530" t="str">
        <f t="shared" si="54"/>
        <v/>
      </c>
      <c r="EH60" s="368" t="str">
        <f t="shared" si="108"/>
        <v/>
      </c>
      <c r="EI60" s="65">
        <f t="shared" si="109"/>
        <v>0</v>
      </c>
      <c r="EJ60" s="65">
        <f t="shared" si="110"/>
        <v>0</v>
      </c>
      <c r="EK60" s="66" t="str">
        <f t="shared" si="111"/>
        <v/>
      </c>
      <c r="EL60" s="74" t="str">
        <f>IF('Marks Entry'!BD60="","",'Marks Entry'!BD60)</f>
        <v/>
      </c>
      <c r="EM60" s="74" t="str">
        <f>IF('Marks Entry'!BE60="","",'Marks Entry'!BE60)</f>
        <v/>
      </c>
      <c r="EN60" s="74" t="str">
        <f>IF('Marks Entry'!BF60="","",'Marks Entry'!BF60)</f>
        <v/>
      </c>
      <c r="EO60" s="527" t="str">
        <f t="shared" si="55"/>
        <v/>
      </c>
      <c r="EP60" s="74" t="str">
        <f>IF('Marks Entry'!BG60="","",'Marks Entry'!BG60)</f>
        <v/>
      </c>
      <c r="EQ60" s="74" t="str">
        <f>IF('Marks Entry'!BH60="","",'Marks Entry'!BH60)</f>
        <v/>
      </c>
      <c r="ER60" s="528" t="str">
        <f t="shared" si="56"/>
        <v/>
      </c>
      <c r="ES60" s="529" t="str">
        <f t="shared" si="57"/>
        <v/>
      </c>
      <c r="ET60" s="74" t="str">
        <f>IF('Marks Entry'!BI60="","",'Marks Entry'!BI60)</f>
        <v/>
      </c>
      <c r="EU60" s="74" t="str">
        <f>IF('Marks Entry'!BJ60="","",'Marks Entry'!BJ60)</f>
        <v/>
      </c>
      <c r="EV60" s="528" t="str">
        <f t="shared" si="58"/>
        <v/>
      </c>
      <c r="EW60" s="530" t="str">
        <f t="shared" si="59"/>
        <v/>
      </c>
      <c r="EX60" s="368" t="str">
        <f t="shared" si="112"/>
        <v/>
      </c>
      <c r="EY60" s="65">
        <f t="shared" si="113"/>
        <v>0</v>
      </c>
      <c r="EZ60" s="65">
        <f t="shared" si="114"/>
        <v>0</v>
      </c>
      <c r="FA60" s="66" t="str">
        <f t="shared" si="115"/>
        <v/>
      </c>
      <c r="FB60" s="74" t="str">
        <f>IF('Marks Entry'!BK60="","",'Marks Entry'!BK60)</f>
        <v/>
      </c>
      <c r="FC60" s="74" t="str">
        <f>IF('Marks Entry'!BL60="","",'Marks Entry'!BL60)</f>
        <v/>
      </c>
      <c r="FD60" s="74" t="str">
        <f>IF('Marks Entry'!BM60="","",'Marks Entry'!BM60)</f>
        <v/>
      </c>
      <c r="FE60" s="74" t="str">
        <f>IF('Marks Entry'!BN60="","",'Marks Entry'!BN60)</f>
        <v/>
      </c>
      <c r="FF60" s="74" t="str">
        <f>IF('Marks Entry'!BO60="","",'Marks Entry'!BO60)</f>
        <v/>
      </c>
      <c r="FG60" s="74" t="str">
        <f>IF('Marks Entry'!BP60="","",'Marks Entry'!BP60)</f>
        <v/>
      </c>
      <c r="FH60" s="527" t="str">
        <f t="shared" si="60"/>
        <v/>
      </c>
      <c r="FI60" s="74" t="str">
        <f>IF('Marks Entry'!BQ60="","",'Marks Entry'!BQ60)</f>
        <v/>
      </c>
      <c r="FJ60" s="74" t="str">
        <f>IF('Marks Entry'!BR60="","",'Marks Entry'!BR60)</f>
        <v/>
      </c>
      <c r="FK60" s="528" t="str">
        <f t="shared" si="61"/>
        <v/>
      </c>
      <c r="FL60" s="529" t="str">
        <f t="shared" si="62"/>
        <v/>
      </c>
      <c r="FM60" s="74" t="str">
        <f>IF('Marks Entry'!BS60="","",'Marks Entry'!BS60)</f>
        <v/>
      </c>
      <c r="FN60" s="74" t="str">
        <f>IF('Marks Entry'!BT60="","",'Marks Entry'!BT60)</f>
        <v/>
      </c>
      <c r="FO60" s="528" t="str">
        <f t="shared" si="63"/>
        <v/>
      </c>
      <c r="FP60" s="530" t="str">
        <f t="shared" si="64"/>
        <v/>
      </c>
      <c r="FQ60" s="368" t="str">
        <f t="shared" si="116"/>
        <v/>
      </c>
      <c r="FR60" s="65">
        <f t="shared" si="117"/>
        <v>0</v>
      </c>
      <c r="FS60" s="65">
        <f t="shared" si="118"/>
        <v>0</v>
      </c>
      <c r="FT60" s="66" t="str">
        <f t="shared" si="119"/>
        <v/>
      </c>
      <c r="FU60" s="74" t="str">
        <f>IF('Marks Entry'!BU60="","",'Marks Entry'!BU60)</f>
        <v/>
      </c>
      <c r="FV60" s="74" t="str">
        <f>IF('Marks Entry'!BV60="","",'Marks Entry'!BV60)</f>
        <v/>
      </c>
      <c r="FW60" s="74" t="str">
        <f>IF('Marks Entry'!BW60="","",'Marks Entry'!BW60)</f>
        <v/>
      </c>
      <c r="FX60" s="75" t="str">
        <f t="shared" si="65"/>
        <v/>
      </c>
      <c r="FY60" s="368" t="str">
        <f t="shared" si="120"/>
        <v/>
      </c>
      <c r="FZ60" s="65">
        <f t="shared" si="121"/>
        <v>0</v>
      </c>
      <c r="GA60" s="66">
        <f t="shared" si="122"/>
        <v>0</v>
      </c>
      <c r="GB60" s="66" t="str">
        <f t="shared" si="123"/>
        <v/>
      </c>
      <c r="GC60" s="74" t="str">
        <f>IF('Marks Entry'!BX60="","",'Marks Entry'!BX60)</f>
        <v/>
      </c>
      <c r="GD60" s="74" t="str">
        <f>IF('Marks Entry'!BY60="","",'Marks Entry'!BY60)</f>
        <v/>
      </c>
      <c r="GE60" s="74" t="str">
        <f>IF('Marks Entry'!BZ60="","",'Marks Entry'!BZ60)</f>
        <v/>
      </c>
      <c r="GF60" s="75" t="str">
        <f t="shared" si="124"/>
        <v/>
      </c>
      <c r="GG60" s="368" t="str">
        <f t="shared" si="125"/>
        <v/>
      </c>
      <c r="GH60" s="65">
        <f t="shared" si="126"/>
        <v>0</v>
      </c>
      <c r="GI60" s="66">
        <f t="shared" si="127"/>
        <v>0</v>
      </c>
      <c r="GJ60" s="66" t="str">
        <f t="shared" si="128"/>
        <v/>
      </c>
      <c r="GK60" s="100" t="str">
        <f>IF(AND(F60="",B60=""),"",IF('Student DATA Entry'!M57="","",'Student DATA Entry'!M57))</f>
        <v/>
      </c>
      <c r="GL60" s="101" t="str">
        <f>IF(AND(B60="",F60=""),"",IF('Student DATA Entry'!N57="","",'Student DATA Entry'!N57))</f>
        <v/>
      </c>
      <c r="GM60" s="581" t="str">
        <f t="shared" si="129"/>
        <v/>
      </c>
      <c r="GN60" s="94" t="str">
        <f t="shared" si="130"/>
        <v/>
      </c>
      <c r="GO60" s="94" t="str">
        <f t="shared" si="131"/>
        <v/>
      </c>
      <c r="GP60" s="102" t="str">
        <f t="shared" si="162"/>
        <v/>
      </c>
      <c r="GQ60" s="94" t="str">
        <f t="shared" si="132"/>
        <v/>
      </c>
      <c r="GR60" s="103" t="str">
        <f t="shared" si="133"/>
        <v/>
      </c>
      <c r="GS60" s="102" t="str">
        <f t="shared" si="163"/>
        <v/>
      </c>
      <c r="GT60" s="104" t="str">
        <f t="shared" si="134"/>
        <v/>
      </c>
      <c r="GU60" s="94" t="str">
        <f>IF('Marks Entry'!V60=1,GT60,"")</f>
        <v/>
      </c>
      <c r="GV60" s="94" t="str">
        <f>IF('Marks Entry'!V60=2,GT60,"")</f>
        <v/>
      </c>
      <c r="GW60" s="94" t="str">
        <f>IF('Marks Entry'!V60=3,GT60,"")</f>
        <v/>
      </c>
      <c r="GX60" s="94" t="str">
        <f>IF('Marks Entry'!V60=4,GT60,"")</f>
        <v/>
      </c>
      <c r="GY60" s="94" t="str">
        <f>IF('Marks Entry'!V60=5,GT60,"")</f>
        <v/>
      </c>
      <c r="GZ60" s="94" t="str">
        <f t="shared" si="135"/>
        <v/>
      </c>
      <c r="HA60" s="105" t="str">
        <f t="shared" si="164"/>
        <v/>
      </c>
      <c r="HB60" s="94" t="str">
        <f t="shared" si="136"/>
        <v/>
      </c>
      <c r="HC60" s="94" t="str">
        <f t="shared" si="137"/>
        <v/>
      </c>
      <c r="HD60" s="105" t="str">
        <f t="shared" si="165"/>
        <v/>
      </c>
      <c r="HE60" s="94" t="str">
        <f t="shared" si="138"/>
        <v/>
      </c>
      <c r="HF60" s="94" t="str">
        <f t="shared" si="139"/>
        <v/>
      </c>
      <c r="HG60" s="105" t="str">
        <f t="shared" si="166"/>
        <v/>
      </c>
      <c r="HH60" s="94" t="str">
        <f t="shared" si="140"/>
        <v/>
      </c>
      <c r="HI60" s="94" t="str">
        <f t="shared" si="141"/>
        <v/>
      </c>
      <c r="HJ60" s="105" t="str">
        <f t="shared" si="167"/>
        <v/>
      </c>
      <c r="HK60" s="94" t="str">
        <f t="shared" si="142"/>
        <v/>
      </c>
      <c r="HL60" s="94" t="str">
        <f t="shared" si="143"/>
        <v/>
      </c>
      <c r="HM60" s="105" t="str">
        <f t="shared" si="168"/>
        <v/>
      </c>
      <c r="HN60" s="367" t="str">
        <f t="shared" si="144"/>
        <v xml:space="preserve">      </v>
      </c>
      <c r="HO60" s="418" t="str">
        <f t="shared" si="169"/>
        <v xml:space="preserve">      </v>
      </c>
      <c r="HP60" s="367" t="str">
        <f t="shared" si="146"/>
        <v xml:space="preserve">      </v>
      </c>
      <c r="HQ60" s="107" t="str">
        <f t="shared" si="147"/>
        <v xml:space="preserve">      </v>
      </c>
      <c r="HR60" s="366" t="str">
        <f t="shared" si="148"/>
        <v xml:space="preserve">      </v>
      </c>
      <c r="HS60" s="544" t="str">
        <f t="shared" si="170"/>
        <v/>
      </c>
      <c r="HT60" s="542" t="str">
        <f t="shared" si="149"/>
        <v/>
      </c>
      <c r="HU60" s="541" t="str">
        <f t="shared" si="160"/>
        <v/>
      </c>
      <c r="HV60" s="540" t="str">
        <f t="shared" si="150"/>
        <v/>
      </c>
      <c r="HW60" s="537" t="str">
        <f t="shared" si="151"/>
        <v/>
      </c>
      <c r="HX60" s="539" t="str">
        <f t="shared" si="152"/>
        <v/>
      </c>
      <c r="HY60" s="553" t="str">
        <f>IFERROR(IF(OR(HS60="SUPPLEMENTARY",HS60="RE-EXAM"),'Supp. Result Entry'!AQ58,""),"")</f>
        <v/>
      </c>
      <c r="HZ60" s="538" t="str">
        <f t="shared" si="153"/>
        <v/>
      </c>
      <c r="IA60" s="415" t="str">
        <f t="shared" si="154"/>
        <v/>
      </c>
      <c r="IB60" s="415" t="str">
        <f>IF(AND(HZ60="",IA60=""),"",IF(OR(HS60="SUPPLEMENTARY",HS60="RE-EXAM"),'Supp. Result Entry'!AQ58,HS60))</f>
        <v/>
      </c>
      <c r="IC60" s="87"/>
      <c r="IS60" s="109" t="str">
        <f>IF('Supp. Result Entry'!T58="","",'Supp. Result Entry'!$T$4)</f>
        <v/>
      </c>
      <c r="IT60" s="110" t="str">
        <f>IF('Supp. Result Entry'!W58="","",'Supp. Result Entry'!$W$4)</f>
        <v/>
      </c>
      <c r="IU60" s="110" t="str">
        <f>IF('Supp. Result Entry'!Z58="","",'Supp. Result Entry'!$Z$4)</f>
        <v/>
      </c>
      <c r="IV60" s="110" t="str">
        <f>IF('Supp. Result Entry'!AC58="","",'Supp. Result Entry'!$AC$4)</f>
        <v/>
      </c>
      <c r="IW60" s="110" t="str">
        <f>IF('Supp. Result Entry'!AF58="","",'Supp. Result Entry'!$AF$4)</f>
        <v/>
      </c>
      <c r="IX60" s="110" t="str">
        <f>IF('Supp. Result Entry'!AI58="","",'Supp. Result Entry'!$AI$4)</f>
        <v/>
      </c>
      <c r="IY60" s="110" t="str">
        <f>IF('Supp. Result Entry'!AI58="","",'Supp. Result Entry'!$AL$4)</f>
        <v/>
      </c>
      <c r="IZ60" s="110" t="str">
        <f>IF('Supp. Result Entry'!U58="","",'Supp. Result Entry'!U58)</f>
        <v/>
      </c>
      <c r="JA60" s="110" t="str">
        <f>IF('Supp. Result Entry'!X58="","",'Supp. Result Entry'!X58)</f>
        <v/>
      </c>
      <c r="JB60" s="110" t="str">
        <f>IF('Supp. Result Entry'!AA58="","",'Supp. Result Entry'!AA58)</f>
        <v/>
      </c>
      <c r="JC60" s="110" t="str">
        <f>IF('Supp. Result Entry'!AD58="","",'Supp. Result Entry'!AD58)</f>
        <v/>
      </c>
      <c r="JD60" s="110" t="str">
        <f>IF('Supp. Result Entry'!AG58="","",'Supp. Result Entry'!AG58)</f>
        <v/>
      </c>
      <c r="JE60" s="110" t="str">
        <f>IF('Supp. Result Entry'!AJ58="","",'Supp. Result Entry'!AJ58)</f>
        <v/>
      </c>
      <c r="JF60" s="110" t="str">
        <f>IF('Supp. Result Entry'!AM58="","",'Supp. Result Entry'!AM58)</f>
        <v/>
      </c>
      <c r="JG60" s="110" t="str">
        <f>IF('Supp. Result Entry'!V58="","",'Supp. Result Entry'!V58)</f>
        <v/>
      </c>
      <c r="JH60" s="110" t="str">
        <f>IF('Supp. Result Entry'!Y58="","",'Supp. Result Entry'!Y58)</f>
        <v/>
      </c>
      <c r="JI60" s="110" t="str">
        <f>IF('Supp. Result Entry'!AB58="","",'Supp. Result Entry'!AB58)</f>
        <v/>
      </c>
      <c r="JJ60" s="110" t="str">
        <f>IF('Supp. Result Entry'!AE58="","",'Supp. Result Entry'!AE58)</f>
        <v/>
      </c>
      <c r="JK60" s="110" t="str">
        <f>IF('Supp. Result Entry'!AH58="","",'Supp. Result Entry'!AH58)</f>
        <v/>
      </c>
      <c r="JL60" s="110" t="str">
        <f>IF('Supp. Result Entry'!AK58="","",'Supp. Result Entry'!AK58)</f>
        <v/>
      </c>
      <c r="JM60" s="110" t="str">
        <f>IF('Supp. Result Entry'!AN58="","",'Supp. Result Entry'!AN58)</f>
        <v/>
      </c>
      <c r="JN60" s="110">
        <f>COUNTIF('Supp. Result Entry'!K58:Q58,"S")</f>
        <v>0</v>
      </c>
      <c r="JO60" s="110">
        <f t="shared" si="155"/>
        <v>0</v>
      </c>
      <c r="JP60" s="110">
        <f t="shared" si="156"/>
        <v>0</v>
      </c>
      <c r="JQ60" s="110" t="str">
        <f t="shared" si="75"/>
        <v/>
      </c>
      <c r="JR60" s="110" t="str">
        <f t="shared" si="76"/>
        <v/>
      </c>
      <c r="JS60" s="110" t="str">
        <f t="shared" si="77"/>
        <v/>
      </c>
      <c r="JT60" s="110" t="str">
        <f t="shared" si="78"/>
        <v/>
      </c>
      <c r="JU60" s="110" t="str">
        <f t="shared" si="79"/>
        <v/>
      </c>
      <c r="JV60" s="110" t="str">
        <f t="shared" si="80"/>
        <v/>
      </c>
      <c r="JW60" s="110" t="str">
        <f t="shared" si="81"/>
        <v/>
      </c>
      <c r="JX60" s="110" t="str">
        <f t="shared" si="157"/>
        <v/>
      </c>
      <c r="JY60" s="110" t="str">
        <f t="shared" si="158"/>
        <v/>
      </c>
      <c r="JZ60" s="110" t="str">
        <f t="shared" si="82"/>
        <v/>
      </c>
      <c r="KA60" s="108" t="str">
        <f t="shared" si="159"/>
        <v/>
      </c>
    </row>
    <row r="61" spans="1:287" s="108" customFormat="1" ht="21.95" customHeight="1">
      <c r="A61" s="89">
        <v>55</v>
      </c>
      <c r="B61" s="90" t="str">
        <f>IF('Marks Entry'!B61="","",'Marks Entry'!B61)</f>
        <v/>
      </c>
      <c r="C61" s="94" t="str">
        <f>IF('Marks Entry'!D61="","",'Marks Entry'!D61)</f>
        <v/>
      </c>
      <c r="D61" s="91" t="str">
        <f>IF('Marks Entry'!E61="","",'Marks Entry'!E61)</f>
        <v/>
      </c>
      <c r="E61" s="92" t="str">
        <f>IF('Marks Entry'!F61="","",'Marks Entry'!F61)</f>
        <v/>
      </c>
      <c r="F61" s="93" t="str">
        <f>IF('Marks Entry'!G61="","",'Marks Entry'!G61)</f>
        <v/>
      </c>
      <c r="G61" s="93" t="str">
        <f>IF('Marks Entry'!H61="","",'Marks Entry'!H61)</f>
        <v/>
      </c>
      <c r="H61" s="93" t="str">
        <f>IF('Marks Entry'!I61="","",'Marks Entry'!I61)</f>
        <v/>
      </c>
      <c r="I61" s="94" t="str">
        <f>IF('Marks Entry'!J61="","",'Marks Entry'!J61)</f>
        <v/>
      </c>
      <c r="J61" s="95" t="str">
        <f>IF('Marks Entry'!K61="","",'Marks Entry'!K61)</f>
        <v/>
      </c>
      <c r="K61" s="68" t="str">
        <f>IF('Marks Entry'!L61="","",'Marks Entry'!L61)</f>
        <v/>
      </c>
      <c r="L61" s="68" t="str">
        <f>IF('Marks Entry'!M61="","",'Marks Entry'!M61)</f>
        <v/>
      </c>
      <c r="M61" s="68" t="str">
        <f>IF('Marks Entry'!N61="","",'Marks Entry'!N61)</f>
        <v/>
      </c>
      <c r="N61" s="514" t="str">
        <f t="shared" si="83"/>
        <v/>
      </c>
      <c r="O61" s="68" t="str">
        <f>IF('Marks Entry'!O61="","",'Marks Entry'!O61)</f>
        <v/>
      </c>
      <c r="P61" s="515" t="str">
        <f t="shared" si="84"/>
        <v/>
      </c>
      <c r="Q61" s="68" t="str">
        <f>IF('Marks Entry'!P61="","",'Marks Entry'!P61)</f>
        <v/>
      </c>
      <c r="R61" s="96" t="str">
        <f t="shared" si="85"/>
        <v/>
      </c>
      <c r="S61" s="65">
        <f t="shared" si="86"/>
        <v>0</v>
      </c>
      <c r="T61" s="65">
        <f t="shared" si="87"/>
        <v>0</v>
      </c>
      <c r="U61" s="66" t="str">
        <f t="shared" si="88"/>
        <v/>
      </c>
      <c r="V61" s="65" t="str">
        <f t="shared" si="89"/>
        <v/>
      </c>
      <c r="W61" s="65" t="str">
        <f t="shared" si="90"/>
        <v/>
      </c>
      <c r="X61" s="65" t="str">
        <f t="shared" si="91"/>
        <v/>
      </c>
      <c r="Y61" s="68" t="str">
        <f>IF('Marks Entry'!Q61="","",'Marks Entry'!Q61)</f>
        <v/>
      </c>
      <c r="Z61" s="68" t="str">
        <f>IF('Marks Entry'!R61="","",'Marks Entry'!R61)</f>
        <v/>
      </c>
      <c r="AA61" s="68" t="str">
        <f>IF('Marks Entry'!S61="","",'Marks Entry'!S61)</f>
        <v/>
      </c>
      <c r="AB61" s="514" t="str">
        <f t="shared" si="2"/>
        <v/>
      </c>
      <c r="AC61" s="68" t="str">
        <f>IF('Marks Entry'!T61="","",'Marks Entry'!T61)</f>
        <v/>
      </c>
      <c r="AD61" s="515" t="str">
        <f t="shared" si="3"/>
        <v/>
      </c>
      <c r="AE61" s="68" t="str">
        <f>IF('Marks Entry'!U61="","",'Marks Entry'!U61)</f>
        <v/>
      </c>
      <c r="AF61" s="96" t="str">
        <f t="shared" si="4"/>
        <v/>
      </c>
      <c r="AG61" s="65">
        <f t="shared" si="5"/>
        <v>0</v>
      </c>
      <c r="AH61" s="65">
        <f t="shared" si="6"/>
        <v>0</v>
      </c>
      <c r="AI61" s="66" t="str">
        <f t="shared" si="7"/>
        <v/>
      </c>
      <c r="AJ61" s="65" t="str">
        <f t="shared" si="8"/>
        <v/>
      </c>
      <c r="AK61" s="65" t="str">
        <f t="shared" si="9"/>
        <v/>
      </c>
      <c r="AL61" s="65" t="str">
        <f t="shared" si="10"/>
        <v/>
      </c>
      <c r="AM61" s="524" t="str">
        <f>IF('Marks Entry'!V61="","",IF('Marks Entry'!V61=1,'School Profile'!$I$9,IF('Marks Entry'!V61=2,'School Profile'!$I$10,IF('Marks Entry'!V61=3,'School Profile'!$I$11,IF('Marks Entry'!V61=4,'School Profile'!$I$12,IF('Marks Entry'!V61=5,'School Profile'!$I$13,IF('Marks Entry'!V61=6,'School Profile'!$I$14,"")))))))</f>
        <v/>
      </c>
      <c r="AN61" s="68" t="str">
        <f>IF('Marks Entry'!W61="","",'Marks Entry'!W61)</f>
        <v/>
      </c>
      <c r="AO61" s="68" t="str">
        <f>IF('Marks Entry'!X61="","",'Marks Entry'!X61)</f>
        <v/>
      </c>
      <c r="AP61" s="68" t="str">
        <f>IF('Marks Entry'!Y61="","",'Marks Entry'!Y61)</f>
        <v/>
      </c>
      <c r="AQ61" s="514" t="str">
        <f t="shared" si="11"/>
        <v/>
      </c>
      <c r="AR61" s="68" t="str">
        <f>IF('Marks Entry'!Z61="","",'Marks Entry'!Z61)</f>
        <v/>
      </c>
      <c r="AS61" s="515" t="str">
        <f t="shared" si="12"/>
        <v/>
      </c>
      <c r="AT61" s="68" t="str">
        <f>IF('Marks Entry'!AA61="","",'Marks Entry'!AA61)</f>
        <v/>
      </c>
      <c r="AU61" s="96" t="str">
        <f t="shared" si="13"/>
        <v/>
      </c>
      <c r="AV61" s="65">
        <f t="shared" si="14"/>
        <v>0</v>
      </c>
      <c r="AW61" s="65">
        <f t="shared" si="15"/>
        <v>0</v>
      </c>
      <c r="AX61" s="66" t="str">
        <f t="shared" si="16"/>
        <v/>
      </c>
      <c r="AY61" s="65" t="str">
        <f t="shared" si="17"/>
        <v/>
      </c>
      <c r="AZ61" s="65" t="str">
        <f t="shared" si="18"/>
        <v/>
      </c>
      <c r="BA61" s="65" t="str">
        <f t="shared" si="19"/>
        <v/>
      </c>
      <c r="BB61" s="68" t="str">
        <f>IF('Marks Entry'!AB61="","",'Marks Entry'!AB61)</f>
        <v/>
      </c>
      <c r="BC61" s="68" t="str">
        <f>IF('Marks Entry'!AC61="","",'Marks Entry'!AC61)</f>
        <v/>
      </c>
      <c r="BD61" s="68" t="str">
        <f>IF('Marks Entry'!AD61="","",'Marks Entry'!AD61)</f>
        <v/>
      </c>
      <c r="BE61" s="514" t="str">
        <f t="shared" si="20"/>
        <v/>
      </c>
      <c r="BF61" s="68" t="str">
        <f>IF('Marks Entry'!AE61="","",'Marks Entry'!AE61)</f>
        <v/>
      </c>
      <c r="BG61" s="515" t="str">
        <f t="shared" si="21"/>
        <v/>
      </c>
      <c r="BH61" s="68" t="str">
        <f>IF('Marks Entry'!AF61="","",'Marks Entry'!AF61)</f>
        <v/>
      </c>
      <c r="BI61" s="96" t="str">
        <f t="shared" si="22"/>
        <v/>
      </c>
      <c r="BJ61" s="65">
        <f t="shared" si="23"/>
        <v>0</v>
      </c>
      <c r="BK61" s="65">
        <f t="shared" si="92"/>
        <v>0</v>
      </c>
      <c r="BL61" s="66" t="str">
        <f t="shared" si="24"/>
        <v/>
      </c>
      <c r="BM61" s="65" t="str">
        <f t="shared" si="25"/>
        <v/>
      </c>
      <c r="BN61" s="65" t="str">
        <f t="shared" si="26"/>
        <v/>
      </c>
      <c r="BO61" s="65" t="str">
        <f t="shared" si="27"/>
        <v/>
      </c>
      <c r="BP61" s="68" t="str">
        <f>IF('Marks Entry'!AG61="","",'Marks Entry'!AG61)</f>
        <v/>
      </c>
      <c r="BQ61" s="68" t="str">
        <f>IF('Marks Entry'!AH61="","",'Marks Entry'!AH61)</f>
        <v/>
      </c>
      <c r="BR61" s="68" t="str">
        <f>IF('Marks Entry'!AI61="","",'Marks Entry'!AI61)</f>
        <v/>
      </c>
      <c r="BS61" s="514" t="str">
        <f t="shared" si="28"/>
        <v/>
      </c>
      <c r="BT61" s="68" t="str">
        <f>IF('Marks Entry'!AJ61="","",'Marks Entry'!AJ61)</f>
        <v/>
      </c>
      <c r="BU61" s="515" t="str">
        <f t="shared" si="29"/>
        <v/>
      </c>
      <c r="BV61" s="68" t="str">
        <f>IF('Marks Entry'!AK61="","",'Marks Entry'!AK61)</f>
        <v/>
      </c>
      <c r="BW61" s="96" t="str">
        <f t="shared" si="30"/>
        <v/>
      </c>
      <c r="BX61" s="65">
        <f t="shared" si="31"/>
        <v>0</v>
      </c>
      <c r="BY61" s="65">
        <f t="shared" si="32"/>
        <v>0</v>
      </c>
      <c r="BZ61" s="66" t="str">
        <f t="shared" si="33"/>
        <v/>
      </c>
      <c r="CA61" s="65" t="str">
        <f t="shared" si="34"/>
        <v/>
      </c>
      <c r="CB61" s="65" t="str">
        <f t="shared" si="35"/>
        <v/>
      </c>
      <c r="CC61" s="65" t="str">
        <f t="shared" si="36"/>
        <v/>
      </c>
      <c r="CD61" s="66">
        <f t="shared" si="161"/>
        <v>0</v>
      </c>
      <c r="CE61" s="68" t="str">
        <f>IF('Marks Entry'!AL61="","",'Marks Entry'!AL61)</f>
        <v/>
      </c>
      <c r="CF61" s="68" t="str">
        <f>IF('Marks Entry'!AM61="","",'Marks Entry'!AM61)</f>
        <v/>
      </c>
      <c r="CG61" s="68" t="str">
        <f>IF('Marks Entry'!AN61="","",'Marks Entry'!AN61)</f>
        <v/>
      </c>
      <c r="CH61" s="514" t="str">
        <f t="shared" si="37"/>
        <v/>
      </c>
      <c r="CI61" s="68" t="str">
        <f>IF('Marks Entry'!AO61="","",'Marks Entry'!AO61)</f>
        <v/>
      </c>
      <c r="CJ61" s="515" t="str">
        <f t="shared" si="38"/>
        <v/>
      </c>
      <c r="CK61" s="68" t="str">
        <f>IF('Marks Entry'!AP61="","",'Marks Entry'!AP61)</f>
        <v/>
      </c>
      <c r="CL61" s="96" t="str">
        <f t="shared" si="39"/>
        <v/>
      </c>
      <c r="CM61" s="65">
        <f t="shared" si="40"/>
        <v>0</v>
      </c>
      <c r="CN61" s="65">
        <f t="shared" si="41"/>
        <v>0</v>
      </c>
      <c r="CO61" s="66" t="str">
        <f t="shared" si="42"/>
        <v/>
      </c>
      <c r="CP61" s="65" t="str">
        <f t="shared" si="43"/>
        <v/>
      </c>
      <c r="CQ61" s="65" t="str">
        <f t="shared" si="44"/>
        <v/>
      </c>
      <c r="CR61" s="65" t="str">
        <f t="shared" si="45"/>
        <v/>
      </c>
      <c r="CS61" s="616" t="str">
        <f>IF('School Profile'!$D$20="NO","",IF('Marks Entry'!AQ61="","",IF('Marks Entry'!AQ61=1,'School Profile'!$I$29,IF('Marks Entry'!AQ61=2,'School Profile'!$I$30,IF('Marks Entry'!AQ61=3,'School Profile'!$I$31,IF('Marks Entry'!AQ61=4,'School Profile'!$I$32,IF('Marks Entry'!AQ61=5,'School Profile'!$I$33,IF('Marks Entry'!AQ61=6,'School Profile'!$I$34,IF('Marks Entry'!AQ61=7,'School Profile'!$I$35,IF('Marks Entry'!AQ61=8,'School Profile'!$I$36,IF('Marks Entry'!AQ61=9,'School Profile'!$I$37,IF('Marks Entry'!AQ61=10,'School Profile'!$I$38,IF('Marks Entry'!AQ61=11,'School Profile'!$I$39,"")))))))))))))</f>
        <v/>
      </c>
      <c r="CT61" s="68" t="str">
        <f>IF('School Profile'!$D$20="NO","",IF('Marks Entry'!AR61="","",'Marks Entry'!AR61))</f>
        <v/>
      </c>
      <c r="CU61" s="68" t="str">
        <f>IF('School Profile'!$D$20="NO","",IF('Marks Entry'!AS61="","",'Marks Entry'!AS61))</f>
        <v/>
      </c>
      <c r="CV61" s="68" t="str">
        <f>IF('School Profile'!$D$20="NO","",IF('Marks Entry'!AT61="","",'Marks Entry'!AT61))</f>
        <v/>
      </c>
      <c r="CW61" s="514" t="str">
        <f>IF('School Profile'!$D$20="NO","",IF(AND(CT61="",CU61="",CV61=""),"",SUM(CT61:CV61)))</f>
        <v/>
      </c>
      <c r="CX61" s="68" t="str">
        <f>IF('School Profile'!$D$20="NO","",IF('Marks Entry'!AU61="","",'Marks Entry'!AU61))</f>
        <v/>
      </c>
      <c r="CY61" s="68" t="str">
        <f>IF('School Profile'!$D$20="NO","",IF('Marks Entry'!AV61="","",'Marks Entry'!AV61))</f>
        <v/>
      </c>
      <c r="CZ61" s="515" t="str">
        <f>IF('School Profile'!$D$20="NO","",IF(AND(CX61="",CY61=""),"",SUM(CX61,CY61)))</f>
        <v/>
      </c>
      <c r="DA61" s="69" t="str">
        <f>IF('School Profile'!$D$20="NO","",IF(AND(CW61="",CZ61=""),"",SUM(CW61+CZ61)))</f>
        <v/>
      </c>
      <c r="DB61" s="68" t="str">
        <f>IF('School Profile'!$D$20="NO","",IF('Marks Entry'!AW61="","",'Marks Entry'!AW61))</f>
        <v/>
      </c>
      <c r="DC61" s="68" t="str">
        <f>IF('School Profile'!$D$20="NO","",IF('Marks Entry'!AX61="","",'Marks Entry'!AX61))</f>
        <v/>
      </c>
      <c r="DD61" s="515" t="str">
        <f>IF('School Profile'!$D$20="NO","",IF(AND(DB61="",DC61=""),"",SUM(DB61,DC61)))</f>
        <v/>
      </c>
      <c r="DE61" s="96" t="str">
        <f>IF('School Profile'!$D$20="NO","",IF(AND(DA61="",DD61=""),"",SUM(DA61,DD61)))</f>
        <v/>
      </c>
      <c r="DF61" s="532">
        <f t="shared" si="46"/>
        <v>0</v>
      </c>
      <c r="DG61" s="65">
        <f t="shared" si="47"/>
        <v>0</v>
      </c>
      <c r="DH61" s="66" t="str">
        <f t="shared" si="48"/>
        <v/>
      </c>
      <c r="DI61" s="65" t="str">
        <f t="shared" si="49"/>
        <v/>
      </c>
      <c r="DJ61" s="65" t="str">
        <f t="shared" si="50"/>
        <v/>
      </c>
      <c r="DK61" s="65" t="str">
        <f t="shared" si="51"/>
        <v/>
      </c>
      <c r="DL61" s="97" t="str">
        <f t="shared" si="94"/>
        <v/>
      </c>
      <c r="DM61" s="97" t="str">
        <f t="shared" si="95"/>
        <v/>
      </c>
      <c r="DN61" s="97" t="str">
        <f t="shared" si="96"/>
        <v/>
      </c>
      <c r="DO61" s="97" t="str">
        <f t="shared" si="97"/>
        <v/>
      </c>
      <c r="DP61" s="97" t="str">
        <f t="shared" si="98"/>
        <v/>
      </c>
      <c r="DQ61" s="97" t="str">
        <f t="shared" si="99"/>
        <v/>
      </c>
      <c r="DR61" s="97" t="str">
        <f t="shared" si="100"/>
        <v/>
      </c>
      <c r="DS61" s="98">
        <f t="shared" si="101"/>
        <v>0</v>
      </c>
      <c r="DT61" s="98">
        <f t="shared" si="102"/>
        <v>0</v>
      </c>
      <c r="DU61" s="98">
        <f t="shared" si="103"/>
        <v>0</v>
      </c>
      <c r="DV61" s="98">
        <f t="shared" si="104"/>
        <v>0</v>
      </c>
      <c r="DW61" s="98">
        <f t="shared" si="105"/>
        <v>0</v>
      </c>
      <c r="DX61" s="98" t="str">
        <f t="shared" si="106"/>
        <v/>
      </c>
      <c r="DY61" s="99" t="str">
        <f t="shared" si="107"/>
        <v/>
      </c>
      <c r="DZ61" s="74" t="str">
        <f>IF('Marks Entry'!AY61="","",'Marks Entry'!AY61)</f>
        <v/>
      </c>
      <c r="EA61" s="74" t="str">
        <f>IF('Marks Entry'!AZ61="","",'Marks Entry'!AZ61)</f>
        <v/>
      </c>
      <c r="EB61" s="74" t="str">
        <f>IF('Marks Entry'!BA61="","",'Marks Entry'!BA61)</f>
        <v/>
      </c>
      <c r="EC61" s="527" t="str">
        <f t="shared" si="52"/>
        <v/>
      </c>
      <c r="ED61" s="74" t="str">
        <f>IF('Marks Entry'!BB61="","",'Marks Entry'!BB61)</f>
        <v/>
      </c>
      <c r="EE61" s="528" t="str">
        <f t="shared" si="53"/>
        <v/>
      </c>
      <c r="EF61" s="74" t="str">
        <f>IF('Marks Entry'!BC61="","",'Marks Entry'!BC61)</f>
        <v/>
      </c>
      <c r="EG61" s="530" t="str">
        <f t="shared" si="54"/>
        <v/>
      </c>
      <c r="EH61" s="368" t="str">
        <f t="shared" si="108"/>
        <v/>
      </c>
      <c r="EI61" s="65">
        <f t="shared" si="109"/>
        <v>0</v>
      </c>
      <c r="EJ61" s="65">
        <f t="shared" si="110"/>
        <v>0</v>
      </c>
      <c r="EK61" s="66" t="str">
        <f t="shared" si="111"/>
        <v/>
      </c>
      <c r="EL61" s="74" t="str">
        <f>IF('Marks Entry'!BD61="","",'Marks Entry'!BD61)</f>
        <v/>
      </c>
      <c r="EM61" s="74" t="str">
        <f>IF('Marks Entry'!BE61="","",'Marks Entry'!BE61)</f>
        <v/>
      </c>
      <c r="EN61" s="74" t="str">
        <f>IF('Marks Entry'!BF61="","",'Marks Entry'!BF61)</f>
        <v/>
      </c>
      <c r="EO61" s="527" t="str">
        <f t="shared" si="55"/>
        <v/>
      </c>
      <c r="EP61" s="74" t="str">
        <f>IF('Marks Entry'!BG61="","",'Marks Entry'!BG61)</f>
        <v/>
      </c>
      <c r="EQ61" s="74" t="str">
        <f>IF('Marks Entry'!BH61="","",'Marks Entry'!BH61)</f>
        <v/>
      </c>
      <c r="ER61" s="528" t="str">
        <f t="shared" si="56"/>
        <v/>
      </c>
      <c r="ES61" s="529" t="str">
        <f t="shared" si="57"/>
        <v/>
      </c>
      <c r="ET61" s="74" t="str">
        <f>IF('Marks Entry'!BI61="","",'Marks Entry'!BI61)</f>
        <v/>
      </c>
      <c r="EU61" s="74" t="str">
        <f>IF('Marks Entry'!BJ61="","",'Marks Entry'!BJ61)</f>
        <v/>
      </c>
      <c r="EV61" s="528" t="str">
        <f t="shared" si="58"/>
        <v/>
      </c>
      <c r="EW61" s="530" t="str">
        <f t="shared" si="59"/>
        <v/>
      </c>
      <c r="EX61" s="368" t="str">
        <f t="shared" si="112"/>
        <v/>
      </c>
      <c r="EY61" s="65">
        <f t="shared" si="113"/>
        <v>0</v>
      </c>
      <c r="EZ61" s="65">
        <f t="shared" si="114"/>
        <v>0</v>
      </c>
      <c r="FA61" s="66" t="str">
        <f t="shared" si="115"/>
        <v/>
      </c>
      <c r="FB61" s="74" t="str">
        <f>IF('Marks Entry'!BK61="","",'Marks Entry'!BK61)</f>
        <v/>
      </c>
      <c r="FC61" s="74" t="str">
        <f>IF('Marks Entry'!BL61="","",'Marks Entry'!BL61)</f>
        <v/>
      </c>
      <c r="FD61" s="74" t="str">
        <f>IF('Marks Entry'!BM61="","",'Marks Entry'!BM61)</f>
        <v/>
      </c>
      <c r="FE61" s="74" t="str">
        <f>IF('Marks Entry'!BN61="","",'Marks Entry'!BN61)</f>
        <v/>
      </c>
      <c r="FF61" s="74" t="str">
        <f>IF('Marks Entry'!BO61="","",'Marks Entry'!BO61)</f>
        <v/>
      </c>
      <c r="FG61" s="74" t="str">
        <f>IF('Marks Entry'!BP61="","",'Marks Entry'!BP61)</f>
        <v/>
      </c>
      <c r="FH61" s="527" t="str">
        <f t="shared" si="60"/>
        <v/>
      </c>
      <c r="FI61" s="74" t="str">
        <f>IF('Marks Entry'!BQ61="","",'Marks Entry'!BQ61)</f>
        <v/>
      </c>
      <c r="FJ61" s="74" t="str">
        <f>IF('Marks Entry'!BR61="","",'Marks Entry'!BR61)</f>
        <v/>
      </c>
      <c r="FK61" s="528" t="str">
        <f t="shared" si="61"/>
        <v/>
      </c>
      <c r="FL61" s="529" t="str">
        <f t="shared" si="62"/>
        <v/>
      </c>
      <c r="FM61" s="74" t="str">
        <f>IF('Marks Entry'!BS61="","",'Marks Entry'!BS61)</f>
        <v/>
      </c>
      <c r="FN61" s="74" t="str">
        <f>IF('Marks Entry'!BT61="","",'Marks Entry'!BT61)</f>
        <v/>
      </c>
      <c r="FO61" s="528" t="str">
        <f t="shared" si="63"/>
        <v/>
      </c>
      <c r="FP61" s="530" t="str">
        <f t="shared" si="64"/>
        <v/>
      </c>
      <c r="FQ61" s="368" t="str">
        <f t="shared" si="116"/>
        <v/>
      </c>
      <c r="FR61" s="65">
        <f t="shared" si="117"/>
        <v>0</v>
      </c>
      <c r="FS61" s="65">
        <f t="shared" si="118"/>
        <v>0</v>
      </c>
      <c r="FT61" s="66" t="str">
        <f t="shared" si="119"/>
        <v/>
      </c>
      <c r="FU61" s="74" t="str">
        <f>IF('Marks Entry'!BU61="","",'Marks Entry'!BU61)</f>
        <v/>
      </c>
      <c r="FV61" s="74" t="str">
        <f>IF('Marks Entry'!BV61="","",'Marks Entry'!BV61)</f>
        <v/>
      </c>
      <c r="FW61" s="74" t="str">
        <f>IF('Marks Entry'!BW61="","",'Marks Entry'!BW61)</f>
        <v/>
      </c>
      <c r="FX61" s="75" t="str">
        <f t="shared" si="65"/>
        <v/>
      </c>
      <c r="FY61" s="368" t="str">
        <f t="shared" si="120"/>
        <v/>
      </c>
      <c r="FZ61" s="65">
        <f t="shared" si="121"/>
        <v>0</v>
      </c>
      <c r="GA61" s="66">
        <f t="shared" si="122"/>
        <v>0</v>
      </c>
      <c r="GB61" s="66" t="str">
        <f t="shared" si="123"/>
        <v/>
      </c>
      <c r="GC61" s="74" t="str">
        <f>IF('Marks Entry'!BX61="","",'Marks Entry'!BX61)</f>
        <v/>
      </c>
      <c r="GD61" s="74" t="str">
        <f>IF('Marks Entry'!BY61="","",'Marks Entry'!BY61)</f>
        <v/>
      </c>
      <c r="GE61" s="74" t="str">
        <f>IF('Marks Entry'!BZ61="","",'Marks Entry'!BZ61)</f>
        <v/>
      </c>
      <c r="GF61" s="75" t="str">
        <f t="shared" si="124"/>
        <v/>
      </c>
      <c r="GG61" s="368" t="str">
        <f t="shared" si="125"/>
        <v/>
      </c>
      <c r="GH61" s="65">
        <f t="shared" si="126"/>
        <v>0</v>
      </c>
      <c r="GI61" s="66">
        <f t="shared" si="127"/>
        <v>0</v>
      </c>
      <c r="GJ61" s="66" t="str">
        <f t="shared" si="128"/>
        <v/>
      </c>
      <c r="GK61" s="100" t="str">
        <f>IF(AND(F61="",B61=""),"",IF('Student DATA Entry'!M58="","",'Student DATA Entry'!M58))</f>
        <v/>
      </c>
      <c r="GL61" s="101" t="str">
        <f>IF(AND(B61="",F61=""),"",IF('Student DATA Entry'!N58="","",'Student DATA Entry'!N58))</f>
        <v/>
      </c>
      <c r="GM61" s="581" t="str">
        <f t="shared" si="129"/>
        <v/>
      </c>
      <c r="GN61" s="94" t="str">
        <f t="shared" si="130"/>
        <v/>
      </c>
      <c r="GO61" s="94" t="str">
        <f t="shared" si="131"/>
        <v/>
      </c>
      <c r="GP61" s="102" t="str">
        <f t="shared" si="162"/>
        <v/>
      </c>
      <c r="GQ61" s="94" t="str">
        <f t="shared" si="132"/>
        <v/>
      </c>
      <c r="GR61" s="103" t="str">
        <f t="shared" si="133"/>
        <v/>
      </c>
      <c r="GS61" s="102" t="str">
        <f t="shared" si="163"/>
        <v/>
      </c>
      <c r="GT61" s="104" t="str">
        <f t="shared" si="134"/>
        <v/>
      </c>
      <c r="GU61" s="94" t="str">
        <f>IF('Marks Entry'!V61=1,GT61,"")</f>
        <v/>
      </c>
      <c r="GV61" s="94" t="str">
        <f>IF('Marks Entry'!V61=2,GT61,"")</f>
        <v/>
      </c>
      <c r="GW61" s="94" t="str">
        <f>IF('Marks Entry'!V61=3,GT61,"")</f>
        <v/>
      </c>
      <c r="GX61" s="94" t="str">
        <f>IF('Marks Entry'!V61=4,GT61,"")</f>
        <v/>
      </c>
      <c r="GY61" s="94" t="str">
        <f>IF('Marks Entry'!V61=5,GT61,"")</f>
        <v/>
      </c>
      <c r="GZ61" s="94" t="str">
        <f t="shared" si="135"/>
        <v/>
      </c>
      <c r="HA61" s="105" t="str">
        <f t="shared" si="164"/>
        <v/>
      </c>
      <c r="HB61" s="94" t="str">
        <f t="shared" si="136"/>
        <v/>
      </c>
      <c r="HC61" s="94" t="str">
        <f t="shared" si="137"/>
        <v/>
      </c>
      <c r="HD61" s="105" t="str">
        <f t="shared" si="165"/>
        <v/>
      </c>
      <c r="HE61" s="94" t="str">
        <f t="shared" si="138"/>
        <v/>
      </c>
      <c r="HF61" s="94" t="str">
        <f t="shared" si="139"/>
        <v/>
      </c>
      <c r="HG61" s="105" t="str">
        <f t="shared" si="166"/>
        <v/>
      </c>
      <c r="HH61" s="94" t="str">
        <f t="shared" si="140"/>
        <v/>
      </c>
      <c r="HI61" s="94" t="str">
        <f t="shared" si="141"/>
        <v/>
      </c>
      <c r="HJ61" s="105" t="str">
        <f t="shared" si="167"/>
        <v/>
      </c>
      <c r="HK61" s="94" t="str">
        <f t="shared" si="142"/>
        <v/>
      </c>
      <c r="HL61" s="94" t="str">
        <f t="shared" si="143"/>
        <v/>
      </c>
      <c r="HM61" s="105" t="str">
        <f t="shared" si="168"/>
        <v/>
      </c>
      <c r="HN61" s="367" t="str">
        <f t="shared" si="144"/>
        <v xml:space="preserve">      </v>
      </c>
      <c r="HO61" s="418" t="str">
        <f t="shared" si="169"/>
        <v xml:space="preserve">      </v>
      </c>
      <c r="HP61" s="367" t="str">
        <f t="shared" si="146"/>
        <v xml:space="preserve">      </v>
      </c>
      <c r="HQ61" s="107" t="str">
        <f t="shared" si="147"/>
        <v xml:space="preserve">      </v>
      </c>
      <c r="HR61" s="366" t="str">
        <f t="shared" si="148"/>
        <v xml:space="preserve">      </v>
      </c>
      <c r="HS61" s="544" t="str">
        <f t="shared" si="170"/>
        <v/>
      </c>
      <c r="HT61" s="542" t="str">
        <f t="shared" si="149"/>
        <v/>
      </c>
      <c r="HU61" s="541" t="str">
        <f t="shared" si="160"/>
        <v/>
      </c>
      <c r="HV61" s="540" t="str">
        <f t="shared" si="150"/>
        <v/>
      </c>
      <c r="HW61" s="537" t="str">
        <f t="shared" si="151"/>
        <v/>
      </c>
      <c r="HX61" s="539" t="str">
        <f t="shared" si="152"/>
        <v/>
      </c>
      <c r="HY61" s="553" t="str">
        <f>IFERROR(IF(OR(HS61="SUPPLEMENTARY",HS61="RE-EXAM"),'Supp. Result Entry'!AQ59,""),"")</f>
        <v/>
      </c>
      <c r="HZ61" s="538" t="str">
        <f t="shared" si="153"/>
        <v/>
      </c>
      <c r="IA61" s="415" t="str">
        <f t="shared" si="154"/>
        <v/>
      </c>
      <c r="IB61" s="415" t="str">
        <f>IF(AND(HZ61="",IA61=""),"",IF(OR(HS61="SUPPLEMENTARY",HS61="RE-EXAM"),'Supp. Result Entry'!AQ59,HS61))</f>
        <v/>
      </c>
      <c r="IC61" s="87"/>
      <c r="IS61" s="109" t="str">
        <f>IF('Supp. Result Entry'!T59="","",'Supp. Result Entry'!$T$4)</f>
        <v/>
      </c>
      <c r="IT61" s="110" t="str">
        <f>IF('Supp. Result Entry'!W59="","",'Supp. Result Entry'!$W$4)</f>
        <v/>
      </c>
      <c r="IU61" s="110" t="str">
        <f>IF('Supp. Result Entry'!Z59="","",'Supp. Result Entry'!$Z$4)</f>
        <v/>
      </c>
      <c r="IV61" s="110" t="str">
        <f>IF('Supp. Result Entry'!AC59="","",'Supp. Result Entry'!$AC$4)</f>
        <v/>
      </c>
      <c r="IW61" s="110" t="str">
        <f>IF('Supp. Result Entry'!AF59="","",'Supp. Result Entry'!$AF$4)</f>
        <v/>
      </c>
      <c r="IX61" s="110" t="str">
        <f>IF('Supp. Result Entry'!AI59="","",'Supp. Result Entry'!$AI$4)</f>
        <v/>
      </c>
      <c r="IY61" s="110" t="str">
        <f>IF('Supp. Result Entry'!AI59="","",'Supp. Result Entry'!$AL$4)</f>
        <v/>
      </c>
      <c r="IZ61" s="110" t="str">
        <f>IF('Supp. Result Entry'!U59="","",'Supp. Result Entry'!U59)</f>
        <v/>
      </c>
      <c r="JA61" s="110" t="str">
        <f>IF('Supp. Result Entry'!X59="","",'Supp. Result Entry'!X59)</f>
        <v/>
      </c>
      <c r="JB61" s="110" t="str">
        <f>IF('Supp. Result Entry'!AA59="","",'Supp. Result Entry'!AA59)</f>
        <v/>
      </c>
      <c r="JC61" s="110" t="str">
        <f>IF('Supp. Result Entry'!AD59="","",'Supp. Result Entry'!AD59)</f>
        <v/>
      </c>
      <c r="JD61" s="110" t="str">
        <f>IF('Supp. Result Entry'!AG59="","",'Supp. Result Entry'!AG59)</f>
        <v/>
      </c>
      <c r="JE61" s="110" t="str">
        <f>IF('Supp. Result Entry'!AJ59="","",'Supp. Result Entry'!AJ59)</f>
        <v/>
      </c>
      <c r="JF61" s="110" t="str">
        <f>IF('Supp. Result Entry'!AM59="","",'Supp. Result Entry'!AM59)</f>
        <v/>
      </c>
      <c r="JG61" s="110" t="str">
        <f>IF('Supp. Result Entry'!V59="","",'Supp. Result Entry'!V59)</f>
        <v/>
      </c>
      <c r="JH61" s="110" t="str">
        <f>IF('Supp. Result Entry'!Y59="","",'Supp. Result Entry'!Y59)</f>
        <v/>
      </c>
      <c r="JI61" s="110" t="str">
        <f>IF('Supp. Result Entry'!AB59="","",'Supp. Result Entry'!AB59)</f>
        <v/>
      </c>
      <c r="JJ61" s="110" t="str">
        <f>IF('Supp. Result Entry'!AE59="","",'Supp. Result Entry'!AE59)</f>
        <v/>
      </c>
      <c r="JK61" s="110" t="str">
        <f>IF('Supp. Result Entry'!AH59="","",'Supp. Result Entry'!AH59)</f>
        <v/>
      </c>
      <c r="JL61" s="110" t="str">
        <f>IF('Supp. Result Entry'!AK59="","",'Supp. Result Entry'!AK59)</f>
        <v/>
      </c>
      <c r="JM61" s="110" t="str">
        <f>IF('Supp. Result Entry'!AN59="","",'Supp. Result Entry'!AN59)</f>
        <v/>
      </c>
      <c r="JN61" s="110">
        <f>COUNTIF('Supp. Result Entry'!K59:Q59,"S")</f>
        <v>0</v>
      </c>
      <c r="JO61" s="110">
        <f t="shared" si="155"/>
        <v>0</v>
      </c>
      <c r="JP61" s="110">
        <f t="shared" si="156"/>
        <v>0</v>
      </c>
      <c r="JQ61" s="110" t="str">
        <f t="shared" si="75"/>
        <v/>
      </c>
      <c r="JR61" s="110" t="str">
        <f t="shared" si="76"/>
        <v/>
      </c>
      <c r="JS61" s="110" t="str">
        <f t="shared" si="77"/>
        <v/>
      </c>
      <c r="JT61" s="110" t="str">
        <f t="shared" si="78"/>
        <v/>
      </c>
      <c r="JU61" s="110" t="str">
        <f t="shared" si="79"/>
        <v/>
      </c>
      <c r="JV61" s="110" t="str">
        <f t="shared" si="80"/>
        <v/>
      </c>
      <c r="JW61" s="110" t="str">
        <f t="shared" si="81"/>
        <v/>
      </c>
      <c r="JX61" s="110" t="str">
        <f t="shared" si="157"/>
        <v/>
      </c>
      <c r="JY61" s="110" t="str">
        <f t="shared" si="158"/>
        <v/>
      </c>
      <c r="JZ61" s="110" t="str">
        <f t="shared" si="82"/>
        <v/>
      </c>
      <c r="KA61" s="108" t="str">
        <f t="shared" si="159"/>
        <v/>
      </c>
    </row>
    <row r="62" spans="1:287" s="108" customFormat="1" ht="21.95" customHeight="1">
      <c r="A62" s="89">
        <v>56</v>
      </c>
      <c r="B62" s="90" t="str">
        <f>IF('Marks Entry'!B62="","",'Marks Entry'!B62)</f>
        <v/>
      </c>
      <c r="C62" s="94" t="str">
        <f>IF('Marks Entry'!D62="","",'Marks Entry'!D62)</f>
        <v/>
      </c>
      <c r="D62" s="91" t="str">
        <f>IF('Marks Entry'!E62="","",'Marks Entry'!E62)</f>
        <v/>
      </c>
      <c r="E62" s="92" t="str">
        <f>IF('Marks Entry'!F62="","",'Marks Entry'!F62)</f>
        <v/>
      </c>
      <c r="F62" s="93" t="str">
        <f>IF('Marks Entry'!G62="","",'Marks Entry'!G62)</f>
        <v/>
      </c>
      <c r="G62" s="93" t="str">
        <f>IF('Marks Entry'!H62="","",'Marks Entry'!H62)</f>
        <v/>
      </c>
      <c r="H62" s="93" t="str">
        <f>IF('Marks Entry'!I62="","",'Marks Entry'!I62)</f>
        <v/>
      </c>
      <c r="I62" s="94" t="str">
        <f>IF('Marks Entry'!J62="","",'Marks Entry'!J62)</f>
        <v/>
      </c>
      <c r="J62" s="95" t="str">
        <f>IF('Marks Entry'!K62="","",'Marks Entry'!K62)</f>
        <v/>
      </c>
      <c r="K62" s="68" t="str">
        <f>IF('Marks Entry'!L62="","",'Marks Entry'!L62)</f>
        <v/>
      </c>
      <c r="L62" s="68" t="str">
        <f>IF('Marks Entry'!M62="","",'Marks Entry'!M62)</f>
        <v/>
      </c>
      <c r="M62" s="68" t="str">
        <f>IF('Marks Entry'!N62="","",'Marks Entry'!N62)</f>
        <v/>
      </c>
      <c r="N62" s="514" t="str">
        <f t="shared" si="83"/>
        <v/>
      </c>
      <c r="O62" s="68" t="str">
        <f>IF('Marks Entry'!O62="","",'Marks Entry'!O62)</f>
        <v/>
      </c>
      <c r="P62" s="515" t="str">
        <f t="shared" si="84"/>
        <v/>
      </c>
      <c r="Q62" s="68" t="str">
        <f>IF('Marks Entry'!P62="","",'Marks Entry'!P62)</f>
        <v/>
      </c>
      <c r="R62" s="96" t="str">
        <f t="shared" si="85"/>
        <v/>
      </c>
      <c r="S62" s="65">
        <f t="shared" si="86"/>
        <v>0</v>
      </c>
      <c r="T62" s="65">
        <f t="shared" si="87"/>
        <v>0</v>
      </c>
      <c r="U62" s="66" t="str">
        <f t="shared" si="88"/>
        <v/>
      </c>
      <c r="V62" s="65" t="str">
        <f t="shared" si="89"/>
        <v/>
      </c>
      <c r="W62" s="65" t="str">
        <f t="shared" si="90"/>
        <v/>
      </c>
      <c r="X62" s="65" t="str">
        <f t="shared" si="91"/>
        <v/>
      </c>
      <c r="Y62" s="68" t="str">
        <f>IF('Marks Entry'!Q62="","",'Marks Entry'!Q62)</f>
        <v/>
      </c>
      <c r="Z62" s="68" t="str">
        <f>IF('Marks Entry'!R62="","",'Marks Entry'!R62)</f>
        <v/>
      </c>
      <c r="AA62" s="68" t="str">
        <f>IF('Marks Entry'!S62="","",'Marks Entry'!S62)</f>
        <v/>
      </c>
      <c r="AB62" s="514" t="str">
        <f t="shared" si="2"/>
        <v/>
      </c>
      <c r="AC62" s="68" t="str">
        <f>IF('Marks Entry'!T62="","",'Marks Entry'!T62)</f>
        <v/>
      </c>
      <c r="AD62" s="515" t="str">
        <f t="shared" si="3"/>
        <v/>
      </c>
      <c r="AE62" s="68" t="str">
        <f>IF('Marks Entry'!U62="","",'Marks Entry'!U62)</f>
        <v/>
      </c>
      <c r="AF62" s="96" t="str">
        <f t="shared" si="4"/>
        <v/>
      </c>
      <c r="AG62" s="65">
        <f t="shared" si="5"/>
        <v>0</v>
      </c>
      <c r="AH62" s="65">
        <f t="shared" si="6"/>
        <v>0</v>
      </c>
      <c r="AI62" s="66" t="str">
        <f t="shared" si="7"/>
        <v/>
      </c>
      <c r="AJ62" s="65" t="str">
        <f t="shared" si="8"/>
        <v/>
      </c>
      <c r="AK62" s="65" t="str">
        <f t="shared" si="9"/>
        <v/>
      </c>
      <c r="AL62" s="65" t="str">
        <f t="shared" si="10"/>
        <v/>
      </c>
      <c r="AM62" s="524" t="str">
        <f>IF('Marks Entry'!V62="","",IF('Marks Entry'!V62=1,'School Profile'!$I$9,IF('Marks Entry'!V62=2,'School Profile'!$I$10,IF('Marks Entry'!V62=3,'School Profile'!$I$11,IF('Marks Entry'!V62=4,'School Profile'!$I$12,IF('Marks Entry'!V62=5,'School Profile'!$I$13,IF('Marks Entry'!V62=6,'School Profile'!$I$14,"")))))))</f>
        <v/>
      </c>
      <c r="AN62" s="68" t="str">
        <f>IF('Marks Entry'!W62="","",'Marks Entry'!W62)</f>
        <v/>
      </c>
      <c r="AO62" s="68" t="str">
        <f>IF('Marks Entry'!X62="","",'Marks Entry'!X62)</f>
        <v/>
      </c>
      <c r="AP62" s="68" t="str">
        <f>IF('Marks Entry'!Y62="","",'Marks Entry'!Y62)</f>
        <v/>
      </c>
      <c r="AQ62" s="514" t="str">
        <f t="shared" si="11"/>
        <v/>
      </c>
      <c r="AR62" s="68" t="str">
        <f>IF('Marks Entry'!Z62="","",'Marks Entry'!Z62)</f>
        <v/>
      </c>
      <c r="AS62" s="515" t="str">
        <f t="shared" si="12"/>
        <v/>
      </c>
      <c r="AT62" s="68" t="str">
        <f>IF('Marks Entry'!AA62="","",'Marks Entry'!AA62)</f>
        <v/>
      </c>
      <c r="AU62" s="96" t="str">
        <f t="shared" si="13"/>
        <v/>
      </c>
      <c r="AV62" s="65">
        <f t="shared" si="14"/>
        <v>0</v>
      </c>
      <c r="AW62" s="65">
        <f t="shared" si="15"/>
        <v>0</v>
      </c>
      <c r="AX62" s="66" t="str">
        <f t="shared" si="16"/>
        <v/>
      </c>
      <c r="AY62" s="65" t="str">
        <f t="shared" si="17"/>
        <v/>
      </c>
      <c r="AZ62" s="65" t="str">
        <f t="shared" si="18"/>
        <v/>
      </c>
      <c r="BA62" s="65" t="str">
        <f t="shared" si="19"/>
        <v/>
      </c>
      <c r="BB62" s="68" t="str">
        <f>IF('Marks Entry'!AB62="","",'Marks Entry'!AB62)</f>
        <v/>
      </c>
      <c r="BC62" s="68" t="str">
        <f>IF('Marks Entry'!AC62="","",'Marks Entry'!AC62)</f>
        <v/>
      </c>
      <c r="BD62" s="68" t="str">
        <f>IF('Marks Entry'!AD62="","",'Marks Entry'!AD62)</f>
        <v/>
      </c>
      <c r="BE62" s="514" t="str">
        <f t="shared" si="20"/>
        <v/>
      </c>
      <c r="BF62" s="68" t="str">
        <f>IF('Marks Entry'!AE62="","",'Marks Entry'!AE62)</f>
        <v/>
      </c>
      <c r="BG62" s="515" t="str">
        <f t="shared" si="21"/>
        <v/>
      </c>
      <c r="BH62" s="68" t="str">
        <f>IF('Marks Entry'!AF62="","",'Marks Entry'!AF62)</f>
        <v/>
      </c>
      <c r="BI62" s="96" t="str">
        <f t="shared" si="22"/>
        <v/>
      </c>
      <c r="BJ62" s="65">
        <f t="shared" si="23"/>
        <v>0</v>
      </c>
      <c r="BK62" s="65">
        <f t="shared" si="92"/>
        <v>0</v>
      </c>
      <c r="BL62" s="66" t="str">
        <f t="shared" si="24"/>
        <v/>
      </c>
      <c r="BM62" s="65" t="str">
        <f t="shared" si="25"/>
        <v/>
      </c>
      <c r="BN62" s="65" t="str">
        <f t="shared" si="26"/>
        <v/>
      </c>
      <c r="BO62" s="65" t="str">
        <f t="shared" si="27"/>
        <v/>
      </c>
      <c r="BP62" s="68" t="str">
        <f>IF('Marks Entry'!AG62="","",'Marks Entry'!AG62)</f>
        <v/>
      </c>
      <c r="BQ62" s="68" t="str">
        <f>IF('Marks Entry'!AH62="","",'Marks Entry'!AH62)</f>
        <v/>
      </c>
      <c r="BR62" s="68" t="str">
        <f>IF('Marks Entry'!AI62="","",'Marks Entry'!AI62)</f>
        <v/>
      </c>
      <c r="BS62" s="514" t="str">
        <f t="shared" si="28"/>
        <v/>
      </c>
      <c r="BT62" s="68" t="str">
        <f>IF('Marks Entry'!AJ62="","",'Marks Entry'!AJ62)</f>
        <v/>
      </c>
      <c r="BU62" s="515" t="str">
        <f t="shared" si="29"/>
        <v/>
      </c>
      <c r="BV62" s="68" t="str">
        <f>IF('Marks Entry'!AK62="","",'Marks Entry'!AK62)</f>
        <v/>
      </c>
      <c r="BW62" s="96" t="str">
        <f t="shared" si="30"/>
        <v/>
      </c>
      <c r="BX62" s="65">
        <f t="shared" si="31"/>
        <v>0</v>
      </c>
      <c r="BY62" s="65">
        <f t="shared" si="32"/>
        <v>0</v>
      </c>
      <c r="BZ62" s="66" t="str">
        <f t="shared" si="33"/>
        <v/>
      </c>
      <c r="CA62" s="65" t="str">
        <f t="shared" si="34"/>
        <v/>
      </c>
      <c r="CB62" s="65" t="str">
        <f t="shared" si="35"/>
        <v/>
      </c>
      <c r="CC62" s="65" t="str">
        <f t="shared" si="36"/>
        <v/>
      </c>
      <c r="CD62" s="66">
        <f t="shared" si="161"/>
        <v>0</v>
      </c>
      <c r="CE62" s="68" t="str">
        <f>IF('Marks Entry'!AL62="","",'Marks Entry'!AL62)</f>
        <v/>
      </c>
      <c r="CF62" s="68" t="str">
        <f>IF('Marks Entry'!AM62="","",'Marks Entry'!AM62)</f>
        <v/>
      </c>
      <c r="CG62" s="68" t="str">
        <f>IF('Marks Entry'!AN62="","",'Marks Entry'!AN62)</f>
        <v/>
      </c>
      <c r="CH62" s="514" t="str">
        <f t="shared" si="37"/>
        <v/>
      </c>
      <c r="CI62" s="68" t="str">
        <f>IF('Marks Entry'!AO62="","",'Marks Entry'!AO62)</f>
        <v/>
      </c>
      <c r="CJ62" s="515" t="str">
        <f t="shared" si="38"/>
        <v/>
      </c>
      <c r="CK62" s="68" t="str">
        <f>IF('Marks Entry'!AP62="","",'Marks Entry'!AP62)</f>
        <v/>
      </c>
      <c r="CL62" s="96" t="str">
        <f t="shared" si="39"/>
        <v/>
      </c>
      <c r="CM62" s="65">
        <f t="shared" si="40"/>
        <v>0</v>
      </c>
      <c r="CN62" s="65">
        <f t="shared" si="41"/>
        <v>0</v>
      </c>
      <c r="CO62" s="66" t="str">
        <f t="shared" si="42"/>
        <v/>
      </c>
      <c r="CP62" s="65" t="str">
        <f t="shared" si="43"/>
        <v/>
      </c>
      <c r="CQ62" s="65" t="str">
        <f t="shared" si="44"/>
        <v/>
      </c>
      <c r="CR62" s="65" t="str">
        <f t="shared" si="45"/>
        <v/>
      </c>
      <c r="CS62" s="616" t="str">
        <f>IF('School Profile'!$D$20="NO","",IF('Marks Entry'!AQ62="","",IF('Marks Entry'!AQ62=1,'School Profile'!$I$29,IF('Marks Entry'!AQ62=2,'School Profile'!$I$30,IF('Marks Entry'!AQ62=3,'School Profile'!$I$31,IF('Marks Entry'!AQ62=4,'School Profile'!$I$32,IF('Marks Entry'!AQ62=5,'School Profile'!$I$33,IF('Marks Entry'!AQ62=6,'School Profile'!$I$34,IF('Marks Entry'!AQ62=7,'School Profile'!$I$35,IF('Marks Entry'!AQ62=8,'School Profile'!$I$36,IF('Marks Entry'!AQ62=9,'School Profile'!$I$37,IF('Marks Entry'!AQ62=10,'School Profile'!$I$38,IF('Marks Entry'!AQ62=11,'School Profile'!$I$39,"")))))))))))))</f>
        <v/>
      </c>
      <c r="CT62" s="68" t="str">
        <f>IF('School Profile'!$D$20="NO","",IF('Marks Entry'!AR62="","",'Marks Entry'!AR62))</f>
        <v/>
      </c>
      <c r="CU62" s="68" t="str">
        <f>IF('School Profile'!$D$20="NO","",IF('Marks Entry'!AS62="","",'Marks Entry'!AS62))</f>
        <v/>
      </c>
      <c r="CV62" s="68" t="str">
        <f>IF('School Profile'!$D$20="NO","",IF('Marks Entry'!AT62="","",'Marks Entry'!AT62))</f>
        <v/>
      </c>
      <c r="CW62" s="514" t="str">
        <f>IF('School Profile'!$D$20="NO","",IF(AND(CT62="",CU62="",CV62=""),"",SUM(CT62:CV62)))</f>
        <v/>
      </c>
      <c r="CX62" s="68" t="str">
        <f>IF('School Profile'!$D$20="NO","",IF('Marks Entry'!AU62="","",'Marks Entry'!AU62))</f>
        <v/>
      </c>
      <c r="CY62" s="68" t="str">
        <f>IF('School Profile'!$D$20="NO","",IF('Marks Entry'!AV62="","",'Marks Entry'!AV62))</f>
        <v/>
      </c>
      <c r="CZ62" s="515" t="str">
        <f>IF('School Profile'!$D$20="NO","",IF(AND(CX62="",CY62=""),"",SUM(CX62,CY62)))</f>
        <v/>
      </c>
      <c r="DA62" s="69" t="str">
        <f>IF('School Profile'!$D$20="NO","",IF(AND(CW62="",CZ62=""),"",SUM(CW62+CZ62)))</f>
        <v/>
      </c>
      <c r="DB62" s="68" t="str">
        <f>IF('School Profile'!$D$20="NO","",IF('Marks Entry'!AW62="","",'Marks Entry'!AW62))</f>
        <v/>
      </c>
      <c r="DC62" s="68" t="str">
        <f>IF('School Profile'!$D$20="NO","",IF('Marks Entry'!AX62="","",'Marks Entry'!AX62))</f>
        <v/>
      </c>
      <c r="DD62" s="515" t="str">
        <f>IF('School Profile'!$D$20="NO","",IF(AND(DB62="",DC62=""),"",SUM(DB62,DC62)))</f>
        <v/>
      </c>
      <c r="DE62" s="96" t="str">
        <f>IF('School Profile'!$D$20="NO","",IF(AND(DA62="",DD62=""),"",SUM(DA62,DD62)))</f>
        <v/>
      </c>
      <c r="DF62" s="532">
        <f t="shared" si="46"/>
        <v>0</v>
      </c>
      <c r="DG62" s="65">
        <f t="shared" si="47"/>
        <v>0</v>
      </c>
      <c r="DH62" s="66" t="str">
        <f t="shared" si="48"/>
        <v/>
      </c>
      <c r="DI62" s="65" t="str">
        <f t="shared" si="49"/>
        <v/>
      </c>
      <c r="DJ62" s="65" t="str">
        <f t="shared" si="50"/>
        <v/>
      </c>
      <c r="DK62" s="65" t="str">
        <f t="shared" si="51"/>
        <v/>
      </c>
      <c r="DL62" s="97" t="str">
        <f t="shared" si="94"/>
        <v/>
      </c>
      <c r="DM62" s="97" t="str">
        <f t="shared" si="95"/>
        <v/>
      </c>
      <c r="DN62" s="97" t="str">
        <f t="shared" si="96"/>
        <v/>
      </c>
      <c r="DO62" s="97" t="str">
        <f t="shared" si="97"/>
        <v/>
      </c>
      <c r="DP62" s="97" t="str">
        <f t="shared" si="98"/>
        <v/>
      </c>
      <c r="DQ62" s="97" t="str">
        <f t="shared" si="99"/>
        <v/>
      </c>
      <c r="DR62" s="97" t="str">
        <f t="shared" si="100"/>
        <v/>
      </c>
      <c r="DS62" s="98">
        <f t="shared" si="101"/>
        <v>0</v>
      </c>
      <c r="DT62" s="98">
        <f t="shared" si="102"/>
        <v>0</v>
      </c>
      <c r="DU62" s="98">
        <f t="shared" si="103"/>
        <v>0</v>
      </c>
      <c r="DV62" s="98">
        <f t="shared" si="104"/>
        <v>0</v>
      </c>
      <c r="DW62" s="98">
        <f t="shared" si="105"/>
        <v>0</v>
      </c>
      <c r="DX62" s="98" t="str">
        <f t="shared" si="106"/>
        <v/>
      </c>
      <c r="DY62" s="99" t="str">
        <f t="shared" si="107"/>
        <v/>
      </c>
      <c r="DZ62" s="74" t="str">
        <f>IF('Marks Entry'!AY62="","",'Marks Entry'!AY62)</f>
        <v/>
      </c>
      <c r="EA62" s="74" t="str">
        <f>IF('Marks Entry'!AZ62="","",'Marks Entry'!AZ62)</f>
        <v/>
      </c>
      <c r="EB62" s="74" t="str">
        <f>IF('Marks Entry'!BA62="","",'Marks Entry'!BA62)</f>
        <v/>
      </c>
      <c r="EC62" s="527" t="str">
        <f t="shared" si="52"/>
        <v/>
      </c>
      <c r="ED62" s="74" t="str">
        <f>IF('Marks Entry'!BB62="","",'Marks Entry'!BB62)</f>
        <v/>
      </c>
      <c r="EE62" s="528" t="str">
        <f t="shared" si="53"/>
        <v/>
      </c>
      <c r="EF62" s="74" t="str">
        <f>IF('Marks Entry'!BC62="","",'Marks Entry'!BC62)</f>
        <v/>
      </c>
      <c r="EG62" s="530" t="str">
        <f t="shared" si="54"/>
        <v/>
      </c>
      <c r="EH62" s="368" t="str">
        <f t="shared" si="108"/>
        <v/>
      </c>
      <c r="EI62" s="65">
        <f t="shared" si="109"/>
        <v>0</v>
      </c>
      <c r="EJ62" s="65">
        <f t="shared" si="110"/>
        <v>0</v>
      </c>
      <c r="EK62" s="66" t="str">
        <f t="shared" si="111"/>
        <v/>
      </c>
      <c r="EL62" s="74" t="str">
        <f>IF('Marks Entry'!BD62="","",'Marks Entry'!BD62)</f>
        <v/>
      </c>
      <c r="EM62" s="74" t="str">
        <f>IF('Marks Entry'!BE62="","",'Marks Entry'!BE62)</f>
        <v/>
      </c>
      <c r="EN62" s="74" t="str">
        <f>IF('Marks Entry'!BF62="","",'Marks Entry'!BF62)</f>
        <v/>
      </c>
      <c r="EO62" s="527" t="str">
        <f t="shared" si="55"/>
        <v/>
      </c>
      <c r="EP62" s="74" t="str">
        <f>IF('Marks Entry'!BG62="","",'Marks Entry'!BG62)</f>
        <v/>
      </c>
      <c r="EQ62" s="74" t="str">
        <f>IF('Marks Entry'!BH62="","",'Marks Entry'!BH62)</f>
        <v/>
      </c>
      <c r="ER62" s="528" t="str">
        <f t="shared" si="56"/>
        <v/>
      </c>
      <c r="ES62" s="529" t="str">
        <f t="shared" si="57"/>
        <v/>
      </c>
      <c r="ET62" s="74" t="str">
        <f>IF('Marks Entry'!BI62="","",'Marks Entry'!BI62)</f>
        <v/>
      </c>
      <c r="EU62" s="74" t="str">
        <f>IF('Marks Entry'!BJ62="","",'Marks Entry'!BJ62)</f>
        <v/>
      </c>
      <c r="EV62" s="528" t="str">
        <f t="shared" si="58"/>
        <v/>
      </c>
      <c r="EW62" s="530" t="str">
        <f t="shared" si="59"/>
        <v/>
      </c>
      <c r="EX62" s="368" t="str">
        <f t="shared" si="112"/>
        <v/>
      </c>
      <c r="EY62" s="65">
        <f t="shared" si="113"/>
        <v>0</v>
      </c>
      <c r="EZ62" s="65">
        <f t="shared" si="114"/>
        <v>0</v>
      </c>
      <c r="FA62" s="66" t="str">
        <f t="shared" si="115"/>
        <v/>
      </c>
      <c r="FB62" s="74" t="str">
        <f>IF('Marks Entry'!BK62="","",'Marks Entry'!BK62)</f>
        <v/>
      </c>
      <c r="FC62" s="74" t="str">
        <f>IF('Marks Entry'!BL62="","",'Marks Entry'!BL62)</f>
        <v/>
      </c>
      <c r="FD62" s="74" t="str">
        <f>IF('Marks Entry'!BM62="","",'Marks Entry'!BM62)</f>
        <v/>
      </c>
      <c r="FE62" s="74" t="str">
        <f>IF('Marks Entry'!BN62="","",'Marks Entry'!BN62)</f>
        <v/>
      </c>
      <c r="FF62" s="74" t="str">
        <f>IF('Marks Entry'!BO62="","",'Marks Entry'!BO62)</f>
        <v/>
      </c>
      <c r="FG62" s="74" t="str">
        <f>IF('Marks Entry'!BP62="","",'Marks Entry'!BP62)</f>
        <v/>
      </c>
      <c r="FH62" s="527" t="str">
        <f t="shared" si="60"/>
        <v/>
      </c>
      <c r="FI62" s="74" t="str">
        <f>IF('Marks Entry'!BQ62="","",'Marks Entry'!BQ62)</f>
        <v/>
      </c>
      <c r="FJ62" s="74" t="str">
        <f>IF('Marks Entry'!BR62="","",'Marks Entry'!BR62)</f>
        <v/>
      </c>
      <c r="FK62" s="528" t="str">
        <f t="shared" si="61"/>
        <v/>
      </c>
      <c r="FL62" s="529" t="str">
        <f t="shared" si="62"/>
        <v/>
      </c>
      <c r="FM62" s="74" t="str">
        <f>IF('Marks Entry'!BS62="","",'Marks Entry'!BS62)</f>
        <v/>
      </c>
      <c r="FN62" s="74" t="str">
        <f>IF('Marks Entry'!BT62="","",'Marks Entry'!BT62)</f>
        <v/>
      </c>
      <c r="FO62" s="528" t="str">
        <f t="shared" si="63"/>
        <v/>
      </c>
      <c r="FP62" s="530" t="str">
        <f t="shared" si="64"/>
        <v/>
      </c>
      <c r="FQ62" s="368" t="str">
        <f t="shared" si="116"/>
        <v/>
      </c>
      <c r="FR62" s="65">
        <f t="shared" si="117"/>
        <v>0</v>
      </c>
      <c r="FS62" s="65">
        <f t="shared" si="118"/>
        <v>0</v>
      </c>
      <c r="FT62" s="66" t="str">
        <f t="shared" si="119"/>
        <v/>
      </c>
      <c r="FU62" s="74" t="str">
        <f>IF('Marks Entry'!BU62="","",'Marks Entry'!BU62)</f>
        <v/>
      </c>
      <c r="FV62" s="74" t="str">
        <f>IF('Marks Entry'!BV62="","",'Marks Entry'!BV62)</f>
        <v/>
      </c>
      <c r="FW62" s="74" t="str">
        <f>IF('Marks Entry'!BW62="","",'Marks Entry'!BW62)</f>
        <v/>
      </c>
      <c r="FX62" s="75" t="str">
        <f t="shared" si="65"/>
        <v/>
      </c>
      <c r="FY62" s="368" t="str">
        <f t="shared" si="120"/>
        <v/>
      </c>
      <c r="FZ62" s="65">
        <f t="shared" si="121"/>
        <v>0</v>
      </c>
      <c r="GA62" s="66">
        <f t="shared" si="122"/>
        <v>0</v>
      </c>
      <c r="GB62" s="66" t="str">
        <f t="shared" si="123"/>
        <v/>
      </c>
      <c r="GC62" s="74" t="str">
        <f>IF('Marks Entry'!BX62="","",'Marks Entry'!BX62)</f>
        <v/>
      </c>
      <c r="GD62" s="74" t="str">
        <f>IF('Marks Entry'!BY62="","",'Marks Entry'!BY62)</f>
        <v/>
      </c>
      <c r="GE62" s="74" t="str">
        <f>IF('Marks Entry'!BZ62="","",'Marks Entry'!BZ62)</f>
        <v/>
      </c>
      <c r="GF62" s="75" t="str">
        <f t="shared" si="124"/>
        <v/>
      </c>
      <c r="GG62" s="368" t="str">
        <f t="shared" si="125"/>
        <v/>
      </c>
      <c r="GH62" s="65">
        <f t="shared" si="126"/>
        <v>0</v>
      </c>
      <c r="GI62" s="66">
        <f t="shared" si="127"/>
        <v>0</v>
      </c>
      <c r="GJ62" s="66" t="str">
        <f t="shared" si="128"/>
        <v/>
      </c>
      <c r="GK62" s="100" t="str">
        <f>IF(AND(F62="",B62=""),"",IF('Student DATA Entry'!M59="","",'Student DATA Entry'!M59))</f>
        <v/>
      </c>
      <c r="GL62" s="101" t="str">
        <f>IF(AND(B62="",F62=""),"",IF('Student DATA Entry'!N59="","",'Student DATA Entry'!N59))</f>
        <v/>
      </c>
      <c r="GM62" s="581" t="str">
        <f t="shared" si="129"/>
        <v/>
      </c>
      <c r="GN62" s="94" t="str">
        <f t="shared" si="130"/>
        <v/>
      </c>
      <c r="GO62" s="94" t="str">
        <f t="shared" si="131"/>
        <v/>
      </c>
      <c r="GP62" s="102" t="str">
        <f t="shared" si="162"/>
        <v/>
      </c>
      <c r="GQ62" s="94" t="str">
        <f t="shared" si="132"/>
        <v/>
      </c>
      <c r="GR62" s="103" t="str">
        <f t="shared" si="133"/>
        <v/>
      </c>
      <c r="GS62" s="102" t="str">
        <f t="shared" si="163"/>
        <v/>
      </c>
      <c r="GT62" s="104" t="str">
        <f t="shared" si="134"/>
        <v/>
      </c>
      <c r="GU62" s="94" t="str">
        <f>IF('Marks Entry'!V62=1,GT62,"")</f>
        <v/>
      </c>
      <c r="GV62" s="94" t="str">
        <f>IF('Marks Entry'!V62=2,GT62,"")</f>
        <v/>
      </c>
      <c r="GW62" s="94" t="str">
        <f>IF('Marks Entry'!V62=3,GT62,"")</f>
        <v/>
      </c>
      <c r="GX62" s="94" t="str">
        <f>IF('Marks Entry'!V62=4,GT62,"")</f>
        <v/>
      </c>
      <c r="GY62" s="94" t="str">
        <f>IF('Marks Entry'!V62=5,GT62,"")</f>
        <v/>
      </c>
      <c r="GZ62" s="94" t="str">
        <f t="shared" si="135"/>
        <v/>
      </c>
      <c r="HA62" s="105" t="str">
        <f t="shared" si="164"/>
        <v/>
      </c>
      <c r="HB62" s="94" t="str">
        <f t="shared" si="136"/>
        <v/>
      </c>
      <c r="HC62" s="94" t="str">
        <f t="shared" si="137"/>
        <v/>
      </c>
      <c r="HD62" s="105" t="str">
        <f t="shared" si="165"/>
        <v/>
      </c>
      <c r="HE62" s="94" t="str">
        <f t="shared" si="138"/>
        <v/>
      </c>
      <c r="HF62" s="94" t="str">
        <f t="shared" si="139"/>
        <v/>
      </c>
      <c r="HG62" s="105" t="str">
        <f t="shared" si="166"/>
        <v/>
      </c>
      <c r="HH62" s="94" t="str">
        <f t="shared" si="140"/>
        <v/>
      </c>
      <c r="HI62" s="94" t="str">
        <f t="shared" si="141"/>
        <v/>
      </c>
      <c r="HJ62" s="105" t="str">
        <f t="shared" si="167"/>
        <v/>
      </c>
      <c r="HK62" s="94" t="str">
        <f t="shared" si="142"/>
        <v/>
      </c>
      <c r="HL62" s="94" t="str">
        <f t="shared" si="143"/>
        <v/>
      </c>
      <c r="HM62" s="105" t="str">
        <f t="shared" si="168"/>
        <v/>
      </c>
      <c r="HN62" s="367" t="str">
        <f t="shared" si="144"/>
        <v xml:space="preserve">      </v>
      </c>
      <c r="HO62" s="418" t="str">
        <f t="shared" si="169"/>
        <v xml:space="preserve">      </v>
      </c>
      <c r="HP62" s="367" t="str">
        <f t="shared" si="146"/>
        <v xml:space="preserve">      </v>
      </c>
      <c r="HQ62" s="107" t="str">
        <f t="shared" si="147"/>
        <v xml:space="preserve">      </v>
      </c>
      <c r="HR62" s="366" t="str">
        <f t="shared" si="148"/>
        <v xml:space="preserve">      </v>
      </c>
      <c r="HS62" s="544" t="str">
        <f t="shared" si="170"/>
        <v/>
      </c>
      <c r="HT62" s="542" t="str">
        <f t="shared" si="149"/>
        <v/>
      </c>
      <c r="HU62" s="541" t="str">
        <f t="shared" si="160"/>
        <v/>
      </c>
      <c r="HV62" s="540" t="str">
        <f t="shared" si="150"/>
        <v/>
      </c>
      <c r="HW62" s="537" t="str">
        <f t="shared" si="151"/>
        <v/>
      </c>
      <c r="HX62" s="539" t="str">
        <f t="shared" si="152"/>
        <v/>
      </c>
      <c r="HY62" s="553" t="str">
        <f>IFERROR(IF(OR(HS62="SUPPLEMENTARY",HS62="RE-EXAM"),'Supp. Result Entry'!AQ60,""),"")</f>
        <v/>
      </c>
      <c r="HZ62" s="538" t="str">
        <f t="shared" si="153"/>
        <v/>
      </c>
      <c r="IA62" s="415" t="str">
        <f t="shared" si="154"/>
        <v/>
      </c>
      <c r="IB62" s="415" t="str">
        <f>IF(AND(HZ62="",IA62=""),"",IF(OR(HS62="SUPPLEMENTARY",HS62="RE-EXAM"),'Supp. Result Entry'!AQ60,HS62))</f>
        <v/>
      </c>
      <c r="IC62" s="87"/>
      <c r="IS62" s="109" t="str">
        <f>IF('Supp. Result Entry'!T60="","",'Supp. Result Entry'!$T$4)</f>
        <v/>
      </c>
      <c r="IT62" s="110" t="str">
        <f>IF('Supp. Result Entry'!W60="","",'Supp. Result Entry'!$W$4)</f>
        <v/>
      </c>
      <c r="IU62" s="110" t="str">
        <f>IF('Supp. Result Entry'!Z60="","",'Supp. Result Entry'!$Z$4)</f>
        <v/>
      </c>
      <c r="IV62" s="110" t="str">
        <f>IF('Supp. Result Entry'!AC60="","",'Supp. Result Entry'!$AC$4)</f>
        <v/>
      </c>
      <c r="IW62" s="110" t="str">
        <f>IF('Supp. Result Entry'!AF60="","",'Supp. Result Entry'!$AF$4)</f>
        <v/>
      </c>
      <c r="IX62" s="110" t="str">
        <f>IF('Supp. Result Entry'!AI60="","",'Supp. Result Entry'!$AI$4)</f>
        <v/>
      </c>
      <c r="IY62" s="110" t="str">
        <f>IF('Supp. Result Entry'!AI60="","",'Supp. Result Entry'!$AL$4)</f>
        <v/>
      </c>
      <c r="IZ62" s="110" t="str">
        <f>IF('Supp. Result Entry'!U60="","",'Supp. Result Entry'!U60)</f>
        <v/>
      </c>
      <c r="JA62" s="110" t="str">
        <f>IF('Supp. Result Entry'!X60="","",'Supp. Result Entry'!X60)</f>
        <v/>
      </c>
      <c r="JB62" s="110" t="str">
        <f>IF('Supp. Result Entry'!AA60="","",'Supp. Result Entry'!AA60)</f>
        <v/>
      </c>
      <c r="JC62" s="110" t="str">
        <f>IF('Supp. Result Entry'!AD60="","",'Supp. Result Entry'!AD60)</f>
        <v/>
      </c>
      <c r="JD62" s="110" t="str">
        <f>IF('Supp. Result Entry'!AG60="","",'Supp. Result Entry'!AG60)</f>
        <v/>
      </c>
      <c r="JE62" s="110" t="str">
        <f>IF('Supp. Result Entry'!AJ60="","",'Supp. Result Entry'!AJ60)</f>
        <v/>
      </c>
      <c r="JF62" s="110" t="str">
        <f>IF('Supp. Result Entry'!AM60="","",'Supp. Result Entry'!AM60)</f>
        <v/>
      </c>
      <c r="JG62" s="110" t="str">
        <f>IF('Supp. Result Entry'!V60="","",'Supp. Result Entry'!V60)</f>
        <v/>
      </c>
      <c r="JH62" s="110" t="str">
        <f>IF('Supp. Result Entry'!Y60="","",'Supp. Result Entry'!Y60)</f>
        <v/>
      </c>
      <c r="JI62" s="110" t="str">
        <f>IF('Supp. Result Entry'!AB60="","",'Supp. Result Entry'!AB60)</f>
        <v/>
      </c>
      <c r="JJ62" s="110" t="str">
        <f>IF('Supp. Result Entry'!AE60="","",'Supp. Result Entry'!AE60)</f>
        <v/>
      </c>
      <c r="JK62" s="110" t="str">
        <f>IF('Supp. Result Entry'!AH60="","",'Supp. Result Entry'!AH60)</f>
        <v/>
      </c>
      <c r="JL62" s="110" t="str">
        <f>IF('Supp. Result Entry'!AK60="","",'Supp. Result Entry'!AK60)</f>
        <v/>
      </c>
      <c r="JM62" s="110" t="str">
        <f>IF('Supp. Result Entry'!AN60="","",'Supp. Result Entry'!AN60)</f>
        <v/>
      </c>
      <c r="JN62" s="110">
        <f>COUNTIF('Supp. Result Entry'!K60:Q60,"S")</f>
        <v>0</v>
      </c>
      <c r="JO62" s="110">
        <f t="shared" si="155"/>
        <v>0</v>
      </c>
      <c r="JP62" s="110">
        <f t="shared" si="156"/>
        <v>0</v>
      </c>
      <c r="JQ62" s="110" t="str">
        <f t="shared" si="75"/>
        <v/>
      </c>
      <c r="JR62" s="110" t="str">
        <f t="shared" si="76"/>
        <v/>
      </c>
      <c r="JS62" s="110" t="str">
        <f t="shared" si="77"/>
        <v/>
      </c>
      <c r="JT62" s="110" t="str">
        <f t="shared" si="78"/>
        <v/>
      </c>
      <c r="JU62" s="110" t="str">
        <f t="shared" si="79"/>
        <v/>
      </c>
      <c r="JV62" s="110" t="str">
        <f t="shared" si="80"/>
        <v/>
      </c>
      <c r="JW62" s="110" t="str">
        <f t="shared" si="81"/>
        <v/>
      </c>
      <c r="JX62" s="110" t="str">
        <f t="shared" si="157"/>
        <v/>
      </c>
      <c r="JY62" s="110" t="str">
        <f t="shared" si="158"/>
        <v/>
      </c>
      <c r="JZ62" s="110" t="str">
        <f t="shared" si="82"/>
        <v/>
      </c>
      <c r="KA62" s="108" t="str">
        <f t="shared" si="159"/>
        <v/>
      </c>
    </row>
    <row r="63" spans="1:287" s="108" customFormat="1" ht="21.95" customHeight="1">
      <c r="A63" s="89">
        <v>57</v>
      </c>
      <c r="B63" s="90" t="str">
        <f>IF('Marks Entry'!B63="","",'Marks Entry'!B63)</f>
        <v/>
      </c>
      <c r="C63" s="94" t="str">
        <f>IF('Marks Entry'!D63="","",'Marks Entry'!D63)</f>
        <v/>
      </c>
      <c r="D63" s="91" t="str">
        <f>IF('Marks Entry'!E63="","",'Marks Entry'!E63)</f>
        <v/>
      </c>
      <c r="E63" s="92" t="str">
        <f>IF('Marks Entry'!F63="","",'Marks Entry'!F63)</f>
        <v/>
      </c>
      <c r="F63" s="93" t="str">
        <f>IF('Marks Entry'!G63="","",'Marks Entry'!G63)</f>
        <v/>
      </c>
      <c r="G63" s="93" t="str">
        <f>IF('Marks Entry'!H63="","",'Marks Entry'!H63)</f>
        <v/>
      </c>
      <c r="H63" s="93" t="str">
        <f>IF('Marks Entry'!I63="","",'Marks Entry'!I63)</f>
        <v/>
      </c>
      <c r="I63" s="94" t="str">
        <f>IF('Marks Entry'!J63="","",'Marks Entry'!J63)</f>
        <v/>
      </c>
      <c r="J63" s="95" t="str">
        <f>IF('Marks Entry'!K63="","",'Marks Entry'!K63)</f>
        <v/>
      </c>
      <c r="K63" s="68" t="str">
        <f>IF('Marks Entry'!L63="","",'Marks Entry'!L63)</f>
        <v/>
      </c>
      <c r="L63" s="68" t="str">
        <f>IF('Marks Entry'!M63="","",'Marks Entry'!M63)</f>
        <v/>
      </c>
      <c r="M63" s="68" t="str">
        <f>IF('Marks Entry'!N63="","",'Marks Entry'!N63)</f>
        <v/>
      </c>
      <c r="N63" s="514" t="str">
        <f t="shared" si="83"/>
        <v/>
      </c>
      <c r="O63" s="68" t="str">
        <f>IF('Marks Entry'!O63="","",'Marks Entry'!O63)</f>
        <v/>
      </c>
      <c r="P63" s="515" t="str">
        <f t="shared" si="84"/>
        <v/>
      </c>
      <c r="Q63" s="68" t="str">
        <f>IF('Marks Entry'!P63="","",'Marks Entry'!P63)</f>
        <v/>
      </c>
      <c r="R63" s="96" t="str">
        <f t="shared" si="85"/>
        <v/>
      </c>
      <c r="S63" s="65">
        <f t="shared" si="86"/>
        <v>0</v>
      </c>
      <c r="T63" s="65">
        <f t="shared" si="87"/>
        <v>0</v>
      </c>
      <c r="U63" s="66" t="str">
        <f t="shared" si="88"/>
        <v/>
      </c>
      <c r="V63" s="65" t="str">
        <f t="shared" si="89"/>
        <v/>
      </c>
      <c r="W63" s="65" t="str">
        <f t="shared" si="90"/>
        <v/>
      </c>
      <c r="X63" s="65" t="str">
        <f t="shared" si="91"/>
        <v/>
      </c>
      <c r="Y63" s="68" t="str">
        <f>IF('Marks Entry'!Q63="","",'Marks Entry'!Q63)</f>
        <v/>
      </c>
      <c r="Z63" s="68" t="str">
        <f>IF('Marks Entry'!R63="","",'Marks Entry'!R63)</f>
        <v/>
      </c>
      <c r="AA63" s="68" t="str">
        <f>IF('Marks Entry'!S63="","",'Marks Entry'!S63)</f>
        <v/>
      </c>
      <c r="AB63" s="514" t="str">
        <f t="shared" si="2"/>
        <v/>
      </c>
      <c r="AC63" s="68" t="str">
        <f>IF('Marks Entry'!T63="","",'Marks Entry'!T63)</f>
        <v/>
      </c>
      <c r="AD63" s="515" t="str">
        <f t="shared" si="3"/>
        <v/>
      </c>
      <c r="AE63" s="68" t="str">
        <f>IF('Marks Entry'!U63="","",'Marks Entry'!U63)</f>
        <v/>
      </c>
      <c r="AF63" s="96" t="str">
        <f t="shared" si="4"/>
        <v/>
      </c>
      <c r="AG63" s="65">
        <f t="shared" si="5"/>
        <v>0</v>
      </c>
      <c r="AH63" s="65">
        <f t="shared" si="6"/>
        <v>0</v>
      </c>
      <c r="AI63" s="66" t="str">
        <f t="shared" si="7"/>
        <v/>
      </c>
      <c r="AJ63" s="65" t="str">
        <f t="shared" si="8"/>
        <v/>
      </c>
      <c r="AK63" s="65" t="str">
        <f t="shared" si="9"/>
        <v/>
      </c>
      <c r="AL63" s="65" t="str">
        <f t="shared" si="10"/>
        <v/>
      </c>
      <c r="AM63" s="524" t="str">
        <f>IF('Marks Entry'!V63="","",IF('Marks Entry'!V63=1,'School Profile'!$I$9,IF('Marks Entry'!V63=2,'School Profile'!$I$10,IF('Marks Entry'!V63=3,'School Profile'!$I$11,IF('Marks Entry'!V63=4,'School Profile'!$I$12,IF('Marks Entry'!V63=5,'School Profile'!$I$13,IF('Marks Entry'!V63=6,'School Profile'!$I$14,"")))))))</f>
        <v/>
      </c>
      <c r="AN63" s="68" t="str">
        <f>IF('Marks Entry'!W63="","",'Marks Entry'!W63)</f>
        <v/>
      </c>
      <c r="AO63" s="68" t="str">
        <f>IF('Marks Entry'!X63="","",'Marks Entry'!X63)</f>
        <v/>
      </c>
      <c r="AP63" s="68" t="str">
        <f>IF('Marks Entry'!Y63="","",'Marks Entry'!Y63)</f>
        <v/>
      </c>
      <c r="AQ63" s="514" t="str">
        <f t="shared" si="11"/>
        <v/>
      </c>
      <c r="AR63" s="68" t="str">
        <f>IF('Marks Entry'!Z63="","",'Marks Entry'!Z63)</f>
        <v/>
      </c>
      <c r="AS63" s="515" t="str">
        <f t="shared" si="12"/>
        <v/>
      </c>
      <c r="AT63" s="68" t="str">
        <f>IF('Marks Entry'!AA63="","",'Marks Entry'!AA63)</f>
        <v/>
      </c>
      <c r="AU63" s="96" t="str">
        <f t="shared" si="13"/>
        <v/>
      </c>
      <c r="AV63" s="65">
        <f t="shared" si="14"/>
        <v>0</v>
      </c>
      <c r="AW63" s="65">
        <f t="shared" si="15"/>
        <v>0</v>
      </c>
      <c r="AX63" s="66" t="str">
        <f t="shared" si="16"/>
        <v/>
      </c>
      <c r="AY63" s="65" t="str">
        <f t="shared" si="17"/>
        <v/>
      </c>
      <c r="AZ63" s="65" t="str">
        <f t="shared" si="18"/>
        <v/>
      </c>
      <c r="BA63" s="65" t="str">
        <f t="shared" si="19"/>
        <v/>
      </c>
      <c r="BB63" s="68" t="str">
        <f>IF('Marks Entry'!AB63="","",'Marks Entry'!AB63)</f>
        <v/>
      </c>
      <c r="BC63" s="68" t="str">
        <f>IF('Marks Entry'!AC63="","",'Marks Entry'!AC63)</f>
        <v/>
      </c>
      <c r="BD63" s="68" t="str">
        <f>IF('Marks Entry'!AD63="","",'Marks Entry'!AD63)</f>
        <v/>
      </c>
      <c r="BE63" s="514" t="str">
        <f t="shared" si="20"/>
        <v/>
      </c>
      <c r="BF63" s="68" t="str">
        <f>IF('Marks Entry'!AE63="","",'Marks Entry'!AE63)</f>
        <v/>
      </c>
      <c r="BG63" s="515" t="str">
        <f t="shared" si="21"/>
        <v/>
      </c>
      <c r="BH63" s="68" t="str">
        <f>IF('Marks Entry'!AF63="","",'Marks Entry'!AF63)</f>
        <v/>
      </c>
      <c r="BI63" s="96" t="str">
        <f t="shared" si="22"/>
        <v/>
      </c>
      <c r="BJ63" s="65">
        <f t="shared" si="23"/>
        <v>0</v>
      </c>
      <c r="BK63" s="65">
        <f t="shared" si="92"/>
        <v>0</v>
      </c>
      <c r="BL63" s="66" t="str">
        <f t="shared" si="24"/>
        <v/>
      </c>
      <c r="BM63" s="65" t="str">
        <f t="shared" si="25"/>
        <v/>
      </c>
      <c r="BN63" s="65" t="str">
        <f t="shared" si="26"/>
        <v/>
      </c>
      <c r="BO63" s="65" t="str">
        <f t="shared" si="27"/>
        <v/>
      </c>
      <c r="BP63" s="68" t="str">
        <f>IF('Marks Entry'!AG63="","",'Marks Entry'!AG63)</f>
        <v/>
      </c>
      <c r="BQ63" s="68" t="str">
        <f>IF('Marks Entry'!AH63="","",'Marks Entry'!AH63)</f>
        <v/>
      </c>
      <c r="BR63" s="68" t="str">
        <f>IF('Marks Entry'!AI63="","",'Marks Entry'!AI63)</f>
        <v/>
      </c>
      <c r="BS63" s="514" t="str">
        <f t="shared" si="28"/>
        <v/>
      </c>
      <c r="BT63" s="68" t="str">
        <f>IF('Marks Entry'!AJ63="","",'Marks Entry'!AJ63)</f>
        <v/>
      </c>
      <c r="BU63" s="515" t="str">
        <f t="shared" si="29"/>
        <v/>
      </c>
      <c r="BV63" s="68" t="str">
        <f>IF('Marks Entry'!AK63="","",'Marks Entry'!AK63)</f>
        <v/>
      </c>
      <c r="BW63" s="96" t="str">
        <f t="shared" si="30"/>
        <v/>
      </c>
      <c r="BX63" s="65">
        <f t="shared" si="31"/>
        <v>0</v>
      </c>
      <c r="BY63" s="65">
        <f t="shared" si="32"/>
        <v>0</v>
      </c>
      <c r="BZ63" s="66" t="str">
        <f t="shared" si="33"/>
        <v/>
      </c>
      <c r="CA63" s="65" t="str">
        <f t="shared" si="34"/>
        <v/>
      </c>
      <c r="CB63" s="65" t="str">
        <f t="shared" si="35"/>
        <v/>
      </c>
      <c r="CC63" s="65" t="str">
        <f t="shared" si="36"/>
        <v/>
      </c>
      <c r="CD63" s="66">
        <f t="shared" si="161"/>
        <v>0</v>
      </c>
      <c r="CE63" s="68" t="str">
        <f>IF('Marks Entry'!AL63="","",'Marks Entry'!AL63)</f>
        <v/>
      </c>
      <c r="CF63" s="68" t="str">
        <f>IF('Marks Entry'!AM63="","",'Marks Entry'!AM63)</f>
        <v/>
      </c>
      <c r="CG63" s="68" t="str">
        <f>IF('Marks Entry'!AN63="","",'Marks Entry'!AN63)</f>
        <v/>
      </c>
      <c r="CH63" s="514" t="str">
        <f t="shared" si="37"/>
        <v/>
      </c>
      <c r="CI63" s="68" t="str">
        <f>IF('Marks Entry'!AO63="","",'Marks Entry'!AO63)</f>
        <v/>
      </c>
      <c r="CJ63" s="515" t="str">
        <f t="shared" si="38"/>
        <v/>
      </c>
      <c r="CK63" s="68" t="str">
        <f>IF('Marks Entry'!AP63="","",'Marks Entry'!AP63)</f>
        <v/>
      </c>
      <c r="CL63" s="96" t="str">
        <f t="shared" si="39"/>
        <v/>
      </c>
      <c r="CM63" s="65">
        <f t="shared" si="40"/>
        <v>0</v>
      </c>
      <c r="CN63" s="65">
        <f t="shared" si="41"/>
        <v>0</v>
      </c>
      <c r="CO63" s="66" t="str">
        <f t="shared" si="42"/>
        <v/>
      </c>
      <c r="CP63" s="65" t="str">
        <f t="shared" si="43"/>
        <v/>
      </c>
      <c r="CQ63" s="65" t="str">
        <f t="shared" si="44"/>
        <v/>
      </c>
      <c r="CR63" s="65" t="str">
        <f t="shared" si="45"/>
        <v/>
      </c>
      <c r="CS63" s="616" t="str">
        <f>IF('School Profile'!$D$20="NO","",IF('Marks Entry'!AQ63="","",IF('Marks Entry'!AQ63=1,'School Profile'!$I$29,IF('Marks Entry'!AQ63=2,'School Profile'!$I$30,IF('Marks Entry'!AQ63=3,'School Profile'!$I$31,IF('Marks Entry'!AQ63=4,'School Profile'!$I$32,IF('Marks Entry'!AQ63=5,'School Profile'!$I$33,IF('Marks Entry'!AQ63=6,'School Profile'!$I$34,IF('Marks Entry'!AQ63=7,'School Profile'!$I$35,IF('Marks Entry'!AQ63=8,'School Profile'!$I$36,IF('Marks Entry'!AQ63=9,'School Profile'!$I$37,IF('Marks Entry'!AQ63=10,'School Profile'!$I$38,IF('Marks Entry'!AQ63=11,'School Profile'!$I$39,"")))))))))))))</f>
        <v/>
      </c>
      <c r="CT63" s="68" t="str">
        <f>IF('School Profile'!$D$20="NO","",IF('Marks Entry'!AR63="","",'Marks Entry'!AR63))</f>
        <v/>
      </c>
      <c r="CU63" s="68" t="str">
        <f>IF('School Profile'!$D$20="NO","",IF('Marks Entry'!AS63="","",'Marks Entry'!AS63))</f>
        <v/>
      </c>
      <c r="CV63" s="68" t="str">
        <f>IF('School Profile'!$D$20="NO","",IF('Marks Entry'!AT63="","",'Marks Entry'!AT63))</f>
        <v/>
      </c>
      <c r="CW63" s="514" t="str">
        <f>IF('School Profile'!$D$20="NO","",IF(AND(CT63="",CU63="",CV63=""),"",SUM(CT63:CV63)))</f>
        <v/>
      </c>
      <c r="CX63" s="68" t="str">
        <f>IF('School Profile'!$D$20="NO","",IF('Marks Entry'!AU63="","",'Marks Entry'!AU63))</f>
        <v/>
      </c>
      <c r="CY63" s="68" t="str">
        <f>IF('School Profile'!$D$20="NO","",IF('Marks Entry'!AV63="","",'Marks Entry'!AV63))</f>
        <v/>
      </c>
      <c r="CZ63" s="515" t="str">
        <f>IF('School Profile'!$D$20="NO","",IF(AND(CX63="",CY63=""),"",SUM(CX63,CY63)))</f>
        <v/>
      </c>
      <c r="DA63" s="69" t="str">
        <f>IF('School Profile'!$D$20="NO","",IF(AND(CW63="",CZ63=""),"",SUM(CW63+CZ63)))</f>
        <v/>
      </c>
      <c r="DB63" s="68" t="str">
        <f>IF('School Profile'!$D$20="NO","",IF('Marks Entry'!AW63="","",'Marks Entry'!AW63))</f>
        <v/>
      </c>
      <c r="DC63" s="68" t="str">
        <f>IF('School Profile'!$D$20="NO","",IF('Marks Entry'!AX63="","",'Marks Entry'!AX63))</f>
        <v/>
      </c>
      <c r="DD63" s="515" t="str">
        <f>IF('School Profile'!$D$20="NO","",IF(AND(DB63="",DC63=""),"",SUM(DB63,DC63)))</f>
        <v/>
      </c>
      <c r="DE63" s="96" t="str">
        <f>IF('School Profile'!$D$20="NO","",IF(AND(DA63="",DD63=""),"",SUM(DA63,DD63)))</f>
        <v/>
      </c>
      <c r="DF63" s="532">
        <f t="shared" si="46"/>
        <v>0</v>
      </c>
      <c r="DG63" s="65">
        <f t="shared" si="47"/>
        <v>0</v>
      </c>
      <c r="DH63" s="66" t="str">
        <f t="shared" si="48"/>
        <v/>
      </c>
      <c r="DI63" s="65" t="str">
        <f t="shared" si="49"/>
        <v/>
      </c>
      <c r="DJ63" s="65" t="str">
        <f t="shared" si="50"/>
        <v/>
      </c>
      <c r="DK63" s="65" t="str">
        <f t="shared" si="51"/>
        <v/>
      </c>
      <c r="DL63" s="97" t="str">
        <f t="shared" si="94"/>
        <v/>
      </c>
      <c r="DM63" s="97" t="str">
        <f t="shared" si="95"/>
        <v/>
      </c>
      <c r="DN63" s="97" t="str">
        <f t="shared" si="96"/>
        <v/>
      </c>
      <c r="DO63" s="97" t="str">
        <f t="shared" si="97"/>
        <v/>
      </c>
      <c r="DP63" s="97" t="str">
        <f t="shared" si="98"/>
        <v/>
      </c>
      <c r="DQ63" s="97" t="str">
        <f t="shared" si="99"/>
        <v/>
      </c>
      <c r="DR63" s="97" t="str">
        <f t="shared" si="100"/>
        <v/>
      </c>
      <c r="DS63" s="98">
        <f t="shared" si="101"/>
        <v>0</v>
      </c>
      <c r="DT63" s="98">
        <f t="shared" si="102"/>
        <v>0</v>
      </c>
      <c r="DU63" s="98">
        <f t="shared" si="103"/>
        <v>0</v>
      </c>
      <c r="DV63" s="98">
        <f t="shared" si="104"/>
        <v>0</v>
      </c>
      <c r="DW63" s="98">
        <f t="shared" si="105"/>
        <v>0</v>
      </c>
      <c r="DX63" s="98" t="str">
        <f t="shared" si="106"/>
        <v/>
      </c>
      <c r="DY63" s="99" t="str">
        <f t="shared" si="107"/>
        <v/>
      </c>
      <c r="DZ63" s="74" t="str">
        <f>IF('Marks Entry'!AY63="","",'Marks Entry'!AY63)</f>
        <v/>
      </c>
      <c r="EA63" s="74" t="str">
        <f>IF('Marks Entry'!AZ63="","",'Marks Entry'!AZ63)</f>
        <v/>
      </c>
      <c r="EB63" s="74" t="str">
        <f>IF('Marks Entry'!BA63="","",'Marks Entry'!BA63)</f>
        <v/>
      </c>
      <c r="EC63" s="527" t="str">
        <f t="shared" si="52"/>
        <v/>
      </c>
      <c r="ED63" s="74" t="str">
        <f>IF('Marks Entry'!BB63="","",'Marks Entry'!BB63)</f>
        <v/>
      </c>
      <c r="EE63" s="528" t="str">
        <f t="shared" si="53"/>
        <v/>
      </c>
      <c r="EF63" s="74" t="str">
        <f>IF('Marks Entry'!BC63="","",'Marks Entry'!BC63)</f>
        <v/>
      </c>
      <c r="EG63" s="530" t="str">
        <f t="shared" si="54"/>
        <v/>
      </c>
      <c r="EH63" s="368" t="str">
        <f t="shared" si="108"/>
        <v/>
      </c>
      <c r="EI63" s="65">
        <f t="shared" si="109"/>
        <v>0</v>
      </c>
      <c r="EJ63" s="65">
        <f t="shared" si="110"/>
        <v>0</v>
      </c>
      <c r="EK63" s="66" t="str">
        <f t="shared" si="111"/>
        <v/>
      </c>
      <c r="EL63" s="74" t="str">
        <f>IF('Marks Entry'!BD63="","",'Marks Entry'!BD63)</f>
        <v/>
      </c>
      <c r="EM63" s="74" t="str">
        <f>IF('Marks Entry'!BE63="","",'Marks Entry'!BE63)</f>
        <v/>
      </c>
      <c r="EN63" s="74" t="str">
        <f>IF('Marks Entry'!BF63="","",'Marks Entry'!BF63)</f>
        <v/>
      </c>
      <c r="EO63" s="527" t="str">
        <f t="shared" si="55"/>
        <v/>
      </c>
      <c r="EP63" s="74" t="str">
        <f>IF('Marks Entry'!BG63="","",'Marks Entry'!BG63)</f>
        <v/>
      </c>
      <c r="EQ63" s="74" t="str">
        <f>IF('Marks Entry'!BH63="","",'Marks Entry'!BH63)</f>
        <v/>
      </c>
      <c r="ER63" s="528" t="str">
        <f t="shared" si="56"/>
        <v/>
      </c>
      <c r="ES63" s="529" t="str">
        <f t="shared" si="57"/>
        <v/>
      </c>
      <c r="ET63" s="74" t="str">
        <f>IF('Marks Entry'!BI63="","",'Marks Entry'!BI63)</f>
        <v/>
      </c>
      <c r="EU63" s="74" t="str">
        <f>IF('Marks Entry'!BJ63="","",'Marks Entry'!BJ63)</f>
        <v/>
      </c>
      <c r="EV63" s="528" t="str">
        <f t="shared" si="58"/>
        <v/>
      </c>
      <c r="EW63" s="530" t="str">
        <f t="shared" si="59"/>
        <v/>
      </c>
      <c r="EX63" s="368" t="str">
        <f t="shared" si="112"/>
        <v/>
      </c>
      <c r="EY63" s="65">
        <f t="shared" si="113"/>
        <v>0</v>
      </c>
      <c r="EZ63" s="65">
        <f t="shared" si="114"/>
        <v>0</v>
      </c>
      <c r="FA63" s="66" t="str">
        <f t="shared" si="115"/>
        <v/>
      </c>
      <c r="FB63" s="74" t="str">
        <f>IF('Marks Entry'!BK63="","",'Marks Entry'!BK63)</f>
        <v/>
      </c>
      <c r="FC63" s="74" t="str">
        <f>IF('Marks Entry'!BL63="","",'Marks Entry'!BL63)</f>
        <v/>
      </c>
      <c r="FD63" s="74" t="str">
        <f>IF('Marks Entry'!BM63="","",'Marks Entry'!BM63)</f>
        <v/>
      </c>
      <c r="FE63" s="74" t="str">
        <f>IF('Marks Entry'!BN63="","",'Marks Entry'!BN63)</f>
        <v/>
      </c>
      <c r="FF63" s="74" t="str">
        <f>IF('Marks Entry'!BO63="","",'Marks Entry'!BO63)</f>
        <v/>
      </c>
      <c r="FG63" s="74" t="str">
        <f>IF('Marks Entry'!BP63="","",'Marks Entry'!BP63)</f>
        <v/>
      </c>
      <c r="FH63" s="527" t="str">
        <f t="shared" si="60"/>
        <v/>
      </c>
      <c r="FI63" s="74" t="str">
        <f>IF('Marks Entry'!BQ63="","",'Marks Entry'!BQ63)</f>
        <v/>
      </c>
      <c r="FJ63" s="74" t="str">
        <f>IF('Marks Entry'!BR63="","",'Marks Entry'!BR63)</f>
        <v/>
      </c>
      <c r="FK63" s="528" t="str">
        <f t="shared" si="61"/>
        <v/>
      </c>
      <c r="FL63" s="529" t="str">
        <f t="shared" si="62"/>
        <v/>
      </c>
      <c r="FM63" s="74" t="str">
        <f>IF('Marks Entry'!BS63="","",'Marks Entry'!BS63)</f>
        <v/>
      </c>
      <c r="FN63" s="74" t="str">
        <f>IF('Marks Entry'!BT63="","",'Marks Entry'!BT63)</f>
        <v/>
      </c>
      <c r="FO63" s="528" t="str">
        <f t="shared" si="63"/>
        <v/>
      </c>
      <c r="FP63" s="530" t="str">
        <f t="shared" si="64"/>
        <v/>
      </c>
      <c r="FQ63" s="368" t="str">
        <f t="shared" si="116"/>
        <v/>
      </c>
      <c r="FR63" s="65">
        <f t="shared" si="117"/>
        <v>0</v>
      </c>
      <c r="FS63" s="65">
        <f t="shared" si="118"/>
        <v>0</v>
      </c>
      <c r="FT63" s="66" t="str">
        <f t="shared" si="119"/>
        <v/>
      </c>
      <c r="FU63" s="74" t="str">
        <f>IF('Marks Entry'!BU63="","",'Marks Entry'!BU63)</f>
        <v/>
      </c>
      <c r="FV63" s="74" t="str">
        <f>IF('Marks Entry'!BV63="","",'Marks Entry'!BV63)</f>
        <v/>
      </c>
      <c r="FW63" s="74" t="str">
        <f>IF('Marks Entry'!BW63="","",'Marks Entry'!BW63)</f>
        <v/>
      </c>
      <c r="FX63" s="75" t="str">
        <f t="shared" si="65"/>
        <v/>
      </c>
      <c r="FY63" s="368" t="str">
        <f t="shared" si="120"/>
        <v/>
      </c>
      <c r="FZ63" s="65">
        <f t="shared" si="121"/>
        <v>0</v>
      </c>
      <c r="GA63" s="66">
        <f t="shared" si="122"/>
        <v>0</v>
      </c>
      <c r="GB63" s="66" t="str">
        <f t="shared" si="123"/>
        <v/>
      </c>
      <c r="GC63" s="74" t="str">
        <f>IF('Marks Entry'!BX63="","",'Marks Entry'!BX63)</f>
        <v/>
      </c>
      <c r="GD63" s="74" t="str">
        <f>IF('Marks Entry'!BY63="","",'Marks Entry'!BY63)</f>
        <v/>
      </c>
      <c r="GE63" s="74" t="str">
        <f>IF('Marks Entry'!BZ63="","",'Marks Entry'!BZ63)</f>
        <v/>
      </c>
      <c r="GF63" s="75" t="str">
        <f t="shared" si="124"/>
        <v/>
      </c>
      <c r="GG63" s="368" t="str">
        <f t="shared" si="125"/>
        <v/>
      </c>
      <c r="GH63" s="65">
        <f t="shared" si="126"/>
        <v>0</v>
      </c>
      <c r="GI63" s="66">
        <f t="shared" si="127"/>
        <v>0</v>
      </c>
      <c r="GJ63" s="66" t="str">
        <f t="shared" si="128"/>
        <v/>
      </c>
      <c r="GK63" s="100" t="str">
        <f>IF(AND(F63="",B63=""),"",IF('Student DATA Entry'!M60="","",'Student DATA Entry'!M60))</f>
        <v/>
      </c>
      <c r="GL63" s="101" t="str">
        <f>IF(AND(B63="",F63=""),"",IF('Student DATA Entry'!N60="","",'Student DATA Entry'!N60))</f>
        <v/>
      </c>
      <c r="GM63" s="581" t="str">
        <f t="shared" si="129"/>
        <v/>
      </c>
      <c r="GN63" s="94" t="str">
        <f t="shared" si="130"/>
        <v/>
      </c>
      <c r="GO63" s="94" t="str">
        <f t="shared" si="131"/>
        <v/>
      </c>
      <c r="GP63" s="102" t="str">
        <f t="shared" si="162"/>
        <v/>
      </c>
      <c r="GQ63" s="94" t="str">
        <f t="shared" si="132"/>
        <v/>
      </c>
      <c r="GR63" s="103" t="str">
        <f t="shared" si="133"/>
        <v/>
      </c>
      <c r="GS63" s="102" t="str">
        <f t="shared" si="163"/>
        <v/>
      </c>
      <c r="GT63" s="104" t="str">
        <f t="shared" si="134"/>
        <v/>
      </c>
      <c r="GU63" s="94" t="str">
        <f>IF('Marks Entry'!V63=1,GT63,"")</f>
        <v/>
      </c>
      <c r="GV63" s="94" t="str">
        <f>IF('Marks Entry'!V63=2,GT63,"")</f>
        <v/>
      </c>
      <c r="GW63" s="94" t="str">
        <f>IF('Marks Entry'!V63=3,GT63,"")</f>
        <v/>
      </c>
      <c r="GX63" s="94" t="str">
        <f>IF('Marks Entry'!V63=4,GT63,"")</f>
        <v/>
      </c>
      <c r="GY63" s="94" t="str">
        <f>IF('Marks Entry'!V63=5,GT63,"")</f>
        <v/>
      </c>
      <c r="GZ63" s="94" t="str">
        <f t="shared" si="135"/>
        <v/>
      </c>
      <c r="HA63" s="105" t="str">
        <f t="shared" si="164"/>
        <v/>
      </c>
      <c r="HB63" s="94" t="str">
        <f t="shared" si="136"/>
        <v/>
      </c>
      <c r="HC63" s="94" t="str">
        <f t="shared" si="137"/>
        <v/>
      </c>
      <c r="HD63" s="105" t="str">
        <f t="shared" si="165"/>
        <v/>
      </c>
      <c r="HE63" s="94" t="str">
        <f t="shared" si="138"/>
        <v/>
      </c>
      <c r="HF63" s="94" t="str">
        <f t="shared" si="139"/>
        <v/>
      </c>
      <c r="HG63" s="105" t="str">
        <f t="shared" si="166"/>
        <v/>
      </c>
      <c r="HH63" s="94" t="str">
        <f t="shared" si="140"/>
        <v/>
      </c>
      <c r="HI63" s="94" t="str">
        <f t="shared" si="141"/>
        <v/>
      </c>
      <c r="HJ63" s="105" t="str">
        <f t="shared" si="167"/>
        <v/>
      </c>
      <c r="HK63" s="94" t="str">
        <f t="shared" si="142"/>
        <v/>
      </c>
      <c r="HL63" s="94" t="str">
        <f t="shared" si="143"/>
        <v/>
      </c>
      <c r="HM63" s="105" t="str">
        <f t="shared" si="168"/>
        <v/>
      </c>
      <c r="HN63" s="367" t="str">
        <f t="shared" si="144"/>
        <v xml:space="preserve">      </v>
      </c>
      <c r="HO63" s="418" t="str">
        <f t="shared" si="169"/>
        <v xml:space="preserve">      </v>
      </c>
      <c r="HP63" s="367" t="str">
        <f t="shared" si="146"/>
        <v xml:space="preserve">      </v>
      </c>
      <c r="HQ63" s="107" t="str">
        <f t="shared" si="147"/>
        <v xml:space="preserve">      </v>
      </c>
      <c r="HR63" s="366" t="str">
        <f t="shared" si="148"/>
        <v xml:space="preserve">      </v>
      </c>
      <c r="HS63" s="544" t="str">
        <f t="shared" si="170"/>
        <v/>
      </c>
      <c r="HT63" s="542" t="str">
        <f t="shared" si="149"/>
        <v/>
      </c>
      <c r="HU63" s="541" t="str">
        <f t="shared" si="160"/>
        <v/>
      </c>
      <c r="HV63" s="540" t="str">
        <f t="shared" si="150"/>
        <v/>
      </c>
      <c r="HW63" s="537" t="str">
        <f t="shared" si="151"/>
        <v/>
      </c>
      <c r="HX63" s="539" t="str">
        <f t="shared" si="152"/>
        <v/>
      </c>
      <c r="HY63" s="553" t="str">
        <f>IFERROR(IF(OR(HS63="SUPPLEMENTARY",HS63="RE-EXAM"),'Supp. Result Entry'!AQ61,""),"")</f>
        <v/>
      </c>
      <c r="HZ63" s="538" t="str">
        <f t="shared" si="153"/>
        <v/>
      </c>
      <c r="IA63" s="415" t="str">
        <f t="shared" si="154"/>
        <v/>
      </c>
      <c r="IB63" s="415" t="str">
        <f>IF(AND(HZ63="",IA63=""),"",IF(OR(HS63="SUPPLEMENTARY",HS63="RE-EXAM"),'Supp. Result Entry'!AQ61,HS63))</f>
        <v/>
      </c>
      <c r="IC63" s="87"/>
      <c r="IS63" s="109" t="str">
        <f>IF('Supp. Result Entry'!T61="","",'Supp. Result Entry'!$T$4)</f>
        <v/>
      </c>
      <c r="IT63" s="110" t="str">
        <f>IF('Supp. Result Entry'!W61="","",'Supp. Result Entry'!$W$4)</f>
        <v/>
      </c>
      <c r="IU63" s="110" t="str">
        <f>IF('Supp. Result Entry'!Z61="","",'Supp. Result Entry'!$Z$4)</f>
        <v/>
      </c>
      <c r="IV63" s="110" t="str">
        <f>IF('Supp. Result Entry'!AC61="","",'Supp. Result Entry'!$AC$4)</f>
        <v/>
      </c>
      <c r="IW63" s="110" t="str">
        <f>IF('Supp. Result Entry'!AF61="","",'Supp. Result Entry'!$AF$4)</f>
        <v/>
      </c>
      <c r="IX63" s="110" t="str">
        <f>IF('Supp. Result Entry'!AI61="","",'Supp. Result Entry'!$AI$4)</f>
        <v/>
      </c>
      <c r="IY63" s="110" t="str">
        <f>IF('Supp. Result Entry'!AI61="","",'Supp. Result Entry'!$AL$4)</f>
        <v/>
      </c>
      <c r="IZ63" s="110" t="str">
        <f>IF('Supp. Result Entry'!U61="","",'Supp. Result Entry'!U61)</f>
        <v/>
      </c>
      <c r="JA63" s="110" t="str">
        <f>IF('Supp. Result Entry'!X61="","",'Supp. Result Entry'!X61)</f>
        <v/>
      </c>
      <c r="JB63" s="110" t="str">
        <f>IF('Supp. Result Entry'!AA61="","",'Supp. Result Entry'!AA61)</f>
        <v/>
      </c>
      <c r="JC63" s="110" t="str">
        <f>IF('Supp. Result Entry'!AD61="","",'Supp. Result Entry'!AD61)</f>
        <v/>
      </c>
      <c r="JD63" s="110" t="str">
        <f>IF('Supp. Result Entry'!AG61="","",'Supp. Result Entry'!AG61)</f>
        <v/>
      </c>
      <c r="JE63" s="110" t="str">
        <f>IF('Supp. Result Entry'!AJ61="","",'Supp. Result Entry'!AJ61)</f>
        <v/>
      </c>
      <c r="JF63" s="110" t="str">
        <f>IF('Supp. Result Entry'!AM61="","",'Supp. Result Entry'!AM61)</f>
        <v/>
      </c>
      <c r="JG63" s="110" t="str">
        <f>IF('Supp. Result Entry'!V61="","",'Supp. Result Entry'!V61)</f>
        <v/>
      </c>
      <c r="JH63" s="110" t="str">
        <f>IF('Supp. Result Entry'!Y61="","",'Supp. Result Entry'!Y61)</f>
        <v/>
      </c>
      <c r="JI63" s="110" t="str">
        <f>IF('Supp. Result Entry'!AB61="","",'Supp. Result Entry'!AB61)</f>
        <v/>
      </c>
      <c r="JJ63" s="110" t="str">
        <f>IF('Supp. Result Entry'!AE61="","",'Supp. Result Entry'!AE61)</f>
        <v/>
      </c>
      <c r="JK63" s="110" t="str">
        <f>IF('Supp. Result Entry'!AH61="","",'Supp. Result Entry'!AH61)</f>
        <v/>
      </c>
      <c r="JL63" s="110" t="str">
        <f>IF('Supp. Result Entry'!AK61="","",'Supp. Result Entry'!AK61)</f>
        <v/>
      </c>
      <c r="JM63" s="110" t="str">
        <f>IF('Supp. Result Entry'!AN61="","",'Supp. Result Entry'!AN61)</f>
        <v/>
      </c>
      <c r="JN63" s="110">
        <f>COUNTIF('Supp. Result Entry'!K61:Q61,"S")</f>
        <v>0</v>
      </c>
      <c r="JO63" s="110">
        <f t="shared" si="155"/>
        <v>0</v>
      </c>
      <c r="JP63" s="110">
        <f t="shared" si="156"/>
        <v>0</v>
      </c>
      <c r="JQ63" s="110" t="str">
        <f t="shared" si="75"/>
        <v/>
      </c>
      <c r="JR63" s="110" t="str">
        <f t="shared" si="76"/>
        <v/>
      </c>
      <c r="JS63" s="110" t="str">
        <f t="shared" si="77"/>
        <v/>
      </c>
      <c r="JT63" s="110" t="str">
        <f t="shared" si="78"/>
        <v/>
      </c>
      <c r="JU63" s="110" t="str">
        <f t="shared" si="79"/>
        <v/>
      </c>
      <c r="JV63" s="110" t="str">
        <f t="shared" si="80"/>
        <v/>
      </c>
      <c r="JW63" s="110" t="str">
        <f t="shared" si="81"/>
        <v/>
      </c>
      <c r="JX63" s="110" t="str">
        <f t="shared" si="157"/>
        <v/>
      </c>
      <c r="JY63" s="110" t="str">
        <f t="shared" si="158"/>
        <v/>
      </c>
      <c r="JZ63" s="110" t="str">
        <f t="shared" si="82"/>
        <v/>
      </c>
      <c r="KA63" s="108" t="str">
        <f t="shared" si="159"/>
        <v/>
      </c>
    </row>
    <row r="64" spans="1:287" s="108" customFormat="1" ht="21.95" customHeight="1">
      <c r="A64" s="89">
        <v>58</v>
      </c>
      <c r="B64" s="90" t="str">
        <f>IF('Marks Entry'!B64="","",'Marks Entry'!B64)</f>
        <v/>
      </c>
      <c r="C64" s="94" t="str">
        <f>IF('Marks Entry'!D64="","",'Marks Entry'!D64)</f>
        <v/>
      </c>
      <c r="D64" s="91" t="str">
        <f>IF('Marks Entry'!E64="","",'Marks Entry'!E64)</f>
        <v/>
      </c>
      <c r="E64" s="92" t="str">
        <f>IF('Marks Entry'!F64="","",'Marks Entry'!F64)</f>
        <v/>
      </c>
      <c r="F64" s="93" t="str">
        <f>IF('Marks Entry'!G64="","",'Marks Entry'!G64)</f>
        <v/>
      </c>
      <c r="G64" s="93" t="str">
        <f>IF('Marks Entry'!H64="","",'Marks Entry'!H64)</f>
        <v/>
      </c>
      <c r="H64" s="93" t="str">
        <f>IF('Marks Entry'!I64="","",'Marks Entry'!I64)</f>
        <v/>
      </c>
      <c r="I64" s="94" t="str">
        <f>IF('Marks Entry'!J64="","",'Marks Entry'!J64)</f>
        <v/>
      </c>
      <c r="J64" s="95" t="str">
        <f>IF('Marks Entry'!K64="","",'Marks Entry'!K64)</f>
        <v/>
      </c>
      <c r="K64" s="68" t="str">
        <f>IF('Marks Entry'!L64="","",'Marks Entry'!L64)</f>
        <v/>
      </c>
      <c r="L64" s="68" t="str">
        <f>IF('Marks Entry'!M64="","",'Marks Entry'!M64)</f>
        <v/>
      </c>
      <c r="M64" s="68" t="str">
        <f>IF('Marks Entry'!N64="","",'Marks Entry'!N64)</f>
        <v/>
      </c>
      <c r="N64" s="514" t="str">
        <f t="shared" si="83"/>
        <v/>
      </c>
      <c r="O64" s="68" t="str">
        <f>IF('Marks Entry'!O64="","",'Marks Entry'!O64)</f>
        <v/>
      </c>
      <c r="P64" s="515" t="str">
        <f t="shared" si="84"/>
        <v/>
      </c>
      <c r="Q64" s="68" t="str">
        <f>IF('Marks Entry'!P64="","",'Marks Entry'!P64)</f>
        <v/>
      </c>
      <c r="R64" s="96" t="str">
        <f t="shared" si="85"/>
        <v/>
      </c>
      <c r="S64" s="65">
        <f t="shared" si="86"/>
        <v>0</v>
      </c>
      <c r="T64" s="65">
        <f t="shared" si="87"/>
        <v>0</v>
      </c>
      <c r="U64" s="66" t="str">
        <f t="shared" si="88"/>
        <v/>
      </c>
      <c r="V64" s="65" t="str">
        <f t="shared" si="89"/>
        <v/>
      </c>
      <c r="W64" s="65" t="str">
        <f t="shared" si="90"/>
        <v/>
      </c>
      <c r="X64" s="65" t="str">
        <f t="shared" si="91"/>
        <v/>
      </c>
      <c r="Y64" s="68" t="str">
        <f>IF('Marks Entry'!Q64="","",'Marks Entry'!Q64)</f>
        <v/>
      </c>
      <c r="Z64" s="68" t="str">
        <f>IF('Marks Entry'!R64="","",'Marks Entry'!R64)</f>
        <v/>
      </c>
      <c r="AA64" s="68" t="str">
        <f>IF('Marks Entry'!S64="","",'Marks Entry'!S64)</f>
        <v/>
      </c>
      <c r="AB64" s="514" t="str">
        <f t="shared" si="2"/>
        <v/>
      </c>
      <c r="AC64" s="68" t="str">
        <f>IF('Marks Entry'!T64="","",'Marks Entry'!T64)</f>
        <v/>
      </c>
      <c r="AD64" s="515" t="str">
        <f t="shared" si="3"/>
        <v/>
      </c>
      <c r="AE64" s="68" t="str">
        <f>IF('Marks Entry'!U64="","",'Marks Entry'!U64)</f>
        <v/>
      </c>
      <c r="AF64" s="96" t="str">
        <f t="shared" si="4"/>
        <v/>
      </c>
      <c r="AG64" s="65">
        <f t="shared" si="5"/>
        <v>0</v>
      </c>
      <c r="AH64" s="65">
        <f t="shared" si="6"/>
        <v>0</v>
      </c>
      <c r="AI64" s="66" t="str">
        <f t="shared" si="7"/>
        <v/>
      </c>
      <c r="AJ64" s="65" t="str">
        <f t="shared" si="8"/>
        <v/>
      </c>
      <c r="AK64" s="65" t="str">
        <f t="shared" si="9"/>
        <v/>
      </c>
      <c r="AL64" s="65" t="str">
        <f t="shared" si="10"/>
        <v/>
      </c>
      <c r="AM64" s="524" t="str">
        <f>IF('Marks Entry'!V64="","",IF('Marks Entry'!V64=1,'School Profile'!$I$9,IF('Marks Entry'!V64=2,'School Profile'!$I$10,IF('Marks Entry'!V64=3,'School Profile'!$I$11,IF('Marks Entry'!V64=4,'School Profile'!$I$12,IF('Marks Entry'!V64=5,'School Profile'!$I$13,IF('Marks Entry'!V64=6,'School Profile'!$I$14,"")))))))</f>
        <v/>
      </c>
      <c r="AN64" s="68" t="str">
        <f>IF('Marks Entry'!W64="","",'Marks Entry'!W64)</f>
        <v/>
      </c>
      <c r="AO64" s="68" t="str">
        <f>IF('Marks Entry'!X64="","",'Marks Entry'!X64)</f>
        <v/>
      </c>
      <c r="AP64" s="68" t="str">
        <f>IF('Marks Entry'!Y64="","",'Marks Entry'!Y64)</f>
        <v/>
      </c>
      <c r="AQ64" s="514" t="str">
        <f t="shared" si="11"/>
        <v/>
      </c>
      <c r="AR64" s="68" t="str">
        <f>IF('Marks Entry'!Z64="","",'Marks Entry'!Z64)</f>
        <v/>
      </c>
      <c r="AS64" s="515" t="str">
        <f t="shared" si="12"/>
        <v/>
      </c>
      <c r="AT64" s="68" t="str">
        <f>IF('Marks Entry'!AA64="","",'Marks Entry'!AA64)</f>
        <v/>
      </c>
      <c r="AU64" s="96" t="str">
        <f t="shared" si="13"/>
        <v/>
      </c>
      <c r="AV64" s="65">
        <f t="shared" si="14"/>
        <v>0</v>
      </c>
      <c r="AW64" s="65">
        <f t="shared" si="15"/>
        <v>0</v>
      </c>
      <c r="AX64" s="66" t="str">
        <f t="shared" si="16"/>
        <v/>
      </c>
      <c r="AY64" s="65" t="str">
        <f t="shared" si="17"/>
        <v/>
      </c>
      <c r="AZ64" s="65" t="str">
        <f t="shared" si="18"/>
        <v/>
      </c>
      <c r="BA64" s="65" t="str">
        <f t="shared" si="19"/>
        <v/>
      </c>
      <c r="BB64" s="68" t="str">
        <f>IF('Marks Entry'!AB64="","",'Marks Entry'!AB64)</f>
        <v/>
      </c>
      <c r="BC64" s="68" t="str">
        <f>IF('Marks Entry'!AC64="","",'Marks Entry'!AC64)</f>
        <v/>
      </c>
      <c r="BD64" s="68" t="str">
        <f>IF('Marks Entry'!AD64="","",'Marks Entry'!AD64)</f>
        <v/>
      </c>
      <c r="BE64" s="514" t="str">
        <f t="shared" si="20"/>
        <v/>
      </c>
      <c r="BF64" s="68" t="str">
        <f>IF('Marks Entry'!AE64="","",'Marks Entry'!AE64)</f>
        <v/>
      </c>
      <c r="BG64" s="515" t="str">
        <f t="shared" si="21"/>
        <v/>
      </c>
      <c r="BH64" s="68" t="str">
        <f>IF('Marks Entry'!AF64="","",'Marks Entry'!AF64)</f>
        <v/>
      </c>
      <c r="BI64" s="96" t="str">
        <f t="shared" si="22"/>
        <v/>
      </c>
      <c r="BJ64" s="65">
        <f t="shared" si="23"/>
        <v>0</v>
      </c>
      <c r="BK64" s="65">
        <f t="shared" si="92"/>
        <v>0</v>
      </c>
      <c r="BL64" s="66" t="str">
        <f t="shared" si="24"/>
        <v/>
      </c>
      <c r="BM64" s="65" t="str">
        <f t="shared" si="25"/>
        <v/>
      </c>
      <c r="BN64" s="65" t="str">
        <f t="shared" si="26"/>
        <v/>
      </c>
      <c r="BO64" s="65" t="str">
        <f t="shared" si="27"/>
        <v/>
      </c>
      <c r="BP64" s="68" t="str">
        <f>IF('Marks Entry'!AG64="","",'Marks Entry'!AG64)</f>
        <v/>
      </c>
      <c r="BQ64" s="68" t="str">
        <f>IF('Marks Entry'!AH64="","",'Marks Entry'!AH64)</f>
        <v/>
      </c>
      <c r="BR64" s="68" t="str">
        <f>IF('Marks Entry'!AI64="","",'Marks Entry'!AI64)</f>
        <v/>
      </c>
      <c r="BS64" s="514" t="str">
        <f t="shared" si="28"/>
        <v/>
      </c>
      <c r="BT64" s="68" t="str">
        <f>IF('Marks Entry'!AJ64="","",'Marks Entry'!AJ64)</f>
        <v/>
      </c>
      <c r="BU64" s="515" t="str">
        <f t="shared" si="29"/>
        <v/>
      </c>
      <c r="BV64" s="68" t="str">
        <f>IF('Marks Entry'!AK64="","",'Marks Entry'!AK64)</f>
        <v/>
      </c>
      <c r="BW64" s="96" t="str">
        <f t="shared" si="30"/>
        <v/>
      </c>
      <c r="BX64" s="65">
        <f t="shared" si="31"/>
        <v>0</v>
      </c>
      <c r="BY64" s="65">
        <f t="shared" si="32"/>
        <v>0</v>
      </c>
      <c r="BZ64" s="66" t="str">
        <f t="shared" si="33"/>
        <v/>
      </c>
      <c r="CA64" s="65" t="str">
        <f t="shared" si="34"/>
        <v/>
      </c>
      <c r="CB64" s="65" t="str">
        <f t="shared" si="35"/>
        <v/>
      </c>
      <c r="CC64" s="65" t="str">
        <f t="shared" si="36"/>
        <v/>
      </c>
      <c r="CD64" s="66">
        <f t="shared" si="161"/>
        <v>0</v>
      </c>
      <c r="CE64" s="68" t="str">
        <f>IF('Marks Entry'!AL64="","",'Marks Entry'!AL64)</f>
        <v/>
      </c>
      <c r="CF64" s="68" t="str">
        <f>IF('Marks Entry'!AM64="","",'Marks Entry'!AM64)</f>
        <v/>
      </c>
      <c r="CG64" s="68" t="str">
        <f>IF('Marks Entry'!AN64="","",'Marks Entry'!AN64)</f>
        <v/>
      </c>
      <c r="CH64" s="514" t="str">
        <f t="shared" si="37"/>
        <v/>
      </c>
      <c r="CI64" s="68" t="str">
        <f>IF('Marks Entry'!AO64="","",'Marks Entry'!AO64)</f>
        <v/>
      </c>
      <c r="CJ64" s="515" t="str">
        <f t="shared" si="38"/>
        <v/>
      </c>
      <c r="CK64" s="68" t="str">
        <f>IF('Marks Entry'!AP64="","",'Marks Entry'!AP64)</f>
        <v/>
      </c>
      <c r="CL64" s="96" t="str">
        <f t="shared" si="39"/>
        <v/>
      </c>
      <c r="CM64" s="65">
        <f t="shared" si="40"/>
        <v>0</v>
      </c>
      <c r="CN64" s="65">
        <f t="shared" si="41"/>
        <v>0</v>
      </c>
      <c r="CO64" s="66" t="str">
        <f t="shared" si="42"/>
        <v/>
      </c>
      <c r="CP64" s="65" t="str">
        <f t="shared" si="43"/>
        <v/>
      </c>
      <c r="CQ64" s="65" t="str">
        <f t="shared" si="44"/>
        <v/>
      </c>
      <c r="CR64" s="65" t="str">
        <f t="shared" si="45"/>
        <v/>
      </c>
      <c r="CS64" s="616" t="str">
        <f>IF('School Profile'!$D$20="NO","",IF('Marks Entry'!AQ64="","",IF('Marks Entry'!AQ64=1,'School Profile'!$I$29,IF('Marks Entry'!AQ64=2,'School Profile'!$I$30,IF('Marks Entry'!AQ64=3,'School Profile'!$I$31,IF('Marks Entry'!AQ64=4,'School Profile'!$I$32,IF('Marks Entry'!AQ64=5,'School Profile'!$I$33,IF('Marks Entry'!AQ64=6,'School Profile'!$I$34,IF('Marks Entry'!AQ64=7,'School Profile'!$I$35,IF('Marks Entry'!AQ64=8,'School Profile'!$I$36,IF('Marks Entry'!AQ64=9,'School Profile'!$I$37,IF('Marks Entry'!AQ64=10,'School Profile'!$I$38,IF('Marks Entry'!AQ64=11,'School Profile'!$I$39,"")))))))))))))</f>
        <v/>
      </c>
      <c r="CT64" s="68" t="str">
        <f>IF('School Profile'!$D$20="NO","",IF('Marks Entry'!AR64="","",'Marks Entry'!AR64))</f>
        <v/>
      </c>
      <c r="CU64" s="68" t="str">
        <f>IF('School Profile'!$D$20="NO","",IF('Marks Entry'!AS64="","",'Marks Entry'!AS64))</f>
        <v/>
      </c>
      <c r="CV64" s="68" t="str">
        <f>IF('School Profile'!$D$20="NO","",IF('Marks Entry'!AT64="","",'Marks Entry'!AT64))</f>
        <v/>
      </c>
      <c r="CW64" s="514" t="str">
        <f>IF('School Profile'!$D$20="NO","",IF(AND(CT64="",CU64="",CV64=""),"",SUM(CT64:CV64)))</f>
        <v/>
      </c>
      <c r="CX64" s="68" t="str">
        <f>IF('School Profile'!$D$20="NO","",IF('Marks Entry'!AU64="","",'Marks Entry'!AU64))</f>
        <v/>
      </c>
      <c r="CY64" s="68" t="str">
        <f>IF('School Profile'!$D$20="NO","",IF('Marks Entry'!AV64="","",'Marks Entry'!AV64))</f>
        <v/>
      </c>
      <c r="CZ64" s="515" t="str">
        <f>IF('School Profile'!$D$20="NO","",IF(AND(CX64="",CY64=""),"",SUM(CX64,CY64)))</f>
        <v/>
      </c>
      <c r="DA64" s="69" t="str">
        <f>IF('School Profile'!$D$20="NO","",IF(AND(CW64="",CZ64=""),"",SUM(CW64+CZ64)))</f>
        <v/>
      </c>
      <c r="DB64" s="68" t="str">
        <f>IF('School Profile'!$D$20="NO","",IF('Marks Entry'!AW64="","",'Marks Entry'!AW64))</f>
        <v/>
      </c>
      <c r="DC64" s="68" t="str">
        <f>IF('School Profile'!$D$20="NO","",IF('Marks Entry'!AX64="","",'Marks Entry'!AX64))</f>
        <v/>
      </c>
      <c r="DD64" s="515" t="str">
        <f>IF('School Profile'!$D$20="NO","",IF(AND(DB64="",DC64=""),"",SUM(DB64,DC64)))</f>
        <v/>
      </c>
      <c r="DE64" s="96" t="str">
        <f>IF('School Profile'!$D$20="NO","",IF(AND(DA64="",DD64=""),"",SUM(DA64,DD64)))</f>
        <v/>
      </c>
      <c r="DF64" s="532">
        <f t="shared" si="46"/>
        <v>0</v>
      </c>
      <c r="DG64" s="65">
        <f t="shared" si="47"/>
        <v>0</v>
      </c>
      <c r="DH64" s="66" t="str">
        <f t="shared" si="48"/>
        <v/>
      </c>
      <c r="DI64" s="65" t="str">
        <f t="shared" si="49"/>
        <v/>
      </c>
      <c r="DJ64" s="65" t="str">
        <f t="shared" si="50"/>
        <v/>
      </c>
      <c r="DK64" s="65" t="str">
        <f t="shared" si="51"/>
        <v/>
      </c>
      <c r="DL64" s="97" t="str">
        <f t="shared" si="94"/>
        <v/>
      </c>
      <c r="DM64" s="97" t="str">
        <f t="shared" si="95"/>
        <v/>
      </c>
      <c r="DN64" s="97" t="str">
        <f t="shared" si="96"/>
        <v/>
      </c>
      <c r="DO64" s="97" t="str">
        <f t="shared" si="97"/>
        <v/>
      </c>
      <c r="DP64" s="97" t="str">
        <f t="shared" si="98"/>
        <v/>
      </c>
      <c r="DQ64" s="97" t="str">
        <f t="shared" si="99"/>
        <v/>
      </c>
      <c r="DR64" s="97" t="str">
        <f t="shared" si="100"/>
        <v/>
      </c>
      <c r="DS64" s="98">
        <f t="shared" si="101"/>
        <v>0</v>
      </c>
      <c r="DT64" s="98">
        <f t="shared" si="102"/>
        <v>0</v>
      </c>
      <c r="DU64" s="98">
        <f t="shared" si="103"/>
        <v>0</v>
      </c>
      <c r="DV64" s="98">
        <f t="shared" si="104"/>
        <v>0</v>
      </c>
      <c r="DW64" s="98">
        <f t="shared" si="105"/>
        <v>0</v>
      </c>
      <c r="DX64" s="98" t="str">
        <f t="shared" si="106"/>
        <v/>
      </c>
      <c r="DY64" s="99" t="str">
        <f t="shared" si="107"/>
        <v/>
      </c>
      <c r="DZ64" s="74" t="str">
        <f>IF('Marks Entry'!AY64="","",'Marks Entry'!AY64)</f>
        <v/>
      </c>
      <c r="EA64" s="74" t="str">
        <f>IF('Marks Entry'!AZ64="","",'Marks Entry'!AZ64)</f>
        <v/>
      </c>
      <c r="EB64" s="74" t="str">
        <f>IF('Marks Entry'!BA64="","",'Marks Entry'!BA64)</f>
        <v/>
      </c>
      <c r="EC64" s="527" t="str">
        <f t="shared" si="52"/>
        <v/>
      </c>
      <c r="ED64" s="74" t="str">
        <f>IF('Marks Entry'!BB64="","",'Marks Entry'!BB64)</f>
        <v/>
      </c>
      <c r="EE64" s="528" t="str">
        <f t="shared" si="53"/>
        <v/>
      </c>
      <c r="EF64" s="74" t="str">
        <f>IF('Marks Entry'!BC64="","",'Marks Entry'!BC64)</f>
        <v/>
      </c>
      <c r="EG64" s="530" t="str">
        <f t="shared" si="54"/>
        <v/>
      </c>
      <c r="EH64" s="368" t="str">
        <f t="shared" si="108"/>
        <v/>
      </c>
      <c r="EI64" s="65">
        <f t="shared" si="109"/>
        <v>0</v>
      </c>
      <c r="EJ64" s="65">
        <f t="shared" si="110"/>
        <v>0</v>
      </c>
      <c r="EK64" s="66" t="str">
        <f t="shared" si="111"/>
        <v/>
      </c>
      <c r="EL64" s="74" t="str">
        <f>IF('Marks Entry'!BD64="","",'Marks Entry'!BD64)</f>
        <v/>
      </c>
      <c r="EM64" s="74" t="str">
        <f>IF('Marks Entry'!BE64="","",'Marks Entry'!BE64)</f>
        <v/>
      </c>
      <c r="EN64" s="74" t="str">
        <f>IF('Marks Entry'!BF64="","",'Marks Entry'!BF64)</f>
        <v/>
      </c>
      <c r="EO64" s="527" t="str">
        <f t="shared" si="55"/>
        <v/>
      </c>
      <c r="EP64" s="74" t="str">
        <f>IF('Marks Entry'!BG64="","",'Marks Entry'!BG64)</f>
        <v/>
      </c>
      <c r="EQ64" s="74" t="str">
        <f>IF('Marks Entry'!BH64="","",'Marks Entry'!BH64)</f>
        <v/>
      </c>
      <c r="ER64" s="528" t="str">
        <f t="shared" si="56"/>
        <v/>
      </c>
      <c r="ES64" s="529" t="str">
        <f t="shared" si="57"/>
        <v/>
      </c>
      <c r="ET64" s="74" t="str">
        <f>IF('Marks Entry'!BI64="","",'Marks Entry'!BI64)</f>
        <v/>
      </c>
      <c r="EU64" s="74" t="str">
        <f>IF('Marks Entry'!BJ64="","",'Marks Entry'!BJ64)</f>
        <v/>
      </c>
      <c r="EV64" s="528" t="str">
        <f t="shared" si="58"/>
        <v/>
      </c>
      <c r="EW64" s="530" t="str">
        <f t="shared" si="59"/>
        <v/>
      </c>
      <c r="EX64" s="368" t="str">
        <f t="shared" si="112"/>
        <v/>
      </c>
      <c r="EY64" s="65">
        <f t="shared" si="113"/>
        <v>0</v>
      </c>
      <c r="EZ64" s="65">
        <f t="shared" si="114"/>
        <v>0</v>
      </c>
      <c r="FA64" s="66" t="str">
        <f t="shared" si="115"/>
        <v/>
      </c>
      <c r="FB64" s="74" t="str">
        <f>IF('Marks Entry'!BK64="","",'Marks Entry'!BK64)</f>
        <v/>
      </c>
      <c r="FC64" s="74" t="str">
        <f>IF('Marks Entry'!BL64="","",'Marks Entry'!BL64)</f>
        <v/>
      </c>
      <c r="FD64" s="74" t="str">
        <f>IF('Marks Entry'!BM64="","",'Marks Entry'!BM64)</f>
        <v/>
      </c>
      <c r="FE64" s="74" t="str">
        <f>IF('Marks Entry'!BN64="","",'Marks Entry'!BN64)</f>
        <v/>
      </c>
      <c r="FF64" s="74" t="str">
        <f>IF('Marks Entry'!BO64="","",'Marks Entry'!BO64)</f>
        <v/>
      </c>
      <c r="FG64" s="74" t="str">
        <f>IF('Marks Entry'!BP64="","",'Marks Entry'!BP64)</f>
        <v/>
      </c>
      <c r="FH64" s="527" t="str">
        <f t="shared" si="60"/>
        <v/>
      </c>
      <c r="FI64" s="74" t="str">
        <f>IF('Marks Entry'!BQ64="","",'Marks Entry'!BQ64)</f>
        <v/>
      </c>
      <c r="FJ64" s="74" t="str">
        <f>IF('Marks Entry'!BR64="","",'Marks Entry'!BR64)</f>
        <v/>
      </c>
      <c r="FK64" s="528" t="str">
        <f t="shared" si="61"/>
        <v/>
      </c>
      <c r="FL64" s="529" t="str">
        <f t="shared" si="62"/>
        <v/>
      </c>
      <c r="FM64" s="74" t="str">
        <f>IF('Marks Entry'!BS64="","",'Marks Entry'!BS64)</f>
        <v/>
      </c>
      <c r="FN64" s="74" t="str">
        <f>IF('Marks Entry'!BT64="","",'Marks Entry'!BT64)</f>
        <v/>
      </c>
      <c r="FO64" s="528" t="str">
        <f t="shared" si="63"/>
        <v/>
      </c>
      <c r="FP64" s="530" t="str">
        <f t="shared" si="64"/>
        <v/>
      </c>
      <c r="FQ64" s="368" t="str">
        <f t="shared" si="116"/>
        <v/>
      </c>
      <c r="FR64" s="65">
        <f t="shared" si="117"/>
        <v>0</v>
      </c>
      <c r="FS64" s="65">
        <f t="shared" si="118"/>
        <v>0</v>
      </c>
      <c r="FT64" s="66" t="str">
        <f t="shared" si="119"/>
        <v/>
      </c>
      <c r="FU64" s="74" t="str">
        <f>IF('Marks Entry'!BU64="","",'Marks Entry'!BU64)</f>
        <v/>
      </c>
      <c r="FV64" s="74" t="str">
        <f>IF('Marks Entry'!BV64="","",'Marks Entry'!BV64)</f>
        <v/>
      </c>
      <c r="FW64" s="74" t="str">
        <f>IF('Marks Entry'!BW64="","",'Marks Entry'!BW64)</f>
        <v/>
      </c>
      <c r="FX64" s="75" t="str">
        <f t="shared" si="65"/>
        <v/>
      </c>
      <c r="FY64" s="368" t="str">
        <f t="shared" si="120"/>
        <v/>
      </c>
      <c r="FZ64" s="65">
        <f t="shared" si="121"/>
        <v>0</v>
      </c>
      <c r="GA64" s="66">
        <f t="shared" si="122"/>
        <v>0</v>
      </c>
      <c r="GB64" s="66" t="str">
        <f t="shared" si="123"/>
        <v/>
      </c>
      <c r="GC64" s="74" t="str">
        <f>IF('Marks Entry'!BX64="","",'Marks Entry'!BX64)</f>
        <v/>
      </c>
      <c r="GD64" s="74" t="str">
        <f>IF('Marks Entry'!BY64="","",'Marks Entry'!BY64)</f>
        <v/>
      </c>
      <c r="GE64" s="74" t="str">
        <f>IF('Marks Entry'!BZ64="","",'Marks Entry'!BZ64)</f>
        <v/>
      </c>
      <c r="GF64" s="75" t="str">
        <f t="shared" si="124"/>
        <v/>
      </c>
      <c r="GG64" s="368" t="str">
        <f t="shared" si="125"/>
        <v/>
      </c>
      <c r="GH64" s="65">
        <f t="shared" si="126"/>
        <v>0</v>
      </c>
      <c r="GI64" s="66">
        <f t="shared" si="127"/>
        <v>0</v>
      </c>
      <c r="GJ64" s="66" t="str">
        <f t="shared" si="128"/>
        <v/>
      </c>
      <c r="GK64" s="100" t="str">
        <f>IF(AND(F64="",B64=""),"",IF('Student DATA Entry'!M61="","",'Student DATA Entry'!M61))</f>
        <v/>
      </c>
      <c r="GL64" s="101" t="str">
        <f>IF(AND(B64="",F64=""),"",IF('Student DATA Entry'!N61="","",'Student DATA Entry'!N61))</f>
        <v/>
      </c>
      <c r="GM64" s="581" t="str">
        <f t="shared" si="129"/>
        <v/>
      </c>
      <c r="GN64" s="94" t="str">
        <f t="shared" si="130"/>
        <v/>
      </c>
      <c r="GO64" s="94" t="str">
        <f t="shared" si="131"/>
        <v/>
      </c>
      <c r="GP64" s="102" t="str">
        <f t="shared" si="162"/>
        <v/>
      </c>
      <c r="GQ64" s="94" t="str">
        <f t="shared" si="132"/>
        <v/>
      </c>
      <c r="GR64" s="103" t="str">
        <f t="shared" si="133"/>
        <v/>
      </c>
      <c r="GS64" s="102" t="str">
        <f t="shared" si="163"/>
        <v/>
      </c>
      <c r="GT64" s="104" t="str">
        <f t="shared" si="134"/>
        <v/>
      </c>
      <c r="GU64" s="94" t="str">
        <f>IF('Marks Entry'!V64=1,GT64,"")</f>
        <v/>
      </c>
      <c r="GV64" s="94" t="str">
        <f>IF('Marks Entry'!V64=2,GT64,"")</f>
        <v/>
      </c>
      <c r="GW64" s="94" t="str">
        <f>IF('Marks Entry'!V64=3,GT64,"")</f>
        <v/>
      </c>
      <c r="GX64" s="94" t="str">
        <f>IF('Marks Entry'!V64=4,GT64,"")</f>
        <v/>
      </c>
      <c r="GY64" s="94" t="str">
        <f>IF('Marks Entry'!V64=5,GT64,"")</f>
        <v/>
      </c>
      <c r="GZ64" s="94" t="str">
        <f t="shared" si="135"/>
        <v/>
      </c>
      <c r="HA64" s="105" t="str">
        <f t="shared" si="164"/>
        <v/>
      </c>
      <c r="HB64" s="94" t="str">
        <f t="shared" si="136"/>
        <v/>
      </c>
      <c r="HC64" s="94" t="str">
        <f t="shared" si="137"/>
        <v/>
      </c>
      <c r="HD64" s="105" t="str">
        <f t="shared" si="165"/>
        <v/>
      </c>
      <c r="HE64" s="94" t="str">
        <f t="shared" si="138"/>
        <v/>
      </c>
      <c r="HF64" s="94" t="str">
        <f t="shared" si="139"/>
        <v/>
      </c>
      <c r="HG64" s="105" t="str">
        <f t="shared" si="166"/>
        <v/>
      </c>
      <c r="HH64" s="94" t="str">
        <f t="shared" si="140"/>
        <v/>
      </c>
      <c r="HI64" s="94" t="str">
        <f t="shared" si="141"/>
        <v/>
      </c>
      <c r="HJ64" s="105" t="str">
        <f t="shared" si="167"/>
        <v/>
      </c>
      <c r="HK64" s="94" t="str">
        <f t="shared" si="142"/>
        <v/>
      </c>
      <c r="HL64" s="94" t="str">
        <f t="shared" si="143"/>
        <v/>
      </c>
      <c r="HM64" s="105" t="str">
        <f t="shared" si="168"/>
        <v/>
      </c>
      <c r="HN64" s="367" t="str">
        <f t="shared" si="144"/>
        <v xml:space="preserve">      </v>
      </c>
      <c r="HO64" s="418" t="str">
        <f t="shared" si="169"/>
        <v xml:space="preserve">      </v>
      </c>
      <c r="HP64" s="367" t="str">
        <f t="shared" si="146"/>
        <v xml:space="preserve">      </v>
      </c>
      <c r="HQ64" s="107" t="str">
        <f t="shared" si="147"/>
        <v xml:space="preserve">      </v>
      </c>
      <c r="HR64" s="366" t="str">
        <f t="shared" si="148"/>
        <v xml:space="preserve">      </v>
      </c>
      <c r="HS64" s="544" t="str">
        <f t="shared" si="170"/>
        <v/>
      </c>
      <c r="HT64" s="542" t="str">
        <f t="shared" si="149"/>
        <v/>
      </c>
      <c r="HU64" s="541" t="str">
        <f t="shared" si="160"/>
        <v/>
      </c>
      <c r="HV64" s="540" t="str">
        <f t="shared" si="150"/>
        <v/>
      </c>
      <c r="HW64" s="537" t="str">
        <f t="shared" si="151"/>
        <v/>
      </c>
      <c r="HX64" s="539" t="str">
        <f t="shared" si="152"/>
        <v/>
      </c>
      <c r="HY64" s="553" t="str">
        <f>IFERROR(IF(OR(HS64="SUPPLEMENTARY",HS64="RE-EXAM"),'Supp. Result Entry'!AQ62,""),"")</f>
        <v/>
      </c>
      <c r="HZ64" s="538" t="str">
        <f t="shared" si="153"/>
        <v/>
      </c>
      <c r="IA64" s="415" t="str">
        <f t="shared" si="154"/>
        <v/>
      </c>
      <c r="IB64" s="415" t="str">
        <f>IF(AND(HZ64="",IA64=""),"",IF(OR(HS64="SUPPLEMENTARY",HS64="RE-EXAM"),'Supp. Result Entry'!AQ62,HS64))</f>
        <v/>
      </c>
      <c r="IC64" s="87"/>
      <c r="IS64" s="109" t="str">
        <f>IF('Supp. Result Entry'!T62="","",'Supp. Result Entry'!$T$4)</f>
        <v/>
      </c>
      <c r="IT64" s="110" t="str">
        <f>IF('Supp. Result Entry'!W62="","",'Supp. Result Entry'!$W$4)</f>
        <v/>
      </c>
      <c r="IU64" s="110" t="str">
        <f>IF('Supp. Result Entry'!Z62="","",'Supp. Result Entry'!$Z$4)</f>
        <v/>
      </c>
      <c r="IV64" s="110" t="str">
        <f>IF('Supp. Result Entry'!AC62="","",'Supp. Result Entry'!$AC$4)</f>
        <v/>
      </c>
      <c r="IW64" s="110" t="str">
        <f>IF('Supp. Result Entry'!AF62="","",'Supp. Result Entry'!$AF$4)</f>
        <v/>
      </c>
      <c r="IX64" s="110" t="str">
        <f>IF('Supp. Result Entry'!AI62="","",'Supp. Result Entry'!$AI$4)</f>
        <v/>
      </c>
      <c r="IY64" s="110" t="str">
        <f>IF('Supp. Result Entry'!AI62="","",'Supp. Result Entry'!$AL$4)</f>
        <v/>
      </c>
      <c r="IZ64" s="110" t="str">
        <f>IF('Supp. Result Entry'!U62="","",'Supp. Result Entry'!U62)</f>
        <v/>
      </c>
      <c r="JA64" s="110" t="str">
        <f>IF('Supp. Result Entry'!X62="","",'Supp. Result Entry'!X62)</f>
        <v/>
      </c>
      <c r="JB64" s="110" t="str">
        <f>IF('Supp. Result Entry'!AA62="","",'Supp. Result Entry'!AA62)</f>
        <v/>
      </c>
      <c r="JC64" s="110" t="str">
        <f>IF('Supp. Result Entry'!AD62="","",'Supp. Result Entry'!AD62)</f>
        <v/>
      </c>
      <c r="JD64" s="110" t="str">
        <f>IF('Supp. Result Entry'!AG62="","",'Supp. Result Entry'!AG62)</f>
        <v/>
      </c>
      <c r="JE64" s="110" t="str">
        <f>IF('Supp. Result Entry'!AJ62="","",'Supp. Result Entry'!AJ62)</f>
        <v/>
      </c>
      <c r="JF64" s="110" t="str">
        <f>IF('Supp. Result Entry'!AM62="","",'Supp. Result Entry'!AM62)</f>
        <v/>
      </c>
      <c r="JG64" s="110" t="str">
        <f>IF('Supp. Result Entry'!V62="","",'Supp. Result Entry'!V62)</f>
        <v/>
      </c>
      <c r="JH64" s="110" t="str">
        <f>IF('Supp. Result Entry'!Y62="","",'Supp. Result Entry'!Y62)</f>
        <v/>
      </c>
      <c r="JI64" s="110" t="str">
        <f>IF('Supp. Result Entry'!AB62="","",'Supp. Result Entry'!AB62)</f>
        <v/>
      </c>
      <c r="JJ64" s="110" t="str">
        <f>IF('Supp. Result Entry'!AE62="","",'Supp. Result Entry'!AE62)</f>
        <v/>
      </c>
      <c r="JK64" s="110" t="str">
        <f>IF('Supp. Result Entry'!AH62="","",'Supp. Result Entry'!AH62)</f>
        <v/>
      </c>
      <c r="JL64" s="110" t="str">
        <f>IF('Supp. Result Entry'!AK62="","",'Supp. Result Entry'!AK62)</f>
        <v/>
      </c>
      <c r="JM64" s="110" t="str">
        <f>IF('Supp. Result Entry'!AN62="","",'Supp. Result Entry'!AN62)</f>
        <v/>
      </c>
      <c r="JN64" s="110">
        <f>COUNTIF('Supp. Result Entry'!K62:Q62,"S")</f>
        <v>0</v>
      </c>
      <c r="JO64" s="110">
        <f t="shared" si="155"/>
        <v>0</v>
      </c>
      <c r="JP64" s="110">
        <f t="shared" si="156"/>
        <v>0</v>
      </c>
      <c r="JQ64" s="110" t="str">
        <f t="shared" si="75"/>
        <v/>
      </c>
      <c r="JR64" s="110" t="str">
        <f t="shared" si="76"/>
        <v/>
      </c>
      <c r="JS64" s="110" t="str">
        <f t="shared" si="77"/>
        <v/>
      </c>
      <c r="JT64" s="110" t="str">
        <f t="shared" si="78"/>
        <v/>
      </c>
      <c r="JU64" s="110" t="str">
        <f t="shared" si="79"/>
        <v/>
      </c>
      <c r="JV64" s="110" t="str">
        <f t="shared" si="80"/>
        <v/>
      </c>
      <c r="JW64" s="110" t="str">
        <f t="shared" si="81"/>
        <v/>
      </c>
      <c r="JX64" s="110" t="str">
        <f t="shared" si="157"/>
        <v/>
      </c>
      <c r="JY64" s="110" t="str">
        <f t="shared" si="158"/>
        <v/>
      </c>
      <c r="JZ64" s="110" t="str">
        <f t="shared" si="82"/>
        <v/>
      </c>
      <c r="KA64" s="108" t="str">
        <f t="shared" si="159"/>
        <v/>
      </c>
    </row>
    <row r="65" spans="1:287" s="108" customFormat="1" ht="21.95" customHeight="1">
      <c r="A65" s="89">
        <v>59</v>
      </c>
      <c r="B65" s="90" t="str">
        <f>IF('Marks Entry'!B65="","",'Marks Entry'!B65)</f>
        <v/>
      </c>
      <c r="C65" s="94" t="str">
        <f>IF('Marks Entry'!D65="","",'Marks Entry'!D65)</f>
        <v/>
      </c>
      <c r="D65" s="91" t="str">
        <f>IF('Marks Entry'!E65="","",'Marks Entry'!E65)</f>
        <v/>
      </c>
      <c r="E65" s="92" t="str">
        <f>IF('Marks Entry'!F65="","",'Marks Entry'!F65)</f>
        <v/>
      </c>
      <c r="F65" s="93" t="str">
        <f>IF('Marks Entry'!G65="","",'Marks Entry'!G65)</f>
        <v/>
      </c>
      <c r="G65" s="93" t="str">
        <f>IF('Marks Entry'!H65="","",'Marks Entry'!H65)</f>
        <v/>
      </c>
      <c r="H65" s="93" t="str">
        <f>IF('Marks Entry'!I65="","",'Marks Entry'!I65)</f>
        <v/>
      </c>
      <c r="I65" s="94" t="str">
        <f>IF('Marks Entry'!J65="","",'Marks Entry'!J65)</f>
        <v/>
      </c>
      <c r="J65" s="95" t="str">
        <f>IF('Marks Entry'!K65="","",'Marks Entry'!K65)</f>
        <v/>
      </c>
      <c r="K65" s="68" t="str">
        <f>IF('Marks Entry'!L65="","",'Marks Entry'!L65)</f>
        <v/>
      </c>
      <c r="L65" s="68" t="str">
        <f>IF('Marks Entry'!M65="","",'Marks Entry'!M65)</f>
        <v/>
      </c>
      <c r="M65" s="68" t="str">
        <f>IF('Marks Entry'!N65="","",'Marks Entry'!N65)</f>
        <v/>
      </c>
      <c r="N65" s="514" t="str">
        <f t="shared" si="83"/>
        <v/>
      </c>
      <c r="O65" s="68" t="str">
        <f>IF('Marks Entry'!O65="","",'Marks Entry'!O65)</f>
        <v/>
      </c>
      <c r="P65" s="515" t="str">
        <f t="shared" si="84"/>
        <v/>
      </c>
      <c r="Q65" s="68" t="str">
        <f>IF('Marks Entry'!P65="","",'Marks Entry'!P65)</f>
        <v/>
      </c>
      <c r="R65" s="96" t="str">
        <f t="shared" si="85"/>
        <v/>
      </c>
      <c r="S65" s="65">
        <f t="shared" si="86"/>
        <v>0</v>
      </c>
      <c r="T65" s="65">
        <f t="shared" si="87"/>
        <v>0</v>
      </c>
      <c r="U65" s="66" t="str">
        <f t="shared" si="88"/>
        <v/>
      </c>
      <c r="V65" s="65" t="str">
        <f t="shared" si="89"/>
        <v/>
      </c>
      <c r="W65" s="65" t="str">
        <f t="shared" si="90"/>
        <v/>
      </c>
      <c r="X65" s="65" t="str">
        <f t="shared" si="91"/>
        <v/>
      </c>
      <c r="Y65" s="68" t="str">
        <f>IF('Marks Entry'!Q65="","",'Marks Entry'!Q65)</f>
        <v/>
      </c>
      <c r="Z65" s="68" t="str">
        <f>IF('Marks Entry'!R65="","",'Marks Entry'!R65)</f>
        <v/>
      </c>
      <c r="AA65" s="68" t="str">
        <f>IF('Marks Entry'!S65="","",'Marks Entry'!S65)</f>
        <v/>
      </c>
      <c r="AB65" s="514" t="str">
        <f t="shared" si="2"/>
        <v/>
      </c>
      <c r="AC65" s="68" t="str">
        <f>IF('Marks Entry'!T65="","",'Marks Entry'!T65)</f>
        <v/>
      </c>
      <c r="AD65" s="515" t="str">
        <f t="shared" si="3"/>
        <v/>
      </c>
      <c r="AE65" s="68" t="str">
        <f>IF('Marks Entry'!U65="","",'Marks Entry'!U65)</f>
        <v/>
      </c>
      <c r="AF65" s="96" t="str">
        <f t="shared" si="4"/>
        <v/>
      </c>
      <c r="AG65" s="65">
        <f t="shared" si="5"/>
        <v>0</v>
      </c>
      <c r="AH65" s="65">
        <f t="shared" si="6"/>
        <v>0</v>
      </c>
      <c r="AI65" s="66" t="str">
        <f t="shared" si="7"/>
        <v/>
      </c>
      <c r="AJ65" s="65" t="str">
        <f t="shared" si="8"/>
        <v/>
      </c>
      <c r="AK65" s="65" t="str">
        <f t="shared" si="9"/>
        <v/>
      </c>
      <c r="AL65" s="65" t="str">
        <f t="shared" si="10"/>
        <v/>
      </c>
      <c r="AM65" s="524" t="str">
        <f>IF('Marks Entry'!V65="","",IF('Marks Entry'!V65=1,'School Profile'!$I$9,IF('Marks Entry'!V65=2,'School Profile'!$I$10,IF('Marks Entry'!V65=3,'School Profile'!$I$11,IF('Marks Entry'!V65=4,'School Profile'!$I$12,IF('Marks Entry'!V65=5,'School Profile'!$I$13,IF('Marks Entry'!V65=6,'School Profile'!$I$14,"")))))))</f>
        <v/>
      </c>
      <c r="AN65" s="68" t="str">
        <f>IF('Marks Entry'!W65="","",'Marks Entry'!W65)</f>
        <v/>
      </c>
      <c r="AO65" s="68" t="str">
        <f>IF('Marks Entry'!X65="","",'Marks Entry'!X65)</f>
        <v/>
      </c>
      <c r="AP65" s="68" t="str">
        <f>IF('Marks Entry'!Y65="","",'Marks Entry'!Y65)</f>
        <v/>
      </c>
      <c r="AQ65" s="514" t="str">
        <f t="shared" si="11"/>
        <v/>
      </c>
      <c r="AR65" s="68" t="str">
        <f>IF('Marks Entry'!Z65="","",'Marks Entry'!Z65)</f>
        <v/>
      </c>
      <c r="AS65" s="515" t="str">
        <f t="shared" si="12"/>
        <v/>
      </c>
      <c r="AT65" s="68" t="str">
        <f>IF('Marks Entry'!AA65="","",'Marks Entry'!AA65)</f>
        <v/>
      </c>
      <c r="AU65" s="96" t="str">
        <f t="shared" si="13"/>
        <v/>
      </c>
      <c r="AV65" s="65">
        <f t="shared" si="14"/>
        <v>0</v>
      </c>
      <c r="AW65" s="65">
        <f t="shared" si="15"/>
        <v>0</v>
      </c>
      <c r="AX65" s="66" t="str">
        <f t="shared" si="16"/>
        <v/>
      </c>
      <c r="AY65" s="65" t="str">
        <f t="shared" si="17"/>
        <v/>
      </c>
      <c r="AZ65" s="65" t="str">
        <f t="shared" si="18"/>
        <v/>
      </c>
      <c r="BA65" s="65" t="str">
        <f t="shared" si="19"/>
        <v/>
      </c>
      <c r="BB65" s="68" t="str">
        <f>IF('Marks Entry'!AB65="","",'Marks Entry'!AB65)</f>
        <v/>
      </c>
      <c r="BC65" s="68" t="str">
        <f>IF('Marks Entry'!AC65="","",'Marks Entry'!AC65)</f>
        <v/>
      </c>
      <c r="BD65" s="68" t="str">
        <f>IF('Marks Entry'!AD65="","",'Marks Entry'!AD65)</f>
        <v/>
      </c>
      <c r="BE65" s="514" t="str">
        <f t="shared" si="20"/>
        <v/>
      </c>
      <c r="BF65" s="68" t="str">
        <f>IF('Marks Entry'!AE65="","",'Marks Entry'!AE65)</f>
        <v/>
      </c>
      <c r="BG65" s="515" t="str">
        <f t="shared" si="21"/>
        <v/>
      </c>
      <c r="BH65" s="68" t="str">
        <f>IF('Marks Entry'!AF65="","",'Marks Entry'!AF65)</f>
        <v/>
      </c>
      <c r="BI65" s="96" t="str">
        <f t="shared" si="22"/>
        <v/>
      </c>
      <c r="BJ65" s="65">
        <f t="shared" si="23"/>
        <v>0</v>
      </c>
      <c r="BK65" s="65">
        <f t="shared" si="92"/>
        <v>0</v>
      </c>
      <c r="BL65" s="66" t="str">
        <f t="shared" si="24"/>
        <v/>
      </c>
      <c r="BM65" s="65" t="str">
        <f t="shared" si="25"/>
        <v/>
      </c>
      <c r="BN65" s="65" t="str">
        <f t="shared" si="26"/>
        <v/>
      </c>
      <c r="BO65" s="65" t="str">
        <f t="shared" si="27"/>
        <v/>
      </c>
      <c r="BP65" s="68" t="str">
        <f>IF('Marks Entry'!AG65="","",'Marks Entry'!AG65)</f>
        <v/>
      </c>
      <c r="BQ65" s="68" t="str">
        <f>IF('Marks Entry'!AH65="","",'Marks Entry'!AH65)</f>
        <v/>
      </c>
      <c r="BR65" s="68" t="str">
        <f>IF('Marks Entry'!AI65="","",'Marks Entry'!AI65)</f>
        <v/>
      </c>
      <c r="BS65" s="514" t="str">
        <f t="shared" si="28"/>
        <v/>
      </c>
      <c r="BT65" s="68" t="str">
        <f>IF('Marks Entry'!AJ65="","",'Marks Entry'!AJ65)</f>
        <v/>
      </c>
      <c r="BU65" s="515" t="str">
        <f t="shared" si="29"/>
        <v/>
      </c>
      <c r="BV65" s="68" t="str">
        <f>IF('Marks Entry'!AK65="","",'Marks Entry'!AK65)</f>
        <v/>
      </c>
      <c r="BW65" s="96" t="str">
        <f t="shared" si="30"/>
        <v/>
      </c>
      <c r="BX65" s="65">
        <f t="shared" si="31"/>
        <v>0</v>
      </c>
      <c r="BY65" s="65">
        <f t="shared" si="32"/>
        <v>0</v>
      </c>
      <c r="BZ65" s="66" t="str">
        <f t="shared" si="33"/>
        <v/>
      </c>
      <c r="CA65" s="65" t="str">
        <f t="shared" si="34"/>
        <v/>
      </c>
      <c r="CB65" s="65" t="str">
        <f t="shared" si="35"/>
        <v/>
      </c>
      <c r="CC65" s="65" t="str">
        <f t="shared" si="36"/>
        <v/>
      </c>
      <c r="CD65" s="66">
        <f t="shared" si="161"/>
        <v>0</v>
      </c>
      <c r="CE65" s="68" t="str">
        <f>IF('Marks Entry'!AL65="","",'Marks Entry'!AL65)</f>
        <v/>
      </c>
      <c r="CF65" s="68" t="str">
        <f>IF('Marks Entry'!AM65="","",'Marks Entry'!AM65)</f>
        <v/>
      </c>
      <c r="CG65" s="68" t="str">
        <f>IF('Marks Entry'!AN65="","",'Marks Entry'!AN65)</f>
        <v/>
      </c>
      <c r="CH65" s="514" t="str">
        <f t="shared" si="37"/>
        <v/>
      </c>
      <c r="CI65" s="68" t="str">
        <f>IF('Marks Entry'!AO65="","",'Marks Entry'!AO65)</f>
        <v/>
      </c>
      <c r="CJ65" s="515" t="str">
        <f t="shared" si="38"/>
        <v/>
      </c>
      <c r="CK65" s="68" t="str">
        <f>IF('Marks Entry'!AP65="","",'Marks Entry'!AP65)</f>
        <v/>
      </c>
      <c r="CL65" s="96" t="str">
        <f t="shared" si="39"/>
        <v/>
      </c>
      <c r="CM65" s="65">
        <f t="shared" si="40"/>
        <v>0</v>
      </c>
      <c r="CN65" s="65">
        <f t="shared" si="41"/>
        <v>0</v>
      </c>
      <c r="CO65" s="66" t="str">
        <f t="shared" si="42"/>
        <v/>
      </c>
      <c r="CP65" s="65" t="str">
        <f t="shared" si="43"/>
        <v/>
      </c>
      <c r="CQ65" s="65" t="str">
        <f t="shared" si="44"/>
        <v/>
      </c>
      <c r="CR65" s="65" t="str">
        <f t="shared" si="45"/>
        <v/>
      </c>
      <c r="CS65" s="616" t="str">
        <f>IF('School Profile'!$D$20="NO","",IF('Marks Entry'!AQ65="","",IF('Marks Entry'!AQ65=1,'School Profile'!$I$29,IF('Marks Entry'!AQ65=2,'School Profile'!$I$30,IF('Marks Entry'!AQ65=3,'School Profile'!$I$31,IF('Marks Entry'!AQ65=4,'School Profile'!$I$32,IF('Marks Entry'!AQ65=5,'School Profile'!$I$33,IF('Marks Entry'!AQ65=6,'School Profile'!$I$34,IF('Marks Entry'!AQ65=7,'School Profile'!$I$35,IF('Marks Entry'!AQ65=8,'School Profile'!$I$36,IF('Marks Entry'!AQ65=9,'School Profile'!$I$37,IF('Marks Entry'!AQ65=10,'School Profile'!$I$38,IF('Marks Entry'!AQ65=11,'School Profile'!$I$39,"")))))))))))))</f>
        <v/>
      </c>
      <c r="CT65" s="68" t="str">
        <f>IF('School Profile'!$D$20="NO","",IF('Marks Entry'!AR65="","",'Marks Entry'!AR65))</f>
        <v/>
      </c>
      <c r="CU65" s="68" t="str">
        <f>IF('School Profile'!$D$20="NO","",IF('Marks Entry'!AS65="","",'Marks Entry'!AS65))</f>
        <v/>
      </c>
      <c r="CV65" s="68" t="str">
        <f>IF('School Profile'!$D$20="NO","",IF('Marks Entry'!AT65="","",'Marks Entry'!AT65))</f>
        <v/>
      </c>
      <c r="CW65" s="514" t="str">
        <f>IF('School Profile'!$D$20="NO","",IF(AND(CT65="",CU65="",CV65=""),"",SUM(CT65:CV65)))</f>
        <v/>
      </c>
      <c r="CX65" s="68" t="str">
        <f>IF('School Profile'!$D$20="NO","",IF('Marks Entry'!AU65="","",'Marks Entry'!AU65))</f>
        <v/>
      </c>
      <c r="CY65" s="68" t="str">
        <f>IF('School Profile'!$D$20="NO","",IF('Marks Entry'!AV65="","",'Marks Entry'!AV65))</f>
        <v/>
      </c>
      <c r="CZ65" s="515" t="str">
        <f>IF('School Profile'!$D$20="NO","",IF(AND(CX65="",CY65=""),"",SUM(CX65,CY65)))</f>
        <v/>
      </c>
      <c r="DA65" s="69" t="str">
        <f>IF('School Profile'!$D$20="NO","",IF(AND(CW65="",CZ65=""),"",SUM(CW65+CZ65)))</f>
        <v/>
      </c>
      <c r="DB65" s="68" t="str">
        <f>IF('School Profile'!$D$20="NO","",IF('Marks Entry'!AW65="","",'Marks Entry'!AW65))</f>
        <v/>
      </c>
      <c r="DC65" s="68" t="str">
        <f>IF('School Profile'!$D$20="NO","",IF('Marks Entry'!AX65="","",'Marks Entry'!AX65))</f>
        <v/>
      </c>
      <c r="DD65" s="515" t="str">
        <f>IF('School Profile'!$D$20="NO","",IF(AND(DB65="",DC65=""),"",SUM(DB65,DC65)))</f>
        <v/>
      </c>
      <c r="DE65" s="96" t="str">
        <f>IF('School Profile'!$D$20="NO","",IF(AND(DA65="",DD65=""),"",SUM(DA65,DD65)))</f>
        <v/>
      </c>
      <c r="DF65" s="532">
        <f t="shared" si="46"/>
        <v>0</v>
      </c>
      <c r="DG65" s="65">
        <f t="shared" si="47"/>
        <v>0</v>
      </c>
      <c r="DH65" s="66" t="str">
        <f t="shared" si="48"/>
        <v/>
      </c>
      <c r="DI65" s="65" t="str">
        <f t="shared" si="49"/>
        <v/>
      </c>
      <c r="DJ65" s="65" t="str">
        <f t="shared" si="50"/>
        <v/>
      </c>
      <c r="DK65" s="65" t="str">
        <f t="shared" si="51"/>
        <v/>
      </c>
      <c r="DL65" s="97" t="str">
        <f t="shared" si="94"/>
        <v/>
      </c>
      <c r="DM65" s="97" t="str">
        <f t="shared" si="95"/>
        <v/>
      </c>
      <c r="DN65" s="97" t="str">
        <f t="shared" si="96"/>
        <v/>
      </c>
      <c r="DO65" s="97" t="str">
        <f t="shared" si="97"/>
        <v/>
      </c>
      <c r="DP65" s="97" t="str">
        <f t="shared" si="98"/>
        <v/>
      </c>
      <c r="DQ65" s="97" t="str">
        <f t="shared" si="99"/>
        <v/>
      </c>
      <c r="DR65" s="97" t="str">
        <f t="shared" si="100"/>
        <v/>
      </c>
      <c r="DS65" s="98">
        <f t="shared" si="101"/>
        <v>0</v>
      </c>
      <c r="DT65" s="98">
        <f t="shared" si="102"/>
        <v>0</v>
      </c>
      <c r="DU65" s="98">
        <f t="shared" si="103"/>
        <v>0</v>
      </c>
      <c r="DV65" s="98">
        <f t="shared" si="104"/>
        <v>0</v>
      </c>
      <c r="DW65" s="98">
        <f t="shared" si="105"/>
        <v>0</v>
      </c>
      <c r="DX65" s="98" t="str">
        <f t="shared" si="106"/>
        <v/>
      </c>
      <c r="DY65" s="99" t="str">
        <f t="shared" si="107"/>
        <v/>
      </c>
      <c r="DZ65" s="74" t="str">
        <f>IF('Marks Entry'!AY65="","",'Marks Entry'!AY65)</f>
        <v/>
      </c>
      <c r="EA65" s="74" t="str">
        <f>IF('Marks Entry'!AZ65="","",'Marks Entry'!AZ65)</f>
        <v/>
      </c>
      <c r="EB65" s="74" t="str">
        <f>IF('Marks Entry'!BA65="","",'Marks Entry'!BA65)</f>
        <v/>
      </c>
      <c r="EC65" s="527" t="str">
        <f t="shared" si="52"/>
        <v/>
      </c>
      <c r="ED65" s="74" t="str">
        <f>IF('Marks Entry'!BB65="","",'Marks Entry'!BB65)</f>
        <v/>
      </c>
      <c r="EE65" s="528" t="str">
        <f t="shared" si="53"/>
        <v/>
      </c>
      <c r="EF65" s="74" t="str">
        <f>IF('Marks Entry'!BC65="","",'Marks Entry'!BC65)</f>
        <v/>
      </c>
      <c r="EG65" s="530" t="str">
        <f t="shared" si="54"/>
        <v/>
      </c>
      <c r="EH65" s="368" t="str">
        <f t="shared" si="108"/>
        <v/>
      </c>
      <c r="EI65" s="65">
        <f t="shared" si="109"/>
        <v>0</v>
      </c>
      <c r="EJ65" s="65">
        <f t="shared" si="110"/>
        <v>0</v>
      </c>
      <c r="EK65" s="66" t="str">
        <f t="shared" si="111"/>
        <v/>
      </c>
      <c r="EL65" s="74" t="str">
        <f>IF('Marks Entry'!BD65="","",'Marks Entry'!BD65)</f>
        <v/>
      </c>
      <c r="EM65" s="74" t="str">
        <f>IF('Marks Entry'!BE65="","",'Marks Entry'!BE65)</f>
        <v/>
      </c>
      <c r="EN65" s="74" t="str">
        <f>IF('Marks Entry'!BF65="","",'Marks Entry'!BF65)</f>
        <v/>
      </c>
      <c r="EO65" s="527" t="str">
        <f t="shared" si="55"/>
        <v/>
      </c>
      <c r="EP65" s="74" t="str">
        <f>IF('Marks Entry'!BG65="","",'Marks Entry'!BG65)</f>
        <v/>
      </c>
      <c r="EQ65" s="74" t="str">
        <f>IF('Marks Entry'!BH65="","",'Marks Entry'!BH65)</f>
        <v/>
      </c>
      <c r="ER65" s="528" t="str">
        <f t="shared" si="56"/>
        <v/>
      </c>
      <c r="ES65" s="529" t="str">
        <f t="shared" si="57"/>
        <v/>
      </c>
      <c r="ET65" s="74" t="str">
        <f>IF('Marks Entry'!BI65="","",'Marks Entry'!BI65)</f>
        <v/>
      </c>
      <c r="EU65" s="74" t="str">
        <f>IF('Marks Entry'!BJ65="","",'Marks Entry'!BJ65)</f>
        <v/>
      </c>
      <c r="EV65" s="528" t="str">
        <f t="shared" si="58"/>
        <v/>
      </c>
      <c r="EW65" s="530" t="str">
        <f t="shared" si="59"/>
        <v/>
      </c>
      <c r="EX65" s="368" t="str">
        <f t="shared" si="112"/>
        <v/>
      </c>
      <c r="EY65" s="65">
        <f t="shared" si="113"/>
        <v>0</v>
      </c>
      <c r="EZ65" s="65">
        <f t="shared" si="114"/>
        <v>0</v>
      </c>
      <c r="FA65" s="66" t="str">
        <f t="shared" si="115"/>
        <v/>
      </c>
      <c r="FB65" s="74" t="str">
        <f>IF('Marks Entry'!BK65="","",'Marks Entry'!BK65)</f>
        <v/>
      </c>
      <c r="FC65" s="74" t="str">
        <f>IF('Marks Entry'!BL65="","",'Marks Entry'!BL65)</f>
        <v/>
      </c>
      <c r="FD65" s="74" t="str">
        <f>IF('Marks Entry'!BM65="","",'Marks Entry'!BM65)</f>
        <v/>
      </c>
      <c r="FE65" s="74" t="str">
        <f>IF('Marks Entry'!BN65="","",'Marks Entry'!BN65)</f>
        <v/>
      </c>
      <c r="FF65" s="74" t="str">
        <f>IF('Marks Entry'!BO65="","",'Marks Entry'!BO65)</f>
        <v/>
      </c>
      <c r="FG65" s="74" t="str">
        <f>IF('Marks Entry'!BP65="","",'Marks Entry'!BP65)</f>
        <v/>
      </c>
      <c r="FH65" s="527" t="str">
        <f t="shared" si="60"/>
        <v/>
      </c>
      <c r="FI65" s="74" t="str">
        <f>IF('Marks Entry'!BQ65="","",'Marks Entry'!BQ65)</f>
        <v/>
      </c>
      <c r="FJ65" s="74" t="str">
        <f>IF('Marks Entry'!BR65="","",'Marks Entry'!BR65)</f>
        <v/>
      </c>
      <c r="FK65" s="528" t="str">
        <f t="shared" si="61"/>
        <v/>
      </c>
      <c r="FL65" s="529" t="str">
        <f t="shared" si="62"/>
        <v/>
      </c>
      <c r="FM65" s="74" t="str">
        <f>IF('Marks Entry'!BS65="","",'Marks Entry'!BS65)</f>
        <v/>
      </c>
      <c r="FN65" s="74" t="str">
        <f>IF('Marks Entry'!BT65="","",'Marks Entry'!BT65)</f>
        <v/>
      </c>
      <c r="FO65" s="528" t="str">
        <f t="shared" si="63"/>
        <v/>
      </c>
      <c r="FP65" s="530" t="str">
        <f t="shared" si="64"/>
        <v/>
      </c>
      <c r="FQ65" s="368" t="str">
        <f t="shared" si="116"/>
        <v/>
      </c>
      <c r="FR65" s="65">
        <f t="shared" si="117"/>
        <v>0</v>
      </c>
      <c r="FS65" s="65">
        <f t="shared" si="118"/>
        <v>0</v>
      </c>
      <c r="FT65" s="66" t="str">
        <f t="shared" si="119"/>
        <v/>
      </c>
      <c r="FU65" s="74" t="str">
        <f>IF('Marks Entry'!BU65="","",'Marks Entry'!BU65)</f>
        <v/>
      </c>
      <c r="FV65" s="74" t="str">
        <f>IF('Marks Entry'!BV65="","",'Marks Entry'!BV65)</f>
        <v/>
      </c>
      <c r="FW65" s="74" t="str">
        <f>IF('Marks Entry'!BW65="","",'Marks Entry'!BW65)</f>
        <v/>
      </c>
      <c r="FX65" s="75" t="str">
        <f t="shared" si="65"/>
        <v/>
      </c>
      <c r="FY65" s="368" t="str">
        <f t="shared" si="120"/>
        <v/>
      </c>
      <c r="FZ65" s="65">
        <f t="shared" si="121"/>
        <v>0</v>
      </c>
      <c r="GA65" s="66">
        <f t="shared" si="122"/>
        <v>0</v>
      </c>
      <c r="GB65" s="66" t="str">
        <f t="shared" si="123"/>
        <v/>
      </c>
      <c r="GC65" s="74" t="str">
        <f>IF('Marks Entry'!BX65="","",'Marks Entry'!BX65)</f>
        <v/>
      </c>
      <c r="GD65" s="74" t="str">
        <f>IF('Marks Entry'!BY65="","",'Marks Entry'!BY65)</f>
        <v/>
      </c>
      <c r="GE65" s="74" t="str">
        <f>IF('Marks Entry'!BZ65="","",'Marks Entry'!BZ65)</f>
        <v/>
      </c>
      <c r="GF65" s="75" t="str">
        <f t="shared" si="124"/>
        <v/>
      </c>
      <c r="GG65" s="368" t="str">
        <f t="shared" si="125"/>
        <v/>
      </c>
      <c r="GH65" s="65">
        <f t="shared" si="126"/>
        <v>0</v>
      </c>
      <c r="GI65" s="66">
        <f t="shared" si="127"/>
        <v>0</v>
      </c>
      <c r="GJ65" s="66" t="str">
        <f t="shared" si="128"/>
        <v/>
      </c>
      <c r="GK65" s="100" t="str">
        <f>IF(AND(F65="",B65=""),"",IF('Student DATA Entry'!M62="","",'Student DATA Entry'!M62))</f>
        <v/>
      </c>
      <c r="GL65" s="101" t="str">
        <f>IF(AND(B65="",F65=""),"",IF('Student DATA Entry'!N62="","",'Student DATA Entry'!N62))</f>
        <v/>
      </c>
      <c r="GM65" s="581" t="str">
        <f t="shared" si="129"/>
        <v/>
      </c>
      <c r="GN65" s="94" t="str">
        <f t="shared" si="130"/>
        <v/>
      </c>
      <c r="GO65" s="94" t="str">
        <f t="shared" si="131"/>
        <v/>
      </c>
      <c r="GP65" s="102" t="str">
        <f t="shared" si="162"/>
        <v/>
      </c>
      <c r="GQ65" s="94" t="str">
        <f t="shared" si="132"/>
        <v/>
      </c>
      <c r="GR65" s="103" t="str">
        <f t="shared" si="133"/>
        <v/>
      </c>
      <c r="GS65" s="102" t="str">
        <f t="shared" si="163"/>
        <v/>
      </c>
      <c r="GT65" s="104" t="str">
        <f t="shared" si="134"/>
        <v/>
      </c>
      <c r="GU65" s="94" t="str">
        <f>IF('Marks Entry'!V65=1,GT65,"")</f>
        <v/>
      </c>
      <c r="GV65" s="94" t="str">
        <f>IF('Marks Entry'!V65=2,GT65,"")</f>
        <v/>
      </c>
      <c r="GW65" s="94" t="str">
        <f>IF('Marks Entry'!V65=3,GT65,"")</f>
        <v/>
      </c>
      <c r="GX65" s="94" t="str">
        <f>IF('Marks Entry'!V65=4,GT65,"")</f>
        <v/>
      </c>
      <c r="GY65" s="94" t="str">
        <f>IF('Marks Entry'!V65=5,GT65,"")</f>
        <v/>
      </c>
      <c r="GZ65" s="94" t="str">
        <f t="shared" si="135"/>
        <v/>
      </c>
      <c r="HA65" s="105" t="str">
        <f t="shared" si="164"/>
        <v/>
      </c>
      <c r="HB65" s="94" t="str">
        <f t="shared" si="136"/>
        <v/>
      </c>
      <c r="HC65" s="94" t="str">
        <f t="shared" si="137"/>
        <v/>
      </c>
      <c r="HD65" s="105" t="str">
        <f t="shared" si="165"/>
        <v/>
      </c>
      <c r="HE65" s="94" t="str">
        <f t="shared" si="138"/>
        <v/>
      </c>
      <c r="HF65" s="94" t="str">
        <f t="shared" si="139"/>
        <v/>
      </c>
      <c r="HG65" s="105" t="str">
        <f t="shared" si="166"/>
        <v/>
      </c>
      <c r="HH65" s="94" t="str">
        <f t="shared" si="140"/>
        <v/>
      </c>
      <c r="HI65" s="94" t="str">
        <f t="shared" si="141"/>
        <v/>
      </c>
      <c r="HJ65" s="105" t="str">
        <f t="shared" si="167"/>
        <v/>
      </c>
      <c r="HK65" s="94" t="str">
        <f t="shared" si="142"/>
        <v/>
      </c>
      <c r="HL65" s="94" t="str">
        <f t="shared" si="143"/>
        <v/>
      </c>
      <c r="HM65" s="105" t="str">
        <f t="shared" si="168"/>
        <v/>
      </c>
      <c r="HN65" s="367" t="str">
        <f t="shared" si="144"/>
        <v xml:space="preserve">      </v>
      </c>
      <c r="HO65" s="418" t="str">
        <f t="shared" si="169"/>
        <v xml:space="preserve">      </v>
      </c>
      <c r="HP65" s="367" t="str">
        <f t="shared" si="146"/>
        <v xml:space="preserve">      </v>
      </c>
      <c r="HQ65" s="107" t="str">
        <f t="shared" si="147"/>
        <v xml:space="preserve">      </v>
      </c>
      <c r="HR65" s="366" t="str">
        <f t="shared" si="148"/>
        <v xml:space="preserve">      </v>
      </c>
      <c r="HS65" s="544" t="str">
        <f t="shared" si="170"/>
        <v/>
      </c>
      <c r="HT65" s="542" t="str">
        <f t="shared" si="149"/>
        <v/>
      </c>
      <c r="HU65" s="541" t="str">
        <f t="shared" si="160"/>
        <v/>
      </c>
      <c r="HV65" s="540" t="str">
        <f t="shared" si="150"/>
        <v/>
      </c>
      <c r="HW65" s="537" t="str">
        <f t="shared" si="151"/>
        <v/>
      </c>
      <c r="HX65" s="539" t="str">
        <f t="shared" si="152"/>
        <v/>
      </c>
      <c r="HY65" s="553" t="str">
        <f>IFERROR(IF(OR(HS65="SUPPLEMENTARY",HS65="RE-EXAM"),'Supp. Result Entry'!AQ63,""),"")</f>
        <v/>
      </c>
      <c r="HZ65" s="538" t="str">
        <f t="shared" si="153"/>
        <v/>
      </c>
      <c r="IA65" s="415" t="str">
        <f t="shared" si="154"/>
        <v/>
      </c>
      <c r="IB65" s="415" t="str">
        <f>IF(AND(HZ65="",IA65=""),"",IF(OR(HS65="SUPPLEMENTARY",HS65="RE-EXAM"),'Supp. Result Entry'!AQ63,HS65))</f>
        <v/>
      </c>
      <c r="IC65" s="87"/>
      <c r="IS65" s="109" t="str">
        <f>IF('Supp. Result Entry'!T63="","",'Supp. Result Entry'!$T$4)</f>
        <v/>
      </c>
      <c r="IT65" s="110" t="str">
        <f>IF('Supp. Result Entry'!W63="","",'Supp. Result Entry'!$W$4)</f>
        <v/>
      </c>
      <c r="IU65" s="110" t="str">
        <f>IF('Supp. Result Entry'!Z63="","",'Supp. Result Entry'!$Z$4)</f>
        <v/>
      </c>
      <c r="IV65" s="110" t="str">
        <f>IF('Supp. Result Entry'!AC63="","",'Supp. Result Entry'!$AC$4)</f>
        <v/>
      </c>
      <c r="IW65" s="110" t="str">
        <f>IF('Supp. Result Entry'!AF63="","",'Supp. Result Entry'!$AF$4)</f>
        <v/>
      </c>
      <c r="IX65" s="110" t="str">
        <f>IF('Supp. Result Entry'!AI63="","",'Supp. Result Entry'!$AI$4)</f>
        <v/>
      </c>
      <c r="IY65" s="110" t="str">
        <f>IF('Supp. Result Entry'!AI63="","",'Supp. Result Entry'!$AL$4)</f>
        <v/>
      </c>
      <c r="IZ65" s="110" t="str">
        <f>IF('Supp. Result Entry'!U63="","",'Supp. Result Entry'!U63)</f>
        <v/>
      </c>
      <c r="JA65" s="110" t="str">
        <f>IF('Supp. Result Entry'!X63="","",'Supp. Result Entry'!X63)</f>
        <v/>
      </c>
      <c r="JB65" s="110" t="str">
        <f>IF('Supp. Result Entry'!AA63="","",'Supp. Result Entry'!AA63)</f>
        <v/>
      </c>
      <c r="JC65" s="110" t="str">
        <f>IF('Supp. Result Entry'!AD63="","",'Supp. Result Entry'!AD63)</f>
        <v/>
      </c>
      <c r="JD65" s="110" t="str">
        <f>IF('Supp. Result Entry'!AG63="","",'Supp. Result Entry'!AG63)</f>
        <v/>
      </c>
      <c r="JE65" s="110" t="str">
        <f>IF('Supp. Result Entry'!AJ63="","",'Supp. Result Entry'!AJ63)</f>
        <v/>
      </c>
      <c r="JF65" s="110" t="str">
        <f>IF('Supp. Result Entry'!AM63="","",'Supp. Result Entry'!AM63)</f>
        <v/>
      </c>
      <c r="JG65" s="110" t="str">
        <f>IF('Supp. Result Entry'!V63="","",'Supp. Result Entry'!V63)</f>
        <v/>
      </c>
      <c r="JH65" s="110" t="str">
        <f>IF('Supp. Result Entry'!Y63="","",'Supp. Result Entry'!Y63)</f>
        <v/>
      </c>
      <c r="JI65" s="110" t="str">
        <f>IF('Supp. Result Entry'!AB63="","",'Supp. Result Entry'!AB63)</f>
        <v/>
      </c>
      <c r="JJ65" s="110" t="str">
        <f>IF('Supp. Result Entry'!AE63="","",'Supp. Result Entry'!AE63)</f>
        <v/>
      </c>
      <c r="JK65" s="110" t="str">
        <f>IF('Supp. Result Entry'!AH63="","",'Supp. Result Entry'!AH63)</f>
        <v/>
      </c>
      <c r="JL65" s="110" t="str">
        <f>IF('Supp. Result Entry'!AK63="","",'Supp. Result Entry'!AK63)</f>
        <v/>
      </c>
      <c r="JM65" s="110" t="str">
        <f>IF('Supp. Result Entry'!AN63="","",'Supp. Result Entry'!AN63)</f>
        <v/>
      </c>
      <c r="JN65" s="110">
        <f>COUNTIF('Supp. Result Entry'!K63:Q63,"S")</f>
        <v>0</v>
      </c>
      <c r="JO65" s="110">
        <f t="shared" si="155"/>
        <v>0</v>
      </c>
      <c r="JP65" s="110">
        <f t="shared" si="156"/>
        <v>0</v>
      </c>
      <c r="JQ65" s="110" t="str">
        <f t="shared" si="75"/>
        <v/>
      </c>
      <c r="JR65" s="110" t="str">
        <f t="shared" si="76"/>
        <v/>
      </c>
      <c r="JS65" s="110" t="str">
        <f t="shared" si="77"/>
        <v/>
      </c>
      <c r="JT65" s="110" t="str">
        <f t="shared" si="78"/>
        <v/>
      </c>
      <c r="JU65" s="110" t="str">
        <f t="shared" si="79"/>
        <v/>
      </c>
      <c r="JV65" s="110" t="str">
        <f t="shared" si="80"/>
        <v/>
      </c>
      <c r="JW65" s="110" t="str">
        <f t="shared" si="81"/>
        <v/>
      </c>
      <c r="JX65" s="110" t="str">
        <f t="shared" si="157"/>
        <v/>
      </c>
      <c r="JY65" s="110" t="str">
        <f t="shared" si="158"/>
        <v/>
      </c>
      <c r="JZ65" s="110" t="str">
        <f t="shared" si="82"/>
        <v/>
      </c>
      <c r="KA65" s="108" t="str">
        <f t="shared" si="159"/>
        <v/>
      </c>
    </row>
    <row r="66" spans="1:287" s="108" customFormat="1" ht="21.95" customHeight="1">
      <c r="A66" s="89">
        <v>60</v>
      </c>
      <c r="B66" s="90" t="str">
        <f>IF('Marks Entry'!B66="","",'Marks Entry'!B66)</f>
        <v/>
      </c>
      <c r="C66" s="94" t="str">
        <f>IF('Marks Entry'!D66="","",'Marks Entry'!D66)</f>
        <v/>
      </c>
      <c r="D66" s="91" t="str">
        <f>IF('Marks Entry'!E66="","",'Marks Entry'!E66)</f>
        <v/>
      </c>
      <c r="E66" s="92" t="str">
        <f>IF('Marks Entry'!F66="","",'Marks Entry'!F66)</f>
        <v/>
      </c>
      <c r="F66" s="93" t="str">
        <f>IF('Marks Entry'!G66="","",'Marks Entry'!G66)</f>
        <v/>
      </c>
      <c r="G66" s="93" t="str">
        <f>IF('Marks Entry'!H66="","",'Marks Entry'!H66)</f>
        <v/>
      </c>
      <c r="H66" s="93" t="str">
        <f>IF('Marks Entry'!I66="","",'Marks Entry'!I66)</f>
        <v/>
      </c>
      <c r="I66" s="94" t="str">
        <f>IF('Marks Entry'!J66="","",'Marks Entry'!J66)</f>
        <v/>
      </c>
      <c r="J66" s="95" t="str">
        <f>IF('Marks Entry'!K66="","",'Marks Entry'!K66)</f>
        <v/>
      </c>
      <c r="K66" s="68" t="str">
        <f>IF('Marks Entry'!L66="","",'Marks Entry'!L66)</f>
        <v/>
      </c>
      <c r="L66" s="68" t="str">
        <f>IF('Marks Entry'!M66="","",'Marks Entry'!M66)</f>
        <v/>
      </c>
      <c r="M66" s="68" t="str">
        <f>IF('Marks Entry'!N66="","",'Marks Entry'!N66)</f>
        <v/>
      </c>
      <c r="N66" s="514" t="str">
        <f t="shared" si="83"/>
        <v/>
      </c>
      <c r="O66" s="68" t="str">
        <f>IF('Marks Entry'!O66="","",'Marks Entry'!O66)</f>
        <v/>
      </c>
      <c r="P66" s="515" t="str">
        <f t="shared" si="84"/>
        <v/>
      </c>
      <c r="Q66" s="68" t="str">
        <f>IF('Marks Entry'!P66="","",'Marks Entry'!P66)</f>
        <v/>
      </c>
      <c r="R66" s="96" t="str">
        <f t="shared" si="85"/>
        <v/>
      </c>
      <c r="S66" s="65">
        <f t="shared" si="86"/>
        <v>0</v>
      </c>
      <c r="T66" s="65">
        <f t="shared" si="87"/>
        <v>0</v>
      </c>
      <c r="U66" s="66" t="str">
        <f t="shared" si="88"/>
        <v/>
      </c>
      <c r="V66" s="65" t="str">
        <f t="shared" si="89"/>
        <v/>
      </c>
      <c r="W66" s="65" t="str">
        <f t="shared" si="90"/>
        <v/>
      </c>
      <c r="X66" s="65" t="str">
        <f t="shared" si="91"/>
        <v/>
      </c>
      <c r="Y66" s="68" t="str">
        <f>IF('Marks Entry'!Q66="","",'Marks Entry'!Q66)</f>
        <v/>
      </c>
      <c r="Z66" s="68" t="str">
        <f>IF('Marks Entry'!R66="","",'Marks Entry'!R66)</f>
        <v/>
      </c>
      <c r="AA66" s="68" t="str">
        <f>IF('Marks Entry'!S66="","",'Marks Entry'!S66)</f>
        <v/>
      </c>
      <c r="AB66" s="514" t="str">
        <f t="shared" si="2"/>
        <v/>
      </c>
      <c r="AC66" s="68" t="str">
        <f>IF('Marks Entry'!T66="","",'Marks Entry'!T66)</f>
        <v/>
      </c>
      <c r="AD66" s="515" t="str">
        <f t="shared" si="3"/>
        <v/>
      </c>
      <c r="AE66" s="68" t="str">
        <f>IF('Marks Entry'!U66="","",'Marks Entry'!U66)</f>
        <v/>
      </c>
      <c r="AF66" s="96" t="str">
        <f t="shared" si="4"/>
        <v/>
      </c>
      <c r="AG66" s="65">
        <f t="shared" si="5"/>
        <v>0</v>
      </c>
      <c r="AH66" s="65">
        <f t="shared" si="6"/>
        <v>0</v>
      </c>
      <c r="AI66" s="66" t="str">
        <f t="shared" si="7"/>
        <v/>
      </c>
      <c r="AJ66" s="65" t="str">
        <f t="shared" si="8"/>
        <v/>
      </c>
      <c r="AK66" s="65" t="str">
        <f t="shared" si="9"/>
        <v/>
      </c>
      <c r="AL66" s="65" t="str">
        <f t="shared" si="10"/>
        <v/>
      </c>
      <c r="AM66" s="524" t="str">
        <f>IF('Marks Entry'!V66="","",IF('Marks Entry'!V66=1,'School Profile'!$I$9,IF('Marks Entry'!V66=2,'School Profile'!$I$10,IF('Marks Entry'!V66=3,'School Profile'!$I$11,IF('Marks Entry'!V66=4,'School Profile'!$I$12,IF('Marks Entry'!V66=5,'School Profile'!$I$13,IF('Marks Entry'!V66=6,'School Profile'!$I$14,"")))))))</f>
        <v/>
      </c>
      <c r="AN66" s="68" t="str">
        <f>IF('Marks Entry'!W66="","",'Marks Entry'!W66)</f>
        <v/>
      </c>
      <c r="AO66" s="68" t="str">
        <f>IF('Marks Entry'!X66="","",'Marks Entry'!X66)</f>
        <v/>
      </c>
      <c r="AP66" s="68" t="str">
        <f>IF('Marks Entry'!Y66="","",'Marks Entry'!Y66)</f>
        <v/>
      </c>
      <c r="AQ66" s="514" t="str">
        <f t="shared" si="11"/>
        <v/>
      </c>
      <c r="AR66" s="68" t="str">
        <f>IF('Marks Entry'!Z66="","",'Marks Entry'!Z66)</f>
        <v/>
      </c>
      <c r="AS66" s="515" t="str">
        <f t="shared" si="12"/>
        <v/>
      </c>
      <c r="AT66" s="68" t="str">
        <f>IF('Marks Entry'!AA66="","",'Marks Entry'!AA66)</f>
        <v/>
      </c>
      <c r="AU66" s="96" t="str">
        <f t="shared" si="13"/>
        <v/>
      </c>
      <c r="AV66" s="65">
        <f t="shared" si="14"/>
        <v>0</v>
      </c>
      <c r="AW66" s="65">
        <f t="shared" si="15"/>
        <v>0</v>
      </c>
      <c r="AX66" s="66" t="str">
        <f t="shared" si="16"/>
        <v/>
      </c>
      <c r="AY66" s="65" t="str">
        <f t="shared" si="17"/>
        <v/>
      </c>
      <c r="AZ66" s="65" t="str">
        <f t="shared" si="18"/>
        <v/>
      </c>
      <c r="BA66" s="65" t="str">
        <f t="shared" si="19"/>
        <v/>
      </c>
      <c r="BB66" s="68" t="str">
        <f>IF('Marks Entry'!AB66="","",'Marks Entry'!AB66)</f>
        <v/>
      </c>
      <c r="BC66" s="68" t="str">
        <f>IF('Marks Entry'!AC66="","",'Marks Entry'!AC66)</f>
        <v/>
      </c>
      <c r="BD66" s="68" t="str">
        <f>IF('Marks Entry'!AD66="","",'Marks Entry'!AD66)</f>
        <v/>
      </c>
      <c r="BE66" s="514" t="str">
        <f t="shared" si="20"/>
        <v/>
      </c>
      <c r="BF66" s="68" t="str">
        <f>IF('Marks Entry'!AE66="","",'Marks Entry'!AE66)</f>
        <v/>
      </c>
      <c r="BG66" s="515" t="str">
        <f t="shared" si="21"/>
        <v/>
      </c>
      <c r="BH66" s="68" t="str">
        <f>IF('Marks Entry'!AF66="","",'Marks Entry'!AF66)</f>
        <v/>
      </c>
      <c r="BI66" s="96" t="str">
        <f t="shared" si="22"/>
        <v/>
      </c>
      <c r="BJ66" s="65">
        <f t="shared" si="23"/>
        <v>0</v>
      </c>
      <c r="BK66" s="65">
        <f t="shared" si="92"/>
        <v>0</v>
      </c>
      <c r="BL66" s="66" t="str">
        <f t="shared" si="24"/>
        <v/>
      </c>
      <c r="BM66" s="65" t="str">
        <f t="shared" si="25"/>
        <v/>
      </c>
      <c r="BN66" s="65" t="str">
        <f t="shared" si="26"/>
        <v/>
      </c>
      <c r="BO66" s="65" t="str">
        <f t="shared" si="27"/>
        <v/>
      </c>
      <c r="BP66" s="68" t="str">
        <f>IF('Marks Entry'!AG66="","",'Marks Entry'!AG66)</f>
        <v/>
      </c>
      <c r="BQ66" s="68" t="str">
        <f>IF('Marks Entry'!AH66="","",'Marks Entry'!AH66)</f>
        <v/>
      </c>
      <c r="BR66" s="68" t="str">
        <f>IF('Marks Entry'!AI66="","",'Marks Entry'!AI66)</f>
        <v/>
      </c>
      <c r="BS66" s="514" t="str">
        <f t="shared" si="28"/>
        <v/>
      </c>
      <c r="BT66" s="68" t="str">
        <f>IF('Marks Entry'!AJ66="","",'Marks Entry'!AJ66)</f>
        <v/>
      </c>
      <c r="BU66" s="515" t="str">
        <f t="shared" si="29"/>
        <v/>
      </c>
      <c r="BV66" s="68" t="str">
        <f>IF('Marks Entry'!AK66="","",'Marks Entry'!AK66)</f>
        <v/>
      </c>
      <c r="BW66" s="96" t="str">
        <f t="shared" si="30"/>
        <v/>
      </c>
      <c r="BX66" s="65">
        <f t="shared" si="31"/>
        <v>0</v>
      </c>
      <c r="BY66" s="65">
        <f t="shared" si="32"/>
        <v>0</v>
      </c>
      <c r="BZ66" s="66" t="str">
        <f t="shared" si="33"/>
        <v/>
      </c>
      <c r="CA66" s="65" t="str">
        <f t="shared" si="34"/>
        <v/>
      </c>
      <c r="CB66" s="65" t="str">
        <f t="shared" si="35"/>
        <v/>
      </c>
      <c r="CC66" s="65" t="str">
        <f t="shared" si="36"/>
        <v/>
      </c>
      <c r="CD66" s="66">
        <f t="shared" si="161"/>
        <v>0</v>
      </c>
      <c r="CE66" s="68" t="str">
        <f>IF('Marks Entry'!AL66="","",'Marks Entry'!AL66)</f>
        <v/>
      </c>
      <c r="CF66" s="68" t="str">
        <f>IF('Marks Entry'!AM66="","",'Marks Entry'!AM66)</f>
        <v/>
      </c>
      <c r="CG66" s="68" t="str">
        <f>IF('Marks Entry'!AN66="","",'Marks Entry'!AN66)</f>
        <v/>
      </c>
      <c r="CH66" s="514" t="str">
        <f t="shared" si="37"/>
        <v/>
      </c>
      <c r="CI66" s="68" t="str">
        <f>IF('Marks Entry'!AO66="","",'Marks Entry'!AO66)</f>
        <v/>
      </c>
      <c r="CJ66" s="515" t="str">
        <f t="shared" si="38"/>
        <v/>
      </c>
      <c r="CK66" s="68" t="str">
        <f>IF('Marks Entry'!AP66="","",'Marks Entry'!AP66)</f>
        <v/>
      </c>
      <c r="CL66" s="96" t="str">
        <f t="shared" si="39"/>
        <v/>
      </c>
      <c r="CM66" s="65">
        <f t="shared" si="40"/>
        <v>0</v>
      </c>
      <c r="CN66" s="65">
        <f t="shared" si="41"/>
        <v>0</v>
      </c>
      <c r="CO66" s="66" t="str">
        <f t="shared" si="42"/>
        <v/>
      </c>
      <c r="CP66" s="65" t="str">
        <f t="shared" si="43"/>
        <v/>
      </c>
      <c r="CQ66" s="65" t="str">
        <f t="shared" si="44"/>
        <v/>
      </c>
      <c r="CR66" s="65" t="str">
        <f t="shared" si="45"/>
        <v/>
      </c>
      <c r="CS66" s="616" t="str">
        <f>IF('School Profile'!$D$20="NO","",IF('Marks Entry'!AQ66="","",IF('Marks Entry'!AQ66=1,'School Profile'!$I$29,IF('Marks Entry'!AQ66=2,'School Profile'!$I$30,IF('Marks Entry'!AQ66=3,'School Profile'!$I$31,IF('Marks Entry'!AQ66=4,'School Profile'!$I$32,IF('Marks Entry'!AQ66=5,'School Profile'!$I$33,IF('Marks Entry'!AQ66=6,'School Profile'!$I$34,IF('Marks Entry'!AQ66=7,'School Profile'!$I$35,IF('Marks Entry'!AQ66=8,'School Profile'!$I$36,IF('Marks Entry'!AQ66=9,'School Profile'!$I$37,IF('Marks Entry'!AQ66=10,'School Profile'!$I$38,IF('Marks Entry'!AQ66=11,'School Profile'!$I$39,"")))))))))))))</f>
        <v/>
      </c>
      <c r="CT66" s="68" t="str">
        <f>IF('School Profile'!$D$20="NO","",IF('Marks Entry'!AR66="","",'Marks Entry'!AR66))</f>
        <v/>
      </c>
      <c r="CU66" s="68" t="str">
        <f>IF('School Profile'!$D$20="NO","",IF('Marks Entry'!AS66="","",'Marks Entry'!AS66))</f>
        <v/>
      </c>
      <c r="CV66" s="68" t="str">
        <f>IF('School Profile'!$D$20="NO","",IF('Marks Entry'!AT66="","",'Marks Entry'!AT66))</f>
        <v/>
      </c>
      <c r="CW66" s="514" t="str">
        <f>IF('School Profile'!$D$20="NO","",IF(AND(CT66="",CU66="",CV66=""),"",SUM(CT66:CV66)))</f>
        <v/>
      </c>
      <c r="CX66" s="68" t="str">
        <f>IF('School Profile'!$D$20="NO","",IF('Marks Entry'!AU66="","",'Marks Entry'!AU66))</f>
        <v/>
      </c>
      <c r="CY66" s="68" t="str">
        <f>IF('School Profile'!$D$20="NO","",IF('Marks Entry'!AV66="","",'Marks Entry'!AV66))</f>
        <v/>
      </c>
      <c r="CZ66" s="515" t="str">
        <f>IF('School Profile'!$D$20="NO","",IF(AND(CX66="",CY66=""),"",SUM(CX66,CY66)))</f>
        <v/>
      </c>
      <c r="DA66" s="69" t="str">
        <f>IF('School Profile'!$D$20="NO","",IF(AND(CW66="",CZ66=""),"",SUM(CW66+CZ66)))</f>
        <v/>
      </c>
      <c r="DB66" s="68" t="str">
        <f>IF('School Profile'!$D$20="NO","",IF('Marks Entry'!AW66="","",'Marks Entry'!AW66))</f>
        <v/>
      </c>
      <c r="DC66" s="68" t="str">
        <f>IF('School Profile'!$D$20="NO","",IF('Marks Entry'!AX66="","",'Marks Entry'!AX66))</f>
        <v/>
      </c>
      <c r="DD66" s="515" t="str">
        <f>IF('School Profile'!$D$20="NO","",IF(AND(DB66="",DC66=""),"",SUM(DB66,DC66)))</f>
        <v/>
      </c>
      <c r="DE66" s="96" t="str">
        <f>IF('School Profile'!$D$20="NO","",IF(AND(DA66="",DD66=""),"",SUM(DA66,DD66)))</f>
        <v/>
      </c>
      <c r="DF66" s="532">
        <f t="shared" si="46"/>
        <v>0</v>
      </c>
      <c r="DG66" s="65">
        <f t="shared" si="47"/>
        <v>0</v>
      </c>
      <c r="DH66" s="66" t="str">
        <f t="shared" si="48"/>
        <v/>
      </c>
      <c r="DI66" s="65" t="str">
        <f t="shared" si="49"/>
        <v/>
      </c>
      <c r="DJ66" s="65" t="str">
        <f t="shared" si="50"/>
        <v/>
      </c>
      <c r="DK66" s="65" t="str">
        <f t="shared" si="51"/>
        <v/>
      </c>
      <c r="DL66" s="97" t="str">
        <f t="shared" si="94"/>
        <v/>
      </c>
      <c r="DM66" s="97" t="str">
        <f t="shared" si="95"/>
        <v/>
      </c>
      <c r="DN66" s="97" t="str">
        <f t="shared" si="96"/>
        <v/>
      </c>
      <c r="DO66" s="97" t="str">
        <f t="shared" si="97"/>
        <v/>
      </c>
      <c r="DP66" s="97" t="str">
        <f t="shared" si="98"/>
        <v/>
      </c>
      <c r="DQ66" s="97" t="str">
        <f t="shared" si="99"/>
        <v/>
      </c>
      <c r="DR66" s="97" t="str">
        <f t="shared" si="100"/>
        <v/>
      </c>
      <c r="DS66" s="98">
        <f t="shared" si="101"/>
        <v>0</v>
      </c>
      <c r="DT66" s="98">
        <f t="shared" si="102"/>
        <v>0</v>
      </c>
      <c r="DU66" s="98">
        <f t="shared" si="103"/>
        <v>0</v>
      </c>
      <c r="DV66" s="98">
        <f t="shared" si="104"/>
        <v>0</v>
      </c>
      <c r="DW66" s="98">
        <f t="shared" si="105"/>
        <v>0</v>
      </c>
      <c r="DX66" s="98" t="str">
        <f t="shared" si="106"/>
        <v/>
      </c>
      <c r="DY66" s="99" t="str">
        <f t="shared" si="107"/>
        <v/>
      </c>
      <c r="DZ66" s="74" t="str">
        <f>IF('Marks Entry'!AY66="","",'Marks Entry'!AY66)</f>
        <v/>
      </c>
      <c r="EA66" s="74" t="str">
        <f>IF('Marks Entry'!AZ66="","",'Marks Entry'!AZ66)</f>
        <v/>
      </c>
      <c r="EB66" s="74" t="str">
        <f>IF('Marks Entry'!BA66="","",'Marks Entry'!BA66)</f>
        <v/>
      </c>
      <c r="EC66" s="527" t="str">
        <f t="shared" si="52"/>
        <v/>
      </c>
      <c r="ED66" s="74" t="str">
        <f>IF('Marks Entry'!BB66="","",'Marks Entry'!BB66)</f>
        <v/>
      </c>
      <c r="EE66" s="528" t="str">
        <f t="shared" si="53"/>
        <v/>
      </c>
      <c r="EF66" s="74" t="str">
        <f>IF('Marks Entry'!BC66="","",'Marks Entry'!BC66)</f>
        <v/>
      </c>
      <c r="EG66" s="530" t="str">
        <f t="shared" si="54"/>
        <v/>
      </c>
      <c r="EH66" s="368" t="str">
        <f t="shared" si="108"/>
        <v/>
      </c>
      <c r="EI66" s="65">
        <f t="shared" si="109"/>
        <v>0</v>
      </c>
      <c r="EJ66" s="65">
        <f t="shared" si="110"/>
        <v>0</v>
      </c>
      <c r="EK66" s="66" t="str">
        <f t="shared" si="111"/>
        <v/>
      </c>
      <c r="EL66" s="74" t="str">
        <f>IF('Marks Entry'!BD66="","",'Marks Entry'!BD66)</f>
        <v/>
      </c>
      <c r="EM66" s="74" t="str">
        <f>IF('Marks Entry'!BE66="","",'Marks Entry'!BE66)</f>
        <v/>
      </c>
      <c r="EN66" s="74" t="str">
        <f>IF('Marks Entry'!BF66="","",'Marks Entry'!BF66)</f>
        <v/>
      </c>
      <c r="EO66" s="527" t="str">
        <f t="shared" si="55"/>
        <v/>
      </c>
      <c r="EP66" s="74" t="str">
        <f>IF('Marks Entry'!BG66="","",'Marks Entry'!BG66)</f>
        <v/>
      </c>
      <c r="EQ66" s="74" t="str">
        <f>IF('Marks Entry'!BH66="","",'Marks Entry'!BH66)</f>
        <v/>
      </c>
      <c r="ER66" s="528" t="str">
        <f t="shared" si="56"/>
        <v/>
      </c>
      <c r="ES66" s="529" t="str">
        <f t="shared" si="57"/>
        <v/>
      </c>
      <c r="ET66" s="74" t="str">
        <f>IF('Marks Entry'!BI66="","",'Marks Entry'!BI66)</f>
        <v/>
      </c>
      <c r="EU66" s="74" t="str">
        <f>IF('Marks Entry'!BJ66="","",'Marks Entry'!BJ66)</f>
        <v/>
      </c>
      <c r="EV66" s="528" t="str">
        <f t="shared" si="58"/>
        <v/>
      </c>
      <c r="EW66" s="530" t="str">
        <f t="shared" si="59"/>
        <v/>
      </c>
      <c r="EX66" s="368" t="str">
        <f t="shared" si="112"/>
        <v/>
      </c>
      <c r="EY66" s="65">
        <f t="shared" si="113"/>
        <v>0</v>
      </c>
      <c r="EZ66" s="65">
        <f t="shared" si="114"/>
        <v>0</v>
      </c>
      <c r="FA66" s="66" t="str">
        <f t="shared" si="115"/>
        <v/>
      </c>
      <c r="FB66" s="74" t="str">
        <f>IF('Marks Entry'!BK66="","",'Marks Entry'!BK66)</f>
        <v/>
      </c>
      <c r="FC66" s="74" t="str">
        <f>IF('Marks Entry'!BL66="","",'Marks Entry'!BL66)</f>
        <v/>
      </c>
      <c r="FD66" s="74" t="str">
        <f>IF('Marks Entry'!BM66="","",'Marks Entry'!BM66)</f>
        <v/>
      </c>
      <c r="FE66" s="74" t="str">
        <f>IF('Marks Entry'!BN66="","",'Marks Entry'!BN66)</f>
        <v/>
      </c>
      <c r="FF66" s="74" t="str">
        <f>IF('Marks Entry'!BO66="","",'Marks Entry'!BO66)</f>
        <v/>
      </c>
      <c r="FG66" s="74" t="str">
        <f>IF('Marks Entry'!BP66="","",'Marks Entry'!BP66)</f>
        <v/>
      </c>
      <c r="FH66" s="527" t="str">
        <f t="shared" si="60"/>
        <v/>
      </c>
      <c r="FI66" s="74" t="str">
        <f>IF('Marks Entry'!BQ66="","",'Marks Entry'!BQ66)</f>
        <v/>
      </c>
      <c r="FJ66" s="74" t="str">
        <f>IF('Marks Entry'!BR66="","",'Marks Entry'!BR66)</f>
        <v/>
      </c>
      <c r="FK66" s="528" t="str">
        <f t="shared" si="61"/>
        <v/>
      </c>
      <c r="FL66" s="529" t="str">
        <f t="shared" si="62"/>
        <v/>
      </c>
      <c r="FM66" s="74" t="str">
        <f>IF('Marks Entry'!BS66="","",'Marks Entry'!BS66)</f>
        <v/>
      </c>
      <c r="FN66" s="74" t="str">
        <f>IF('Marks Entry'!BT66="","",'Marks Entry'!BT66)</f>
        <v/>
      </c>
      <c r="FO66" s="528" t="str">
        <f t="shared" si="63"/>
        <v/>
      </c>
      <c r="FP66" s="530" t="str">
        <f t="shared" si="64"/>
        <v/>
      </c>
      <c r="FQ66" s="368" t="str">
        <f t="shared" si="116"/>
        <v/>
      </c>
      <c r="FR66" s="65">
        <f t="shared" si="117"/>
        <v>0</v>
      </c>
      <c r="FS66" s="65">
        <f t="shared" si="118"/>
        <v>0</v>
      </c>
      <c r="FT66" s="66" t="str">
        <f t="shared" si="119"/>
        <v/>
      </c>
      <c r="FU66" s="74" t="str">
        <f>IF('Marks Entry'!BU66="","",'Marks Entry'!BU66)</f>
        <v/>
      </c>
      <c r="FV66" s="74" t="str">
        <f>IF('Marks Entry'!BV66="","",'Marks Entry'!BV66)</f>
        <v/>
      </c>
      <c r="FW66" s="74" t="str">
        <f>IF('Marks Entry'!BW66="","",'Marks Entry'!BW66)</f>
        <v/>
      </c>
      <c r="FX66" s="75" t="str">
        <f t="shared" si="65"/>
        <v/>
      </c>
      <c r="FY66" s="368" t="str">
        <f t="shared" si="120"/>
        <v/>
      </c>
      <c r="FZ66" s="65">
        <f t="shared" si="121"/>
        <v>0</v>
      </c>
      <c r="GA66" s="66">
        <f t="shared" si="122"/>
        <v>0</v>
      </c>
      <c r="GB66" s="66" t="str">
        <f t="shared" si="123"/>
        <v/>
      </c>
      <c r="GC66" s="74" t="str">
        <f>IF('Marks Entry'!BX66="","",'Marks Entry'!BX66)</f>
        <v/>
      </c>
      <c r="GD66" s="74" t="str">
        <f>IF('Marks Entry'!BY66="","",'Marks Entry'!BY66)</f>
        <v/>
      </c>
      <c r="GE66" s="74" t="str">
        <f>IF('Marks Entry'!BZ66="","",'Marks Entry'!BZ66)</f>
        <v/>
      </c>
      <c r="GF66" s="75" t="str">
        <f t="shared" si="124"/>
        <v/>
      </c>
      <c r="GG66" s="368" t="str">
        <f t="shared" si="125"/>
        <v/>
      </c>
      <c r="GH66" s="65">
        <f t="shared" si="126"/>
        <v>0</v>
      </c>
      <c r="GI66" s="66">
        <f t="shared" si="127"/>
        <v>0</v>
      </c>
      <c r="GJ66" s="66" t="str">
        <f t="shared" si="128"/>
        <v/>
      </c>
      <c r="GK66" s="100" t="str">
        <f>IF(AND(F66="",B66=""),"",IF('Student DATA Entry'!M63="","",'Student DATA Entry'!M63))</f>
        <v/>
      </c>
      <c r="GL66" s="101" t="str">
        <f>IF(AND(B66="",F66=""),"",IF('Student DATA Entry'!N63="","",'Student DATA Entry'!N63))</f>
        <v/>
      </c>
      <c r="GM66" s="581" t="str">
        <f t="shared" si="129"/>
        <v/>
      </c>
      <c r="GN66" s="94" t="str">
        <f t="shared" si="130"/>
        <v/>
      </c>
      <c r="GO66" s="94" t="str">
        <f t="shared" si="131"/>
        <v/>
      </c>
      <c r="GP66" s="102" t="str">
        <f t="shared" si="162"/>
        <v/>
      </c>
      <c r="GQ66" s="94" t="str">
        <f t="shared" si="132"/>
        <v/>
      </c>
      <c r="GR66" s="103" t="str">
        <f t="shared" si="133"/>
        <v/>
      </c>
      <c r="GS66" s="102" t="str">
        <f t="shared" si="163"/>
        <v/>
      </c>
      <c r="GT66" s="104" t="str">
        <f t="shared" si="134"/>
        <v/>
      </c>
      <c r="GU66" s="94" t="str">
        <f>IF('Marks Entry'!V66=1,GT66,"")</f>
        <v/>
      </c>
      <c r="GV66" s="94" t="str">
        <f>IF('Marks Entry'!V66=2,GT66,"")</f>
        <v/>
      </c>
      <c r="GW66" s="94" t="str">
        <f>IF('Marks Entry'!V66=3,GT66,"")</f>
        <v/>
      </c>
      <c r="GX66" s="94" t="str">
        <f>IF('Marks Entry'!V66=4,GT66,"")</f>
        <v/>
      </c>
      <c r="GY66" s="94" t="str">
        <f>IF('Marks Entry'!V66=5,GT66,"")</f>
        <v/>
      </c>
      <c r="GZ66" s="94" t="str">
        <f t="shared" si="135"/>
        <v/>
      </c>
      <c r="HA66" s="105" t="str">
        <f t="shared" si="164"/>
        <v/>
      </c>
      <c r="HB66" s="94" t="str">
        <f t="shared" si="136"/>
        <v/>
      </c>
      <c r="HC66" s="94" t="str">
        <f t="shared" si="137"/>
        <v/>
      </c>
      <c r="HD66" s="105" t="str">
        <f t="shared" si="165"/>
        <v/>
      </c>
      <c r="HE66" s="94" t="str">
        <f t="shared" si="138"/>
        <v/>
      </c>
      <c r="HF66" s="94" t="str">
        <f t="shared" si="139"/>
        <v/>
      </c>
      <c r="HG66" s="105" t="str">
        <f t="shared" si="166"/>
        <v/>
      </c>
      <c r="HH66" s="94" t="str">
        <f t="shared" si="140"/>
        <v/>
      </c>
      <c r="HI66" s="94" t="str">
        <f t="shared" si="141"/>
        <v/>
      </c>
      <c r="HJ66" s="105" t="str">
        <f t="shared" si="167"/>
        <v/>
      </c>
      <c r="HK66" s="94" t="str">
        <f t="shared" si="142"/>
        <v/>
      </c>
      <c r="HL66" s="94" t="str">
        <f t="shared" si="143"/>
        <v/>
      </c>
      <c r="HM66" s="105" t="str">
        <f t="shared" si="168"/>
        <v/>
      </c>
      <c r="HN66" s="367" t="str">
        <f t="shared" si="144"/>
        <v xml:space="preserve">      </v>
      </c>
      <c r="HO66" s="418" t="str">
        <f t="shared" si="169"/>
        <v xml:space="preserve">      </v>
      </c>
      <c r="HP66" s="367" t="str">
        <f t="shared" si="146"/>
        <v xml:space="preserve">      </v>
      </c>
      <c r="HQ66" s="107" t="str">
        <f t="shared" si="147"/>
        <v xml:space="preserve">      </v>
      </c>
      <c r="HR66" s="366" t="str">
        <f t="shared" si="148"/>
        <v xml:space="preserve">      </v>
      </c>
      <c r="HS66" s="544" t="str">
        <f t="shared" si="170"/>
        <v/>
      </c>
      <c r="HT66" s="542" t="str">
        <f t="shared" si="149"/>
        <v/>
      </c>
      <c r="HU66" s="541" t="str">
        <f t="shared" si="160"/>
        <v/>
      </c>
      <c r="HV66" s="540" t="str">
        <f t="shared" si="150"/>
        <v/>
      </c>
      <c r="HW66" s="537" t="str">
        <f t="shared" si="151"/>
        <v/>
      </c>
      <c r="HX66" s="539" t="str">
        <f t="shared" si="152"/>
        <v/>
      </c>
      <c r="HY66" s="553" t="str">
        <f>IFERROR(IF(OR(HS66="SUPPLEMENTARY",HS66="RE-EXAM"),'Supp. Result Entry'!AQ64,""),"")</f>
        <v/>
      </c>
      <c r="HZ66" s="538" t="str">
        <f t="shared" si="153"/>
        <v/>
      </c>
      <c r="IA66" s="415" t="str">
        <f t="shared" si="154"/>
        <v/>
      </c>
      <c r="IB66" s="415" t="str">
        <f>IF(AND(HZ66="",IA66=""),"",IF(OR(HS66="SUPPLEMENTARY",HS66="RE-EXAM"),'Supp. Result Entry'!AQ64,HS66))</f>
        <v/>
      </c>
      <c r="IC66" s="87"/>
      <c r="IS66" s="109" t="str">
        <f>IF('Supp. Result Entry'!T64="","",'Supp. Result Entry'!$T$4)</f>
        <v/>
      </c>
      <c r="IT66" s="110" t="str">
        <f>IF('Supp. Result Entry'!W64="","",'Supp. Result Entry'!$W$4)</f>
        <v/>
      </c>
      <c r="IU66" s="110" t="str">
        <f>IF('Supp. Result Entry'!Z64="","",'Supp. Result Entry'!$Z$4)</f>
        <v/>
      </c>
      <c r="IV66" s="110" t="str">
        <f>IF('Supp. Result Entry'!AC64="","",'Supp. Result Entry'!$AC$4)</f>
        <v/>
      </c>
      <c r="IW66" s="110" t="str">
        <f>IF('Supp. Result Entry'!AF64="","",'Supp. Result Entry'!$AF$4)</f>
        <v/>
      </c>
      <c r="IX66" s="110" t="str">
        <f>IF('Supp. Result Entry'!AI64="","",'Supp. Result Entry'!$AI$4)</f>
        <v/>
      </c>
      <c r="IY66" s="110" t="str">
        <f>IF('Supp. Result Entry'!AI64="","",'Supp. Result Entry'!$AL$4)</f>
        <v/>
      </c>
      <c r="IZ66" s="110" t="str">
        <f>IF('Supp. Result Entry'!U64="","",'Supp. Result Entry'!U64)</f>
        <v/>
      </c>
      <c r="JA66" s="110" t="str">
        <f>IF('Supp. Result Entry'!X64="","",'Supp. Result Entry'!X64)</f>
        <v/>
      </c>
      <c r="JB66" s="110" t="str">
        <f>IF('Supp. Result Entry'!AA64="","",'Supp. Result Entry'!AA64)</f>
        <v/>
      </c>
      <c r="JC66" s="110" t="str">
        <f>IF('Supp. Result Entry'!AD64="","",'Supp. Result Entry'!AD64)</f>
        <v/>
      </c>
      <c r="JD66" s="110" t="str">
        <f>IF('Supp. Result Entry'!AG64="","",'Supp. Result Entry'!AG64)</f>
        <v/>
      </c>
      <c r="JE66" s="110" t="str">
        <f>IF('Supp. Result Entry'!AJ64="","",'Supp. Result Entry'!AJ64)</f>
        <v/>
      </c>
      <c r="JF66" s="110" t="str">
        <f>IF('Supp. Result Entry'!AM64="","",'Supp. Result Entry'!AM64)</f>
        <v/>
      </c>
      <c r="JG66" s="110" t="str">
        <f>IF('Supp. Result Entry'!V64="","",'Supp. Result Entry'!V64)</f>
        <v/>
      </c>
      <c r="JH66" s="110" t="str">
        <f>IF('Supp. Result Entry'!Y64="","",'Supp. Result Entry'!Y64)</f>
        <v/>
      </c>
      <c r="JI66" s="110" t="str">
        <f>IF('Supp. Result Entry'!AB64="","",'Supp. Result Entry'!AB64)</f>
        <v/>
      </c>
      <c r="JJ66" s="110" t="str">
        <f>IF('Supp. Result Entry'!AE64="","",'Supp. Result Entry'!AE64)</f>
        <v/>
      </c>
      <c r="JK66" s="110" t="str">
        <f>IF('Supp. Result Entry'!AH64="","",'Supp. Result Entry'!AH64)</f>
        <v/>
      </c>
      <c r="JL66" s="110" t="str">
        <f>IF('Supp. Result Entry'!AK64="","",'Supp. Result Entry'!AK64)</f>
        <v/>
      </c>
      <c r="JM66" s="110" t="str">
        <f>IF('Supp. Result Entry'!AN64="","",'Supp. Result Entry'!AN64)</f>
        <v/>
      </c>
      <c r="JN66" s="110">
        <f>COUNTIF('Supp. Result Entry'!K64:Q64,"S")</f>
        <v>0</v>
      </c>
      <c r="JO66" s="110">
        <f t="shared" si="155"/>
        <v>0</v>
      </c>
      <c r="JP66" s="110">
        <f t="shared" si="156"/>
        <v>0</v>
      </c>
      <c r="JQ66" s="110" t="str">
        <f t="shared" si="75"/>
        <v/>
      </c>
      <c r="JR66" s="110" t="str">
        <f t="shared" si="76"/>
        <v/>
      </c>
      <c r="JS66" s="110" t="str">
        <f t="shared" si="77"/>
        <v/>
      </c>
      <c r="JT66" s="110" t="str">
        <f t="shared" si="78"/>
        <v/>
      </c>
      <c r="JU66" s="110" t="str">
        <f t="shared" si="79"/>
        <v/>
      </c>
      <c r="JV66" s="110" t="str">
        <f t="shared" si="80"/>
        <v/>
      </c>
      <c r="JW66" s="110" t="str">
        <f t="shared" si="81"/>
        <v/>
      </c>
      <c r="JX66" s="110" t="str">
        <f t="shared" si="157"/>
        <v/>
      </c>
      <c r="JY66" s="110" t="str">
        <f t="shared" si="158"/>
        <v/>
      </c>
      <c r="JZ66" s="110" t="str">
        <f t="shared" si="82"/>
        <v/>
      </c>
      <c r="KA66" s="108" t="str">
        <f t="shared" si="159"/>
        <v/>
      </c>
    </row>
    <row r="67" spans="1:287" s="108" customFormat="1" ht="21.95" customHeight="1">
      <c r="A67" s="89">
        <v>61</v>
      </c>
      <c r="B67" s="90" t="str">
        <f>IF('Marks Entry'!B67="","",'Marks Entry'!B67)</f>
        <v/>
      </c>
      <c r="C67" s="94" t="str">
        <f>IF('Marks Entry'!D67="","",'Marks Entry'!D67)</f>
        <v/>
      </c>
      <c r="D67" s="91" t="str">
        <f>IF('Marks Entry'!E67="","",'Marks Entry'!E67)</f>
        <v/>
      </c>
      <c r="E67" s="92" t="str">
        <f>IF('Marks Entry'!F67="","",'Marks Entry'!F67)</f>
        <v/>
      </c>
      <c r="F67" s="93" t="str">
        <f>IF('Marks Entry'!G67="","",'Marks Entry'!G67)</f>
        <v/>
      </c>
      <c r="G67" s="93" t="str">
        <f>IF('Marks Entry'!H67="","",'Marks Entry'!H67)</f>
        <v/>
      </c>
      <c r="H67" s="93" t="str">
        <f>IF('Marks Entry'!I67="","",'Marks Entry'!I67)</f>
        <v/>
      </c>
      <c r="I67" s="94" t="str">
        <f>IF('Marks Entry'!J67="","",'Marks Entry'!J67)</f>
        <v/>
      </c>
      <c r="J67" s="95" t="str">
        <f>IF('Marks Entry'!K67="","",'Marks Entry'!K67)</f>
        <v/>
      </c>
      <c r="K67" s="68" t="str">
        <f>IF('Marks Entry'!L67="","",'Marks Entry'!L67)</f>
        <v/>
      </c>
      <c r="L67" s="68" t="str">
        <f>IF('Marks Entry'!M67="","",'Marks Entry'!M67)</f>
        <v/>
      </c>
      <c r="M67" s="68" t="str">
        <f>IF('Marks Entry'!N67="","",'Marks Entry'!N67)</f>
        <v/>
      </c>
      <c r="N67" s="514" t="str">
        <f t="shared" si="83"/>
        <v/>
      </c>
      <c r="O67" s="68" t="str">
        <f>IF('Marks Entry'!O67="","",'Marks Entry'!O67)</f>
        <v/>
      </c>
      <c r="P67" s="515" t="str">
        <f t="shared" si="84"/>
        <v/>
      </c>
      <c r="Q67" s="68" t="str">
        <f>IF('Marks Entry'!P67="","",'Marks Entry'!P67)</f>
        <v/>
      </c>
      <c r="R67" s="96" t="str">
        <f t="shared" si="85"/>
        <v/>
      </c>
      <c r="S67" s="65">
        <f t="shared" si="86"/>
        <v>0</v>
      </c>
      <c r="T67" s="65">
        <f t="shared" si="87"/>
        <v>0</v>
      </c>
      <c r="U67" s="66" t="str">
        <f t="shared" si="88"/>
        <v/>
      </c>
      <c r="V67" s="65" t="str">
        <f t="shared" si="89"/>
        <v/>
      </c>
      <c r="W67" s="65" t="str">
        <f t="shared" si="90"/>
        <v/>
      </c>
      <c r="X67" s="65" t="str">
        <f t="shared" si="91"/>
        <v/>
      </c>
      <c r="Y67" s="68" t="str">
        <f>IF('Marks Entry'!Q67="","",'Marks Entry'!Q67)</f>
        <v/>
      </c>
      <c r="Z67" s="68" t="str">
        <f>IF('Marks Entry'!R67="","",'Marks Entry'!R67)</f>
        <v/>
      </c>
      <c r="AA67" s="68" t="str">
        <f>IF('Marks Entry'!S67="","",'Marks Entry'!S67)</f>
        <v/>
      </c>
      <c r="AB67" s="514" t="str">
        <f t="shared" si="2"/>
        <v/>
      </c>
      <c r="AC67" s="68" t="str">
        <f>IF('Marks Entry'!T67="","",'Marks Entry'!T67)</f>
        <v/>
      </c>
      <c r="AD67" s="515" t="str">
        <f t="shared" si="3"/>
        <v/>
      </c>
      <c r="AE67" s="68" t="str">
        <f>IF('Marks Entry'!U67="","",'Marks Entry'!U67)</f>
        <v/>
      </c>
      <c r="AF67" s="96" t="str">
        <f t="shared" si="4"/>
        <v/>
      </c>
      <c r="AG67" s="65">
        <f t="shared" si="5"/>
        <v>0</v>
      </c>
      <c r="AH67" s="65">
        <f t="shared" si="6"/>
        <v>0</v>
      </c>
      <c r="AI67" s="66" t="str">
        <f t="shared" si="7"/>
        <v/>
      </c>
      <c r="AJ67" s="65" t="str">
        <f t="shared" si="8"/>
        <v/>
      </c>
      <c r="AK67" s="65" t="str">
        <f t="shared" si="9"/>
        <v/>
      </c>
      <c r="AL67" s="65" t="str">
        <f t="shared" si="10"/>
        <v/>
      </c>
      <c r="AM67" s="524" t="str">
        <f>IF('Marks Entry'!V67="","",IF('Marks Entry'!V67=1,'School Profile'!$I$9,IF('Marks Entry'!V67=2,'School Profile'!$I$10,IF('Marks Entry'!V67=3,'School Profile'!$I$11,IF('Marks Entry'!V67=4,'School Profile'!$I$12,IF('Marks Entry'!V67=5,'School Profile'!$I$13,IF('Marks Entry'!V67=6,'School Profile'!$I$14,"")))))))</f>
        <v/>
      </c>
      <c r="AN67" s="68" t="str">
        <f>IF('Marks Entry'!W67="","",'Marks Entry'!W67)</f>
        <v/>
      </c>
      <c r="AO67" s="68" t="str">
        <f>IF('Marks Entry'!X67="","",'Marks Entry'!X67)</f>
        <v/>
      </c>
      <c r="AP67" s="68" t="str">
        <f>IF('Marks Entry'!Y67="","",'Marks Entry'!Y67)</f>
        <v/>
      </c>
      <c r="AQ67" s="514" t="str">
        <f t="shared" si="11"/>
        <v/>
      </c>
      <c r="AR67" s="68" t="str">
        <f>IF('Marks Entry'!Z67="","",'Marks Entry'!Z67)</f>
        <v/>
      </c>
      <c r="AS67" s="515" t="str">
        <f t="shared" si="12"/>
        <v/>
      </c>
      <c r="AT67" s="68" t="str">
        <f>IF('Marks Entry'!AA67="","",'Marks Entry'!AA67)</f>
        <v/>
      </c>
      <c r="AU67" s="96" t="str">
        <f t="shared" si="13"/>
        <v/>
      </c>
      <c r="AV67" s="65">
        <f t="shared" si="14"/>
        <v>0</v>
      </c>
      <c r="AW67" s="65">
        <f t="shared" si="15"/>
        <v>0</v>
      </c>
      <c r="AX67" s="66" t="str">
        <f t="shared" si="16"/>
        <v/>
      </c>
      <c r="AY67" s="65" t="str">
        <f t="shared" si="17"/>
        <v/>
      </c>
      <c r="AZ67" s="65" t="str">
        <f t="shared" si="18"/>
        <v/>
      </c>
      <c r="BA67" s="65" t="str">
        <f t="shared" si="19"/>
        <v/>
      </c>
      <c r="BB67" s="68" t="str">
        <f>IF('Marks Entry'!AB67="","",'Marks Entry'!AB67)</f>
        <v/>
      </c>
      <c r="BC67" s="68" t="str">
        <f>IF('Marks Entry'!AC67="","",'Marks Entry'!AC67)</f>
        <v/>
      </c>
      <c r="BD67" s="68" t="str">
        <f>IF('Marks Entry'!AD67="","",'Marks Entry'!AD67)</f>
        <v/>
      </c>
      <c r="BE67" s="514" t="str">
        <f t="shared" si="20"/>
        <v/>
      </c>
      <c r="BF67" s="68" t="str">
        <f>IF('Marks Entry'!AE67="","",'Marks Entry'!AE67)</f>
        <v/>
      </c>
      <c r="BG67" s="515" t="str">
        <f t="shared" si="21"/>
        <v/>
      </c>
      <c r="BH67" s="68" t="str">
        <f>IF('Marks Entry'!AF67="","",'Marks Entry'!AF67)</f>
        <v/>
      </c>
      <c r="BI67" s="96" t="str">
        <f t="shared" si="22"/>
        <v/>
      </c>
      <c r="BJ67" s="65">
        <f t="shared" si="23"/>
        <v>0</v>
      </c>
      <c r="BK67" s="65">
        <f t="shared" si="92"/>
        <v>0</v>
      </c>
      <c r="BL67" s="66" t="str">
        <f t="shared" si="24"/>
        <v/>
      </c>
      <c r="BM67" s="65" t="str">
        <f t="shared" si="25"/>
        <v/>
      </c>
      <c r="BN67" s="65" t="str">
        <f t="shared" si="26"/>
        <v/>
      </c>
      <c r="BO67" s="65" t="str">
        <f t="shared" si="27"/>
        <v/>
      </c>
      <c r="BP67" s="68" t="str">
        <f>IF('Marks Entry'!AG67="","",'Marks Entry'!AG67)</f>
        <v/>
      </c>
      <c r="BQ67" s="68" t="str">
        <f>IF('Marks Entry'!AH67="","",'Marks Entry'!AH67)</f>
        <v/>
      </c>
      <c r="BR67" s="68" t="str">
        <f>IF('Marks Entry'!AI67="","",'Marks Entry'!AI67)</f>
        <v/>
      </c>
      <c r="BS67" s="514" t="str">
        <f t="shared" si="28"/>
        <v/>
      </c>
      <c r="BT67" s="68" t="str">
        <f>IF('Marks Entry'!AJ67="","",'Marks Entry'!AJ67)</f>
        <v/>
      </c>
      <c r="BU67" s="515" t="str">
        <f t="shared" si="29"/>
        <v/>
      </c>
      <c r="BV67" s="68" t="str">
        <f>IF('Marks Entry'!AK67="","",'Marks Entry'!AK67)</f>
        <v/>
      </c>
      <c r="BW67" s="96" t="str">
        <f t="shared" si="30"/>
        <v/>
      </c>
      <c r="BX67" s="65">
        <f t="shared" si="31"/>
        <v>0</v>
      </c>
      <c r="BY67" s="65">
        <f t="shared" si="32"/>
        <v>0</v>
      </c>
      <c r="BZ67" s="66" t="str">
        <f t="shared" si="33"/>
        <v/>
      </c>
      <c r="CA67" s="65" t="str">
        <f t="shared" si="34"/>
        <v/>
      </c>
      <c r="CB67" s="65" t="str">
        <f t="shared" si="35"/>
        <v/>
      </c>
      <c r="CC67" s="65" t="str">
        <f t="shared" si="36"/>
        <v/>
      </c>
      <c r="CD67" s="66">
        <f t="shared" si="161"/>
        <v>0</v>
      </c>
      <c r="CE67" s="68" t="str">
        <f>IF('Marks Entry'!AL67="","",'Marks Entry'!AL67)</f>
        <v/>
      </c>
      <c r="CF67" s="68" t="str">
        <f>IF('Marks Entry'!AM67="","",'Marks Entry'!AM67)</f>
        <v/>
      </c>
      <c r="CG67" s="68" t="str">
        <f>IF('Marks Entry'!AN67="","",'Marks Entry'!AN67)</f>
        <v/>
      </c>
      <c r="CH67" s="514" t="str">
        <f t="shared" si="37"/>
        <v/>
      </c>
      <c r="CI67" s="68" t="str">
        <f>IF('Marks Entry'!AO67="","",'Marks Entry'!AO67)</f>
        <v/>
      </c>
      <c r="CJ67" s="515" t="str">
        <f t="shared" si="38"/>
        <v/>
      </c>
      <c r="CK67" s="68" t="str">
        <f>IF('Marks Entry'!AP67="","",'Marks Entry'!AP67)</f>
        <v/>
      </c>
      <c r="CL67" s="96" t="str">
        <f t="shared" si="39"/>
        <v/>
      </c>
      <c r="CM67" s="65">
        <f t="shared" si="40"/>
        <v>0</v>
      </c>
      <c r="CN67" s="65">
        <f t="shared" si="41"/>
        <v>0</v>
      </c>
      <c r="CO67" s="66" t="str">
        <f t="shared" si="42"/>
        <v/>
      </c>
      <c r="CP67" s="65" t="str">
        <f t="shared" si="43"/>
        <v/>
      </c>
      <c r="CQ67" s="65" t="str">
        <f t="shared" si="44"/>
        <v/>
      </c>
      <c r="CR67" s="65" t="str">
        <f t="shared" si="45"/>
        <v/>
      </c>
      <c r="CS67" s="616" t="str">
        <f>IF('School Profile'!$D$20="NO","",IF('Marks Entry'!AQ67="","",IF('Marks Entry'!AQ67=1,'School Profile'!$I$29,IF('Marks Entry'!AQ67=2,'School Profile'!$I$30,IF('Marks Entry'!AQ67=3,'School Profile'!$I$31,IF('Marks Entry'!AQ67=4,'School Profile'!$I$32,IF('Marks Entry'!AQ67=5,'School Profile'!$I$33,IF('Marks Entry'!AQ67=6,'School Profile'!$I$34,IF('Marks Entry'!AQ67=7,'School Profile'!$I$35,IF('Marks Entry'!AQ67=8,'School Profile'!$I$36,IF('Marks Entry'!AQ67=9,'School Profile'!$I$37,IF('Marks Entry'!AQ67=10,'School Profile'!$I$38,IF('Marks Entry'!AQ67=11,'School Profile'!$I$39,"")))))))))))))</f>
        <v/>
      </c>
      <c r="CT67" s="68" t="str">
        <f>IF('School Profile'!$D$20="NO","",IF('Marks Entry'!AR67="","",'Marks Entry'!AR67))</f>
        <v/>
      </c>
      <c r="CU67" s="68" t="str">
        <f>IF('School Profile'!$D$20="NO","",IF('Marks Entry'!AS67="","",'Marks Entry'!AS67))</f>
        <v/>
      </c>
      <c r="CV67" s="68" t="str">
        <f>IF('School Profile'!$D$20="NO","",IF('Marks Entry'!AT67="","",'Marks Entry'!AT67))</f>
        <v/>
      </c>
      <c r="CW67" s="514" t="str">
        <f>IF('School Profile'!$D$20="NO","",IF(AND(CT67="",CU67="",CV67=""),"",SUM(CT67:CV67)))</f>
        <v/>
      </c>
      <c r="CX67" s="68" t="str">
        <f>IF('School Profile'!$D$20="NO","",IF('Marks Entry'!AU67="","",'Marks Entry'!AU67))</f>
        <v/>
      </c>
      <c r="CY67" s="68" t="str">
        <f>IF('School Profile'!$D$20="NO","",IF('Marks Entry'!AV67="","",'Marks Entry'!AV67))</f>
        <v/>
      </c>
      <c r="CZ67" s="515" t="str">
        <f>IF('School Profile'!$D$20="NO","",IF(AND(CX67="",CY67=""),"",SUM(CX67,CY67)))</f>
        <v/>
      </c>
      <c r="DA67" s="69" t="str">
        <f>IF('School Profile'!$D$20="NO","",IF(AND(CW67="",CZ67=""),"",SUM(CW67+CZ67)))</f>
        <v/>
      </c>
      <c r="DB67" s="68" t="str">
        <f>IF('School Profile'!$D$20="NO","",IF('Marks Entry'!AW67="","",'Marks Entry'!AW67))</f>
        <v/>
      </c>
      <c r="DC67" s="68" t="str">
        <f>IF('School Profile'!$D$20="NO","",IF('Marks Entry'!AX67="","",'Marks Entry'!AX67))</f>
        <v/>
      </c>
      <c r="DD67" s="515" t="str">
        <f>IF('School Profile'!$D$20="NO","",IF(AND(DB67="",DC67=""),"",SUM(DB67,DC67)))</f>
        <v/>
      </c>
      <c r="DE67" s="96" t="str">
        <f>IF('School Profile'!$D$20="NO","",IF(AND(DA67="",DD67=""),"",SUM(DA67,DD67)))</f>
        <v/>
      </c>
      <c r="DF67" s="532">
        <f t="shared" si="46"/>
        <v>0</v>
      </c>
      <c r="DG67" s="65">
        <f t="shared" si="47"/>
        <v>0</v>
      </c>
      <c r="DH67" s="66" t="str">
        <f t="shared" si="48"/>
        <v/>
      </c>
      <c r="DI67" s="65" t="str">
        <f t="shared" si="49"/>
        <v/>
      </c>
      <c r="DJ67" s="65" t="str">
        <f t="shared" si="50"/>
        <v/>
      </c>
      <c r="DK67" s="65" t="str">
        <f t="shared" si="51"/>
        <v/>
      </c>
      <c r="DL67" s="97" t="str">
        <f t="shared" si="94"/>
        <v/>
      </c>
      <c r="DM67" s="97" t="str">
        <f t="shared" si="95"/>
        <v/>
      </c>
      <c r="DN67" s="97" t="str">
        <f t="shared" si="96"/>
        <v/>
      </c>
      <c r="DO67" s="97" t="str">
        <f t="shared" si="97"/>
        <v/>
      </c>
      <c r="DP67" s="97" t="str">
        <f t="shared" si="98"/>
        <v/>
      </c>
      <c r="DQ67" s="97" t="str">
        <f t="shared" si="99"/>
        <v/>
      </c>
      <c r="DR67" s="97" t="str">
        <f t="shared" si="100"/>
        <v/>
      </c>
      <c r="DS67" s="98">
        <f t="shared" si="101"/>
        <v>0</v>
      </c>
      <c r="DT67" s="98">
        <f t="shared" si="102"/>
        <v>0</v>
      </c>
      <c r="DU67" s="98">
        <f t="shared" si="103"/>
        <v>0</v>
      </c>
      <c r="DV67" s="98">
        <f t="shared" si="104"/>
        <v>0</v>
      </c>
      <c r="DW67" s="98">
        <f t="shared" si="105"/>
        <v>0</v>
      </c>
      <c r="DX67" s="98" t="str">
        <f t="shared" si="106"/>
        <v/>
      </c>
      <c r="DY67" s="99" t="str">
        <f t="shared" si="107"/>
        <v/>
      </c>
      <c r="DZ67" s="74" t="str">
        <f>IF('Marks Entry'!AY67="","",'Marks Entry'!AY67)</f>
        <v/>
      </c>
      <c r="EA67" s="74" t="str">
        <f>IF('Marks Entry'!AZ67="","",'Marks Entry'!AZ67)</f>
        <v/>
      </c>
      <c r="EB67" s="74" t="str">
        <f>IF('Marks Entry'!BA67="","",'Marks Entry'!BA67)</f>
        <v/>
      </c>
      <c r="EC67" s="527" t="str">
        <f t="shared" si="52"/>
        <v/>
      </c>
      <c r="ED67" s="74" t="str">
        <f>IF('Marks Entry'!BB67="","",'Marks Entry'!BB67)</f>
        <v/>
      </c>
      <c r="EE67" s="528" t="str">
        <f t="shared" si="53"/>
        <v/>
      </c>
      <c r="EF67" s="74" t="str">
        <f>IF('Marks Entry'!BC67="","",'Marks Entry'!BC67)</f>
        <v/>
      </c>
      <c r="EG67" s="530" t="str">
        <f t="shared" si="54"/>
        <v/>
      </c>
      <c r="EH67" s="368" t="str">
        <f t="shared" si="108"/>
        <v/>
      </c>
      <c r="EI67" s="65">
        <f t="shared" si="109"/>
        <v>0</v>
      </c>
      <c r="EJ67" s="65">
        <f t="shared" si="110"/>
        <v>0</v>
      </c>
      <c r="EK67" s="66" t="str">
        <f t="shared" si="111"/>
        <v/>
      </c>
      <c r="EL67" s="74" t="str">
        <f>IF('Marks Entry'!BD67="","",'Marks Entry'!BD67)</f>
        <v/>
      </c>
      <c r="EM67" s="74" t="str">
        <f>IF('Marks Entry'!BE67="","",'Marks Entry'!BE67)</f>
        <v/>
      </c>
      <c r="EN67" s="74" t="str">
        <f>IF('Marks Entry'!BF67="","",'Marks Entry'!BF67)</f>
        <v/>
      </c>
      <c r="EO67" s="527" t="str">
        <f t="shared" si="55"/>
        <v/>
      </c>
      <c r="EP67" s="74" t="str">
        <f>IF('Marks Entry'!BG67="","",'Marks Entry'!BG67)</f>
        <v/>
      </c>
      <c r="EQ67" s="74" t="str">
        <f>IF('Marks Entry'!BH67="","",'Marks Entry'!BH67)</f>
        <v/>
      </c>
      <c r="ER67" s="528" t="str">
        <f t="shared" si="56"/>
        <v/>
      </c>
      <c r="ES67" s="529" t="str">
        <f t="shared" si="57"/>
        <v/>
      </c>
      <c r="ET67" s="74" t="str">
        <f>IF('Marks Entry'!BI67="","",'Marks Entry'!BI67)</f>
        <v/>
      </c>
      <c r="EU67" s="74" t="str">
        <f>IF('Marks Entry'!BJ67="","",'Marks Entry'!BJ67)</f>
        <v/>
      </c>
      <c r="EV67" s="528" t="str">
        <f t="shared" si="58"/>
        <v/>
      </c>
      <c r="EW67" s="530" t="str">
        <f t="shared" si="59"/>
        <v/>
      </c>
      <c r="EX67" s="368" t="str">
        <f t="shared" si="112"/>
        <v/>
      </c>
      <c r="EY67" s="65">
        <f t="shared" si="113"/>
        <v>0</v>
      </c>
      <c r="EZ67" s="65">
        <f t="shared" si="114"/>
        <v>0</v>
      </c>
      <c r="FA67" s="66" t="str">
        <f t="shared" si="115"/>
        <v/>
      </c>
      <c r="FB67" s="74" t="str">
        <f>IF('Marks Entry'!BK67="","",'Marks Entry'!BK67)</f>
        <v/>
      </c>
      <c r="FC67" s="74" t="str">
        <f>IF('Marks Entry'!BL67="","",'Marks Entry'!BL67)</f>
        <v/>
      </c>
      <c r="FD67" s="74" t="str">
        <f>IF('Marks Entry'!BM67="","",'Marks Entry'!BM67)</f>
        <v/>
      </c>
      <c r="FE67" s="74" t="str">
        <f>IF('Marks Entry'!BN67="","",'Marks Entry'!BN67)</f>
        <v/>
      </c>
      <c r="FF67" s="74" t="str">
        <f>IF('Marks Entry'!BO67="","",'Marks Entry'!BO67)</f>
        <v/>
      </c>
      <c r="FG67" s="74" t="str">
        <f>IF('Marks Entry'!BP67="","",'Marks Entry'!BP67)</f>
        <v/>
      </c>
      <c r="FH67" s="527" t="str">
        <f t="shared" si="60"/>
        <v/>
      </c>
      <c r="FI67" s="74" t="str">
        <f>IF('Marks Entry'!BQ67="","",'Marks Entry'!BQ67)</f>
        <v/>
      </c>
      <c r="FJ67" s="74" t="str">
        <f>IF('Marks Entry'!BR67="","",'Marks Entry'!BR67)</f>
        <v/>
      </c>
      <c r="FK67" s="528" t="str">
        <f t="shared" si="61"/>
        <v/>
      </c>
      <c r="FL67" s="529" t="str">
        <f t="shared" si="62"/>
        <v/>
      </c>
      <c r="FM67" s="74" t="str">
        <f>IF('Marks Entry'!BS67="","",'Marks Entry'!BS67)</f>
        <v/>
      </c>
      <c r="FN67" s="74" t="str">
        <f>IF('Marks Entry'!BT67="","",'Marks Entry'!BT67)</f>
        <v/>
      </c>
      <c r="FO67" s="528" t="str">
        <f t="shared" si="63"/>
        <v/>
      </c>
      <c r="FP67" s="530" t="str">
        <f t="shared" si="64"/>
        <v/>
      </c>
      <c r="FQ67" s="368" t="str">
        <f t="shared" si="116"/>
        <v/>
      </c>
      <c r="FR67" s="65">
        <f t="shared" si="117"/>
        <v>0</v>
      </c>
      <c r="FS67" s="65">
        <f t="shared" si="118"/>
        <v>0</v>
      </c>
      <c r="FT67" s="66" t="str">
        <f t="shared" si="119"/>
        <v/>
      </c>
      <c r="FU67" s="74" t="str">
        <f>IF('Marks Entry'!BU67="","",'Marks Entry'!BU67)</f>
        <v/>
      </c>
      <c r="FV67" s="74" t="str">
        <f>IF('Marks Entry'!BV67="","",'Marks Entry'!BV67)</f>
        <v/>
      </c>
      <c r="FW67" s="74" t="str">
        <f>IF('Marks Entry'!BW67="","",'Marks Entry'!BW67)</f>
        <v/>
      </c>
      <c r="FX67" s="75" t="str">
        <f t="shared" si="65"/>
        <v/>
      </c>
      <c r="FY67" s="368" t="str">
        <f t="shared" si="120"/>
        <v/>
      </c>
      <c r="FZ67" s="65">
        <f t="shared" si="121"/>
        <v>0</v>
      </c>
      <c r="GA67" s="66">
        <f t="shared" si="122"/>
        <v>0</v>
      </c>
      <c r="GB67" s="66" t="str">
        <f t="shared" si="123"/>
        <v/>
      </c>
      <c r="GC67" s="74" t="str">
        <f>IF('Marks Entry'!BX67="","",'Marks Entry'!BX67)</f>
        <v/>
      </c>
      <c r="GD67" s="74" t="str">
        <f>IF('Marks Entry'!BY67="","",'Marks Entry'!BY67)</f>
        <v/>
      </c>
      <c r="GE67" s="74" t="str">
        <f>IF('Marks Entry'!BZ67="","",'Marks Entry'!BZ67)</f>
        <v/>
      </c>
      <c r="GF67" s="75" t="str">
        <f t="shared" si="124"/>
        <v/>
      </c>
      <c r="GG67" s="368" t="str">
        <f t="shared" si="125"/>
        <v/>
      </c>
      <c r="GH67" s="65">
        <f t="shared" si="126"/>
        <v>0</v>
      </c>
      <c r="GI67" s="66">
        <f t="shared" si="127"/>
        <v>0</v>
      </c>
      <c r="GJ67" s="66" t="str">
        <f t="shared" si="128"/>
        <v/>
      </c>
      <c r="GK67" s="100" t="str">
        <f>IF(AND(F67="",B67=""),"",IF('Student DATA Entry'!M64="","",'Student DATA Entry'!M64))</f>
        <v/>
      </c>
      <c r="GL67" s="101" t="str">
        <f>IF(AND(B67="",F67=""),"",IF('Student DATA Entry'!N64="","",'Student DATA Entry'!N64))</f>
        <v/>
      </c>
      <c r="GM67" s="581" t="str">
        <f t="shared" si="129"/>
        <v/>
      </c>
      <c r="GN67" s="94" t="str">
        <f t="shared" si="130"/>
        <v/>
      </c>
      <c r="GO67" s="94" t="str">
        <f t="shared" si="131"/>
        <v/>
      </c>
      <c r="GP67" s="102" t="str">
        <f t="shared" si="162"/>
        <v/>
      </c>
      <c r="GQ67" s="94" t="str">
        <f t="shared" si="132"/>
        <v/>
      </c>
      <c r="GR67" s="103" t="str">
        <f t="shared" si="133"/>
        <v/>
      </c>
      <c r="GS67" s="102" t="str">
        <f t="shared" si="163"/>
        <v/>
      </c>
      <c r="GT67" s="104" t="str">
        <f t="shared" si="134"/>
        <v/>
      </c>
      <c r="GU67" s="94" t="str">
        <f>IF('Marks Entry'!V67=1,GT67,"")</f>
        <v/>
      </c>
      <c r="GV67" s="94" t="str">
        <f>IF('Marks Entry'!V67=2,GT67,"")</f>
        <v/>
      </c>
      <c r="GW67" s="94" t="str">
        <f>IF('Marks Entry'!V67=3,GT67,"")</f>
        <v/>
      </c>
      <c r="GX67" s="94" t="str">
        <f>IF('Marks Entry'!V67=4,GT67,"")</f>
        <v/>
      </c>
      <c r="GY67" s="94" t="str">
        <f>IF('Marks Entry'!V67=5,GT67,"")</f>
        <v/>
      </c>
      <c r="GZ67" s="94" t="str">
        <f t="shared" si="135"/>
        <v/>
      </c>
      <c r="HA67" s="105" t="str">
        <f t="shared" si="164"/>
        <v/>
      </c>
      <c r="HB67" s="94" t="str">
        <f t="shared" si="136"/>
        <v/>
      </c>
      <c r="HC67" s="94" t="str">
        <f t="shared" si="137"/>
        <v/>
      </c>
      <c r="HD67" s="105" t="str">
        <f t="shared" si="165"/>
        <v/>
      </c>
      <c r="HE67" s="94" t="str">
        <f t="shared" si="138"/>
        <v/>
      </c>
      <c r="HF67" s="94" t="str">
        <f t="shared" si="139"/>
        <v/>
      </c>
      <c r="HG67" s="105" t="str">
        <f t="shared" si="166"/>
        <v/>
      </c>
      <c r="HH67" s="94" t="str">
        <f t="shared" si="140"/>
        <v/>
      </c>
      <c r="HI67" s="94" t="str">
        <f t="shared" si="141"/>
        <v/>
      </c>
      <c r="HJ67" s="105" t="str">
        <f t="shared" si="167"/>
        <v/>
      </c>
      <c r="HK67" s="94" t="str">
        <f t="shared" si="142"/>
        <v/>
      </c>
      <c r="HL67" s="94" t="str">
        <f t="shared" si="143"/>
        <v/>
      </c>
      <c r="HM67" s="105" t="str">
        <f t="shared" si="168"/>
        <v/>
      </c>
      <c r="HN67" s="367" t="str">
        <f t="shared" si="144"/>
        <v xml:space="preserve">      </v>
      </c>
      <c r="HO67" s="418" t="str">
        <f t="shared" si="169"/>
        <v xml:space="preserve">      </v>
      </c>
      <c r="HP67" s="367" t="str">
        <f t="shared" si="146"/>
        <v xml:space="preserve">      </v>
      </c>
      <c r="HQ67" s="107" t="str">
        <f t="shared" si="147"/>
        <v xml:space="preserve">      </v>
      </c>
      <c r="HR67" s="366" t="str">
        <f t="shared" si="148"/>
        <v xml:space="preserve">      </v>
      </c>
      <c r="HS67" s="544" t="str">
        <f t="shared" si="170"/>
        <v/>
      </c>
      <c r="HT67" s="542" t="str">
        <f t="shared" si="149"/>
        <v/>
      </c>
      <c r="HU67" s="541" t="str">
        <f t="shared" si="160"/>
        <v/>
      </c>
      <c r="HV67" s="540" t="str">
        <f t="shared" si="150"/>
        <v/>
      </c>
      <c r="HW67" s="537" t="str">
        <f t="shared" si="151"/>
        <v/>
      </c>
      <c r="HX67" s="539" t="str">
        <f t="shared" si="152"/>
        <v/>
      </c>
      <c r="HY67" s="553" t="str">
        <f>IFERROR(IF(OR(HS67="SUPPLEMENTARY",HS67="RE-EXAM"),'Supp. Result Entry'!AQ65,""),"")</f>
        <v/>
      </c>
      <c r="HZ67" s="538" t="str">
        <f t="shared" si="153"/>
        <v/>
      </c>
      <c r="IA67" s="415" t="str">
        <f t="shared" si="154"/>
        <v/>
      </c>
      <c r="IB67" s="415" t="str">
        <f>IF(AND(HZ67="",IA67=""),"",IF(OR(HS67="SUPPLEMENTARY",HS67="RE-EXAM"),'Supp. Result Entry'!AQ65,HS67))</f>
        <v/>
      </c>
      <c r="IC67" s="87"/>
      <c r="IS67" s="109" t="str">
        <f>IF('Supp. Result Entry'!T65="","",'Supp. Result Entry'!$T$4)</f>
        <v/>
      </c>
      <c r="IT67" s="110" t="str">
        <f>IF('Supp. Result Entry'!W65="","",'Supp. Result Entry'!$W$4)</f>
        <v/>
      </c>
      <c r="IU67" s="110" t="str">
        <f>IF('Supp. Result Entry'!Z65="","",'Supp. Result Entry'!$Z$4)</f>
        <v/>
      </c>
      <c r="IV67" s="110" t="str">
        <f>IF('Supp. Result Entry'!AC65="","",'Supp. Result Entry'!$AC$4)</f>
        <v/>
      </c>
      <c r="IW67" s="110" t="str">
        <f>IF('Supp. Result Entry'!AF65="","",'Supp. Result Entry'!$AF$4)</f>
        <v/>
      </c>
      <c r="IX67" s="110" t="str">
        <f>IF('Supp. Result Entry'!AI65="","",'Supp. Result Entry'!$AI$4)</f>
        <v/>
      </c>
      <c r="IY67" s="110" t="str">
        <f>IF('Supp. Result Entry'!AI65="","",'Supp. Result Entry'!$AL$4)</f>
        <v/>
      </c>
      <c r="IZ67" s="110" t="str">
        <f>IF('Supp. Result Entry'!U65="","",'Supp. Result Entry'!U65)</f>
        <v/>
      </c>
      <c r="JA67" s="110" t="str">
        <f>IF('Supp. Result Entry'!X65="","",'Supp. Result Entry'!X65)</f>
        <v/>
      </c>
      <c r="JB67" s="110" t="str">
        <f>IF('Supp. Result Entry'!AA65="","",'Supp. Result Entry'!AA65)</f>
        <v/>
      </c>
      <c r="JC67" s="110" t="str">
        <f>IF('Supp. Result Entry'!AD65="","",'Supp. Result Entry'!AD65)</f>
        <v/>
      </c>
      <c r="JD67" s="110" t="str">
        <f>IF('Supp. Result Entry'!AG65="","",'Supp. Result Entry'!AG65)</f>
        <v/>
      </c>
      <c r="JE67" s="110" t="str">
        <f>IF('Supp. Result Entry'!AJ65="","",'Supp. Result Entry'!AJ65)</f>
        <v/>
      </c>
      <c r="JF67" s="110" t="str">
        <f>IF('Supp. Result Entry'!AM65="","",'Supp. Result Entry'!AM65)</f>
        <v/>
      </c>
      <c r="JG67" s="110" t="str">
        <f>IF('Supp. Result Entry'!V65="","",'Supp. Result Entry'!V65)</f>
        <v/>
      </c>
      <c r="JH67" s="110" t="str">
        <f>IF('Supp. Result Entry'!Y65="","",'Supp. Result Entry'!Y65)</f>
        <v/>
      </c>
      <c r="JI67" s="110" t="str">
        <f>IF('Supp. Result Entry'!AB65="","",'Supp. Result Entry'!AB65)</f>
        <v/>
      </c>
      <c r="JJ67" s="110" t="str">
        <f>IF('Supp. Result Entry'!AE65="","",'Supp. Result Entry'!AE65)</f>
        <v/>
      </c>
      <c r="JK67" s="110" t="str">
        <f>IF('Supp. Result Entry'!AH65="","",'Supp. Result Entry'!AH65)</f>
        <v/>
      </c>
      <c r="JL67" s="110" t="str">
        <f>IF('Supp. Result Entry'!AK65="","",'Supp. Result Entry'!AK65)</f>
        <v/>
      </c>
      <c r="JM67" s="110" t="str">
        <f>IF('Supp. Result Entry'!AN65="","",'Supp. Result Entry'!AN65)</f>
        <v/>
      </c>
      <c r="JN67" s="110">
        <f>COUNTIF('Supp. Result Entry'!K65:Q65,"S")</f>
        <v>0</v>
      </c>
      <c r="JO67" s="110">
        <f t="shared" si="155"/>
        <v>0</v>
      </c>
      <c r="JP67" s="110">
        <f t="shared" si="156"/>
        <v>0</v>
      </c>
      <c r="JQ67" s="110" t="str">
        <f t="shared" si="75"/>
        <v/>
      </c>
      <c r="JR67" s="110" t="str">
        <f t="shared" si="76"/>
        <v/>
      </c>
      <c r="JS67" s="110" t="str">
        <f t="shared" si="77"/>
        <v/>
      </c>
      <c r="JT67" s="110" t="str">
        <f t="shared" si="78"/>
        <v/>
      </c>
      <c r="JU67" s="110" t="str">
        <f t="shared" si="79"/>
        <v/>
      </c>
      <c r="JV67" s="110" t="str">
        <f t="shared" si="80"/>
        <v/>
      </c>
      <c r="JW67" s="110" t="str">
        <f t="shared" si="81"/>
        <v/>
      </c>
      <c r="JX67" s="110" t="str">
        <f t="shared" si="157"/>
        <v/>
      </c>
      <c r="JY67" s="110" t="str">
        <f t="shared" si="158"/>
        <v/>
      </c>
      <c r="JZ67" s="110" t="str">
        <f t="shared" si="82"/>
        <v/>
      </c>
      <c r="KA67" s="108" t="str">
        <f t="shared" si="159"/>
        <v/>
      </c>
    </row>
    <row r="68" spans="1:287" s="108" customFormat="1" ht="21.95" customHeight="1">
      <c r="A68" s="89">
        <v>62</v>
      </c>
      <c r="B68" s="90" t="str">
        <f>IF('Marks Entry'!B68="","",'Marks Entry'!B68)</f>
        <v/>
      </c>
      <c r="C68" s="94" t="str">
        <f>IF('Marks Entry'!D68="","",'Marks Entry'!D68)</f>
        <v/>
      </c>
      <c r="D68" s="91" t="str">
        <f>IF('Marks Entry'!E68="","",'Marks Entry'!E68)</f>
        <v/>
      </c>
      <c r="E68" s="92" t="str">
        <f>IF('Marks Entry'!F68="","",'Marks Entry'!F68)</f>
        <v/>
      </c>
      <c r="F68" s="93" t="str">
        <f>IF('Marks Entry'!G68="","",'Marks Entry'!G68)</f>
        <v/>
      </c>
      <c r="G68" s="93" t="str">
        <f>IF('Marks Entry'!H68="","",'Marks Entry'!H68)</f>
        <v/>
      </c>
      <c r="H68" s="93" t="str">
        <f>IF('Marks Entry'!I68="","",'Marks Entry'!I68)</f>
        <v/>
      </c>
      <c r="I68" s="94" t="str">
        <f>IF('Marks Entry'!J68="","",'Marks Entry'!J68)</f>
        <v/>
      </c>
      <c r="J68" s="95" t="str">
        <f>IF('Marks Entry'!K68="","",'Marks Entry'!K68)</f>
        <v/>
      </c>
      <c r="K68" s="68" t="str">
        <f>IF('Marks Entry'!L68="","",'Marks Entry'!L68)</f>
        <v/>
      </c>
      <c r="L68" s="68" t="str">
        <f>IF('Marks Entry'!M68="","",'Marks Entry'!M68)</f>
        <v/>
      </c>
      <c r="M68" s="68" t="str">
        <f>IF('Marks Entry'!N68="","",'Marks Entry'!N68)</f>
        <v/>
      </c>
      <c r="N68" s="514" t="str">
        <f t="shared" si="83"/>
        <v/>
      </c>
      <c r="O68" s="68" t="str">
        <f>IF('Marks Entry'!O68="","",'Marks Entry'!O68)</f>
        <v/>
      </c>
      <c r="P68" s="515" t="str">
        <f t="shared" si="84"/>
        <v/>
      </c>
      <c r="Q68" s="68" t="str">
        <f>IF('Marks Entry'!P68="","",'Marks Entry'!P68)</f>
        <v/>
      </c>
      <c r="R68" s="96" t="str">
        <f t="shared" si="85"/>
        <v/>
      </c>
      <c r="S68" s="65">
        <f t="shared" si="86"/>
        <v>0</v>
      </c>
      <c r="T68" s="65">
        <f t="shared" si="87"/>
        <v>0</v>
      </c>
      <c r="U68" s="66" t="str">
        <f t="shared" si="88"/>
        <v/>
      </c>
      <c r="V68" s="65" t="str">
        <f t="shared" si="89"/>
        <v/>
      </c>
      <c r="W68" s="65" t="str">
        <f t="shared" si="90"/>
        <v/>
      </c>
      <c r="X68" s="65" t="str">
        <f t="shared" si="91"/>
        <v/>
      </c>
      <c r="Y68" s="68" t="str">
        <f>IF('Marks Entry'!Q68="","",'Marks Entry'!Q68)</f>
        <v/>
      </c>
      <c r="Z68" s="68" t="str">
        <f>IF('Marks Entry'!R68="","",'Marks Entry'!R68)</f>
        <v/>
      </c>
      <c r="AA68" s="68" t="str">
        <f>IF('Marks Entry'!S68="","",'Marks Entry'!S68)</f>
        <v/>
      </c>
      <c r="AB68" s="514" t="str">
        <f t="shared" si="2"/>
        <v/>
      </c>
      <c r="AC68" s="68" t="str">
        <f>IF('Marks Entry'!T68="","",'Marks Entry'!T68)</f>
        <v/>
      </c>
      <c r="AD68" s="515" t="str">
        <f t="shared" si="3"/>
        <v/>
      </c>
      <c r="AE68" s="68" t="str">
        <f>IF('Marks Entry'!U68="","",'Marks Entry'!U68)</f>
        <v/>
      </c>
      <c r="AF68" s="96" t="str">
        <f t="shared" si="4"/>
        <v/>
      </c>
      <c r="AG68" s="65">
        <f t="shared" si="5"/>
        <v>0</v>
      </c>
      <c r="AH68" s="65">
        <f t="shared" si="6"/>
        <v>0</v>
      </c>
      <c r="AI68" s="66" t="str">
        <f t="shared" si="7"/>
        <v/>
      </c>
      <c r="AJ68" s="65" t="str">
        <f t="shared" si="8"/>
        <v/>
      </c>
      <c r="AK68" s="65" t="str">
        <f t="shared" si="9"/>
        <v/>
      </c>
      <c r="AL68" s="65" t="str">
        <f t="shared" si="10"/>
        <v/>
      </c>
      <c r="AM68" s="524" t="str">
        <f>IF('Marks Entry'!V68="","",IF('Marks Entry'!V68=1,'School Profile'!$I$9,IF('Marks Entry'!V68=2,'School Profile'!$I$10,IF('Marks Entry'!V68=3,'School Profile'!$I$11,IF('Marks Entry'!V68=4,'School Profile'!$I$12,IF('Marks Entry'!V68=5,'School Profile'!$I$13,IF('Marks Entry'!V68=6,'School Profile'!$I$14,"")))))))</f>
        <v/>
      </c>
      <c r="AN68" s="68" t="str">
        <f>IF('Marks Entry'!W68="","",'Marks Entry'!W68)</f>
        <v/>
      </c>
      <c r="AO68" s="68" t="str">
        <f>IF('Marks Entry'!X68="","",'Marks Entry'!X68)</f>
        <v/>
      </c>
      <c r="AP68" s="68" t="str">
        <f>IF('Marks Entry'!Y68="","",'Marks Entry'!Y68)</f>
        <v/>
      </c>
      <c r="AQ68" s="514" t="str">
        <f t="shared" si="11"/>
        <v/>
      </c>
      <c r="AR68" s="68" t="str">
        <f>IF('Marks Entry'!Z68="","",'Marks Entry'!Z68)</f>
        <v/>
      </c>
      <c r="AS68" s="515" t="str">
        <f t="shared" si="12"/>
        <v/>
      </c>
      <c r="AT68" s="68" t="str">
        <f>IF('Marks Entry'!AA68="","",'Marks Entry'!AA68)</f>
        <v/>
      </c>
      <c r="AU68" s="96" t="str">
        <f t="shared" si="13"/>
        <v/>
      </c>
      <c r="AV68" s="65">
        <f t="shared" si="14"/>
        <v>0</v>
      </c>
      <c r="AW68" s="65">
        <f t="shared" si="15"/>
        <v>0</v>
      </c>
      <c r="AX68" s="66" t="str">
        <f t="shared" si="16"/>
        <v/>
      </c>
      <c r="AY68" s="65" t="str">
        <f t="shared" si="17"/>
        <v/>
      </c>
      <c r="AZ68" s="65" t="str">
        <f t="shared" si="18"/>
        <v/>
      </c>
      <c r="BA68" s="65" t="str">
        <f t="shared" si="19"/>
        <v/>
      </c>
      <c r="BB68" s="68" t="str">
        <f>IF('Marks Entry'!AB68="","",'Marks Entry'!AB68)</f>
        <v/>
      </c>
      <c r="BC68" s="68" t="str">
        <f>IF('Marks Entry'!AC68="","",'Marks Entry'!AC68)</f>
        <v/>
      </c>
      <c r="BD68" s="68" t="str">
        <f>IF('Marks Entry'!AD68="","",'Marks Entry'!AD68)</f>
        <v/>
      </c>
      <c r="BE68" s="514" t="str">
        <f t="shared" si="20"/>
        <v/>
      </c>
      <c r="BF68" s="68" t="str">
        <f>IF('Marks Entry'!AE68="","",'Marks Entry'!AE68)</f>
        <v/>
      </c>
      <c r="BG68" s="515" t="str">
        <f t="shared" si="21"/>
        <v/>
      </c>
      <c r="BH68" s="68" t="str">
        <f>IF('Marks Entry'!AF68="","",'Marks Entry'!AF68)</f>
        <v/>
      </c>
      <c r="BI68" s="96" t="str">
        <f t="shared" si="22"/>
        <v/>
      </c>
      <c r="BJ68" s="65">
        <f t="shared" si="23"/>
        <v>0</v>
      </c>
      <c r="BK68" s="65">
        <f t="shared" si="92"/>
        <v>0</v>
      </c>
      <c r="BL68" s="66" t="str">
        <f t="shared" si="24"/>
        <v/>
      </c>
      <c r="BM68" s="65" t="str">
        <f t="shared" si="25"/>
        <v/>
      </c>
      <c r="BN68" s="65" t="str">
        <f t="shared" si="26"/>
        <v/>
      </c>
      <c r="BO68" s="65" t="str">
        <f t="shared" si="27"/>
        <v/>
      </c>
      <c r="BP68" s="68" t="str">
        <f>IF('Marks Entry'!AG68="","",'Marks Entry'!AG68)</f>
        <v/>
      </c>
      <c r="BQ68" s="68" t="str">
        <f>IF('Marks Entry'!AH68="","",'Marks Entry'!AH68)</f>
        <v/>
      </c>
      <c r="BR68" s="68" t="str">
        <f>IF('Marks Entry'!AI68="","",'Marks Entry'!AI68)</f>
        <v/>
      </c>
      <c r="BS68" s="514" t="str">
        <f t="shared" si="28"/>
        <v/>
      </c>
      <c r="BT68" s="68" t="str">
        <f>IF('Marks Entry'!AJ68="","",'Marks Entry'!AJ68)</f>
        <v/>
      </c>
      <c r="BU68" s="515" t="str">
        <f t="shared" si="29"/>
        <v/>
      </c>
      <c r="BV68" s="68" t="str">
        <f>IF('Marks Entry'!AK68="","",'Marks Entry'!AK68)</f>
        <v/>
      </c>
      <c r="BW68" s="96" t="str">
        <f t="shared" si="30"/>
        <v/>
      </c>
      <c r="BX68" s="65">
        <f t="shared" si="31"/>
        <v>0</v>
      </c>
      <c r="BY68" s="65">
        <f t="shared" si="32"/>
        <v>0</v>
      </c>
      <c r="BZ68" s="66" t="str">
        <f t="shared" si="33"/>
        <v/>
      </c>
      <c r="CA68" s="65" t="str">
        <f t="shared" si="34"/>
        <v/>
      </c>
      <c r="CB68" s="65" t="str">
        <f t="shared" si="35"/>
        <v/>
      </c>
      <c r="CC68" s="65" t="str">
        <f t="shared" si="36"/>
        <v/>
      </c>
      <c r="CD68" s="66">
        <f t="shared" si="161"/>
        <v>0</v>
      </c>
      <c r="CE68" s="68" t="str">
        <f>IF('Marks Entry'!AL68="","",'Marks Entry'!AL68)</f>
        <v/>
      </c>
      <c r="CF68" s="68" t="str">
        <f>IF('Marks Entry'!AM68="","",'Marks Entry'!AM68)</f>
        <v/>
      </c>
      <c r="CG68" s="68" t="str">
        <f>IF('Marks Entry'!AN68="","",'Marks Entry'!AN68)</f>
        <v/>
      </c>
      <c r="CH68" s="514" t="str">
        <f t="shared" si="37"/>
        <v/>
      </c>
      <c r="CI68" s="68" t="str">
        <f>IF('Marks Entry'!AO68="","",'Marks Entry'!AO68)</f>
        <v/>
      </c>
      <c r="CJ68" s="515" t="str">
        <f t="shared" si="38"/>
        <v/>
      </c>
      <c r="CK68" s="68" t="str">
        <f>IF('Marks Entry'!AP68="","",'Marks Entry'!AP68)</f>
        <v/>
      </c>
      <c r="CL68" s="96" t="str">
        <f t="shared" si="39"/>
        <v/>
      </c>
      <c r="CM68" s="65">
        <f t="shared" si="40"/>
        <v>0</v>
      </c>
      <c r="CN68" s="65">
        <f t="shared" si="41"/>
        <v>0</v>
      </c>
      <c r="CO68" s="66" t="str">
        <f t="shared" si="42"/>
        <v/>
      </c>
      <c r="CP68" s="65" t="str">
        <f t="shared" si="43"/>
        <v/>
      </c>
      <c r="CQ68" s="65" t="str">
        <f t="shared" si="44"/>
        <v/>
      </c>
      <c r="CR68" s="65" t="str">
        <f t="shared" si="45"/>
        <v/>
      </c>
      <c r="CS68" s="616" t="str">
        <f>IF('School Profile'!$D$20="NO","",IF('Marks Entry'!AQ68="","",IF('Marks Entry'!AQ68=1,'School Profile'!$I$29,IF('Marks Entry'!AQ68=2,'School Profile'!$I$30,IF('Marks Entry'!AQ68=3,'School Profile'!$I$31,IF('Marks Entry'!AQ68=4,'School Profile'!$I$32,IF('Marks Entry'!AQ68=5,'School Profile'!$I$33,IF('Marks Entry'!AQ68=6,'School Profile'!$I$34,IF('Marks Entry'!AQ68=7,'School Profile'!$I$35,IF('Marks Entry'!AQ68=8,'School Profile'!$I$36,IF('Marks Entry'!AQ68=9,'School Profile'!$I$37,IF('Marks Entry'!AQ68=10,'School Profile'!$I$38,IF('Marks Entry'!AQ68=11,'School Profile'!$I$39,"")))))))))))))</f>
        <v/>
      </c>
      <c r="CT68" s="68" t="str">
        <f>IF('School Profile'!$D$20="NO","",IF('Marks Entry'!AR68="","",'Marks Entry'!AR68))</f>
        <v/>
      </c>
      <c r="CU68" s="68" t="str">
        <f>IF('School Profile'!$D$20="NO","",IF('Marks Entry'!AS68="","",'Marks Entry'!AS68))</f>
        <v/>
      </c>
      <c r="CV68" s="68" t="str">
        <f>IF('School Profile'!$D$20="NO","",IF('Marks Entry'!AT68="","",'Marks Entry'!AT68))</f>
        <v/>
      </c>
      <c r="CW68" s="514" t="str">
        <f>IF('School Profile'!$D$20="NO","",IF(AND(CT68="",CU68="",CV68=""),"",SUM(CT68:CV68)))</f>
        <v/>
      </c>
      <c r="CX68" s="68" t="str">
        <f>IF('School Profile'!$D$20="NO","",IF('Marks Entry'!AU68="","",'Marks Entry'!AU68))</f>
        <v/>
      </c>
      <c r="CY68" s="68" t="str">
        <f>IF('School Profile'!$D$20="NO","",IF('Marks Entry'!AV68="","",'Marks Entry'!AV68))</f>
        <v/>
      </c>
      <c r="CZ68" s="515" t="str">
        <f>IF('School Profile'!$D$20="NO","",IF(AND(CX68="",CY68=""),"",SUM(CX68,CY68)))</f>
        <v/>
      </c>
      <c r="DA68" s="69" t="str">
        <f>IF('School Profile'!$D$20="NO","",IF(AND(CW68="",CZ68=""),"",SUM(CW68+CZ68)))</f>
        <v/>
      </c>
      <c r="DB68" s="68" t="str">
        <f>IF('School Profile'!$D$20="NO","",IF('Marks Entry'!AW68="","",'Marks Entry'!AW68))</f>
        <v/>
      </c>
      <c r="DC68" s="68" t="str">
        <f>IF('School Profile'!$D$20="NO","",IF('Marks Entry'!AX68="","",'Marks Entry'!AX68))</f>
        <v/>
      </c>
      <c r="DD68" s="515" t="str">
        <f>IF('School Profile'!$D$20="NO","",IF(AND(DB68="",DC68=""),"",SUM(DB68,DC68)))</f>
        <v/>
      </c>
      <c r="DE68" s="96" t="str">
        <f>IF('School Profile'!$D$20="NO","",IF(AND(DA68="",DD68=""),"",SUM(DA68,DD68)))</f>
        <v/>
      </c>
      <c r="DF68" s="532">
        <f t="shared" si="46"/>
        <v>0</v>
      </c>
      <c r="DG68" s="65">
        <f t="shared" si="47"/>
        <v>0</v>
      </c>
      <c r="DH68" s="66" t="str">
        <f t="shared" si="48"/>
        <v/>
      </c>
      <c r="DI68" s="65" t="str">
        <f t="shared" si="49"/>
        <v/>
      </c>
      <c r="DJ68" s="65" t="str">
        <f t="shared" si="50"/>
        <v/>
      </c>
      <c r="DK68" s="65" t="str">
        <f t="shared" si="51"/>
        <v/>
      </c>
      <c r="DL68" s="97" t="str">
        <f t="shared" si="94"/>
        <v/>
      </c>
      <c r="DM68" s="97" t="str">
        <f t="shared" si="95"/>
        <v/>
      </c>
      <c r="DN68" s="97" t="str">
        <f t="shared" si="96"/>
        <v/>
      </c>
      <c r="DO68" s="97" t="str">
        <f t="shared" si="97"/>
        <v/>
      </c>
      <c r="DP68" s="97" t="str">
        <f t="shared" si="98"/>
        <v/>
      </c>
      <c r="DQ68" s="97" t="str">
        <f t="shared" si="99"/>
        <v/>
      </c>
      <c r="DR68" s="97" t="str">
        <f t="shared" si="100"/>
        <v/>
      </c>
      <c r="DS68" s="98">
        <f t="shared" si="101"/>
        <v>0</v>
      </c>
      <c r="DT68" s="98">
        <f t="shared" si="102"/>
        <v>0</v>
      </c>
      <c r="DU68" s="98">
        <f t="shared" si="103"/>
        <v>0</v>
      </c>
      <c r="DV68" s="98">
        <f t="shared" si="104"/>
        <v>0</v>
      </c>
      <c r="DW68" s="98">
        <f t="shared" si="105"/>
        <v>0</v>
      </c>
      <c r="DX68" s="98" t="str">
        <f t="shared" si="106"/>
        <v/>
      </c>
      <c r="DY68" s="99" t="str">
        <f t="shared" si="107"/>
        <v/>
      </c>
      <c r="DZ68" s="74" t="str">
        <f>IF('Marks Entry'!AY68="","",'Marks Entry'!AY68)</f>
        <v/>
      </c>
      <c r="EA68" s="74" t="str">
        <f>IF('Marks Entry'!AZ68="","",'Marks Entry'!AZ68)</f>
        <v/>
      </c>
      <c r="EB68" s="74" t="str">
        <f>IF('Marks Entry'!BA68="","",'Marks Entry'!BA68)</f>
        <v/>
      </c>
      <c r="EC68" s="527" t="str">
        <f t="shared" si="52"/>
        <v/>
      </c>
      <c r="ED68" s="74" t="str">
        <f>IF('Marks Entry'!BB68="","",'Marks Entry'!BB68)</f>
        <v/>
      </c>
      <c r="EE68" s="528" t="str">
        <f t="shared" si="53"/>
        <v/>
      </c>
      <c r="EF68" s="74" t="str">
        <f>IF('Marks Entry'!BC68="","",'Marks Entry'!BC68)</f>
        <v/>
      </c>
      <c r="EG68" s="530" t="str">
        <f t="shared" si="54"/>
        <v/>
      </c>
      <c r="EH68" s="368" t="str">
        <f t="shared" si="108"/>
        <v/>
      </c>
      <c r="EI68" s="65">
        <f t="shared" si="109"/>
        <v>0</v>
      </c>
      <c r="EJ68" s="65">
        <f t="shared" si="110"/>
        <v>0</v>
      </c>
      <c r="EK68" s="66" t="str">
        <f t="shared" si="111"/>
        <v/>
      </c>
      <c r="EL68" s="74" t="str">
        <f>IF('Marks Entry'!BD68="","",'Marks Entry'!BD68)</f>
        <v/>
      </c>
      <c r="EM68" s="74" t="str">
        <f>IF('Marks Entry'!BE68="","",'Marks Entry'!BE68)</f>
        <v/>
      </c>
      <c r="EN68" s="74" t="str">
        <f>IF('Marks Entry'!BF68="","",'Marks Entry'!BF68)</f>
        <v/>
      </c>
      <c r="EO68" s="527" t="str">
        <f t="shared" si="55"/>
        <v/>
      </c>
      <c r="EP68" s="74" t="str">
        <f>IF('Marks Entry'!BG68="","",'Marks Entry'!BG68)</f>
        <v/>
      </c>
      <c r="EQ68" s="74" t="str">
        <f>IF('Marks Entry'!BH68="","",'Marks Entry'!BH68)</f>
        <v/>
      </c>
      <c r="ER68" s="528" t="str">
        <f t="shared" si="56"/>
        <v/>
      </c>
      <c r="ES68" s="529" t="str">
        <f t="shared" si="57"/>
        <v/>
      </c>
      <c r="ET68" s="74" t="str">
        <f>IF('Marks Entry'!BI68="","",'Marks Entry'!BI68)</f>
        <v/>
      </c>
      <c r="EU68" s="74" t="str">
        <f>IF('Marks Entry'!BJ68="","",'Marks Entry'!BJ68)</f>
        <v/>
      </c>
      <c r="EV68" s="528" t="str">
        <f t="shared" si="58"/>
        <v/>
      </c>
      <c r="EW68" s="530" t="str">
        <f t="shared" si="59"/>
        <v/>
      </c>
      <c r="EX68" s="368" t="str">
        <f t="shared" si="112"/>
        <v/>
      </c>
      <c r="EY68" s="65">
        <f t="shared" si="113"/>
        <v>0</v>
      </c>
      <c r="EZ68" s="65">
        <f t="shared" si="114"/>
        <v>0</v>
      </c>
      <c r="FA68" s="66" t="str">
        <f t="shared" si="115"/>
        <v/>
      </c>
      <c r="FB68" s="74" t="str">
        <f>IF('Marks Entry'!BK68="","",'Marks Entry'!BK68)</f>
        <v/>
      </c>
      <c r="FC68" s="74" t="str">
        <f>IF('Marks Entry'!BL68="","",'Marks Entry'!BL68)</f>
        <v/>
      </c>
      <c r="FD68" s="74" t="str">
        <f>IF('Marks Entry'!BM68="","",'Marks Entry'!BM68)</f>
        <v/>
      </c>
      <c r="FE68" s="74" t="str">
        <f>IF('Marks Entry'!BN68="","",'Marks Entry'!BN68)</f>
        <v/>
      </c>
      <c r="FF68" s="74" t="str">
        <f>IF('Marks Entry'!BO68="","",'Marks Entry'!BO68)</f>
        <v/>
      </c>
      <c r="FG68" s="74" t="str">
        <f>IF('Marks Entry'!BP68="","",'Marks Entry'!BP68)</f>
        <v/>
      </c>
      <c r="FH68" s="527" t="str">
        <f t="shared" si="60"/>
        <v/>
      </c>
      <c r="FI68" s="74" t="str">
        <f>IF('Marks Entry'!BQ68="","",'Marks Entry'!BQ68)</f>
        <v/>
      </c>
      <c r="FJ68" s="74" t="str">
        <f>IF('Marks Entry'!BR68="","",'Marks Entry'!BR68)</f>
        <v/>
      </c>
      <c r="FK68" s="528" t="str">
        <f t="shared" si="61"/>
        <v/>
      </c>
      <c r="FL68" s="529" t="str">
        <f t="shared" si="62"/>
        <v/>
      </c>
      <c r="FM68" s="74" t="str">
        <f>IF('Marks Entry'!BS68="","",'Marks Entry'!BS68)</f>
        <v/>
      </c>
      <c r="FN68" s="74" t="str">
        <f>IF('Marks Entry'!BT68="","",'Marks Entry'!BT68)</f>
        <v/>
      </c>
      <c r="FO68" s="528" t="str">
        <f t="shared" si="63"/>
        <v/>
      </c>
      <c r="FP68" s="530" t="str">
        <f t="shared" si="64"/>
        <v/>
      </c>
      <c r="FQ68" s="368" t="str">
        <f t="shared" si="116"/>
        <v/>
      </c>
      <c r="FR68" s="65">
        <f t="shared" si="117"/>
        <v>0</v>
      </c>
      <c r="FS68" s="65">
        <f t="shared" si="118"/>
        <v>0</v>
      </c>
      <c r="FT68" s="66" t="str">
        <f t="shared" si="119"/>
        <v/>
      </c>
      <c r="FU68" s="74" t="str">
        <f>IF('Marks Entry'!BU68="","",'Marks Entry'!BU68)</f>
        <v/>
      </c>
      <c r="FV68" s="74" t="str">
        <f>IF('Marks Entry'!BV68="","",'Marks Entry'!BV68)</f>
        <v/>
      </c>
      <c r="FW68" s="74" t="str">
        <f>IF('Marks Entry'!BW68="","",'Marks Entry'!BW68)</f>
        <v/>
      </c>
      <c r="FX68" s="75" t="str">
        <f t="shared" si="65"/>
        <v/>
      </c>
      <c r="FY68" s="368" t="str">
        <f t="shared" si="120"/>
        <v/>
      </c>
      <c r="FZ68" s="65">
        <f t="shared" si="121"/>
        <v>0</v>
      </c>
      <c r="GA68" s="66">
        <f t="shared" si="122"/>
        <v>0</v>
      </c>
      <c r="GB68" s="66" t="str">
        <f t="shared" si="123"/>
        <v/>
      </c>
      <c r="GC68" s="74" t="str">
        <f>IF('Marks Entry'!BX68="","",'Marks Entry'!BX68)</f>
        <v/>
      </c>
      <c r="GD68" s="74" t="str">
        <f>IF('Marks Entry'!BY68="","",'Marks Entry'!BY68)</f>
        <v/>
      </c>
      <c r="GE68" s="74" t="str">
        <f>IF('Marks Entry'!BZ68="","",'Marks Entry'!BZ68)</f>
        <v/>
      </c>
      <c r="GF68" s="75" t="str">
        <f t="shared" si="124"/>
        <v/>
      </c>
      <c r="GG68" s="368" t="str">
        <f t="shared" si="125"/>
        <v/>
      </c>
      <c r="GH68" s="65">
        <f t="shared" si="126"/>
        <v>0</v>
      </c>
      <c r="GI68" s="66">
        <f t="shared" si="127"/>
        <v>0</v>
      </c>
      <c r="GJ68" s="66" t="str">
        <f t="shared" si="128"/>
        <v/>
      </c>
      <c r="GK68" s="100" t="str">
        <f>IF(AND(F68="",B68=""),"",IF('Student DATA Entry'!M65="","",'Student DATA Entry'!M65))</f>
        <v/>
      </c>
      <c r="GL68" s="101" t="str">
        <f>IF(AND(B68="",F68=""),"",IF('Student DATA Entry'!N65="","",'Student DATA Entry'!N65))</f>
        <v/>
      </c>
      <c r="GM68" s="581" t="str">
        <f t="shared" si="129"/>
        <v/>
      </c>
      <c r="GN68" s="94" t="str">
        <f t="shared" si="130"/>
        <v/>
      </c>
      <c r="GO68" s="94" t="str">
        <f t="shared" si="131"/>
        <v/>
      </c>
      <c r="GP68" s="102" t="str">
        <f t="shared" si="162"/>
        <v/>
      </c>
      <c r="GQ68" s="94" t="str">
        <f t="shared" si="132"/>
        <v/>
      </c>
      <c r="GR68" s="103" t="str">
        <f t="shared" si="133"/>
        <v/>
      </c>
      <c r="GS68" s="102" t="str">
        <f t="shared" si="163"/>
        <v/>
      </c>
      <c r="GT68" s="104" t="str">
        <f t="shared" si="134"/>
        <v/>
      </c>
      <c r="GU68" s="94" t="str">
        <f>IF('Marks Entry'!V68=1,GT68,"")</f>
        <v/>
      </c>
      <c r="GV68" s="94" t="str">
        <f>IF('Marks Entry'!V68=2,GT68,"")</f>
        <v/>
      </c>
      <c r="GW68" s="94" t="str">
        <f>IF('Marks Entry'!V68=3,GT68,"")</f>
        <v/>
      </c>
      <c r="GX68" s="94" t="str">
        <f>IF('Marks Entry'!V68=4,GT68,"")</f>
        <v/>
      </c>
      <c r="GY68" s="94" t="str">
        <f>IF('Marks Entry'!V68=5,GT68,"")</f>
        <v/>
      </c>
      <c r="GZ68" s="94" t="str">
        <f t="shared" si="135"/>
        <v/>
      </c>
      <c r="HA68" s="105" t="str">
        <f t="shared" si="164"/>
        <v/>
      </c>
      <c r="HB68" s="94" t="str">
        <f t="shared" si="136"/>
        <v/>
      </c>
      <c r="HC68" s="94" t="str">
        <f t="shared" si="137"/>
        <v/>
      </c>
      <c r="HD68" s="105" t="str">
        <f t="shared" si="165"/>
        <v/>
      </c>
      <c r="HE68" s="94" t="str">
        <f t="shared" si="138"/>
        <v/>
      </c>
      <c r="HF68" s="94" t="str">
        <f t="shared" si="139"/>
        <v/>
      </c>
      <c r="HG68" s="105" t="str">
        <f t="shared" si="166"/>
        <v/>
      </c>
      <c r="HH68" s="94" t="str">
        <f t="shared" si="140"/>
        <v/>
      </c>
      <c r="HI68" s="94" t="str">
        <f t="shared" si="141"/>
        <v/>
      </c>
      <c r="HJ68" s="105" t="str">
        <f t="shared" si="167"/>
        <v/>
      </c>
      <c r="HK68" s="94" t="str">
        <f t="shared" si="142"/>
        <v/>
      </c>
      <c r="HL68" s="94" t="str">
        <f t="shared" si="143"/>
        <v/>
      </c>
      <c r="HM68" s="105" t="str">
        <f t="shared" si="168"/>
        <v/>
      </c>
      <c r="HN68" s="367" t="str">
        <f t="shared" si="144"/>
        <v xml:space="preserve">      </v>
      </c>
      <c r="HO68" s="418" t="str">
        <f t="shared" si="169"/>
        <v xml:space="preserve">      </v>
      </c>
      <c r="HP68" s="367" t="str">
        <f t="shared" si="146"/>
        <v xml:space="preserve">      </v>
      </c>
      <c r="HQ68" s="107" t="str">
        <f t="shared" si="147"/>
        <v xml:space="preserve">      </v>
      </c>
      <c r="HR68" s="366" t="str">
        <f t="shared" si="148"/>
        <v xml:space="preserve">      </v>
      </c>
      <c r="HS68" s="544" t="str">
        <f t="shared" si="170"/>
        <v/>
      </c>
      <c r="HT68" s="542" t="str">
        <f t="shared" si="149"/>
        <v/>
      </c>
      <c r="HU68" s="541" t="str">
        <f t="shared" si="160"/>
        <v/>
      </c>
      <c r="HV68" s="540" t="str">
        <f t="shared" si="150"/>
        <v/>
      </c>
      <c r="HW68" s="537" t="str">
        <f t="shared" si="151"/>
        <v/>
      </c>
      <c r="HX68" s="539" t="str">
        <f t="shared" si="152"/>
        <v/>
      </c>
      <c r="HY68" s="553" t="str">
        <f>IFERROR(IF(OR(HS68="SUPPLEMENTARY",HS68="RE-EXAM"),'Supp. Result Entry'!AQ66,""),"")</f>
        <v/>
      </c>
      <c r="HZ68" s="538" t="str">
        <f t="shared" si="153"/>
        <v/>
      </c>
      <c r="IA68" s="415" t="str">
        <f t="shared" si="154"/>
        <v/>
      </c>
      <c r="IB68" s="415" t="str">
        <f>IF(AND(HZ68="",IA68=""),"",IF(OR(HS68="SUPPLEMENTARY",HS68="RE-EXAM"),'Supp. Result Entry'!AQ66,HS68))</f>
        <v/>
      </c>
      <c r="IC68" s="87"/>
      <c r="IS68" s="109" t="str">
        <f>IF('Supp. Result Entry'!T66="","",'Supp. Result Entry'!$T$4)</f>
        <v/>
      </c>
      <c r="IT68" s="110" t="str">
        <f>IF('Supp. Result Entry'!W66="","",'Supp. Result Entry'!$W$4)</f>
        <v/>
      </c>
      <c r="IU68" s="110" t="str">
        <f>IF('Supp. Result Entry'!Z66="","",'Supp. Result Entry'!$Z$4)</f>
        <v/>
      </c>
      <c r="IV68" s="110" t="str">
        <f>IF('Supp. Result Entry'!AC66="","",'Supp. Result Entry'!$AC$4)</f>
        <v/>
      </c>
      <c r="IW68" s="110" t="str">
        <f>IF('Supp. Result Entry'!AF66="","",'Supp. Result Entry'!$AF$4)</f>
        <v/>
      </c>
      <c r="IX68" s="110" t="str">
        <f>IF('Supp. Result Entry'!AI66="","",'Supp. Result Entry'!$AI$4)</f>
        <v/>
      </c>
      <c r="IY68" s="110" t="str">
        <f>IF('Supp. Result Entry'!AI66="","",'Supp. Result Entry'!$AL$4)</f>
        <v/>
      </c>
      <c r="IZ68" s="110" t="str">
        <f>IF('Supp. Result Entry'!U66="","",'Supp. Result Entry'!U66)</f>
        <v/>
      </c>
      <c r="JA68" s="110" t="str">
        <f>IF('Supp. Result Entry'!X66="","",'Supp. Result Entry'!X66)</f>
        <v/>
      </c>
      <c r="JB68" s="110" t="str">
        <f>IF('Supp. Result Entry'!AA66="","",'Supp. Result Entry'!AA66)</f>
        <v/>
      </c>
      <c r="JC68" s="110" t="str">
        <f>IF('Supp. Result Entry'!AD66="","",'Supp. Result Entry'!AD66)</f>
        <v/>
      </c>
      <c r="JD68" s="110" t="str">
        <f>IF('Supp. Result Entry'!AG66="","",'Supp. Result Entry'!AG66)</f>
        <v/>
      </c>
      <c r="JE68" s="110" t="str">
        <f>IF('Supp. Result Entry'!AJ66="","",'Supp. Result Entry'!AJ66)</f>
        <v/>
      </c>
      <c r="JF68" s="110" t="str">
        <f>IF('Supp. Result Entry'!AM66="","",'Supp. Result Entry'!AM66)</f>
        <v/>
      </c>
      <c r="JG68" s="110" t="str">
        <f>IF('Supp. Result Entry'!V66="","",'Supp. Result Entry'!V66)</f>
        <v/>
      </c>
      <c r="JH68" s="110" t="str">
        <f>IF('Supp. Result Entry'!Y66="","",'Supp. Result Entry'!Y66)</f>
        <v/>
      </c>
      <c r="JI68" s="110" t="str">
        <f>IF('Supp. Result Entry'!AB66="","",'Supp. Result Entry'!AB66)</f>
        <v/>
      </c>
      <c r="JJ68" s="110" t="str">
        <f>IF('Supp. Result Entry'!AE66="","",'Supp. Result Entry'!AE66)</f>
        <v/>
      </c>
      <c r="JK68" s="110" t="str">
        <f>IF('Supp. Result Entry'!AH66="","",'Supp. Result Entry'!AH66)</f>
        <v/>
      </c>
      <c r="JL68" s="110" t="str">
        <f>IF('Supp. Result Entry'!AK66="","",'Supp. Result Entry'!AK66)</f>
        <v/>
      </c>
      <c r="JM68" s="110" t="str">
        <f>IF('Supp. Result Entry'!AN66="","",'Supp. Result Entry'!AN66)</f>
        <v/>
      </c>
      <c r="JN68" s="110">
        <f>COUNTIF('Supp. Result Entry'!K66:Q66,"S")</f>
        <v>0</v>
      </c>
      <c r="JO68" s="110">
        <f t="shared" si="155"/>
        <v>0</v>
      </c>
      <c r="JP68" s="110">
        <f t="shared" si="156"/>
        <v>0</v>
      </c>
      <c r="JQ68" s="110" t="str">
        <f t="shared" si="75"/>
        <v/>
      </c>
      <c r="JR68" s="110" t="str">
        <f t="shared" si="76"/>
        <v/>
      </c>
      <c r="JS68" s="110" t="str">
        <f t="shared" si="77"/>
        <v/>
      </c>
      <c r="JT68" s="110" t="str">
        <f t="shared" si="78"/>
        <v/>
      </c>
      <c r="JU68" s="110" t="str">
        <f t="shared" si="79"/>
        <v/>
      </c>
      <c r="JV68" s="110" t="str">
        <f t="shared" si="80"/>
        <v/>
      </c>
      <c r="JW68" s="110" t="str">
        <f t="shared" si="81"/>
        <v/>
      </c>
      <c r="JX68" s="110" t="str">
        <f t="shared" si="157"/>
        <v/>
      </c>
      <c r="JY68" s="110" t="str">
        <f t="shared" si="158"/>
        <v/>
      </c>
      <c r="JZ68" s="110" t="str">
        <f t="shared" si="82"/>
        <v/>
      </c>
      <c r="KA68" s="108" t="str">
        <f t="shared" si="159"/>
        <v/>
      </c>
    </row>
    <row r="69" spans="1:287" s="108" customFormat="1" ht="21.95" customHeight="1">
      <c r="A69" s="89">
        <v>63</v>
      </c>
      <c r="B69" s="90" t="str">
        <f>IF('Marks Entry'!B69="","",'Marks Entry'!B69)</f>
        <v/>
      </c>
      <c r="C69" s="94" t="str">
        <f>IF('Marks Entry'!D69="","",'Marks Entry'!D69)</f>
        <v/>
      </c>
      <c r="D69" s="91" t="str">
        <f>IF('Marks Entry'!E69="","",'Marks Entry'!E69)</f>
        <v/>
      </c>
      <c r="E69" s="92" t="str">
        <f>IF('Marks Entry'!F69="","",'Marks Entry'!F69)</f>
        <v/>
      </c>
      <c r="F69" s="93" t="str">
        <f>IF('Marks Entry'!G69="","",'Marks Entry'!G69)</f>
        <v/>
      </c>
      <c r="G69" s="93" t="str">
        <f>IF('Marks Entry'!H69="","",'Marks Entry'!H69)</f>
        <v/>
      </c>
      <c r="H69" s="93" t="str">
        <f>IF('Marks Entry'!I69="","",'Marks Entry'!I69)</f>
        <v/>
      </c>
      <c r="I69" s="94" t="str">
        <f>IF('Marks Entry'!J69="","",'Marks Entry'!J69)</f>
        <v/>
      </c>
      <c r="J69" s="95" t="str">
        <f>IF('Marks Entry'!K69="","",'Marks Entry'!K69)</f>
        <v/>
      </c>
      <c r="K69" s="68" t="str">
        <f>IF('Marks Entry'!L69="","",'Marks Entry'!L69)</f>
        <v/>
      </c>
      <c r="L69" s="68" t="str">
        <f>IF('Marks Entry'!M69="","",'Marks Entry'!M69)</f>
        <v/>
      </c>
      <c r="M69" s="68" t="str">
        <f>IF('Marks Entry'!N69="","",'Marks Entry'!N69)</f>
        <v/>
      </c>
      <c r="N69" s="514" t="str">
        <f t="shared" si="83"/>
        <v/>
      </c>
      <c r="O69" s="68" t="str">
        <f>IF('Marks Entry'!O69="","",'Marks Entry'!O69)</f>
        <v/>
      </c>
      <c r="P69" s="515" t="str">
        <f t="shared" si="84"/>
        <v/>
      </c>
      <c r="Q69" s="68" t="str">
        <f>IF('Marks Entry'!P69="","",'Marks Entry'!P69)</f>
        <v/>
      </c>
      <c r="R69" s="96" t="str">
        <f t="shared" si="85"/>
        <v/>
      </c>
      <c r="S69" s="65">
        <f t="shared" si="86"/>
        <v>0</v>
      </c>
      <c r="T69" s="65">
        <f t="shared" si="87"/>
        <v>0</v>
      </c>
      <c r="U69" s="66" t="str">
        <f t="shared" si="88"/>
        <v/>
      </c>
      <c r="V69" s="65" t="str">
        <f t="shared" si="89"/>
        <v/>
      </c>
      <c r="W69" s="65" t="str">
        <f t="shared" si="90"/>
        <v/>
      </c>
      <c r="X69" s="65" t="str">
        <f t="shared" si="91"/>
        <v/>
      </c>
      <c r="Y69" s="68" t="str">
        <f>IF('Marks Entry'!Q69="","",'Marks Entry'!Q69)</f>
        <v/>
      </c>
      <c r="Z69" s="68" t="str">
        <f>IF('Marks Entry'!R69="","",'Marks Entry'!R69)</f>
        <v/>
      </c>
      <c r="AA69" s="68" t="str">
        <f>IF('Marks Entry'!S69="","",'Marks Entry'!S69)</f>
        <v/>
      </c>
      <c r="AB69" s="514" t="str">
        <f t="shared" si="2"/>
        <v/>
      </c>
      <c r="AC69" s="68" t="str">
        <f>IF('Marks Entry'!T69="","",'Marks Entry'!T69)</f>
        <v/>
      </c>
      <c r="AD69" s="515" t="str">
        <f t="shared" si="3"/>
        <v/>
      </c>
      <c r="AE69" s="68" t="str">
        <f>IF('Marks Entry'!U69="","",'Marks Entry'!U69)</f>
        <v/>
      </c>
      <c r="AF69" s="96" t="str">
        <f t="shared" si="4"/>
        <v/>
      </c>
      <c r="AG69" s="65">
        <f t="shared" si="5"/>
        <v>0</v>
      </c>
      <c r="AH69" s="65">
        <f t="shared" si="6"/>
        <v>0</v>
      </c>
      <c r="AI69" s="66" t="str">
        <f t="shared" si="7"/>
        <v/>
      </c>
      <c r="AJ69" s="65" t="str">
        <f t="shared" si="8"/>
        <v/>
      </c>
      <c r="AK69" s="65" t="str">
        <f t="shared" si="9"/>
        <v/>
      </c>
      <c r="AL69" s="65" t="str">
        <f t="shared" si="10"/>
        <v/>
      </c>
      <c r="AM69" s="524" t="str">
        <f>IF('Marks Entry'!V69="","",IF('Marks Entry'!V69=1,'School Profile'!$I$9,IF('Marks Entry'!V69=2,'School Profile'!$I$10,IF('Marks Entry'!V69=3,'School Profile'!$I$11,IF('Marks Entry'!V69=4,'School Profile'!$I$12,IF('Marks Entry'!V69=5,'School Profile'!$I$13,IF('Marks Entry'!V69=6,'School Profile'!$I$14,"")))))))</f>
        <v/>
      </c>
      <c r="AN69" s="68" t="str">
        <f>IF('Marks Entry'!W69="","",'Marks Entry'!W69)</f>
        <v/>
      </c>
      <c r="AO69" s="68" t="str">
        <f>IF('Marks Entry'!X69="","",'Marks Entry'!X69)</f>
        <v/>
      </c>
      <c r="AP69" s="68" t="str">
        <f>IF('Marks Entry'!Y69="","",'Marks Entry'!Y69)</f>
        <v/>
      </c>
      <c r="AQ69" s="514" t="str">
        <f t="shared" si="11"/>
        <v/>
      </c>
      <c r="AR69" s="68" t="str">
        <f>IF('Marks Entry'!Z69="","",'Marks Entry'!Z69)</f>
        <v/>
      </c>
      <c r="AS69" s="515" t="str">
        <f t="shared" si="12"/>
        <v/>
      </c>
      <c r="AT69" s="68" t="str">
        <f>IF('Marks Entry'!AA69="","",'Marks Entry'!AA69)</f>
        <v/>
      </c>
      <c r="AU69" s="96" t="str">
        <f t="shared" si="13"/>
        <v/>
      </c>
      <c r="AV69" s="65">
        <f t="shared" si="14"/>
        <v>0</v>
      </c>
      <c r="AW69" s="65">
        <f t="shared" si="15"/>
        <v>0</v>
      </c>
      <c r="AX69" s="66" t="str">
        <f t="shared" si="16"/>
        <v/>
      </c>
      <c r="AY69" s="65" t="str">
        <f t="shared" si="17"/>
        <v/>
      </c>
      <c r="AZ69" s="65" t="str">
        <f t="shared" si="18"/>
        <v/>
      </c>
      <c r="BA69" s="65" t="str">
        <f t="shared" si="19"/>
        <v/>
      </c>
      <c r="BB69" s="68" t="str">
        <f>IF('Marks Entry'!AB69="","",'Marks Entry'!AB69)</f>
        <v/>
      </c>
      <c r="BC69" s="68" t="str">
        <f>IF('Marks Entry'!AC69="","",'Marks Entry'!AC69)</f>
        <v/>
      </c>
      <c r="BD69" s="68" t="str">
        <f>IF('Marks Entry'!AD69="","",'Marks Entry'!AD69)</f>
        <v/>
      </c>
      <c r="BE69" s="514" t="str">
        <f t="shared" si="20"/>
        <v/>
      </c>
      <c r="BF69" s="68" t="str">
        <f>IF('Marks Entry'!AE69="","",'Marks Entry'!AE69)</f>
        <v/>
      </c>
      <c r="BG69" s="515" t="str">
        <f t="shared" si="21"/>
        <v/>
      </c>
      <c r="BH69" s="68" t="str">
        <f>IF('Marks Entry'!AF69="","",'Marks Entry'!AF69)</f>
        <v/>
      </c>
      <c r="BI69" s="96" t="str">
        <f t="shared" si="22"/>
        <v/>
      </c>
      <c r="BJ69" s="65">
        <f t="shared" si="23"/>
        <v>0</v>
      </c>
      <c r="BK69" s="65">
        <f t="shared" si="92"/>
        <v>0</v>
      </c>
      <c r="BL69" s="66" t="str">
        <f t="shared" si="24"/>
        <v/>
      </c>
      <c r="BM69" s="65" t="str">
        <f t="shared" si="25"/>
        <v/>
      </c>
      <c r="BN69" s="65" t="str">
        <f t="shared" si="26"/>
        <v/>
      </c>
      <c r="BO69" s="65" t="str">
        <f t="shared" si="27"/>
        <v/>
      </c>
      <c r="BP69" s="68" t="str">
        <f>IF('Marks Entry'!AG69="","",'Marks Entry'!AG69)</f>
        <v/>
      </c>
      <c r="BQ69" s="68" t="str">
        <f>IF('Marks Entry'!AH69="","",'Marks Entry'!AH69)</f>
        <v/>
      </c>
      <c r="BR69" s="68" t="str">
        <f>IF('Marks Entry'!AI69="","",'Marks Entry'!AI69)</f>
        <v/>
      </c>
      <c r="BS69" s="514" t="str">
        <f t="shared" si="28"/>
        <v/>
      </c>
      <c r="BT69" s="68" t="str">
        <f>IF('Marks Entry'!AJ69="","",'Marks Entry'!AJ69)</f>
        <v/>
      </c>
      <c r="BU69" s="515" t="str">
        <f t="shared" si="29"/>
        <v/>
      </c>
      <c r="BV69" s="68" t="str">
        <f>IF('Marks Entry'!AK69="","",'Marks Entry'!AK69)</f>
        <v/>
      </c>
      <c r="BW69" s="96" t="str">
        <f t="shared" si="30"/>
        <v/>
      </c>
      <c r="BX69" s="65">
        <f t="shared" si="31"/>
        <v>0</v>
      </c>
      <c r="BY69" s="65">
        <f t="shared" si="32"/>
        <v>0</v>
      </c>
      <c r="BZ69" s="66" t="str">
        <f t="shared" si="33"/>
        <v/>
      </c>
      <c r="CA69" s="65" t="str">
        <f t="shared" si="34"/>
        <v/>
      </c>
      <c r="CB69" s="65" t="str">
        <f t="shared" si="35"/>
        <v/>
      </c>
      <c r="CC69" s="65" t="str">
        <f t="shared" si="36"/>
        <v/>
      </c>
      <c r="CD69" s="66">
        <f t="shared" si="161"/>
        <v>0</v>
      </c>
      <c r="CE69" s="68" t="str">
        <f>IF('Marks Entry'!AL69="","",'Marks Entry'!AL69)</f>
        <v/>
      </c>
      <c r="CF69" s="68" t="str">
        <f>IF('Marks Entry'!AM69="","",'Marks Entry'!AM69)</f>
        <v/>
      </c>
      <c r="CG69" s="68" t="str">
        <f>IF('Marks Entry'!AN69="","",'Marks Entry'!AN69)</f>
        <v/>
      </c>
      <c r="CH69" s="514" t="str">
        <f t="shared" si="37"/>
        <v/>
      </c>
      <c r="CI69" s="68" t="str">
        <f>IF('Marks Entry'!AO69="","",'Marks Entry'!AO69)</f>
        <v/>
      </c>
      <c r="CJ69" s="515" t="str">
        <f t="shared" si="38"/>
        <v/>
      </c>
      <c r="CK69" s="68" t="str">
        <f>IF('Marks Entry'!AP69="","",'Marks Entry'!AP69)</f>
        <v/>
      </c>
      <c r="CL69" s="96" t="str">
        <f t="shared" si="39"/>
        <v/>
      </c>
      <c r="CM69" s="65">
        <f t="shared" si="40"/>
        <v>0</v>
      </c>
      <c r="CN69" s="65">
        <f t="shared" si="41"/>
        <v>0</v>
      </c>
      <c r="CO69" s="66" t="str">
        <f t="shared" si="42"/>
        <v/>
      </c>
      <c r="CP69" s="65" t="str">
        <f t="shared" si="43"/>
        <v/>
      </c>
      <c r="CQ69" s="65" t="str">
        <f t="shared" si="44"/>
        <v/>
      </c>
      <c r="CR69" s="65" t="str">
        <f t="shared" si="45"/>
        <v/>
      </c>
      <c r="CS69" s="616" t="str">
        <f>IF('School Profile'!$D$20="NO","",IF('Marks Entry'!AQ69="","",IF('Marks Entry'!AQ69=1,'School Profile'!$I$29,IF('Marks Entry'!AQ69=2,'School Profile'!$I$30,IF('Marks Entry'!AQ69=3,'School Profile'!$I$31,IF('Marks Entry'!AQ69=4,'School Profile'!$I$32,IF('Marks Entry'!AQ69=5,'School Profile'!$I$33,IF('Marks Entry'!AQ69=6,'School Profile'!$I$34,IF('Marks Entry'!AQ69=7,'School Profile'!$I$35,IF('Marks Entry'!AQ69=8,'School Profile'!$I$36,IF('Marks Entry'!AQ69=9,'School Profile'!$I$37,IF('Marks Entry'!AQ69=10,'School Profile'!$I$38,IF('Marks Entry'!AQ69=11,'School Profile'!$I$39,"")))))))))))))</f>
        <v/>
      </c>
      <c r="CT69" s="68" t="str">
        <f>IF('School Profile'!$D$20="NO","",IF('Marks Entry'!AR69="","",'Marks Entry'!AR69))</f>
        <v/>
      </c>
      <c r="CU69" s="68" t="str">
        <f>IF('School Profile'!$D$20="NO","",IF('Marks Entry'!AS69="","",'Marks Entry'!AS69))</f>
        <v/>
      </c>
      <c r="CV69" s="68" t="str">
        <f>IF('School Profile'!$D$20="NO","",IF('Marks Entry'!AT69="","",'Marks Entry'!AT69))</f>
        <v/>
      </c>
      <c r="CW69" s="514" t="str">
        <f>IF('School Profile'!$D$20="NO","",IF(AND(CT69="",CU69="",CV69=""),"",SUM(CT69:CV69)))</f>
        <v/>
      </c>
      <c r="CX69" s="68" t="str">
        <f>IF('School Profile'!$D$20="NO","",IF('Marks Entry'!AU69="","",'Marks Entry'!AU69))</f>
        <v/>
      </c>
      <c r="CY69" s="68" t="str">
        <f>IF('School Profile'!$D$20="NO","",IF('Marks Entry'!AV69="","",'Marks Entry'!AV69))</f>
        <v/>
      </c>
      <c r="CZ69" s="515" t="str">
        <f>IF('School Profile'!$D$20="NO","",IF(AND(CX69="",CY69=""),"",SUM(CX69,CY69)))</f>
        <v/>
      </c>
      <c r="DA69" s="69" t="str">
        <f>IF('School Profile'!$D$20="NO","",IF(AND(CW69="",CZ69=""),"",SUM(CW69+CZ69)))</f>
        <v/>
      </c>
      <c r="DB69" s="68" t="str">
        <f>IF('School Profile'!$D$20="NO","",IF('Marks Entry'!AW69="","",'Marks Entry'!AW69))</f>
        <v/>
      </c>
      <c r="DC69" s="68" t="str">
        <f>IF('School Profile'!$D$20="NO","",IF('Marks Entry'!AX69="","",'Marks Entry'!AX69))</f>
        <v/>
      </c>
      <c r="DD69" s="515" t="str">
        <f>IF('School Profile'!$D$20="NO","",IF(AND(DB69="",DC69=""),"",SUM(DB69,DC69)))</f>
        <v/>
      </c>
      <c r="DE69" s="96" t="str">
        <f>IF('School Profile'!$D$20="NO","",IF(AND(DA69="",DD69=""),"",SUM(DA69,DD69)))</f>
        <v/>
      </c>
      <c r="DF69" s="532">
        <f t="shared" si="46"/>
        <v>0</v>
      </c>
      <c r="DG69" s="65">
        <f t="shared" si="47"/>
        <v>0</v>
      </c>
      <c r="DH69" s="66" t="str">
        <f t="shared" si="48"/>
        <v/>
      </c>
      <c r="DI69" s="65" t="str">
        <f t="shared" si="49"/>
        <v/>
      </c>
      <c r="DJ69" s="65" t="str">
        <f t="shared" si="50"/>
        <v/>
      </c>
      <c r="DK69" s="65" t="str">
        <f t="shared" si="51"/>
        <v/>
      </c>
      <c r="DL69" s="97" t="str">
        <f t="shared" si="94"/>
        <v/>
      </c>
      <c r="DM69" s="97" t="str">
        <f t="shared" si="95"/>
        <v/>
      </c>
      <c r="DN69" s="97" t="str">
        <f t="shared" si="96"/>
        <v/>
      </c>
      <c r="DO69" s="97" t="str">
        <f t="shared" si="97"/>
        <v/>
      </c>
      <c r="DP69" s="97" t="str">
        <f t="shared" si="98"/>
        <v/>
      </c>
      <c r="DQ69" s="97" t="str">
        <f t="shared" si="99"/>
        <v/>
      </c>
      <c r="DR69" s="97" t="str">
        <f t="shared" si="100"/>
        <v/>
      </c>
      <c r="DS69" s="98">
        <f t="shared" si="101"/>
        <v>0</v>
      </c>
      <c r="DT69" s="98">
        <f t="shared" si="102"/>
        <v>0</v>
      </c>
      <c r="DU69" s="98">
        <f t="shared" si="103"/>
        <v>0</v>
      </c>
      <c r="DV69" s="98">
        <f t="shared" si="104"/>
        <v>0</v>
      </c>
      <c r="DW69" s="98">
        <f t="shared" si="105"/>
        <v>0</v>
      </c>
      <c r="DX69" s="98" t="str">
        <f t="shared" si="106"/>
        <v/>
      </c>
      <c r="DY69" s="99" t="str">
        <f t="shared" si="107"/>
        <v/>
      </c>
      <c r="DZ69" s="74" t="str">
        <f>IF('Marks Entry'!AY69="","",'Marks Entry'!AY69)</f>
        <v/>
      </c>
      <c r="EA69" s="74" t="str">
        <f>IF('Marks Entry'!AZ69="","",'Marks Entry'!AZ69)</f>
        <v/>
      </c>
      <c r="EB69" s="74" t="str">
        <f>IF('Marks Entry'!BA69="","",'Marks Entry'!BA69)</f>
        <v/>
      </c>
      <c r="EC69" s="527" t="str">
        <f t="shared" si="52"/>
        <v/>
      </c>
      <c r="ED69" s="74" t="str">
        <f>IF('Marks Entry'!BB69="","",'Marks Entry'!BB69)</f>
        <v/>
      </c>
      <c r="EE69" s="528" t="str">
        <f t="shared" si="53"/>
        <v/>
      </c>
      <c r="EF69" s="74" t="str">
        <f>IF('Marks Entry'!BC69="","",'Marks Entry'!BC69)</f>
        <v/>
      </c>
      <c r="EG69" s="530" t="str">
        <f t="shared" si="54"/>
        <v/>
      </c>
      <c r="EH69" s="368" t="str">
        <f t="shared" si="108"/>
        <v/>
      </c>
      <c r="EI69" s="65">
        <f t="shared" si="109"/>
        <v>0</v>
      </c>
      <c r="EJ69" s="65">
        <f t="shared" si="110"/>
        <v>0</v>
      </c>
      <c r="EK69" s="66" t="str">
        <f t="shared" si="111"/>
        <v/>
      </c>
      <c r="EL69" s="74" t="str">
        <f>IF('Marks Entry'!BD69="","",'Marks Entry'!BD69)</f>
        <v/>
      </c>
      <c r="EM69" s="74" t="str">
        <f>IF('Marks Entry'!BE69="","",'Marks Entry'!BE69)</f>
        <v/>
      </c>
      <c r="EN69" s="74" t="str">
        <f>IF('Marks Entry'!BF69="","",'Marks Entry'!BF69)</f>
        <v/>
      </c>
      <c r="EO69" s="527" t="str">
        <f t="shared" si="55"/>
        <v/>
      </c>
      <c r="EP69" s="74" t="str">
        <f>IF('Marks Entry'!BG69="","",'Marks Entry'!BG69)</f>
        <v/>
      </c>
      <c r="EQ69" s="74" t="str">
        <f>IF('Marks Entry'!BH69="","",'Marks Entry'!BH69)</f>
        <v/>
      </c>
      <c r="ER69" s="528" t="str">
        <f t="shared" si="56"/>
        <v/>
      </c>
      <c r="ES69" s="529" t="str">
        <f t="shared" si="57"/>
        <v/>
      </c>
      <c r="ET69" s="74" t="str">
        <f>IF('Marks Entry'!BI69="","",'Marks Entry'!BI69)</f>
        <v/>
      </c>
      <c r="EU69" s="74" t="str">
        <f>IF('Marks Entry'!BJ69="","",'Marks Entry'!BJ69)</f>
        <v/>
      </c>
      <c r="EV69" s="528" t="str">
        <f t="shared" si="58"/>
        <v/>
      </c>
      <c r="EW69" s="530" t="str">
        <f t="shared" si="59"/>
        <v/>
      </c>
      <c r="EX69" s="368" t="str">
        <f t="shared" si="112"/>
        <v/>
      </c>
      <c r="EY69" s="65">
        <f t="shared" si="113"/>
        <v>0</v>
      </c>
      <c r="EZ69" s="65">
        <f t="shared" si="114"/>
        <v>0</v>
      </c>
      <c r="FA69" s="66" t="str">
        <f t="shared" si="115"/>
        <v/>
      </c>
      <c r="FB69" s="74" t="str">
        <f>IF('Marks Entry'!BK69="","",'Marks Entry'!BK69)</f>
        <v/>
      </c>
      <c r="FC69" s="74" t="str">
        <f>IF('Marks Entry'!BL69="","",'Marks Entry'!BL69)</f>
        <v/>
      </c>
      <c r="FD69" s="74" t="str">
        <f>IF('Marks Entry'!BM69="","",'Marks Entry'!BM69)</f>
        <v/>
      </c>
      <c r="FE69" s="74" t="str">
        <f>IF('Marks Entry'!BN69="","",'Marks Entry'!BN69)</f>
        <v/>
      </c>
      <c r="FF69" s="74" t="str">
        <f>IF('Marks Entry'!BO69="","",'Marks Entry'!BO69)</f>
        <v/>
      </c>
      <c r="FG69" s="74" t="str">
        <f>IF('Marks Entry'!BP69="","",'Marks Entry'!BP69)</f>
        <v/>
      </c>
      <c r="FH69" s="527" t="str">
        <f t="shared" si="60"/>
        <v/>
      </c>
      <c r="FI69" s="74" t="str">
        <f>IF('Marks Entry'!BQ69="","",'Marks Entry'!BQ69)</f>
        <v/>
      </c>
      <c r="FJ69" s="74" t="str">
        <f>IF('Marks Entry'!BR69="","",'Marks Entry'!BR69)</f>
        <v/>
      </c>
      <c r="FK69" s="528" t="str">
        <f t="shared" si="61"/>
        <v/>
      </c>
      <c r="FL69" s="529" t="str">
        <f t="shared" si="62"/>
        <v/>
      </c>
      <c r="FM69" s="74" t="str">
        <f>IF('Marks Entry'!BS69="","",'Marks Entry'!BS69)</f>
        <v/>
      </c>
      <c r="FN69" s="74" t="str">
        <f>IF('Marks Entry'!BT69="","",'Marks Entry'!BT69)</f>
        <v/>
      </c>
      <c r="FO69" s="528" t="str">
        <f t="shared" si="63"/>
        <v/>
      </c>
      <c r="FP69" s="530" t="str">
        <f t="shared" si="64"/>
        <v/>
      </c>
      <c r="FQ69" s="368" t="str">
        <f t="shared" si="116"/>
        <v/>
      </c>
      <c r="FR69" s="65">
        <f t="shared" si="117"/>
        <v>0</v>
      </c>
      <c r="FS69" s="65">
        <f t="shared" si="118"/>
        <v>0</v>
      </c>
      <c r="FT69" s="66" t="str">
        <f t="shared" si="119"/>
        <v/>
      </c>
      <c r="FU69" s="74" t="str">
        <f>IF('Marks Entry'!BU69="","",'Marks Entry'!BU69)</f>
        <v/>
      </c>
      <c r="FV69" s="74" t="str">
        <f>IF('Marks Entry'!BV69="","",'Marks Entry'!BV69)</f>
        <v/>
      </c>
      <c r="FW69" s="74" t="str">
        <f>IF('Marks Entry'!BW69="","",'Marks Entry'!BW69)</f>
        <v/>
      </c>
      <c r="FX69" s="75" t="str">
        <f t="shared" si="65"/>
        <v/>
      </c>
      <c r="FY69" s="368" t="str">
        <f t="shared" si="120"/>
        <v/>
      </c>
      <c r="FZ69" s="65">
        <f t="shared" si="121"/>
        <v>0</v>
      </c>
      <c r="GA69" s="66">
        <f t="shared" si="122"/>
        <v>0</v>
      </c>
      <c r="GB69" s="66" t="str">
        <f t="shared" si="123"/>
        <v/>
      </c>
      <c r="GC69" s="74" t="str">
        <f>IF('Marks Entry'!BX69="","",'Marks Entry'!BX69)</f>
        <v/>
      </c>
      <c r="GD69" s="74" t="str">
        <f>IF('Marks Entry'!BY69="","",'Marks Entry'!BY69)</f>
        <v/>
      </c>
      <c r="GE69" s="74" t="str">
        <f>IF('Marks Entry'!BZ69="","",'Marks Entry'!BZ69)</f>
        <v/>
      </c>
      <c r="GF69" s="75" t="str">
        <f t="shared" si="124"/>
        <v/>
      </c>
      <c r="GG69" s="368" t="str">
        <f t="shared" si="125"/>
        <v/>
      </c>
      <c r="GH69" s="65">
        <f t="shared" si="126"/>
        <v>0</v>
      </c>
      <c r="GI69" s="66">
        <f t="shared" si="127"/>
        <v>0</v>
      </c>
      <c r="GJ69" s="66" t="str">
        <f t="shared" si="128"/>
        <v/>
      </c>
      <c r="GK69" s="100" t="str">
        <f>IF(AND(F69="",B69=""),"",IF('Student DATA Entry'!M66="","",'Student DATA Entry'!M66))</f>
        <v/>
      </c>
      <c r="GL69" s="101" t="str">
        <f>IF(AND(B69="",F69=""),"",IF('Student DATA Entry'!N66="","",'Student DATA Entry'!N66))</f>
        <v/>
      </c>
      <c r="GM69" s="581" t="str">
        <f t="shared" si="129"/>
        <v/>
      </c>
      <c r="GN69" s="94" t="str">
        <f t="shared" si="130"/>
        <v/>
      </c>
      <c r="GO69" s="94" t="str">
        <f t="shared" si="131"/>
        <v/>
      </c>
      <c r="GP69" s="102" t="str">
        <f t="shared" si="162"/>
        <v/>
      </c>
      <c r="GQ69" s="94" t="str">
        <f t="shared" si="132"/>
        <v/>
      </c>
      <c r="GR69" s="103" t="str">
        <f t="shared" si="133"/>
        <v/>
      </c>
      <c r="GS69" s="102" t="str">
        <f t="shared" si="163"/>
        <v/>
      </c>
      <c r="GT69" s="104" t="str">
        <f t="shared" si="134"/>
        <v/>
      </c>
      <c r="GU69" s="94" t="str">
        <f>IF('Marks Entry'!V69=1,GT69,"")</f>
        <v/>
      </c>
      <c r="GV69" s="94" t="str">
        <f>IF('Marks Entry'!V69=2,GT69,"")</f>
        <v/>
      </c>
      <c r="GW69" s="94" t="str">
        <f>IF('Marks Entry'!V69=3,GT69,"")</f>
        <v/>
      </c>
      <c r="GX69" s="94" t="str">
        <f>IF('Marks Entry'!V69=4,GT69,"")</f>
        <v/>
      </c>
      <c r="GY69" s="94" t="str">
        <f>IF('Marks Entry'!V69=5,GT69,"")</f>
        <v/>
      </c>
      <c r="GZ69" s="94" t="str">
        <f t="shared" si="135"/>
        <v/>
      </c>
      <c r="HA69" s="105" t="str">
        <f t="shared" si="164"/>
        <v/>
      </c>
      <c r="HB69" s="94" t="str">
        <f t="shared" si="136"/>
        <v/>
      </c>
      <c r="HC69" s="94" t="str">
        <f t="shared" si="137"/>
        <v/>
      </c>
      <c r="HD69" s="105" t="str">
        <f t="shared" si="165"/>
        <v/>
      </c>
      <c r="HE69" s="94" t="str">
        <f t="shared" si="138"/>
        <v/>
      </c>
      <c r="HF69" s="94" t="str">
        <f t="shared" si="139"/>
        <v/>
      </c>
      <c r="HG69" s="105" t="str">
        <f t="shared" si="166"/>
        <v/>
      </c>
      <c r="HH69" s="94" t="str">
        <f t="shared" si="140"/>
        <v/>
      </c>
      <c r="HI69" s="94" t="str">
        <f t="shared" si="141"/>
        <v/>
      </c>
      <c r="HJ69" s="105" t="str">
        <f t="shared" si="167"/>
        <v/>
      </c>
      <c r="HK69" s="94" t="str">
        <f t="shared" si="142"/>
        <v/>
      </c>
      <c r="HL69" s="94" t="str">
        <f t="shared" si="143"/>
        <v/>
      </c>
      <c r="HM69" s="105" t="str">
        <f t="shared" si="168"/>
        <v/>
      </c>
      <c r="HN69" s="367" t="str">
        <f t="shared" si="144"/>
        <v xml:space="preserve">      </v>
      </c>
      <c r="HO69" s="418" t="str">
        <f t="shared" si="169"/>
        <v xml:space="preserve">      </v>
      </c>
      <c r="HP69" s="367" t="str">
        <f t="shared" si="146"/>
        <v xml:space="preserve">      </v>
      </c>
      <c r="HQ69" s="107" t="str">
        <f t="shared" si="147"/>
        <v xml:space="preserve">      </v>
      </c>
      <c r="HR69" s="366" t="str">
        <f t="shared" si="148"/>
        <v xml:space="preserve">      </v>
      </c>
      <c r="HS69" s="544" t="str">
        <f t="shared" si="170"/>
        <v/>
      </c>
      <c r="HT69" s="542" t="str">
        <f t="shared" si="149"/>
        <v/>
      </c>
      <c r="HU69" s="541" t="str">
        <f t="shared" si="160"/>
        <v/>
      </c>
      <c r="HV69" s="540" t="str">
        <f t="shared" si="150"/>
        <v/>
      </c>
      <c r="HW69" s="537" t="str">
        <f t="shared" si="151"/>
        <v/>
      </c>
      <c r="HX69" s="539" t="str">
        <f t="shared" si="152"/>
        <v/>
      </c>
      <c r="HY69" s="553" t="str">
        <f>IFERROR(IF(OR(HS69="SUPPLEMENTARY",HS69="RE-EXAM"),'Supp. Result Entry'!AQ67,""),"")</f>
        <v/>
      </c>
      <c r="HZ69" s="538" t="str">
        <f t="shared" si="153"/>
        <v/>
      </c>
      <c r="IA69" s="415" t="str">
        <f t="shared" si="154"/>
        <v/>
      </c>
      <c r="IB69" s="415" t="str">
        <f>IF(AND(HZ69="",IA69=""),"",IF(OR(HS69="SUPPLEMENTARY",HS69="RE-EXAM"),'Supp. Result Entry'!AQ67,HS69))</f>
        <v/>
      </c>
      <c r="IC69" s="87"/>
      <c r="IS69" s="109" t="str">
        <f>IF('Supp. Result Entry'!T67="","",'Supp. Result Entry'!$T$4)</f>
        <v/>
      </c>
      <c r="IT69" s="110" t="str">
        <f>IF('Supp. Result Entry'!W67="","",'Supp. Result Entry'!$W$4)</f>
        <v/>
      </c>
      <c r="IU69" s="110" t="str">
        <f>IF('Supp. Result Entry'!Z67="","",'Supp. Result Entry'!$Z$4)</f>
        <v/>
      </c>
      <c r="IV69" s="110" t="str">
        <f>IF('Supp. Result Entry'!AC67="","",'Supp. Result Entry'!$AC$4)</f>
        <v/>
      </c>
      <c r="IW69" s="110" t="str">
        <f>IF('Supp. Result Entry'!AF67="","",'Supp. Result Entry'!$AF$4)</f>
        <v/>
      </c>
      <c r="IX69" s="110" t="str">
        <f>IF('Supp. Result Entry'!AI67="","",'Supp. Result Entry'!$AI$4)</f>
        <v/>
      </c>
      <c r="IY69" s="110" t="str">
        <f>IF('Supp. Result Entry'!AI67="","",'Supp. Result Entry'!$AL$4)</f>
        <v/>
      </c>
      <c r="IZ69" s="110" t="str">
        <f>IF('Supp. Result Entry'!U67="","",'Supp. Result Entry'!U67)</f>
        <v/>
      </c>
      <c r="JA69" s="110" t="str">
        <f>IF('Supp. Result Entry'!X67="","",'Supp. Result Entry'!X67)</f>
        <v/>
      </c>
      <c r="JB69" s="110" t="str">
        <f>IF('Supp. Result Entry'!AA67="","",'Supp. Result Entry'!AA67)</f>
        <v/>
      </c>
      <c r="JC69" s="110" t="str">
        <f>IF('Supp. Result Entry'!AD67="","",'Supp. Result Entry'!AD67)</f>
        <v/>
      </c>
      <c r="JD69" s="110" t="str">
        <f>IF('Supp. Result Entry'!AG67="","",'Supp. Result Entry'!AG67)</f>
        <v/>
      </c>
      <c r="JE69" s="110" t="str">
        <f>IF('Supp. Result Entry'!AJ67="","",'Supp. Result Entry'!AJ67)</f>
        <v/>
      </c>
      <c r="JF69" s="110" t="str">
        <f>IF('Supp. Result Entry'!AM67="","",'Supp. Result Entry'!AM67)</f>
        <v/>
      </c>
      <c r="JG69" s="110" t="str">
        <f>IF('Supp. Result Entry'!V67="","",'Supp. Result Entry'!V67)</f>
        <v/>
      </c>
      <c r="JH69" s="110" t="str">
        <f>IF('Supp. Result Entry'!Y67="","",'Supp. Result Entry'!Y67)</f>
        <v/>
      </c>
      <c r="JI69" s="110" t="str">
        <f>IF('Supp. Result Entry'!AB67="","",'Supp. Result Entry'!AB67)</f>
        <v/>
      </c>
      <c r="JJ69" s="110" t="str">
        <f>IF('Supp. Result Entry'!AE67="","",'Supp. Result Entry'!AE67)</f>
        <v/>
      </c>
      <c r="JK69" s="110" t="str">
        <f>IF('Supp. Result Entry'!AH67="","",'Supp. Result Entry'!AH67)</f>
        <v/>
      </c>
      <c r="JL69" s="110" t="str">
        <f>IF('Supp. Result Entry'!AK67="","",'Supp. Result Entry'!AK67)</f>
        <v/>
      </c>
      <c r="JM69" s="110" t="str">
        <f>IF('Supp. Result Entry'!AN67="","",'Supp. Result Entry'!AN67)</f>
        <v/>
      </c>
      <c r="JN69" s="110">
        <f>COUNTIF('Supp. Result Entry'!K67:Q67,"S")</f>
        <v>0</v>
      </c>
      <c r="JO69" s="110">
        <f t="shared" si="155"/>
        <v>0</v>
      </c>
      <c r="JP69" s="110">
        <f t="shared" si="156"/>
        <v>0</v>
      </c>
      <c r="JQ69" s="110" t="str">
        <f t="shared" si="75"/>
        <v/>
      </c>
      <c r="JR69" s="110" t="str">
        <f t="shared" si="76"/>
        <v/>
      </c>
      <c r="JS69" s="110" t="str">
        <f t="shared" si="77"/>
        <v/>
      </c>
      <c r="JT69" s="110" t="str">
        <f t="shared" si="78"/>
        <v/>
      </c>
      <c r="JU69" s="110" t="str">
        <f t="shared" si="79"/>
        <v/>
      </c>
      <c r="JV69" s="110" t="str">
        <f t="shared" si="80"/>
        <v/>
      </c>
      <c r="JW69" s="110" t="str">
        <f t="shared" si="81"/>
        <v/>
      </c>
      <c r="JX69" s="110" t="str">
        <f t="shared" si="157"/>
        <v/>
      </c>
      <c r="JY69" s="110" t="str">
        <f t="shared" si="158"/>
        <v/>
      </c>
      <c r="JZ69" s="110" t="str">
        <f t="shared" si="82"/>
        <v/>
      </c>
      <c r="KA69" s="108" t="str">
        <f t="shared" si="159"/>
        <v/>
      </c>
    </row>
    <row r="70" spans="1:287" s="108" customFormat="1" ht="21.95" customHeight="1">
      <c r="A70" s="89">
        <v>64</v>
      </c>
      <c r="B70" s="90" t="str">
        <f>IF('Marks Entry'!B70="","",'Marks Entry'!B70)</f>
        <v/>
      </c>
      <c r="C70" s="94" t="str">
        <f>IF('Marks Entry'!D70="","",'Marks Entry'!D70)</f>
        <v/>
      </c>
      <c r="D70" s="91" t="str">
        <f>IF('Marks Entry'!E70="","",'Marks Entry'!E70)</f>
        <v/>
      </c>
      <c r="E70" s="92" t="str">
        <f>IF('Marks Entry'!F70="","",'Marks Entry'!F70)</f>
        <v/>
      </c>
      <c r="F70" s="93" t="str">
        <f>IF('Marks Entry'!G70="","",'Marks Entry'!G70)</f>
        <v/>
      </c>
      <c r="G70" s="93" t="str">
        <f>IF('Marks Entry'!H70="","",'Marks Entry'!H70)</f>
        <v/>
      </c>
      <c r="H70" s="93" t="str">
        <f>IF('Marks Entry'!I70="","",'Marks Entry'!I70)</f>
        <v/>
      </c>
      <c r="I70" s="94" t="str">
        <f>IF('Marks Entry'!J70="","",'Marks Entry'!J70)</f>
        <v/>
      </c>
      <c r="J70" s="95" t="str">
        <f>IF('Marks Entry'!K70="","",'Marks Entry'!K70)</f>
        <v/>
      </c>
      <c r="K70" s="68" t="str">
        <f>IF('Marks Entry'!L70="","",'Marks Entry'!L70)</f>
        <v/>
      </c>
      <c r="L70" s="68" t="str">
        <f>IF('Marks Entry'!M70="","",'Marks Entry'!M70)</f>
        <v/>
      </c>
      <c r="M70" s="68" t="str">
        <f>IF('Marks Entry'!N70="","",'Marks Entry'!N70)</f>
        <v/>
      </c>
      <c r="N70" s="514" t="str">
        <f t="shared" si="83"/>
        <v/>
      </c>
      <c r="O70" s="68" t="str">
        <f>IF('Marks Entry'!O70="","",'Marks Entry'!O70)</f>
        <v/>
      </c>
      <c r="P70" s="515" t="str">
        <f t="shared" si="84"/>
        <v/>
      </c>
      <c r="Q70" s="68" t="str">
        <f>IF('Marks Entry'!P70="","",'Marks Entry'!P70)</f>
        <v/>
      </c>
      <c r="R70" s="96" t="str">
        <f t="shared" si="85"/>
        <v/>
      </c>
      <c r="S70" s="65">
        <f t="shared" si="86"/>
        <v>0</v>
      </c>
      <c r="T70" s="65">
        <f t="shared" si="87"/>
        <v>0</v>
      </c>
      <c r="U70" s="66" t="str">
        <f t="shared" si="88"/>
        <v/>
      </c>
      <c r="V70" s="65" t="str">
        <f t="shared" si="89"/>
        <v/>
      </c>
      <c r="W70" s="65" t="str">
        <f t="shared" si="90"/>
        <v/>
      </c>
      <c r="X70" s="65" t="str">
        <f t="shared" si="91"/>
        <v/>
      </c>
      <c r="Y70" s="68" t="str">
        <f>IF('Marks Entry'!Q70="","",'Marks Entry'!Q70)</f>
        <v/>
      </c>
      <c r="Z70" s="68" t="str">
        <f>IF('Marks Entry'!R70="","",'Marks Entry'!R70)</f>
        <v/>
      </c>
      <c r="AA70" s="68" t="str">
        <f>IF('Marks Entry'!S70="","",'Marks Entry'!S70)</f>
        <v/>
      </c>
      <c r="AB70" s="514" t="str">
        <f t="shared" si="2"/>
        <v/>
      </c>
      <c r="AC70" s="68" t="str">
        <f>IF('Marks Entry'!T70="","",'Marks Entry'!T70)</f>
        <v/>
      </c>
      <c r="AD70" s="515" t="str">
        <f t="shared" si="3"/>
        <v/>
      </c>
      <c r="AE70" s="68" t="str">
        <f>IF('Marks Entry'!U70="","",'Marks Entry'!U70)</f>
        <v/>
      </c>
      <c r="AF70" s="96" t="str">
        <f t="shared" si="4"/>
        <v/>
      </c>
      <c r="AG70" s="65">
        <f t="shared" si="5"/>
        <v>0</v>
      </c>
      <c r="AH70" s="65">
        <f t="shared" si="6"/>
        <v>0</v>
      </c>
      <c r="AI70" s="66" t="str">
        <f t="shared" si="7"/>
        <v/>
      </c>
      <c r="AJ70" s="65" t="str">
        <f t="shared" si="8"/>
        <v/>
      </c>
      <c r="AK70" s="65" t="str">
        <f t="shared" si="9"/>
        <v/>
      </c>
      <c r="AL70" s="65" t="str">
        <f t="shared" si="10"/>
        <v/>
      </c>
      <c r="AM70" s="524" t="str">
        <f>IF('Marks Entry'!V70="","",IF('Marks Entry'!V70=1,'School Profile'!$I$9,IF('Marks Entry'!V70=2,'School Profile'!$I$10,IF('Marks Entry'!V70=3,'School Profile'!$I$11,IF('Marks Entry'!V70=4,'School Profile'!$I$12,IF('Marks Entry'!V70=5,'School Profile'!$I$13,IF('Marks Entry'!V70=6,'School Profile'!$I$14,"")))))))</f>
        <v/>
      </c>
      <c r="AN70" s="68" t="str">
        <f>IF('Marks Entry'!W70="","",'Marks Entry'!W70)</f>
        <v/>
      </c>
      <c r="AO70" s="68" t="str">
        <f>IF('Marks Entry'!X70="","",'Marks Entry'!X70)</f>
        <v/>
      </c>
      <c r="AP70" s="68" t="str">
        <f>IF('Marks Entry'!Y70="","",'Marks Entry'!Y70)</f>
        <v/>
      </c>
      <c r="AQ70" s="514" t="str">
        <f t="shared" si="11"/>
        <v/>
      </c>
      <c r="AR70" s="68" t="str">
        <f>IF('Marks Entry'!Z70="","",'Marks Entry'!Z70)</f>
        <v/>
      </c>
      <c r="AS70" s="515" t="str">
        <f t="shared" si="12"/>
        <v/>
      </c>
      <c r="AT70" s="68" t="str">
        <f>IF('Marks Entry'!AA70="","",'Marks Entry'!AA70)</f>
        <v/>
      </c>
      <c r="AU70" s="96" t="str">
        <f t="shared" si="13"/>
        <v/>
      </c>
      <c r="AV70" s="65">
        <f t="shared" si="14"/>
        <v>0</v>
      </c>
      <c r="AW70" s="65">
        <f t="shared" si="15"/>
        <v>0</v>
      </c>
      <c r="AX70" s="66" t="str">
        <f t="shared" si="16"/>
        <v/>
      </c>
      <c r="AY70" s="65" t="str">
        <f t="shared" si="17"/>
        <v/>
      </c>
      <c r="AZ70" s="65" t="str">
        <f t="shared" si="18"/>
        <v/>
      </c>
      <c r="BA70" s="65" t="str">
        <f t="shared" si="19"/>
        <v/>
      </c>
      <c r="BB70" s="68" t="str">
        <f>IF('Marks Entry'!AB70="","",'Marks Entry'!AB70)</f>
        <v/>
      </c>
      <c r="BC70" s="68" t="str">
        <f>IF('Marks Entry'!AC70="","",'Marks Entry'!AC70)</f>
        <v/>
      </c>
      <c r="BD70" s="68" t="str">
        <f>IF('Marks Entry'!AD70="","",'Marks Entry'!AD70)</f>
        <v/>
      </c>
      <c r="BE70" s="514" t="str">
        <f t="shared" si="20"/>
        <v/>
      </c>
      <c r="BF70" s="68" t="str">
        <f>IF('Marks Entry'!AE70="","",'Marks Entry'!AE70)</f>
        <v/>
      </c>
      <c r="BG70" s="515" t="str">
        <f t="shared" si="21"/>
        <v/>
      </c>
      <c r="BH70" s="68" t="str">
        <f>IF('Marks Entry'!AF70="","",'Marks Entry'!AF70)</f>
        <v/>
      </c>
      <c r="BI70" s="96" t="str">
        <f t="shared" si="22"/>
        <v/>
      </c>
      <c r="BJ70" s="65">
        <f t="shared" si="23"/>
        <v>0</v>
      </c>
      <c r="BK70" s="65">
        <f t="shared" si="92"/>
        <v>0</v>
      </c>
      <c r="BL70" s="66" t="str">
        <f t="shared" si="24"/>
        <v/>
      </c>
      <c r="BM70" s="65" t="str">
        <f t="shared" si="25"/>
        <v/>
      </c>
      <c r="BN70" s="65" t="str">
        <f t="shared" si="26"/>
        <v/>
      </c>
      <c r="BO70" s="65" t="str">
        <f t="shared" si="27"/>
        <v/>
      </c>
      <c r="BP70" s="68" t="str">
        <f>IF('Marks Entry'!AG70="","",'Marks Entry'!AG70)</f>
        <v/>
      </c>
      <c r="BQ70" s="68" t="str">
        <f>IF('Marks Entry'!AH70="","",'Marks Entry'!AH70)</f>
        <v/>
      </c>
      <c r="BR70" s="68" t="str">
        <f>IF('Marks Entry'!AI70="","",'Marks Entry'!AI70)</f>
        <v/>
      </c>
      <c r="BS70" s="514" t="str">
        <f t="shared" si="28"/>
        <v/>
      </c>
      <c r="BT70" s="68" t="str">
        <f>IF('Marks Entry'!AJ70="","",'Marks Entry'!AJ70)</f>
        <v/>
      </c>
      <c r="BU70" s="515" t="str">
        <f t="shared" si="29"/>
        <v/>
      </c>
      <c r="BV70" s="68" t="str">
        <f>IF('Marks Entry'!AK70="","",'Marks Entry'!AK70)</f>
        <v/>
      </c>
      <c r="BW70" s="96" t="str">
        <f t="shared" si="30"/>
        <v/>
      </c>
      <c r="BX70" s="65">
        <f t="shared" si="31"/>
        <v>0</v>
      </c>
      <c r="BY70" s="65">
        <f t="shared" si="32"/>
        <v>0</v>
      </c>
      <c r="BZ70" s="66" t="str">
        <f t="shared" si="33"/>
        <v/>
      </c>
      <c r="CA70" s="65" t="str">
        <f t="shared" si="34"/>
        <v/>
      </c>
      <c r="CB70" s="65" t="str">
        <f t="shared" si="35"/>
        <v/>
      </c>
      <c r="CC70" s="65" t="str">
        <f t="shared" si="36"/>
        <v/>
      </c>
      <c r="CD70" s="66">
        <f t="shared" si="161"/>
        <v>0</v>
      </c>
      <c r="CE70" s="68" t="str">
        <f>IF('Marks Entry'!AL70="","",'Marks Entry'!AL70)</f>
        <v/>
      </c>
      <c r="CF70" s="68" t="str">
        <f>IF('Marks Entry'!AM70="","",'Marks Entry'!AM70)</f>
        <v/>
      </c>
      <c r="CG70" s="68" t="str">
        <f>IF('Marks Entry'!AN70="","",'Marks Entry'!AN70)</f>
        <v/>
      </c>
      <c r="CH70" s="514" t="str">
        <f t="shared" si="37"/>
        <v/>
      </c>
      <c r="CI70" s="68" t="str">
        <f>IF('Marks Entry'!AO70="","",'Marks Entry'!AO70)</f>
        <v/>
      </c>
      <c r="CJ70" s="515" t="str">
        <f t="shared" si="38"/>
        <v/>
      </c>
      <c r="CK70" s="68" t="str">
        <f>IF('Marks Entry'!AP70="","",'Marks Entry'!AP70)</f>
        <v/>
      </c>
      <c r="CL70" s="96" t="str">
        <f t="shared" si="39"/>
        <v/>
      </c>
      <c r="CM70" s="65">
        <f t="shared" si="40"/>
        <v>0</v>
      </c>
      <c r="CN70" s="65">
        <f t="shared" si="41"/>
        <v>0</v>
      </c>
      <c r="CO70" s="66" t="str">
        <f t="shared" si="42"/>
        <v/>
      </c>
      <c r="CP70" s="65" t="str">
        <f t="shared" si="43"/>
        <v/>
      </c>
      <c r="CQ70" s="65" t="str">
        <f t="shared" si="44"/>
        <v/>
      </c>
      <c r="CR70" s="65" t="str">
        <f t="shared" si="45"/>
        <v/>
      </c>
      <c r="CS70" s="616" t="str">
        <f>IF('School Profile'!$D$20="NO","",IF('Marks Entry'!AQ70="","",IF('Marks Entry'!AQ70=1,'School Profile'!$I$29,IF('Marks Entry'!AQ70=2,'School Profile'!$I$30,IF('Marks Entry'!AQ70=3,'School Profile'!$I$31,IF('Marks Entry'!AQ70=4,'School Profile'!$I$32,IF('Marks Entry'!AQ70=5,'School Profile'!$I$33,IF('Marks Entry'!AQ70=6,'School Profile'!$I$34,IF('Marks Entry'!AQ70=7,'School Profile'!$I$35,IF('Marks Entry'!AQ70=8,'School Profile'!$I$36,IF('Marks Entry'!AQ70=9,'School Profile'!$I$37,IF('Marks Entry'!AQ70=10,'School Profile'!$I$38,IF('Marks Entry'!AQ70=11,'School Profile'!$I$39,"")))))))))))))</f>
        <v/>
      </c>
      <c r="CT70" s="68" t="str">
        <f>IF('School Profile'!$D$20="NO","",IF('Marks Entry'!AR70="","",'Marks Entry'!AR70))</f>
        <v/>
      </c>
      <c r="CU70" s="68" t="str">
        <f>IF('School Profile'!$D$20="NO","",IF('Marks Entry'!AS70="","",'Marks Entry'!AS70))</f>
        <v/>
      </c>
      <c r="CV70" s="68" t="str">
        <f>IF('School Profile'!$D$20="NO","",IF('Marks Entry'!AT70="","",'Marks Entry'!AT70))</f>
        <v/>
      </c>
      <c r="CW70" s="514" t="str">
        <f>IF('School Profile'!$D$20="NO","",IF(AND(CT70="",CU70="",CV70=""),"",SUM(CT70:CV70)))</f>
        <v/>
      </c>
      <c r="CX70" s="68" t="str">
        <f>IF('School Profile'!$D$20="NO","",IF('Marks Entry'!AU70="","",'Marks Entry'!AU70))</f>
        <v/>
      </c>
      <c r="CY70" s="68" t="str">
        <f>IF('School Profile'!$D$20="NO","",IF('Marks Entry'!AV70="","",'Marks Entry'!AV70))</f>
        <v/>
      </c>
      <c r="CZ70" s="515" t="str">
        <f>IF('School Profile'!$D$20="NO","",IF(AND(CX70="",CY70=""),"",SUM(CX70,CY70)))</f>
        <v/>
      </c>
      <c r="DA70" s="69" t="str">
        <f>IF('School Profile'!$D$20="NO","",IF(AND(CW70="",CZ70=""),"",SUM(CW70+CZ70)))</f>
        <v/>
      </c>
      <c r="DB70" s="68" t="str">
        <f>IF('School Profile'!$D$20="NO","",IF('Marks Entry'!AW70="","",'Marks Entry'!AW70))</f>
        <v/>
      </c>
      <c r="DC70" s="68" t="str">
        <f>IF('School Profile'!$D$20="NO","",IF('Marks Entry'!AX70="","",'Marks Entry'!AX70))</f>
        <v/>
      </c>
      <c r="DD70" s="515" t="str">
        <f>IF('School Profile'!$D$20="NO","",IF(AND(DB70="",DC70=""),"",SUM(DB70,DC70)))</f>
        <v/>
      </c>
      <c r="DE70" s="96" t="str">
        <f>IF('School Profile'!$D$20="NO","",IF(AND(DA70="",DD70=""),"",SUM(DA70,DD70)))</f>
        <v/>
      </c>
      <c r="DF70" s="532">
        <f t="shared" si="46"/>
        <v>0</v>
      </c>
      <c r="DG70" s="65">
        <f t="shared" si="47"/>
        <v>0</v>
      </c>
      <c r="DH70" s="66" t="str">
        <f t="shared" si="48"/>
        <v/>
      </c>
      <c r="DI70" s="65" t="str">
        <f t="shared" si="49"/>
        <v/>
      </c>
      <c r="DJ70" s="65" t="str">
        <f t="shared" si="50"/>
        <v/>
      </c>
      <c r="DK70" s="65" t="str">
        <f t="shared" si="51"/>
        <v/>
      </c>
      <c r="DL70" s="97" t="str">
        <f t="shared" si="94"/>
        <v/>
      </c>
      <c r="DM70" s="97" t="str">
        <f t="shared" si="95"/>
        <v/>
      </c>
      <c r="DN70" s="97" t="str">
        <f t="shared" si="96"/>
        <v/>
      </c>
      <c r="DO70" s="97" t="str">
        <f t="shared" si="97"/>
        <v/>
      </c>
      <c r="DP70" s="97" t="str">
        <f t="shared" si="98"/>
        <v/>
      </c>
      <c r="DQ70" s="97" t="str">
        <f t="shared" si="99"/>
        <v/>
      </c>
      <c r="DR70" s="97" t="str">
        <f t="shared" si="100"/>
        <v/>
      </c>
      <c r="DS70" s="98">
        <f t="shared" si="101"/>
        <v>0</v>
      </c>
      <c r="DT70" s="98">
        <f t="shared" si="102"/>
        <v>0</v>
      </c>
      <c r="DU70" s="98">
        <f t="shared" si="103"/>
        <v>0</v>
      </c>
      <c r="DV70" s="98">
        <f t="shared" si="104"/>
        <v>0</v>
      </c>
      <c r="DW70" s="98">
        <f t="shared" si="105"/>
        <v>0</v>
      </c>
      <c r="DX70" s="98" t="str">
        <f t="shared" si="106"/>
        <v/>
      </c>
      <c r="DY70" s="99" t="str">
        <f t="shared" si="107"/>
        <v/>
      </c>
      <c r="DZ70" s="74" t="str">
        <f>IF('Marks Entry'!AY70="","",'Marks Entry'!AY70)</f>
        <v/>
      </c>
      <c r="EA70" s="74" t="str">
        <f>IF('Marks Entry'!AZ70="","",'Marks Entry'!AZ70)</f>
        <v/>
      </c>
      <c r="EB70" s="74" t="str">
        <f>IF('Marks Entry'!BA70="","",'Marks Entry'!BA70)</f>
        <v/>
      </c>
      <c r="EC70" s="527" t="str">
        <f t="shared" si="52"/>
        <v/>
      </c>
      <c r="ED70" s="74" t="str">
        <f>IF('Marks Entry'!BB70="","",'Marks Entry'!BB70)</f>
        <v/>
      </c>
      <c r="EE70" s="528" t="str">
        <f t="shared" si="53"/>
        <v/>
      </c>
      <c r="EF70" s="74" t="str">
        <f>IF('Marks Entry'!BC70="","",'Marks Entry'!BC70)</f>
        <v/>
      </c>
      <c r="EG70" s="530" t="str">
        <f t="shared" si="54"/>
        <v/>
      </c>
      <c r="EH70" s="368" t="str">
        <f t="shared" si="108"/>
        <v/>
      </c>
      <c r="EI70" s="65">
        <f t="shared" si="109"/>
        <v>0</v>
      </c>
      <c r="EJ70" s="65">
        <f t="shared" si="110"/>
        <v>0</v>
      </c>
      <c r="EK70" s="66" t="str">
        <f t="shared" si="111"/>
        <v/>
      </c>
      <c r="EL70" s="74" t="str">
        <f>IF('Marks Entry'!BD70="","",'Marks Entry'!BD70)</f>
        <v/>
      </c>
      <c r="EM70" s="74" t="str">
        <f>IF('Marks Entry'!BE70="","",'Marks Entry'!BE70)</f>
        <v/>
      </c>
      <c r="EN70" s="74" t="str">
        <f>IF('Marks Entry'!BF70="","",'Marks Entry'!BF70)</f>
        <v/>
      </c>
      <c r="EO70" s="527" t="str">
        <f t="shared" si="55"/>
        <v/>
      </c>
      <c r="EP70" s="74" t="str">
        <f>IF('Marks Entry'!BG70="","",'Marks Entry'!BG70)</f>
        <v/>
      </c>
      <c r="EQ70" s="74" t="str">
        <f>IF('Marks Entry'!BH70="","",'Marks Entry'!BH70)</f>
        <v/>
      </c>
      <c r="ER70" s="528" t="str">
        <f t="shared" si="56"/>
        <v/>
      </c>
      <c r="ES70" s="529" t="str">
        <f t="shared" si="57"/>
        <v/>
      </c>
      <c r="ET70" s="74" t="str">
        <f>IF('Marks Entry'!BI70="","",'Marks Entry'!BI70)</f>
        <v/>
      </c>
      <c r="EU70" s="74" t="str">
        <f>IF('Marks Entry'!BJ70="","",'Marks Entry'!BJ70)</f>
        <v/>
      </c>
      <c r="EV70" s="528" t="str">
        <f t="shared" si="58"/>
        <v/>
      </c>
      <c r="EW70" s="530" t="str">
        <f t="shared" si="59"/>
        <v/>
      </c>
      <c r="EX70" s="368" t="str">
        <f t="shared" si="112"/>
        <v/>
      </c>
      <c r="EY70" s="65">
        <f t="shared" si="113"/>
        <v>0</v>
      </c>
      <c r="EZ70" s="65">
        <f t="shared" si="114"/>
        <v>0</v>
      </c>
      <c r="FA70" s="66" t="str">
        <f t="shared" si="115"/>
        <v/>
      </c>
      <c r="FB70" s="74" t="str">
        <f>IF('Marks Entry'!BK70="","",'Marks Entry'!BK70)</f>
        <v/>
      </c>
      <c r="FC70" s="74" t="str">
        <f>IF('Marks Entry'!BL70="","",'Marks Entry'!BL70)</f>
        <v/>
      </c>
      <c r="FD70" s="74" t="str">
        <f>IF('Marks Entry'!BM70="","",'Marks Entry'!BM70)</f>
        <v/>
      </c>
      <c r="FE70" s="74" t="str">
        <f>IF('Marks Entry'!BN70="","",'Marks Entry'!BN70)</f>
        <v/>
      </c>
      <c r="FF70" s="74" t="str">
        <f>IF('Marks Entry'!BO70="","",'Marks Entry'!BO70)</f>
        <v/>
      </c>
      <c r="FG70" s="74" t="str">
        <f>IF('Marks Entry'!BP70="","",'Marks Entry'!BP70)</f>
        <v/>
      </c>
      <c r="FH70" s="527" t="str">
        <f t="shared" si="60"/>
        <v/>
      </c>
      <c r="FI70" s="74" t="str">
        <f>IF('Marks Entry'!BQ70="","",'Marks Entry'!BQ70)</f>
        <v/>
      </c>
      <c r="FJ70" s="74" t="str">
        <f>IF('Marks Entry'!BR70="","",'Marks Entry'!BR70)</f>
        <v/>
      </c>
      <c r="FK70" s="528" t="str">
        <f t="shared" si="61"/>
        <v/>
      </c>
      <c r="FL70" s="529" t="str">
        <f t="shared" si="62"/>
        <v/>
      </c>
      <c r="FM70" s="74" t="str">
        <f>IF('Marks Entry'!BS70="","",'Marks Entry'!BS70)</f>
        <v/>
      </c>
      <c r="FN70" s="74" t="str">
        <f>IF('Marks Entry'!BT70="","",'Marks Entry'!BT70)</f>
        <v/>
      </c>
      <c r="FO70" s="528" t="str">
        <f t="shared" si="63"/>
        <v/>
      </c>
      <c r="FP70" s="530" t="str">
        <f t="shared" si="64"/>
        <v/>
      </c>
      <c r="FQ70" s="368" t="str">
        <f t="shared" si="116"/>
        <v/>
      </c>
      <c r="FR70" s="65">
        <f t="shared" si="117"/>
        <v>0</v>
      </c>
      <c r="FS70" s="65">
        <f t="shared" si="118"/>
        <v>0</v>
      </c>
      <c r="FT70" s="66" t="str">
        <f t="shared" si="119"/>
        <v/>
      </c>
      <c r="FU70" s="74" t="str">
        <f>IF('Marks Entry'!BU70="","",'Marks Entry'!BU70)</f>
        <v/>
      </c>
      <c r="FV70" s="74" t="str">
        <f>IF('Marks Entry'!BV70="","",'Marks Entry'!BV70)</f>
        <v/>
      </c>
      <c r="FW70" s="74" t="str">
        <f>IF('Marks Entry'!BW70="","",'Marks Entry'!BW70)</f>
        <v/>
      </c>
      <c r="FX70" s="75" t="str">
        <f t="shared" si="65"/>
        <v/>
      </c>
      <c r="FY70" s="368" t="str">
        <f t="shared" si="120"/>
        <v/>
      </c>
      <c r="FZ70" s="65">
        <f t="shared" si="121"/>
        <v>0</v>
      </c>
      <c r="GA70" s="66">
        <f t="shared" si="122"/>
        <v>0</v>
      </c>
      <c r="GB70" s="66" t="str">
        <f t="shared" si="123"/>
        <v/>
      </c>
      <c r="GC70" s="74" t="str">
        <f>IF('Marks Entry'!BX70="","",'Marks Entry'!BX70)</f>
        <v/>
      </c>
      <c r="GD70" s="74" t="str">
        <f>IF('Marks Entry'!BY70="","",'Marks Entry'!BY70)</f>
        <v/>
      </c>
      <c r="GE70" s="74" t="str">
        <f>IF('Marks Entry'!BZ70="","",'Marks Entry'!BZ70)</f>
        <v/>
      </c>
      <c r="GF70" s="75" t="str">
        <f t="shared" si="124"/>
        <v/>
      </c>
      <c r="GG70" s="368" t="str">
        <f t="shared" si="125"/>
        <v/>
      </c>
      <c r="GH70" s="65">
        <f t="shared" si="126"/>
        <v>0</v>
      </c>
      <c r="GI70" s="66">
        <f t="shared" si="127"/>
        <v>0</v>
      </c>
      <c r="GJ70" s="66" t="str">
        <f t="shared" si="128"/>
        <v/>
      </c>
      <c r="GK70" s="100" t="str">
        <f>IF(AND(F70="",B70=""),"",IF('Student DATA Entry'!M67="","",'Student DATA Entry'!M67))</f>
        <v/>
      </c>
      <c r="GL70" s="101" t="str">
        <f>IF(AND(B70="",F70=""),"",IF('Student DATA Entry'!N67="","",'Student DATA Entry'!N67))</f>
        <v/>
      </c>
      <c r="GM70" s="581" t="str">
        <f t="shared" si="129"/>
        <v/>
      </c>
      <c r="GN70" s="94" t="str">
        <f t="shared" si="130"/>
        <v/>
      </c>
      <c r="GO70" s="94" t="str">
        <f t="shared" si="131"/>
        <v/>
      </c>
      <c r="GP70" s="102" t="str">
        <f t="shared" si="162"/>
        <v/>
      </c>
      <c r="GQ70" s="94" t="str">
        <f t="shared" si="132"/>
        <v/>
      </c>
      <c r="GR70" s="103" t="str">
        <f t="shared" si="133"/>
        <v/>
      </c>
      <c r="GS70" s="102" t="str">
        <f t="shared" si="163"/>
        <v/>
      </c>
      <c r="GT70" s="104" t="str">
        <f t="shared" si="134"/>
        <v/>
      </c>
      <c r="GU70" s="94" t="str">
        <f>IF('Marks Entry'!V70=1,GT70,"")</f>
        <v/>
      </c>
      <c r="GV70" s="94" t="str">
        <f>IF('Marks Entry'!V70=2,GT70,"")</f>
        <v/>
      </c>
      <c r="GW70" s="94" t="str">
        <f>IF('Marks Entry'!V70=3,GT70,"")</f>
        <v/>
      </c>
      <c r="GX70" s="94" t="str">
        <f>IF('Marks Entry'!V70=4,GT70,"")</f>
        <v/>
      </c>
      <c r="GY70" s="94" t="str">
        <f>IF('Marks Entry'!V70=5,GT70,"")</f>
        <v/>
      </c>
      <c r="GZ70" s="94" t="str">
        <f t="shared" si="135"/>
        <v/>
      </c>
      <c r="HA70" s="105" t="str">
        <f t="shared" si="164"/>
        <v/>
      </c>
      <c r="HB70" s="94" t="str">
        <f t="shared" si="136"/>
        <v/>
      </c>
      <c r="HC70" s="94" t="str">
        <f t="shared" si="137"/>
        <v/>
      </c>
      <c r="HD70" s="105" t="str">
        <f t="shared" si="165"/>
        <v/>
      </c>
      <c r="HE70" s="94" t="str">
        <f t="shared" si="138"/>
        <v/>
      </c>
      <c r="HF70" s="94" t="str">
        <f t="shared" si="139"/>
        <v/>
      </c>
      <c r="HG70" s="105" t="str">
        <f t="shared" si="166"/>
        <v/>
      </c>
      <c r="HH70" s="94" t="str">
        <f t="shared" si="140"/>
        <v/>
      </c>
      <c r="HI70" s="94" t="str">
        <f t="shared" si="141"/>
        <v/>
      </c>
      <c r="HJ70" s="105" t="str">
        <f t="shared" si="167"/>
        <v/>
      </c>
      <c r="HK70" s="94" t="str">
        <f t="shared" si="142"/>
        <v/>
      </c>
      <c r="HL70" s="94" t="str">
        <f t="shared" si="143"/>
        <v/>
      </c>
      <c r="HM70" s="105" t="str">
        <f t="shared" si="168"/>
        <v/>
      </c>
      <c r="HN70" s="367" t="str">
        <f t="shared" si="144"/>
        <v xml:space="preserve">      </v>
      </c>
      <c r="HO70" s="418" t="str">
        <f t="shared" si="169"/>
        <v xml:space="preserve">      </v>
      </c>
      <c r="HP70" s="367" t="str">
        <f t="shared" si="146"/>
        <v xml:space="preserve">      </v>
      </c>
      <c r="HQ70" s="107" t="str">
        <f t="shared" si="147"/>
        <v xml:space="preserve">      </v>
      </c>
      <c r="HR70" s="366" t="str">
        <f t="shared" si="148"/>
        <v xml:space="preserve">      </v>
      </c>
      <c r="HS70" s="544" t="str">
        <f t="shared" si="170"/>
        <v/>
      </c>
      <c r="HT70" s="542" t="str">
        <f t="shared" si="149"/>
        <v/>
      </c>
      <c r="HU70" s="541" t="str">
        <f t="shared" si="160"/>
        <v/>
      </c>
      <c r="HV70" s="540" t="str">
        <f t="shared" si="150"/>
        <v/>
      </c>
      <c r="HW70" s="537" t="str">
        <f t="shared" si="151"/>
        <v/>
      </c>
      <c r="HX70" s="539" t="str">
        <f t="shared" si="152"/>
        <v/>
      </c>
      <c r="HY70" s="553" t="str">
        <f>IFERROR(IF(OR(HS70="SUPPLEMENTARY",HS70="RE-EXAM"),'Supp. Result Entry'!AQ68,""),"")</f>
        <v/>
      </c>
      <c r="HZ70" s="538" t="str">
        <f t="shared" si="153"/>
        <v/>
      </c>
      <c r="IA70" s="415" t="str">
        <f t="shared" si="154"/>
        <v/>
      </c>
      <c r="IB70" s="415" t="str">
        <f>IF(AND(HZ70="",IA70=""),"",IF(OR(HS70="SUPPLEMENTARY",HS70="RE-EXAM"),'Supp. Result Entry'!AQ68,HS70))</f>
        <v/>
      </c>
      <c r="IC70" s="87"/>
      <c r="IS70" s="109" t="str">
        <f>IF('Supp. Result Entry'!T68="","",'Supp. Result Entry'!$T$4)</f>
        <v/>
      </c>
      <c r="IT70" s="110" t="str">
        <f>IF('Supp. Result Entry'!W68="","",'Supp. Result Entry'!$W$4)</f>
        <v/>
      </c>
      <c r="IU70" s="110" t="str">
        <f>IF('Supp. Result Entry'!Z68="","",'Supp. Result Entry'!$Z$4)</f>
        <v/>
      </c>
      <c r="IV70" s="110" t="str">
        <f>IF('Supp. Result Entry'!AC68="","",'Supp. Result Entry'!$AC$4)</f>
        <v/>
      </c>
      <c r="IW70" s="110" t="str">
        <f>IF('Supp. Result Entry'!AF68="","",'Supp. Result Entry'!$AF$4)</f>
        <v/>
      </c>
      <c r="IX70" s="110" t="str">
        <f>IF('Supp. Result Entry'!AI68="","",'Supp. Result Entry'!$AI$4)</f>
        <v/>
      </c>
      <c r="IY70" s="110" t="str">
        <f>IF('Supp. Result Entry'!AI68="","",'Supp. Result Entry'!$AL$4)</f>
        <v/>
      </c>
      <c r="IZ70" s="110" t="str">
        <f>IF('Supp. Result Entry'!U68="","",'Supp. Result Entry'!U68)</f>
        <v/>
      </c>
      <c r="JA70" s="110" t="str">
        <f>IF('Supp. Result Entry'!X68="","",'Supp. Result Entry'!X68)</f>
        <v/>
      </c>
      <c r="JB70" s="110" t="str">
        <f>IF('Supp. Result Entry'!AA68="","",'Supp. Result Entry'!AA68)</f>
        <v/>
      </c>
      <c r="JC70" s="110" t="str">
        <f>IF('Supp. Result Entry'!AD68="","",'Supp. Result Entry'!AD68)</f>
        <v/>
      </c>
      <c r="JD70" s="110" t="str">
        <f>IF('Supp. Result Entry'!AG68="","",'Supp. Result Entry'!AG68)</f>
        <v/>
      </c>
      <c r="JE70" s="110" t="str">
        <f>IF('Supp. Result Entry'!AJ68="","",'Supp. Result Entry'!AJ68)</f>
        <v/>
      </c>
      <c r="JF70" s="110" t="str">
        <f>IF('Supp. Result Entry'!AM68="","",'Supp. Result Entry'!AM68)</f>
        <v/>
      </c>
      <c r="JG70" s="110" t="str">
        <f>IF('Supp. Result Entry'!V68="","",'Supp. Result Entry'!V68)</f>
        <v/>
      </c>
      <c r="JH70" s="110" t="str">
        <f>IF('Supp. Result Entry'!Y68="","",'Supp. Result Entry'!Y68)</f>
        <v/>
      </c>
      <c r="JI70" s="110" t="str">
        <f>IF('Supp. Result Entry'!AB68="","",'Supp. Result Entry'!AB68)</f>
        <v/>
      </c>
      <c r="JJ70" s="110" t="str">
        <f>IF('Supp. Result Entry'!AE68="","",'Supp. Result Entry'!AE68)</f>
        <v/>
      </c>
      <c r="JK70" s="110" t="str">
        <f>IF('Supp. Result Entry'!AH68="","",'Supp. Result Entry'!AH68)</f>
        <v/>
      </c>
      <c r="JL70" s="110" t="str">
        <f>IF('Supp. Result Entry'!AK68="","",'Supp. Result Entry'!AK68)</f>
        <v/>
      </c>
      <c r="JM70" s="110" t="str">
        <f>IF('Supp. Result Entry'!AN68="","",'Supp. Result Entry'!AN68)</f>
        <v/>
      </c>
      <c r="JN70" s="110">
        <f>COUNTIF('Supp. Result Entry'!K68:Q68,"S")</f>
        <v>0</v>
      </c>
      <c r="JO70" s="110">
        <f t="shared" si="155"/>
        <v>0</v>
      </c>
      <c r="JP70" s="110">
        <f t="shared" si="156"/>
        <v>0</v>
      </c>
      <c r="JQ70" s="110" t="str">
        <f t="shared" si="75"/>
        <v/>
      </c>
      <c r="JR70" s="110" t="str">
        <f t="shared" si="76"/>
        <v/>
      </c>
      <c r="JS70" s="110" t="str">
        <f t="shared" si="77"/>
        <v/>
      </c>
      <c r="JT70" s="110" t="str">
        <f t="shared" si="78"/>
        <v/>
      </c>
      <c r="JU70" s="110" t="str">
        <f t="shared" si="79"/>
        <v/>
      </c>
      <c r="JV70" s="110" t="str">
        <f t="shared" si="80"/>
        <v/>
      </c>
      <c r="JW70" s="110" t="str">
        <f t="shared" si="81"/>
        <v/>
      </c>
      <c r="JX70" s="110" t="str">
        <f t="shared" si="157"/>
        <v/>
      </c>
      <c r="JY70" s="110" t="str">
        <f t="shared" si="158"/>
        <v/>
      </c>
      <c r="JZ70" s="110" t="str">
        <f t="shared" si="82"/>
        <v/>
      </c>
      <c r="KA70" s="108" t="str">
        <f t="shared" si="159"/>
        <v/>
      </c>
    </row>
    <row r="71" spans="1:287" s="108" customFormat="1" ht="21.95" customHeight="1">
      <c r="A71" s="89">
        <v>65</v>
      </c>
      <c r="B71" s="90" t="str">
        <f>IF('Marks Entry'!B71="","",'Marks Entry'!B71)</f>
        <v/>
      </c>
      <c r="C71" s="94" t="str">
        <f>IF('Marks Entry'!D71="","",'Marks Entry'!D71)</f>
        <v/>
      </c>
      <c r="D71" s="91" t="str">
        <f>IF('Marks Entry'!E71="","",'Marks Entry'!E71)</f>
        <v/>
      </c>
      <c r="E71" s="92" t="str">
        <f>IF('Marks Entry'!F71="","",'Marks Entry'!F71)</f>
        <v/>
      </c>
      <c r="F71" s="93" t="str">
        <f>IF('Marks Entry'!G71="","",'Marks Entry'!G71)</f>
        <v/>
      </c>
      <c r="G71" s="93" t="str">
        <f>IF('Marks Entry'!H71="","",'Marks Entry'!H71)</f>
        <v/>
      </c>
      <c r="H71" s="93" t="str">
        <f>IF('Marks Entry'!I71="","",'Marks Entry'!I71)</f>
        <v/>
      </c>
      <c r="I71" s="94" t="str">
        <f>IF('Marks Entry'!J71="","",'Marks Entry'!J71)</f>
        <v/>
      </c>
      <c r="J71" s="95" t="str">
        <f>IF('Marks Entry'!K71="","",'Marks Entry'!K71)</f>
        <v/>
      </c>
      <c r="K71" s="68" t="str">
        <f>IF('Marks Entry'!L71="","",'Marks Entry'!L71)</f>
        <v/>
      </c>
      <c r="L71" s="68" t="str">
        <f>IF('Marks Entry'!M71="","",'Marks Entry'!M71)</f>
        <v/>
      </c>
      <c r="M71" s="68" t="str">
        <f>IF('Marks Entry'!N71="","",'Marks Entry'!N71)</f>
        <v/>
      </c>
      <c r="N71" s="514" t="str">
        <f t="shared" si="83"/>
        <v/>
      </c>
      <c r="O71" s="68" t="str">
        <f>IF('Marks Entry'!O71="","",'Marks Entry'!O71)</f>
        <v/>
      </c>
      <c r="P71" s="515" t="str">
        <f t="shared" si="84"/>
        <v/>
      </c>
      <c r="Q71" s="68" t="str">
        <f>IF('Marks Entry'!P71="","",'Marks Entry'!P71)</f>
        <v/>
      </c>
      <c r="R71" s="96" t="str">
        <f t="shared" si="85"/>
        <v/>
      </c>
      <c r="S71" s="65">
        <f t="shared" si="86"/>
        <v>0</v>
      </c>
      <c r="T71" s="65">
        <f t="shared" si="87"/>
        <v>0</v>
      </c>
      <c r="U71" s="66" t="str">
        <f t="shared" ref="U71:U134" si="171">IF(AND(K71="",L71="",M71="",O71="",Q71=""),"",IF(AND(L71="",K71="",M71=""),170-S71-T71,IF(AND(O71=""),130-S71-T71,IF(Q71="",100-S71-T71,200-S71-T71))))</f>
        <v/>
      </c>
      <c r="V71" s="65" t="str">
        <f t="shared" ref="V71:V134" si="172">IF(OR($B71="NSO",$B71="",Q71=""),"",IF(AND(OR(K71="ab",K71="ml"),OR(L71="ab",L71="ml"),OR(M71="ab",M71="ml")),"AB",IF(AND(OR(K71="NA",K71=""),OR(L71="NA",L71=""),OR(M71="NA",M71="")),"AB",IF(AND(OR(K71="ab",K71="ml"),OR(L71="ab",L71="ml"),OR(O71="ab",O71="ml")),"AB",IF(AND(OR(O71="ab",O71="ml"),OR(Q71="ab",Q71="ml"),OR(O71="ab",Q71="ml")),"AB",IF(AND(OR(Q71="ab",Q71="ml"),OR(K71="ab",K71="ml"),OR(L71="ab",L71="ml")),"AB",""))))))</f>
        <v/>
      </c>
      <c r="W71" s="65" t="str">
        <f t="shared" si="90"/>
        <v/>
      </c>
      <c r="X71" s="65" t="str">
        <f t="shared" ref="X71:X134" si="173">IF(OR(W71="",W71=0,W71="S",W71="RE",W71="F",W71="AB"),W71,IF(R71&gt;=75%*U71,"D",IF(R71&gt;=60%*U71,"I",IF(R71&gt;=48%*U71,"II",IF(R71&gt;=36%*U71,"III",W71)))))</f>
        <v/>
      </c>
      <c r="Y71" s="68" t="str">
        <f>IF('Marks Entry'!Q71="","",'Marks Entry'!Q71)</f>
        <v/>
      </c>
      <c r="Z71" s="68" t="str">
        <f>IF('Marks Entry'!R71="","",'Marks Entry'!R71)</f>
        <v/>
      </c>
      <c r="AA71" s="68" t="str">
        <f>IF('Marks Entry'!S71="","",'Marks Entry'!S71)</f>
        <v/>
      </c>
      <c r="AB71" s="514" t="str">
        <f t="shared" ref="AB71:AB134" si="174">IF(AND(Y71="",Z71="",AA71=""),"",SUM(Y71:AA71))</f>
        <v/>
      </c>
      <c r="AC71" s="68" t="str">
        <f>IF('Marks Entry'!T71="","",'Marks Entry'!T71)</f>
        <v/>
      </c>
      <c r="AD71" s="515" t="str">
        <f t="shared" ref="AD71:AD134" si="175">IF(AND(AB71="",AC71=""),"",SUM(AB71,AC71))</f>
        <v/>
      </c>
      <c r="AE71" s="68" t="str">
        <f>IF('Marks Entry'!U71="","",'Marks Entry'!U71)</f>
        <v/>
      </c>
      <c r="AF71" s="96" t="str">
        <f t="shared" ref="AF71:AF134" si="176">IF(AND(AE71="",AD71=""),"",SUM(AD71,AE71))</f>
        <v/>
      </c>
      <c r="AG71" s="65">
        <f t="shared" ref="AG71:AG134" si="177">COUNTIF(Y71:AA71,"NA")*10</f>
        <v>0</v>
      </c>
      <c r="AH71" s="65">
        <f t="shared" ref="AH71:AH134" si="178">(COUNTIF(Y71:AA71,"ML")*10)+(COUNTIF(AC71,"ML")*70)+(COUNTIF(AE71,"ML")*100)</f>
        <v>0</v>
      </c>
      <c r="AI71" s="66" t="str">
        <f t="shared" ref="AI71:AI134" si="179">IF(AND(Y71="",Z71="",AA71="",AC71="",AE71=""),"",IF(AND(Z71="",Y71="",AA71=""),170-AG71-AH71,IF(AND(AC71=""),130-AG71-AH71,IF(AE71="",100-AG71-AH71,200-AG71-AH71))))</f>
        <v/>
      </c>
      <c r="AJ71" s="65" t="str">
        <f t="shared" ref="AJ71:AJ134" si="180">IF(OR($B71="NSO",$B71="",AE71=""),"",IF(AND(OR(Y71="ab",Y71="ml"),OR(Z71="ab",Z71="ml"),OR(AA71="ab",AA71="ml")),"AB",IF(AND(OR(Y71="NA",Y71=""),OR(Z71="NA",Z71=""),OR(AA71="NA",AA71="")),"AB",IF(AND(OR(Y71="ab",Y71="ml"),OR(Z71="ab",Z71="ml"),OR(AC71="ab",AC71="ml")),"AB",IF(AND(OR(AC71="ab",AC71="ml"),OR(AE71="ab",AE71="ml"),OR(AC71="ab",AE71="ml")),"AB",IF(AND(OR(AE71="ab",AE71="ml"),OR(Y71="ab",Y71="ml"),OR(Z71="ab",Z71="ml")),"AB",""))))))</f>
        <v/>
      </c>
      <c r="AK71" s="65" t="str">
        <f t="shared" ref="AK71:AK134" si="181">IF(OR($B71="NSO",$B71="",AE71=""),"",IF(OR(AJ71="AB",AE71="ab"),"AB",IF(AE71="ML","RE",IF(AE71&lt;20%*$AE$6,"F",IF(AND(AF71&gt;=36%*AI71,AE71&gt;=20),"P",IF(AND(AF71&gt;=34%*AI71,AH71=0,AE71&gt;=20),"G2",IF(AND(AF71&gt;=31%*AI71,AH71=0,AE71&gt;=20),"G1",IF(AF71&gt;=25%*AI71,"S","F"))))))))</f>
        <v/>
      </c>
      <c r="AL71" s="65" t="str">
        <f t="shared" ref="AL71:AL134" si="182">IF(OR(AK71="",AK71=0,AK71="S",AK71="RE",AK71="F",AK71="AB"),AK71,IF(AF71&gt;=75%*AI71,"D",IF(AF71&gt;=60%*AI71,"I",IF(AF71&gt;=48%*AI71,"II",IF(AF71&gt;=36%*AI71,"III",AK71)))))</f>
        <v/>
      </c>
      <c r="AM71" s="524" t="str">
        <f>IF('Marks Entry'!V71="","",IF('Marks Entry'!V71=1,'School Profile'!$I$9,IF('Marks Entry'!V71=2,'School Profile'!$I$10,IF('Marks Entry'!V71=3,'School Profile'!$I$11,IF('Marks Entry'!V71=4,'School Profile'!$I$12,IF('Marks Entry'!V71=5,'School Profile'!$I$13,IF('Marks Entry'!V71=6,'School Profile'!$I$14,"")))))))</f>
        <v/>
      </c>
      <c r="AN71" s="68" t="str">
        <f>IF('Marks Entry'!W71="","",'Marks Entry'!W71)</f>
        <v/>
      </c>
      <c r="AO71" s="68" t="str">
        <f>IF('Marks Entry'!X71="","",'Marks Entry'!X71)</f>
        <v/>
      </c>
      <c r="AP71" s="68" t="str">
        <f>IF('Marks Entry'!Y71="","",'Marks Entry'!Y71)</f>
        <v/>
      </c>
      <c r="AQ71" s="514" t="str">
        <f t="shared" ref="AQ71:AQ134" si="183">IF(AND(AN71="",AO71="",AP71=""),"",SUM(AN71:AP71))</f>
        <v/>
      </c>
      <c r="AR71" s="68" t="str">
        <f>IF('Marks Entry'!Z71="","",'Marks Entry'!Z71)</f>
        <v/>
      </c>
      <c r="AS71" s="515" t="str">
        <f t="shared" ref="AS71:AS134" si="184">IF(AND(AQ71="",AR71=""),"",SUM(AQ71,AR71))</f>
        <v/>
      </c>
      <c r="AT71" s="68" t="str">
        <f>IF('Marks Entry'!AA71="","",'Marks Entry'!AA71)</f>
        <v/>
      </c>
      <c r="AU71" s="96" t="str">
        <f t="shared" ref="AU71:AU134" si="185">IF(AND(AT71="",AS71=""),"",SUM(AS71,AT71))</f>
        <v/>
      </c>
      <c r="AV71" s="65">
        <f t="shared" ref="AV71:AV134" si="186">COUNTIF(AN71:AP71,"NA")*10</f>
        <v>0</v>
      </c>
      <c r="AW71" s="65">
        <f t="shared" ref="AW71:AW134" si="187">(COUNTIF(AN71:AP71,"ML")*10)+(COUNTIF(AR71,"ML")*70)+(COUNTIF(AT71,"ML")*100)</f>
        <v>0</v>
      </c>
      <c r="AX71" s="66" t="str">
        <f t="shared" ref="AX71:AX134" si="188">IF(AND(AN71="",AO71="",AP71="",AR71="",AT71=""),"",IF(AND(AO71="",AN71="",AP71=""),170-AV71-AW71,IF(AND(AR71=""),130-AV71-AW71,IF(AT71="",100-AV71-AW71,200-AV71-AW71))))</f>
        <v/>
      </c>
      <c r="AY71" s="65" t="str">
        <f t="shared" ref="AY71:AY134" si="189">IF(OR($B71="NSO",$B71="",AT71=""),"",IF(AND(OR(AN71="ab",AN71="ml"),OR(AO71="ab",AO71="ml"),OR(AP71="ab",AP71="ml")),"AB",IF(AND(OR(AN71="NA",AN71=""),OR(AO71="NA",AO71=""),OR(AP71="NA",AP71="")),"AB",IF(AND(OR(AN71="ab",AN71="ml"),OR(AO71="ab",AO71="ml"),OR(AR71="ab",AR71="ml")),"AB",IF(AND(OR(AR71="ab",AR71="ml"),OR(AT71="ab",AT71="ml"),OR(AR71="ab",AT71="ml")),"AB",IF(AND(OR(AT71="ab",AT71="ml"),OR(AN71="ab",AN71="ml"),OR(AO71="ab",AO71="ml")),"AB",""))))))</f>
        <v/>
      </c>
      <c r="AZ71" s="65" t="str">
        <f t="shared" ref="AZ71:AZ134" si="190">IF(OR($B71="NSO",$B71="",AT71=""),"",IF(OR(AY71="AB",AT71="ab"),"AB",IF(AT71="ML","RE",IF(AT71&lt;20%*$AT$6,"F",IF(AND(AU71&gt;=36%*AX71,AT71&gt;=20),"P",IF(AND(AU71&gt;=34%*AX71,AW71=0,AT71&gt;=20),"G2",IF(AND(AU71&gt;=31%*AX71,AW71=0,AT71&gt;=20),"G1",IF(AU71&gt;=25%*AX71,"S","F"))))))))</f>
        <v/>
      </c>
      <c r="BA71" s="65" t="str">
        <f t="shared" ref="BA71:BA134" si="191">IF(OR(AZ71="",AZ71=0,AZ71="S",AZ71="RE",AZ71="F",AZ71="AB"),AZ71,IF(AU71&gt;=75%*AX71,"D",IF(AU71&gt;=60%*AX71,"I",IF(AU71&gt;=48%*AX71,"II",IF(AU71&gt;=36%*AX71,"III",AZ71)))))</f>
        <v/>
      </c>
      <c r="BB71" s="68" t="str">
        <f>IF('Marks Entry'!AB71="","",'Marks Entry'!AB71)</f>
        <v/>
      </c>
      <c r="BC71" s="68" t="str">
        <f>IF('Marks Entry'!AC71="","",'Marks Entry'!AC71)</f>
        <v/>
      </c>
      <c r="BD71" s="68" t="str">
        <f>IF('Marks Entry'!AD71="","",'Marks Entry'!AD71)</f>
        <v/>
      </c>
      <c r="BE71" s="514" t="str">
        <f t="shared" ref="BE71:BE134" si="192">IF(AND(BB71="",BC71="",BD71=""),"",SUM(BB71:BD71))</f>
        <v/>
      </c>
      <c r="BF71" s="68" t="str">
        <f>IF('Marks Entry'!AE71="","",'Marks Entry'!AE71)</f>
        <v/>
      </c>
      <c r="BG71" s="515" t="str">
        <f t="shared" ref="BG71:BG134" si="193">IF(AND(BE71="",BF71=""),"",SUM(BE71,BF71))</f>
        <v/>
      </c>
      <c r="BH71" s="68" t="str">
        <f>IF('Marks Entry'!AF71="","",'Marks Entry'!AF71)</f>
        <v/>
      </c>
      <c r="BI71" s="96" t="str">
        <f t="shared" ref="BI71:BI134" si="194">IF(AND(BH71="",BG71=""),"",SUM(BG71,BH71))</f>
        <v/>
      </c>
      <c r="BJ71" s="65">
        <f t="shared" ref="BJ71:BJ134" si="195">COUNTIF(BB71:BD71,"NA")*10</f>
        <v>0</v>
      </c>
      <c r="BK71" s="65">
        <f t="shared" si="92"/>
        <v>0</v>
      </c>
      <c r="BL71" s="66" t="str">
        <f t="shared" ref="BL71:BL134" si="196">IF(AND(BB71="",BC71="",BD71="",BF71="",BH71=""),"",IF(AND(BC71="",BB71="",BD71=""),170-BJ71-BK71,IF(AND(BF71=""),130-BJ71-BK71,IF(BH71="",100-BJ71-BK71,200-BJ71-BK71))))</f>
        <v/>
      </c>
      <c r="BM71" s="65" t="str">
        <f t="shared" ref="BM71:BM134" si="197">IF(OR($B71="NSO",$B71="",BH71=""),"",IF(AND(OR(BB71="ab",BB71="ml"),OR(BC71="ab",BC71="ml"),OR(BD71="ab",BD71="ml")),"AB",IF(AND(OR(BB71="NA",BB71=""),OR(BC71="NA",BC71=""),OR(BD71="NA",BD71="")),"AB",IF(AND(OR(BB71="ab",BB71="ml"),OR(BC71="ab",BC71="ml"),OR(BF71="ab",BF71="ml")),"AB",IF(AND(OR(BF71="ab",BF71="ml"),OR(BH71="ab",BH71="ml"),OR(BF71="ab",BH71="ml")),"AB",IF(AND(OR(BH71="ab",BH71="ml"),OR(BB71="ab",BB71="ml"),OR(BC71="ab",BC71="ml")),"AB",""))))))</f>
        <v/>
      </c>
      <c r="BN71" s="65" t="str">
        <f t="shared" ref="BN71:BN134" si="198">IF(OR($B71="NSO",$B71="",BH71=""),"",IF(OR(BM71="AB",BH71="ab"),"AB",IF(BH71="ML","RE",IF(BH71&lt;20%*$BH$6,"F",IF(AND(BI71&gt;=36%*BL71,BH71&gt;=20),"P",IF(AND(BI71&gt;=34%*BL71,BK71=0,BH71&gt;=20),"G2",IF(AND(BI71&gt;=31%*BL71,BK71=0,BH71&gt;=20),"G1",IF(BI71&gt;=25%*BL71,"S","F"))))))))</f>
        <v/>
      </c>
      <c r="BO71" s="65" t="str">
        <f t="shared" ref="BO71:BO134" si="199">IF(OR(BN71="",BN71=0,BN71="S",BN71="RE",BN71="F",BN71="AB"),BN71,IF(BI71&gt;=75%*BL71,"D",IF(BI71&gt;=60%*BL71,"I",IF(BI71&gt;=48%*BL71,"II",IF(BI71&gt;=36%*BL71,"III",BN71)))))</f>
        <v/>
      </c>
      <c r="BP71" s="68" t="str">
        <f>IF('Marks Entry'!AG71="","",'Marks Entry'!AG71)</f>
        <v/>
      </c>
      <c r="BQ71" s="68" t="str">
        <f>IF('Marks Entry'!AH71="","",'Marks Entry'!AH71)</f>
        <v/>
      </c>
      <c r="BR71" s="68" t="str">
        <f>IF('Marks Entry'!AI71="","",'Marks Entry'!AI71)</f>
        <v/>
      </c>
      <c r="BS71" s="514" t="str">
        <f t="shared" ref="BS71:BS134" si="200">IF(AND(BP71="",BQ71="",BR71=""),"",SUM(BP71:BR71))</f>
        <v/>
      </c>
      <c r="BT71" s="68" t="str">
        <f>IF('Marks Entry'!AJ71="","",'Marks Entry'!AJ71)</f>
        <v/>
      </c>
      <c r="BU71" s="515" t="str">
        <f t="shared" ref="BU71:BU134" si="201">IF(AND(BS71="",BT71=""),"",SUM(BS71,BT71))</f>
        <v/>
      </c>
      <c r="BV71" s="68" t="str">
        <f>IF('Marks Entry'!AK71="","",'Marks Entry'!AK71)</f>
        <v/>
      </c>
      <c r="BW71" s="96" t="str">
        <f t="shared" ref="BW71:BW134" si="202">IF(AND(BV71="",BU71=""),"",SUM(BU71,BV71))</f>
        <v/>
      </c>
      <c r="BX71" s="65">
        <f t="shared" ref="BX71:BX134" si="203">COUNTIF(BP71:BR71,"NA")*10</f>
        <v>0</v>
      </c>
      <c r="BY71" s="65">
        <f t="shared" ref="BY71:BY134" si="204">(COUNTIF(BP71:BR71,"ML")*10)+(COUNTIF(BT71,"ML")*70)+(COUNTIF(BV71,"ML")*100)</f>
        <v>0</v>
      </c>
      <c r="BZ71" s="66" t="str">
        <f t="shared" ref="BZ71:BZ134" si="205">IF(AND(BP71="",BQ71="",BR71="",BT71="",BV71=""),"",IF(AND(BQ71="",BP71="",BR71=""),170-BX71-BY71,IF(AND(BT71=""),130-BX71-BY71,IF(BV71="",100-BX71-BY71,200-BX71-BY71))))</f>
        <v/>
      </c>
      <c r="CA71" s="65" t="str">
        <f t="shared" ref="CA71:CA134" si="206">IF(OR($B71="NSO",$B71="",BV71=""),"",IF(AND(OR(BP71="ab",BP71="ml"),OR(BQ71="ab",BQ71="ml"),OR(BR71="ab",BR71="ml")),"AB",IF(AND(OR(BP71="NA",BP71=""),OR(BQ71="NA",BQ71=""),OR(BR71="NA",BR71="")),"AB",IF(AND(OR(BP71="ab",BP71="ml"),OR(BQ71="ab",BQ71="ml"),OR(BT71="ab",BT71="ml")),"AB",IF(AND(OR(BT71="ab",BT71="ml"),OR(BV71="ab",BV71="ml"),OR(BT71="ab",BV71="ml")),"AB",IF(AND(OR(BV71="ab",BV71="ml"),OR(BP71="ab",BP71="ml"),OR(BQ71="ab",BQ71="ml")),"AB",""))))))</f>
        <v/>
      </c>
      <c r="CB71" s="65" t="str">
        <f t="shared" ref="CB71:CB134" si="207">IF(OR($B71="NSO",$B71="",BV71=""),"",IF(OR(CA71="AB",BV71="ab"),"AB",IF(BV71="ML","RE",IF(BV71&lt;20%*$BV$6,"F",IF(AND(BW71&gt;=36%*BZ71,BV71&gt;=20),"P",IF(AND(BW71&gt;=34%*BZ71,BY71=0,BV71&gt;=20),"G2",IF(AND(BW71&gt;=31%*BZ71,BY71=0,BV71&gt;=20),"G1",IF(BW71&gt;=25%*BZ71,"S","F"))))))))</f>
        <v/>
      </c>
      <c r="CC71" s="65" t="str">
        <f t="shared" ref="CC71:CC134" si="208">IF(OR(CB71="",CB71=0,CB71="S",CB71="RE",CB71="F",CB71="AB"),CB71,IF(BW71&gt;=75%*BZ71,"D",IF(BW71&gt;=60%*BZ71,"I",IF(BW71&gt;=48%*BZ71,"II",IF(BW71&gt;=36%*BZ71,"III",CB71)))))</f>
        <v/>
      </c>
      <c r="CD71" s="66">
        <f t="shared" ref="CD71:CD102" si="209">SUM(S71,T71,AG71,AH71,AV71,AW71,BJ71,BK71,BX71,BY71,CM71,CN71)</f>
        <v>0</v>
      </c>
      <c r="CE71" s="68" t="str">
        <f>IF('Marks Entry'!AL71="","",'Marks Entry'!AL71)</f>
        <v/>
      </c>
      <c r="CF71" s="68" t="str">
        <f>IF('Marks Entry'!AM71="","",'Marks Entry'!AM71)</f>
        <v/>
      </c>
      <c r="CG71" s="68" t="str">
        <f>IF('Marks Entry'!AN71="","",'Marks Entry'!AN71)</f>
        <v/>
      </c>
      <c r="CH71" s="514" t="str">
        <f t="shared" ref="CH71:CH134" si="210">IF(AND(CE71="",CF71="",CG71=""),"",SUM(CE71:CG71))</f>
        <v/>
      </c>
      <c r="CI71" s="68" t="str">
        <f>IF('Marks Entry'!AO71="","",'Marks Entry'!AO71)</f>
        <v/>
      </c>
      <c r="CJ71" s="515" t="str">
        <f t="shared" ref="CJ71:CJ134" si="211">IF(AND(CH71="",CI71=""),"",SUM(CH71,CI71))</f>
        <v/>
      </c>
      <c r="CK71" s="68" t="str">
        <f>IF('Marks Entry'!AP71="","",'Marks Entry'!AP71)</f>
        <v/>
      </c>
      <c r="CL71" s="96" t="str">
        <f t="shared" ref="CL71:CL134" si="212">IF(AND(CK71="",CJ71=""),"",SUM(CJ71,CK71))</f>
        <v/>
      </c>
      <c r="CM71" s="65">
        <f t="shared" ref="CM71:CM134" si="213">COUNTIF(CE71:CG71,"NA")*10</f>
        <v>0</v>
      </c>
      <c r="CN71" s="65">
        <f t="shared" ref="CN71:CN134" si="214">(COUNTIF(CE71:CG71,"ML")*10)+(COUNTIF(CI71,"ML")*70)+(COUNTIF(CK71,"ML")*100)</f>
        <v>0</v>
      </c>
      <c r="CO71" s="66" t="str">
        <f t="shared" ref="CO71:CO134" si="215">IF(AND(CE71="",CF71="",CG71="",CI71="",CK71=""),"",IF(AND(CF71="",CE71="",CG71=""),170-CM71-CN71,IF(AND(CI71=""),130-CM71-CN71,IF(CK71="",100-CM71-CN71,200-CM71-CN71))))</f>
        <v/>
      </c>
      <c r="CP71" s="65" t="str">
        <f t="shared" ref="CP71:CP134" si="216">IF(OR($B71="NSO",$B71="",CK71=""),"",IF(AND(OR(CE71="ab",CE71="ml"),OR(CF71="ab",CF71="ml"),OR(CG71="ab",CG71="ml")),"AB",IF(AND(OR(CE71="NA",CE71=""),OR(CF71="NA",CF71=""),OR(CG71="NA",CG71="")),"AB",IF(AND(OR(CE71="ab",CE71="ml"),OR(CF71="ab",CF71="ml"),OR(CI71="ab",CI71="ml")),"AB",IF(AND(OR(CI71="ab",CI71="ml"),OR(CK71="ab",CK71="ml"),OR(CI71="ab",CK71="ml")),"AB",IF(AND(OR(CK71="ab",CK71="ml"),OR(CE71="ab",CE71="ml"),OR(CF71="ab",CF71="ml")),"AB",""))))))</f>
        <v/>
      </c>
      <c r="CQ71" s="65" t="str">
        <f t="shared" ref="CQ71:CQ134" si="217">IF(OR($B71="NSO",$B71="",CK71=""),"",IF(OR(CP71="AB",CK71="ab"),"AB",IF(CK71="ML","RE",IF(CK71&lt;20%*$CK$6,"F",IF(AND(CL71&gt;=36%*CO71,CK71&gt;=20),"P",IF(AND(CL71&gt;=34%*CO71,CN71=0,CK71&gt;=20),"G2",IF(AND(CL71&gt;=31%*CO71,CN71=0,CK71&gt;=20),"G1",IF(CL71&gt;=25%*CO71,"S","F"))))))))</f>
        <v/>
      </c>
      <c r="CR71" s="65" t="str">
        <f t="shared" ref="CR71:CR134" si="218">IF(OR(CQ71="",CQ71=0,CQ71="S",CQ71="RE",CQ71="F",CQ71="AB"),CQ71,IF(CL71&gt;=75%*CO71,"D",IF(CL71&gt;=60%*CO71,"I",IF(CL71&gt;=48%*CO71,"II",IF(CL71&gt;=36%*CO71,"III",CQ71)))))</f>
        <v/>
      </c>
      <c r="CS71" s="616" t="str">
        <f>IF('School Profile'!$D$20="NO","",IF('Marks Entry'!AQ71="","",IF('Marks Entry'!AQ71=1,'School Profile'!$I$29,IF('Marks Entry'!AQ71=2,'School Profile'!$I$30,IF('Marks Entry'!AQ71=3,'School Profile'!$I$31,IF('Marks Entry'!AQ71=4,'School Profile'!$I$32,IF('Marks Entry'!AQ71=5,'School Profile'!$I$33,IF('Marks Entry'!AQ71=6,'School Profile'!$I$34,IF('Marks Entry'!AQ71=7,'School Profile'!$I$35,IF('Marks Entry'!AQ71=8,'School Profile'!$I$36,IF('Marks Entry'!AQ71=9,'School Profile'!$I$37,IF('Marks Entry'!AQ71=10,'School Profile'!$I$38,IF('Marks Entry'!AQ71=11,'School Profile'!$I$39,"")))))))))))))</f>
        <v/>
      </c>
      <c r="CT71" s="68" t="str">
        <f>IF('School Profile'!$D$20="NO","",IF('Marks Entry'!AR71="","",'Marks Entry'!AR71))</f>
        <v/>
      </c>
      <c r="CU71" s="68" t="str">
        <f>IF('School Profile'!$D$20="NO","",IF('Marks Entry'!AS71="","",'Marks Entry'!AS71))</f>
        <v/>
      </c>
      <c r="CV71" s="68" t="str">
        <f>IF('School Profile'!$D$20="NO","",IF('Marks Entry'!AT71="","",'Marks Entry'!AT71))</f>
        <v/>
      </c>
      <c r="CW71" s="514" t="str">
        <f>IF('School Profile'!$D$20="NO","",IF(AND(CT71="",CU71="",CV71=""),"",SUM(CT71:CV71)))</f>
        <v/>
      </c>
      <c r="CX71" s="68" t="str">
        <f>IF('School Profile'!$D$20="NO","",IF('Marks Entry'!AU71="","",'Marks Entry'!AU71))</f>
        <v/>
      </c>
      <c r="CY71" s="68" t="str">
        <f>IF('School Profile'!$D$20="NO","",IF('Marks Entry'!AV71="","",'Marks Entry'!AV71))</f>
        <v/>
      </c>
      <c r="CZ71" s="515" t="str">
        <f>IF('School Profile'!$D$20="NO","",IF(AND(CX71="",CY71=""),"",SUM(CX71,CY71)))</f>
        <v/>
      </c>
      <c r="DA71" s="69" t="str">
        <f>IF('School Profile'!$D$20="NO","",IF(AND(CW71="",CZ71=""),"",SUM(CW71+CZ71)))</f>
        <v/>
      </c>
      <c r="DB71" s="68" t="str">
        <f>IF('School Profile'!$D$20="NO","",IF('Marks Entry'!AW71="","",'Marks Entry'!AW71))</f>
        <v/>
      </c>
      <c r="DC71" s="68" t="str">
        <f>IF('School Profile'!$D$20="NO","",IF('Marks Entry'!AX71="","",'Marks Entry'!AX71))</f>
        <v/>
      </c>
      <c r="DD71" s="515" t="str">
        <f>IF('School Profile'!$D$20="NO","",IF(AND(DB71="",DC71=""),"",SUM(DB71,DC71)))</f>
        <v/>
      </c>
      <c r="DE71" s="96" t="str">
        <f>IF('School Profile'!$D$20="NO","",IF(AND(DA71="",DD71=""),"",SUM(DA71,DD71)))</f>
        <v/>
      </c>
      <c r="DF71" s="532">
        <f t="shared" ref="DF71:DF134" si="219">COUNTIF(CX71:CZ71,"NA")*10</f>
        <v>0</v>
      </c>
      <c r="DG71" s="65">
        <f t="shared" ref="DG71:DG134" si="220">(COUNTIF(CX71:CZ71,"ML")*10)+(COUNTIF(DB71,"ML")*70)+(COUNTIF(DD71,"ML")*100)</f>
        <v>0</v>
      </c>
      <c r="DH71" s="66" t="str">
        <f t="shared" ref="DH71:DH134" si="221">IF(AND(CX71="",CY71="",CZ71="",DB71="",DD71=""),"",IF(AND(CY71="",CX71="",CZ71=""),170-DF71-DG71,IF(AND(DB71=""),130-DF71-DG71,IF(DD71="",100-DF71-DG71,200-DF71-DG71))))</f>
        <v/>
      </c>
      <c r="DI71" s="65" t="str">
        <f t="shared" ref="DI71:DI134" si="222">IF(OR($B71="NSO",$B71="",DD71=""),"",IF(AND(OR(CX71="ab",CX71="ml"),OR(CY71="ab",CY71="ml"),OR(CZ71="ab",CZ71="ml")),"AB",IF(AND(OR(CX71="NA",CX71=""),OR(CY71="NA",CY71=""),OR(CZ71="NA",CZ71="")),"AB",IF(AND(OR(CX71="ab",CX71="ml"),OR(CY71="ab",CY71="ml"),OR(DB71="ab",DB71="ml")),"AB",IF(AND(OR(DB71="ab",DB71="ml"),OR(DD71="ab",DD71="ml"),OR(DB71="ab",DD71="ml")),"AB",IF(AND(OR(DD71="ab",DD71="ml"),OR(CX71="ab",CX71="ml"),OR(CY71="ab",CY71="ml")),"AB",""))))))</f>
        <v/>
      </c>
      <c r="DJ71" s="65" t="str">
        <f t="shared" ref="DJ71:DJ134" si="223">IF(OR($B71="NSO",$B71="",DD71=""),"",IF(OR(DI71="AB",DD71="ab"),"AB",IF(DD71="ML","RE",IF(DD71&lt;20%*$DD$6,"F",IF(AND(DE71&gt;=36%*DH71,DD71&gt;=20),"P",IF(AND(DE71&gt;=34%*DH71,DG71=0,DD71&gt;=20),"G2",IF(AND(DE71&gt;=31%*DH71,DG71=0,DD71&gt;=20),"G1",IF(DE71&gt;=25%*DH71,"S","F"))))))))</f>
        <v/>
      </c>
      <c r="DK71" s="65" t="str">
        <f t="shared" ref="DK71:DK134" si="224">IF(OR(DJ71="",DJ71=0,DJ71="S",DJ71="RE",DJ71="F",DJ71="AB"),DJ71,IF(DE71&gt;=75%*DH71,"D",IF(DE71&gt;=60%*DH71,"I",IF(DE71&gt;=48%*DH71,"II",IF(DE71&gt;=36%*DH71,"III",DJ71)))))</f>
        <v/>
      </c>
      <c r="DL71" s="97" t="str">
        <f t="shared" si="94"/>
        <v/>
      </c>
      <c r="DM71" s="97" t="str">
        <f t="shared" si="95"/>
        <v/>
      </c>
      <c r="DN71" s="97" t="str">
        <f t="shared" si="96"/>
        <v/>
      </c>
      <c r="DO71" s="97" t="str">
        <f t="shared" si="97"/>
        <v/>
      </c>
      <c r="DP71" s="97" t="str">
        <f t="shared" si="98"/>
        <v/>
      </c>
      <c r="DQ71" s="97" t="str">
        <f t="shared" si="99"/>
        <v/>
      </c>
      <c r="DR71" s="97" t="str">
        <f t="shared" si="100"/>
        <v/>
      </c>
      <c r="DS71" s="98">
        <f t="shared" si="101"/>
        <v>0</v>
      </c>
      <c r="DT71" s="98">
        <f t="shared" si="102"/>
        <v>0</v>
      </c>
      <c r="DU71" s="98">
        <f t="shared" si="103"/>
        <v>0</v>
      </c>
      <c r="DV71" s="98">
        <f t="shared" si="104"/>
        <v>0</v>
      </c>
      <c r="DW71" s="98">
        <f t="shared" si="105"/>
        <v>0</v>
      </c>
      <c r="DX71" s="98" t="str">
        <f t="shared" si="106"/>
        <v/>
      </c>
      <c r="DY71" s="99" t="str">
        <f t="shared" si="107"/>
        <v/>
      </c>
      <c r="DZ71" s="74" t="str">
        <f>IF('Marks Entry'!AY71="","",'Marks Entry'!AY71)</f>
        <v/>
      </c>
      <c r="EA71" s="74" t="str">
        <f>IF('Marks Entry'!AZ71="","",'Marks Entry'!AZ71)</f>
        <v/>
      </c>
      <c r="EB71" s="74" t="str">
        <f>IF('Marks Entry'!BA71="","",'Marks Entry'!BA71)</f>
        <v/>
      </c>
      <c r="EC71" s="527" t="str">
        <f t="shared" ref="EC71:EC134" si="225">IF(AND(DZ71="",EA71="",EB71=""),"",SUM(DZ71:EB71))</f>
        <v/>
      </c>
      <c r="ED71" s="74" t="str">
        <f>IF('Marks Entry'!BB71="","",'Marks Entry'!BB71)</f>
        <v/>
      </c>
      <c r="EE71" s="528" t="str">
        <f t="shared" ref="EE71:EE134" si="226">IF(AND(EC71="",ED71=""),"",SUM(EC71,ED71))</f>
        <v/>
      </c>
      <c r="EF71" s="74" t="str">
        <f>IF('Marks Entry'!BC71="","",'Marks Entry'!BC71)</f>
        <v/>
      </c>
      <c r="EG71" s="530" t="str">
        <f t="shared" ref="EG71:EG134" si="227">IF(AND(EF71="",EE71=""),"",SUM(EE71,EF71))</f>
        <v/>
      </c>
      <c r="EH71" s="368" t="str">
        <f t="shared" si="108"/>
        <v/>
      </c>
      <c r="EI71" s="65">
        <f t="shared" si="109"/>
        <v>0</v>
      </c>
      <c r="EJ71" s="65">
        <f t="shared" si="110"/>
        <v>0</v>
      </c>
      <c r="EK71" s="66" t="str">
        <f t="shared" si="111"/>
        <v/>
      </c>
      <c r="EL71" s="74" t="str">
        <f>IF('Marks Entry'!BD71="","",'Marks Entry'!BD71)</f>
        <v/>
      </c>
      <c r="EM71" s="74" t="str">
        <f>IF('Marks Entry'!BE71="","",'Marks Entry'!BE71)</f>
        <v/>
      </c>
      <c r="EN71" s="74" t="str">
        <f>IF('Marks Entry'!BF71="","",'Marks Entry'!BF71)</f>
        <v/>
      </c>
      <c r="EO71" s="527" t="str">
        <f t="shared" ref="EO71:EO134" si="228">IF(AND(EL71="",EM71="",EN71=""),"",SUM(EL71:EN71))</f>
        <v/>
      </c>
      <c r="EP71" s="74" t="str">
        <f>IF('Marks Entry'!BG71="","",'Marks Entry'!BG71)</f>
        <v/>
      </c>
      <c r="EQ71" s="74" t="str">
        <f>IF('Marks Entry'!BH71="","",'Marks Entry'!BH71)</f>
        <v/>
      </c>
      <c r="ER71" s="528" t="str">
        <f t="shared" ref="ER71:ER134" si="229">IF(AND(EP71="",EQ71=""),"",SUM(EP71,EQ71))</f>
        <v/>
      </c>
      <c r="ES71" s="529" t="str">
        <f t="shared" ref="ES71:ES134" si="230">IF(AND(EO71="",ER71=""),"",SUM(EO71+ER71))</f>
        <v/>
      </c>
      <c r="ET71" s="74" t="str">
        <f>IF('Marks Entry'!BI71="","",'Marks Entry'!BI71)</f>
        <v/>
      </c>
      <c r="EU71" s="74" t="str">
        <f>IF('Marks Entry'!BJ71="","",'Marks Entry'!BJ71)</f>
        <v/>
      </c>
      <c r="EV71" s="528" t="str">
        <f t="shared" ref="EV71:EV134" si="231">IF(AND(ET71="",EU71=""),"",SUM(ET71,EU71))</f>
        <v/>
      </c>
      <c r="EW71" s="530" t="str">
        <f t="shared" ref="EW71:EW134" si="232">IF(AND(ES71="",EV71=""),"",SUM(ES71,EV71))</f>
        <v/>
      </c>
      <c r="EX71" s="368" t="str">
        <f t="shared" si="112"/>
        <v/>
      </c>
      <c r="EY71" s="65">
        <f t="shared" si="113"/>
        <v>0</v>
      </c>
      <c r="EZ71" s="65">
        <f t="shared" si="114"/>
        <v>0</v>
      </c>
      <c r="FA71" s="66" t="str">
        <f t="shared" si="115"/>
        <v/>
      </c>
      <c r="FB71" s="74" t="str">
        <f>IF('Marks Entry'!BK71="","",'Marks Entry'!BK71)</f>
        <v/>
      </c>
      <c r="FC71" s="74" t="str">
        <f>IF('Marks Entry'!BL71="","",'Marks Entry'!BL71)</f>
        <v/>
      </c>
      <c r="FD71" s="74" t="str">
        <f>IF('Marks Entry'!BM71="","",'Marks Entry'!BM71)</f>
        <v/>
      </c>
      <c r="FE71" s="74" t="str">
        <f>IF('Marks Entry'!BN71="","",'Marks Entry'!BN71)</f>
        <v/>
      </c>
      <c r="FF71" s="74" t="str">
        <f>IF('Marks Entry'!BO71="","",'Marks Entry'!BO71)</f>
        <v/>
      </c>
      <c r="FG71" s="74" t="str">
        <f>IF('Marks Entry'!BP71="","",'Marks Entry'!BP71)</f>
        <v/>
      </c>
      <c r="FH71" s="527" t="str">
        <f t="shared" ref="FH71:FH134" si="233">IF(AND(FB71="",FC71="",FE71="",FF71="",FG71=""),"",SUM(FB71:FG71))</f>
        <v/>
      </c>
      <c r="FI71" s="74" t="str">
        <f>IF('Marks Entry'!BQ71="","",'Marks Entry'!BQ71)</f>
        <v/>
      </c>
      <c r="FJ71" s="74" t="str">
        <f>IF('Marks Entry'!BR71="","",'Marks Entry'!BR71)</f>
        <v/>
      </c>
      <c r="FK71" s="528" t="str">
        <f t="shared" ref="FK71:FK134" si="234">IF(AND(FI71="",FJ71=""),"",SUM(FI71,FJ71))</f>
        <v/>
      </c>
      <c r="FL71" s="529" t="str">
        <f t="shared" ref="FL71:FL134" si="235">IF(AND(FH71="",FK71=""),"",SUM(FH71+FK71))</f>
        <v/>
      </c>
      <c r="FM71" s="74" t="str">
        <f>IF('Marks Entry'!BS71="","",'Marks Entry'!BS71)</f>
        <v/>
      </c>
      <c r="FN71" s="74" t="str">
        <f>IF('Marks Entry'!BT71="","",'Marks Entry'!BT71)</f>
        <v/>
      </c>
      <c r="FO71" s="528" t="str">
        <f t="shared" ref="FO71:FO134" si="236">IF(AND(FM71="",FN71=""),"",SUM(FM71,FN71))</f>
        <v/>
      </c>
      <c r="FP71" s="530" t="str">
        <f t="shared" ref="FP71:FP134" si="237">IF(AND(FL71="",FO71=""),"",SUM(FL71,FO71))</f>
        <v/>
      </c>
      <c r="FQ71" s="368" t="str">
        <f t="shared" si="116"/>
        <v/>
      </c>
      <c r="FR71" s="65">
        <f t="shared" si="117"/>
        <v>0</v>
      </c>
      <c r="FS71" s="65">
        <f t="shared" si="118"/>
        <v>0</v>
      </c>
      <c r="FT71" s="66" t="str">
        <f t="shared" si="119"/>
        <v/>
      </c>
      <c r="FU71" s="74" t="str">
        <f>IF('Marks Entry'!BU71="","",'Marks Entry'!BU71)</f>
        <v/>
      </c>
      <c r="FV71" s="74" t="str">
        <f>IF('Marks Entry'!BV71="","",'Marks Entry'!BV71)</f>
        <v/>
      </c>
      <c r="FW71" s="74" t="str">
        <f>IF('Marks Entry'!BW71="","",'Marks Entry'!BW71)</f>
        <v/>
      </c>
      <c r="FX71" s="75" t="str">
        <f t="shared" ref="FX71:FX134" si="238">IF(AND(FU71="",FV71="",FW71=""),"",SUM(FU71,FV71,FW71))</f>
        <v/>
      </c>
      <c r="FY71" s="368" t="str">
        <f t="shared" si="120"/>
        <v/>
      </c>
      <c r="FZ71" s="65">
        <f t="shared" si="121"/>
        <v>0</v>
      </c>
      <c r="GA71" s="66">
        <f t="shared" si="122"/>
        <v>0</v>
      </c>
      <c r="GB71" s="66" t="str">
        <f t="shared" si="123"/>
        <v/>
      </c>
      <c r="GC71" s="74" t="str">
        <f>IF('Marks Entry'!BX71="","",'Marks Entry'!BX71)</f>
        <v/>
      </c>
      <c r="GD71" s="74" t="str">
        <f>IF('Marks Entry'!BY71="","",'Marks Entry'!BY71)</f>
        <v/>
      </c>
      <c r="GE71" s="74" t="str">
        <f>IF('Marks Entry'!BZ71="","",'Marks Entry'!BZ71)</f>
        <v/>
      </c>
      <c r="GF71" s="75" t="str">
        <f t="shared" si="124"/>
        <v/>
      </c>
      <c r="GG71" s="368" t="str">
        <f t="shared" si="125"/>
        <v/>
      </c>
      <c r="GH71" s="65">
        <f t="shared" si="126"/>
        <v>0</v>
      </c>
      <c r="GI71" s="66">
        <f t="shared" si="127"/>
        <v>0</v>
      </c>
      <c r="GJ71" s="66" t="str">
        <f t="shared" si="128"/>
        <v/>
      </c>
      <c r="GK71" s="100" t="str">
        <f>IF(AND(F71="",B71=""),"",IF('Student DATA Entry'!M68="","",'Student DATA Entry'!M68))</f>
        <v/>
      </c>
      <c r="GL71" s="101" t="str">
        <f>IF(AND(B71="",F71=""),"",IF('Student DATA Entry'!N68="","",'Student DATA Entry'!N68))</f>
        <v/>
      </c>
      <c r="GM71" s="581" t="str">
        <f t="shared" si="129"/>
        <v/>
      </c>
      <c r="GN71" s="94" t="str">
        <f t="shared" si="130"/>
        <v/>
      </c>
      <c r="GO71" s="94" t="str">
        <f t="shared" si="131"/>
        <v/>
      </c>
      <c r="GP71" s="102" t="str">
        <f t="shared" ref="GP71:GP102" si="239">IF(GN71="G",ROUNDUP(36%*U71-R71,0),"")</f>
        <v/>
      </c>
      <c r="GQ71" s="94" t="str">
        <f t="shared" si="132"/>
        <v/>
      </c>
      <c r="GR71" s="103" t="str">
        <f t="shared" si="133"/>
        <v/>
      </c>
      <c r="GS71" s="102" t="str">
        <f t="shared" ref="GS71:GS102" si="240">IF(GQ71="G",ROUNDUP(36%*AI71-AF71,0),"")</f>
        <v/>
      </c>
      <c r="GT71" s="104" t="str">
        <f t="shared" si="134"/>
        <v/>
      </c>
      <c r="GU71" s="94" t="str">
        <f>IF('Marks Entry'!V71=1,GT71,"")</f>
        <v/>
      </c>
      <c r="GV71" s="94" t="str">
        <f>IF('Marks Entry'!V71=2,GT71,"")</f>
        <v/>
      </c>
      <c r="GW71" s="94" t="str">
        <f>IF('Marks Entry'!V71=3,GT71,"")</f>
        <v/>
      </c>
      <c r="GX71" s="94" t="str">
        <f>IF('Marks Entry'!V71=4,GT71,"")</f>
        <v/>
      </c>
      <c r="GY71" s="94" t="str">
        <f>IF('Marks Entry'!V71=5,GT71,"")</f>
        <v/>
      </c>
      <c r="GZ71" s="94" t="str">
        <f t="shared" si="135"/>
        <v/>
      </c>
      <c r="HA71" s="105" t="str">
        <f t="shared" ref="HA71:HA102" si="241">IF(GT71="G",ROUNDUP(36%*AX71-AU71,0),"")</f>
        <v/>
      </c>
      <c r="HB71" s="94" t="str">
        <f t="shared" si="136"/>
        <v/>
      </c>
      <c r="HC71" s="94" t="str">
        <f t="shared" si="137"/>
        <v/>
      </c>
      <c r="HD71" s="105" t="str">
        <f t="shared" ref="HD71:HD102" si="242">IF(HB71="G",ROUNDUP(36%*BL71-BI71,0),"")</f>
        <v/>
      </c>
      <c r="HE71" s="94" t="str">
        <f t="shared" si="138"/>
        <v/>
      </c>
      <c r="HF71" s="94" t="str">
        <f t="shared" si="139"/>
        <v/>
      </c>
      <c r="HG71" s="105" t="str">
        <f t="shared" ref="HG71:HG102" si="243">IF(HE71="G",ROUNDUP(36%*BZ71-BW71,0),"")</f>
        <v/>
      </c>
      <c r="HH71" s="94" t="str">
        <f t="shared" si="140"/>
        <v/>
      </c>
      <c r="HI71" s="94" t="str">
        <f t="shared" si="141"/>
        <v/>
      </c>
      <c r="HJ71" s="105" t="str">
        <f t="shared" ref="HJ71:HJ102" si="244">IF(HH71="G",ROUNDUP(36%*CO71-CL71,0),"")</f>
        <v/>
      </c>
      <c r="HK71" s="94" t="str">
        <f t="shared" si="142"/>
        <v/>
      </c>
      <c r="HL71" s="94" t="str">
        <f t="shared" si="143"/>
        <v/>
      </c>
      <c r="HM71" s="105" t="str">
        <f t="shared" ref="HM71:HM102" si="245">IF(HK71="G",ROUNDUP(36%*DH71-DE71,0),"")</f>
        <v/>
      </c>
      <c r="HN71" s="367" t="str">
        <f t="shared" si="144"/>
        <v xml:space="preserve">      </v>
      </c>
      <c r="HO71" s="418" t="str">
        <f t="shared" ref="HO71:HO102" si="246">IF(COUNTIF(DL71:DR71,"F")&gt;0,"",CONCATENATE(IF(GN71="S",$GN$5,"")," ",IF(GQ71="S",$GQ$5,"")," ",IF(GU71="S",$GU$5,IF(GV71="S",$GV$5,IF(GW71="S",$GW$5,IF(GX71="S",$GX$5,IF(GY71="S",$GY$5,"")))))," ",IF(HB71="S",$HB$5,"")," ",IF(HE71="S",$HE$5,"")," ",IF(HH71="S",$HH$5,"")," ",IF(HK71="S",$HK$5,"")))</f>
        <v xml:space="preserve">      </v>
      </c>
      <c r="HP71" s="367" t="str">
        <f t="shared" si="146"/>
        <v xml:space="preserve">      </v>
      </c>
      <c r="HQ71" s="107" t="str">
        <f t="shared" si="147"/>
        <v xml:space="preserve">      </v>
      </c>
      <c r="HR71" s="366" t="str">
        <f t="shared" si="148"/>
        <v xml:space="preserve">      </v>
      </c>
      <c r="HS71" s="544" t="str">
        <f t="shared" ref="HS71:HS102" si="247">IF(B71="NSO","NSO",IF(AND(OR(DY71="PASS",DY71="BY GRACE PASS",DY71="RE-EXAM"),DX71="F"),"FAIL",IF(AND(OR(DY71="PASS",DY71="BY GRACE PASS"),DX71="RE"),"RE-EXAM",DY71)))</f>
        <v/>
      </c>
      <c r="HT71" s="542" t="str">
        <f t="shared" si="149"/>
        <v/>
      </c>
      <c r="HU71" s="541" t="str">
        <f t="shared" si="160"/>
        <v/>
      </c>
      <c r="HV71" s="540" t="str">
        <f t="shared" si="150"/>
        <v/>
      </c>
      <c r="HW71" s="537" t="str">
        <f t="shared" si="151"/>
        <v/>
      </c>
      <c r="HX71" s="539" t="str">
        <f t="shared" si="152"/>
        <v/>
      </c>
      <c r="HY71" s="553" t="str">
        <f>IFERROR(IF(OR(HS71="SUPPLEMENTARY",HS71="RE-EXAM"),'Supp. Result Entry'!AQ69,""),"")</f>
        <v/>
      </c>
      <c r="HZ71" s="538" t="str">
        <f t="shared" si="153"/>
        <v/>
      </c>
      <c r="IA71" s="415" t="str">
        <f t="shared" si="154"/>
        <v/>
      </c>
      <c r="IB71" s="415" t="str">
        <f>IF(AND(HZ71="",IA71=""),"",IF(OR(HS71="SUPPLEMENTARY",HS71="RE-EXAM"),'Supp. Result Entry'!AQ69,HS71))</f>
        <v/>
      </c>
      <c r="IC71" s="87"/>
      <c r="IS71" s="109" t="str">
        <f>IF('Supp. Result Entry'!T69="","",'Supp. Result Entry'!$T$4)</f>
        <v/>
      </c>
      <c r="IT71" s="110" t="str">
        <f>IF('Supp. Result Entry'!W69="","",'Supp. Result Entry'!$W$4)</f>
        <v/>
      </c>
      <c r="IU71" s="110" t="str">
        <f>IF('Supp. Result Entry'!Z69="","",'Supp. Result Entry'!$Z$4)</f>
        <v/>
      </c>
      <c r="IV71" s="110" t="str">
        <f>IF('Supp. Result Entry'!AC69="","",'Supp. Result Entry'!$AC$4)</f>
        <v/>
      </c>
      <c r="IW71" s="110" t="str">
        <f>IF('Supp. Result Entry'!AF69="","",'Supp. Result Entry'!$AF$4)</f>
        <v/>
      </c>
      <c r="IX71" s="110" t="str">
        <f>IF('Supp. Result Entry'!AI69="","",'Supp. Result Entry'!$AI$4)</f>
        <v/>
      </c>
      <c r="IY71" s="110" t="str">
        <f>IF('Supp. Result Entry'!AI69="","",'Supp. Result Entry'!$AL$4)</f>
        <v/>
      </c>
      <c r="IZ71" s="110" t="str">
        <f>IF('Supp. Result Entry'!U69="","",'Supp. Result Entry'!U69)</f>
        <v/>
      </c>
      <c r="JA71" s="110" t="str">
        <f>IF('Supp. Result Entry'!X69="","",'Supp. Result Entry'!X69)</f>
        <v/>
      </c>
      <c r="JB71" s="110" t="str">
        <f>IF('Supp. Result Entry'!AA69="","",'Supp. Result Entry'!AA69)</f>
        <v/>
      </c>
      <c r="JC71" s="110" t="str">
        <f>IF('Supp. Result Entry'!AD69="","",'Supp. Result Entry'!AD69)</f>
        <v/>
      </c>
      <c r="JD71" s="110" t="str">
        <f>IF('Supp. Result Entry'!AG69="","",'Supp. Result Entry'!AG69)</f>
        <v/>
      </c>
      <c r="JE71" s="110" t="str">
        <f>IF('Supp. Result Entry'!AJ69="","",'Supp. Result Entry'!AJ69)</f>
        <v/>
      </c>
      <c r="JF71" s="110" t="str">
        <f>IF('Supp. Result Entry'!AM69="","",'Supp. Result Entry'!AM69)</f>
        <v/>
      </c>
      <c r="JG71" s="110" t="str">
        <f>IF('Supp. Result Entry'!V69="","",'Supp. Result Entry'!V69)</f>
        <v/>
      </c>
      <c r="JH71" s="110" t="str">
        <f>IF('Supp. Result Entry'!Y69="","",'Supp. Result Entry'!Y69)</f>
        <v/>
      </c>
      <c r="JI71" s="110" t="str">
        <f>IF('Supp. Result Entry'!AB69="","",'Supp. Result Entry'!AB69)</f>
        <v/>
      </c>
      <c r="JJ71" s="110" t="str">
        <f>IF('Supp. Result Entry'!AE69="","",'Supp. Result Entry'!AE69)</f>
        <v/>
      </c>
      <c r="JK71" s="110" t="str">
        <f>IF('Supp. Result Entry'!AH69="","",'Supp. Result Entry'!AH69)</f>
        <v/>
      </c>
      <c r="JL71" s="110" t="str">
        <f>IF('Supp. Result Entry'!AK69="","",'Supp. Result Entry'!AK69)</f>
        <v/>
      </c>
      <c r="JM71" s="110" t="str">
        <f>IF('Supp. Result Entry'!AN69="","",'Supp. Result Entry'!AN69)</f>
        <v/>
      </c>
      <c r="JN71" s="110">
        <f>COUNTIF('Supp. Result Entry'!K69:Q69,"S")</f>
        <v>0</v>
      </c>
      <c r="JO71" s="110">
        <f t="shared" ref="JO71:JO134" si="248">COUNTIF(GN71:HM71,"RE")+COUNTIF(GN71:HM71,"REP")</f>
        <v>0</v>
      </c>
      <c r="JP71" s="110">
        <f t="shared" si="156"/>
        <v>0</v>
      </c>
      <c r="JQ71" s="110" t="str">
        <f t="shared" ref="JQ71:JQ134" si="249">IF(OR(JN71=0,JN71&lt;JP71),"",IF(OR(GN71="RE",GN71="REP"),SUM(R71,IZ71),IF(GN71="S",IZ71,R71)))</f>
        <v/>
      </c>
      <c r="JR71" s="110" t="str">
        <f t="shared" ref="JR71:JR134" si="250">IF(OR(JN71=0,JN71&lt;JP71),"",IF(OR(GQ71="RE",GQ71="REP"),SUM(AF71,JA71),IF(GQ71="S",JA71,AF71)))</f>
        <v/>
      </c>
      <c r="JS71" s="110" t="str">
        <f t="shared" ref="JS71:JS134" si="251">IF(OR(JN71=0,JN71&lt;JP71),"",IF(OR(GT71="RE",GT71="REP"),SUM(AU71,JB71),IF(GT71="S",JB71,AU71)))</f>
        <v/>
      </c>
      <c r="JT71" s="110" t="str">
        <f t="shared" ref="JT71:JT134" si="252">IF(OR(JN71=0,JN71&lt;JP71),"",IF(OR(HB71="RE",HB71="REP"),SUM(BI71,JC71),IF(HB71="S",JC71,BI71)))</f>
        <v/>
      </c>
      <c r="JU71" s="110" t="str">
        <f t="shared" ref="JU71:JU134" si="253">IF(OR(JN71=0,JN71&lt;JP71),"",IF(OR(HE71="RE",HE71="REP"),SUM(BW71,JD71),IF(HE71="S",JD71,BW71)))</f>
        <v/>
      </c>
      <c r="JV71" s="110" t="str">
        <f t="shared" ref="JV71:JV134" si="254">IF(OR(JN71=0,JN71&lt;JP71),"",IF(OR(HH71="RE",HH71="REP"),SUM(CL71,JE71),IF(HH71="S",JE71,CL71)))</f>
        <v/>
      </c>
      <c r="JW71" s="110" t="str">
        <f t="shared" ref="JW71:JW134" si="255">IF(OR(JN71=0,JN71&lt;JP71),"",IF(OR(HK71="RE",HK71="REP"),SUM(DE71,JF71),IF(HK71="S",JF71,DE71)))</f>
        <v/>
      </c>
      <c r="JX71" s="110" t="str">
        <f t="shared" si="157"/>
        <v/>
      </c>
      <c r="JY71" s="110" t="str">
        <f t="shared" si="158"/>
        <v/>
      </c>
      <c r="JZ71" s="110" t="str">
        <f t="shared" ref="JZ71:JZ134" si="256">IF(OR(JN71=0,JN71&lt;JP71),"",SUM(($R$6+$AF$6+$AU$6+$BI$6+$BW$6+$CL$6))-(JP71*100))</f>
        <v/>
      </c>
      <c r="KA71" s="108" t="str">
        <f t="shared" si="159"/>
        <v/>
      </c>
    </row>
    <row r="72" spans="1:287" s="108" customFormat="1" ht="21.95" customHeight="1">
      <c r="A72" s="89">
        <v>66</v>
      </c>
      <c r="B72" s="90" t="str">
        <f>IF('Marks Entry'!B72="","",'Marks Entry'!B72)</f>
        <v/>
      </c>
      <c r="C72" s="94" t="str">
        <f>IF('Marks Entry'!D72="","",'Marks Entry'!D72)</f>
        <v/>
      </c>
      <c r="D72" s="91" t="str">
        <f>IF('Marks Entry'!E72="","",'Marks Entry'!E72)</f>
        <v/>
      </c>
      <c r="E72" s="92" t="str">
        <f>IF('Marks Entry'!F72="","",'Marks Entry'!F72)</f>
        <v/>
      </c>
      <c r="F72" s="93" t="str">
        <f>IF('Marks Entry'!G72="","",'Marks Entry'!G72)</f>
        <v/>
      </c>
      <c r="G72" s="93" t="str">
        <f>IF('Marks Entry'!H72="","",'Marks Entry'!H72)</f>
        <v/>
      </c>
      <c r="H72" s="93" t="str">
        <f>IF('Marks Entry'!I72="","",'Marks Entry'!I72)</f>
        <v/>
      </c>
      <c r="I72" s="94" t="str">
        <f>IF('Marks Entry'!J72="","",'Marks Entry'!J72)</f>
        <v/>
      </c>
      <c r="J72" s="95" t="str">
        <f>IF('Marks Entry'!K72="","",'Marks Entry'!K72)</f>
        <v/>
      </c>
      <c r="K72" s="68" t="str">
        <f>IF('Marks Entry'!L72="","",'Marks Entry'!L72)</f>
        <v/>
      </c>
      <c r="L72" s="68" t="str">
        <f>IF('Marks Entry'!M72="","",'Marks Entry'!M72)</f>
        <v/>
      </c>
      <c r="M72" s="68" t="str">
        <f>IF('Marks Entry'!N72="","",'Marks Entry'!N72)</f>
        <v/>
      </c>
      <c r="N72" s="514" t="str">
        <f t="shared" ref="N72:N135" si="257">IF(AND(K72="",L72="",M72=""),"",IF(AND(K72="AB",L72="AB",M72="AB"),"AB",IF(AND(K72="ML",L72="ML",M72="ML"),"ML",SUM(K72:M72))))</f>
        <v/>
      </c>
      <c r="O72" s="68" t="str">
        <f>IF('Marks Entry'!O72="","",'Marks Entry'!O72)</f>
        <v/>
      </c>
      <c r="P72" s="515" t="str">
        <f t="shared" ref="P72:P135" si="258">IF(AND(N72="",O72=""),"",SUM(N72,O72))</f>
        <v/>
      </c>
      <c r="Q72" s="68" t="str">
        <f>IF('Marks Entry'!P72="","",'Marks Entry'!P72)</f>
        <v/>
      </c>
      <c r="R72" s="96" t="str">
        <f t="shared" ref="R72:R135" si="259">IF(AND(P72="",Q72=""),"",SUM(Q72,P72))</f>
        <v/>
      </c>
      <c r="S72" s="65">
        <f t="shared" ref="S72:S135" si="260">COUNTIF(K72:M72,"NA")*$K$6</f>
        <v>0</v>
      </c>
      <c r="T72" s="65">
        <f t="shared" ref="T72:T135" si="261">(COUNTIF(K72:M72,"ML")*$K$6)+(COUNTIF(O72,"ML")*$O$6)+(COUNTIF(Q72,"ML")*$Q$6)</f>
        <v>0</v>
      </c>
      <c r="U72" s="66" t="str">
        <f t="shared" si="171"/>
        <v/>
      </c>
      <c r="V72" s="65" t="str">
        <f t="shared" si="172"/>
        <v/>
      </c>
      <c r="W72" s="65" t="str">
        <f t="shared" ref="W72:W135" si="262">IF(OR($B72="NSO",$B72="",Q72=""),"",IF(OR(V72="AB",Q72="ab"),"AB",IF(Q72="ML","RE",IF(Q72&lt;20%*$Q$6,"F",IF(AND(R72&gt;=36%*U72,Q72&gt;=20%*$Q$6),"P",IF(AND(R72&gt;=34%*U72,T72=0,Q72&gt;=20%*$Q$6),"G2",IF(AND(R72&gt;=31%*U72,T72=0,Q72&gt;=20%*$Q$6),"G1",IF(R72&gt;=25%*U72,"S","F"))))))))</f>
        <v/>
      </c>
      <c r="X72" s="65" t="str">
        <f t="shared" si="173"/>
        <v/>
      </c>
      <c r="Y72" s="68" t="str">
        <f>IF('Marks Entry'!Q72="","",'Marks Entry'!Q72)</f>
        <v/>
      </c>
      <c r="Z72" s="68" t="str">
        <f>IF('Marks Entry'!R72="","",'Marks Entry'!R72)</f>
        <v/>
      </c>
      <c r="AA72" s="68" t="str">
        <f>IF('Marks Entry'!S72="","",'Marks Entry'!S72)</f>
        <v/>
      </c>
      <c r="AB72" s="514" t="str">
        <f t="shared" si="174"/>
        <v/>
      </c>
      <c r="AC72" s="68" t="str">
        <f>IF('Marks Entry'!T72="","",'Marks Entry'!T72)</f>
        <v/>
      </c>
      <c r="AD72" s="515" t="str">
        <f t="shared" si="175"/>
        <v/>
      </c>
      <c r="AE72" s="68" t="str">
        <f>IF('Marks Entry'!U72="","",'Marks Entry'!U72)</f>
        <v/>
      </c>
      <c r="AF72" s="96" t="str">
        <f t="shared" si="176"/>
        <v/>
      </c>
      <c r="AG72" s="65">
        <f t="shared" si="177"/>
        <v>0</v>
      </c>
      <c r="AH72" s="65">
        <f t="shared" si="178"/>
        <v>0</v>
      </c>
      <c r="AI72" s="66" t="str">
        <f t="shared" si="179"/>
        <v/>
      </c>
      <c r="AJ72" s="65" t="str">
        <f t="shared" si="180"/>
        <v/>
      </c>
      <c r="AK72" s="65" t="str">
        <f t="shared" si="181"/>
        <v/>
      </c>
      <c r="AL72" s="65" t="str">
        <f t="shared" si="182"/>
        <v/>
      </c>
      <c r="AM72" s="524" t="str">
        <f>IF('Marks Entry'!V72="","",IF('Marks Entry'!V72=1,'School Profile'!$I$9,IF('Marks Entry'!V72=2,'School Profile'!$I$10,IF('Marks Entry'!V72=3,'School Profile'!$I$11,IF('Marks Entry'!V72=4,'School Profile'!$I$12,IF('Marks Entry'!V72=5,'School Profile'!$I$13,IF('Marks Entry'!V72=6,'School Profile'!$I$14,"")))))))</f>
        <v/>
      </c>
      <c r="AN72" s="68" t="str">
        <f>IF('Marks Entry'!W72="","",'Marks Entry'!W72)</f>
        <v/>
      </c>
      <c r="AO72" s="68" t="str">
        <f>IF('Marks Entry'!X72="","",'Marks Entry'!X72)</f>
        <v/>
      </c>
      <c r="AP72" s="68" t="str">
        <f>IF('Marks Entry'!Y72="","",'Marks Entry'!Y72)</f>
        <v/>
      </c>
      <c r="AQ72" s="514" t="str">
        <f t="shared" si="183"/>
        <v/>
      </c>
      <c r="AR72" s="68" t="str">
        <f>IF('Marks Entry'!Z72="","",'Marks Entry'!Z72)</f>
        <v/>
      </c>
      <c r="AS72" s="515" t="str">
        <f t="shared" si="184"/>
        <v/>
      </c>
      <c r="AT72" s="68" t="str">
        <f>IF('Marks Entry'!AA72="","",'Marks Entry'!AA72)</f>
        <v/>
      </c>
      <c r="AU72" s="96" t="str">
        <f t="shared" si="185"/>
        <v/>
      </c>
      <c r="AV72" s="65">
        <f t="shared" si="186"/>
        <v>0</v>
      </c>
      <c r="AW72" s="65">
        <f t="shared" si="187"/>
        <v>0</v>
      </c>
      <c r="AX72" s="66" t="str">
        <f t="shared" si="188"/>
        <v/>
      </c>
      <c r="AY72" s="65" t="str">
        <f t="shared" si="189"/>
        <v/>
      </c>
      <c r="AZ72" s="65" t="str">
        <f t="shared" si="190"/>
        <v/>
      </c>
      <c r="BA72" s="65" t="str">
        <f t="shared" si="191"/>
        <v/>
      </c>
      <c r="BB72" s="68" t="str">
        <f>IF('Marks Entry'!AB72="","",'Marks Entry'!AB72)</f>
        <v/>
      </c>
      <c r="BC72" s="68" t="str">
        <f>IF('Marks Entry'!AC72="","",'Marks Entry'!AC72)</f>
        <v/>
      </c>
      <c r="BD72" s="68" t="str">
        <f>IF('Marks Entry'!AD72="","",'Marks Entry'!AD72)</f>
        <v/>
      </c>
      <c r="BE72" s="514" t="str">
        <f t="shared" si="192"/>
        <v/>
      </c>
      <c r="BF72" s="68" t="str">
        <f>IF('Marks Entry'!AE72="","",'Marks Entry'!AE72)</f>
        <v/>
      </c>
      <c r="BG72" s="515" t="str">
        <f t="shared" si="193"/>
        <v/>
      </c>
      <c r="BH72" s="68" t="str">
        <f>IF('Marks Entry'!AF72="","",'Marks Entry'!AF72)</f>
        <v/>
      </c>
      <c r="BI72" s="96" t="str">
        <f t="shared" si="194"/>
        <v/>
      </c>
      <c r="BJ72" s="65">
        <f t="shared" si="195"/>
        <v>0</v>
      </c>
      <c r="BK72" s="65">
        <f t="shared" ref="BK72:BK135" si="263">(COUNTIF(BB72:BD72,"ML")*10)+(COUNTIF(BF72,"ML")*$BF$6)+(COUNTIF(BH72,"ML")*$BH$6)</f>
        <v>0</v>
      </c>
      <c r="BL72" s="66" t="str">
        <f t="shared" si="196"/>
        <v/>
      </c>
      <c r="BM72" s="65" t="str">
        <f t="shared" si="197"/>
        <v/>
      </c>
      <c r="BN72" s="65" t="str">
        <f t="shared" si="198"/>
        <v/>
      </c>
      <c r="BO72" s="65" t="str">
        <f t="shared" si="199"/>
        <v/>
      </c>
      <c r="BP72" s="68" t="str">
        <f>IF('Marks Entry'!AG72="","",'Marks Entry'!AG72)</f>
        <v/>
      </c>
      <c r="BQ72" s="68" t="str">
        <f>IF('Marks Entry'!AH72="","",'Marks Entry'!AH72)</f>
        <v/>
      </c>
      <c r="BR72" s="68" t="str">
        <f>IF('Marks Entry'!AI72="","",'Marks Entry'!AI72)</f>
        <v/>
      </c>
      <c r="BS72" s="514" t="str">
        <f t="shared" si="200"/>
        <v/>
      </c>
      <c r="BT72" s="68" t="str">
        <f>IF('Marks Entry'!AJ72="","",'Marks Entry'!AJ72)</f>
        <v/>
      </c>
      <c r="BU72" s="515" t="str">
        <f t="shared" si="201"/>
        <v/>
      </c>
      <c r="BV72" s="68" t="str">
        <f>IF('Marks Entry'!AK72="","",'Marks Entry'!AK72)</f>
        <v/>
      </c>
      <c r="BW72" s="96" t="str">
        <f t="shared" si="202"/>
        <v/>
      </c>
      <c r="BX72" s="65">
        <f t="shared" si="203"/>
        <v>0</v>
      </c>
      <c r="BY72" s="65">
        <f t="shared" si="204"/>
        <v>0</v>
      </c>
      <c r="BZ72" s="66" t="str">
        <f t="shared" si="205"/>
        <v/>
      </c>
      <c r="CA72" s="65" t="str">
        <f t="shared" si="206"/>
        <v/>
      </c>
      <c r="CB72" s="65" t="str">
        <f t="shared" si="207"/>
        <v/>
      </c>
      <c r="CC72" s="65" t="str">
        <f t="shared" si="208"/>
        <v/>
      </c>
      <c r="CD72" s="66">
        <f t="shared" si="209"/>
        <v>0</v>
      </c>
      <c r="CE72" s="68" t="str">
        <f>IF('Marks Entry'!AL72="","",'Marks Entry'!AL72)</f>
        <v/>
      </c>
      <c r="CF72" s="68" t="str">
        <f>IF('Marks Entry'!AM72="","",'Marks Entry'!AM72)</f>
        <v/>
      </c>
      <c r="CG72" s="68" t="str">
        <f>IF('Marks Entry'!AN72="","",'Marks Entry'!AN72)</f>
        <v/>
      </c>
      <c r="CH72" s="514" t="str">
        <f t="shared" si="210"/>
        <v/>
      </c>
      <c r="CI72" s="68" t="str">
        <f>IF('Marks Entry'!AO72="","",'Marks Entry'!AO72)</f>
        <v/>
      </c>
      <c r="CJ72" s="515" t="str">
        <f t="shared" si="211"/>
        <v/>
      </c>
      <c r="CK72" s="68" t="str">
        <f>IF('Marks Entry'!AP72="","",'Marks Entry'!AP72)</f>
        <v/>
      </c>
      <c r="CL72" s="96" t="str">
        <f t="shared" si="212"/>
        <v/>
      </c>
      <c r="CM72" s="65">
        <f t="shared" si="213"/>
        <v>0</v>
      </c>
      <c r="CN72" s="65">
        <f t="shared" si="214"/>
        <v>0</v>
      </c>
      <c r="CO72" s="66" t="str">
        <f t="shared" si="215"/>
        <v/>
      </c>
      <c r="CP72" s="65" t="str">
        <f t="shared" si="216"/>
        <v/>
      </c>
      <c r="CQ72" s="65" t="str">
        <f t="shared" si="217"/>
        <v/>
      </c>
      <c r="CR72" s="65" t="str">
        <f t="shared" si="218"/>
        <v/>
      </c>
      <c r="CS72" s="616" t="str">
        <f>IF('School Profile'!$D$20="NO","",IF('Marks Entry'!AQ72="","",IF('Marks Entry'!AQ72=1,'School Profile'!$I$29,IF('Marks Entry'!AQ72=2,'School Profile'!$I$30,IF('Marks Entry'!AQ72=3,'School Profile'!$I$31,IF('Marks Entry'!AQ72=4,'School Profile'!$I$32,IF('Marks Entry'!AQ72=5,'School Profile'!$I$33,IF('Marks Entry'!AQ72=6,'School Profile'!$I$34,IF('Marks Entry'!AQ72=7,'School Profile'!$I$35,IF('Marks Entry'!AQ72=8,'School Profile'!$I$36,IF('Marks Entry'!AQ72=9,'School Profile'!$I$37,IF('Marks Entry'!AQ72=10,'School Profile'!$I$38,IF('Marks Entry'!AQ72=11,'School Profile'!$I$39,"")))))))))))))</f>
        <v/>
      </c>
      <c r="CT72" s="68" t="str">
        <f>IF('School Profile'!$D$20="NO","",IF('Marks Entry'!AR72="","",'Marks Entry'!AR72))</f>
        <v/>
      </c>
      <c r="CU72" s="68" t="str">
        <f>IF('School Profile'!$D$20="NO","",IF('Marks Entry'!AS72="","",'Marks Entry'!AS72))</f>
        <v/>
      </c>
      <c r="CV72" s="68" t="str">
        <f>IF('School Profile'!$D$20="NO","",IF('Marks Entry'!AT72="","",'Marks Entry'!AT72))</f>
        <v/>
      </c>
      <c r="CW72" s="514" t="str">
        <f>IF('School Profile'!$D$20="NO","",IF(AND(CT72="",CU72="",CV72=""),"",SUM(CT72:CV72)))</f>
        <v/>
      </c>
      <c r="CX72" s="68" t="str">
        <f>IF('School Profile'!$D$20="NO","",IF('Marks Entry'!AU72="","",'Marks Entry'!AU72))</f>
        <v/>
      </c>
      <c r="CY72" s="68" t="str">
        <f>IF('School Profile'!$D$20="NO","",IF('Marks Entry'!AV72="","",'Marks Entry'!AV72))</f>
        <v/>
      </c>
      <c r="CZ72" s="515" t="str">
        <f>IF('School Profile'!$D$20="NO","",IF(AND(CX72="",CY72=""),"",SUM(CX72,CY72)))</f>
        <v/>
      </c>
      <c r="DA72" s="69" t="str">
        <f>IF('School Profile'!$D$20="NO","",IF(AND(CW72="",CZ72=""),"",SUM(CW72+CZ72)))</f>
        <v/>
      </c>
      <c r="DB72" s="68" t="str">
        <f>IF('School Profile'!$D$20="NO","",IF('Marks Entry'!AW72="","",'Marks Entry'!AW72))</f>
        <v/>
      </c>
      <c r="DC72" s="68" t="str">
        <f>IF('School Profile'!$D$20="NO","",IF('Marks Entry'!AX72="","",'Marks Entry'!AX72))</f>
        <v/>
      </c>
      <c r="DD72" s="515" t="str">
        <f>IF('School Profile'!$D$20="NO","",IF(AND(DB72="",DC72=""),"",SUM(DB72,DC72)))</f>
        <v/>
      </c>
      <c r="DE72" s="96" t="str">
        <f>IF('School Profile'!$D$20="NO","",IF(AND(DA72="",DD72=""),"",SUM(DA72,DD72)))</f>
        <v/>
      </c>
      <c r="DF72" s="532">
        <f t="shared" si="219"/>
        <v>0</v>
      </c>
      <c r="DG72" s="65">
        <f t="shared" si="220"/>
        <v>0</v>
      </c>
      <c r="DH72" s="66" t="str">
        <f t="shared" si="221"/>
        <v/>
      </c>
      <c r="DI72" s="65" t="str">
        <f t="shared" si="222"/>
        <v/>
      </c>
      <c r="DJ72" s="65" t="str">
        <f t="shared" si="223"/>
        <v/>
      </c>
      <c r="DK72" s="65" t="str">
        <f t="shared" si="224"/>
        <v/>
      </c>
      <c r="DL72" s="97" t="str">
        <f t="shared" ref="DL72:DL135" si="264">X72</f>
        <v/>
      </c>
      <c r="DM72" s="97" t="str">
        <f t="shared" ref="DM72:DM135" si="265">AL72</f>
        <v/>
      </c>
      <c r="DN72" s="97" t="str">
        <f t="shared" ref="DN72:DN135" si="266">BA72</f>
        <v/>
      </c>
      <c r="DO72" s="97" t="str">
        <f t="shared" ref="DO72:DO135" si="267">BO72</f>
        <v/>
      </c>
      <c r="DP72" s="97" t="str">
        <f t="shared" ref="DP72:DP135" si="268">CC72</f>
        <v/>
      </c>
      <c r="DQ72" s="97" t="str">
        <f t="shared" ref="DQ72:DQ135" si="269">CR72</f>
        <v/>
      </c>
      <c r="DR72" s="97" t="str">
        <f t="shared" ref="DR72:DR135" si="270">DK72</f>
        <v/>
      </c>
      <c r="DS72" s="98">
        <f t="shared" ref="DS72:DS135" si="271">COUNTIF(DL72:DR72,"F")+COUNTIF(DL72:DR72,"AB")</f>
        <v>0</v>
      </c>
      <c r="DT72" s="98">
        <f t="shared" ref="DT72:DT135" si="272">COUNTIF(DL72:DR72,"S")</f>
        <v>0</v>
      </c>
      <c r="DU72" s="98">
        <f t="shared" ref="DU72:DU135" si="273">COUNTIF(DL72:DR72,"G1")</f>
        <v>0</v>
      </c>
      <c r="DV72" s="98">
        <f t="shared" ref="DV72:DV135" si="274">COUNTIF(DL72:DR72,"G2")</f>
        <v>0</v>
      </c>
      <c r="DW72" s="98">
        <f t="shared" ref="DW72:DW135" si="275">COUNTIF(DL72:DR72,"RE")+COUNTIF(DL72:DR72,"REP")</f>
        <v>0</v>
      </c>
      <c r="DX72" s="98" t="str">
        <f t="shared" ref="DX72:DX135" si="276">IF(OR(DK72="AB",DK72="F"),"F",IF(OR(DK72="RE"),"RE",""))</f>
        <v/>
      </c>
      <c r="DY72" s="99" t="str">
        <f t="shared" ref="DY72:DY135" si="277">IF(B72="NSO","NSO",IF(OR(B72="",B72=0,Q72="",AE72="",AT72="",BH72="",BV72="",CK72=""),"",IF(OR(DS72&gt;0,(DT72+DU72+DV72)&gt;2),"FAIL",IF(DW72&gt;0,"RE-EXAM",IF(OR(DT72&gt;0,DU72&gt;1),"SUPPLEMENTARY",IF(AND(DU72&gt;0,DV72&gt;0),"SUPPLEMENTARY",IF((DU72+DV72)&gt;0,"BY GRACE PASS","PASS")))))))</f>
        <v/>
      </c>
      <c r="DZ72" s="74" t="str">
        <f>IF('Marks Entry'!AY72="","",'Marks Entry'!AY72)</f>
        <v/>
      </c>
      <c r="EA72" s="74" t="str">
        <f>IF('Marks Entry'!AZ72="","",'Marks Entry'!AZ72)</f>
        <v/>
      </c>
      <c r="EB72" s="74" t="str">
        <f>IF('Marks Entry'!BA72="","",'Marks Entry'!BA72)</f>
        <v/>
      </c>
      <c r="EC72" s="527" t="str">
        <f t="shared" si="225"/>
        <v/>
      </c>
      <c r="ED72" s="74" t="str">
        <f>IF('Marks Entry'!BB72="","",'Marks Entry'!BB72)</f>
        <v/>
      </c>
      <c r="EE72" s="528" t="str">
        <f t="shared" si="226"/>
        <v/>
      </c>
      <c r="EF72" s="74" t="str">
        <f>IF('Marks Entry'!BC72="","",'Marks Entry'!BC72)</f>
        <v/>
      </c>
      <c r="EG72" s="530" t="str">
        <f t="shared" si="227"/>
        <v/>
      </c>
      <c r="EH72" s="368" t="str">
        <f t="shared" ref="EH72:EH135" si="278">IF(OR($B72="NSO",$B72=0,EG72=""),"",IF(OR(EG72="AB",EE72="AB",EF72="AB"),"AB",IF(AND(DY72="FAIL",(OR(EG72&lt;36%*EK72))),"D",IF(OR(EF72="ML",EF72&lt;20%*EF$6,EG72&lt;36%*EK72),"D",IF(EG72&gt;80%*EK72,"A",IF(EG72&gt;60%*EK72,"B",IF(EG72&gt;40%*EK72,"C","D")))))))</f>
        <v/>
      </c>
      <c r="EI72" s="65">
        <f t="shared" ref="EI72:EI135" si="279">COUNTIF(DZ72:EB72,"NA")*10</f>
        <v>0</v>
      </c>
      <c r="EJ72" s="65">
        <f t="shared" ref="EJ72:EJ135" si="280">(COUNTIF(DZ72:EB72,"ML")*10)+(COUNTIF(ED72,"ML")*70)+(COUNTIF(EF72,"ML")*100)</f>
        <v>0</v>
      </c>
      <c r="EK72" s="66" t="str">
        <f t="shared" ref="EK72:EK135" si="281">IF(OR($B72="NSO",$B72=0),"",IF(AND(DZ72="",EA72="",EC72="",EE72=""),"",IF(AND(EA72="",EC72="",ED72="",EE72="",EF72=""),($DZ$6)-EI72-EJ72,IF(AND(DZ72="",EC72="",ED72="",EE72="",EF72=""),($EA$6)-EI72-EJ72,IF(AND(EC72="",ED72="",EE72="",EF72=""),($DZ$6+$EA$6)-EI72-EJ72,IF(AND(EE72="",EF72=""),($EC$6+$ED$6)-EI72-EJ72,($EG$6)-EI72-EJ72))))))</f>
        <v/>
      </c>
      <c r="EL72" s="74" t="str">
        <f>IF('Marks Entry'!BD72="","",'Marks Entry'!BD72)</f>
        <v/>
      </c>
      <c r="EM72" s="74" t="str">
        <f>IF('Marks Entry'!BE72="","",'Marks Entry'!BE72)</f>
        <v/>
      </c>
      <c r="EN72" s="74" t="str">
        <f>IF('Marks Entry'!BF72="","",'Marks Entry'!BF72)</f>
        <v/>
      </c>
      <c r="EO72" s="527" t="str">
        <f t="shared" si="228"/>
        <v/>
      </c>
      <c r="EP72" s="74" t="str">
        <f>IF('Marks Entry'!BG72="","",'Marks Entry'!BG72)</f>
        <v/>
      </c>
      <c r="EQ72" s="74" t="str">
        <f>IF('Marks Entry'!BH72="","",'Marks Entry'!BH72)</f>
        <v/>
      </c>
      <c r="ER72" s="528" t="str">
        <f t="shared" si="229"/>
        <v/>
      </c>
      <c r="ES72" s="529" t="str">
        <f t="shared" si="230"/>
        <v/>
      </c>
      <c r="ET72" s="74" t="str">
        <f>IF('Marks Entry'!BI72="","",'Marks Entry'!BI72)</f>
        <v/>
      </c>
      <c r="EU72" s="74" t="str">
        <f>IF('Marks Entry'!BJ72="","",'Marks Entry'!BJ72)</f>
        <v/>
      </c>
      <c r="EV72" s="528" t="str">
        <f t="shared" si="231"/>
        <v/>
      </c>
      <c r="EW72" s="530" t="str">
        <f t="shared" si="232"/>
        <v/>
      </c>
      <c r="EX72" s="368" t="str">
        <f t="shared" ref="EX72:EX135" si="282">IF(OR($B72="NSO",$B72=0,EW72=""),"",IF(OR(ET72="AB",EU72="AB",EV72="AB"),"AB",IF(AND($DY72="FAIL",(OR(EW72&lt;36%*FA72))),"D",IF(OR(EV72="ML",EV72&lt;20%*EV$6,EW72&lt;36%*FA72),"D",IF(EW72&gt;80%*FA72,"A",IF(EW72&gt;60%*FA72,"B",IF(EW72&gt;40%*FA72,"C","D")))))))</f>
        <v/>
      </c>
      <c r="EY72" s="65">
        <f t="shared" ref="EY72:EY135" si="283">COUNTIF(EL72:EN72,"NA")*10</f>
        <v>0</v>
      </c>
      <c r="EZ72" s="65">
        <f t="shared" ref="EZ72:EZ135" si="284">(COUNTIF(EL72:EN72,"ML")*10)+(COUNTIF(ER72,"ML")*70)+(COUNTIF(EV72,"ML")*100)</f>
        <v>0</v>
      </c>
      <c r="FA72" s="66" t="str">
        <f t="shared" ref="FA72:FA135" si="285">IF(OR($B72="NSO",$B72=0),"",IF(AND(EL72="",EM72="",EP72="",ET72=""),"",IF(AND(EM72="",EP72="",EQ72="",ET72="",EU72=""),($EL$6)-EY72-EZ72,IF(AND(EL72="",EP72="",EQ72="",ET72="",EU72=""),($EM$6)-EY72-EZ72,IF(AND(EP72="",EQ72="",ET72="",EU72=""),($EL$6+$EM$6)-EY72-EZ72,IF(AND(ET72="",EU72=""),($EP$6+$EQ$6)-EY72-EZ72,($EW$6)-EY72-EZ72))))))</f>
        <v/>
      </c>
      <c r="FB72" s="74" t="str">
        <f>IF('Marks Entry'!BK72="","",'Marks Entry'!BK72)</f>
        <v/>
      </c>
      <c r="FC72" s="74" t="str">
        <f>IF('Marks Entry'!BL72="","",'Marks Entry'!BL72)</f>
        <v/>
      </c>
      <c r="FD72" s="74" t="str">
        <f>IF('Marks Entry'!BM72="","",'Marks Entry'!BM72)</f>
        <v/>
      </c>
      <c r="FE72" s="74" t="str">
        <f>IF('Marks Entry'!BN72="","",'Marks Entry'!BN72)</f>
        <v/>
      </c>
      <c r="FF72" s="74" t="str">
        <f>IF('Marks Entry'!BO72="","",'Marks Entry'!BO72)</f>
        <v/>
      </c>
      <c r="FG72" s="74" t="str">
        <f>IF('Marks Entry'!BP72="","",'Marks Entry'!BP72)</f>
        <v/>
      </c>
      <c r="FH72" s="527" t="str">
        <f t="shared" si="233"/>
        <v/>
      </c>
      <c r="FI72" s="74" t="str">
        <f>IF('Marks Entry'!BQ72="","",'Marks Entry'!BQ72)</f>
        <v/>
      </c>
      <c r="FJ72" s="74" t="str">
        <f>IF('Marks Entry'!BR72="","",'Marks Entry'!BR72)</f>
        <v/>
      </c>
      <c r="FK72" s="528" t="str">
        <f t="shared" si="234"/>
        <v/>
      </c>
      <c r="FL72" s="529" t="str">
        <f t="shared" si="235"/>
        <v/>
      </c>
      <c r="FM72" s="74" t="str">
        <f>IF('Marks Entry'!BS72="","",'Marks Entry'!BS72)</f>
        <v/>
      </c>
      <c r="FN72" s="74" t="str">
        <f>IF('Marks Entry'!BT72="","",'Marks Entry'!BT72)</f>
        <v/>
      </c>
      <c r="FO72" s="528" t="str">
        <f t="shared" si="236"/>
        <v/>
      </c>
      <c r="FP72" s="530" t="str">
        <f t="shared" si="237"/>
        <v/>
      </c>
      <c r="FQ72" s="368" t="str">
        <f t="shared" ref="FQ72:FQ135" si="286">IF(OR($B72="NSO",$B72=0,FP72=""),"",IF(OR(FM72="AB",FN72="AB",FO72="AB"),"AB",IF(AND($DY72="FAIL",(OR(FP72&lt;36%*FT72))),"D",IF(OR(FO72="ML",FO72&lt;20%*FO$6,FP72&lt;36%*FT72),"D",IF(FP72&gt;80%*FT72,"A",IF(FP72&gt;60%*FT72,"B",IF(FP72&gt;40%*FT72,"C","D")))))))</f>
        <v/>
      </c>
      <c r="FR72" s="65">
        <f t="shared" ref="FR72:FR135" si="287">COUNTIF(FB72,"NA")*10+COUNTIF(FD72,"NA")*10+COUNTIF(FF72,"NA")*10</f>
        <v>0</v>
      </c>
      <c r="FS72" s="65">
        <f t="shared" ref="FS72:FS135" si="288">(COUNTIF(FB72,"ML")*10)+(COUNTIF(FD72,"ML")*10)+(COUNTIF(FF72,"ML")*10)+(COUNTIF(FI72,"ML")*25)+(COUNTIF(FJ72,"ML")*15)+(COUNTIF(FM72,"ML")*30)+(COUNTIF(FN72,"ML")*70)</f>
        <v>0</v>
      </c>
      <c r="FT72" s="66" t="str">
        <f t="shared" ref="FT72:FT135" si="289">IF(OR($B72="NSO",$B72=0),"",IF(AND(FB72="",FD72="",FF72="",FI72="",FM72=""),"",IF(AND(FC72="",FI72="",FJ72="",FE72="",FN72=""),($FB$6)-FR72-FS72,IF(AND(FB72="",FI72="",FJ72="",FM72="",FN72=""),($FC$6)-FR72-FS72,IF(AND(FI72="",FJ72="",FM72="",FN72=""),($FB$6+$FC$6)-FR72-FS72,IF(AND(FM72="",FN72=""),($FI$6+$FJ$6)-FR72-FS72,($FP$6)-FR72-FS72))))))</f>
        <v/>
      </c>
      <c r="FU72" s="74" t="str">
        <f>IF('Marks Entry'!BU72="","",'Marks Entry'!BU72)</f>
        <v/>
      </c>
      <c r="FV72" s="74" t="str">
        <f>IF('Marks Entry'!BV72="","",'Marks Entry'!BV72)</f>
        <v/>
      </c>
      <c r="FW72" s="74" t="str">
        <f>IF('Marks Entry'!BW72="","",'Marks Entry'!BW72)</f>
        <v/>
      </c>
      <c r="FX72" s="75" t="str">
        <f t="shared" si="238"/>
        <v/>
      </c>
      <c r="FY72" s="368" t="str">
        <f t="shared" ref="FY72:FY135" si="290">IFERROR(IF(OR($B72="NSO",$B72=0,FX72=""),"",IF(OR(FU72="AB",FV72="AB",FW72="AB"),"AB",IF(AND($DY72="FAIL",(OR(FX72&lt;36%*GB72))),"D",IF(OR(FW72="ML",FX72&lt;20%*FX$6,FX72&lt;36%*GB72),"D",IF(FX72&gt;80%*GB72,"A",IF(FX72&gt;60%*GB72,"B",IF(FX72&gt;40%*GB72,"C","D"))))))),"")</f>
        <v/>
      </c>
      <c r="FZ72" s="65">
        <f t="shared" ref="FZ72:FZ135" si="291">COUNTIF(FU72,"NA")*25</f>
        <v>0</v>
      </c>
      <c r="GA72" s="66">
        <f t="shared" ref="GA72:GA135" si="292">IF(AND(FW72="",FU72="",FW72=""),(COUNTIF(FU72,"ML")*25+(COUNTIF(FW72,"ML"))*FW$6+(COUNTIF(FV72,"ML"))*FV$6),(COUNTIF(FU72,"ML")*25+(COUNTIF(FW72,"ML"))*FW$6+(COUNTIF(FX72,"ML"))*FX$6))</f>
        <v>0</v>
      </c>
      <c r="GB72" s="66" t="str">
        <f t="shared" ref="GB72:GB135" si="293">IF(OR($B72="NSO",$B72=0),"",IF(AND(FU72="",FV72="",FW72=""),"",IF(AND(FU72="",FV72="",FW72=""),($FX$6)-FZ72-GA72,IF(AND(FW72=""),($FW$6)-FZ72-GA72,IF(AND(FV72=""),($FV$6)-FZ72-GA72,IF(AND(FU72=""),($FU$6)-FZ72-GA72,($FX$6)-FZ72-GA72))))))</f>
        <v/>
      </c>
      <c r="GC72" s="74" t="str">
        <f>IF('Marks Entry'!BX72="","",'Marks Entry'!BX72)</f>
        <v/>
      </c>
      <c r="GD72" s="74" t="str">
        <f>IF('Marks Entry'!BY72="","",'Marks Entry'!BY72)</f>
        <v/>
      </c>
      <c r="GE72" s="74" t="str">
        <f>IF('Marks Entry'!BZ72="","",'Marks Entry'!BZ72)</f>
        <v/>
      </c>
      <c r="GF72" s="75" t="str">
        <f t="shared" ref="GF72:GF135" si="294">IF(AND(GC72="",GD72="",GE72=""),"",SUM(GC72,GD72,GE72))</f>
        <v/>
      </c>
      <c r="GG72" s="368" t="str">
        <f t="shared" ref="GG72:GG135" si="295">IFERROR(IF(OR($B72="NSO",$B72=0,GF72=""),"",IF(OR(GC72="AB",GD72="AB",GE72="AB"),"AB",IF(AND($DY72="FAIL",(OR(GF72&lt;36%*GJ72))),"D",IF(OR(GE72="ML",GF72&lt;20%*GF$6,GF72&lt;36%*GJ72),"D",IF(GF72&gt;80%*GJ72,"A",IF(GF72&gt;60%*GJ72,"B",IF(GF72&gt;40%*GJ72,"C","D"))))))),"")</f>
        <v/>
      </c>
      <c r="GH72" s="65">
        <f t="shared" ref="GH72:GH135" si="296">COUNTIF(GC72,"NA")*25</f>
        <v>0</v>
      </c>
      <c r="GI72" s="66">
        <f t="shared" ref="GI72:GI135" si="297">IF(AND(GE72="",GC72="",GE72=""),(COUNTIF(GC72,"ML")*25+(COUNTIF(GE72,"ML"))*GE$6+(COUNTIF(GD72,"ML"))*GD$6),(COUNTIF(GC72,"ML")*25+(COUNTIF(GE72,"ML"))*GE$6+(COUNTIF(GF72,"ML"))*GF$6))</f>
        <v>0</v>
      </c>
      <c r="GJ72" s="66" t="str">
        <f t="shared" ref="GJ72:GJ135" si="298">IF(OR($B72="NSO",$B72=0),"",IF(AND(GC72="",GD72="",GE72=""),"",IF(AND(GC72="",GD72="",GE72=""),($GF$6)-GH72-GI72,IF(AND(GE72=""),($GE$6)-GH72-GI72,IF(AND(GD72=""),($GD$6)-GH72-GI72,IF(AND(GC72=""),($GC$6)-GH72-GI72,($GF$6)-GH72-GI72))))))</f>
        <v/>
      </c>
      <c r="GK72" s="100" t="str">
        <f>IF(AND(F72="",B72=""),"",IF('Student DATA Entry'!M69="","",'Student DATA Entry'!M69))</f>
        <v/>
      </c>
      <c r="GL72" s="101" t="str">
        <f>IF(AND(B72="",F72=""),"",IF('Student DATA Entry'!N69="","",'Student DATA Entry'!N69))</f>
        <v/>
      </c>
      <c r="GM72" s="581" t="str">
        <f t="shared" ref="GM72:GM135" si="299">IF(OR(GK72=0,GL72=0,GK72="",GL72=""),"",GL72/GK72*100)</f>
        <v/>
      </c>
      <c r="GN72" s="94" t="str">
        <f t="shared" ref="GN72:GN135" si="300">IF(AND(DY72="FAIL",(OR(DL72="G1",DL72="G2",DL72="S",DL72="RE"))),"F",IF(AND(DY72="RE-EXAM",(OR(DL72="G1",DL72="G2",DL72="S"))),"S",IF(AND(DY72="SUPPLEMENTARY",(OR(DL72="G1",DL72="G2"))),"S",IF(AND(DY72="BY GRACE PASS",(OR(DL72="G1",DL72="G2"))),"G",DL72))))</f>
        <v/>
      </c>
      <c r="GO72" s="94" t="str">
        <f t="shared" ref="GO72:GO135" si="301">IF(GN72="G",",+","")</f>
        <v/>
      </c>
      <c r="GP72" s="102" t="str">
        <f t="shared" si="239"/>
        <v/>
      </c>
      <c r="GQ72" s="94" t="str">
        <f t="shared" ref="GQ72:GQ135" si="302">IF(AND(DY72="vuqRrh.kZ",(OR(DM72="G1",DM72="G2",DM72="S",DM72="RE"))),"F",IF(AND(DY72="iqu% ijh{kk",(OR(DM72="G1",DM72="G2",DM72="S"))),"S",IF(AND(DY72="iwjd",(OR(DM72="G1",DM72="G2"))),"S",IF(AND(DY72="lk- mRrh.kZ",(OR(DM72="G1",DM72="G2"))),"G",DM72))))</f>
        <v/>
      </c>
      <c r="GR72" s="103" t="str">
        <f t="shared" ref="GR72:GR135" si="303">IF(GQ72="G",",+","")</f>
        <v/>
      </c>
      <c r="GS72" s="102" t="str">
        <f t="shared" si="240"/>
        <v/>
      </c>
      <c r="GT72" s="104" t="str">
        <f t="shared" ref="GT72:GT135" si="304">IF(AND(DY72="FAIL",(OR(DN72="G1",DN72="G2",DN72="S",DN72="RE"))),"F",IF(AND(DY72="RE-EXAM",(OR(DN72="G1",DN72="G2",DN72="S"))),"S",IF(AND(DY72="SUPPLEMENTARY",(OR(DN72="G1",DN72="G2"))),"S",IF(AND(DY72="BY GRACE PASS",(OR(DN72="G1",DN72="G2"))),"G",DN72))))</f>
        <v/>
      </c>
      <c r="GU72" s="94" t="str">
        <f>IF('Marks Entry'!V72=1,GT72,"")</f>
        <v/>
      </c>
      <c r="GV72" s="94" t="str">
        <f>IF('Marks Entry'!V72=2,GT72,"")</f>
        <v/>
      </c>
      <c r="GW72" s="94" t="str">
        <f>IF('Marks Entry'!V72=3,GT72,"")</f>
        <v/>
      </c>
      <c r="GX72" s="94" t="str">
        <f>IF('Marks Entry'!V72=4,GT72,"")</f>
        <v/>
      </c>
      <c r="GY72" s="94" t="str">
        <f>IF('Marks Entry'!V72=5,GT72,"")</f>
        <v/>
      </c>
      <c r="GZ72" s="94" t="str">
        <f t="shared" ref="GZ72:GZ135" si="305">IF(GT72="G",",+","")</f>
        <v/>
      </c>
      <c r="HA72" s="105" t="str">
        <f t="shared" si="241"/>
        <v/>
      </c>
      <c r="HB72" s="94" t="str">
        <f t="shared" ref="HB72:HB135" si="306">IF(AND(DY72="FAIL",(OR(DO72="G1",DO72="G2",DO72="S",DO72="RE",))),"F",IF(AND(DY72="RE-EXAM",(OR(DO72="G1",DO72="G2",DO72="S"))),"S",IF(AND(DY72="SUPPLEMENTARY",(OR(DO72="G1",DO72="G2"))),"S",IF(AND(DY72="BY GRACE PASS",(OR(DO72="G1",DO72="G2"))),"G",DO72))))</f>
        <v/>
      </c>
      <c r="HC72" s="94" t="str">
        <f t="shared" ref="HC72:HC135" si="307">IF(HB72="G",",+","")</f>
        <v/>
      </c>
      <c r="HD72" s="105" t="str">
        <f t="shared" si="242"/>
        <v/>
      </c>
      <c r="HE72" s="94" t="str">
        <f t="shared" ref="HE72:HE135" si="308">IF(AND(DY72="FAIL",(OR(DP72="G1",DP72="G2",DP72="S",DP72="RE"))),"F",IF(AND(DY72="RE-EXAM",(OR(DP72="G1",DP72="G2",DP72="S"))),"S",IF(AND(DY72="SUPPLEMENTARY",(OR(DP72="G1",DP72="G2"))),"S",IF(AND(DY72="BY GRACE PASS",(OR(DP72="G1",DP72="G2"))),"G",DP72))))</f>
        <v/>
      </c>
      <c r="HF72" s="94" t="str">
        <f t="shared" ref="HF72:HF135" si="309">IF(HE72="G",",+","")</f>
        <v/>
      </c>
      <c r="HG72" s="105" t="str">
        <f t="shared" si="243"/>
        <v/>
      </c>
      <c r="HH72" s="94" t="str">
        <f t="shared" ref="HH72:HH135" si="310">IF(AND(DY72="FAIL",(OR(DQ72="G1",DQ72="G2",DQ72="S",DQ72="RE"))),"F",IF(AND(DY72="RE-EXAM",(OR(DQ72="G1",DQ72="G2",DQ72="S"))),"S",IF(AND(DY72="SUPPLEMENTARY",(OR(DQ72="G1",DQ72="G2"))),"S",IF(AND(DY72="BY GRACE PASS",(OR(DQ72="G1",DQ72="G2"))),"G",DQ72))))</f>
        <v/>
      </c>
      <c r="HI72" s="94" t="str">
        <f t="shared" ref="HI72:HI135" si="311">IF(HH72="G",",+","")</f>
        <v/>
      </c>
      <c r="HJ72" s="105" t="str">
        <f t="shared" si="244"/>
        <v/>
      </c>
      <c r="HK72" s="94" t="str">
        <f t="shared" ref="HK72:HK135" si="312">IF(AND(DY72="FAIL",(OR(DR72="G1",DR72="G2",DR72="S",DR72="RE"))),"F",IF(AND(DY72="RE-EXAM",(OR(DR72="G1",DR72="G2",DR72="S"))),"S",IF(AND(DY72="SUPPLEMENTARY",(OR(DR72="G1",DR72="G2"))),"S",IF(AND(DY72="BY GRACE PASS",(OR(DR72="G1",DR72="G2"))),"G",DR72))))</f>
        <v/>
      </c>
      <c r="HL72" s="94" t="str">
        <f t="shared" ref="HL72:HL135" si="313">IF(HK72="G",",+","")</f>
        <v/>
      </c>
      <c r="HM72" s="105" t="str">
        <f t="shared" si="245"/>
        <v/>
      </c>
      <c r="HN72" s="367" t="str">
        <f t="shared" ref="HN72:HN135" si="314">CONCATENATE(IF(GN72="F",$GN$5,IF(GN72="AB",$GN$5,""))," ",IF(GQ72="F",$GQ$5,IF(GQ72="AB",$GQ$5,""))," ",IF(GU72="F",$GU$5,IF(GV72="F",$GV$5,IF(GW72="F",$GW$5,IF(GX72="F",$GX$5,IF(GY72="F",$GY$5,IF(GU72="AB",$GU$5,IF(GV72="AB",$GV$5,IF(GW72="AB",$GW$5,IF(GX72="AB",$GX$5,IF(GY72="AB",$GY$5,""))))))))))," ",IF(HB72="F",$HB$5,IF(HB72="AB",$HB$5,""))," ",IF(HE72="F",$HE$5,IF(HE72="AB",$HE$5,""))," ",,IF(HH72="F",$HH$5,IF(HH72="AB",$HH$5,""))," ",IF(HK72="F",$HK$5,IF(HK72="AB",$HK$5,"")))</f>
        <v xml:space="preserve">      </v>
      </c>
      <c r="HO72" s="418" t="str">
        <f t="shared" si="246"/>
        <v xml:space="preserve">      </v>
      </c>
      <c r="HP72" s="367" t="str">
        <f t="shared" ref="HP72:HP135" si="315">CONCATENATE(IF(GN72="G",$GN$5,"")," ",IF(GQ72="G",$GQ$5,"")," ",IF(GU72="G",$GU$5,IF(GV72="G",$GV$5,IF(GW72="G",$GW$5,IF(GX72="G",$GX$5,IF(GY72="G",$GY$5,"")))))," ",IF(HB72="G",$HB$5,"")," ",IF(HE72="G",$HE$5,"")," ",IF(HH72="G",$HH$5,"")," ",IF(HK72="G",$HK$5,""))</f>
        <v xml:space="preserve">      </v>
      </c>
      <c r="HQ72" s="107" t="str">
        <f t="shared" ref="HQ72:HQ135" si="316">CONCATENATE(IF(GN72="RE",$GN$5,"")," ",IF(GQ72="RE",$GQ$5,"")," ",IF(OR(GU72="RE",GU72="REP"),$GU$5,IF(OR(GV72="RE",GV72="REP"),$GV$5,IF(OR(GW72="RE",GW72="REP"),$GW$5,IF(OR(GX72="RE",GX72="REP"),$GX$5,IF(OR(GY72="RE",GY72="REP"),$GY$5,"")))))," ",IF(OR(HB72="RE",HB72="REP"),$HB$5,"")," ",IF(OR(HE72="RE",HE72="REP"),$HE$5,"")," ",IF(OR(HH72="RE",HH72="REP"),$HH$5,"")," ",IF(OR(HK72="RE",HK72="REP"),$HK$5,""))</f>
        <v xml:space="preserve">      </v>
      </c>
      <c r="HR72" s="366" t="str">
        <f t="shared" ref="HR72:HR135" si="317">CONCATENATE(IF(GN72="D",$GN$5,"")," ",IF($GQ72="D",$GQ$5,"")," ",IF(GU72="D",$GU$5,IF(GV72="D",$GV$5,IF(GW72="D",$GW$5,IF(GX72="D",$GX$5,IF(GY72="D",$GY$5,"")))))," ",IF(HB72="D",$HB$5,"")," ",IF(HE72="D",$HE$5,"")," ",IF(HH72="D",$HH$5,"")," ",IF(HK72="D",$HK$5,""))</f>
        <v xml:space="preserve">      </v>
      </c>
      <c r="HS72" s="544" t="str">
        <f t="shared" si="247"/>
        <v/>
      </c>
      <c r="HT72" s="542" t="str">
        <f t="shared" ref="HT72:HT135" si="318">IF(AND(R72="",AF72="",AU72="",BI72="",BW72=""),"",IF(OR(CS72="",DE72=""),SUM(R72,AF72,AU72,BI72,BW72,CL72),IF((CL72/CO72*100)&gt;=(DE72/DH72*100),SUM(R72,AF72,AU72,BI72,BW72,CL72),SUM(R72,AF72,AU72,BI72,BW72,DE72))))</f>
        <v/>
      </c>
      <c r="HU72" s="541" t="str">
        <f t="shared" ref="HU72:HU135" si="319">IF(HT72="","",HT72*100/($HT$6-CD72))</f>
        <v/>
      </c>
      <c r="HV72" s="540" t="str">
        <f t="shared" ref="HV72:HV135" si="320">IFERROR(IF(HU72="","",IF(AND(HU72&gt;=60,(HS72="PASS")),"1st",IF(AND(HU72&gt;=60,(HS72="BY GRACE PASS")),"1st",IF(AND(HU72&gt;=48,(HS72="PASS")),"2nd",IF(AND(HU72&gt;=48,(HS72="BY GRACE PASS")),"2nd",IF(AND(HU72&gt;=36,(HS72="PASS")),"3rd",IF(AND(HU72&gt;=36,(HS72="BY GRACE PASS")),"3rd",""))))))),"")</f>
        <v/>
      </c>
      <c r="HW72" s="537" t="str">
        <f t="shared" ref="HW72:HW135" si="321">IFERROR(IF(OR(HS72="PASS",HS72="BY GRACE PASS"),HU72,""),"")</f>
        <v/>
      </c>
      <c r="HX72" s="539" t="str">
        <f t="shared" ref="HX72:HX135" si="322">IFERROR(IF(HW72="","",SUMPRODUCT((HW72&lt;HW$7:HW$206)/COUNTIF(HW$7:HW$206,HW$7:HW$206))),"")</f>
        <v/>
      </c>
      <c r="HY72" s="553" t="str">
        <f>IFERROR(IF(OR(HS72="SUPPLEMENTARY",HS72="RE-EXAM"),'Supp. Result Entry'!AQ70,""),"")</f>
        <v/>
      </c>
      <c r="HZ72" s="538" t="str">
        <f t="shared" ref="HZ72:HZ135" si="323">IF(OR(KA72="",JP72=0),"",IF(JY72="","",JY72))</f>
        <v/>
      </c>
      <c r="IA72" s="415" t="str">
        <f t="shared" ref="IA72:IA135" si="324">IF(AND(KA72=""),"",IF(HZ72="","",IF(AND(KA72="FAIL"),"Failed",KA72)))</f>
        <v/>
      </c>
      <c r="IB72" s="415" t="str">
        <f>IF(AND(HZ72="",IA72=""),"",IF(OR(HS72="SUPPLEMENTARY",HS72="RE-EXAM"),'Supp. Result Entry'!AQ70,HS72))</f>
        <v/>
      </c>
      <c r="IC72" s="87"/>
      <c r="IS72" s="109" t="str">
        <f>IF('Supp. Result Entry'!T70="","",'Supp. Result Entry'!$T$4)</f>
        <v/>
      </c>
      <c r="IT72" s="110" t="str">
        <f>IF('Supp. Result Entry'!W70="","",'Supp. Result Entry'!$W$4)</f>
        <v/>
      </c>
      <c r="IU72" s="110" t="str">
        <f>IF('Supp. Result Entry'!Z70="","",'Supp. Result Entry'!$Z$4)</f>
        <v/>
      </c>
      <c r="IV72" s="110" t="str">
        <f>IF('Supp. Result Entry'!AC70="","",'Supp. Result Entry'!$AC$4)</f>
        <v/>
      </c>
      <c r="IW72" s="110" t="str">
        <f>IF('Supp. Result Entry'!AF70="","",'Supp. Result Entry'!$AF$4)</f>
        <v/>
      </c>
      <c r="IX72" s="110" t="str">
        <f>IF('Supp. Result Entry'!AI70="","",'Supp. Result Entry'!$AI$4)</f>
        <v/>
      </c>
      <c r="IY72" s="110" t="str">
        <f>IF('Supp. Result Entry'!AI70="","",'Supp. Result Entry'!$AL$4)</f>
        <v/>
      </c>
      <c r="IZ72" s="110" t="str">
        <f>IF('Supp. Result Entry'!U70="","",'Supp. Result Entry'!U70)</f>
        <v/>
      </c>
      <c r="JA72" s="110" t="str">
        <f>IF('Supp. Result Entry'!X70="","",'Supp. Result Entry'!X70)</f>
        <v/>
      </c>
      <c r="JB72" s="110" t="str">
        <f>IF('Supp. Result Entry'!AA70="","",'Supp. Result Entry'!AA70)</f>
        <v/>
      </c>
      <c r="JC72" s="110" t="str">
        <f>IF('Supp. Result Entry'!AD70="","",'Supp. Result Entry'!AD70)</f>
        <v/>
      </c>
      <c r="JD72" s="110" t="str">
        <f>IF('Supp. Result Entry'!AG70="","",'Supp. Result Entry'!AG70)</f>
        <v/>
      </c>
      <c r="JE72" s="110" t="str">
        <f>IF('Supp. Result Entry'!AJ70="","",'Supp. Result Entry'!AJ70)</f>
        <v/>
      </c>
      <c r="JF72" s="110" t="str">
        <f>IF('Supp. Result Entry'!AM70="","",'Supp. Result Entry'!AM70)</f>
        <v/>
      </c>
      <c r="JG72" s="110" t="str">
        <f>IF('Supp. Result Entry'!V70="","",'Supp. Result Entry'!V70)</f>
        <v/>
      </c>
      <c r="JH72" s="110" t="str">
        <f>IF('Supp. Result Entry'!Y70="","",'Supp. Result Entry'!Y70)</f>
        <v/>
      </c>
      <c r="JI72" s="110" t="str">
        <f>IF('Supp. Result Entry'!AB70="","",'Supp. Result Entry'!AB70)</f>
        <v/>
      </c>
      <c r="JJ72" s="110" t="str">
        <f>IF('Supp. Result Entry'!AE70="","",'Supp. Result Entry'!AE70)</f>
        <v/>
      </c>
      <c r="JK72" s="110" t="str">
        <f>IF('Supp. Result Entry'!AH70="","",'Supp. Result Entry'!AH70)</f>
        <v/>
      </c>
      <c r="JL72" s="110" t="str">
        <f>IF('Supp. Result Entry'!AK70="","",'Supp. Result Entry'!AK70)</f>
        <v/>
      </c>
      <c r="JM72" s="110" t="str">
        <f>IF('Supp. Result Entry'!AN70="","",'Supp. Result Entry'!AN70)</f>
        <v/>
      </c>
      <c r="JN72" s="110">
        <f>COUNTIF('Supp. Result Entry'!K70:Q70,"S")</f>
        <v>0</v>
      </c>
      <c r="JO72" s="110">
        <f t="shared" si="248"/>
        <v>0</v>
      </c>
      <c r="JP72" s="110">
        <f t="shared" ref="JP72:JP135" si="325">COUNTIF(JG72:JM72,"P")</f>
        <v>0</v>
      </c>
      <c r="JQ72" s="110" t="str">
        <f t="shared" si="249"/>
        <v/>
      </c>
      <c r="JR72" s="110" t="str">
        <f t="shared" si="250"/>
        <v/>
      </c>
      <c r="JS72" s="110" t="str">
        <f t="shared" si="251"/>
        <v/>
      </c>
      <c r="JT72" s="110" t="str">
        <f t="shared" si="252"/>
        <v/>
      </c>
      <c r="JU72" s="110" t="str">
        <f t="shared" si="253"/>
        <v/>
      </c>
      <c r="JV72" s="110" t="str">
        <f t="shared" si="254"/>
        <v/>
      </c>
      <c r="JW72" s="110" t="str">
        <f t="shared" si="255"/>
        <v/>
      </c>
      <c r="JX72" s="110" t="str">
        <f t="shared" ref="JX72:JX135" si="326">IF(OR(JN72=0,JN72&lt;JP72),"",SUM(JQ72:JW72))</f>
        <v/>
      </c>
      <c r="JY72" s="110" t="str">
        <f t="shared" ref="JY72:JY135" si="327">IF(OR(JN72=0,JN72&lt;JP72),"",JX72/JZ72*100)</f>
        <v/>
      </c>
      <c r="JZ72" s="110" t="str">
        <f t="shared" si="256"/>
        <v/>
      </c>
      <c r="KA72" s="108" t="str">
        <f t="shared" ref="KA72:KA135" si="328">IF(JY72="","",IF(JY72&gt;=60,"I",IF(JY72&gt;=48,"II",IF(JY72&gt;=36,"III",""))))</f>
        <v/>
      </c>
    </row>
    <row r="73" spans="1:287" s="108" customFormat="1" ht="21.95" customHeight="1">
      <c r="A73" s="89">
        <v>67</v>
      </c>
      <c r="B73" s="90" t="str">
        <f>IF('Marks Entry'!B73="","",'Marks Entry'!B73)</f>
        <v/>
      </c>
      <c r="C73" s="94" t="str">
        <f>IF('Marks Entry'!D73="","",'Marks Entry'!D73)</f>
        <v/>
      </c>
      <c r="D73" s="91" t="str">
        <f>IF('Marks Entry'!E73="","",'Marks Entry'!E73)</f>
        <v/>
      </c>
      <c r="E73" s="92" t="str">
        <f>IF('Marks Entry'!F73="","",'Marks Entry'!F73)</f>
        <v/>
      </c>
      <c r="F73" s="93" t="str">
        <f>IF('Marks Entry'!G73="","",'Marks Entry'!G73)</f>
        <v/>
      </c>
      <c r="G73" s="93" t="str">
        <f>IF('Marks Entry'!H73="","",'Marks Entry'!H73)</f>
        <v/>
      </c>
      <c r="H73" s="93" t="str">
        <f>IF('Marks Entry'!I73="","",'Marks Entry'!I73)</f>
        <v/>
      </c>
      <c r="I73" s="94" t="str">
        <f>IF('Marks Entry'!J73="","",'Marks Entry'!J73)</f>
        <v/>
      </c>
      <c r="J73" s="95" t="str">
        <f>IF('Marks Entry'!K73="","",'Marks Entry'!K73)</f>
        <v/>
      </c>
      <c r="K73" s="68" t="str">
        <f>IF('Marks Entry'!L73="","",'Marks Entry'!L73)</f>
        <v/>
      </c>
      <c r="L73" s="68" t="str">
        <f>IF('Marks Entry'!M73="","",'Marks Entry'!M73)</f>
        <v/>
      </c>
      <c r="M73" s="68" t="str">
        <f>IF('Marks Entry'!N73="","",'Marks Entry'!N73)</f>
        <v/>
      </c>
      <c r="N73" s="514" t="str">
        <f t="shared" si="257"/>
        <v/>
      </c>
      <c r="O73" s="68" t="str">
        <f>IF('Marks Entry'!O73="","",'Marks Entry'!O73)</f>
        <v/>
      </c>
      <c r="P73" s="515" t="str">
        <f t="shared" si="258"/>
        <v/>
      </c>
      <c r="Q73" s="68" t="str">
        <f>IF('Marks Entry'!P73="","",'Marks Entry'!P73)</f>
        <v/>
      </c>
      <c r="R73" s="96" t="str">
        <f t="shared" si="259"/>
        <v/>
      </c>
      <c r="S73" s="65">
        <f t="shared" si="260"/>
        <v>0</v>
      </c>
      <c r="T73" s="65">
        <f t="shared" si="261"/>
        <v>0</v>
      </c>
      <c r="U73" s="66" t="str">
        <f t="shared" si="171"/>
        <v/>
      </c>
      <c r="V73" s="65" t="str">
        <f t="shared" si="172"/>
        <v/>
      </c>
      <c r="W73" s="65" t="str">
        <f t="shared" si="262"/>
        <v/>
      </c>
      <c r="X73" s="65" t="str">
        <f t="shared" si="173"/>
        <v/>
      </c>
      <c r="Y73" s="68" t="str">
        <f>IF('Marks Entry'!Q73="","",'Marks Entry'!Q73)</f>
        <v/>
      </c>
      <c r="Z73" s="68" t="str">
        <f>IF('Marks Entry'!R73="","",'Marks Entry'!R73)</f>
        <v/>
      </c>
      <c r="AA73" s="68" t="str">
        <f>IF('Marks Entry'!S73="","",'Marks Entry'!S73)</f>
        <v/>
      </c>
      <c r="AB73" s="514" t="str">
        <f t="shared" si="174"/>
        <v/>
      </c>
      <c r="AC73" s="68" t="str">
        <f>IF('Marks Entry'!T73="","",'Marks Entry'!T73)</f>
        <v/>
      </c>
      <c r="AD73" s="515" t="str">
        <f t="shared" si="175"/>
        <v/>
      </c>
      <c r="AE73" s="68" t="str">
        <f>IF('Marks Entry'!U73="","",'Marks Entry'!U73)</f>
        <v/>
      </c>
      <c r="AF73" s="96" t="str">
        <f t="shared" si="176"/>
        <v/>
      </c>
      <c r="AG73" s="65">
        <f t="shared" si="177"/>
        <v>0</v>
      </c>
      <c r="AH73" s="65">
        <f t="shared" si="178"/>
        <v>0</v>
      </c>
      <c r="AI73" s="66" t="str">
        <f t="shared" si="179"/>
        <v/>
      </c>
      <c r="AJ73" s="65" t="str">
        <f t="shared" si="180"/>
        <v/>
      </c>
      <c r="AK73" s="65" t="str">
        <f t="shared" si="181"/>
        <v/>
      </c>
      <c r="AL73" s="65" t="str">
        <f t="shared" si="182"/>
        <v/>
      </c>
      <c r="AM73" s="524" t="str">
        <f>IF('Marks Entry'!V73="","",IF('Marks Entry'!V73=1,'School Profile'!$I$9,IF('Marks Entry'!V73=2,'School Profile'!$I$10,IF('Marks Entry'!V73=3,'School Profile'!$I$11,IF('Marks Entry'!V73=4,'School Profile'!$I$12,IF('Marks Entry'!V73=5,'School Profile'!$I$13,IF('Marks Entry'!V73=6,'School Profile'!$I$14,"")))))))</f>
        <v/>
      </c>
      <c r="AN73" s="68" t="str">
        <f>IF('Marks Entry'!W73="","",'Marks Entry'!W73)</f>
        <v/>
      </c>
      <c r="AO73" s="68" t="str">
        <f>IF('Marks Entry'!X73="","",'Marks Entry'!X73)</f>
        <v/>
      </c>
      <c r="AP73" s="68" t="str">
        <f>IF('Marks Entry'!Y73="","",'Marks Entry'!Y73)</f>
        <v/>
      </c>
      <c r="AQ73" s="514" t="str">
        <f t="shared" si="183"/>
        <v/>
      </c>
      <c r="AR73" s="68" t="str">
        <f>IF('Marks Entry'!Z73="","",'Marks Entry'!Z73)</f>
        <v/>
      </c>
      <c r="AS73" s="515" t="str">
        <f t="shared" si="184"/>
        <v/>
      </c>
      <c r="AT73" s="68" t="str">
        <f>IF('Marks Entry'!AA73="","",'Marks Entry'!AA73)</f>
        <v/>
      </c>
      <c r="AU73" s="96" t="str">
        <f t="shared" si="185"/>
        <v/>
      </c>
      <c r="AV73" s="65">
        <f t="shared" si="186"/>
        <v>0</v>
      </c>
      <c r="AW73" s="65">
        <f t="shared" si="187"/>
        <v>0</v>
      </c>
      <c r="AX73" s="66" t="str">
        <f t="shared" si="188"/>
        <v/>
      </c>
      <c r="AY73" s="65" t="str">
        <f t="shared" si="189"/>
        <v/>
      </c>
      <c r="AZ73" s="65" t="str">
        <f t="shared" si="190"/>
        <v/>
      </c>
      <c r="BA73" s="65" t="str">
        <f t="shared" si="191"/>
        <v/>
      </c>
      <c r="BB73" s="68" t="str">
        <f>IF('Marks Entry'!AB73="","",'Marks Entry'!AB73)</f>
        <v/>
      </c>
      <c r="BC73" s="68" t="str">
        <f>IF('Marks Entry'!AC73="","",'Marks Entry'!AC73)</f>
        <v/>
      </c>
      <c r="BD73" s="68" t="str">
        <f>IF('Marks Entry'!AD73="","",'Marks Entry'!AD73)</f>
        <v/>
      </c>
      <c r="BE73" s="514" t="str">
        <f t="shared" si="192"/>
        <v/>
      </c>
      <c r="BF73" s="68" t="str">
        <f>IF('Marks Entry'!AE73="","",'Marks Entry'!AE73)</f>
        <v/>
      </c>
      <c r="BG73" s="515" t="str">
        <f t="shared" si="193"/>
        <v/>
      </c>
      <c r="BH73" s="68" t="str">
        <f>IF('Marks Entry'!AF73="","",'Marks Entry'!AF73)</f>
        <v/>
      </c>
      <c r="BI73" s="96" t="str">
        <f t="shared" si="194"/>
        <v/>
      </c>
      <c r="BJ73" s="65">
        <f t="shared" si="195"/>
        <v>0</v>
      </c>
      <c r="BK73" s="65">
        <f t="shared" si="263"/>
        <v>0</v>
      </c>
      <c r="BL73" s="66" t="str">
        <f t="shared" si="196"/>
        <v/>
      </c>
      <c r="BM73" s="65" t="str">
        <f t="shared" si="197"/>
        <v/>
      </c>
      <c r="BN73" s="65" t="str">
        <f t="shared" si="198"/>
        <v/>
      </c>
      <c r="BO73" s="65" t="str">
        <f t="shared" si="199"/>
        <v/>
      </c>
      <c r="BP73" s="68" t="str">
        <f>IF('Marks Entry'!AG73="","",'Marks Entry'!AG73)</f>
        <v/>
      </c>
      <c r="BQ73" s="68" t="str">
        <f>IF('Marks Entry'!AH73="","",'Marks Entry'!AH73)</f>
        <v/>
      </c>
      <c r="BR73" s="68" t="str">
        <f>IF('Marks Entry'!AI73="","",'Marks Entry'!AI73)</f>
        <v/>
      </c>
      <c r="BS73" s="514" t="str">
        <f t="shared" si="200"/>
        <v/>
      </c>
      <c r="BT73" s="68" t="str">
        <f>IF('Marks Entry'!AJ73="","",'Marks Entry'!AJ73)</f>
        <v/>
      </c>
      <c r="BU73" s="515" t="str">
        <f t="shared" si="201"/>
        <v/>
      </c>
      <c r="BV73" s="68" t="str">
        <f>IF('Marks Entry'!AK73="","",'Marks Entry'!AK73)</f>
        <v/>
      </c>
      <c r="BW73" s="96" t="str">
        <f t="shared" si="202"/>
        <v/>
      </c>
      <c r="BX73" s="65">
        <f t="shared" si="203"/>
        <v>0</v>
      </c>
      <c r="BY73" s="65">
        <f t="shared" si="204"/>
        <v>0</v>
      </c>
      <c r="BZ73" s="66" t="str">
        <f t="shared" si="205"/>
        <v/>
      </c>
      <c r="CA73" s="65" t="str">
        <f t="shared" si="206"/>
        <v/>
      </c>
      <c r="CB73" s="65" t="str">
        <f t="shared" si="207"/>
        <v/>
      </c>
      <c r="CC73" s="65" t="str">
        <f t="shared" si="208"/>
        <v/>
      </c>
      <c r="CD73" s="66">
        <f t="shared" si="209"/>
        <v>0</v>
      </c>
      <c r="CE73" s="68" t="str">
        <f>IF('Marks Entry'!AL73="","",'Marks Entry'!AL73)</f>
        <v/>
      </c>
      <c r="CF73" s="68" t="str">
        <f>IF('Marks Entry'!AM73="","",'Marks Entry'!AM73)</f>
        <v/>
      </c>
      <c r="CG73" s="68" t="str">
        <f>IF('Marks Entry'!AN73="","",'Marks Entry'!AN73)</f>
        <v/>
      </c>
      <c r="CH73" s="514" t="str">
        <f t="shared" si="210"/>
        <v/>
      </c>
      <c r="CI73" s="68" t="str">
        <f>IF('Marks Entry'!AO73="","",'Marks Entry'!AO73)</f>
        <v/>
      </c>
      <c r="CJ73" s="515" t="str">
        <f t="shared" si="211"/>
        <v/>
      </c>
      <c r="CK73" s="68" t="str">
        <f>IF('Marks Entry'!AP73="","",'Marks Entry'!AP73)</f>
        <v/>
      </c>
      <c r="CL73" s="96" t="str">
        <f t="shared" si="212"/>
        <v/>
      </c>
      <c r="CM73" s="65">
        <f t="shared" si="213"/>
        <v>0</v>
      </c>
      <c r="CN73" s="65">
        <f t="shared" si="214"/>
        <v>0</v>
      </c>
      <c r="CO73" s="66" t="str">
        <f t="shared" si="215"/>
        <v/>
      </c>
      <c r="CP73" s="65" t="str">
        <f t="shared" si="216"/>
        <v/>
      </c>
      <c r="CQ73" s="65" t="str">
        <f t="shared" si="217"/>
        <v/>
      </c>
      <c r="CR73" s="65" t="str">
        <f t="shared" si="218"/>
        <v/>
      </c>
      <c r="CS73" s="616" t="str">
        <f>IF('School Profile'!$D$20="NO","",IF('Marks Entry'!AQ73="","",IF('Marks Entry'!AQ73=1,'School Profile'!$I$29,IF('Marks Entry'!AQ73=2,'School Profile'!$I$30,IF('Marks Entry'!AQ73=3,'School Profile'!$I$31,IF('Marks Entry'!AQ73=4,'School Profile'!$I$32,IF('Marks Entry'!AQ73=5,'School Profile'!$I$33,IF('Marks Entry'!AQ73=6,'School Profile'!$I$34,IF('Marks Entry'!AQ73=7,'School Profile'!$I$35,IF('Marks Entry'!AQ73=8,'School Profile'!$I$36,IF('Marks Entry'!AQ73=9,'School Profile'!$I$37,IF('Marks Entry'!AQ73=10,'School Profile'!$I$38,IF('Marks Entry'!AQ73=11,'School Profile'!$I$39,"")))))))))))))</f>
        <v/>
      </c>
      <c r="CT73" s="68" t="str">
        <f>IF('School Profile'!$D$20="NO","",IF('Marks Entry'!AR73="","",'Marks Entry'!AR73))</f>
        <v/>
      </c>
      <c r="CU73" s="68" t="str">
        <f>IF('School Profile'!$D$20="NO","",IF('Marks Entry'!AS73="","",'Marks Entry'!AS73))</f>
        <v/>
      </c>
      <c r="CV73" s="68" t="str">
        <f>IF('School Profile'!$D$20="NO","",IF('Marks Entry'!AT73="","",'Marks Entry'!AT73))</f>
        <v/>
      </c>
      <c r="CW73" s="514" t="str">
        <f>IF('School Profile'!$D$20="NO","",IF(AND(CT73="",CU73="",CV73=""),"",SUM(CT73:CV73)))</f>
        <v/>
      </c>
      <c r="CX73" s="68" t="str">
        <f>IF('School Profile'!$D$20="NO","",IF('Marks Entry'!AU73="","",'Marks Entry'!AU73))</f>
        <v/>
      </c>
      <c r="CY73" s="68" t="str">
        <f>IF('School Profile'!$D$20="NO","",IF('Marks Entry'!AV73="","",'Marks Entry'!AV73))</f>
        <v/>
      </c>
      <c r="CZ73" s="515" t="str">
        <f>IF('School Profile'!$D$20="NO","",IF(AND(CX73="",CY73=""),"",SUM(CX73,CY73)))</f>
        <v/>
      </c>
      <c r="DA73" s="69" t="str">
        <f>IF('School Profile'!$D$20="NO","",IF(AND(CW73="",CZ73=""),"",SUM(CW73+CZ73)))</f>
        <v/>
      </c>
      <c r="DB73" s="68" t="str">
        <f>IF('School Profile'!$D$20="NO","",IF('Marks Entry'!AW73="","",'Marks Entry'!AW73))</f>
        <v/>
      </c>
      <c r="DC73" s="68" t="str">
        <f>IF('School Profile'!$D$20="NO","",IF('Marks Entry'!AX73="","",'Marks Entry'!AX73))</f>
        <v/>
      </c>
      <c r="DD73" s="515" t="str">
        <f>IF('School Profile'!$D$20="NO","",IF(AND(DB73="",DC73=""),"",SUM(DB73,DC73)))</f>
        <v/>
      </c>
      <c r="DE73" s="96" t="str">
        <f>IF('School Profile'!$D$20="NO","",IF(AND(DA73="",DD73=""),"",SUM(DA73,DD73)))</f>
        <v/>
      </c>
      <c r="DF73" s="532">
        <f t="shared" si="219"/>
        <v>0</v>
      </c>
      <c r="DG73" s="65">
        <f t="shared" si="220"/>
        <v>0</v>
      </c>
      <c r="DH73" s="66" t="str">
        <f t="shared" si="221"/>
        <v/>
      </c>
      <c r="DI73" s="65" t="str">
        <f t="shared" si="222"/>
        <v/>
      </c>
      <c r="DJ73" s="65" t="str">
        <f t="shared" si="223"/>
        <v/>
      </c>
      <c r="DK73" s="65" t="str">
        <f t="shared" si="224"/>
        <v/>
      </c>
      <c r="DL73" s="97" t="str">
        <f t="shared" si="264"/>
        <v/>
      </c>
      <c r="DM73" s="97" t="str">
        <f t="shared" si="265"/>
        <v/>
      </c>
      <c r="DN73" s="97" t="str">
        <f t="shared" si="266"/>
        <v/>
      </c>
      <c r="DO73" s="97" t="str">
        <f t="shared" si="267"/>
        <v/>
      </c>
      <c r="DP73" s="97" t="str">
        <f t="shared" si="268"/>
        <v/>
      </c>
      <c r="DQ73" s="97" t="str">
        <f t="shared" si="269"/>
        <v/>
      </c>
      <c r="DR73" s="97" t="str">
        <f t="shared" si="270"/>
        <v/>
      </c>
      <c r="DS73" s="98">
        <f t="shared" si="271"/>
        <v>0</v>
      </c>
      <c r="DT73" s="98">
        <f t="shared" si="272"/>
        <v>0</v>
      </c>
      <c r="DU73" s="98">
        <f t="shared" si="273"/>
        <v>0</v>
      </c>
      <c r="DV73" s="98">
        <f t="shared" si="274"/>
        <v>0</v>
      </c>
      <c r="DW73" s="98">
        <f t="shared" si="275"/>
        <v>0</v>
      </c>
      <c r="DX73" s="98" t="str">
        <f t="shared" si="276"/>
        <v/>
      </c>
      <c r="DY73" s="99" t="str">
        <f t="shared" si="277"/>
        <v/>
      </c>
      <c r="DZ73" s="74" t="str">
        <f>IF('Marks Entry'!AY73="","",'Marks Entry'!AY73)</f>
        <v/>
      </c>
      <c r="EA73" s="74" t="str">
        <f>IF('Marks Entry'!AZ73="","",'Marks Entry'!AZ73)</f>
        <v/>
      </c>
      <c r="EB73" s="74" t="str">
        <f>IF('Marks Entry'!BA73="","",'Marks Entry'!BA73)</f>
        <v/>
      </c>
      <c r="EC73" s="527" t="str">
        <f t="shared" si="225"/>
        <v/>
      </c>
      <c r="ED73" s="74" t="str">
        <f>IF('Marks Entry'!BB73="","",'Marks Entry'!BB73)</f>
        <v/>
      </c>
      <c r="EE73" s="528" t="str">
        <f t="shared" si="226"/>
        <v/>
      </c>
      <c r="EF73" s="74" t="str">
        <f>IF('Marks Entry'!BC73="","",'Marks Entry'!BC73)</f>
        <v/>
      </c>
      <c r="EG73" s="530" t="str">
        <f t="shared" si="227"/>
        <v/>
      </c>
      <c r="EH73" s="368" t="str">
        <f t="shared" si="278"/>
        <v/>
      </c>
      <c r="EI73" s="65">
        <f t="shared" si="279"/>
        <v>0</v>
      </c>
      <c r="EJ73" s="65">
        <f t="shared" si="280"/>
        <v>0</v>
      </c>
      <c r="EK73" s="66" t="str">
        <f t="shared" si="281"/>
        <v/>
      </c>
      <c r="EL73" s="74" t="str">
        <f>IF('Marks Entry'!BD73="","",'Marks Entry'!BD73)</f>
        <v/>
      </c>
      <c r="EM73" s="74" t="str">
        <f>IF('Marks Entry'!BE73="","",'Marks Entry'!BE73)</f>
        <v/>
      </c>
      <c r="EN73" s="74" t="str">
        <f>IF('Marks Entry'!BF73="","",'Marks Entry'!BF73)</f>
        <v/>
      </c>
      <c r="EO73" s="527" t="str">
        <f t="shared" si="228"/>
        <v/>
      </c>
      <c r="EP73" s="74" t="str">
        <f>IF('Marks Entry'!BG73="","",'Marks Entry'!BG73)</f>
        <v/>
      </c>
      <c r="EQ73" s="74" t="str">
        <f>IF('Marks Entry'!BH73="","",'Marks Entry'!BH73)</f>
        <v/>
      </c>
      <c r="ER73" s="528" t="str">
        <f t="shared" si="229"/>
        <v/>
      </c>
      <c r="ES73" s="529" t="str">
        <f t="shared" si="230"/>
        <v/>
      </c>
      <c r="ET73" s="74" t="str">
        <f>IF('Marks Entry'!BI73="","",'Marks Entry'!BI73)</f>
        <v/>
      </c>
      <c r="EU73" s="74" t="str">
        <f>IF('Marks Entry'!BJ73="","",'Marks Entry'!BJ73)</f>
        <v/>
      </c>
      <c r="EV73" s="528" t="str">
        <f t="shared" si="231"/>
        <v/>
      </c>
      <c r="EW73" s="530" t="str">
        <f t="shared" si="232"/>
        <v/>
      </c>
      <c r="EX73" s="368" t="str">
        <f t="shared" si="282"/>
        <v/>
      </c>
      <c r="EY73" s="65">
        <f t="shared" si="283"/>
        <v>0</v>
      </c>
      <c r="EZ73" s="65">
        <f t="shared" si="284"/>
        <v>0</v>
      </c>
      <c r="FA73" s="66" t="str">
        <f t="shared" si="285"/>
        <v/>
      </c>
      <c r="FB73" s="74" t="str">
        <f>IF('Marks Entry'!BK73="","",'Marks Entry'!BK73)</f>
        <v/>
      </c>
      <c r="FC73" s="74" t="str">
        <f>IF('Marks Entry'!BL73="","",'Marks Entry'!BL73)</f>
        <v/>
      </c>
      <c r="FD73" s="74" t="str">
        <f>IF('Marks Entry'!BM73="","",'Marks Entry'!BM73)</f>
        <v/>
      </c>
      <c r="FE73" s="74" t="str">
        <f>IF('Marks Entry'!BN73="","",'Marks Entry'!BN73)</f>
        <v/>
      </c>
      <c r="FF73" s="74" t="str">
        <f>IF('Marks Entry'!BO73="","",'Marks Entry'!BO73)</f>
        <v/>
      </c>
      <c r="FG73" s="74" t="str">
        <f>IF('Marks Entry'!BP73="","",'Marks Entry'!BP73)</f>
        <v/>
      </c>
      <c r="FH73" s="527" t="str">
        <f t="shared" si="233"/>
        <v/>
      </c>
      <c r="FI73" s="74" t="str">
        <f>IF('Marks Entry'!BQ73="","",'Marks Entry'!BQ73)</f>
        <v/>
      </c>
      <c r="FJ73" s="74" t="str">
        <f>IF('Marks Entry'!BR73="","",'Marks Entry'!BR73)</f>
        <v/>
      </c>
      <c r="FK73" s="528" t="str">
        <f t="shared" si="234"/>
        <v/>
      </c>
      <c r="FL73" s="529" t="str">
        <f t="shared" si="235"/>
        <v/>
      </c>
      <c r="FM73" s="74" t="str">
        <f>IF('Marks Entry'!BS73="","",'Marks Entry'!BS73)</f>
        <v/>
      </c>
      <c r="FN73" s="74" t="str">
        <f>IF('Marks Entry'!BT73="","",'Marks Entry'!BT73)</f>
        <v/>
      </c>
      <c r="FO73" s="528" t="str">
        <f t="shared" si="236"/>
        <v/>
      </c>
      <c r="FP73" s="530" t="str">
        <f t="shared" si="237"/>
        <v/>
      </c>
      <c r="FQ73" s="368" t="str">
        <f t="shared" si="286"/>
        <v/>
      </c>
      <c r="FR73" s="65">
        <f t="shared" si="287"/>
        <v>0</v>
      </c>
      <c r="FS73" s="65">
        <f t="shared" si="288"/>
        <v>0</v>
      </c>
      <c r="FT73" s="66" t="str">
        <f t="shared" si="289"/>
        <v/>
      </c>
      <c r="FU73" s="74" t="str">
        <f>IF('Marks Entry'!BU73="","",'Marks Entry'!BU73)</f>
        <v/>
      </c>
      <c r="FV73" s="74" t="str">
        <f>IF('Marks Entry'!BV73="","",'Marks Entry'!BV73)</f>
        <v/>
      </c>
      <c r="FW73" s="74" t="str">
        <f>IF('Marks Entry'!BW73="","",'Marks Entry'!BW73)</f>
        <v/>
      </c>
      <c r="FX73" s="75" t="str">
        <f t="shared" si="238"/>
        <v/>
      </c>
      <c r="FY73" s="368" t="str">
        <f t="shared" si="290"/>
        <v/>
      </c>
      <c r="FZ73" s="65">
        <f t="shared" si="291"/>
        <v>0</v>
      </c>
      <c r="GA73" s="66">
        <f t="shared" si="292"/>
        <v>0</v>
      </c>
      <c r="GB73" s="66" t="str">
        <f t="shared" si="293"/>
        <v/>
      </c>
      <c r="GC73" s="74" t="str">
        <f>IF('Marks Entry'!BX73="","",'Marks Entry'!BX73)</f>
        <v/>
      </c>
      <c r="GD73" s="74" t="str">
        <f>IF('Marks Entry'!BY73="","",'Marks Entry'!BY73)</f>
        <v/>
      </c>
      <c r="GE73" s="74" t="str">
        <f>IF('Marks Entry'!BZ73="","",'Marks Entry'!BZ73)</f>
        <v/>
      </c>
      <c r="GF73" s="75" t="str">
        <f t="shared" si="294"/>
        <v/>
      </c>
      <c r="GG73" s="368" t="str">
        <f t="shared" si="295"/>
        <v/>
      </c>
      <c r="GH73" s="65">
        <f t="shared" si="296"/>
        <v>0</v>
      </c>
      <c r="GI73" s="66">
        <f t="shared" si="297"/>
        <v>0</v>
      </c>
      <c r="GJ73" s="66" t="str">
        <f t="shared" si="298"/>
        <v/>
      </c>
      <c r="GK73" s="100" t="str">
        <f>IF(AND(F73="",B73=""),"",IF('Student DATA Entry'!M70="","",'Student DATA Entry'!M70))</f>
        <v/>
      </c>
      <c r="GL73" s="101" t="str">
        <f>IF(AND(B73="",F73=""),"",IF('Student DATA Entry'!N70="","",'Student DATA Entry'!N70))</f>
        <v/>
      </c>
      <c r="GM73" s="581" t="str">
        <f t="shared" si="299"/>
        <v/>
      </c>
      <c r="GN73" s="94" t="str">
        <f t="shared" si="300"/>
        <v/>
      </c>
      <c r="GO73" s="94" t="str">
        <f t="shared" si="301"/>
        <v/>
      </c>
      <c r="GP73" s="102" t="str">
        <f t="shared" si="239"/>
        <v/>
      </c>
      <c r="GQ73" s="94" t="str">
        <f t="shared" si="302"/>
        <v/>
      </c>
      <c r="GR73" s="103" t="str">
        <f t="shared" si="303"/>
        <v/>
      </c>
      <c r="GS73" s="102" t="str">
        <f t="shared" si="240"/>
        <v/>
      </c>
      <c r="GT73" s="104" t="str">
        <f t="shared" si="304"/>
        <v/>
      </c>
      <c r="GU73" s="94" t="str">
        <f>IF('Marks Entry'!V73=1,GT73,"")</f>
        <v/>
      </c>
      <c r="GV73" s="94" t="str">
        <f>IF('Marks Entry'!V73=2,GT73,"")</f>
        <v/>
      </c>
      <c r="GW73" s="94" t="str">
        <f>IF('Marks Entry'!V73=3,GT73,"")</f>
        <v/>
      </c>
      <c r="GX73" s="94" t="str">
        <f>IF('Marks Entry'!V73=4,GT73,"")</f>
        <v/>
      </c>
      <c r="GY73" s="94" t="str">
        <f>IF('Marks Entry'!V73=5,GT73,"")</f>
        <v/>
      </c>
      <c r="GZ73" s="94" t="str">
        <f t="shared" si="305"/>
        <v/>
      </c>
      <c r="HA73" s="105" t="str">
        <f t="shared" si="241"/>
        <v/>
      </c>
      <c r="HB73" s="94" t="str">
        <f t="shared" si="306"/>
        <v/>
      </c>
      <c r="HC73" s="94" t="str">
        <f t="shared" si="307"/>
        <v/>
      </c>
      <c r="HD73" s="105" t="str">
        <f t="shared" si="242"/>
        <v/>
      </c>
      <c r="HE73" s="94" t="str">
        <f t="shared" si="308"/>
        <v/>
      </c>
      <c r="HF73" s="94" t="str">
        <f t="shared" si="309"/>
        <v/>
      </c>
      <c r="HG73" s="105" t="str">
        <f t="shared" si="243"/>
        <v/>
      </c>
      <c r="HH73" s="94" t="str">
        <f t="shared" si="310"/>
        <v/>
      </c>
      <c r="HI73" s="94" t="str">
        <f t="shared" si="311"/>
        <v/>
      </c>
      <c r="HJ73" s="105" t="str">
        <f t="shared" si="244"/>
        <v/>
      </c>
      <c r="HK73" s="94" t="str">
        <f t="shared" si="312"/>
        <v/>
      </c>
      <c r="HL73" s="94" t="str">
        <f t="shared" si="313"/>
        <v/>
      </c>
      <c r="HM73" s="105" t="str">
        <f t="shared" si="245"/>
        <v/>
      </c>
      <c r="HN73" s="367" t="str">
        <f t="shared" si="314"/>
        <v xml:space="preserve">      </v>
      </c>
      <c r="HO73" s="418" t="str">
        <f t="shared" si="246"/>
        <v xml:space="preserve">      </v>
      </c>
      <c r="HP73" s="367" t="str">
        <f t="shared" si="315"/>
        <v xml:space="preserve">      </v>
      </c>
      <c r="HQ73" s="107" t="str">
        <f t="shared" si="316"/>
        <v xml:space="preserve">      </v>
      </c>
      <c r="HR73" s="366" t="str">
        <f t="shared" si="317"/>
        <v xml:space="preserve">      </v>
      </c>
      <c r="HS73" s="544" t="str">
        <f t="shared" si="247"/>
        <v/>
      </c>
      <c r="HT73" s="542" t="str">
        <f t="shared" si="318"/>
        <v/>
      </c>
      <c r="HU73" s="541" t="str">
        <f t="shared" si="319"/>
        <v/>
      </c>
      <c r="HV73" s="540" t="str">
        <f t="shared" si="320"/>
        <v/>
      </c>
      <c r="HW73" s="537" t="str">
        <f t="shared" si="321"/>
        <v/>
      </c>
      <c r="HX73" s="539" t="str">
        <f t="shared" si="322"/>
        <v/>
      </c>
      <c r="HY73" s="553" t="str">
        <f>IFERROR(IF(OR(HS73="SUPPLEMENTARY",HS73="RE-EXAM"),'Supp. Result Entry'!AQ71,""),"")</f>
        <v/>
      </c>
      <c r="HZ73" s="538" t="str">
        <f t="shared" si="323"/>
        <v/>
      </c>
      <c r="IA73" s="415" t="str">
        <f t="shared" si="324"/>
        <v/>
      </c>
      <c r="IB73" s="415" t="str">
        <f>IF(AND(HZ73="",IA73=""),"",IF(OR(HS73="SUPPLEMENTARY",HS73="RE-EXAM"),'Supp. Result Entry'!AQ71,HS73))</f>
        <v/>
      </c>
      <c r="IC73" s="87"/>
      <c r="IS73" s="109" t="str">
        <f>IF('Supp. Result Entry'!T71="","",'Supp. Result Entry'!$T$4)</f>
        <v/>
      </c>
      <c r="IT73" s="110" t="str">
        <f>IF('Supp. Result Entry'!W71="","",'Supp. Result Entry'!$W$4)</f>
        <v/>
      </c>
      <c r="IU73" s="110" t="str">
        <f>IF('Supp. Result Entry'!Z71="","",'Supp. Result Entry'!$Z$4)</f>
        <v/>
      </c>
      <c r="IV73" s="110" t="str">
        <f>IF('Supp. Result Entry'!AC71="","",'Supp. Result Entry'!$AC$4)</f>
        <v/>
      </c>
      <c r="IW73" s="110" t="str">
        <f>IF('Supp. Result Entry'!AF71="","",'Supp. Result Entry'!$AF$4)</f>
        <v/>
      </c>
      <c r="IX73" s="110" t="str">
        <f>IF('Supp. Result Entry'!AI71="","",'Supp. Result Entry'!$AI$4)</f>
        <v/>
      </c>
      <c r="IY73" s="110" t="str">
        <f>IF('Supp. Result Entry'!AI71="","",'Supp. Result Entry'!$AL$4)</f>
        <v/>
      </c>
      <c r="IZ73" s="110" t="str">
        <f>IF('Supp. Result Entry'!U71="","",'Supp. Result Entry'!U71)</f>
        <v/>
      </c>
      <c r="JA73" s="110" t="str">
        <f>IF('Supp. Result Entry'!X71="","",'Supp. Result Entry'!X71)</f>
        <v/>
      </c>
      <c r="JB73" s="110" t="str">
        <f>IF('Supp. Result Entry'!AA71="","",'Supp. Result Entry'!AA71)</f>
        <v/>
      </c>
      <c r="JC73" s="110" t="str">
        <f>IF('Supp. Result Entry'!AD71="","",'Supp. Result Entry'!AD71)</f>
        <v/>
      </c>
      <c r="JD73" s="110" t="str">
        <f>IF('Supp. Result Entry'!AG71="","",'Supp. Result Entry'!AG71)</f>
        <v/>
      </c>
      <c r="JE73" s="110" t="str">
        <f>IF('Supp. Result Entry'!AJ71="","",'Supp. Result Entry'!AJ71)</f>
        <v/>
      </c>
      <c r="JF73" s="110" t="str">
        <f>IF('Supp. Result Entry'!AM71="","",'Supp. Result Entry'!AM71)</f>
        <v/>
      </c>
      <c r="JG73" s="110" t="str">
        <f>IF('Supp. Result Entry'!V71="","",'Supp. Result Entry'!V71)</f>
        <v/>
      </c>
      <c r="JH73" s="110" t="str">
        <f>IF('Supp. Result Entry'!Y71="","",'Supp. Result Entry'!Y71)</f>
        <v/>
      </c>
      <c r="JI73" s="110" t="str">
        <f>IF('Supp. Result Entry'!AB71="","",'Supp. Result Entry'!AB71)</f>
        <v/>
      </c>
      <c r="JJ73" s="110" t="str">
        <f>IF('Supp. Result Entry'!AE71="","",'Supp. Result Entry'!AE71)</f>
        <v/>
      </c>
      <c r="JK73" s="110" t="str">
        <f>IF('Supp. Result Entry'!AH71="","",'Supp. Result Entry'!AH71)</f>
        <v/>
      </c>
      <c r="JL73" s="110" t="str">
        <f>IF('Supp. Result Entry'!AK71="","",'Supp. Result Entry'!AK71)</f>
        <v/>
      </c>
      <c r="JM73" s="110" t="str">
        <f>IF('Supp. Result Entry'!AN71="","",'Supp. Result Entry'!AN71)</f>
        <v/>
      </c>
      <c r="JN73" s="110">
        <f>COUNTIF('Supp. Result Entry'!K71:Q71,"S")</f>
        <v>0</v>
      </c>
      <c r="JO73" s="110">
        <f t="shared" si="248"/>
        <v>0</v>
      </c>
      <c r="JP73" s="110">
        <f t="shared" si="325"/>
        <v>0</v>
      </c>
      <c r="JQ73" s="110" t="str">
        <f t="shared" si="249"/>
        <v/>
      </c>
      <c r="JR73" s="110" t="str">
        <f t="shared" si="250"/>
        <v/>
      </c>
      <c r="JS73" s="110" t="str">
        <f t="shared" si="251"/>
        <v/>
      </c>
      <c r="JT73" s="110" t="str">
        <f t="shared" si="252"/>
        <v/>
      </c>
      <c r="JU73" s="110" t="str">
        <f t="shared" si="253"/>
        <v/>
      </c>
      <c r="JV73" s="110" t="str">
        <f t="shared" si="254"/>
        <v/>
      </c>
      <c r="JW73" s="110" t="str">
        <f t="shared" si="255"/>
        <v/>
      </c>
      <c r="JX73" s="110" t="str">
        <f t="shared" si="326"/>
        <v/>
      </c>
      <c r="JY73" s="110" t="str">
        <f t="shared" si="327"/>
        <v/>
      </c>
      <c r="JZ73" s="110" t="str">
        <f t="shared" si="256"/>
        <v/>
      </c>
      <c r="KA73" s="108" t="str">
        <f t="shared" si="328"/>
        <v/>
      </c>
    </row>
    <row r="74" spans="1:287" s="108" customFormat="1" ht="21.95" customHeight="1">
      <c r="A74" s="89">
        <v>68</v>
      </c>
      <c r="B74" s="90" t="str">
        <f>IF('Marks Entry'!B74="","",'Marks Entry'!B74)</f>
        <v/>
      </c>
      <c r="C74" s="94" t="str">
        <f>IF('Marks Entry'!D74="","",'Marks Entry'!D74)</f>
        <v/>
      </c>
      <c r="D74" s="91" t="str">
        <f>IF('Marks Entry'!E74="","",'Marks Entry'!E74)</f>
        <v/>
      </c>
      <c r="E74" s="92" t="str">
        <f>IF('Marks Entry'!F74="","",'Marks Entry'!F74)</f>
        <v/>
      </c>
      <c r="F74" s="93" t="str">
        <f>IF('Marks Entry'!G74="","",'Marks Entry'!G74)</f>
        <v/>
      </c>
      <c r="G74" s="93" t="str">
        <f>IF('Marks Entry'!H74="","",'Marks Entry'!H74)</f>
        <v/>
      </c>
      <c r="H74" s="93" t="str">
        <f>IF('Marks Entry'!I74="","",'Marks Entry'!I74)</f>
        <v/>
      </c>
      <c r="I74" s="94" t="str">
        <f>IF('Marks Entry'!J74="","",'Marks Entry'!J74)</f>
        <v/>
      </c>
      <c r="J74" s="95" t="str">
        <f>IF('Marks Entry'!K74="","",'Marks Entry'!K74)</f>
        <v/>
      </c>
      <c r="K74" s="68" t="str">
        <f>IF('Marks Entry'!L74="","",'Marks Entry'!L74)</f>
        <v/>
      </c>
      <c r="L74" s="68" t="str">
        <f>IF('Marks Entry'!M74="","",'Marks Entry'!M74)</f>
        <v/>
      </c>
      <c r="M74" s="68" t="str">
        <f>IF('Marks Entry'!N74="","",'Marks Entry'!N74)</f>
        <v/>
      </c>
      <c r="N74" s="514" t="str">
        <f t="shared" si="257"/>
        <v/>
      </c>
      <c r="O74" s="68" t="str">
        <f>IF('Marks Entry'!O74="","",'Marks Entry'!O74)</f>
        <v/>
      </c>
      <c r="P74" s="515" t="str">
        <f t="shared" si="258"/>
        <v/>
      </c>
      <c r="Q74" s="68" t="str">
        <f>IF('Marks Entry'!P74="","",'Marks Entry'!P74)</f>
        <v/>
      </c>
      <c r="R74" s="96" t="str">
        <f t="shared" si="259"/>
        <v/>
      </c>
      <c r="S74" s="65">
        <f t="shared" si="260"/>
        <v>0</v>
      </c>
      <c r="T74" s="65">
        <f t="shared" si="261"/>
        <v>0</v>
      </c>
      <c r="U74" s="66" t="str">
        <f t="shared" si="171"/>
        <v/>
      </c>
      <c r="V74" s="65" t="str">
        <f t="shared" si="172"/>
        <v/>
      </c>
      <c r="W74" s="65" t="str">
        <f t="shared" si="262"/>
        <v/>
      </c>
      <c r="X74" s="65" t="str">
        <f t="shared" si="173"/>
        <v/>
      </c>
      <c r="Y74" s="68" t="str">
        <f>IF('Marks Entry'!Q74="","",'Marks Entry'!Q74)</f>
        <v/>
      </c>
      <c r="Z74" s="68" t="str">
        <f>IF('Marks Entry'!R74="","",'Marks Entry'!R74)</f>
        <v/>
      </c>
      <c r="AA74" s="68" t="str">
        <f>IF('Marks Entry'!S74="","",'Marks Entry'!S74)</f>
        <v/>
      </c>
      <c r="AB74" s="514" t="str">
        <f t="shared" si="174"/>
        <v/>
      </c>
      <c r="AC74" s="68" t="str">
        <f>IF('Marks Entry'!T74="","",'Marks Entry'!T74)</f>
        <v/>
      </c>
      <c r="AD74" s="515" t="str">
        <f t="shared" si="175"/>
        <v/>
      </c>
      <c r="AE74" s="68" t="str">
        <f>IF('Marks Entry'!U74="","",'Marks Entry'!U74)</f>
        <v/>
      </c>
      <c r="AF74" s="96" t="str">
        <f t="shared" si="176"/>
        <v/>
      </c>
      <c r="AG74" s="65">
        <f t="shared" si="177"/>
        <v>0</v>
      </c>
      <c r="AH74" s="65">
        <f t="shared" si="178"/>
        <v>0</v>
      </c>
      <c r="AI74" s="66" t="str">
        <f t="shared" si="179"/>
        <v/>
      </c>
      <c r="AJ74" s="65" t="str">
        <f t="shared" si="180"/>
        <v/>
      </c>
      <c r="AK74" s="65" t="str">
        <f t="shared" si="181"/>
        <v/>
      </c>
      <c r="AL74" s="65" t="str">
        <f t="shared" si="182"/>
        <v/>
      </c>
      <c r="AM74" s="524" t="str">
        <f>IF('Marks Entry'!V74="","",IF('Marks Entry'!V74=1,'School Profile'!$I$9,IF('Marks Entry'!V74=2,'School Profile'!$I$10,IF('Marks Entry'!V74=3,'School Profile'!$I$11,IF('Marks Entry'!V74=4,'School Profile'!$I$12,IF('Marks Entry'!V74=5,'School Profile'!$I$13,IF('Marks Entry'!V74=6,'School Profile'!$I$14,"")))))))</f>
        <v/>
      </c>
      <c r="AN74" s="68" t="str">
        <f>IF('Marks Entry'!W74="","",'Marks Entry'!W74)</f>
        <v/>
      </c>
      <c r="AO74" s="68" t="str">
        <f>IF('Marks Entry'!X74="","",'Marks Entry'!X74)</f>
        <v/>
      </c>
      <c r="AP74" s="68" t="str">
        <f>IF('Marks Entry'!Y74="","",'Marks Entry'!Y74)</f>
        <v/>
      </c>
      <c r="AQ74" s="514" t="str">
        <f t="shared" si="183"/>
        <v/>
      </c>
      <c r="AR74" s="68" t="str">
        <f>IF('Marks Entry'!Z74="","",'Marks Entry'!Z74)</f>
        <v/>
      </c>
      <c r="AS74" s="515" t="str">
        <f t="shared" si="184"/>
        <v/>
      </c>
      <c r="AT74" s="68" t="str">
        <f>IF('Marks Entry'!AA74="","",'Marks Entry'!AA74)</f>
        <v/>
      </c>
      <c r="AU74" s="96" t="str">
        <f t="shared" si="185"/>
        <v/>
      </c>
      <c r="AV74" s="65">
        <f t="shared" si="186"/>
        <v>0</v>
      </c>
      <c r="AW74" s="65">
        <f t="shared" si="187"/>
        <v>0</v>
      </c>
      <c r="AX74" s="66" t="str">
        <f t="shared" si="188"/>
        <v/>
      </c>
      <c r="AY74" s="65" t="str">
        <f t="shared" si="189"/>
        <v/>
      </c>
      <c r="AZ74" s="65" t="str">
        <f t="shared" si="190"/>
        <v/>
      </c>
      <c r="BA74" s="65" t="str">
        <f t="shared" si="191"/>
        <v/>
      </c>
      <c r="BB74" s="68" t="str">
        <f>IF('Marks Entry'!AB74="","",'Marks Entry'!AB74)</f>
        <v/>
      </c>
      <c r="BC74" s="68" t="str">
        <f>IF('Marks Entry'!AC74="","",'Marks Entry'!AC74)</f>
        <v/>
      </c>
      <c r="BD74" s="68" t="str">
        <f>IF('Marks Entry'!AD74="","",'Marks Entry'!AD74)</f>
        <v/>
      </c>
      <c r="BE74" s="514" t="str">
        <f t="shared" si="192"/>
        <v/>
      </c>
      <c r="BF74" s="68" t="str">
        <f>IF('Marks Entry'!AE74="","",'Marks Entry'!AE74)</f>
        <v/>
      </c>
      <c r="BG74" s="515" t="str">
        <f t="shared" si="193"/>
        <v/>
      </c>
      <c r="BH74" s="68" t="str">
        <f>IF('Marks Entry'!AF74="","",'Marks Entry'!AF74)</f>
        <v/>
      </c>
      <c r="BI74" s="96" t="str">
        <f t="shared" si="194"/>
        <v/>
      </c>
      <c r="BJ74" s="65">
        <f t="shared" si="195"/>
        <v>0</v>
      </c>
      <c r="BK74" s="65">
        <f t="shared" si="263"/>
        <v>0</v>
      </c>
      <c r="BL74" s="66" t="str">
        <f t="shared" si="196"/>
        <v/>
      </c>
      <c r="BM74" s="65" t="str">
        <f t="shared" si="197"/>
        <v/>
      </c>
      <c r="BN74" s="65" t="str">
        <f t="shared" si="198"/>
        <v/>
      </c>
      <c r="BO74" s="65" t="str">
        <f t="shared" si="199"/>
        <v/>
      </c>
      <c r="BP74" s="68" t="str">
        <f>IF('Marks Entry'!AG74="","",'Marks Entry'!AG74)</f>
        <v/>
      </c>
      <c r="BQ74" s="68" t="str">
        <f>IF('Marks Entry'!AH74="","",'Marks Entry'!AH74)</f>
        <v/>
      </c>
      <c r="BR74" s="68" t="str">
        <f>IF('Marks Entry'!AI74="","",'Marks Entry'!AI74)</f>
        <v/>
      </c>
      <c r="BS74" s="514" t="str">
        <f t="shared" si="200"/>
        <v/>
      </c>
      <c r="BT74" s="68" t="str">
        <f>IF('Marks Entry'!AJ74="","",'Marks Entry'!AJ74)</f>
        <v/>
      </c>
      <c r="BU74" s="515" t="str">
        <f t="shared" si="201"/>
        <v/>
      </c>
      <c r="BV74" s="68" t="str">
        <f>IF('Marks Entry'!AK74="","",'Marks Entry'!AK74)</f>
        <v/>
      </c>
      <c r="BW74" s="96" t="str">
        <f t="shared" si="202"/>
        <v/>
      </c>
      <c r="BX74" s="65">
        <f t="shared" si="203"/>
        <v>0</v>
      </c>
      <c r="BY74" s="65">
        <f t="shared" si="204"/>
        <v>0</v>
      </c>
      <c r="BZ74" s="66" t="str">
        <f t="shared" si="205"/>
        <v/>
      </c>
      <c r="CA74" s="65" t="str">
        <f t="shared" si="206"/>
        <v/>
      </c>
      <c r="CB74" s="65" t="str">
        <f t="shared" si="207"/>
        <v/>
      </c>
      <c r="CC74" s="65" t="str">
        <f t="shared" si="208"/>
        <v/>
      </c>
      <c r="CD74" s="66">
        <f t="shared" si="209"/>
        <v>0</v>
      </c>
      <c r="CE74" s="68" t="str">
        <f>IF('Marks Entry'!AL74="","",'Marks Entry'!AL74)</f>
        <v/>
      </c>
      <c r="CF74" s="68" t="str">
        <f>IF('Marks Entry'!AM74="","",'Marks Entry'!AM74)</f>
        <v/>
      </c>
      <c r="CG74" s="68" t="str">
        <f>IF('Marks Entry'!AN74="","",'Marks Entry'!AN74)</f>
        <v/>
      </c>
      <c r="CH74" s="514" t="str">
        <f t="shared" si="210"/>
        <v/>
      </c>
      <c r="CI74" s="68" t="str">
        <f>IF('Marks Entry'!AO74="","",'Marks Entry'!AO74)</f>
        <v/>
      </c>
      <c r="CJ74" s="515" t="str">
        <f t="shared" si="211"/>
        <v/>
      </c>
      <c r="CK74" s="68" t="str">
        <f>IF('Marks Entry'!AP74="","",'Marks Entry'!AP74)</f>
        <v/>
      </c>
      <c r="CL74" s="96" t="str">
        <f t="shared" si="212"/>
        <v/>
      </c>
      <c r="CM74" s="65">
        <f t="shared" si="213"/>
        <v>0</v>
      </c>
      <c r="CN74" s="65">
        <f t="shared" si="214"/>
        <v>0</v>
      </c>
      <c r="CO74" s="66" t="str">
        <f t="shared" si="215"/>
        <v/>
      </c>
      <c r="CP74" s="65" t="str">
        <f t="shared" si="216"/>
        <v/>
      </c>
      <c r="CQ74" s="65" t="str">
        <f t="shared" si="217"/>
        <v/>
      </c>
      <c r="CR74" s="65" t="str">
        <f t="shared" si="218"/>
        <v/>
      </c>
      <c r="CS74" s="616" t="str">
        <f>IF('School Profile'!$D$20="NO","",IF('Marks Entry'!AQ74="","",IF('Marks Entry'!AQ74=1,'School Profile'!$I$29,IF('Marks Entry'!AQ74=2,'School Profile'!$I$30,IF('Marks Entry'!AQ74=3,'School Profile'!$I$31,IF('Marks Entry'!AQ74=4,'School Profile'!$I$32,IF('Marks Entry'!AQ74=5,'School Profile'!$I$33,IF('Marks Entry'!AQ74=6,'School Profile'!$I$34,IF('Marks Entry'!AQ74=7,'School Profile'!$I$35,IF('Marks Entry'!AQ74=8,'School Profile'!$I$36,IF('Marks Entry'!AQ74=9,'School Profile'!$I$37,IF('Marks Entry'!AQ74=10,'School Profile'!$I$38,IF('Marks Entry'!AQ74=11,'School Profile'!$I$39,"")))))))))))))</f>
        <v/>
      </c>
      <c r="CT74" s="68" t="str">
        <f>IF('School Profile'!$D$20="NO","",IF('Marks Entry'!AR74="","",'Marks Entry'!AR74))</f>
        <v/>
      </c>
      <c r="CU74" s="68" t="str">
        <f>IF('School Profile'!$D$20="NO","",IF('Marks Entry'!AS74="","",'Marks Entry'!AS74))</f>
        <v/>
      </c>
      <c r="CV74" s="68" t="str">
        <f>IF('School Profile'!$D$20="NO","",IF('Marks Entry'!AT74="","",'Marks Entry'!AT74))</f>
        <v/>
      </c>
      <c r="CW74" s="514" t="str">
        <f>IF('School Profile'!$D$20="NO","",IF(AND(CT74="",CU74="",CV74=""),"",SUM(CT74:CV74)))</f>
        <v/>
      </c>
      <c r="CX74" s="68" t="str">
        <f>IF('School Profile'!$D$20="NO","",IF('Marks Entry'!AU74="","",'Marks Entry'!AU74))</f>
        <v/>
      </c>
      <c r="CY74" s="68" t="str">
        <f>IF('School Profile'!$D$20="NO","",IF('Marks Entry'!AV74="","",'Marks Entry'!AV74))</f>
        <v/>
      </c>
      <c r="CZ74" s="515" t="str">
        <f>IF('School Profile'!$D$20="NO","",IF(AND(CX74="",CY74=""),"",SUM(CX74,CY74)))</f>
        <v/>
      </c>
      <c r="DA74" s="69" t="str">
        <f>IF('School Profile'!$D$20="NO","",IF(AND(CW74="",CZ74=""),"",SUM(CW74+CZ74)))</f>
        <v/>
      </c>
      <c r="DB74" s="68" t="str">
        <f>IF('School Profile'!$D$20="NO","",IF('Marks Entry'!AW74="","",'Marks Entry'!AW74))</f>
        <v/>
      </c>
      <c r="DC74" s="68" t="str">
        <f>IF('School Profile'!$D$20="NO","",IF('Marks Entry'!AX74="","",'Marks Entry'!AX74))</f>
        <v/>
      </c>
      <c r="DD74" s="515" t="str">
        <f>IF('School Profile'!$D$20="NO","",IF(AND(DB74="",DC74=""),"",SUM(DB74,DC74)))</f>
        <v/>
      </c>
      <c r="DE74" s="96" t="str">
        <f>IF('School Profile'!$D$20="NO","",IF(AND(DA74="",DD74=""),"",SUM(DA74,DD74)))</f>
        <v/>
      </c>
      <c r="DF74" s="532">
        <f t="shared" si="219"/>
        <v>0</v>
      </c>
      <c r="DG74" s="65">
        <f t="shared" si="220"/>
        <v>0</v>
      </c>
      <c r="DH74" s="66" t="str">
        <f t="shared" si="221"/>
        <v/>
      </c>
      <c r="DI74" s="65" t="str">
        <f t="shared" si="222"/>
        <v/>
      </c>
      <c r="DJ74" s="65" t="str">
        <f t="shared" si="223"/>
        <v/>
      </c>
      <c r="DK74" s="65" t="str">
        <f t="shared" si="224"/>
        <v/>
      </c>
      <c r="DL74" s="97" t="str">
        <f t="shared" si="264"/>
        <v/>
      </c>
      <c r="DM74" s="97" t="str">
        <f t="shared" si="265"/>
        <v/>
      </c>
      <c r="DN74" s="97" t="str">
        <f t="shared" si="266"/>
        <v/>
      </c>
      <c r="DO74" s="97" t="str">
        <f t="shared" si="267"/>
        <v/>
      </c>
      <c r="DP74" s="97" t="str">
        <f t="shared" si="268"/>
        <v/>
      </c>
      <c r="DQ74" s="97" t="str">
        <f t="shared" si="269"/>
        <v/>
      </c>
      <c r="DR74" s="97" t="str">
        <f t="shared" si="270"/>
        <v/>
      </c>
      <c r="DS74" s="98">
        <f t="shared" si="271"/>
        <v>0</v>
      </c>
      <c r="DT74" s="98">
        <f t="shared" si="272"/>
        <v>0</v>
      </c>
      <c r="DU74" s="98">
        <f t="shared" si="273"/>
        <v>0</v>
      </c>
      <c r="DV74" s="98">
        <f t="shared" si="274"/>
        <v>0</v>
      </c>
      <c r="DW74" s="98">
        <f t="shared" si="275"/>
        <v>0</v>
      </c>
      <c r="DX74" s="98" t="str">
        <f t="shared" si="276"/>
        <v/>
      </c>
      <c r="DY74" s="99" t="str">
        <f t="shared" si="277"/>
        <v/>
      </c>
      <c r="DZ74" s="74" t="str">
        <f>IF('Marks Entry'!AY74="","",'Marks Entry'!AY74)</f>
        <v/>
      </c>
      <c r="EA74" s="74" t="str">
        <f>IF('Marks Entry'!AZ74="","",'Marks Entry'!AZ74)</f>
        <v/>
      </c>
      <c r="EB74" s="74" t="str">
        <f>IF('Marks Entry'!BA74="","",'Marks Entry'!BA74)</f>
        <v/>
      </c>
      <c r="EC74" s="527" t="str">
        <f t="shared" si="225"/>
        <v/>
      </c>
      <c r="ED74" s="74" t="str">
        <f>IF('Marks Entry'!BB74="","",'Marks Entry'!BB74)</f>
        <v/>
      </c>
      <c r="EE74" s="528" t="str">
        <f t="shared" si="226"/>
        <v/>
      </c>
      <c r="EF74" s="74" t="str">
        <f>IF('Marks Entry'!BC74="","",'Marks Entry'!BC74)</f>
        <v/>
      </c>
      <c r="EG74" s="530" t="str">
        <f t="shared" si="227"/>
        <v/>
      </c>
      <c r="EH74" s="368" t="str">
        <f t="shared" si="278"/>
        <v/>
      </c>
      <c r="EI74" s="65">
        <f t="shared" si="279"/>
        <v>0</v>
      </c>
      <c r="EJ74" s="65">
        <f t="shared" si="280"/>
        <v>0</v>
      </c>
      <c r="EK74" s="66" t="str">
        <f t="shared" si="281"/>
        <v/>
      </c>
      <c r="EL74" s="74" t="str">
        <f>IF('Marks Entry'!BD74="","",'Marks Entry'!BD74)</f>
        <v/>
      </c>
      <c r="EM74" s="74" t="str">
        <f>IF('Marks Entry'!BE74="","",'Marks Entry'!BE74)</f>
        <v/>
      </c>
      <c r="EN74" s="74" t="str">
        <f>IF('Marks Entry'!BF74="","",'Marks Entry'!BF74)</f>
        <v/>
      </c>
      <c r="EO74" s="527" t="str">
        <f t="shared" si="228"/>
        <v/>
      </c>
      <c r="EP74" s="74" t="str">
        <f>IF('Marks Entry'!BG74="","",'Marks Entry'!BG74)</f>
        <v/>
      </c>
      <c r="EQ74" s="74" t="str">
        <f>IF('Marks Entry'!BH74="","",'Marks Entry'!BH74)</f>
        <v/>
      </c>
      <c r="ER74" s="528" t="str">
        <f t="shared" si="229"/>
        <v/>
      </c>
      <c r="ES74" s="529" t="str">
        <f t="shared" si="230"/>
        <v/>
      </c>
      <c r="ET74" s="74" t="str">
        <f>IF('Marks Entry'!BI74="","",'Marks Entry'!BI74)</f>
        <v/>
      </c>
      <c r="EU74" s="74" t="str">
        <f>IF('Marks Entry'!BJ74="","",'Marks Entry'!BJ74)</f>
        <v/>
      </c>
      <c r="EV74" s="528" t="str">
        <f t="shared" si="231"/>
        <v/>
      </c>
      <c r="EW74" s="530" t="str">
        <f t="shared" si="232"/>
        <v/>
      </c>
      <c r="EX74" s="368" t="str">
        <f t="shared" si="282"/>
        <v/>
      </c>
      <c r="EY74" s="65">
        <f t="shared" si="283"/>
        <v>0</v>
      </c>
      <c r="EZ74" s="65">
        <f t="shared" si="284"/>
        <v>0</v>
      </c>
      <c r="FA74" s="66" t="str">
        <f t="shared" si="285"/>
        <v/>
      </c>
      <c r="FB74" s="74" t="str">
        <f>IF('Marks Entry'!BK74="","",'Marks Entry'!BK74)</f>
        <v/>
      </c>
      <c r="FC74" s="74" t="str">
        <f>IF('Marks Entry'!BL74="","",'Marks Entry'!BL74)</f>
        <v/>
      </c>
      <c r="FD74" s="74" t="str">
        <f>IF('Marks Entry'!BM74="","",'Marks Entry'!BM74)</f>
        <v/>
      </c>
      <c r="FE74" s="74" t="str">
        <f>IF('Marks Entry'!BN74="","",'Marks Entry'!BN74)</f>
        <v/>
      </c>
      <c r="FF74" s="74" t="str">
        <f>IF('Marks Entry'!BO74="","",'Marks Entry'!BO74)</f>
        <v/>
      </c>
      <c r="FG74" s="74" t="str">
        <f>IF('Marks Entry'!BP74="","",'Marks Entry'!BP74)</f>
        <v/>
      </c>
      <c r="FH74" s="527" t="str">
        <f t="shared" si="233"/>
        <v/>
      </c>
      <c r="FI74" s="74" t="str">
        <f>IF('Marks Entry'!BQ74="","",'Marks Entry'!BQ74)</f>
        <v/>
      </c>
      <c r="FJ74" s="74" t="str">
        <f>IF('Marks Entry'!BR74="","",'Marks Entry'!BR74)</f>
        <v/>
      </c>
      <c r="FK74" s="528" t="str">
        <f t="shared" si="234"/>
        <v/>
      </c>
      <c r="FL74" s="529" t="str">
        <f t="shared" si="235"/>
        <v/>
      </c>
      <c r="FM74" s="74" t="str">
        <f>IF('Marks Entry'!BS74="","",'Marks Entry'!BS74)</f>
        <v/>
      </c>
      <c r="FN74" s="74" t="str">
        <f>IF('Marks Entry'!BT74="","",'Marks Entry'!BT74)</f>
        <v/>
      </c>
      <c r="FO74" s="528" t="str">
        <f t="shared" si="236"/>
        <v/>
      </c>
      <c r="FP74" s="530" t="str">
        <f t="shared" si="237"/>
        <v/>
      </c>
      <c r="FQ74" s="368" t="str">
        <f t="shared" si="286"/>
        <v/>
      </c>
      <c r="FR74" s="65">
        <f t="shared" si="287"/>
        <v>0</v>
      </c>
      <c r="FS74" s="65">
        <f t="shared" si="288"/>
        <v>0</v>
      </c>
      <c r="FT74" s="66" t="str">
        <f t="shared" si="289"/>
        <v/>
      </c>
      <c r="FU74" s="74" t="str">
        <f>IF('Marks Entry'!BU74="","",'Marks Entry'!BU74)</f>
        <v/>
      </c>
      <c r="FV74" s="74" t="str">
        <f>IF('Marks Entry'!BV74="","",'Marks Entry'!BV74)</f>
        <v/>
      </c>
      <c r="FW74" s="74" t="str">
        <f>IF('Marks Entry'!BW74="","",'Marks Entry'!BW74)</f>
        <v/>
      </c>
      <c r="FX74" s="75" t="str">
        <f t="shared" si="238"/>
        <v/>
      </c>
      <c r="FY74" s="368" t="str">
        <f t="shared" si="290"/>
        <v/>
      </c>
      <c r="FZ74" s="65">
        <f t="shared" si="291"/>
        <v>0</v>
      </c>
      <c r="GA74" s="66">
        <f t="shared" si="292"/>
        <v>0</v>
      </c>
      <c r="GB74" s="66" t="str">
        <f t="shared" si="293"/>
        <v/>
      </c>
      <c r="GC74" s="74" t="str">
        <f>IF('Marks Entry'!BX74="","",'Marks Entry'!BX74)</f>
        <v/>
      </c>
      <c r="GD74" s="74" t="str">
        <f>IF('Marks Entry'!BY74="","",'Marks Entry'!BY74)</f>
        <v/>
      </c>
      <c r="GE74" s="74" t="str">
        <f>IF('Marks Entry'!BZ74="","",'Marks Entry'!BZ74)</f>
        <v/>
      </c>
      <c r="GF74" s="75" t="str">
        <f t="shared" si="294"/>
        <v/>
      </c>
      <c r="GG74" s="368" t="str">
        <f t="shared" si="295"/>
        <v/>
      </c>
      <c r="GH74" s="65">
        <f t="shared" si="296"/>
        <v>0</v>
      </c>
      <c r="GI74" s="66">
        <f t="shared" si="297"/>
        <v>0</v>
      </c>
      <c r="GJ74" s="66" t="str">
        <f t="shared" si="298"/>
        <v/>
      </c>
      <c r="GK74" s="100" t="str">
        <f>IF(AND(F74="",B74=""),"",IF('Student DATA Entry'!M71="","",'Student DATA Entry'!M71))</f>
        <v/>
      </c>
      <c r="GL74" s="101" t="str">
        <f>IF(AND(B74="",F74=""),"",IF('Student DATA Entry'!N71="","",'Student DATA Entry'!N71))</f>
        <v/>
      </c>
      <c r="GM74" s="581" t="str">
        <f t="shared" si="299"/>
        <v/>
      </c>
      <c r="GN74" s="94" t="str">
        <f t="shared" si="300"/>
        <v/>
      </c>
      <c r="GO74" s="94" t="str">
        <f t="shared" si="301"/>
        <v/>
      </c>
      <c r="GP74" s="102" t="str">
        <f t="shared" si="239"/>
        <v/>
      </c>
      <c r="GQ74" s="94" t="str">
        <f t="shared" si="302"/>
        <v/>
      </c>
      <c r="GR74" s="103" t="str">
        <f t="shared" si="303"/>
        <v/>
      </c>
      <c r="GS74" s="102" t="str">
        <f t="shared" si="240"/>
        <v/>
      </c>
      <c r="GT74" s="104" t="str">
        <f t="shared" si="304"/>
        <v/>
      </c>
      <c r="GU74" s="94" t="str">
        <f>IF('Marks Entry'!V74=1,GT74,"")</f>
        <v/>
      </c>
      <c r="GV74" s="94" t="str">
        <f>IF('Marks Entry'!V74=2,GT74,"")</f>
        <v/>
      </c>
      <c r="GW74" s="94" t="str">
        <f>IF('Marks Entry'!V74=3,GT74,"")</f>
        <v/>
      </c>
      <c r="GX74" s="94" t="str">
        <f>IF('Marks Entry'!V74=4,GT74,"")</f>
        <v/>
      </c>
      <c r="GY74" s="94" t="str">
        <f>IF('Marks Entry'!V74=5,GT74,"")</f>
        <v/>
      </c>
      <c r="GZ74" s="94" t="str">
        <f t="shared" si="305"/>
        <v/>
      </c>
      <c r="HA74" s="105" t="str">
        <f t="shared" si="241"/>
        <v/>
      </c>
      <c r="HB74" s="94" t="str">
        <f t="shared" si="306"/>
        <v/>
      </c>
      <c r="HC74" s="94" t="str">
        <f t="shared" si="307"/>
        <v/>
      </c>
      <c r="HD74" s="105" t="str">
        <f t="shared" si="242"/>
        <v/>
      </c>
      <c r="HE74" s="94" t="str">
        <f t="shared" si="308"/>
        <v/>
      </c>
      <c r="HF74" s="94" t="str">
        <f t="shared" si="309"/>
        <v/>
      </c>
      <c r="HG74" s="105" t="str">
        <f t="shared" si="243"/>
        <v/>
      </c>
      <c r="HH74" s="94" t="str">
        <f t="shared" si="310"/>
        <v/>
      </c>
      <c r="HI74" s="94" t="str">
        <f t="shared" si="311"/>
        <v/>
      </c>
      <c r="HJ74" s="105" t="str">
        <f t="shared" si="244"/>
        <v/>
      </c>
      <c r="HK74" s="94" t="str">
        <f t="shared" si="312"/>
        <v/>
      </c>
      <c r="HL74" s="94" t="str">
        <f t="shared" si="313"/>
        <v/>
      </c>
      <c r="HM74" s="105" t="str">
        <f t="shared" si="245"/>
        <v/>
      </c>
      <c r="HN74" s="367" t="str">
        <f t="shared" si="314"/>
        <v xml:space="preserve">      </v>
      </c>
      <c r="HO74" s="418" t="str">
        <f t="shared" si="246"/>
        <v xml:space="preserve">      </v>
      </c>
      <c r="HP74" s="367" t="str">
        <f t="shared" si="315"/>
        <v xml:space="preserve">      </v>
      </c>
      <c r="HQ74" s="107" t="str">
        <f t="shared" si="316"/>
        <v xml:space="preserve">      </v>
      </c>
      <c r="HR74" s="366" t="str">
        <f t="shared" si="317"/>
        <v xml:space="preserve">      </v>
      </c>
      <c r="HS74" s="544" t="str">
        <f t="shared" si="247"/>
        <v/>
      </c>
      <c r="HT74" s="542" t="str">
        <f t="shared" si="318"/>
        <v/>
      </c>
      <c r="HU74" s="541" t="str">
        <f t="shared" si="319"/>
        <v/>
      </c>
      <c r="HV74" s="540" t="str">
        <f t="shared" si="320"/>
        <v/>
      </c>
      <c r="HW74" s="537" t="str">
        <f t="shared" si="321"/>
        <v/>
      </c>
      <c r="HX74" s="539" t="str">
        <f t="shared" si="322"/>
        <v/>
      </c>
      <c r="HY74" s="553" t="str">
        <f>IFERROR(IF(OR(HS74="SUPPLEMENTARY",HS74="RE-EXAM"),'Supp. Result Entry'!AQ72,""),"")</f>
        <v/>
      </c>
      <c r="HZ74" s="538" t="str">
        <f t="shared" si="323"/>
        <v/>
      </c>
      <c r="IA74" s="415" t="str">
        <f t="shared" si="324"/>
        <v/>
      </c>
      <c r="IB74" s="415" t="str">
        <f>IF(AND(HZ74="",IA74=""),"",IF(OR(HS74="SUPPLEMENTARY",HS74="RE-EXAM"),'Supp. Result Entry'!AQ72,HS74))</f>
        <v/>
      </c>
      <c r="IC74" s="87"/>
      <c r="IS74" s="109" t="str">
        <f>IF('Supp. Result Entry'!T72="","",'Supp. Result Entry'!$T$4)</f>
        <v/>
      </c>
      <c r="IT74" s="110" t="str">
        <f>IF('Supp. Result Entry'!W72="","",'Supp. Result Entry'!$W$4)</f>
        <v/>
      </c>
      <c r="IU74" s="110" t="str">
        <f>IF('Supp. Result Entry'!Z72="","",'Supp. Result Entry'!$Z$4)</f>
        <v/>
      </c>
      <c r="IV74" s="110" t="str">
        <f>IF('Supp. Result Entry'!AC72="","",'Supp. Result Entry'!$AC$4)</f>
        <v/>
      </c>
      <c r="IW74" s="110" t="str">
        <f>IF('Supp. Result Entry'!AF72="","",'Supp. Result Entry'!$AF$4)</f>
        <v/>
      </c>
      <c r="IX74" s="110" t="str">
        <f>IF('Supp. Result Entry'!AI72="","",'Supp. Result Entry'!$AI$4)</f>
        <v/>
      </c>
      <c r="IY74" s="110" t="str">
        <f>IF('Supp. Result Entry'!AI72="","",'Supp. Result Entry'!$AL$4)</f>
        <v/>
      </c>
      <c r="IZ74" s="110" t="str">
        <f>IF('Supp. Result Entry'!U72="","",'Supp. Result Entry'!U72)</f>
        <v/>
      </c>
      <c r="JA74" s="110" t="str">
        <f>IF('Supp. Result Entry'!X72="","",'Supp. Result Entry'!X72)</f>
        <v/>
      </c>
      <c r="JB74" s="110" t="str">
        <f>IF('Supp. Result Entry'!AA72="","",'Supp. Result Entry'!AA72)</f>
        <v/>
      </c>
      <c r="JC74" s="110" t="str">
        <f>IF('Supp. Result Entry'!AD72="","",'Supp. Result Entry'!AD72)</f>
        <v/>
      </c>
      <c r="JD74" s="110" t="str">
        <f>IF('Supp. Result Entry'!AG72="","",'Supp. Result Entry'!AG72)</f>
        <v/>
      </c>
      <c r="JE74" s="110" t="str">
        <f>IF('Supp. Result Entry'!AJ72="","",'Supp. Result Entry'!AJ72)</f>
        <v/>
      </c>
      <c r="JF74" s="110" t="str">
        <f>IF('Supp. Result Entry'!AM72="","",'Supp. Result Entry'!AM72)</f>
        <v/>
      </c>
      <c r="JG74" s="110" t="str">
        <f>IF('Supp. Result Entry'!V72="","",'Supp. Result Entry'!V72)</f>
        <v/>
      </c>
      <c r="JH74" s="110" t="str">
        <f>IF('Supp. Result Entry'!Y72="","",'Supp. Result Entry'!Y72)</f>
        <v/>
      </c>
      <c r="JI74" s="110" t="str">
        <f>IF('Supp. Result Entry'!AB72="","",'Supp. Result Entry'!AB72)</f>
        <v/>
      </c>
      <c r="JJ74" s="110" t="str">
        <f>IF('Supp. Result Entry'!AE72="","",'Supp. Result Entry'!AE72)</f>
        <v/>
      </c>
      <c r="JK74" s="110" t="str">
        <f>IF('Supp. Result Entry'!AH72="","",'Supp. Result Entry'!AH72)</f>
        <v/>
      </c>
      <c r="JL74" s="110" t="str">
        <f>IF('Supp. Result Entry'!AK72="","",'Supp. Result Entry'!AK72)</f>
        <v/>
      </c>
      <c r="JM74" s="110" t="str">
        <f>IF('Supp. Result Entry'!AN72="","",'Supp. Result Entry'!AN72)</f>
        <v/>
      </c>
      <c r="JN74" s="110">
        <f>COUNTIF('Supp. Result Entry'!K72:Q72,"S")</f>
        <v>0</v>
      </c>
      <c r="JO74" s="110">
        <f t="shared" si="248"/>
        <v>0</v>
      </c>
      <c r="JP74" s="110">
        <f t="shared" si="325"/>
        <v>0</v>
      </c>
      <c r="JQ74" s="110" t="str">
        <f t="shared" si="249"/>
        <v/>
      </c>
      <c r="JR74" s="110" t="str">
        <f t="shared" si="250"/>
        <v/>
      </c>
      <c r="JS74" s="110" t="str">
        <f t="shared" si="251"/>
        <v/>
      </c>
      <c r="JT74" s="110" t="str">
        <f t="shared" si="252"/>
        <v/>
      </c>
      <c r="JU74" s="110" t="str">
        <f t="shared" si="253"/>
        <v/>
      </c>
      <c r="JV74" s="110" t="str">
        <f t="shared" si="254"/>
        <v/>
      </c>
      <c r="JW74" s="110" t="str">
        <f t="shared" si="255"/>
        <v/>
      </c>
      <c r="JX74" s="110" t="str">
        <f t="shared" si="326"/>
        <v/>
      </c>
      <c r="JY74" s="110" t="str">
        <f t="shared" si="327"/>
        <v/>
      </c>
      <c r="JZ74" s="110" t="str">
        <f t="shared" si="256"/>
        <v/>
      </c>
      <c r="KA74" s="108" t="str">
        <f t="shared" si="328"/>
        <v/>
      </c>
    </row>
    <row r="75" spans="1:287" s="108" customFormat="1" ht="21.95" customHeight="1">
      <c r="A75" s="89">
        <v>69</v>
      </c>
      <c r="B75" s="90" t="str">
        <f>IF('Marks Entry'!B75="","",'Marks Entry'!B75)</f>
        <v/>
      </c>
      <c r="C75" s="94" t="str">
        <f>IF('Marks Entry'!D75="","",'Marks Entry'!D75)</f>
        <v/>
      </c>
      <c r="D75" s="91" t="str">
        <f>IF('Marks Entry'!E75="","",'Marks Entry'!E75)</f>
        <v/>
      </c>
      <c r="E75" s="92" t="str">
        <f>IF('Marks Entry'!F75="","",'Marks Entry'!F75)</f>
        <v/>
      </c>
      <c r="F75" s="93" t="str">
        <f>IF('Marks Entry'!G75="","",'Marks Entry'!G75)</f>
        <v/>
      </c>
      <c r="G75" s="93" t="str">
        <f>IF('Marks Entry'!H75="","",'Marks Entry'!H75)</f>
        <v/>
      </c>
      <c r="H75" s="93" t="str">
        <f>IF('Marks Entry'!I75="","",'Marks Entry'!I75)</f>
        <v/>
      </c>
      <c r="I75" s="94" t="str">
        <f>IF('Marks Entry'!J75="","",'Marks Entry'!J75)</f>
        <v/>
      </c>
      <c r="J75" s="95" t="str">
        <f>IF('Marks Entry'!K75="","",'Marks Entry'!K75)</f>
        <v/>
      </c>
      <c r="K75" s="68" t="str">
        <f>IF('Marks Entry'!L75="","",'Marks Entry'!L75)</f>
        <v/>
      </c>
      <c r="L75" s="68" t="str">
        <f>IF('Marks Entry'!M75="","",'Marks Entry'!M75)</f>
        <v/>
      </c>
      <c r="M75" s="68" t="str">
        <f>IF('Marks Entry'!N75="","",'Marks Entry'!N75)</f>
        <v/>
      </c>
      <c r="N75" s="514" t="str">
        <f t="shared" si="257"/>
        <v/>
      </c>
      <c r="O75" s="68" t="str">
        <f>IF('Marks Entry'!O75="","",'Marks Entry'!O75)</f>
        <v/>
      </c>
      <c r="P75" s="515" t="str">
        <f t="shared" si="258"/>
        <v/>
      </c>
      <c r="Q75" s="68" t="str">
        <f>IF('Marks Entry'!P75="","",'Marks Entry'!P75)</f>
        <v/>
      </c>
      <c r="R75" s="96" t="str">
        <f t="shared" si="259"/>
        <v/>
      </c>
      <c r="S75" s="65">
        <f t="shared" si="260"/>
        <v>0</v>
      </c>
      <c r="T75" s="65">
        <f t="shared" si="261"/>
        <v>0</v>
      </c>
      <c r="U75" s="66" t="str">
        <f t="shared" si="171"/>
        <v/>
      </c>
      <c r="V75" s="65" t="str">
        <f t="shared" si="172"/>
        <v/>
      </c>
      <c r="W75" s="65" t="str">
        <f t="shared" si="262"/>
        <v/>
      </c>
      <c r="X75" s="65" t="str">
        <f t="shared" si="173"/>
        <v/>
      </c>
      <c r="Y75" s="68" t="str">
        <f>IF('Marks Entry'!Q75="","",'Marks Entry'!Q75)</f>
        <v/>
      </c>
      <c r="Z75" s="68" t="str">
        <f>IF('Marks Entry'!R75="","",'Marks Entry'!R75)</f>
        <v/>
      </c>
      <c r="AA75" s="68" t="str">
        <f>IF('Marks Entry'!S75="","",'Marks Entry'!S75)</f>
        <v/>
      </c>
      <c r="AB75" s="514" t="str">
        <f t="shared" si="174"/>
        <v/>
      </c>
      <c r="AC75" s="68" t="str">
        <f>IF('Marks Entry'!T75="","",'Marks Entry'!T75)</f>
        <v/>
      </c>
      <c r="AD75" s="515" t="str">
        <f t="shared" si="175"/>
        <v/>
      </c>
      <c r="AE75" s="68" t="str">
        <f>IF('Marks Entry'!U75="","",'Marks Entry'!U75)</f>
        <v/>
      </c>
      <c r="AF75" s="96" t="str">
        <f t="shared" si="176"/>
        <v/>
      </c>
      <c r="AG75" s="65">
        <f t="shared" si="177"/>
        <v>0</v>
      </c>
      <c r="AH75" s="65">
        <f t="shared" si="178"/>
        <v>0</v>
      </c>
      <c r="AI75" s="66" t="str">
        <f t="shared" si="179"/>
        <v/>
      </c>
      <c r="AJ75" s="65" t="str">
        <f t="shared" si="180"/>
        <v/>
      </c>
      <c r="AK75" s="65" t="str">
        <f t="shared" si="181"/>
        <v/>
      </c>
      <c r="AL75" s="65" t="str">
        <f t="shared" si="182"/>
        <v/>
      </c>
      <c r="AM75" s="524" t="str">
        <f>IF('Marks Entry'!V75="","",IF('Marks Entry'!V75=1,'School Profile'!$I$9,IF('Marks Entry'!V75=2,'School Profile'!$I$10,IF('Marks Entry'!V75=3,'School Profile'!$I$11,IF('Marks Entry'!V75=4,'School Profile'!$I$12,IF('Marks Entry'!V75=5,'School Profile'!$I$13,IF('Marks Entry'!V75=6,'School Profile'!$I$14,"")))))))</f>
        <v/>
      </c>
      <c r="AN75" s="68" t="str">
        <f>IF('Marks Entry'!W75="","",'Marks Entry'!W75)</f>
        <v/>
      </c>
      <c r="AO75" s="68" t="str">
        <f>IF('Marks Entry'!X75="","",'Marks Entry'!X75)</f>
        <v/>
      </c>
      <c r="AP75" s="68" t="str">
        <f>IF('Marks Entry'!Y75="","",'Marks Entry'!Y75)</f>
        <v/>
      </c>
      <c r="AQ75" s="514" t="str">
        <f t="shared" si="183"/>
        <v/>
      </c>
      <c r="AR75" s="68" t="str">
        <f>IF('Marks Entry'!Z75="","",'Marks Entry'!Z75)</f>
        <v/>
      </c>
      <c r="AS75" s="515" t="str">
        <f t="shared" si="184"/>
        <v/>
      </c>
      <c r="AT75" s="68" t="str">
        <f>IF('Marks Entry'!AA75="","",'Marks Entry'!AA75)</f>
        <v/>
      </c>
      <c r="AU75" s="96" t="str">
        <f t="shared" si="185"/>
        <v/>
      </c>
      <c r="AV75" s="65">
        <f t="shared" si="186"/>
        <v>0</v>
      </c>
      <c r="AW75" s="65">
        <f t="shared" si="187"/>
        <v>0</v>
      </c>
      <c r="AX75" s="66" t="str">
        <f t="shared" si="188"/>
        <v/>
      </c>
      <c r="AY75" s="65" t="str">
        <f t="shared" si="189"/>
        <v/>
      </c>
      <c r="AZ75" s="65" t="str">
        <f t="shared" si="190"/>
        <v/>
      </c>
      <c r="BA75" s="65" t="str">
        <f t="shared" si="191"/>
        <v/>
      </c>
      <c r="BB75" s="68" t="str">
        <f>IF('Marks Entry'!AB75="","",'Marks Entry'!AB75)</f>
        <v/>
      </c>
      <c r="BC75" s="68" t="str">
        <f>IF('Marks Entry'!AC75="","",'Marks Entry'!AC75)</f>
        <v/>
      </c>
      <c r="BD75" s="68" t="str">
        <f>IF('Marks Entry'!AD75="","",'Marks Entry'!AD75)</f>
        <v/>
      </c>
      <c r="BE75" s="514" t="str">
        <f t="shared" si="192"/>
        <v/>
      </c>
      <c r="BF75" s="68" t="str">
        <f>IF('Marks Entry'!AE75="","",'Marks Entry'!AE75)</f>
        <v/>
      </c>
      <c r="BG75" s="515" t="str">
        <f t="shared" si="193"/>
        <v/>
      </c>
      <c r="BH75" s="68" t="str">
        <f>IF('Marks Entry'!AF75="","",'Marks Entry'!AF75)</f>
        <v/>
      </c>
      <c r="BI75" s="96" t="str">
        <f t="shared" si="194"/>
        <v/>
      </c>
      <c r="BJ75" s="65">
        <f t="shared" si="195"/>
        <v>0</v>
      </c>
      <c r="BK75" s="65">
        <f t="shared" si="263"/>
        <v>0</v>
      </c>
      <c r="BL75" s="66" t="str">
        <f t="shared" si="196"/>
        <v/>
      </c>
      <c r="BM75" s="65" t="str">
        <f t="shared" si="197"/>
        <v/>
      </c>
      <c r="BN75" s="65" t="str">
        <f t="shared" si="198"/>
        <v/>
      </c>
      <c r="BO75" s="65" t="str">
        <f t="shared" si="199"/>
        <v/>
      </c>
      <c r="BP75" s="68" t="str">
        <f>IF('Marks Entry'!AG75="","",'Marks Entry'!AG75)</f>
        <v/>
      </c>
      <c r="BQ75" s="68" t="str">
        <f>IF('Marks Entry'!AH75="","",'Marks Entry'!AH75)</f>
        <v/>
      </c>
      <c r="BR75" s="68" t="str">
        <f>IF('Marks Entry'!AI75="","",'Marks Entry'!AI75)</f>
        <v/>
      </c>
      <c r="BS75" s="514" t="str">
        <f t="shared" si="200"/>
        <v/>
      </c>
      <c r="BT75" s="68" t="str">
        <f>IF('Marks Entry'!AJ75="","",'Marks Entry'!AJ75)</f>
        <v/>
      </c>
      <c r="BU75" s="515" t="str">
        <f t="shared" si="201"/>
        <v/>
      </c>
      <c r="BV75" s="68" t="str">
        <f>IF('Marks Entry'!AK75="","",'Marks Entry'!AK75)</f>
        <v/>
      </c>
      <c r="BW75" s="96" t="str">
        <f t="shared" si="202"/>
        <v/>
      </c>
      <c r="BX75" s="65">
        <f t="shared" si="203"/>
        <v>0</v>
      </c>
      <c r="BY75" s="65">
        <f t="shared" si="204"/>
        <v>0</v>
      </c>
      <c r="BZ75" s="66" t="str">
        <f t="shared" si="205"/>
        <v/>
      </c>
      <c r="CA75" s="65" t="str">
        <f t="shared" si="206"/>
        <v/>
      </c>
      <c r="CB75" s="65" t="str">
        <f t="shared" si="207"/>
        <v/>
      </c>
      <c r="CC75" s="65" t="str">
        <f t="shared" si="208"/>
        <v/>
      </c>
      <c r="CD75" s="66">
        <f t="shared" si="209"/>
        <v>0</v>
      </c>
      <c r="CE75" s="68" t="str">
        <f>IF('Marks Entry'!AL75="","",'Marks Entry'!AL75)</f>
        <v/>
      </c>
      <c r="CF75" s="68" t="str">
        <f>IF('Marks Entry'!AM75="","",'Marks Entry'!AM75)</f>
        <v/>
      </c>
      <c r="CG75" s="68" t="str">
        <f>IF('Marks Entry'!AN75="","",'Marks Entry'!AN75)</f>
        <v/>
      </c>
      <c r="CH75" s="514" t="str">
        <f t="shared" si="210"/>
        <v/>
      </c>
      <c r="CI75" s="68" t="str">
        <f>IF('Marks Entry'!AO75="","",'Marks Entry'!AO75)</f>
        <v/>
      </c>
      <c r="CJ75" s="515" t="str">
        <f t="shared" si="211"/>
        <v/>
      </c>
      <c r="CK75" s="68" t="str">
        <f>IF('Marks Entry'!AP75="","",'Marks Entry'!AP75)</f>
        <v/>
      </c>
      <c r="CL75" s="96" t="str">
        <f t="shared" si="212"/>
        <v/>
      </c>
      <c r="CM75" s="65">
        <f t="shared" si="213"/>
        <v>0</v>
      </c>
      <c r="CN75" s="65">
        <f t="shared" si="214"/>
        <v>0</v>
      </c>
      <c r="CO75" s="66" t="str">
        <f t="shared" si="215"/>
        <v/>
      </c>
      <c r="CP75" s="65" t="str">
        <f t="shared" si="216"/>
        <v/>
      </c>
      <c r="CQ75" s="65" t="str">
        <f t="shared" si="217"/>
        <v/>
      </c>
      <c r="CR75" s="65" t="str">
        <f t="shared" si="218"/>
        <v/>
      </c>
      <c r="CS75" s="616" t="str">
        <f>IF('School Profile'!$D$20="NO","",IF('Marks Entry'!AQ75="","",IF('Marks Entry'!AQ75=1,'School Profile'!$I$29,IF('Marks Entry'!AQ75=2,'School Profile'!$I$30,IF('Marks Entry'!AQ75=3,'School Profile'!$I$31,IF('Marks Entry'!AQ75=4,'School Profile'!$I$32,IF('Marks Entry'!AQ75=5,'School Profile'!$I$33,IF('Marks Entry'!AQ75=6,'School Profile'!$I$34,IF('Marks Entry'!AQ75=7,'School Profile'!$I$35,IF('Marks Entry'!AQ75=8,'School Profile'!$I$36,IF('Marks Entry'!AQ75=9,'School Profile'!$I$37,IF('Marks Entry'!AQ75=10,'School Profile'!$I$38,IF('Marks Entry'!AQ75=11,'School Profile'!$I$39,"")))))))))))))</f>
        <v/>
      </c>
      <c r="CT75" s="68" t="str">
        <f>IF('School Profile'!$D$20="NO","",IF('Marks Entry'!AR75="","",'Marks Entry'!AR75))</f>
        <v/>
      </c>
      <c r="CU75" s="68" t="str">
        <f>IF('School Profile'!$D$20="NO","",IF('Marks Entry'!AS75="","",'Marks Entry'!AS75))</f>
        <v/>
      </c>
      <c r="CV75" s="68" t="str">
        <f>IF('School Profile'!$D$20="NO","",IF('Marks Entry'!AT75="","",'Marks Entry'!AT75))</f>
        <v/>
      </c>
      <c r="CW75" s="514" t="str">
        <f>IF('School Profile'!$D$20="NO","",IF(AND(CT75="",CU75="",CV75=""),"",SUM(CT75:CV75)))</f>
        <v/>
      </c>
      <c r="CX75" s="68" t="str">
        <f>IF('School Profile'!$D$20="NO","",IF('Marks Entry'!AU75="","",'Marks Entry'!AU75))</f>
        <v/>
      </c>
      <c r="CY75" s="68" t="str">
        <f>IF('School Profile'!$D$20="NO","",IF('Marks Entry'!AV75="","",'Marks Entry'!AV75))</f>
        <v/>
      </c>
      <c r="CZ75" s="515" t="str">
        <f>IF('School Profile'!$D$20="NO","",IF(AND(CX75="",CY75=""),"",SUM(CX75,CY75)))</f>
        <v/>
      </c>
      <c r="DA75" s="69" t="str">
        <f>IF('School Profile'!$D$20="NO","",IF(AND(CW75="",CZ75=""),"",SUM(CW75+CZ75)))</f>
        <v/>
      </c>
      <c r="DB75" s="68" t="str">
        <f>IF('School Profile'!$D$20="NO","",IF('Marks Entry'!AW75="","",'Marks Entry'!AW75))</f>
        <v/>
      </c>
      <c r="DC75" s="68" t="str">
        <f>IF('School Profile'!$D$20="NO","",IF('Marks Entry'!AX75="","",'Marks Entry'!AX75))</f>
        <v/>
      </c>
      <c r="DD75" s="515" t="str">
        <f>IF('School Profile'!$D$20="NO","",IF(AND(DB75="",DC75=""),"",SUM(DB75,DC75)))</f>
        <v/>
      </c>
      <c r="DE75" s="96" t="str">
        <f>IF('School Profile'!$D$20="NO","",IF(AND(DA75="",DD75=""),"",SUM(DA75,DD75)))</f>
        <v/>
      </c>
      <c r="DF75" s="532">
        <f t="shared" si="219"/>
        <v>0</v>
      </c>
      <c r="DG75" s="65">
        <f t="shared" si="220"/>
        <v>0</v>
      </c>
      <c r="DH75" s="66" t="str">
        <f t="shared" si="221"/>
        <v/>
      </c>
      <c r="DI75" s="65" t="str">
        <f t="shared" si="222"/>
        <v/>
      </c>
      <c r="DJ75" s="65" t="str">
        <f t="shared" si="223"/>
        <v/>
      </c>
      <c r="DK75" s="65" t="str">
        <f t="shared" si="224"/>
        <v/>
      </c>
      <c r="DL75" s="97" t="str">
        <f t="shared" si="264"/>
        <v/>
      </c>
      <c r="DM75" s="97" t="str">
        <f t="shared" si="265"/>
        <v/>
      </c>
      <c r="DN75" s="97" t="str">
        <f t="shared" si="266"/>
        <v/>
      </c>
      <c r="DO75" s="97" t="str">
        <f t="shared" si="267"/>
        <v/>
      </c>
      <c r="DP75" s="97" t="str">
        <f t="shared" si="268"/>
        <v/>
      </c>
      <c r="DQ75" s="97" t="str">
        <f t="shared" si="269"/>
        <v/>
      </c>
      <c r="DR75" s="97" t="str">
        <f t="shared" si="270"/>
        <v/>
      </c>
      <c r="DS75" s="98">
        <f t="shared" si="271"/>
        <v>0</v>
      </c>
      <c r="DT75" s="98">
        <f t="shared" si="272"/>
        <v>0</v>
      </c>
      <c r="DU75" s="98">
        <f t="shared" si="273"/>
        <v>0</v>
      </c>
      <c r="DV75" s="98">
        <f t="shared" si="274"/>
        <v>0</v>
      </c>
      <c r="DW75" s="98">
        <f t="shared" si="275"/>
        <v>0</v>
      </c>
      <c r="DX75" s="98" t="str">
        <f t="shared" si="276"/>
        <v/>
      </c>
      <c r="DY75" s="99" t="str">
        <f t="shared" si="277"/>
        <v/>
      </c>
      <c r="DZ75" s="74" t="str">
        <f>IF('Marks Entry'!AY75="","",'Marks Entry'!AY75)</f>
        <v/>
      </c>
      <c r="EA75" s="74" t="str">
        <f>IF('Marks Entry'!AZ75="","",'Marks Entry'!AZ75)</f>
        <v/>
      </c>
      <c r="EB75" s="74" t="str">
        <f>IF('Marks Entry'!BA75="","",'Marks Entry'!BA75)</f>
        <v/>
      </c>
      <c r="EC75" s="527" t="str">
        <f t="shared" si="225"/>
        <v/>
      </c>
      <c r="ED75" s="74" t="str">
        <f>IF('Marks Entry'!BB75="","",'Marks Entry'!BB75)</f>
        <v/>
      </c>
      <c r="EE75" s="528" t="str">
        <f t="shared" si="226"/>
        <v/>
      </c>
      <c r="EF75" s="74" t="str">
        <f>IF('Marks Entry'!BC75="","",'Marks Entry'!BC75)</f>
        <v/>
      </c>
      <c r="EG75" s="530" t="str">
        <f t="shared" si="227"/>
        <v/>
      </c>
      <c r="EH75" s="368" t="str">
        <f t="shared" si="278"/>
        <v/>
      </c>
      <c r="EI75" s="65">
        <f t="shared" si="279"/>
        <v>0</v>
      </c>
      <c r="EJ75" s="65">
        <f t="shared" si="280"/>
        <v>0</v>
      </c>
      <c r="EK75" s="66" t="str">
        <f t="shared" si="281"/>
        <v/>
      </c>
      <c r="EL75" s="74" t="str">
        <f>IF('Marks Entry'!BD75="","",'Marks Entry'!BD75)</f>
        <v/>
      </c>
      <c r="EM75" s="74" t="str">
        <f>IF('Marks Entry'!BE75="","",'Marks Entry'!BE75)</f>
        <v/>
      </c>
      <c r="EN75" s="74" t="str">
        <f>IF('Marks Entry'!BF75="","",'Marks Entry'!BF75)</f>
        <v/>
      </c>
      <c r="EO75" s="527" t="str">
        <f t="shared" si="228"/>
        <v/>
      </c>
      <c r="EP75" s="74" t="str">
        <f>IF('Marks Entry'!BG75="","",'Marks Entry'!BG75)</f>
        <v/>
      </c>
      <c r="EQ75" s="74" t="str">
        <f>IF('Marks Entry'!BH75="","",'Marks Entry'!BH75)</f>
        <v/>
      </c>
      <c r="ER75" s="528" t="str">
        <f t="shared" si="229"/>
        <v/>
      </c>
      <c r="ES75" s="529" t="str">
        <f t="shared" si="230"/>
        <v/>
      </c>
      <c r="ET75" s="74" t="str">
        <f>IF('Marks Entry'!BI75="","",'Marks Entry'!BI75)</f>
        <v/>
      </c>
      <c r="EU75" s="74" t="str">
        <f>IF('Marks Entry'!BJ75="","",'Marks Entry'!BJ75)</f>
        <v/>
      </c>
      <c r="EV75" s="528" t="str">
        <f t="shared" si="231"/>
        <v/>
      </c>
      <c r="EW75" s="530" t="str">
        <f t="shared" si="232"/>
        <v/>
      </c>
      <c r="EX75" s="368" t="str">
        <f t="shared" si="282"/>
        <v/>
      </c>
      <c r="EY75" s="65">
        <f t="shared" si="283"/>
        <v>0</v>
      </c>
      <c r="EZ75" s="65">
        <f t="shared" si="284"/>
        <v>0</v>
      </c>
      <c r="FA75" s="66" t="str">
        <f t="shared" si="285"/>
        <v/>
      </c>
      <c r="FB75" s="74" t="str">
        <f>IF('Marks Entry'!BK75="","",'Marks Entry'!BK75)</f>
        <v/>
      </c>
      <c r="FC75" s="74" t="str">
        <f>IF('Marks Entry'!BL75="","",'Marks Entry'!BL75)</f>
        <v/>
      </c>
      <c r="FD75" s="74" t="str">
        <f>IF('Marks Entry'!BM75="","",'Marks Entry'!BM75)</f>
        <v/>
      </c>
      <c r="FE75" s="74" t="str">
        <f>IF('Marks Entry'!BN75="","",'Marks Entry'!BN75)</f>
        <v/>
      </c>
      <c r="FF75" s="74" t="str">
        <f>IF('Marks Entry'!BO75="","",'Marks Entry'!BO75)</f>
        <v/>
      </c>
      <c r="FG75" s="74" t="str">
        <f>IF('Marks Entry'!BP75="","",'Marks Entry'!BP75)</f>
        <v/>
      </c>
      <c r="FH75" s="527" t="str">
        <f t="shared" si="233"/>
        <v/>
      </c>
      <c r="FI75" s="74" t="str">
        <f>IF('Marks Entry'!BQ75="","",'Marks Entry'!BQ75)</f>
        <v/>
      </c>
      <c r="FJ75" s="74" t="str">
        <f>IF('Marks Entry'!BR75="","",'Marks Entry'!BR75)</f>
        <v/>
      </c>
      <c r="FK75" s="528" t="str">
        <f t="shared" si="234"/>
        <v/>
      </c>
      <c r="FL75" s="529" t="str">
        <f t="shared" si="235"/>
        <v/>
      </c>
      <c r="FM75" s="74" t="str">
        <f>IF('Marks Entry'!BS75="","",'Marks Entry'!BS75)</f>
        <v/>
      </c>
      <c r="FN75" s="74" t="str">
        <f>IF('Marks Entry'!BT75="","",'Marks Entry'!BT75)</f>
        <v/>
      </c>
      <c r="FO75" s="528" t="str">
        <f t="shared" si="236"/>
        <v/>
      </c>
      <c r="FP75" s="530" t="str">
        <f t="shared" si="237"/>
        <v/>
      </c>
      <c r="FQ75" s="368" t="str">
        <f t="shared" si="286"/>
        <v/>
      </c>
      <c r="FR75" s="65">
        <f t="shared" si="287"/>
        <v>0</v>
      </c>
      <c r="FS75" s="65">
        <f t="shared" si="288"/>
        <v>0</v>
      </c>
      <c r="FT75" s="66" t="str">
        <f t="shared" si="289"/>
        <v/>
      </c>
      <c r="FU75" s="74" t="str">
        <f>IF('Marks Entry'!BU75="","",'Marks Entry'!BU75)</f>
        <v/>
      </c>
      <c r="FV75" s="74" t="str">
        <f>IF('Marks Entry'!BV75="","",'Marks Entry'!BV75)</f>
        <v/>
      </c>
      <c r="FW75" s="74" t="str">
        <f>IF('Marks Entry'!BW75="","",'Marks Entry'!BW75)</f>
        <v/>
      </c>
      <c r="FX75" s="75" t="str">
        <f t="shared" si="238"/>
        <v/>
      </c>
      <c r="FY75" s="368" t="str">
        <f t="shared" si="290"/>
        <v/>
      </c>
      <c r="FZ75" s="65">
        <f t="shared" si="291"/>
        <v>0</v>
      </c>
      <c r="GA75" s="66">
        <f t="shared" si="292"/>
        <v>0</v>
      </c>
      <c r="GB75" s="66" t="str">
        <f t="shared" si="293"/>
        <v/>
      </c>
      <c r="GC75" s="74" t="str">
        <f>IF('Marks Entry'!BX75="","",'Marks Entry'!BX75)</f>
        <v/>
      </c>
      <c r="GD75" s="74" t="str">
        <f>IF('Marks Entry'!BY75="","",'Marks Entry'!BY75)</f>
        <v/>
      </c>
      <c r="GE75" s="74" t="str">
        <f>IF('Marks Entry'!BZ75="","",'Marks Entry'!BZ75)</f>
        <v/>
      </c>
      <c r="GF75" s="75" t="str">
        <f t="shared" si="294"/>
        <v/>
      </c>
      <c r="GG75" s="368" t="str">
        <f t="shared" si="295"/>
        <v/>
      </c>
      <c r="GH75" s="65">
        <f t="shared" si="296"/>
        <v>0</v>
      </c>
      <c r="GI75" s="66">
        <f t="shared" si="297"/>
        <v>0</v>
      </c>
      <c r="GJ75" s="66" t="str">
        <f t="shared" si="298"/>
        <v/>
      </c>
      <c r="GK75" s="100" t="str">
        <f>IF(AND(F75="",B75=""),"",IF('Student DATA Entry'!M72="","",'Student DATA Entry'!M72))</f>
        <v/>
      </c>
      <c r="GL75" s="101" t="str">
        <f>IF(AND(B75="",F75=""),"",IF('Student DATA Entry'!N72="","",'Student DATA Entry'!N72))</f>
        <v/>
      </c>
      <c r="GM75" s="581" t="str">
        <f t="shared" si="299"/>
        <v/>
      </c>
      <c r="GN75" s="94" t="str">
        <f t="shared" si="300"/>
        <v/>
      </c>
      <c r="GO75" s="94" t="str">
        <f t="shared" si="301"/>
        <v/>
      </c>
      <c r="GP75" s="102" t="str">
        <f t="shared" si="239"/>
        <v/>
      </c>
      <c r="GQ75" s="94" t="str">
        <f t="shared" si="302"/>
        <v/>
      </c>
      <c r="GR75" s="103" t="str">
        <f t="shared" si="303"/>
        <v/>
      </c>
      <c r="GS75" s="102" t="str">
        <f t="shared" si="240"/>
        <v/>
      </c>
      <c r="GT75" s="104" t="str">
        <f t="shared" si="304"/>
        <v/>
      </c>
      <c r="GU75" s="94" t="str">
        <f>IF('Marks Entry'!V75=1,GT75,"")</f>
        <v/>
      </c>
      <c r="GV75" s="94" t="str">
        <f>IF('Marks Entry'!V75=2,GT75,"")</f>
        <v/>
      </c>
      <c r="GW75" s="94" t="str">
        <f>IF('Marks Entry'!V75=3,GT75,"")</f>
        <v/>
      </c>
      <c r="GX75" s="94" t="str">
        <f>IF('Marks Entry'!V75=4,GT75,"")</f>
        <v/>
      </c>
      <c r="GY75" s="94" t="str">
        <f>IF('Marks Entry'!V75=5,GT75,"")</f>
        <v/>
      </c>
      <c r="GZ75" s="94" t="str">
        <f t="shared" si="305"/>
        <v/>
      </c>
      <c r="HA75" s="105" t="str">
        <f t="shared" si="241"/>
        <v/>
      </c>
      <c r="HB75" s="94" t="str">
        <f t="shared" si="306"/>
        <v/>
      </c>
      <c r="HC75" s="94" t="str">
        <f t="shared" si="307"/>
        <v/>
      </c>
      <c r="HD75" s="105" t="str">
        <f t="shared" si="242"/>
        <v/>
      </c>
      <c r="HE75" s="94" t="str">
        <f t="shared" si="308"/>
        <v/>
      </c>
      <c r="HF75" s="94" t="str">
        <f t="shared" si="309"/>
        <v/>
      </c>
      <c r="HG75" s="105" t="str">
        <f t="shared" si="243"/>
        <v/>
      </c>
      <c r="HH75" s="94" t="str">
        <f t="shared" si="310"/>
        <v/>
      </c>
      <c r="HI75" s="94" t="str">
        <f t="shared" si="311"/>
        <v/>
      </c>
      <c r="HJ75" s="105" t="str">
        <f t="shared" si="244"/>
        <v/>
      </c>
      <c r="HK75" s="94" t="str">
        <f t="shared" si="312"/>
        <v/>
      </c>
      <c r="HL75" s="94" t="str">
        <f t="shared" si="313"/>
        <v/>
      </c>
      <c r="HM75" s="105" t="str">
        <f t="shared" si="245"/>
        <v/>
      </c>
      <c r="HN75" s="367" t="str">
        <f t="shared" si="314"/>
        <v xml:space="preserve">      </v>
      </c>
      <c r="HO75" s="418" t="str">
        <f t="shared" si="246"/>
        <v xml:space="preserve">      </v>
      </c>
      <c r="HP75" s="367" t="str">
        <f t="shared" si="315"/>
        <v xml:space="preserve">      </v>
      </c>
      <c r="HQ75" s="107" t="str">
        <f t="shared" si="316"/>
        <v xml:space="preserve">      </v>
      </c>
      <c r="HR75" s="366" t="str">
        <f t="shared" si="317"/>
        <v xml:space="preserve">      </v>
      </c>
      <c r="HS75" s="544" t="str">
        <f t="shared" si="247"/>
        <v/>
      </c>
      <c r="HT75" s="542" t="str">
        <f t="shared" si="318"/>
        <v/>
      </c>
      <c r="HU75" s="541" t="str">
        <f t="shared" si="319"/>
        <v/>
      </c>
      <c r="HV75" s="540" t="str">
        <f t="shared" si="320"/>
        <v/>
      </c>
      <c r="HW75" s="537" t="str">
        <f t="shared" si="321"/>
        <v/>
      </c>
      <c r="HX75" s="539" t="str">
        <f t="shared" si="322"/>
        <v/>
      </c>
      <c r="HY75" s="553" t="str">
        <f>IFERROR(IF(OR(HS75="SUPPLEMENTARY",HS75="RE-EXAM"),'Supp. Result Entry'!AQ73,""),"")</f>
        <v/>
      </c>
      <c r="HZ75" s="538" t="str">
        <f t="shared" si="323"/>
        <v/>
      </c>
      <c r="IA75" s="415" t="str">
        <f t="shared" si="324"/>
        <v/>
      </c>
      <c r="IB75" s="415" t="str">
        <f>IF(AND(HZ75="",IA75=""),"",IF(OR(HS75="SUPPLEMENTARY",HS75="RE-EXAM"),'Supp. Result Entry'!AQ73,HS75))</f>
        <v/>
      </c>
      <c r="IC75" s="87"/>
      <c r="IS75" s="109" t="str">
        <f>IF('Supp. Result Entry'!T73="","",'Supp. Result Entry'!$T$4)</f>
        <v/>
      </c>
      <c r="IT75" s="110" t="str">
        <f>IF('Supp. Result Entry'!W73="","",'Supp. Result Entry'!$W$4)</f>
        <v/>
      </c>
      <c r="IU75" s="110" t="str">
        <f>IF('Supp. Result Entry'!Z73="","",'Supp. Result Entry'!$Z$4)</f>
        <v/>
      </c>
      <c r="IV75" s="110" t="str">
        <f>IF('Supp. Result Entry'!AC73="","",'Supp. Result Entry'!$AC$4)</f>
        <v/>
      </c>
      <c r="IW75" s="110" t="str">
        <f>IF('Supp. Result Entry'!AF73="","",'Supp. Result Entry'!$AF$4)</f>
        <v/>
      </c>
      <c r="IX75" s="110" t="str">
        <f>IF('Supp. Result Entry'!AI73="","",'Supp. Result Entry'!$AI$4)</f>
        <v/>
      </c>
      <c r="IY75" s="110" t="str">
        <f>IF('Supp. Result Entry'!AI73="","",'Supp. Result Entry'!$AL$4)</f>
        <v/>
      </c>
      <c r="IZ75" s="110" t="str">
        <f>IF('Supp. Result Entry'!U73="","",'Supp. Result Entry'!U73)</f>
        <v/>
      </c>
      <c r="JA75" s="110" t="str">
        <f>IF('Supp. Result Entry'!X73="","",'Supp. Result Entry'!X73)</f>
        <v/>
      </c>
      <c r="JB75" s="110" t="str">
        <f>IF('Supp. Result Entry'!AA73="","",'Supp. Result Entry'!AA73)</f>
        <v/>
      </c>
      <c r="JC75" s="110" t="str">
        <f>IF('Supp. Result Entry'!AD73="","",'Supp. Result Entry'!AD73)</f>
        <v/>
      </c>
      <c r="JD75" s="110" t="str">
        <f>IF('Supp. Result Entry'!AG73="","",'Supp. Result Entry'!AG73)</f>
        <v/>
      </c>
      <c r="JE75" s="110" t="str">
        <f>IF('Supp. Result Entry'!AJ73="","",'Supp. Result Entry'!AJ73)</f>
        <v/>
      </c>
      <c r="JF75" s="110" t="str">
        <f>IF('Supp. Result Entry'!AM73="","",'Supp. Result Entry'!AM73)</f>
        <v/>
      </c>
      <c r="JG75" s="110" t="str">
        <f>IF('Supp. Result Entry'!V73="","",'Supp. Result Entry'!V73)</f>
        <v/>
      </c>
      <c r="JH75" s="110" t="str">
        <f>IF('Supp. Result Entry'!Y73="","",'Supp. Result Entry'!Y73)</f>
        <v/>
      </c>
      <c r="JI75" s="110" t="str">
        <f>IF('Supp. Result Entry'!AB73="","",'Supp. Result Entry'!AB73)</f>
        <v/>
      </c>
      <c r="JJ75" s="110" t="str">
        <f>IF('Supp. Result Entry'!AE73="","",'Supp. Result Entry'!AE73)</f>
        <v/>
      </c>
      <c r="JK75" s="110" t="str">
        <f>IF('Supp. Result Entry'!AH73="","",'Supp. Result Entry'!AH73)</f>
        <v/>
      </c>
      <c r="JL75" s="110" t="str">
        <f>IF('Supp. Result Entry'!AK73="","",'Supp. Result Entry'!AK73)</f>
        <v/>
      </c>
      <c r="JM75" s="110" t="str">
        <f>IF('Supp. Result Entry'!AN73="","",'Supp. Result Entry'!AN73)</f>
        <v/>
      </c>
      <c r="JN75" s="110">
        <f>COUNTIF('Supp. Result Entry'!K73:Q73,"S")</f>
        <v>0</v>
      </c>
      <c r="JO75" s="110">
        <f t="shared" si="248"/>
        <v>0</v>
      </c>
      <c r="JP75" s="110">
        <f t="shared" si="325"/>
        <v>0</v>
      </c>
      <c r="JQ75" s="110" t="str">
        <f t="shared" si="249"/>
        <v/>
      </c>
      <c r="JR75" s="110" t="str">
        <f t="shared" si="250"/>
        <v/>
      </c>
      <c r="JS75" s="110" t="str">
        <f t="shared" si="251"/>
        <v/>
      </c>
      <c r="JT75" s="110" t="str">
        <f t="shared" si="252"/>
        <v/>
      </c>
      <c r="JU75" s="110" t="str">
        <f t="shared" si="253"/>
        <v/>
      </c>
      <c r="JV75" s="110" t="str">
        <f t="shared" si="254"/>
        <v/>
      </c>
      <c r="JW75" s="110" t="str">
        <f t="shared" si="255"/>
        <v/>
      </c>
      <c r="JX75" s="110" t="str">
        <f t="shared" si="326"/>
        <v/>
      </c>
      <c r="JY75" s="110" t="str">
        <f t="shared" si="327"/>
        <v/>
      </c>
      <c r="JZ75" s="110" t="str">
        <f t="shared" si="256"/>
        <v/>
      </c>
      <c r="KA75" s="108" t="str">
        <f t="shared" si="328"/>
        <v/>
      </c>
    </row>
    <row r="76" spans="1:287" s="108" customFormat="1" ht="21.95" customHeight="1">
      <c r="A76" s="89">
        <v>70</v>
      </c>
      <c r="B76" s="90" t="str">
        <f>IF('Marks Entry'!B76="","",'Marks Entry'!B76)</f>
        <v/>
      </c>
      <c r="C76" s="94" t="str">
        <f>IF('Marks Entry'!D76="","",'Marks Entry'!D76)</f>
        <v/>
      </c>
      <c r="D76" s="91" t="str">
        <f>IF('Marks Entry'!E76="","",'Marks Entry'!E76)</f>
        <v/>
      </c>
      <c r="E76" s="92" t="str">
        <f>IF('Marks Entry'!F76="","",'Marks Entry'!F76)</f>
        <v/>
      </c>
      <c r="F76" s="93" t="str">
        <f>IF('Marks Entry'!G76="","",'Marks Entry'!G76)</f>
        <v/>
      </c>
      <c r="G76" s="93" t="str">
        <f>IF('Marks Entry'!H76="","",'Marks Entry'!H76)</f>
        <v/>
      </c>
      <c r="H76" s="93" t="str">
        <f>IF('Marks Entry'!I76="","",'Marks Entry'!I76)</f>
        <v/>
      </c>
      <c r="I76" s="94" t="str">
        <f>IF('Marks Entry'!J76="","",'Marks Entry'!J76)</f>
        <v/>
      </c>
      <c r="J76" s="95" t="str">
        <f>IF('Marks Entry'!K76="","",'Marks Entry'!K76)</f>
        <v/>
      </c>
      <c r="K76" s="68" t="str">
        <f>IF('Marks Entry'!L76="","",'Marks Entry'!L76)</f>
        <v/>
      </c>
      <c r="L76" s="68" t="str">
        <f>IF('Marks Entry'!M76="","",'Marks Entry'!M76)</f>
        <v/>
      </c>
      <c r="M76" s="68" t="str">
        <f>IF('Marks Entry'!N76="","",'Marks Entry'!N76)</f>
        <v/>
      </c>
      <c r="N76" s="514" t="str">
        <f t="shared" si="257"/>
        <v/>
      </c>
      <c r="O76" s="68" t="str">
        <f>IF('Marks Entry'!O76="","",'Marks Entry'!O76)</f>
        <v/>
      </c>
      <c r="P76" s="515" t="str">
        <f t="shared" si="258"/>
        <v/>
      </c>
      <c r="Q76" s="68" t="str">
        <f>IF('Marks Entry'!P76="","",'Marks Entry'!P76)</f>
        <v/>
      </c>
      <c r="R76" s="96" t="str">
        <f t="shared" si="259"/>
        <v/>
      </c>
      <c r="S76" s="65">
        <f t="shared" si="260"/>
        <v>0</v>
      </c>
      <c r="T76" s="65">
        <f t="shared" si="261"/>
        <v>0</v>
      </c>
      <c r="U76" s="66" t="str">
        <f t="shared" si="171"/>
        <v/>
      </c>
      <c r="V76" s="65" t="str">
        <f t="shared" si="172"/>
        <v/>
      </c>
      <c r="W76" s="65" t="str">
        <f t="shared" si="262"/>
        <v/>
      </c>
      <c r="X76" s="65" t="str">
        <f t="shared" si="173"/>
        <v/>
      </c>
      <c r="Y76" s="68" t="str">
        <f>IF('Marks Entry'!Q76="","",'Marks Entry'!Q76)</f>
        <v/>
      </c>
      <c r="Z76" s="68" t="str">
        <f>IF('Marks Entry'!R76="","",'Marks Entry'!R76)</f>
        <v/>
      </c>
      <c r="AA76" s="68" t="str">
        <f>IF('Marks Entry'!S76="","",'Marks Entry'!S76)</f>
        <v/>
      </c>
      <c r="AB76" s="514" t="str">
        <f t="shared" si="174"/>
        <v/>
      </c>
      <c r="AC76" s="68" t="str">
        <f>IF('Marks Entry'!T76="","",'Marks Entry'!T76)</f>
        <v/>
      </c>
      <c r="AD76" s="515" t="str">
        <f t="shared" si="175"/>
        <v/>
      </c>
      <c r="AE76" s="68" t="str">
        <f>IF('Marks Entry'!U76="","",'Marks Entry'!U76)</f>
        <v/>
      </c>
      <c r="AF76" s="96" t="str">
        <f t="shared" si="176"/>
        <v/>
      </c>
      <c r="AG76" s="65">
        <f t="shared" si="177"/>
        <v>0</v>
      </c>
      <c r="AH76" s="65">
        <f t="shared" si="178"/>
        <v>0</v>
      </c>
      <c r="AI76" s="66" t="str">
        <f t="shared" si="179"/>
        <v/>
      </c>
      <c r="AJ76" s="65" t="str">
        <f t="shared" si="180"/>
        <v/>
      </c>
      <c r="AK76" s="65" t="str">
        <f t="shared" si="181"/>
        <v/>
      </c>
      <c r="AL76" s="65" t="str">
        <f t="shared" si="182"/>
        <v/>
      </c>
      <c r="AM76" s="524" t="str">
        <f>IF('Marks Entry'!V76="","",IF('Marks Entry'!V76=1,'School Profile'!$I$9,IF('Marks Entry'!V76=2,'School Profile'!$I$10,IF('Marks Entry'!V76=3,'School Profile'!$I$11,IF('Marks Entry'!V76=4,'School Profile'!$I$12,IF('Marks Entry'!V76=5,'School Profile'!$I$13,IF('Marks Entry'!V76=6,'School Profile'!$I$14,"")))))))</f>
        <v/>
      </c>
      <c r="AN76" s="68" t="str">
        <f>IF('Marks Entry'!W76="","",'Marks Entry'!W76)</f>
        <v/>
      </c>
      <c r="AO76" s="68" t="str">
        <f>IF('Marks Entry'!X76="","",'Marks Entry'!X76)</f>
        <v/>
      </c>
      <c r="AP76" s="68" t="str">
        <f>IF('Marks Entry'!Y76="","",'Marks Entry'!Y76)</f>
        <v/>
      </c>
      <c r="AQ76" s="514" t="str">
        <f t="shared" si="183"/>
        <v/>
      </c>
      <c r="AR76" s="68" t="str">
        <f>IF('Marks Entry'!Z76="","",'Marks Entry'!Z76)</f>
        <v/>
      </c>
      <c r="AS76" s="515" t="str">
        <f t="shared" si="184"/>
        <v/>
      </c>
      <c r="AT76" s="68" t="str">
        <f>IF('Marks Entry'!AA76="","",'Marks Entry'!AA76)</f>
        <v/>
      </c>
      <c r="AU76" s="96" t="str">
        <f t="shared" si="185"/>
        <v/>
      </c>
      <c r="AV76" s="65">
        <f t="shared" si="186"/>
        <v>0</v>
      </c>
      <c r="AW76" s="65">
        <f t="shared" si="187"/>
        <v>0</v>
      </c>
      <c r="AX76" s="66" t="str">
        <f t="shared" si="188"/>
        <v/>
      </c>
      <c r="AY76" s="65" t="str">
        <f t="shared" si="189"/>
        <v/>
      </c>
      <c r="AZ76" s="65" t="str">
        <f t="shared" si="190"/>
        <v/>
      </c>
      <c r="BA76" s="65" t="str">
        <f t="shared" si="191"/>
        <v/>
      </c>
      <c r="BB76" s="68" t="str">
        <f>IF('Marks Entry'!AB76="","",'Marks Entry'!AB76)</f>
        <v/>
      </c>
      <c r="BC76" s="68" t="str">
        <f>IF('Marks Entry'!AC76="","",'Marks Entry'!AC76)</f>
        <v/>
      </c>
      <c r="BD76" s="68" t="str">
        <f>IF('Marks Entry'!AD76="","",'Marks Entry'!AD76)</f>
        <v/>
      </c>
      <c r="BE76" s="514" t="str">
        <f t="shared" si="192"/>
        <v/>
      </c>
      <c r="BF76" s="68" t="str">
        <f>IF('Marks Entry'!AE76="","",'Marks Entry'!AE76)</f>
        <v/>
      </c>
      <c r="BG76" s="515" t="str">
        <f t="shared" si="193"/>
        <v/>
      </c>
      <c r="BH76" s="68" t="str">
        <f>IF('Marks Entry'!AF76="","",'Marks Entry'!AF76)</f>
        <v/>
      </c>
      <c r="BI76" s="96" t="str">
        <f t="shared" si="194"/>
        <v/>
      </c>
      <c r="BJ76" s="65">
        <f t="shared" si="195"/>
        <v>0</v>
      </c>
      <c r="BK76" s="65">
        <f t="shared" si="263"/>
        <v>0</v>
      </c>
      <c r="BL76" s="66" t="str">
        <f t="shared" si="196"/>
        <v/>
      </c>
      <c r="BM76" s="65" t="str">
        <f t="shared" si="197"/>
        <v/>
      </c>
      <c r="BN76" s="65" t="str">
        <f t="shared" si="198"/>
        <v/>
      </c>
      <c r="BO76" s="65" t="str">
        <f t="shared" si="199"/>
        <v/>
      </c>
      <c r="BP76" s="68" t="str">
        <f>IF('Marks Entry'!AG76="","",'Marks Entry'!AG76)</f>
        <v/>
      </c>
      <c r="BQ76" s="68" t="str">
        <f>IF('Marks Entry'!AH76="","",'Marks Entry'!AH76)</f>
        <v/>
      </c>
      <c r="BR76" s="68" t="str">
        <f>IF('Marks Entry'!AI76="","",'Marks Entry'!AI76)</f>
        <v/>
      </c>
      <c r="BS76" s="514" t="str">
        <f t="shared" si="200"/>
        <v/>
      </c>
      <c r="BT76" s="68" t="str">
        <f>IF('Marks Entry'!AJ76="","",'Marks Entry'!AJ76)</f>
        <v/>
      </c>
      <c r="BU76" s="515" t="str">
        <f t="shared" si="201"/>
        <v/>
      </c>
      <c r="BV76" s="68" t="str">
        <f>IF('Marks Entry'!AK76="","",'Marks Entry'!AK76)</f>
        <v/>
      </c>
      <c r="BW76" s="96" t="str">
        <f t="shared" si="202"/>
        <v/>
      </c>
      <c r="BX76" s="65">
        <f t="shared" si="203"/>
        <v>0</v>
      </c>
      <c r="BY76" s="65">
        <f t="shared" si="204"/>
        <v>0</v>
      </c>
      <c r="BZ76" s="66" t="str">
        <f t="shared" si="205"/>
        <v/>
      </c>
      <c r="CA76" s="65" t="str">
        <f t="shared" si="206"/>
        <v/>
      </c>
      <c r="CB76" s="65" t="str">
        <f t="shared" si="207"/>
        <v/>
      </c>
      <c r="CC76" s="65" t="str">
        <f t="shared" si="208"/>
        <v/>
      </c>
      <c r="CD76" s="66">
        <f t="shared" si="209"/>
        <v>0</v>
      </c>
      <c r="CE76" s="68" t="str">
        <f>IF('Marks Entry'!AL76="","",'Marks Entry'!AL76)</f>
        <v/>
      </c>
      <c r="CF76" s="68" t="str">
        <f>IF('Marks Entry'!AM76="","",'Marks Entry'!AM76)</f>
        <v/>
      </c>
      <c r="CG76" s="68" t="str">
        <f>IF('Marks Entry'!AN76="","",'Marks Entry'!AN76)</f>
        <v/>
      </c>
      <c r="CH76" s="514" t="str">
        <f t="shared" si="210"/>
        <v/>
      </c>
      <c r="CI76" s="68" t="str">
        <f>IF('Marks Entry'!AO76="","",'Marks Entry'!AO76)</f>
        <v/>
      </c>
      <c r="CJ76" s="515" t="str">
        <f t="shared" si="211"/>
        <v/>
      </c>
      <c r="CK76" s="68" t="str">
        <f>IF('Marks Entry'!AP76="","",'Marks Entry'!AP76)</f>
        <v/>
      </c>
      <c r="CL76" s="96" t="str">
        <f t="shared" si="212"/>
        <v/>
      </c>
      <c r="CM76" s="65">
        <f t="shared" si="213"/>
        <v>0</v>
      </c>
      <c r="CN76" s="65">
        <f t="shared" si="214"/>
        <v>0</v>
      </c>
      <c r="CO76" s="66" t="str">
        <f t="shared" si="215"/>
        <v/>
      </c>
      <c r="CP76" s="65" t="str">
        <f t="shared" si="216"/>
        <v/>
      </c>
      <c r="CQ76" s="65" t="str">
        <f t="shared" si="217"/>
        <v/>
      </c>
      <c r="CR76" s="65" t="str">
        <f t="shared" si="218"/>
        <v/>
      </c>
      <c r="CS76" s="616" t="str">
        <f>IF('School Profile'!$D$20="NO","",IF('Marks Entry'!AQ76="","",IF('Marks Entry'!AQ76=1,'School Profile'!$I$29,IF('Marks Entry'!AQ76=2,'School Profile'!$I$30,IF('Marks Entry'!AQ76=3,'School Profile'!$I$31,IF('Marks Entry'!AQ76=4,'School Profile'!$I$32,IF('Marks Entry'!AQ76=5,'School Profile'!$I$33,IF('Marks Entry'!AQ76=6,'School Profile'!$I$34,IF('Marks Entry'!AQ76=7,'School Profile'!$I$35,IF('Marks Entry'!AQ76=8,'School Profile'!$I$36,IF('Marks Entry'!AQ76=9,'School Profile'!$I$37,IF('Marks Entry'!AQ76=10,'School Profile'!$I$38,IF('Marks Entry'!AQ76=11,'School Profile'!$I$39,"")))))))))))))</f>
        <v/>
      </c>
      <c r="CT76" s="68" t="str">
        <f>IF('School Profile'!$D$20="NO","",IF('Marks Entry'!AR76="","",'Marks Entry'!AR76))</f>
        <v/>
      </c>
      <c r="CU76" s="68" t="str">
        <f>IF('School Profile'!$D$20="NO","",IF('Marks Entry'!AS76="","",'Marks Entry'!AS76))</f>
        <v/>
      </c>
      <c r="CV76" s="68" t="str">
        <f>IF('School Profile'!$D$20="NO","",IF('Marks Entry'!AT76="","",'Marks Entry'!AT76))</f>
        <v/>
      </c>
      <c r="CW76" s="514" t="str">
        <f>IF('School Profile'!$D$20="NO","",IF(AND(CT76="",CU76="",CV76=""),"",SUM(CT76:CV76)))</f>
        <v/>
      </c>
      <c r="CX76" s="68" t="str">
        <f>IF('School Profile'!$D$20="NO","",IF('Marks Entry'!AU76="","",'Marks Entry'!AU76))</f>
        <v/>
      </c>
      <c r="CY76" s="68" t="str">
        <f>IF('School Profile'!$D$20="NO","",IF('Marks Entry'!AV76="","",'Marks Entry'!AV76))</f>
        <v/>
      </c>
      <c r="CZ76" s="515" t="str">
        <f>IF('School Profile'!$D$20="NO","",IF(AND(CX76="",CY76=""),"",SUM(CX76,CY76)))</f>
        <v/>
      </c>
      <c r="DA76" s="69" t="str">
        <f>IF('School Profile'!$D$20="NO","",IF(AND(CW76="",CZ76=""),"",SUM(CW76+CZ76)))</f>
        <v/>
      </c>
      <c r="DB76" s="68" t="str">
        <f>IF('School Profile'!$D$20="NO","",IF('Marks Entry'!AW76="","",'Marks Entry'!AW76))</f>
        <v/>
      </c>
      <c r="DC76" s="68" t="str">
        <f>IF('School Profile'!$D$20="NO","",IF('Marks Entry'!AX76="","",'Marks Entry'!AX76))</f>
        <v/>
      </c>
      <c r="DD76" s="515" t="str">
        <f>IF('School Profile'!$D$20="NO","",IF(AND(DB76="",DC76=""),"",SUM(DB76,DC76)))</f>
        <v/>
      </c>
      <c r="DE76" s="96" t="str">
        <f>IF('School Profile'!$D$20="NO","",IF(AND(DA76="",DD76=""),"",SUM(DA76,DD76)))</f>
        <v/>
      </c>
      <c r="DF76" s="532">
        <f t="shared" si="219"/>
        <v>0</v>
      </c>
      <c r="DG76" s="65">
        <f t="shared" si="220"/>
        <v>0</v>
      </c>
      <c r="DH76" s="66" t="str">
        <f t="shared" si="221"/>
        <v/>
      </c>
      <c r="DI76" s="65" t="str">
        <f t="shared" si="222"/>
        <v/>
      </c>
      <c r="DJ76" s="65" t="str">
        <f t="shared" si="223"/>
        <v/>
      </c>
      <c r="DK76" s="65" t="str">
        <f t="shared" si="224"/>
        <v/>
      </c>
      <c r="DL76" s="97" t="str">
        <f t="shared" si="264"/>
        <v/>
      </c>
      <c r="DM76" s="97" t="str">
        <f t="shared" si="265"/>
        <v/>
      </c>
      <c r="DN76" s="97" t="str">
        <f t="shared" si="266"/>
        <v/>
      </c>
      <c r="DO76" s="97" t="str">
        <f t="shared" si="267"/>
        <v/>
      </c>
      <c r="DP76" s="97" t="str">
        <f t="shared" si="268"/>
        <v/>
      </c>
      <c r="DQ76" s="97" t="str">
        <f t="shared" si="269"/>
        <v/>
      </c>
      <c r="DR76" s="97" t="str">
        <f t="shared" si="270"/>
        <v/>
      </c>
      <c r="DS76" s="98">
        <f t="shared" si="271"/>
        <v>0</v>
      </c>
      <c r="DT76" s="98">
        <f t="shared" si="272"/>
        <v>0</v>
      </c>
      <c r="DU76" s="98">
        <f t="shared" si="273"/>
        <v>0</v>
      </c>
      <c r="DV76" s="98">
        <f t="shared" si="274"/>
        <v>0</v>
      </c>
      <c r="DW76" s="98">
        <f t="shared" si="275"/>
        <v>0</v>
      </c>
      <c r="DX76" s="98" t="str">
        <f t="shared" si="276"/>
        <v/>
      </c>
      <c r="DY76" s="99" t="str">
        <f t="shared" si="277"/>
        <v/>
      </c>
      <c r="DZ76" s="74" t="str">
        <f>IF('Marks Entry'!AY76="","",'Marks Entry'!AY76)</f>
        <v/>
      </c>
      <c r="EA76" s="74" t="str">
        <f>IF('Marks Entry'!AZ76="","",'Marks Entry'!AZ76)</f>
        <v/>
      </c>
      <c r="EB76" s="74" t="str">
        <f>IF('Marks Entry'!BA76="","",'Marks Entry'!BA76)</f>
        <v/>
      </c>
      <c r="EC76" s="527" t="str">
        <f t="shared" si="225"/>
        <v/>
      </c>
      <c r="ED76" s="74" t="str">
        <f>IF('Marks Entry'!BB76="","",'Marks Entry'!BB76)</f>
        <v/>
      </c>
      <c r="EE76" s="528" t="str">
        <f t="shared" si="226"/>
        <v/>
      </c>
      <c r="EF76" s="74" t="str">
        <f>IF('Marks Entry'!BC76="","",'Marks Entry'!BC76)</f>
        <v/>
      </c>
      <c r="EG76" s="530" t="str">
        <f t="shared" si="227"/>
        <v/>
      </c>
      <c r="EH76" s="368" t="str">
        <f t="shared" si="278"/>
        <v/>
      </c>
      <c r="EI76" s="65">
        <f t="shared" si="279"/>
        <v>0</v>
      </c>
      <c r="EJ76" s="65">
        <f t="shared" si="280"/>
        <v>0</v>
      </c>
      <c r="EK76" s="66" t="str">
        <f t="shared" si="281"/>
        <v/>
      </c>
      <c r="EL76" s="74" t="str">
        <f>IF('Marks Entry'!BD76="","",'Marks Entry'!BD76)</f>
        <v/>
      </c>
      <c r="EM76" s="74" t="str">
        <f>IF('Marks Entry'!BE76="","",'Marks Entry'!BE76)</f>
        <v/>
      </c>
      <c r="EN76" s="74" t="str">
        <f>IF('Marks Entry'!BF76="","",'Marks Entry'!BF76)</f>
        <v/>
      </c>
      <c r="EO76" s="527" t="str">
        <f t="shared" si="228"/>
        <v/>
      </c>
      <c r="EP76" s="74" t="str">
        <f>IF('Marks Entry'!BG76="","",'Marks Entry'!BG76)</f>
        <v/>
      </c>
      <c r="EQ76" s="74" t="str">
        <f>IF('Marks Entry'!BH76="","",'Marks Entry'!BH76)</f>
        <v/>
      </c>
      <c r="ER76" s="528" t="str">
        <f t="shared" si="229"/>
        <v/>
      </c>
      <c r="ES76" s="529" t="str">
        <f t="shared" si="230"/>
        <v/>
      </c>
      <c r="ET76" s="74" t="str">
        <f>IF('Marks Entry'!BI76="","",'Marks Entry'!BI76)</f>
        <v/>
      </c>
      <c r="EU76" s="74" t="str">
        <f>IF('Marks Entry'!BJ76="","",'Marks Entry'!BJ76)</f>
        <v/>
      </c>
      <c r="EV76" s="528" t="str">
        <f t="shared" si="231"/>
        <v/>
      </c>
      <c r="EW76" s="530" t="str">
        <f t="shared" si="232"/>
        <v/>
      </c>
      <c r="EX76" s="368" t="str">
        <f t="shared" si="282"/>
        <v/>
      </c>
      <c r="EY76" s="65">
        <f t="shared" si="283"/>
        <v>0</v>
      </c>
      <c r="EZ76" s="65">
        <f t="shared" si="284"/>
        <v>0</v>
      </c>
      <c r="FA76" s="66" t="str">
        <f t="shared" si="285"/>
        <v/>
      </c>
      <c r="FB76" s="74" t="str">
        <f>IF('Marks Entry'!BK76="","",'Marks Entry'!BK76)</f>
        <v/>
      </c>
      <c r="FC76" s="74" t="str">
        <f>IF('Marks Entry'!BL76="","",'Marks Entry'!BL76)</f>
        <v/>
      </c>
      <c r="FD76" s="74" t="str">
        <f>IF('Marks Entry'!BM76="","",'Marks Entry'!BM76)</f>
        <v/>
      </c>
      <c r="FE76" s="74" t="str">
        <f>IF('Marks Entry'!BN76="","",'Marks Entry'!BN76)</f>
        <v/>
      </c>
      <c r="FF76" s="74" t="str">
        <f>IF('Marks Entry'!BO76="","",'Marks Entry'!BO76)</f>
        <v/>
      </c>
      <c r="FG76" s="74" t="str">
        <f>IF('Marks Entry'!BP76="","",'Marks Entry'!BP76)</f>
        <v/>
      </c>
      <c r="FH76" s="527" t="str">
        <f t="shared" si="233"/>
        <v/>
      </c>
      <c r="FI76" s="74" t="str">
        <f>IF('Marks Entry'!BQ76="","",'Marks Entry'!BQ76)</f>
        <v/>
      </c>
      <c r="FJ76" s="74" t="str">
        <f>IF('Marks Entry'!BR76="","",'Marks Entry'!BR76)</f>
        <v/>
      </c>
      <c r="FK76" s="528" t="str">
        <f t="shared" si="234"/>
        <v/>
      </c>
      <c r="FL76" s="529" t="str">
        <f t="shared" si="235"/>
        <v/>
      </c>
      <c r="FM76" s="74" t="str">
        <f>IF('Marks Entry'!BS76="","",'Marks Entry'!BS76)</f>
        <v/>
      </c>
      <c r="FN76" s="74" t="str">
        <f>IF('Marks Entry'!BT76="","",'Marks Entry'!BT76)</f>
        <v/>
      </c>
      <c r="FO76" s="528" t="str">
        <f t="shared" si="236"/>
        <v/>
      </c>
      <c r="FP76" s="530" t="str">
        <f t="shared" si="237"/>
        <v/>
      </c>
      <c r="FQ76" s="368" t="str">
        <f t="shared" si="286"/>
        <v/>
      </c>
      <c r="FR76" s="65">
        <f t="shared" si="287"/>
        <v>0</v>
      </c>
      <c r="FS76" s="65">
        <f t="shared" si="288"/>
        <v>0</v>
      </c>
      <c r="FT76" s="66" t="str">
        <f t="shared" si="289"/>
        <v/>
      </c>
      <c r="FU76" s="74" t="str">
        <f>IF('Marks Entry'!BU76="","",'Marks Entry'!BU76)</f>
        <v/>
      </c>
      <c r="FV76" s="74" t="str">
        <f>IF('Marks Entry'!BV76="","",'Marks Entry'!BV76)</f>
        <v/>
      </c>
      <c r="FW76" s="74" t="str">
        <f>IF('Marks Entry'!BW76="","",'Marks Entry'!BW76)</f>
        <v/>
      </c>
      <c r="FX76" s="75" t="str">
        <f t="shared" si="238"/>
        <v/>
      </c>
      <c r="FY76" s="368" t="str">
        <f t="shared" si="290"/>
        <v/>
      </c>
      <c r="FZ76" s="65">
        <f t="shared" si="291"/>
        <v>0</v>
      </c>
      <c r="GA76" s="66">
        <f t="shared" si="292"/>
        <v>0</v>
      </c>
      <c r="GB76" s="66" t="str">
        <f t="shared" si="293"/>
        <v/>
      </c>
      <c r="GC76" s="74" t="str">
        <f>IF('Marks Entry'!BX76="","",'Marks Entry'!BX76)</f>
        <v/>
      </c>
      <c r="GD76" s="74" t="str">
        <f>IF('Marks Entry'!BY76="","",'Marks Entry'!BY76)</f>
        <v/>
      </c>
      <c r="GE76" s="74" t="str">
        <f>IF('Marks Entry'!BZ76="","",'Marks Entry'!BZ76)</f>
        <v/>
      </c>
      <c r="GF76" s="75" t="str">
        <f t="shared" si="294"/>
        <v/>
      </c>
      <c r="GG76" s="368" t="str">
        <f t="shared" si="295"/>
        <v/>
      </c>
      <c r="GH76" s="65">
        <f t="shared" si="296"/>
        <v>0</v>
      </c>
      <c r="GI76" s="66">
        <f t="shared" si="297"/>
        <v>0</v>
      </c>
      <c r="GJ76" s="66" t="str">
        <f t="shared" si="298"/>
        <v/>
      </c>
      <c r="GK76" s="100" t="str">
        <f>IF(AND(F76="",B76=""),"",IF('Student DATA Entry'!M73="","",'Student DATA Entry'!M73))</f>
        <v/>
      </c>
      <c r="GL76" s="101" t="str">
        <f>IF(AND(B76="",F76=""),"",IF('Student DATA Entry'!N73="","",'Student DATA Entry'!N73))</f>
        <v/>
      </c>
      <c r="GM76" s="581" t="str">
        <f t="shared" si="299"/>
        <v/>
      </c>
      <c r="GN76" s="94" t="str">
        <f t="shared" si="300"/>
        <v/>
      </c>
      <c r="GO76" s="94" t="str">
        <f t="shared" si="301"/>
        <v/>
      </c>
      <c r="GP76" s="102" t="str">
        <f t="shared" si="239"/>
        <v/>
      </c>
      <c r="GQ76" s="94" t="str">
        <f t="shared" si="302"/>
        <v/>
      </c>
      <c r="GR76" s="103" t="str">
        <f t="shared" si="303"/>
        <v/>
      </c>
      <c r="GS76" s="102" t="str">
        <f t="shared" si="240"/>
        <v/>
      </c>
      <c r="GT76" s="104" t="str">
        <f t="shared" si="304"/>
        <v/>
      </c>
      <c r="GU76" s="94" t="str">
        <f>IF('Marks Entry'!V76=1,GT76,"")</f>
        <v/>
      </c>
      <c r="GV76" s="94" t="str">
        <f>IF('Marks Entry'!V76=2,GT76,"")</f>
        <v/>
      </c>
      <c r="GW76" s="94" t="str">
        <f>IF('Marks Entry'!V76=3,GT76,"")</f>
        <v/>
      </c>
      <c r="GX76" s="94" t="str">
        <f>IF('Marks Entry'!V76=4,GT76,"")</f>
        <v/>
      </c>
      <c r="GY76" s="94" t="str">
        <f>IF('Marks Entry'!V76=5,GT76,"")</f>
        <v/>
      </c>
      <c r="GZ76" s="94" t="str">
        <f t="shared" si="305"/>
        <v/>
      </c>
      <c r="HA76" s="105" t="str">
        <f t="shared" si="241"/>
        <v/>
      </c>
      <c r="HB76" s="94" t="str">
        <f t="shared" si="306"/>
        <v/>
      </c>
      <c r="HC76" s="94" t="str">
        <f t="shared" si="307"/>
        <v/>
      </c>
      <c r="HD76" s="105" t="str">
        <f t="shared" si="242"/>
        <v/>
      </c>
      <c r="HE76" s="94" t="str">
        <f t="shared" si="308"/>
        <v/>
      </c>
      <c r="HF76" s="94" t="str">
        <f t="shared" si="309"/>
        <v/>
      </c>
      <c r="HG76" s="105" t="str">
        <f t="shared" si="243"/>
        <v/>
      </c>
      <c r="HH76" s="94" t="str">
        <f t="shared" si="310"/>
        <v/>
      </c>
      <c r="HI76" s="94" t="str">
        <f t="shared" si="311"/>
        <v/>
      </c>
      <c r="HJ76" s="105" t="str">
        <f t="shared" si="244"/>
        <v/>
      </c>
      <c r="HK76" s="94" t="str">
        <f t="shared" si="312"/>
        <v/>
      </c>
      <c r="HL76" s="94" t="str">
        <f t="shared" si="313"/>
        <v/>
      </c>
      <c r="HM76" s="105" t="str">
        <f t="shared" si="245"/>
        <v/>
      </c>
      <c r="HN76" s="367" t="str">
        <f t="shared" si="314"/>
        <v xml:space="preserve">      </v>
      </c>
      <c r="HO76" s="418" t="str">
        <f t="shared" si="246"/>
        <v xml:space="preserve">      </v>
      </c>
      <c r="HP76" s="367" t="str">
        <f t="shared" si="315"/>
        <v xml:space="preserve">      </v>
      </c>
      <c r="HQ76" s="107" t="str">
        <f t="shared" si="316"/>
        <v xml:space="preserve">      </v>
      </c>
      <c r="HR76" s="366" t="str">
        <f t="shared" si="317"/>
        <v xml:space="preserve">      </v>
      </c>
      <c r="HS76" s="544" t="str">
        <f t="shared" si="247"/>
        <v/>
      </c>
      <c r="HT76" s="542" t="str">
        <f t="shared" si="318"/>
        <v/>
      </c>
      <c r="HU76" s="541" t="str">
        <f t="shared" si="319"/>
        <v/>
      </c>
      <c r="HV76" s="540" t="str">
        <f t="shared" si="320"/>
        <v/>
      </c>
      <c r="HW76" s="537" t="str">
        <f t="shared" si="321"/>
        <v/>
      </c>
      <c r="HX76" s="539" t="str">
        <f t="shared" si="322"/>
        <v/>
      </c>
      <c r="HY76" s="553" t="str">
        <f>IFERROR(IF(OR(HS76="SUPPLEMENTARY",HS76="RE-EXAM"),'Supp. Result Entry'!AQ74,""),"")</f>
        <v/>
      </c>
      <c r="HZ76" s="538" t="str">
        <f t="shared" si="323"/>
        <v/>
      </c>
      <c r="IA76" s="415" t="str">
        <f t="shared" si="324"/>
        <v/>
      </c>
      <c r="IB76" s="415" t="str">
        <f>IF(AND(HZ76="",IA76=""),"",IF(OR(HS76="SUPPLEMENTARY",HS76="RE-EXAM"),'Supp. Result Entry'!AQ74,HS76))</f>
        <v/>
      </c>
      <c r="IC76" s="87"/>
      <c r="IS76" s="109" t="str">
        <f>IF('Supp. Result Entry'!T74="","",'Supp. Result Entry'!$T$4)</f>
        <v/>
      </c>
      <c r="IT76" s="110" t="str">
        <f>IF('Supp. Result Entry'!W74="","",'Supp. Result Entry'!$W$4)</f>
        <v/>
      </c>
      <c r="IU76" s="110" t="str">
        <f>IF('Supp. Result Entry'!Z74="","",'Supp. Result Entry'!$Z$4)</f>
        <v/>
      </c>
      <c r="IV76" s="110" t="str">
        <f>IF('Supp. Result Entry'!AC74="","",'Supp. Result Entry'!$AC$4)</f>
        <v/>
      </c>
      <c r="IW76" s="110" t="str">
        <f>IF('Supp. Result Entry'!AF74="","",'Supp. Result Entry'!$AF$4)</f>
        <v/>
      </c>
      <c r="IX76" s="110" t="str">
        <f>IF('Supp. Result Entry'!AI74="","",'Supp. Result Entry'!$AI$4)</f>
        <v/>
      </c>
      <c r="IY76" s="110" t="str">
        <f>IF('Supp. Result Entry'!AI74="","",'Supp. Result Entry'!$AL$4)</f>
        <v/>
      </c>
      <c r="IZ76" s="110" t="str">
        <f>IF('Supp. Result Entry'!U74="","",'Supp. Result Entry'!U74)</f>
        <v/>
      </c>
      <c r="JA76" s="110" t="str">
        <f>IF('Supp. Result Entry'!X74="","",'Supp. Result Entry'!X74)</f>
        <v/>
      </c>
      <c r="JB76" s="110" t="str">
        <f>IF('Supp. Result Entry'!AA74="","",'Supp. Result Entry'!AA74)</f>
        <v/>
      </c>
      <c r="JC76" s="110" t="str">
        <f>IF('Supp. Result Entry'!AD74="","",'Supp. Result Entry'!AD74)</f>
        <v/>
      </c>
      <c r="JD76" s="110" t="str">
        <f>IF('Supp. Result Entry'!AG74="","",'Supp. Result Entry'!AG74)</f>
        <v/>
      </c>
      <c r="JE76" s="110" t="str">
        <f>IF('Supp. Result Entry'!AJ74="","",'Supp. Result Entry'!AJ74)</f>
        <v/>
      </c>
      <c r="JF76" s="110" t="str">
        <f>IF('Supp. Result Entry'!AM74="","",'Supp. Result Entry'!AM74)</f>
        <v/>
      </c>
      <c r="JG76" s="110" t="str">
        <f>IF('Supp. Result Entry'!V74="","",'Supp. Result Entry'!V74)</f>
        <v/>
      </c>
      <c r="JH76" s="110" t="str">
        <f>IF('Supp. Result Entry'!Y74="","",'Supp. Result Entry'!Y74)</f>
        <v/>
      </c>
      <c r="JI76" s="110" t="str">
        <f>IF('Supp. Result Entry'!AB74="","",'Supp. Result Entry'!AB74)</f>
        <v/>
      </c>
      <c r="JJ76" s="110" t="str">
        <f>IF('Supp. Result Entry'!AE74="","",'Supp. Result Entry'!AE74)</f>
        <v/>
      </c>
      <c r="JK76" s="110" t="str">
        <f>IF('Supp. Result Entry'!AH74="","",'Supp. Result Entry'!AH74)</f>
        <v/>
      </c>
      <c r="JL76" s="110" t="str">
        <f>IF('Supp. Result Entry'!AK74="","",'Supp. Result Entry'!AK74)</f>
        <v/>
      </c>
      <c r="JM76" s="110" t="str">
        <f>IF('Supp. Result Entry'!AN74="","",'Supp. Result Entry'!AN74)</f>
        <v/>
      </c>
      <c r="JN76" s="110">
        <f>COUNTIF('Supp. Result Entry'!K74:Q74,"S")</f>
        <v>0</v>
      </c>
      <c r="JO76" s="110">
        <f t="shared" si="248"/>
        <v>0</v>
      </c>
      <c r="JP76" s="110">
        <f t="shared" si="325"/>
        <v>0</v>
      </c>
      <c r="JQ76" s="110" t="str">
        <f t="shared" si="249"/>
        <v/>
      </c>
      <c r="JR76" s="110" t="str">
        <f t="shared" si="250"/>
        <v/>
      </c>
      <c r="JS76" s="110" t="str">
        <f t="shared" si="251"/>
        <v/>
      </c>
      <c r="JT76" s="110" t="str">
        <f t="shared" si="252"/>
        <v/>
      </c>
      <c r="JU76" s="110" t="str">
        <f t="shared" si="253"/>
        <v/>
      </c>
      <c r="JV76" s="110" t="str">
        <f t="shared" si="254"/>
        <v/>
      </c>
      <c r="JW76" s="110" t="str">
        <f t="shared" si="255"/>
        <v/>
      </c>
      <c r="JX76" s="110" t="str">
        <f t="shared" si="326"/>
        <v/>
      </c>
      <c r="JY76" s="110" t="str">
        <f t="shared" si="327"/>
        <v/>
      </c>
      <c r="JZ76" s="110" t="str">
        <f t="shared" si="256"/>
        <v/>
      </c>
      <c r="KA76" s="108" t="str">
        <f t="shared" si="328"/>
        <v/>
      </c>
    </row>
    <row r="77" spans="1:287" s="108" customFormat="1" ht="21.95" customHeight="1">
      <c r="A77" s="89">
        <v>71</v>
      </c>
      <c r="B77" s="90" t="str">
        <f>IF('Marks Entry'!B77="","",'Marks Entry'!B77)</f>
        <v/>
      </c>
      <c r="C77" s="94" t="str">
        <f>IF('Marks Entry'!D77="","",'Marks Entry'!D77)</f>
        <v/>
      </c>
      <c r="D77" s="91" t="str">
        <f>IF('Marks Entry'!E77="","",'Marks Entry'!E77)</f>
        <v/>
      </c>
      <c r="E77" s="92" t="str">
        <f>IF('Marks Entry'!F77="","",'Marks Entry'!F77)</f>
        <v/>
      </c>
      <c r="F77" s="93" t="str">
        <f>IF('Marks Entry'!G77="","",'Marks Entry'!G77)</f>
        <v/>
      </c>
      <c r="G77" s="93" t="str">
        <f>IF('Marks Entry'!H77="","",'Marks Entry'!H77)</f>
        <v/>
      </c>
      <c r="H77" s="93" t="str">
        <f>IF('Marks Entry'!I77="","",'Marks Entry'!I77)</f>
        <v/>
      </c>
      <c r="I77" s="94" t="str">
        <f>IF('Marks Entry'!J77="","",'Marks Entry'!J77)</f>
        <v/>
      </c>
      <c r="J77" s="95" t="str">
        <f>IF('Marks Entry'!K77="","",'Marks Entry'!K77)</f>
        <v/>
      </c>
      <c r="K77" s="68" t="str">
        <f>IF('Marks Entry'!L77="","",'Marks Entry'!L77)</f>
        <v/>
      </c>
      <c r="L77" s="68" t="str">
        <f>IF('Marks Entry'!M77="","",'Marks Entry'!M77)</f>
        <v/>
      </c>
      <c r="M77" s="68" t="str">
        <f>IF('Marks Entry'!N77="","",'Marks Entry'!N77)</f>
        <v/>
      </c>
      <c r="N77" s="514" t="str">
        <f t="shared" si="257"/>
        <v/>
      </c>
      <c r="O77" s="68" t="str">
        <f>IF('Marks Entry'!O77="","",'Marks Entry'!O77)</f>
        <v/>
      </c>
      <c r="P77" s="515" t="str">
        <f t="shared" si="258"/>
        <v/>
      </c>
      <c r="Q77" s="68" t="str">
        <f>IF('Marks Entry'!P77="","",'Marks Entry'!P77)</f>
        <v/>
      </c>
      <c r="R77" s="96" t="str">
        <f t="shared" si="259"/>
        <v/>
      </c>
      <c r="S77" s="65">
        <f t="shared" si="260"/>
        <v>0</v>
      </c>
      <c r="T77" s="65">
        <f t="shared" si="261"/>
        <v>0</v>
      </c>
      <c r="U77" s="66" t="str">
        <f t="shared" si="171"/>
        <v/>
      </c>
      <c r="V77" s="65" t="str">
        <f t="shared" si="172"/>
        <v/>
      </c>
      <c r="W77" s="65" t="str">
        <f t="shared" si="262"/>
        <v/>
      </c>
      <c r="X77" s="65" t="str">
        <f t="shared" si="173"/>
        <v/>
      </c>
      <c r="Y77" s="68" t="str">
        <f>IF('Marks Entry'!Q77="","",'Marks Entry'!Q77)</f>
        <v/>
      </c>
      <c r="Z77" s="68" t="str">
        <f>IF('Marks Entry'!R77="","",'Marks Entry'!R77)</f>
        <v/>
      </c>
      <c r="AA77" s="68" t="str">
        <f>IF('Marks Entry'!S77="","",'Marks Entry'!S77)</f>
        <v/>
      </c>
      <c r="AB77" s="514" t="str">
        <f t="shared" si="174"/>
        <v/>
      </c>
      <c r="AC77" s="68" t="str">
        <f>IF('Marks Entry'!T77="","",'Marks Entry'!T77)</f>
        <v/>
      </c>
      <c r="AD77" s="515" t="str">
        <f t="shared" si="175"/>
        <v/>
      </c>
      <c r="AE77" s="68" t="str">
        <f>IF('Marks Entry'!U77="","",'Marks Entry'!U77)</f>
        <v/>
      </c>
      <c r="AF77" s="96" t="str">
        <f t="shared" si="176"/>
        <v/>
      </c>
      <c r="AG77" s="65">
        <f t="shared" si="177"/>
        <v>0</v>
      </c>
      <c r="AH77" s="65">
        <f t="shared" si="178"/>
        <v>0</v>
      </c>
      <c r="AI77" s="66" t="str">
        <f t="shared" si="179"/>
        <v/>
      </c>
      <c r="AJ77" s="65" t="str">
        <f t="shared" si="180"/>
        <v/>
      </c>
      <c r="AK77" s="65" t="str">
        <f t="shared" si="181"/>
        <v/>
      </c>
      <c r="AL77" s="65" t="str">
        <f t="shared" si="182"/>
        <v/>
      </c>
      <c r="AM77" s="524" t="str">
        <f>IF('Marks Entry'!V77="","",IF('Marks Entry'!V77=1,'School Profile'!$I$9,IF('Marks Entry'!V77=2,'School Profile'!$I$10,IF('Marks Entry'!V77=3,'School Profile'!$I$11,IF('Marks Entry'!V77=4,'School Profile'!$I$12,IF('Marks Entry'!V77=5,'School Profile'!$I$13,IF('Marks Entry'!V77=6,'School Profile'!$I$14,"")))))))</f>
        <v/>
      </c>
      <c r="AN77" s="68" t="str">
        <f>IF('Marks Entry'!W77="","",'Marks Entry'!W77)</f>
        <v/>
      </c>
      <c r="AO77" s="68" t="str">
        <f>IF('Marks Entry'!X77="","",'Marks Entry'!X77)</f>
        <v/>
      </c>
      <c r="AP77" s="68" t="str">
        <f>IF('Marks Entry'!Y77="","",'Marks Entry'!Y77)</f>
        <v/>
      </c>
      <c r="AQ77" s="514" t="str">
        <f t="shared" si="183"/>
        <v/>
      </c>
      <c r="AR77" s="68" t="str">
        <f>IF('Marks Entry'!Z77="","",'Marks Entry'!Z77)</f>
        <v/>
      </c>
      <c r="AS77" s="515" t="str">
        <f t="shared" si="184"/>
        <v/>
      </c>
      <c r="AT77" s="68" t="str">
        <f>IF('Marks Entry'!AA77="","",'Marks Entry'!AA77)</f>
        <v/>
      </c>
      <c r="AU77" s="96" t="str">
        <f t="shared" si="185"/>
        <v/>
      </c>
      <c r="AV77" s="65">
        <f t="shared" si="186"/>
        <v>0</v>
      </c>
      <c r="AW77" s="65">
        <f t="shared" si="187"/>
        <v>0</v>
      </c>
      <c r="AX77" s="66" t="str">
        <f t="shared" si="188"/>
        <v/>
      </c>
      <c r="AY77" s="65" t="str">
        <f t="shared" si="189"/>
        <v/>
      </c>
      <c r="AZ77" s="65" t="str">
        <f t="shared" si="190"/>
        <v/>
      </c>
      <c r="BA77" s="65" t="str">
        <f t="shared" si="191"/>
        <v/>
      </c>
      <c r="BB77" s="68" t="str">
        <f>IF('Marks Entry'!AB77="","",'Marks Entry'!AB77)</f>
        <v/>
      </c>
      <c r="BC77" s="68" t="str">
        <f>IF('Marks Entry'!AC77="","",'Marks Entry'!AC77)</f>
        <v/>
      </c>
      <c r="BD77" s="68" t="str">
        <f>IF('Marks Entry'!AD77="","",'Marks Entry'!AD77)</f>
        <v/>
      </c>
      <c r="BE77" s="514" t="str">
        <f t="shared" si="192"/>
        <v/>
      </c>
      <c r="BF77" s="68" t="str">
        <f>IF('Marks Entry'!AE77="","",'Marks Entry'!AE77)</f>
        <v/>
      </c>
      <c r="BG77" s="515" t="str">
        <f t="shared" si="193"/>
        <v/>
      </c>
      <c r="BH77" s="68" t="str">
        <f>IF('Marks Entry'!AF77="","",'Marks Entry'!AF77)</f>
        <v/>
      </c>
      <c r="BI77" s="96" t="str">
        <f t="shared" si="194"/>
        <v/>
      </c>
      <c r="BJ77" s="65">
        <f t="shared" si="195"/>
        <v>0</v>
      </c>
      <c r="BK77" s="65">
        <f t="shared" si="263"/>
        <v>0</v>
      </c>
      <c r="BL77" s="66" t="str">
        <f t="shared" si="196"/>
        <v/>
      </c>
      <c r="BM77" s="65" t="str">
        <f t="shared" si="197"/>
        <v/>
      </c>
      <c r="BN77" s="65" t="str">
        <f t="shared" si="198"/>
        <v/>
      </c>
      <c r="BO77" s="65" t="str">
        <f t="shared" si="199"/>
        <v/>
      </c>
      <c r="BP77" s="68" t="str">
        <f>IF('Marks Entry'!AG77="","",'Marks Entry'!AG77)</f>
        <v/>
      </c>
      <c r="BQ77" s="68" t="str">
        <f>IF('Marks Entry'!AH77="","",'Marks Entry'!AH77)</f>
        <v/>
      </c>
      <c r="BR77" s="68" t="str">
        <f>IF('Marks Entry'!AI77="","",'Marks Entry'!AI77)</f>
        <v/>
      </c>
      <c r="BS77" s="514" t="str">
        <f t="shared" si="200"/>
        <v/>
      </c>
      <c r="BT77" s="68" t="str">
        <f>IF('Marks Entry'!AJ77="","",'Marks Entry'!AJ77)</f>
        <v/>
      </c>
      <c r="BU77" s="515" t="str">
        <f t="shared" si="201"/>
        <v/>
      </c>
      <c r="BV77" s="68" t="str">
        <f>IF('Marks Entry'!AK77="","",'Marks Entry'!AK77)</f>
        <v/>
      </c>
      <c r="BW77" s="96" t="str">
        <f t="shared" si="202"/>
        <v/>
      </c>
      <c r="BX77" s="65">
        <f t="shared" si="203"/>
        <v>0</v>
      </c>
      <c r="BY77" s="65">
        <f t="shared" si="204"/>
        <v>0</v>
      </c>
      <c r="BZ77" s="66" t="str">
        <f t="shared" si="205"/>
        <v/>
      </c>
      <c r="CA77" s="65" t="str">
        <f t="shared" si="206"/>
        <v/>
      </c>
      <c r="CB77" s="65" t="str">
        <f t="shared" si="207"/>
        <v/>
      </c>
      <c r="CC77" s="65" t="str">
        <f t="shared" si="208"/>
        <v/>
      </c>
      <c r="CD77" s="66">
        <f t="shared" si="209"/>
        <v>0</v>
      </c>
      <c r="CE77" s="68" t="str">
        <f>IF('Marks Entry'!AL77="","",'Marks Entry'!AL77)</f>
        <v/>
      </c>
      <c r="CF77" s="68" t="str">
        <f>IF('Marks Entry'!AM77="","",'Marks Entry'!AM77)</f>
        <v/>
      </c>
      <c r="CG77" s="68" t="str">
        <f>IF('Marks Entry'!AN77="","",'Marks Entry'!AN77)</f>
        <v/>
      </c>
      <c r="CH77" s="514" t="str">
        <f t="shared" si="210"/>
        <v/>
      </c>
      <c r="CI77" s="68" t="str">
        <f>IF('Marks Entry'!AO77="","",'Marks Entry'!AO77)</f>
        <v/>
      </c>
      <c r="CJ77" s="515" t="str">
        <f t="shared" si="211"/>
        <v/>
      </c>
      <c r="CK77" s="68" t="str">
        <f>IF('Marks Entry'!AP77="","",'Marks Entry'!AP77)</f>
        <v/>
      </c>
      <c r="CL77" s="96" t="str">
        <f t="shared" si="212"/>
        <v/>
      </c>
      <c r="CM77" s="65">
        <f t="shared" si="213"/>
        <v>0</v>
      </c>
      <c r="CN77" s="65">
        <f t="shared" si="214"/>
        <v>0</v>
      </c>
      <c r="CO77" s="66" t="str">
        <f t="shared" si="215"/>
        <v/>
      </c>
      <c r="CP77" s="65" t="str">
        <f t="shared" si="216"/>
        <v/>
      </c>
      <c r="CQ77" s="65" t="str">
        <f t="shared" si="217"/>
        <v/>
      </c>
      <c r="CR77" s="65" t="str">
        <f t="shared" si="218"/>
        <v/>
      </c>
      <c r="CS77" s="616" t="str">
        <f>IF('School Profile'!$D$20="NO","",IF('Marks Entry'!AQ77="","",IF('Marks Entry'!AQ77=1,'School Profile'!$I$29,IF('Marks Entry'!AQ77=2,'School Profile'!$I$30,IF('Marks Entry'!AQ77=3,'School Profile'!$I$31,IF('Marks Entry'!AQ77=4,'School Profile'!$I$32,IF('Marks Entry'!AQ77=5,'School Profile'!$I$33,IF('Marks Entry'!AQ77=6,'School Profile'!$I$34,IF('Marks Entry'!AQ77=7,'School Profile'!$I$35,IF('Marks Entry'!AQ77=8,'School Profile'!$I$36,IF('Marks Entry'!AQ77=9,'School Profile'!$I$37,IF('Marks Entry'!AQ77=10,'School Profile'!$I$38,IF('Marks Entry'!AQ77=11,'School Profile'!$I$39,"")))))))))))))</f>
        <v/>
      </c>
      <c r="CT77" s="68" t="str">
        <f>IF('School Profile'!$D$20="NO","",IF('Marks Entry'!AR77="","",'Marks Entry'!AR77))</f>
        <v/>
      </c>
      <c r="CU77" s="68" t="str">
        <f>IF('School Profile'!$D$20="NO","",IF('Marks Entry'!AS77="","",'Marks Entry'!AS77))</f>
        <v/>
      </c>
      <c r="CV77" s="68" t="str">
        <f>IF('School Profile'!$D$20="NO","",IF('Marks Entry'!AT77="","",'Marks Entry'!AT77))</f>
        <v/>
      </c>
      <c r="CW77" s="514" t="str">
        <f>IF('School Profile'!$D$20="NO","",IF(AND(CT77="",CU77="",CV77=""),"",SUM(CT77:CV77)))</f>
        <v/>
      </c>
      <c r="CX77" s="68" t="str">
        <f>IF('School Profile'!$D$20="NO","",IF('Marks Entry'!AU77="","",'Marks Entry'!AU77))</f>
        <v/>
      </c>
      <c r="CY77" s="68" t="str">
        <f>IF('School Profile'!$D$20="NO","",IF('Marks Entry'!AV77="","",'Marks Entry'!AV77))</f>
        <v/>
      </c>
      <c r="CZ77" s="515" t="str">
        <f>IF('School Profile'!$D$20="NO","",IF(AND(CX77="",CY77=""),"",SUM(CX77,CY77)))</f>
        <v/>
      </c>
      <c r="DA77" s="69" t="str">
        <f>IF('School Profile'!$D$20="NO","",IF(AND(CW77="",CZ77=""),"",SUM(CW77+CZ77)))</f>
        <v/>
      </c>
      <c r="DB77" s="68" t="str">
        <f>IF('School Profile'!$D$20="NO","",IF('Marks Entry'!AW77="","",'Marks Entry'!AW77))</f>
        <v/>
      </c>
      <c r="DC77" s="68" t="str">
        <f>IF('School Profile'!$D$20="NO","",IF('Marks Entry'!AX77="","",'Marks Entry'!AX77))</f>
        <v/>
      </c>
      <c r="DD77" s="515" t="str">
        <f>IF('School Profile'!$D$20="NO","",IF(AND(DB77="",DC77=""),"",SUM(DB77,DC77)))</f>
        <v/>
      </c>
      <c r="DE77" s="96" t="str">
        <f>IF('School Profile'!$D$20="NO","",IF(AND(DA77="",DD77=""),"",SUM(DA77,DD77)))</f>
        <v/>
      </c>
      <c r="DF77" s="532">
        <f t="shared" si="219"/>
        <v>0</v>
      </c>
      <c r="DG77" s="65">
        <f t="shared" si="220"/>
        <v>0</v>
      </c>
      <c r="DH77" s="66" t="str">
        <f t="shared" si="221"/>
        <v/>
      </c>
      <c r="DI77" s="65" t="str">
        <f t="shared" si="222"/>
        <v/>
      </c>
      <c r="DJ77" s="65" t="str">
        <f t="shared" si="223"/>
        <v/>
      </c>
      <c r="DK77" s="65" t="str">
        <f t="shared" si="224"/>
        <v/>
      </c>
      <c r="DL77" s="97" t="str">
        <f t="shared" si="264"/>
        <v/>
      </c>
      <c r="DM77" s="97" t="str">
        <f t="shared" si="265"/>
        <v/>
      </c>
      <c r="DN77" s="97" t="str">
        <f t="shared" si="266"/>
        <v/>
      </c>
      <c r="DO77" s="97" t="str">
        <f t="shared" si="267"/>
        <v/>
      </c>
      <c r="DP77" s="97" t="str">
        <f t="shared" si="268"/>
        <v/>
      </c>
      <c r="DQ77" s="97" t="str">
        <f t="shared" si="269"/>
        <v/>
      </c>
      <c r="DR77" s="97" t="str">
        <f t="shared" si="270"/>
        <v/>
      </c>
      <c r="DS77" s="98">
        <f t="shared" si="271"/>
        <v>0</v>
      </c>
      <c r="DT77" s="98">
        <f t="shared" si="272"/>
        <v>0</v>
      </c>
      <c r="DU77" s="98">
        <f t="shared" si="273"/>
        <v>0</v>
      </c>
      <c r="DV77" s="98">
        <f t="shared" si="274"/>
        <v>0</v>
      </c>
      <c r="DW77" s="98">
        <f t="shared" si="275"/>
        <v>0</v>
      </c>
      <c r="DX77" s="98" t="str">
        <f t="shared" si="276"/>
        <v/>
      </c>
      <c r="DY77" s="99" t="str">
        <f t="shared" si="277"/>
        <v/>
      </c>
      <c r="DZ77" s="74" t="str">
        <f>IF('Marks Entry'!AY77="","",'Marks Entry'!AY77)</f>
        <v/>
      </c>
      <c r="EA77" s="74" t="str">
        <f>IF('Marks Entry'!AZ77="","",'Marks Entry'!AZ77)</f>
        <v/>
      </c>
      <c r="EB77" s="74" t="str">
        <f>IF('Marks Entry'!BA77="","",'Marks Entry'!BA77)</f>
        <v/>
      </c>
      <c r="EC77" s="527" t="str">
        <f t="shared" si="225"/>
        <v/>
      </c>
      <c r="ED77" s="74" t="str">
        <f>IF('Marks Entry'!BB77="","",'Marks Entry'!BB77)</f>
        <v/>
      </c>
      <c r="EE77" s="528" t="str">
        <f t="shared" si="226"/>
        <v/>
      </c>
      <c r="EF77" s="74" t="str">
        <f>IF('Marks Entry'!BC77="","",'Marks Entry'!BC77)</f>
        <v/>
      </c>
      <c r="EG77" s="530" t="str">
        <f t="shared" si="227"/>
        <v/>
      </c>
      <c r="EH77" s="368" t="str">
        <f t="shared" si="278"/>
        <v/>
      </c>
      <c r="EI77" s="65">
        <f t="shared" si="279"/>
        <v>0</v>
      </c>
      <c r="EJ77" s="65">
        <f t="shared" si="280"/>
        <v>0</v>
      </c>
      <c r="EK77" s="66" t="str">
        <f t="shared" si="281"/>
        <v/>
      </c>
      <c r="EL77" s="74" t="str">
        <f>IF('Marks Entry'!BD77="","",'Marks Entry'!BD77)</f>
        <v/>
      </c>
      <c r="EM77" s="74" t="str">
        <f>IF('Marks Entry'!BE77="","",'Marks Entry'!BE77)</f>
        <v/>
      </c>
      <c r="EN77" s="74" t="str">
        <f>IF('Marks Entry'!BF77="","",'Marks Entry'!BF77)</f>
        <v/>
      </c>
      <c r="EO77" s="527" t="str">
        <f t="shared" si="228"/>
        <v/>
      </c>
      <c r="EP77" s="74" t="str">
        <f>IF('Marks Entry'!BG77="","",'Marks Entry'!BG77)</f>
        <v/>
      </c>
      <c r="EQ77" s="74" t="str">
        <f>IF('Marks Entry'!BH77="","",'Marks Entry'!BH77)</f>
        <v/>
      </c>
      <c r="ER77" s="528" t="str">
        <f t="shared" si="229"/>
        <v/>
      </c>
      <c r="ES77" s="529" t="str">
        <f t="shared" si="230"/>
        <v/>
      </c>
      <c r="ET77" s="74" t="str">
        <f>IF('Marks Entry'!BI77="","",'Marks Entry'!BI77)</f>
        <v/>
      </c>
      <c r="EU77" s="74" t="str">
        <f>IF('Marks Entry'!BJ77="","",'Marks Entry'!BJ77)</f>
        <v/>
      </c>
      <c r="EV77" s="528" t="str">
        <f t="shared" si="231"/>
        <v/>
      </c>
      <c r="EW77" s="530" t="str">
        <f t="shared" si="232"/>
        <v/>
      </c>
      <c r="EX77" s="368" t="str">
        <f t="shared" si="282"/>
        <v/>
      </c>
      <c r="EY77" s="65">
        <f t="shared" si="283"/>
        <v>0</v>
      </c>
      <c r="EZ77" s="65">
        <f t="shared" si="284"/>
        <v>0</v>
      </c>
      <c r="FA77" s="66" t="str">
        <f t="shared" si="285"/>
        <v/>
      </c>
      <c r="FB77" s="74" t="str">
        <f>IF('Marks Entry'!BK77="","",'Marks Entry'!BK77)</f>
        <v/>
      </c>
      <c r="FC77" s="74" t="str">
        <f>IF('Marks Entry'!BL77="","",'Marks Entry'!BL77)</f>
        <v/>
      </c>
      <c r="FD77" s="74" t="str">
        <f>IF('Marks Entry'!BM77="","",'Marks Entry'!BM77)</f>
        <v/>
      </c>
      <c r="FE77" s="74" t="str">
        <f>IF('Marks Entry'!BN77="","",'Marks Entry'!BN77)</f>
        <v/>
      </c>
      <c r="FF77" s="74" t="str">
        <f>IF('Marks Entry'!BO77="","",'Marks Entry'!BO77)</f>
        <v/>
      </c>
      <c r="FG77" s="74" t="str">
        <f>IF('Marks Entry'!BP77="","",'Marks Entry'!BP77)</f>
        <v/>
      </c>
      <c r="FH77" s="527" t="str">
        <f t="shared" si="233"/>
        <v/>
      </c>
      <c r="FI77" s="74" t="str">
        <f>IF('Marks Entry'!BQ77="","",'Marks Entry'!BQ77)</f>
        <v/>
      </c>
      <c r="FJ77" s="74" t="str">
        <f>IF('Marks Entry'!BR77="","",'Marks Entry'!BR77)</f>
        <v/>
      </c>
      <c r="FK77" s="528" t="str">
        <f t="shared" si="234"/>
        <v/>
      </c>
      <c r="FL77" s="529" t="str">
        <f t="shared" si="235"/>
        <v/>
      </c>
      <c r="FM77" s="74" t="str">
        <f>IF('Marks Entry'!BS77="","",'Marks Entry'!BS77)</f>
        <v/>
      </c>
      <c r="FN77" s="74" t="str">
        <f>IF('Marks Entry'!BT77="","",'Marks Entry'!BT77)</f>
        <v/>
      </c>
      <c r="FO77" s="528" t="str">
        <f t="shared" si="236"/>
        <v/>
      </c>
      <c r="FP77" s="530" t="str">
        <f t="shared" si="237"/>
        <v/>
      </c>
      <c r="FQ77" s="368" t="str">
        <f t="shared" si="286"/>
        <v/>
      </c>
      <c r="FR77" s="65">
        <f t="shared" si="287"/>
        <v>0</v>
      </c>
      <c r="FS77" s="65">
        <f t="shared" si="288"/>
        <v>0</v>
      </c>
      <c r="FT77" s="66" t="str">
        <f t="shared" si="289"/>
        <v/>
      </c>
      <c r="FU77" s="74" t="str">
        <f>IF('Marks Entry'!BU77="","",'Marks Entry'!BU77)</f>
        <v/>
      </c>
      <c r="FV77" s="74" t="str">
        <f>IF('Marks Entry'!BV77="","",'Marks Entry'!BV77)</f>
        <v/>
      </c>
      <c r="FW77" s="74" t="str">
        <f>IF('Marks Entry'!BW77="","",'Marks Entry'!BW77)</f>
        <v/>
      </c>
      <c r="FX77" s="75" t="str">
        <f t="shared" si="238"/>
        <v/>
      </c>
      <c r="FY77" s="368" t="str">
        <f t="shared" si="290"/>
        <v/>
      </c>
      <c r="FZ77" s="65">
        <f t="shared" si="291"/>
        <v>0</v>
      </c>
      <c r="GA77" s="66">
        <f t="shared" si="292"/>
        <v>0</v>
      </c>
      <c r="GB77" s="66" t="str">
        <f t="shared" si="293"/>
        <v/>
      </c>
      <c r="GC77" s="74" t="str">
        <f>IF('Marks Entry'!BX77="","",'Marks Entry'!BX77)</f>
        <v/>
      </c>
      <c r="GD77" s="74" t="str">
        <f>IF('Marks Entry'!BY77="","",'Marks Entry'!BY77)</f>
        <v/>
      </c>
      <c r="GE77" s="74" t="str">
        <f>IF('Marks Entry'!BZ77="","",'Marks Entry'!BZ77)</f>
        <v/>
      </c>
      <c r="GF77" s="75" t="str">
        <f t="shared" si="294"/>
        <v/>
      </c>
      <c r="GG77" s="368" t="str">
        <f t="shared" si="295"/>
        <v/>
      </c>
      <c r="GH77" s="65">
        <f t="shared" si="296"/>
        <v>0</v>
      </c>
      <c r="GI77" s="66">
        <f t="shared" si="297"/>
        <v>0</v>
      </c>
      <c r="GJ77" s="66" t="str">
        <f t="shared" si="298"/>
        <v/>
      </c>
      <c r="GK77" s="100" t="str">
        <f>IF(AND(F77="",B77=""),"",IF('Student DATA Entry'!M74="","",'Student DATA Entry'!M74))</f>
        <v/>
      </c>
      <c r="GL77" s="101" t="str">
        <f>IF(AND(B77="",F77=""),"",IF('Student DATA Entry'!N74="","",'Student DATA Entry'!N74))</f>
        <v/>
      </c>
      <c r="GM77" s="581" t="str">
        <f t="shared" si="299"/>
        <v/>
      </c>
      <c r="GN77" s="94" t="str">
        <f t="shared" si="300"/>
        <v/>
      </c>
      <c r="GO77" s="94" t="str">
        <f t="shared" si="301"/>
        <v/>
      </c>
      <c r="GP77" s="102" t="str">
        <f t="shared" si="239"/>
        <v/>
      </c>
      <c r="GQ77" s="94" t="str">
        <f t="shared" si="302"/>
        <v/>
      </c>
      <c r="GR77" s="103" t="str">
        <f t="shared" si="303"/>
        <v/>
      </c>
      <c r="GS77" s="102" t="str">
        <f t="shared" si="240"/>
        <v/>
      </c>
      <c r="GT77" s="104" t="str">
        <f t="shared" si="304"/>
        <v/>
      </c>
      <c r="GU77" s="94" t="str">
        <f>IF('Marks Entry'!V77=1,GT77,"")</f>
        <v/>
      </c>
      <c r="GV77" s="94" t="str">
        <f>IF('Marks Entry'!V77=2,GT77,"")</f>
        <v/>
      </c>
      <c r="GW77" s="94" t="str">
        <f>IF('Marks Entry'!V77=3,GT77,"")</f>
        <v/>
      </c>
      <c r="GX77" s="94" t="str">
        <f>IF('Marks Entry'!V77=4,GT77,"")</f>
        <v/>
      </c>
      <c r="GY77" s="94" t="str">
        <f>IF('Marks Entry'!V77=5,GT77,"")</f>
        <v/>
      </c>
      <c r="GZ77" s="94" t="str">
        <f t="shared" si="305"/>
        <v/>
      </c>
      <c r="HA77" s="105" t="str">
        <f t="shared" si="241"/>
        <v/>
      </c>
      <c r="HB77" s="94" t="str">
        <f t="shared" si="306"/>
        <v/>
      </c>
      <c r="HC77" s="94" t="str">
        <f t="shared" si="307"/>
        <v/>
      </c>
      <c r="HD77" s="105" t="str">
        <f t="shared" si="242"/>
        <v/>
      </c>
      <c r="HE77" s="94" t="str">
        <f t="shared" si="308"/>
        <v/>
      </c>
      <c r="HF77" s="94" t="str">
        <f t="shared" si="309"/>
        <v/>
      </c>
      <c r="HG77" s="105" t="str">
        <f t="shared" si="243"/>
        <v/>
      </c>
      <c r="HH77" s="94" t="str">
        <f t="shared" si="310"/>
        <v/>
      </c>
      <c r="HI77" s="94" t="str">
        <f t="shared" si="311"/>
        <v/>
      </c>
      <c r="HJ77" s="105" t="str">
        <f t="shared" si="244"/>
        <v/>
      </c>
      <c r="HK77" s="94" t="str">
        <f t="shared" si="312"/>
        <v/>
      </c>
      <c r="HL77" s="94" t="str">
        <f t="shared" si="313"/>
        <v/>
      </c>
      <c r="HM77" s="105" t="str">
        <f t="shared" si="245"/>
        <v/>
      </c>
      <c r="HN77" s="367" t="str">
        <f t="shared" si="314"/>
        <v xml:space="preserve">      </v>
      </c>
      <c r="HO77" s="418" t="str">
        <f t="shared" si="246"/>
        <v xml:space="preserve">      </v>
      </c>
      <c r="HP77" s="367" t="str">
        <f t="shared" si="315"/>
        <v xml:space="preserve">      </v>
      </c>
      <c r="HQ77" s="107" t="str">
        <f t="shared" si="316"/>
        <v xml:space="preserve">      </v>
      </c>
      <c r="HR77" s="366" t="str">
        <f t="shared" si="317"/>
        <v xml:space="preserve">      </v>
      </c>
      <c r="HS77" s="544" t="str">
        <f t="shared" si="247"/>
        <v/>
      </c>
      <c r="HT77" s="542" t="str">
        <f t="shared" si="318"/>
        <v/>
      </c>
      <c r="HU77" s="541" t="str">
        <f t="shared" si="319"/>
        <v/>
      </c>
      <c r="HV77" s="540" t="str">
        <f t="shared" si="320"/>
        <v/>
      </c>
      <c r="HW77" s="537" t="str">
        <f t="shared" si="321"/>
        <v/>
      </c>
      <c r="HX77" s="539" t="str">
        <f t="shared" si="322"/>
        <v/>
      </c>
      <c r="HY77" s="553" t="str">
        <f>IFERROR(IF(OR(HS77="SUPPLEMENTARY",HS77="RE-EXAM"),'Supp. Result Entry'!AQ75,""),"")</f>
        <v/>
      </c>
      <c r="HZ77" s="538" t="str">
        <f t="shared" si="323"/>
        <v/>
      </c>
      <c r="IA77" s="415" t="str">
        <f t="shared" si="324"/>
        <v/>
      </c>
      <c r="IB77" s="415" t="str">
        <f>IF(AND(HZ77="",IA77=""),"",IF(OR(HS77="SUPPLEMENTARY",HS77="RE-EXAM"),'Supp. Result Entry'!AQ75,HS77))</f>
        <v/>
      </c>
      <c r="IC77" s="87"/>
      <c r="IS77" s="109" t="str">
        <f>IF('Supp. Result Entry'!T75="","",'Supp. Result Entry'!$T$4)</f>
        <v/>
      </c>
      <c r="IT77" s="110" t="str">
        <f>IF('Supp. Result Entry'!W75="","",'Supp. Result Entry'!$W$4)</f>
        <v/>
      </c>
      <c r="IU77" s="110" t="str">
        <f>IF('Supp. Result Entry'!Z75="","",'Supp. Result Entry'!$Z$4)</f>
        <v/>
      </c>
      <c r="IV77" s="110" t="str">
        <f>IF('Supp. Result Entry'!AC75="","",'Supp. Result Entry'!$AC$4)</f>
        <v/>
      </c>
      <c r="IW77" s="110" t="str">
        <f>IF('Supp. Result Entry'!AF75="","",'Supp. Result Entry'!$AF$4)</f>
        <v/>
      </c>
      <c r="IX77" s="110" t="str">
        <f>IF('Supp. Result Entry'!AI75="","",'Supp. Result Entry'!$AI$4)</f>
        <v/>
      </c>
      <c r="IY77" s="110" t="str">
        <f>IF('Supp. Result Entry'!AI75="","",'Supp. Result Entry'!$AL$4)</f>
        <v/>
      </c>
      <c r="IZ77" s="110" t="str">
        <f>IF('Supp. Result Entry'!U75="","",'Supp. Result Entry'!U75)</f>
        <v/>
      </c>
      <c r="JA77" s="110" t="str">
        <f>IF('Supp. Result Entry'!X75="","",'Supp. Result Entry'!X75)</f>
        <v/>
      </c>
      <c r="JB77" s="110" t="str">
        <f>IF('Supp. Result Entry'!AA75="","",'Supp. Result Entry'!AA75)</f>
        <v/>
      </c>
      <c r="JC77" s="110" t="str">
        <f>IF('Supp. Result Entry'!AD75="","",'Supp. Result Entry'!AD75)</f>
        <v/>
      </c>
      <c r="JD77" s="110" t="str">
        <f>IF('Supp. Result Entry'!AG75="","",'Supp. Result Entry'!AG75)</f>
        <v/>
      </c>
      <c r="JE77" s="110" t="str">
        <f>IF('Supp. Result Entry'!AJ75="","",'Supp. Result Entry'!AJ75)</f>
        <v/>
      </c>
      <c r="JF77" s="110" t="str">
        <f>IF('Supp. Result Entry'!AM75="","",'Supp. Result Entry'!AM75)</f>
        <v/>
      </c>
      <c r="JG77" s="110" t="str">
        <f>IF('Supp. Result Entry'!V75="","",'Supp. Result Entry'!V75)</f>
        <v/>
      </c>
      <c r="JH77" s="110" t="str">
        <f>IF('Supp. Result Entry'!Y75="","",'Supp. Result Entry'!Y75)</f>
        <v/>
      </c>
      <c r="JI77" s="110" t="str">
        <f>IF('Supp. Result Entry'!AB75="","",'Supp. Result Entry'!AB75)</f>
        <v/>
      </c>
      <c r="JJ77" s="110" t="str">
        <f>IF('Supp. Result Entry'!AE75="","",'Supp. Result Entry'!AE75)</f>
        <v/>
      </c>
      <c r="JK77" s="110" t="str">
        <f>IF('Supp. Result Entry'!AH75="","",'Supp. Result Entry'!AH75)</f>
        <v/>
      </c>
      <c r="JL77" s="110" t="str">
        <f>IF('Supp. Result Entry'!AK75="","",'Supp. Result Entry'!AK75)</f>
        <v/>
      </c>
      <c r="JM77" s="110" t="str">
        <f>IF('Supp. Result Entry'!AN75="","",'Supp. Result Entry'!AN75)</f>
        <v/>
      </c>
      <c r="JN77" s="110">
        <f>COUNTIF('Supp. Result Entry'!K75:Q75,"S")</f>
        <v>0</v>
      </c>
      <c r="JO77" s="110">
        <f t="shared" si="248"/>
        <v>0</v>
      </c>
      <c r="JP77" s="110">
        <f t="shared" si="325"/>
        <v>0</v>
      </c>
      <c r="JQ77" s="110" t="str">
        <f t="shared" si="249"/>
        <v/>
      </c>
      <c r="JR77" s="110" t="str">
        <f t="shared" si="250"/>
        <v/>
      </c>
      <c r="JS77" s="110" t="str">
        <f t="shared" si="251"/>
        <v/>
      </c>
      <c r="JT77" s="110" t="str">
        <f t="shared" si="252"/>
        <v/>
      </c>
      <c r="JU77" s="110" t="str">
        <f t="shared" si="253"/>
        <v/>
      </c>
      <c r="JV77" s="110" t="str">
        <f t="shared" si="254"/>
        <v/>
      </c>
      <c r="JW77" s="110" t="str">
        <f t="shared" si="255"/>
        <v/>
      </c>
      <c r="JX77" s="110" t="str">
        <f t="shared" si="326"/>
        <v/>
      </c>
      <c r="JY77" s="110" t="str">
        <f t="shared" si="327"/>
        <v/>
      </c>
      <c r="JZ77" s="110" t="str">
        <f t="shared" si="256"/>
        <v/>
      </c>
      <c r="KA77" s="108" t="str">
        <f t="shared" si="328"/>
        <v/>
      </c>
    </row>
    <row r="78" spans="1:287" s="108" customFormat="1" ht="21.95" customHeight="1">
      <c r="A78" s="89">
        <v>72</v>
      </c>
      <c r="B78" s="90" t="str">
        <f>IF('Marks Entry'!B78="","",'Marks Entry'!B78)</f>
        <v/>
      </c>
      <c r="C78" s="94" t="str">
        <f>IF('Marks Entry'!D78="","",'Marks Entry'!D78)</f>
        <v/>
      </c>
      <c r="D78" s="91" t="str">
        <f>IF('Marks Entry'!E78="","",'Marks Entry'!E78)</f>
        <v/>
      </c>
      <c r="E78" s="92" t="str">
        <f>IF('Marks Entry'!F78="","",'Marks Entry'!F78)</f>
        <v/>
      </c>
      <c r="F78" s="93" t="str">
        <f>IF('Marks Entry'!G78="","",'Marks Entry'!G78)</f>
        <v/>
      </c>
      <c r="G78" s="93" t="str">
        <f>IF('Marks Entry'!H78="","",'Marks Entry'!H78)</f>
        <v/>
      </c>
      <c r="H78" s="93" t="str">
        <f>IF('Marks Entry'!I78="","",'Marks Entry'!I78)</f>
        <v/>
      </c>
      <c r="I78" s="94" t="str">
        <f>IF('Marks Entry'!J78="","",'Marks Entry'!J78)</f>
        <v/>
      </c>
      <c r="J78" s="95" t="str">
        <f>IF('Marks Entry'!K78="","",'Marks Entry'!K78)</f>
        <v/>
      </c>
      <c r="K78" s="68" t="str">
        <f>IF('Marks Entry'!L78="","",'Marks Entry'!L78)</f>
        <v/>
      </c>
      <c r="L78" s="68" t="str">
        <f>IF('Marks Entry'!M78="","",'Marks Entry'!M78)</f>
        <v/>
      </c>
      <c r="M78" s="68" t="str">
        <f>IF('Marks Entry'!N78="","",'Marks Entry'!N78)</f>
        <v/>
      </c>
      <c r="N78" s="514" t="str">
        <f t="shared" si="257"/>
        <v/>
      </c>
      <c r="O78" s="68" t="str">
        <f>IF('Marks Entry'!O78="","",'Marks Entry'!O78)</f>
        <v/>
      </c>
      <c r="P78" s="515" t="str">
        <f t="shared" si="258"/>
        <v/>
      </c>
      <c r="Q78" s="68" t="str">
        <f>IF('Marks Entry'!P78="","",'Marks Entry'!P78)</f>
        <v/>
      </c>
      <c r="R78" s="96" t="str">
        <f t="shared" si="259"/>
        <v/>
      </c>
      <c r="S78" s="65">
        <f t="shared" si="260"/>
        <v>0</v>
      </c>
      <c r="T78" s="65">
        <f t="shared" si="261"/>
        <v>0</v>
      </c>
      <c r="U78" s="66" t="str">
        <f t="shared" si="171"/>
        <v/>
      </c>
      <c r="V78" s="65" t="str">
        <f t="shared" si="172"/>
        <v/>
      </c>
      <c r="W78" s="65" t="str">
        <f t="shared" si="262"/>
        <v/>
      </c>
      <c r="X78" s="65" t="str">
        <f t="shared" si="173"/>
        <v/>
      </c>
      <c r="Y78" s="68" t="str">
        <f>IF('Marks Entry'!Q78="","",'Marks Entry'!Q78)</f>
        <v/>
      </c>
      <c r="Z78" s="68" t="str">
        <f>IF('Marks Entry'!R78="","",'Marks Entry'!R78)</f>
        <v/>
      </c>
      <c r="AA78" s="68" t="str">
        <f>IF('Marks Entry'!S78="","",'Marks Entry'!S78)</f>
        <v/>
      </c>
      <c r="AB78" s="514" t="str">
        <f t="shared" si="174"/>
        <v/>
      </c>
      <c r="AC78" s="68" t="str">
        <f>IF('Marks Entry'!T78="","",'Marks Entry'!T78)</f>
        <v/>
      </c>
      <c r="AD78" s="515" t="str">
        <f t="shared" si="175"/>
        <v/>
      </c>
      <c r="AE78" s="68" t="str">
        <f>IF('Marks Entry'!U78="","",'Marks Entry'!U78)</f>
        <v/>
      </c>
      <c r="AF78" s="96" t="str">
        <f t="shared" si="176"/>
        <v/>
      </c>
      <c r="AG78" s="65">
        <f t="shared" si="177"/>
        <v>0</v>
      </c>
      <c r="AH78" s="65">
        <f t="shared" si="178"/>
        <v>0</v>
      </c>
      <c r="AI78" s="66" t="str">
        <f t="shared" si="179"/>
        <v/>
      </c>
      <c r="AJ78" s="65" t="str">
        <f t="shared" si="180"/>
        <v/>
      </c>
      <c r="AK78" s="65" t="str">
        <f t="shared" si="181"/>
        <v/>
      </c>
      <c r="AL78" s="65" t="str">
        <f t="shared" si="182"/>
        <v/>
      </c>
      <c r="AM78" s="524" t="str">
        <f>IF('Marks Entry'!V78="","",IF('Marks Entry'!V78=1,'School Profile'!$I$9,IF('Marks Entry'!V78=2,'School Profile'!$I$10,IF('Marks Entry'!V78=3,'School Profile'!$I$11,IF('Marks Entry'!V78=4,'School Profile'!$I$12,IF('Marks Entry'!V78=5,'School Profile'!$I$13,IF('Marks Entry'!V78=6,'School Profile'!$I$14,"")))))))</f>
        <v/>
      </c>
      <c r="AN78" s="68" t="str">
        <f>IF('Marks Entry'!W78="","",'Marks Entry'!W78)</f>
        <v/>
      </c>
      <c r="AO78" s="68" t="str">
        <f>IF('Marks Entry'!X78="","",'Marks Entry'!X78)</f>
        <v/>
      </c>
      <c r="AP78" s="68" t="str">
        <f>IF('Marks Entry'!Y78="","",'Marks Entry'!Y78)</f>
        <v/>
      </c>
      <c r="AQ78" s="514" t="str">
        <f t="shared" si="183"/>
        <v/>
      </c>
      <c r="AR78" s="68" t="str">
        <f>IF('Marks Entry'!Z78="","",'Marks Entry'!Z78)</f>
        <v/>
      </c>
      <c r="AS78" s="515" t="str">
        <f t="shared" si="184"/>
        <v/>
      </c>
      <c r="AT78" s="68" t="str">
        <f>IF('Marks Entry'!AA78="","",'Marks Entry'!AA78)</f>
        <v/>
      </c>
      <c r="AU78" s="96" t="str">
        <f t="shared" si="185"/>
        <v/>
      </c>
      <c r="AV78" s="65">
        <f t="shared" si="186"/>
        <v>0</v>
      </c>
      <c r="AW78" s="65">
        <f t="shared" si="187"/>
        <v>0</v>
      </c>
      <c r="AX78" s="66" t="str">
        <f t="shared" si="188"/>
        <v/>
      </c>
      <c r="AY78" s="65" t="str">
        <f t="shared" si="189"/>
        <v/>
      </c>
      <c r="AZ78" s="65" t="str">
        <f t="shared" si="190"/>
        <v/>
      </c>
      <c r="BA78" s="65" t="str">
        <f t="shared" si="191"/>
        <v/>
      </c>
      <c r="BB78" s="68" t="str">
        <f>IF('Marks Entry'!AB78="","",'Marks Entry'!AB78)</f>
        <v/>
      </c>
      <c r="BC78" s="68" t="str">
        <f>IF('Marks Entry'!AC78="","",'Marks Entry'!AC78)</f>
        <v/>
      </c>
      <c r="BD78" s="68" t="str">
        <f>IF('Marks Entry'!AD78="","",'Marks Entry'!AD78)</f>
        <v/>
      </c>
      <c r="BE78" s="514" t="str">
        <f t="shared" si="192"/>
        <v/>
      </c>
      <c r="BF78" s="68" t="str">
        <f>IF('Marks Entry'!AE78="","",'Marks Entry'!AE78)</f>
        <v/>
      </c>
      <c r="BG78" s="515" t="str">
        <f t="shared" si="193"/>
        <v/>
      </c>
      <c r="BH78" s="68" t="str">
        <f>IF('Marks Entry'!AF78="","",'Marks Entry'!AF78)</f>
        <v/>
      </c>
      <c r="BI78" s="96" t="str">
        <f t="shared" si="194"/>
        <v/>
      </c>
      <c r="BJ78" s="65">
        <f t="shared" si="195"/>
        <v>0</v>
      </c>
      <c r="BK78" s="65">
        <f t="shared" si="263"/>
        <v>0</v>
      </c>
      <c r="BL78" s="66" t="str">
        <f t="shared" si="196"/>
        <v/>
      </c>
      <c r="BM78" s="65" t="str">
        <f t="shared" si="197"/>
        <v/>
      </c>
      <c r="BN78" s="65" t="str">
        <f t="shared" si="198"/>
        <v/>
      </c>
      <c r="BO78" s="65" t="str">
        <f t="shared" si="199"/>
        <v/>
      </c>
      <c r="BP78" s="68" t="str">
        <f>IF('Marks Entry'!AG78="","",'Marks Entry'!AG78)</f>
        <v/>
      </c>
      <c r="BQ78" s="68" t="str">
        <f>IF('Marks Entry'!AH78="","",'Marks Entry'!AH78)</f>
        <v/>
      </c>
      <c r="BR78" s="68" t="str">
        <f>IF('Marks Entry'!AI78="","",'Marks Entry'!AI78)</f>
        <v/>
      </c>
      <c r="BS78" s="514" t="str">
        <f t="shared" si="200"/>
        <v/>
      </c>
      <c r="BT78" s="68" t="str">
        <f>IF('Marks Entry'!AJ78="","",'Marks Entry'!AJ78)</f>
        <v/>
      </c>
      <c r="BU78" s="515" t="str">
        <f t="shared" si="201"/>
        <v/>
      </c>
      <c r="BV78" s="68" t="str">
        <f>IF('Marks Entry'!AK78="","",'Marks Entry'!AK78)</f>
        <v/>
      </c>
      <c r="BW78" s="96" t="str">
        <f t="shared" si="202"/>
        <v/>
      </c>
      <c r="BX78" s="65">
        <f t="shared" si="203"/>
        <v>0</v>
      </c>
      <c r="BY78" s="65">
        <f t="shared" si="204"/>
        <v>0</v>
      </c>
      <c r="BZ78" s="66" t="str">
        <f t="shared" si="205"/>
        <v/>
      </c>
      <c r="CA78" s="65" t="str">
        <f t="shared" si="206"/>
        <v/>
      </c>
      <c r="CB78" s="65" t="str">
        <f t="shared" si="207"/>
        <v/>
      </c>
      <c r="CC78" s="65" t="str">
        <f t="shared" si="208"/>
        <v/>
      </c>
      <c r="CD78" s="66">
        <f t="shared" si="209"/>
        <v>0</v>
      </c>
      <c r="CE78" s="68" t="str">
        <f>IF('Marks Entry'!AL78="","",'Marks Entry'!AL78)</f>
        <v/>
      </c>
      <c r="CF78" s="68" t="str">
        <f>IF('Marks Entry'!AM78="","",'Marks Entry'!AM78)</f>
        <v/>
      </c>
      <c r="CG78" s="68" t="str">
        <f>IF('Marks Entry'!AN78="","",'Marks Entry'!AN78)</f>
        <v/>
      </c>
      <c r="CH78" s="514" t="str">
        <f t="shared" si="210"/>
        <v/>
      </c>
      <c r="CI78" s="68" t="str">
        <f>IF('Marks Entry'!AO78="","",'Marks Entry'!AO78)</f>
        <v/>
      </c>
      <c r="CJ78" s="515" t="str">
        <f t="shared" si="211"/>
        <v/>
      </c>
      <c r="CK78" s="68" t="str">
        <f>IF('Marks Entry'!AP78="","",'Marks Entry'!AP78)</f>
        <v/>
      </c>
      <c r="CL78" s="96" t="str">
        <f t="shared" si="212"/>
        <v/>
      </c>
      <c r="CM78" s="65">
        <f t="shared" si="213"/>
        <v>0</v>
      </c>
      <c r="CN78" s="65">
        <f t="shared" si="214"/>
        <v>0</v>
      </c>
      <c r="CO78" s="66" t="str">
        <f t="shared" si="215"/>
        <v/>
      </c>
      <c r="CP78" s="65" t="str">
        <f t="shared" si="216"/>
        <v/>
      </c>
      <c r="CQ78" s="65" t="str">
        <f t="shared" si="217"/>
        <v/>
      </c>
      <c r="CR78" s="65" t="str">
        <f t="shared" si="218"/>
        <v/>
      </c>
      <c r="CS78" s="616" t="str">
        <f>IF('School Profile'!$D$20="NO","",IF('Marks Entry'!AQ78="","",IF('Marks Entry'!AQ78=1,'School Profile'!$I$29,IF('Marks Entry'!AQ78=2,'School Profile'!$I$30,IF('Marks Entry'!AQ78=3,'School Profile'!$I$31,IF('Marks Entry'!AQ78=4,'School Profile'!$I$32,IF('Marks Entry'!AQ78=5,'School Profile'!$I$33,IF('Marks Entry'!AQ78=6,'School Profile'!$I$34,IF('Marks Entry'!AQ78=7,'School Profile'!$I$35,IF('Marks Entry'!AQ78=8,'School Profile'!$I$36,IF('Marks Entry'!AQ78=9,'School Profile'!$I$37,IF('Marks Entry'!AQ78=10,'School Profile'!$I$38,IF('Marks Entry'!AQ78=11,'School Profile'!$I$39,"")))))))))))))</f>
        <v/>
      </c>
      <c r="CT78" s="68" t="str">
        <f>IF('School Profile'!$D$20="NO","",IF('Marks Entry'!AR78="","",'Marks Entry'!AR78))</f>
        <v/>
      </c>
      <c r="CU78" s="68" t="str">
        <f>IF('School Profile'!$D$20="NO","",IF('Marks Entry'!AS78="","",'Marks Entry'!AS78))</f>
        <v/>
      </c>
      <c r="CV78" s="68" t="str">
        <f>IF('School Profile'!$D$20="NO","",IF('Marks Entry'!AT78="","",'Marks Entry'!AT78))</f>
        <v/>
      </c>
      <c r="CW78" s="514" t="str">
        <f>IF('School Profile'!$D$20="NO","",IF(AND(CT78="",CU78="",CV78=""),"",SUM(CT78:CV78)))</f>
        <v/>
      </c>
      <c r="CX78" s="68" t="str">
        <f>IF('School Profile'!$D$20="NO","",IF('Marks Entry'!AU78="","",'Marks Entry'!AU78))</f>
        <v/>
      </c>
      <c r="CY78" s="68" t="str">
        <f>IF('School Profile'!$D$20="NO","",IF('Marks Entry'!AV78="","",'Marks Entry'!AV78))</f>
        <v/>
      </c>
      <c r="CZ78" s="515" t="str">
        <f>IF('School Profile'!$D$20="NO","",IF(AND(CX78="",CY78=""),"",SUM(CX78,CY78)))</f>
        <v/>
      </c>
      <c r="DA78" s="69" t="str">
        <f>IF('School Profile'!$D$20="NO","",IF(AND(CW78="",CZ78=""),"",SUM(CW78+CZ78)))</f>
        <v/>
      </c>
      <c r="DB78" s="68" t="str">
        <f>IF('School Profile'!$D$20="NO","",IF('Marks Entry'!AW78="","",'Marks Entry'!AW78))</f>
        <v/>
      </c>
      <c r="DC78" s="68" t="str">
        <f>IF('School Profile'!$D$20="NO","",IF('Marks Entry'!AX78="","",'Marks Entry'!AX78))</f>
        <v/>
      </c>
      <c r="DD78" s="515" t="str">
        <f>IF('School Profile'!$D$20="NO","",IF(AND(DB78="",DC78=""),"",SUM(DB78,DC78)))</f>
        <v/>
      </c>
      <c r="DE78" s="96" t="str">
        <f>IF('School Profile'!$D$20="NO","",IF(AND(DA78="",DD78=""),"",SUM(DA78,DD78)))</f>
        <v/>
      </c>
      <c r="DF78" s="532">
        <f t="shared" si="219"/>
        <v>0</v>
      </c>
      <c r="DG78" s="65">
        <f t="shared" si="220"/>
        <v>0</v>
      </c>
      <c r="DH78" s="66" t="str">
        <f t="shared" si="221"/>
        <v/>
      </c>
      <c r="DI78" s="65" t="str">
        <f t="shared" si="222"/>
        <v/>
      </c>
      <c r="DJ78" s="65" t="str">
        <f t="shared" si="223"/>
        <v/>
      </c>
      <c r="DK78" s="65" t="str">
        <f t="shared" si="224"/>
        <v/>
      </c>
      <c r="DL78" s="97" t="str">
        <f t="shared" si="264"/>
        <v/>
      </c>
      <c r="DM78" s="97" t="str">
        <f t="shared" si="265"/>
        <v/>
      </c>
      <c r="DN78" s="97" t="str">
        <f t="shared" si="266"/>
        <v/>
      </c>
      <c r="DO78" s="97" t="str">
        <f t="shared" si="267"/>
        <v/>
      </c>
      <c r="DP78" s="97" t="str">
        <f t="shared" si="268"/>
        <v/>
      </c>
      <c r="DQ78" s="97" t="str">
        <f t="shared" si="269"/>
        <v/>
      </c>
      <c r="DR78" s="97" t="str">
        <f t="shared" si="270"/>
        <v/>
      </c>
      <c r="DS78" s="98">
        <f t="shared" si="271"/>
        <v>0</v>
      </c>
      <c r="DT78" s="98">
        <f t="shared" si="272"/>
        <v>0</v>
      </c>
      <c r="DU78" s="98">
        <f t="shared" si="273"/>
        <v>0</v>
      </c>
      <c r="DV78" s="98">
        <f t="shared" si="274"/>
        <v>0</v>
      </c>
      <c r="DW78" s="98">
        <f t="shared" si="275"/>
        <v>0</v>
      </c>
      <c r="DX78" s="98" t="str">
        <f t="shared" si="276"/>
        <v/>
      </c>
      <c r="DY78" s="99" t="str">
        <f t="shared" si="277"/>
        <v/>
      </c>
      <c r="DZ78" s="74" t="str">
        <f>IF('Marks Entry'!AY78="","",'Marks Entry'!AY78)</f>
        <v/>
      </c>
      <c r="EA78" s="74" t="str">
        <f>IF('Marks Entry'!AZ78="","",'Marks Entry'!AZ78)</f>
        <v/>
      </c>
      <c r="EB78" s="74" t="str">
        <f>IF('Marks Entry'!BA78="","",'Marks Entry'!BA78)</f>
        <v/>
      </c>
      <c r="EC78" s="527" t="str">
        <f t="shared" si="225"/>
        <v/>
      </c>
      <c r="ED78" s="74" t="str">
        <f>IF('Marks Entry'!BB78="","",'Marks Entry'!BB78)</f>
        <v/>
      </c>
      <c r="EE78" s="528" t="str">
        <f t="shared" si="226"/>
        <v/>
      </c>
      <c r="EF78" s="74" t="str">
        <f>IF('Marks Entry'!BC78="","",'Marks Entry'!BC78)</f>
        <v/>
      </c>
      <c r="EG78" s="530" t="str">
        <f t="shared" si="227"/>
        <v/>
      </c>
      <c r="EH78" s="368" t="str">
        <f t="shared" si="278"/>
        <v/>
      </c>
      <c r="EI78" s="65">
        <f t="shared" si="279"/>
        <v>0</v>
      </c>
      <c r="EJ78" s="65">
        <f t="shared" si="280"/>
        <v>0</v>
      </c>
      <c r="EK78" s="66" t="str">
        <f t="shared" si="281"/>
        <v/>
      </c>
      <c r="EL78" s="74" t="str">
        <f>IF('Marks Entry'!BD78="","",'Marks Entry'!BD78)</f>
        <v/>
      </c>
      <c r="EM78" s="74" t="str">
        <f>IF('Marks Entry'!BE78="","",'Marks Entry'!BE78)</f>
        <v/>
      </c>
      <c r="EN78" s="74" t="str">
        <f>IF('Marks Entry'!BF78="","",'Marks Entry'!BF78)</f>
        <v/>
      </c>
      <c r="EO78" s="527" t="str">
        <f t="shared" si="228"/>
        <v/>
      </c>
      <c r="EP78" s="74" t="str">
        <f>IF('Marks Entry'!BG78="","",'Marks Entry'!BG78)</f>
        <v/>
      </c>
      <c r="EQ78" s="74" t="str">
        <f>IF('Marks Entry'!BH78="","",'Marks Entry'!BH78)</f>
        <v/>
      </c>
      <c r="ER78" s="528" t="str">
        <f t="shared" si="229"/>
        <v/>
      </c>
      <c r="ES78" s="529" t="str">
        <f t="shared" si="230"/>
        <v/>
      </c>
      <c r="ET78" s="74" t="str">
        <f>IF('Marks Entry'!BI78="","",'Marks Entry'!BI78)</f>
        <v/>
      </c>
      <c r="EU78" s="74" t="str">
        <f>IF('Marks Entry'!BJ78="","",'Marks Entry'!BJ78)</f>
        <v/>
      </c>
      <c r="EV78" s="528" t="str">
        <f t="shared" si="231"/>
        <v/>
      </c>
      <c r="EW78" s="530" t="str">
        <f t="shared" si="232"/>
        <v/>
      </c>
      <c r="EX78" s="368" t="str">
        <f t="shared" si="282"/>
        <v/>
      </c>
      <c r="EY78" s="65">
        <f t="shared" si="283"/>
        <v>0</v>
      </c>
      <c r="EZ78" s="65">
        <f t="shared" si="284"/>
        <v>0</v>
      </c>
      <c r="FA78" s="66" t="str">
        <f t="shared" si="285"/>
        <v/>
      </c>
      <c r="FB78" s="74" t="str">
        <f>IF('Marks Entry'!BK78="","",'Marks Entry'!BK78)</f>
        <v/>
      </c>
      <c r="FC78" s="74" t="str">
        <f>IF('Marks Entry'!BL78="","",'Marks Entry'!BL78)</f>
        <v/>
      </c>
      <c r="FD78" s="74" t="str">
        <f>IF('Marks Entry'!BM78="","",'Marks Entry'!BM78)</f>
        <v/>
      </c>
      <c r="FE78" s="74" t="str">
        <f>IF('Marks Entry'!BN78="","",'Marks Entry'!BN78)</f>
        <v/>
      </c>
      <c r="FF78" s="74" t="str">
        <f>IF('Marks Entry'!BO78="","",'Marks Entry'!BO78)</f>
        <v/>
      </c>
      <c r="FG78" s="74" t="str">
        <f>IF('Marks Entry'!BP78="","",'Marks Entry'!BP78)</f>
        <v/>
      </c>
      <c r="FH78" s="527" t="str">
        <f t="shared" si="233"/>
        <v/>
      </c>
      <c r="FI78" s="74" t="str">
        <f>IF('Marks Entry'!BQ78="","",'Marks Entry'!BQ78)</f>
        <v/>
      </c>
      <c r="FJ78" s="74" t="str">
        <f>IF('Marks Entry'!BR78="","",'Marks Entry'!BR78)</f>
        <v/>
      </c>
      <c r="FK78" s="528" t="str">
        <f t="shared" si="234"/>
        <v/>
      </c>
      <c r="FL78" s="529" t="str">
        <f t="shared" si="235"/>
        <v/>
      </c>
      <c r="FM78" s="74" t="str">
        <f>IF('Marks Entry'!BS78="","",'Marks Entry'!BS78)</f>
        <v/>
      </c>
      <c r="FN78" s="74" t="str">
        <f>IF('Marks Entry'!BT78="","",'Marks Entry'!BT78)</f>
        <v/>
      </c>
      <c r="FO78" s="528" t="str">
        <f t="shared" si="236"/>
        <v/>
      </c>
      <c r="FP78" s="530" t="str">
        <f t="shared" si="237"/>
        <v/>
      </c>
      <c r="FQ78" s="368" t="str">
        <f t="shared" si="286"/>
        <v/>
      </c>
      <c r="FR78" s="65">
        <f t="shared" si="287"/>
        <v>0</v>
      </c>
      <c r="FS78" s="65">
        <f t="shared" si="288"/>
        <v>0</v>
      </c>
      <c r="FT78" s="66" t="str">
        <f t="shared" si="289"/>
        <v/>
      </c>
      <c r="FU78" s="74" t="str">
        <f>IF('Marks Entry'!BU78="","",'Marks Entry'!BU78)</f>
        <v/>
      </c>
      <c r="FV78" s="74" t="str">
        <f>IF('Marks Entry'!BV78="","",'Marks Entry'!BV78)</f>
        <v/>
      </c>
      <c r="FW78" s="74" t="str">
        <f>IF('Marks Entry'!BW78="","",'Marks Entry'!BW78)</f>
        <v/>
      </c>
      <c r="FX78" s="75" t="str">
        <f t="shared" si="238"/>
        <v/>
      </c>
      <c r="FY78" s="368" t="str">
        <f t="shared" si="290"/>
        <v/>
      </c>
      <c r="FZ78" s="65">
        <f t="shared" si="291"/>
        <v>0</v>
      </c>
      <c r="GA78" s="66">
        <f t="shared" si="292"/>
        <v>0</v>
      </c>
      <c r="GB78" s="66" t="str">
        <f t="shared" si="293"/>
        <v/>
      </c>
      <c r="GC78" s="74" t="str">
        <f>IF('Marks Entry'!BX78="","",'Marks Entry'!BX78)</f>
        <v/>
      </c>
      <c r="GD78" s="74" t="str">
        <f>IF('Marks Entry'!BY78="","",'Marks Entry'!BY78)</f>
        <v/>
      </c>
      <c r="GE78" s="74" t="str">
        <f>IF('Marks Entry'!BZ78="","",'Marks Entry'!BZ78)</f>
        <v/>
      </c>
      <c r="GF78" s="75" t="str">
        <f t="shared" si="294"/>
        <v/>
      </c>
      <c r="GG78" s="368" t="str">
        <f t="shared" si="295"/>
        <v/>
      </c>
      <c r="GH78" s="65">
        <f t="shared" si="296"/>
        <v>0</v>
      </c>
      <c r="GI78" s="66">
        <f t="shared" si="297"/>
        <v>0</v>
      </c>
      <c r="GJ78" s="66" t="str">
        <f t="shared" si="298"/>
        <v/>
      </c>
      <c r="GK78" s="100" t="str">
        <f>IF(AND(F78="",B78=""),"",IF('Student DATA Entry'!M75="","",'Student DATA Entry'!M75))</f>
        <v/>
      </c>
      <c r="GL78" s="101" t="str">
        <f>IF(AND(B78="",F78=""),"",IF('Student DATA Entry'!N75="","",'Student DATA Entry'!N75))</f>
        <v/>
      </c>
      <c r="GM78" s="581" t="str">
        <f t="shared" si="299"/>
        <v/>
      </c>
      <c r="GN78" s="94" t="str">
        <f t="shared" si="300"/>
        <v/>
      </c>
      <c r="GO78" s="94" t="str">
        <f t="shared" si="301"/>
        <v/>
      </c>
      <c r="GP78" s="102" t="str">
        <f t="shared" si="239"/>
        <v/>
      </c>
      <c r="GQ78" s="94" t="str">
        <f t="shared" si="302"/>
        <v/>
      </c>
      <c r="GR78" s="103" t="str">
        <f t="shared" si="303"/>
        <v/>
      </c>
      <c r="GS78" s="102" t="str">
        <f t="shared" si="240"/>
        <v/>
      </c>
      <c r="GT78" s="104" t="str">
        <f t="shared" si="304"/>
        <v/>
      </c>
      <c r="GU78" s="94" t="str">
        <f>IF('Marks Entry'!V78=1,GT78,"")</f>
        <v/>
      </c>
      <c r="GV78" s="94" t="str">
        <f>IF('Marks Entry'!V78=2,GT78,"")</f>
        <v/>
      </c>
      <c r="GW78" s="94" t="str">
        <f>IF('Marks Entry'!V78=3,GT78,"")</f>
        <v/>
      </c>
      <c r="GX78" s="94" t="str">
        <f>IF('Marks Entry'!V78=4,GT78,"")</f>
        <v/>
      </c>
      <c r="GY78" s="94" t="str">
        <f>IF('Marks Entry'!V78=5,GT78,"")</f>
        <v/>
      </c>
      <c r="GZ78" s="94" t="str">
        <f t="shared" si="305"/>
        <v/>
      </c>
      <c r="HA78" s="105" t="str">
        <f t="shared" si="241"/>
        <v/>
      </c>
      <c r="HB78" s="94" t="str">
        <f t="shared" si="306"/>
        <v/>
      </c>
      <c r="HC78" s="94" t="str">
        <f t="shared" si="307"/>
        <v/>
      </c>
      <c r="HD78" s="105" t="str">
        <f t="shared" si="242"/>
        <v/>
      </c>
      <c r="HE78" s="94" t="str">
        <f t="shared" si="308"/>
        <v/>
      </c>
      <c r="HF78" s="94" t="str">
        <f t="shared" si="309"/>
        <v/>
      </c>
      <c r="HG78" s="105" t="str">
        <f t="shared" si="243"/>
        <v/>
      </c>
      <c r="HH78" s="94" t="str">
        <f t="shared" si="310"/>
        <v/>
      </c>
      <c r="HI78" s="94" t="str">
        <f t="shared" si="311"/>
        <v/>
      </c>
      <c r="HJ78" s="105" t="str">
        <f t="shared" si="244"/>
        <v/>
      </c>
      <c r="HK78" s="94" t="str">
        <f t="shared" si="312"/>
        <v/>
      </c>
      <c r="HL78" s="94" t="str">
        <f t="shared" si="313"/>
        <v/>
      </c>
      <c r="HM78" s="105" t="str">
        <f t="shared" si="245"/>
        <v/>
      </c>
      <c r="HN78" s="367" t="str">
        <f t="shared" si="314"/>
        <v xml:space="preserve">      </v>
      </c>
      <c r="HO78" s="418" t="str">
        <f t="shared" si="246"/>
        <v xml:space="preserve">      </v>
      </c>
      <c r="HP78" s="367" t="str">
        <f t="shared" si="315"/>
        <v xml:space="preserve">      </v>
      </c>
      <c r="HQ78" s="107" t="str">
        <f t="shared" si="316"/>
        <v xml:space="preserve">      </v>
      </c>
      <c r="HR78" s="366" t="str">
        <f t="shared" si="317"/>
        <v xml:space="preserve">      </v>
      </c>
      <c r="HS78" s="544" t="str">
        <f t="shared" si="247"/>
        <v/>
      </c>
      <c r="HT78" s="542" t="str">
        <f t="shared" si="318"/>
        <v/>
      </c>
      <c r="HU78" s="541" t="str">
        <f t="shared" si="319"/>
        <v/>
      </c>
      <c r="HV78" s="540" t="str">
        <f t="shared" si="320"/>
        <v/>
      </c>
      <c r="HW78" s="537" t="str">
        <f t="shared" si="321"/>
        <v/>
      </c>
      <c r="HX78" s="539" t="str">
        <f t="shared" si="322"/>
        <v/>
      </c>
      <c r="HY78" s="553" t="str">
        <f>IFERROR(IF(OR(HS78="SUPPLEMENTARY",HS78="RE-EXAM"),'Supp. Result Entry'!AQ76,""),"")</f>
        <v/>
      </c>
      <c r="HZ78" s="538" t="str">
        <f t="shared" si="323"/>
        <v/>
      </c>
      <c r="IA78" s="415" t="str">
        <f t="shared" si="324"/>
        <v/>
      </c>
      <c r="IB78" s="415" t="str">
        <f>IF(AND(HZ78="",IA78=""),"",IF(OR(HS78="SUPPLEMENTARY",HS78="RE-EXAM"),'Supp. Result Entry'!AQ76,HS78))</f>
        <v/>
      </c>
      <c r="IC78" s="87"/>
      <c r="IS78" s="109" t="str">
        <f>IF('Supp. Result Entry'!T76="","",'Supp. Result Entry'!$T$4)</f>
        <v/>
      </c>
      <c r="IT78" s="110" t="str">
        <f>IF('Supp. Result Entry'!W76="","",'Supp. Result Entry'!$W$4)</f>
        <v/>
      </c>
      <c r="IU78" s="110" t="str">
        <f>IF('Supp. Result Entry'!Z76="","",'Supp. Result Entry'!$Z$4)</f>
        <v/>
      </c>
      <c r="IV78" s="110" t="str">
        <f>IF('Supp. Result Entry'!AC76="","",'Supp. Result Entry'!$AC$4)</f>
        <v/>
      </c>
      <c r="IW78" s="110" t="str">
        <f>IF('Supp. Result Entry'!AF76="","",'Supp. Result Entry'!$AF$4)</f>
        <v/>
      </c>
      <c r="IX78" s="110" t="str">
        <f>IF('Supp. Result Entry'!AI76="","",'Supp. Result Entry'!$AI$4)</f>
        <v/>
      </c>
      <c r="IY78" s="110" t="str">
        <f>IF('Supp. Result Entry'!AI76="","",'Supp. Result Entry'!$AL$4)</f>
        <v/>
      </c>
      <c r="IZ78" s="110" t="str">
        <f>IF('Supp. Result Entry'!U76="","",'Supp. Result Entry'!U76)</f>
        <v/>
      </c>
      <c r="JA78" s="110" t="str">
        <f>IF('Supp. Result Entry'!X76="","",'Supp. Result Entry'!X76)</f>
        <v/>
      </c>
      <c r="JB78" s="110" t="str">
        <f>IF('Supp. Result Entry'!AA76="","",'Supp. Result Entry'!AA76)</f>
        <v/>
      </c>
      <c r="JC78" s="110" t="str">
        <f>IF('Supp. Result Entry'!AD76="","",'Supp. Result Entry'!AD76)</f>
        <v/>
      </c>
      <c r="JD78" s="110" t="str">
        <f>IF('Supp. Result Entry'!AG76="","",'Supp. Result Entry'!AG76)</f>
        <v/>
      </c>
      <c r="JE78" s="110" t="str">
        <f>IF('Supp. Result Entry'!AJ76="","",'Supp. Result Entry'!AJ76)</f>
        <v/>
      </c>
      <c r="JF78" s="110" t="str">
        <f>IF('Supp. Result Entry'!AM76="","",'Supp. Result Entry'!AM76)</f>
        <v/>
      </c>
      <c r="JG78" s="110" t="str">
        <f>IF('Supp. Result Entry'!V76="","",'Supp. Result Entry'!V76)</f>
        <v/>
      </c>
      <c r="JH78" s="110" t="str">
        <f>IF('Supp. Result Entry'!Y76="","",'Supp. Result Entry'!Y76)</f>
        <v/>
      </c>
      <c r="JI78" s="110" t="str">
        <f>IF('Supp. Result Entry'!AB76="","",'Supp. Result Entry'!AB76)</f>
        <v/>
      </c>
      <c r="JJ78" s="110" t="str">
        <f>IF('Supp. Result Entry'!AE76="","",'Supp. Result Entry'!AE76)</f>
        <v/>
      </c>
      <c r="JK78" s="110" t="str">
        <f>IF('Supp. Result Entry'!AH76="","",'Supp. Result Entry'!AH76)</f>
        <v/>
      </c>
      <c r="JL78" s="110" t="str">
        <f>IF('Supp. Result Entry'!AK76="","",'Supp. Result Entry'!AK76)</f>
        <v/>
      </c>
      <c r="JM78" s="110" t="str">
        <f>IF('Supp. Result Entry'!AN76="","",'Supp. Result Entry'!AN76)</f>
        <v/>
      </c>
      <c r="JN78" s="110">
        <f>COUNTIF('Supp. Result Entry'!K76:Q76,"S")</f>
        <v>0</v>
      </c>
      <c r="JO78" s="110">
        <f t="shared" si="248"/>
        <v>0</v>
      </c>
      <c r="JP78" s="110">
        <f t="shared" si="325"/>
        <v>0</v>
      </c>
      <c r="JQ78" s="110" t="str">
        <f t="shared" si="249"/>
        <v/>
      </c>
      <c r="JR78" s="110" t="str">
        <f t="shared" si="250"/>
        <v/>
      </c>
      <c r="JS78" s="110" t="str">
        <f t="shared" si="251"/>
        <v/>
      </c>
      <c r="JT78" s="110" t="str">
        <f t="shared" si="252"/>
        <v/>
      </c>
      <c r="JU78" s="110" t="str">
        <f t="shared" si="253"/>
        <v/>
      </c>
      <c r="JV78" s="110" t="str">
        <f t="shared" si="254"/>
        <v/>
      </c>
      <c r="JW78" s="110" t="str">
        <f t="shared" si="255"/>
        <v/>
      </c>
      <c r="JX78" s="110" t="str">
        <f t="shared" si="326"/>
        <v/>
      </c>
      <c r="JY78" s="110" t="str">
        <f t="shared" si="327"/>
        <v/>
      </c>
      <c r="JZ78" s="110" t="str">
        <f t="shared" si="256"/>
        <v/>
      </c>
      <c r="KA78" s="108" t="str">
        <f t="shared" si="328"/>
        <v/>
      </c>
    </row>
    <row r="79" spans="1:287" s="108" customFormat="1" ht="21.95" customHeight="1">
      <c r="A79" s="89">
        <v>73</v>
      </c>
      <c r="B79" s="90" t="str">
        <f>IF('Marks Entry'!B79="","",'Marks Entry'!B79)</f>
        <v/>
      </c>
      <c r="C79" s="94" t="str">
        <f>IF('Marks Entry'!D79="","",'Marks Entry'!D79)</f>
        <v/>
      </c>
      <c r="D79" s="91" t="str">
        <f>IF('Marks Entry'!E79="","",'Marks Entry'!E79)</f>
        <v/>
      </c>
      <c r="E79" s="92" t="str">
        <f>IF('Marks Entry'!F79="","",'Marks Entry'!F79)</f>
        <v/>
      </c>
      <c r="F79" s="93" t="str">
        <f>IF('Marks Entry'!G79="","",'Marks Entry'!G79)</f>
        <v/>
      </c>
      <c r="G79" s="93" t="str">
        <f>IF('Marks Entry'!H79="","",'Marks Entry'!H79)</f>
        <v/>
      </c>
      <c r="H79" s="93" t="str">
        <f>IF('Marks Entry'!I79="","",'Marks Entry'!I79)</f>
        <v/>
      </c>
      <c r="I79" s="94" t="str">
        <f>IF('Marks Entry'!J79="","",'Marks Entry'!J79)</f>
        <v/>
      </c>
      <c r="J79" s="95" t="str">
        <f>IF('Marks Entry'!K79="","",'Marks Entry'!K79)</f>
        <v/>
      </c>
      <c r="K79" s="68" t="str">
        <f>IF('Marks Entry'!L79="","",'Marks Entry'!L79)</f>
        <v/>
      </c>
      <c r="L79" s="68" t="str">
        <f>IF('Marks Entry'!M79="","",'Marks Entry'!M79)</f>
        <v/>
      </c>
      <c r="M79" s="68" t="str">
        <f>IF('Marks Entry'!N79="","",'Marks Entry'!N79)</f>
        <v/>
      </c>
      <c r="N79" s="514" t="str">
        <f t="shared" si="257"/>
        <v/>
      </c>
      <c r="O79" s="68" t="str">
        <f>IF('Marks Entry'!O79="","",'Marks Entry'!O79)</f>
        <v/>
      </c>
      <c r="P79" s="515" t="str">
        <f t="shared" si="258"/>
        <v/>
      </c>
      <c r="Q79" s="68" t="str">
        <f>IF('Marks Entry'!P79="","",'Marks Entry'!P79)</f>
        <v/>
      </c>
      <c r="R79" s="96" t="str">
        <f t="shared" si="259"/>
        <v/>
      </c>
      <c r="S79" s="65">
        <f t="shared" si="260"/>
        <v>0</v>
      </c>
      <c r="T79" s="65">
        <f t="shared" si="261"/>
        <v>0</v>
      </c>
      <c r="U79" s="66" t="str">
        <f t="shared" si="171"/>
        <v/>
      </c>
      <c r="V79" s="65" t="str">
        <f t="shared" si="172"/>
        <v/>
      </c>
      <c r="W79" s="65" t="str">
        <f t="shared" si="262"/>
        <v/>
      </c>
      <c r="X79" s="65" t="str">
        <f t="shared" si="173"/>
        <v/>
      </c>
      <c r="Y79" s="68" t="str">
        <f>IF('Marks Entry'!Q79="","",'Marks Entry'!Q79)</f>
        <v/>
      </c>
      <c r="Z79" s="68" t="str">
        <f>IF('Marks Entry'!R79="","",'Marks Entry'!R79)</f>
        <v/>
      </c>
      <c r="AA79" s="68" t="str">
        <f>IF('Marks Entry'!S79="","",'Marks Entry'!S79)</f>
        <v/>
      </c>
      <c r="AB79" s="514" t="str">
        <f t="shared" si="174"/>
        <v/>
      </c>
      <c r="AC79" s="68" t="str">
        <f>IF('Marks Entry'!T79="","",'Marks Entry'!T79)</f>
        <v/>
      </c>
      <c r="AD79" s="515" t="str">
        <f t="shared" si="175"/>
        <v/>
      </c>
      <c r="AE79" s="68" t="str">
        <f>IF('Marks Entry'!U79="","",'Marks Entry'!U79)</f>
        <v/>
      </c>
      <c r="AF79" s="96" t="str">
        <f t="shared" si="176"/>
        <v/>
      </c>
      <c r="AG79" s="65">
        <f t="shared" si="177"/>
        <v>0</v>
      </c>
      <c r="AH79" s="65">
        <f t="shared" si="178"/>
        <v>0</v>
      </c>
      <c r="AI79" s="66" t="str">
        <f t="shared" si="179"/>
        <v/>
      </c>
      <c r="AJ79" s="65" t="str">
        <f t="shared" si="180"/>
        <v/>
      </c>
      <c r="AK79" s="65" t="str">
        <f t="shared" si="181"/>
        <v/>
      </c>
      <c r="AL79" s="65" t="str">
        <f t="shared" si="182"/>
        <v/>
      </c>
      <c r="AM79" s="524" t="str">
        <f>IF('Marks Entry'!V79="","",IF('Marks Entry'!V79=1,'School Profile'!$I$9,IF('Marks Entry'!V79=2,'School Profile'!$I$10,IF('Marks Entry'!V79=3,'School Profile'!$I$11,IF('Marks Entry'!V79=4,'School Profile'!$I$12,IF('Marks Entry'!V79=5,'School Profile'!$I$13,IF('Marks Entry'!V79=6,'School Profile'!$I$14,"")))))))</f>
        <v/>
      </c>
      <c r="AN79" s="68" t="str">
        <f>IF('Marks Entry'!W79="","",'Marks Entry'!W79)</f>
        <v/>
      </c>
      <c r="AO79" s="68" t="str">
        <f>IF('Marks Entry'!X79="","",'Marks Entry'!X79)</f>
        <v/>
      </c>
      <c r="AP79" s="68" t="str">
        <f>IF('Marks Entry'!Y79="","",'Marks Entry'!Y79)</f>
        <v/>
      </c>
      <c r="AQ79" s="514" t="str">
        <f t="shared" si="183"/>
        <v/>
      </c>
      <c r="AR79" s="68" t="str">
        <f>IF('Marks Entry'!Z79="","",'Marks Entry'!Z79)</f>
        <v/>
      </c>
      <c r="AS79" s="515" t="str">
        <f t="shared" si="184"/>
        <v/>
      </c>
      <c r="AT79" s="68" t="str">
        <f>IF('Marks Entry'!AA79="","",'Marks Entry'!AA79)</f>
        <v/>
      </c>
      <c r="AU79" s="96" t="str">
        <f t="shared" si="185"/>
        <v/>
      </c>
      <c r="AV79" s="65">
        <f t="shared" si="186"/>
        <v>0</v>
      </c>
      <c r="AW79" s="65">
        <f t="shared" si="187"/>
        <v>0</v>
      </c>
      <c r="AX79" s="66" t="str">
        <f t="shared" si="188"/>
        <v/>
      </c>
      <c r="AY79" s="65" t="str">
        <f t="shared" si="189"/>
        <v/>
      </c>
      <c r="AZ79" s="65" t="str">
        <f t="shared" si="190"/>
        <v/>
      </c>
      <c r="BA79" s="65" t="str">
        <f t="shared" si="191"/>
        <v/>
      </c>
      <c r="BB79" s="68" t="str">
        <f>IF('Marks Entry'!AB79="","",'Marks Entry'!AB79)</f>
        <v/>
      </c>
      <c r="BC79" s="68" t="str">
        <f>IF('Marks Entry'!AC79="","",'Marks Entry'!AC79)</f>
        <v/>
      </c>
      <c r="BD79" s="68" t="str">
        <f>IF('Marks Entry'!AD79="","",'Marks Entry'!AD79)</f>
        <v/>
      </c>
      <c r="BE79" s="514" t="str">
        <f t="shared" si="192"/>
        <v/>
      </c>
      <c r="BF79" s="68" t="str">
        <f>IF('Marks Entry'!AE79="","",'Marks Entry'!AE79)</f>
        <v/>
      </c>
      <c r="BG79" s="515" t="str">
        <f t="shared" si="193"/>
        <v/>
      </c>
      <c r="BH79" s="68" t="str">
        <f>IF('Marks Entry'!AF79="","",'Marks Entry'!AF79)</f>
        <v/>
      </c>
      <c r="BI79" s="96" t="str">
        <f t="shared" si="194"/>
        <v/>
      </c>
      <c r="BJ79" s="65">
        <f t="shared" si="195"/>
        <v>0</v>
      </c>
      <c r="BK79" s="65">
        <f t="shared" si="263"/>
        <v>0</v>
      </c>
      <c r="BL79" s="66" t="str">
        <f t="shared" si="196"/>
        <v/>
      </c>
      <c r="BM79" s="65" t="str">
        <f t="shared" si="197"/>
        <v/>
      </c>
      <c r="BN79" s="65" t="str">
        <f t="shared" si="198"/>
        <v/>
      </c>
      <c r="BO79" s="65" t="str">
        <f t="shared" si="199"/>
        <v/>
      </c>
      <c r="BP79" s="68" t="str">
        <f>IF('Marks Entry'!AG79="","",'Marks Entry'!AG79)</f>
        <v/>
      </c>
      <c r="BQ79" s="68" t="str">
        <f>IF('Marks Entry'!AH79="","",'Marks Entry'!AH79)</f>
        <v/>
      </c>
      <c r="BR79" s="68" t="str">
        <f>IF('Marks Entry'!AI79="","",'Marks Entry'!AI79)</f>
        <v/>
      </c>
      <c r="BS79" s="514" t="str">
        <f t="shared" si="200"/>
        <v/>
      </c>
      <c r="BT79" s="68" t="str">
        <f>IF('Marks Entry'!AJ79="","",'Marks Entry'!AJ79)</f>
        <v/>
      </c>
      <c r="BU79" s="515" t="str">
        <f t="shared" si="201"/>
        <v/>
      </c>
      <c r="BV79" s="68" t="str">
        <f>IF('Marks Entry'!AK79="","",'Marks Entry'!AK79)</f>
        <v/>
      </c>
      <c r="BW79" s="96" t="str">
        <f t="shared" si="202"/>
        <v/>
      </c>
      <c r="BX79" s="65">
        <f t="shared" si="203"/>
        <v>0</v>
      </c>
      <c r="BY79" s="65">
        <f t="shared" si="204"/>
        <v>0</v>
      </c>
      <c r="BZ79" s="66" t="str">
        <f t="shared" si="205"/>
        <v/>
      </c>
      <c r="CA79" s="65" t="str">
        <f t="shared" si="206"/>
        <v/>
      </c>
      <c r="CB79" s="65" t="str">
        <f t="shared" si="207"/>
        <v/>
      </c>
      <c r="CC79" s="65" t="str">
        <f t="shared" si="208"/>
        <v/>
      </c>
      <c r="CD79" s="66">
        <f t="shared" si="209"/>
        <v>0</v>
      </c>
      <c r="CE79" s="68" t="str">
        <f>IF('Marks Entry'!AL79="","",'Marks Entry'!AL79)</f>
        <v/>
      </c>
      <c r="CF79" s="68" t="str">
        <f>IF('Marks Entry'!AM79="","",'Marks Entry'!AM79)</f>
        <v/>
      </c>
      <c r="CG79" s="68" t="str">
        <f>IF('Marks Entry'!AN79="","",'Marks Entry'!AN79)</f>
        <v/>
      </c>
      <c r="CH79" s="514" t="str">
        <f t="shared" si="210"/>
        <v/>
      </c>
      <c r="CI79" s="68" t="str">
        <f>IF('Marks Entry'!AO79="","",'Marks Entry'!AO79)</f>
        <v/>
      </c>
      <c r="CJ79" s="515" t="str">
        <f t="shared" si="211"/>
        <v/>
      </c>
      <c r="CK79" s="68" t="str">
        <f>IF('Marks Entry'!AP79="","",'Marks Entry'!AP79)</f>
        <v/>
      </c>
      <c r="CL79" s="96" t="str">
        <f t="shared" si="212"/>
        <v/>
      </c>
      <c r="CM79" s="65">
        <f t="shared" si="213"/>
        <v>0</v>
      </c>
      <c r="CN79" s="65">
        <f t="shared" si="214"/>
        <v>0</v>
      </c>
      <c r="CO79" s="66" t="str">
        <f t="shared" si="215"/>
        <v/>
      </c>
      <c r="CP79" s="65" t="str">
        <f t="shared" si="216"/>
        <v/>
      </c>
      <c r="CQ79" s="65" t="str">
        <f t="shared" si="217"/>
        <v/>
      </c>
      <c r="CR79" s="65" t="str">
        <f t="shared" si="218"/>
        <v/>
      </c>
      <c r="CS79" s="616" t="str">
        <f>IF('School Profile'!$D$20="NO","",IF('Marks Entry'!AQ79="","",IF('Marks Entry'!AQ79=1,'School Profile'!$I$29,IF('Marks Entry'!AQ79=2,'School Profile'!$I$30,IF('Marks Entry'!AQ79=3,'School Profile'!$I$31,IF('Marks Entry'!AQ79=4,'School Profile'!$I$32,IF('Marks Entry'!AQ79=5,'School Profile'!$I$33,IF('Marks Entry'!AQ79=6,'School Profile'!$I$34,IF('Marks Entry'!AQ79=7,'School Profile'!$I$35,IF('Marks Entry'!AQ79=8,'School Profile'!$I$36,IF('Marks Entry'!AQ79=9,'School Profile'!$I$37,IF('Marks Entry'!AQ79=10,'School Profile'!$I$38,IF('Marks Entry'!AQ79=11,'School Profile'!$I$39,"")))))))))))))</f>
        <v/>
      </c>
      <c r="CT79" s="68" t="str">
        <f>IF('School Profile'!$D$20="NO","",IF('Marks Entry'!AR79="","",'Marks Entry'!AR79))</f>
        <v/>
      </c>
      <c r="CU79" s="68" t="str">
        <f>IF('School Profile'!$D$20="NO","",IF('Marks Entry'!AS79="","",'Marks Entry'!AS79))</f>
        <v/>
      </c>
      <c r="CV79" s="68" t="str">
        <f>IF('School Profile'!$D$20="NO","",IF('Marks Entry'!AT79="","",'Marks Entry'!AT79))</f>
        <v/>
      </c>
      <c r="CW79" s="514" t="str">
        <f>IF('School Profile'!$D$20="NO","",IF(AND(CT79="",CU79="",CV79=""),"",SUM(CT79:CV79)))</f>
        <v/>
      </c>
      <c r="CX79" s="68" t="str">
        <f>IF('School Profile'!$D$20="NO","",IF('Marks Entry'!AU79="","",'Marks Entry'!AU79))</f>
        <v/>
      </c>
      <c r="CY79" s="68" t="str">
        <f>IF('School Profile'!$D$20="NO","",IF('Marks Entry'!AV79="","",'Marks Entry'!AV79))</f>
        <v/>
      </c>
      <c r="CZ79" s="515" t="str">
        <f>IF('School Profile'!$D$20="NO","",IF(AND(CX79="",CY79=""),"",SUM(CX79,CY79)))</f>
        <v/>
      </c>
      <c r="DA79" s="69" t="str">
        <f>IF('School Profile'!$D$20="NO","",IF(AND(CW79="",CZ79=""),"",SUM(CW79+CZ79)))</f>
        <v/>
      </c>
      <c r="DB79" s="68" t="str">
        <f>IF('School Profile'!$D$20="NO","",IF('Marks Entry'!AW79="","",'Marks Entry'!AW79))</f>
        <v/>
      </c>
      <c r="DC79" s="68" t="str">
        <f>IF('School Profile'!$D$20="NO","",IF('Marks Entry'!AX79="","",'Marks Entry'!AX79))</f>
        <v/>
      </c>
      <c r="DD79" s="515" t="str">
        <f>IF('School Profile'!$D$20="NO","",IF(AND(DB79="",DC79=""),"",SUM(DB79,DC79)))</f>
        <v/>
      </c>
      <c r="DE79" s="96" t="str">
        <f>IF('School Profile'!$D$20="NO","",IF(AND(DA79="",DD79=""),"",SUM(DA79,DD79)))</f>
        <v/>
      </c>
      <c r="DF79" s="532">
        <f t="shared" si="219"/>
        <v>0</v>
      </c>
      <c r="DG79" s="65">
        <f t="shared" si="220"/>
        <v>0</v>
      </c>
      <c r="DH79" s="66" t="str">
        <f t="shared" si="221"/>
        <v/>
      </c>
      <c r="DI79" s="65" t="str">
        <f t="shared" si="222"/>
        <v/>
      </c>
      <c r="DJ79" s="65" t="str">
        <f t="shared" si="223"/>
        <v/>
      </c>
      <c r="DK79" s="65" t="str">
        <f t="shared" si="224"/>
        <v/>
      </c>
      <c r="DL79" s="97" t="str">
        <f t="shared" si="264"/>
        <v/>
      </c>
      <c r="DM79" s="97" t="str">
        <f t="shared" si="265"/>
        <v/>
      </c>
      <c r="DN79" s="97" t="str">
        <f t="shared" si="266"/>
        <v/>
      </c>
      <c r="DO79" s="97" t="str">
        <f t="shared" si="267"/>
        <v/>
      </c>
      <c r="DP79" s="97" t="str">
        <f t="shared" si="268"/>
        <v/>
      </c>
      <c r="DQ79" s="97" t="str">
        <f t="shared" si="269"/>
        <v/>
      </c>
      <c r="DR79" s="97" t="str">
        <f t="shared" si="270"/>
        <v/>
      </c>
      <c r="DS79" s="98">
        <f t="shared" si="271"/>
        <v>0</v>
      </c>
      <c r="DT79" s="98">
        <f t="shared" si="272"/>
        <v>0</v>
      </c>
      <c r="DU79" s="98">
        <f t="shared" si="273"/>
        <v>0</v>
      </c>
      <c r="DV79" s="98">
        <f t="shared" si="274"/>
        <v>0</v>
      </c>
      <c r="DW79" s="98">
        <f t="shared" si="275"/>
        <v>0</v>
      </c>
      <c r="DX79" s="98" t="str">
        <f t="shared" si="276"/>
        <v/>
      </c>
      <c r="DY79" s="99" t="str">
        <f t="shared" si="277"/>
        <v/>
      </c>
      <c r="DZ79" s="74" t="str">
        <f>IF('Marks Entry'!AY79="","",'Marks Entry'!AY79)</f>
        <v/>
      </c>
      <c r="EA79" s="74" t="str">
        <f>IF('Marks Entry'!AZ79="","",'Marks Entry'!AZ79)</f>
        <v/>
      </c>
      <c r="EB79" s="74" t="str">
        <f>IF('Marks Entry'!BA79="","",'Marks Entry'!BA79)</f>
        <v/>
      </c>
      <c r="EC79" s="527" t="str">
        <f t="shared" si="225"/>
        <v/>
      </c>
      <c r="ED79" s="74" t="str">
        <f>IF('Marks Entry'!BB79="","",'Marks Entry'!BB79)</f>
        <v/>
      </c>
      <c r="EE79" s="528" t="str">
        <f t="shared" si="226"/>
        <v/>
      </c>
      <c r="EF79" s="74" t="str">
        <f>IF('Marks Entry'!BC79="","",'Marks Entry'!BC79)</f>
        <v/>
      </c>
      <c r="EG79" s="530" t="str">
        <f t="shared" si="227"/>
        <v/>
      </c>
      <c r="EH79" s="368" t="str">
        <f t="shared" si="278"/>
        <v/>
      </c>
      <c r="EI79" s="65">
        <f t="shared" si="279"/>
        <v>0</v>
      </c>
      <c r="EJ79" s="65">
        <f t="shared" si="280"/>
        <v>0</v>
      </c>
      <c r="EK79" s="66" t="str">
        <f t="shared" si="281"/>
        <v/>
      </c>
      <c r="EL79" s="74" t="str">
        <f>IF('Marks Entry'!BD79="","",'Marks Entry'!BD79)</f>
        <v/>
      </c>
      <c r="EM79" s="74" t="str">
        <f>IF('Marks Entry'!BE79="","",'Marks Entry'!BE79)</f>
        <v/>
      </c>
      <c r="EN79" s="74" t="str">
        <f>IF('Marks Entry'!BF79="","",'Marks Entry'!BF79)</f>
        <v/>
      </c>
      <c r="EO79" s="527" t="str">
        <f t="shared" si="228"/>
        <v/>
      </c>
      <c r="EP79" s="74" t="str">
        <f>IF('Marks Entry'!BG79="","",'Marks Entry'!BG79)</f>
        <v/>
      </c>
      <c r="EQ79" s="74" t="str">
        <f>IF('Marks Entry'!BH79="","",'Marks Entry'!BH79)</f>
        <v/>
      </c>
      <c r="ER79" s="528" t="str">
        <f t="shared" si="229"/>
        <v/>
      </c>
      <c r="ES79" s="529" t="str">
        <f t="shared" si="230"/>
        <v/>
      </c>
      <c r="ET79" s="74" t="str">
        <f>IF('Marks Entry'!BI79="","",'Marks Entry'!BI79)</f>
        <v/>
      </c>
      <c r="EU79" s="74" t="str">
        <f>IF('Marks Entry'!BJ79="","",'Marks Entry'!BJ79)</f>
        <v/>
      </c>
      <c r="EV79" s="528" t="str">
        <f t="shared" si="231"/>
        <v/>
      </c>
      <c r="EW79" s="530" t="str">
        <f t="shared" si="232"/>
        <v/>
      </c>
      <c r="EX79" s="368" t="str">
        <f t="shared" si="282"/>
        <v/>
      </c>
      <c r="EY79" s="65">
        <f t="shared" si="283"/>
        <v>0</v>
      </c>
      <c r="EZ79" s="65">
        <f t="shared" si="284"/>
        <v>0</v>
      </c>
      <c r="FA79" s="66" t="str">
        <f t="shared" si="285"/>
        <v/>
      </c>
      <c r="FB79" s="74" t="str">
        <f>IF('Marks Entry'!BK79="","",'Marks Entry'!BK79)</f>
        <v/>
      </c>
      <c r="FC79" s="74" t="str">
        <f>IF('Marks Entry'!BL79="","",'Marks Entry'!BL79)</f>
        <v/>
      </c>
      <c r="FD79" s="74" t="str">
        <f>IF('Marks Entry'!BM79="","",'Marks Entry'!BM79)</f>
        <v/>
      </c>
      <c r="FE79" s="74" t="str">
        <f>IF('Marks Entry'!BN79="","",'Marks Entry'!BN79)</f>
        <v/>
      </c>
      <c r="FF79" s="74" t="str">
        <f>IF('Marks Entry'!BO79="","",'Marks Entry'!BO79)</f>
        <v/>
      </c>
      <c r="FG79" s="74" t="str">
        <f>IF('Marks Entry'!BP79="","",'Marks Entry'!BP79)</f>
        <v/>
      </c>
      <c r="FH79" s="527" t="str">
        <f t="shared" si="233"/>
        <v/>
      </c>
      <c r="FI79" s="74" t="str">
        <f>IF('Marks Entry'!BQ79="","",'Marks Entry'!BQ79)</f>
        <v/>
      </c>
      <c r="FJ79" s="74" t="str">
        <f>IF('Marks Entry'!BR79="","",'Marks Entry'!BR79)</f>
        <v/>
      </c>
      <c r="FK79" s="528" t="str">
        <f t="shared" si="234"/>
        <v/>
      </c>
      <c r="FL79" s="529" t="str">
        <f t="shared" si="235"/>
        <v/>
      </c>
      <c r="FM79" s="74" t="str">
        <f>IF('Marks Entry'!BS79="","",'Marks Entry'!BS79)</f>
        <v/>
      </c>
      <c r="FN79" s="74" t="str">
        <f>IF('Marks Entry'!BT79="","",'Marks Entry'!BT79)</f>
        <v/>
      </c>
      <c r="FO79" s="528" t="str">
        <f t="shared" si="236"/>
        <v/>
      </c>
      <c r="FP79" s="530" t="str">
        <f t="shared" si="237"/>
        <v/>
      </c>
      <c r="FQ79" s="368" t="str">
        <f t="shared" si="286"/>
        <v/>
      </c>
      <c r="FR79" s="65">
        <f t="shared" si="287"/>
        <v>0</v>
      </c>
      <c r="FS79" s="65">
        <f t="shared" si="288"/>
        <v>0</v>
      </c>
      <c r="FT79" s="66" t="str">
        <f t="shared" si="289"/>
        <v/>
      </c>
      <c r="FU79" s="74" t="str">
        <f>IF('Marks Entry'!BU79="","",'Marks Entry'!BU79)</f>
        <v/>
      </c>
      <c r="FV79" s="74" t="str">
        <f>IF('Marks Entry'!BV79="","",'Marks Entry'!BV79)</f>
        <v/>
      </c>
      <c r="FW79" s="74" t="str">
        <f>IF('Marks Entry'!BW79="","",'Marks Entry'!BW79)</f>
        <v/>
      </c>
      <c r="FX79" s="75" t="str">
        <f t="shared" si="238"/>
        <v/>
      </c>
      <c r="FY79" s="368" t="str">
        <f t="shared" si="290"/>
        <v/>
      </c>
      <c r="FZ79" s="65">
        <f t="shared" si="291"/>
        <v>0</v>
      </c>
      <c r="GA79" s="66">
        <f t="shared" si="292"/>
        <v>0</v>
      </c>
      <c r="GB79" s="66" t="str">
        <f t="shared" si="293"/>
        <v/>
      </c>
      <c r="GC79" s="74" t="str">
        <f>IF('Marks Entry'!BX79="","",'Marks Entry'!BX79)</f>
        <v/>
      </c>
      <c r="GD79" s="74" t="str">
        <f>IF('Marks Entry'!BY79="","",'Marks Entry'!BY79)</f>
        <v/>
      </c>
      <c r="GE79" s="74" t="str">
        <f>IF('Marks Entry'!BZ79="","",'Marks Entry'!BZ79)</f>
        <v/>
      </c>
      <c r="GF79" s="75" t="str">
        <f t="shared" si="294"/>
        <v/>
      </c>
      <c r="GG79" s="368" t="str">
        <f t="shared" si="295"/>
        <v/>
      </c>
      <c r="GH79" s="65">
        <f t="shared" si="296"/>
        <v>0</v>
      </c>
      <c r="GI79" s="66">
        <f t="shared" si="297"/>
        <v>0</v>
      </c>
      <c r="GJ79" s="66" t="str">
        <f t="shared" si="298"/>
        <v/>
      </c>
      <c r="GK79" s="100" t="str">
        <f>IF(AND(F79="",B79=""),"",IF('Student DATA Entry'!M76="","",'Student DATA Entry'!M76))</f>
        <v/>
      </c>
      <c r="GL79" s="101" t="str">
        <f>IF(AND(B79="",F79=""),"",IF('Student DATA Entry'!N76="","",'Student DATA Entry'!N76))</f>
        <v/>
      </c>
      <c r="GM79" s="581" t="str">
        <f t="shared" si="299"/>
        <v/>
      </c>
      <c r="GN79" s="94" t="str">
        <f t="shared" si="300"/>
        <v/>
      </c>
      <c r="GO79" s="94" t="str">
        <f t="shared" si="301"/>
        <v/>
      </c>
      <c r="GP79" s="102" t="str">
        <f t="shared" si="239"/>
        <v/>
      </c>
      <c r="GQ79" s="94" t="str">
        <f t="shared" si="302"/>
        <v/>
      </c>
      <c r="GR79" s="103" t="str">
        <f t="shared" si="303"/>
        <v/>
      </c>
      <c r="GS79" s="102" t="str">
        <f t="shared" si="240"/>
        <v/>
      </c>
      <c r="GT79" s="104" t="str">
        <f t="shared" si="304"/>
        <v/>
      </c>
      <c r="GU79" s="94" t="str">
        <f>IF('Marks Entry'!V79=1,GT79,"")</f>
        <v/>
      </c>
      <c r="GV79" s="94" t="str">
        <f>IF('Marks Entry'!V79=2,GT79,"")</f>
        <v/>
      </c>
      <c r="GW79" s="94" t="str">
        <f>IF('Marks Entry'!V79=3,GT79,"")</f>
        <v/>
      </c>
      <c r="GX79" s="94" t="str">
        <f>IF('Marks Entry'!V79=4,GT79,"")</f>
        <v/>
      </c>
      <c r="GY79" s="94" t="str">
        <f>IF('Marks Entry'!V79=5,GT79,"")</f>
        <v/>
      </c>
      <c r="GZ79" s="94" t="str">
        <f t="shared" si="305"/>
        <v/>
      </c>
      <c r="HA79" s="105" t="str">
        <f t="shared" si="241"/>
        <v/>
      </c>
      <c r="HB79" s="94" t="str">
        <f t="shared" si="306"/>
        <v/>
      </c>
      <c r="HC79" s="94" t="str">
        <f t="shared" si="307"/>
        <v/>
      </c>
      <c r="HD79" s="105" t="str">
        <f t="shared" si="242"/>
        <v/>
      </c>
      <c r="HE79" s="94" t="str">
        <f t="shared" si="308"/>
        <v/>
      </c>
      <c r="HF79" s="94" t="str">
        <f t="shared" si="309"/>
        <v/>
      </c>
      <c r="HG79" s="105" t="str">
        <f t="shared" si="243"/>
        <v/>
      </c>
      <c r="HH79" s="94" t="str">
        <f t="shared" si="310"/>
        <v/>
      </c>
      <c r="HI79" s="94" t="str">
        <f t="shared" si="311"/>
        <v/>
      </c>
      <c r="HJ79" s="105" t="str">
        <f t="shared" si="244"/>
        <v/>
      </c>
      <c r="HK79" s="94" t="str">
        <f t="shared" si="312"/>
        <v/>
      </c>
      <c r="HL79" s="94" t="str">
        <f t="shared" si="313"/>
        <v/>
      </c>
      <c r="HM79" s="105" t="str">
        <f t="shared" si="245"/>
        <v/>
      </c>
      <c r="HN79" s="367" t="str">
        <f t="shared" si="314"/>
        <v xml:space="preserve">      </v>
      </c>
      <c r="HO79" s="418" t="str">
        <f t="shared" si="246"/>
        <v xml:space="preserve">      </v>
      </c>
      <c r="HP79" s="367" t="str">
        <f t="shared" si="315"/>
        <v xml:space="preserve">      </v>
      </c>
      <c r="HQ79" s="107" t="str">
        <f t="shared" si="316"/>
        <v xml:space="preserve">      </v>
      </c>
      <c r="HR79" s="366" t="str">
        <f t="shared" si="317"/>
        <v xml:space="preserve">      </v>
      </c>
      <c r="HS79" s="544" t="str">
        <f t="shared" si="247"/>
        <v/>
      </c>
      <c r="HT79" s="542" t="str">
        <f t="shared" si="318"/>
        <v/>
      </c>
      <c r="HU79" s="541" t="str">
        <f t="shared" si="319"/>
        <v/>
      </c>
      <c r="HV79" s="540" t="str">
        <f t="shared" si="320"/>
        <v/>
      </c>
      <c r="HW79" s="537" t="str">
        <f t="shared" si="321"/>
        <v/>
      </c>
      <c r="HX79" s="539" t="str">
        <f t="shared" si="322"/>
        <v/>
      </c>
      <c r="HY79" s="553" t="str">
        <f>IFERROR(IF(OR(HS79="SUPPLEMENTARY",HS79="RE-EXAM"),'Supp. Result Entry'!AQ77,""),"")</f>
        <v/>
      </c>
      <c r="HZ79" s="538" t="str">
        <f t="shared" si="323"/>
        <v/>
      </c>
      <c r="IA79" s="415" t="str">
        <f t="shared" si="324"/>
        <v/>
      </c>
      <c r="IB79" s="415" t="str">
        <f>IF(AND(HZ79="",IA79=""),"",IF(OR(HS79="SUPPLEMENTARY",HS79="RE-EXAM"),'Supp. Result Entry'!AQ77,HS79))</f>
        <v/>
      </c>
      <c r="IC79" s="87"/>
      <c r="IS79" s="109" t="str">
        <f>IF('Supp. Result Entry'!T77="","",'Supp. Result Entry'!$T$4)</f>
        <v/>
      </c>
      <c r="IT79" s="110" t="str">
        <f>IF('Supp. Result Entry'!W77="","",'Supp. Result Entry'!$W$4)</f>
        <v/>
      </c>
      <c r="IU79" s="110" t="str">
        <f>IF('Supp. Result Entry'!Z77="","",'Supp. Result Entry'!$Z$4)</f>
        <v/>
      </c>
      <c r="IV79" s="110" t="str">
        <f>IF('Supp. Result Entry'!AC77="","",'Supp. Result Entry'!$AC$4)</f>
        <v/>
      </c>
      <c r="IW79" s="110" t="str">
        <f>IF('Supp. Result Entry'!AF77="","",'Supp. Result Entry'!$AF$4)</f>
        <v/>
      </c>
      <c r="IX79" s="110" t="str">
        <f>IF('Supp. Result Entry'!AI77="","",'Supp. Result Entry'!$AI$4)</f>
        <v/>
      </c>
      <c r="IY79" s="110" t="str">
        <f>IF('Supp. Result Entry'!AI77="","",'Supp. Result Entry'!$AL$4)</f>
        <v/>
      </c>
      <c r="IZ79" s="110" t="str">
        <f>IF('Supp. Result Entry'!U77="","",'Supp. Result Entry'!U77)</f>
        <v/>
      </c>
      <c r="JA79" s="110" t="str">
        <f>IF('Supp. Result Entry'!X77="","",'Supp. Result Entry'!X77)</f>
        <v/>
      </c>
      <c r="JB79" s="110" t="str">
        <f>IF('Supp. Result Entry'!AA77="","",'Supp. Result Entry'!AA77)</f>
        <v/>
      </c>
      <c r="JC79" s="110" t="str">
        <f>IF('Supp. Result Entry'!AD77="","",'Supp. Result Entry'!AD77)</f>
        <v/>
      </c>
      <c r="JD79" s="110" t="str">
        <f>IF('Supp. Result Entry'!AG77="","",'Supp. Result Entry'!AG77)</f>
        <v/>
      </c>
      <c r="JE79" s="110" t="str">
        <f>IF('Supp. Result Entry'!AJ77="","",'Supp. Result Entry'!AJ77)</f>
        <v/>
      </c>
      <c r="JF79" s="110" t="str">
        <f>IF('Supp. Result Entry'!AM77="","",'Supp. Result Entry'!AM77)</f>
        <v/>
      </c>
      <c r="JG79" s="110" t="str">
        <f>IF('Supp. Result Entry'!V77="","",'Supp. Result Entry'!V77)</f>
        <v/>
      </c>
      <c r="JH79" s="110" t="str">
        <f>IF('Supp. Result Entry'!Y77="","",'Supp. Result Entry'!Y77)</f>
        <v/>
      </c>
      <c r="JI79" s="110" t="str">
        <f>IF('Supp. Result Entry'!AB77="","",'Supp. Result Entry'!AB77)</f>
        <v/>
      </c>
      <c r="JJ79" s="110" t="str">
        <f>IF('Supp. Result Entry'!AE77="","",'Supp. Result Entry'!AE77)</f>
        <v/>
      </c>
      <c r="JK79" s="110" t="str">
        <f>IF('Supp. Result Entry'!AH77="","",'Supp. Result Entry'!AH77)</f>
        <v/>
      </c>
      <c r="JL79" s="110" t="str">
        <f>IF('Supp. Result Entry'!AK77="","",'Supp. Result Entry'!AK77)</f>
        <v/>
      </c>
      <c r="JM79" s="110" t="str">
        <f>IF('Supp. Result Entry'!AN77="","",'Supp. Result Entry'!AN77)</f>
        <v/>
      </c>
      <c r="JN79" s="110">
        <f>COUNTIF('Supp. Result Entry'!K77:Q77,"S")</f>
        <v>0</v>
      </c>
      <c r="JO79" s="110">
        <f t="shared" si="248"/>
        <v>0</v>
      </c>
      <c r="JP79" s="110">
        <f t="shared" si="325"/>
        <v>0</v>
      </c>
      <c r="JQ79" s="110" t="str">
        <f t="shared" si="249"/>
        <v/>
      </c>
      <c r="JR79" s="110" t="str">
        <f t="shared" si="250"/>
        <v/>
      </c>
      <c r="JS79" s="110" t="str">
        <f t="shared" si="251"/>
        <v/>
      </c>
      <c r="JT79" s="110" t="str">
        <f t="shared" si="252"/>
        <v/>
      </c>
      <c r="JU79" s="110" t="str">
        <f t="shared" si="253"/>
        <v/>
      </c>
      <c r="JV79" s="110" t="str">
        <f t="shared" si="254"/>
        <v/>
      </c>
      <c r="JW79" s="110" t="str">
        <f t="shared" si="255"/>
        <v/>
      </c>
      <c r="JX79" s="110" t="str">
        <f t="shared" si="326"/>
        <v/>
      </c>
      <c r="JY79" s="110" t="str">
        <f t="shared" si="327"/>
        <v/>
      </c>
      <c r="JZ79" s="110" t="str">
        <f t="shared" si="256"/>
        <v/>
      </c>
      <c r="KA79" s="108" t="str">
        <f t="shared" si="328"/>
        <v/>
      </c>
    </row>
    <row r="80" spans="1:287" s="108" customFormat="1" ht="21.95" customHeight="1">
      <c r="A80" s="89">
        <v>74</v>
      </c>
      <c r="B80" s="90" t="str">
        <f>IF('Marks Entry'!B80="","",'Marks Entry'!B80)</f>
        <v/>
      </c>
      <c r="C80" s="94" t="str">
        <f>IF('Marks Entry'!D80="","",'Marks Entry'!D80)</f>
        <v/>
      </c>
      <c r="D80" s="91" t="str">
        <f>IF('Marks Entry'!E80="","",'Marks Entry'!E80)</f>
        <v/>
      </c>
      <c r="E80" s="92" t="str">
        <f>IF('Marks Entry'!F80="","",'Marks Entry'!F80)</f>
        <v/>
      </c>
      <c r="F80" s="93" t="str">
        <f>IF('Marks Entry'!G80="","",'Marks Entry'!G80)</f>
        <v/>
      </c>
      <c r="G80" s="93" t="str">
        <f>IF('Marks Entry'!H80="","",'Marks Entry'!H80)</f>
        <v/>
      </c>
      <c r="H80" s="93" t="str">
        <f>IF('Marks Entry'!I80="","",'Marks Entry'!I80)</f>
        <v/>
      </c>
      <c r="I80" s="94" t="str">
        <f>IF('Marks Entry'!J80="","",'Marks Entry'!J80)</f>
        <v/>
      </c>
      <c r="J80" s="95" t="str">
        <f>IF('Marks Entry'!K80="","",'Marks Entry'!K80)</f>
        <v/>
      </c>
      <c r="K80" s="68" t="str">
        <f>IF('Marks Entry'!L80="","",'Marks Entry'!L80)</f>
        <v/>
      </c>
      <c r="L80" s="68" t="str">
        <f>IF('Marks Entry'!M80="","",'Marks Entry'!M80)</f>
        <v/>
      </c>
      <c r="M80" s="68" t="str">
        <f>IF('Marks Entry'!N80="","",'Marks Entry'!N80)</f>
        <v/>
      </c>
      <c r="N80" s="514" t="str">
        <f t="shared" si="257"/>
        <v/>
      </c>
      <c r="O80" s="68" t="str">
        <f>IF('Marks Entry'!O80="","",'Marks Entry'!O80)</f>
        <v/>
      </c>
      <c r="P80" s="515" t="str">
        <f t="shared" si="258"/>
        <v/>
      </c>
      <c r="Q80" s="68" t="str">
        <f>IF('Marks Entry'!P80="","",'Marks Entry'!P80)</f>
        <v/>
      </c>
      <c r="R80" s="96" t="str">
        <f t="shared" si="259"/>
        <v/>
      </c>
      <c r="S80" s="65">
        <f t="shared" si="260"/>
        <v>0</v>
      </c>
      <c r="T80" s="65">
        <f t="shared" si="261"/>
        <v>0</v>
      </c>
      <c r="U80" s="66" t="str">
        <f t="shared" si="171"/>
        <v/>
      </c>
      <c r="V80" s="65" t="str">
        <f t="shared" si="172"/>
        <v/>
      </c>
      <c r="W80" s="65" t="str">
        <f t="shared" si="262"/>
        <v/>
      </c>
      <c r="X80" s="65" t="str">
        <f t="shared" si="173"/>
        <v/>
      </c>
      <c r="Y80" s="68" t="str">
        <f>IF('Marks Entry'!Q80="","",'Marks Entry'!Q80)</f>
        <v/>
      </c>
      <c r="Z80" s="68" t="str">
        <f>IF('Marks Entry'!R80="","",'Marks Entry'!R80)</f>
        <v/>
      </c>
      <c r="AA80" s="68" t="str">
        <f>IF('Marks Entry'!S80="","",'Marks Entry'!S80)</f>
        <v/>
      </c>
      <c r="AB80" s="514" t="str">
        <f t="shared" si="174"/>
        <v/>
      </c>
      <c r="AC80" s="68" t="str">
        <f>IF('Marks Entry'!T80="","",'Marks Entry'!T80)</f>
        <v/>
      </c>
      <c r="AD80" s="515" t="str">
        <f t="shared" si="175"/>
        <v/>
      </c>
      <c r="AE80" s="68" t="str">
        <f>IF('Marks Entry'!U80="","",'Marks Entry'!U80)</f>
        <v/>
      </c>
      <c r="AF80" s="96" t="str">
        <f t="shared" si="176"/>
        <v/>
      </c>
      <c r="AG80" s="65">
        <f t="shared" si="177"/>
        <v>0</v>
      </c>
      <c r="AH80" s="65">
        <f t="shared" si="178"/>
        <v>0</v>
      </c>
      <c r="AI80" s="66" t="str">
        <f t="shared" si="179"/>
        <v/>
      </c>
      <c r="AJ80" s="65" t="str">
        <f t="shared" si="180"/>
        <v/>
      </c>
      <c r="AK80" s="65" t="str">
        <f t="shared" si="181"/>
        <v/>
      </c>
      <c r="AL80" s="65" t="str">
        <f t="shared" si="182"/>
        <v/>
      </c>
      <c r="AM80" s="524" t="str">
        <f>IF('Marks Entry'!V80="","",IF('Marks Entry'!V80=1,'School Profile'!$I$9,IF('Marks Entry'!V80=2,'School Profile'!$I$10,IF('Marks Entry'!V80=3,'School Profile'!$I$11,IF('Marks Entry'!V80=4,'School Profile'!$I$12,IF('Marks Entry'!V80=5,'School Profile'!$I$13,IF('Marks Entry'!V80=6,'School Profile'!$I$14,"")))))))</f>
        <v/>
      </c>
      <c r="AN80" s="68" t="str">
        <f>IF('Marks Entry'!W80="","",'Marks Entry'!W80)</f>
        <v/>
      </c>
      <c r="AO80" s="68" t="str">
        <f>IF('Marks Entry'!X80="","",'Marks Entry'!X80)</f>
        <v/>
      </c>
      <c r="AP80" s="68" t="str">
        <f>IF('Marks Entry'!Y80="","",'Marks Entry'!Y80)</f>
        <v/>
      </c>
      <c r="AQ80" s="514" t="str">
        <f t="shared" si="183"/>
        <v/>
      </c>
      <c r="AR80" s="68" t="str">
        <f>IF('Marks Entry'!Z80="","",'Marks Entry'!Z80)</f>
        <v/>
      </c>
      <c r="AS80" s="515" t="str">
        <f t="shared" si="184"/>
        <v/>
      </c>
      <c r="AT80" s="68" t="str">
        <f>IF('Marks Entry'!AA80="","",'Marks Entry'!AA80)</f>
        <v/>
      </c>
      <c r="AU80" s="96" t="str">
        <f t="shared" si="185"/>
        <v/>
      </c>
      <c r="AV80" s="65">
        <f t="shared" si="186"/>
        <v>0</v>
      </c>
      <c r="AW80" s="65">
        <f t="shared" si="187"/>
        <v>0</v>
      </c>
      <c r="AX80" s="66" t="str">
        <f t="shared" si="188"/>
        <v/>
      </c>
      <c r="AY80" s="65" t="str">
        <f t="shared" si="189"/>
        <v/>
      </c>
      <c r="AZ80" s="65" t="str">
        <f t="shared" si="190"/>
        <v/>
      </c>
      <c r="BA80" s="65" t="str">
        <f t="shared" si="191"/>
        <v/>
      </c>
      <c r="BB80" s="68" t="str">
        <f>IF('Marks Entry'!AB80="","",'Marks Entry'!AB80)</f>
        <v/>
      </c>
      <c r="BC80" s="68" t="str">
        <f>IF('Marks Entry'!AC80="","",'Marks Entry'!AC80)</f>
        <v/>
      </c>
      <c r="BD80" s="68" t="str">
        <f>IF('Marks Entry'!AD80="","",'Marks Entry'!AD80)</f>
        <v/>
      </c>
      <c r="BE80" s="514" t="str">
        <f t="shared" si="192"/>
        <v/>
      </c>
      <c r="BF80" s="68" t="str">
        <f>IF('Marks Entry'!AE80="","",'Marks Entry'!AE80)</f>
        <v/>
      </c>
      <c r="BG80" s="515" t="str">
        <f t="shared" si="193"/>
        <v/>
      </c>
      <c r="BH80" s="68" t="str">
        <f>IF('Marks Entry'!AF80="","",'Marks Entry'!AF80)</f>
        <v/>
      </c>
      <c r="BI80" s="96" t="str">
        <f t="shared" si="194"/>
        <v/>
      </c>
      <c r="BJ80" s="65">
        <f t="shared" si="195"/>
        <v>0</v>
      </c>
      <c r="BK80" s="65">
        <f t="shared" si="263"/>
        <v>0</v>
      </c>
      <c r="BL80" s="66" t="str">
        <f t="shared" si="196"/>
        <v/>
      </c>
      <c r="BM80" s="65" t="str">
        <f t="shared" si="197"/>
        <v/>
      </c>
      <c r="BN80" s="65" t="str">
        <f t="shared" si="198"/>
        <v/>
      </c>
      <c r="BO80" s="65" t="str">
        <f t="shared" si="199"/>
        <v/>
      </c>
      <c r="BP80" s="68" t="str">
        <f>IF('Marks Entry'!AG80="","",'Marks Entry'!AG80)</f>
        <v/>
      </c>
      <c r="BQ80" s="68" t="str">
        <f>IF('Marks Entry'!AH80="","",'Marks Entry'!AH80)</f>
        <v/>
      </c>
      <c r="BR80" s="68" t="str">
        <f>IF('Marks Entry'!AI80="","",'Marks Entry'!AI80)</f>
        <v/>
      </c>
      <c r="BS80" s="514" t="str">
        <f t="shared" si="200"/>
        <v/>
      </c>
      <c r="BT80" s="68" t="str">
        <f>IF('Marks Entry'!AJ80="","",'Marks Entry'!AJ80)</f>
        <v/>
      </c>
      <c r="BU80" s="515" t="str">
        <f t="shared" si="201"/>
        <v/>
      </c>
      <c r="BV80" s="68" t="str">
        <f>IF('Marks Entry'!AK80="","",'Marks Entry'!AK80)</f>
        <v/>
      </c>
      <c r="BW80" s="96" t="str">
        <f t="shared" si="202"/>
        <v/>
      </c>
      <c r="BX80" s="65">
        <f t="shared" si="203"/>
        <v>0</v>
      </c>
      <c r="BY80" s="65">
        <f t="shared" si="204"/>
        <v>0</v>
      </c>
      <c r="BZ80" s="66" t="str">
        <f t="shared" si="205"/>
        <v/>
      </c>
      <c r="CA80" s="65" t="str">
        <f t="shared" si="206"/>
        <v/>
      </c>
      <c r="CB80" s="65" t="str">
        <f t="shared" si="207"/>
        <v/>
      </c>
      <c r="CC80" s="65" t="str">
        <f t="shared" si="208"/>
        <v/>
      </c>
      <c r="CD80" s="66">
        <f t="shared" si="209"/>
        <v>0</v>
      </c>
      <c r="CE80" s="68" t="str">
        <f>IF('Marks Entry'!AL80="","",'Marks Entry'!AL80)</f>
        <v/>
      </c>
      <c r="CF80" s="68" t="str">
        <f>IF('Marks Entry'!AM80="","",'Marks Entry'!AM80)</f>
        <v/>
      </c>
      <c r="CG80" s="68" t="str">
        <f>IF('Marks Entry'!AN80="","",'Marks Entry'!AN80)</f>
        <v/>
      </c>
      <c r="CH80" s="514" t="str">
        <f t="shared" si="210"/>
        <v/>
      </c>
      <c r="CI80" s="68" t="str">
        <f>IF('Marks Entry'!AO80="","",'Marks Entry'!AO80)</f>
        <v/>
      </c>
      <c r="CJ80" s="515" t="str">
        <f t="shared" si="211"/>
        <v/>
      </c>
      <c r="CK80" s="68" t="str">
        <f>IF('Marks Entry'!AP80="","",'Marks Entry'!AP80)</f>
        <v/>
      </c>
      <c r="CL80" s="96" t="str">
        <f t="shared" si="212"/>
        <v/>
      </c>
      <c r="CM80" s="65">
        <f t="shared" si="213"/>
        <v>0</v>
      </c>
      <c r="CN80" s="65">
        <f t="shared" si="214"/>
        <v>0</v>
      </c>
      <c r="CO80" s="66" t="str">
        <f t="shared" si="215"/>
        <v/>
      </c>
      <c r="CP80" s="65" t="str">
        <f t="shared" si="216"/>
        <v/>
      </c>
      <c r="CQ80" s="65" t="str">
        <f t="shared" si="217"/>
        <v/>
      </c>
      <c r="CR80" s="65" t="str">
        <f t="shared" si="218"/>
        <v/>
      </c>
      <c r="CS80" s="616" t="str">
        <f>IF('School Profile'!$D$20="NO","",IF('Marks Entry'!AQ80="","",IF('Marks Entry'!AQ80=1,'School Profile'!$I$29,IF('Marks Entry'!AQ80=2,'School Profile'!$I$30,IF('Marks Entry'!AQ80=3,'School Profile'!$I$31,IF('Marks Entry'!AQ80=4,'School Profile'!$I$32,IF('Marks Entry'!AQ80=5,'School Profile'!$I$33,IF('Marks Entry'!AQ80=6,'School Profile'!$I$34,IF('Marks Entry'!AQ80=7,'School Profile'!$I$35,IF('Marks Entry'!AQ80=8,'School Profile'!$I$36,IF('Marks Entry'!AQ80=9,'School Profile'!$I$37,IF('Marks Entry'!AQ80=10,'School Profile'!$I$38,IF('Marks Entry'!AQ80=11,'School Profile'!$I$39,"")))))))))))))</f>
        <v/>
      </c>
      <c r="CT80" s="68" t="str">
        <f>IF('School Profile'!$D$20="NO","",IF('Marks Entry'!AR80="","",'Marks Entry'!AR80))</f>
        <v/>
      </c>
      <c r="CU80" s="68" t="str">
        <f>IF('School Profile'!$D$20="NO","",IF('Marks Entry'!AS80="","",'Marks Entry'!AS80))</f>
        <v/>
      </c>
      <c r="CV80" s="68" t="str">
        <f>IF('School Profile'!$D$20="NO","",IF('Marks Entry'!AT80="","",'Marks Entry'!AT80))</f>
        <v/>
      </c>
      <c r="CW80" s="514" t="str">
        <f>IF('School Profile'!$D$20="NO","",IF(AND(CT80="",CU80="",CV80=""),"",SUM(CT80:CV80)))</f>
        <v/>
      </c>
      <c r="CX80" s="68" t="str">
        <f>IF('School Profile'!$D$20="NO","",IF('Marks Entry'!AU80="","",'Marks Entry'!AU80))</f>
        <v/>
      </c>
      <c r="CY80" s="68" t="str">
        <f>IF('School Profile'!$D$20="NO","",IF('Marks Entry'!AV80="","",'Marks Entry'!AV80))</f>
        <v/>
      </c>
      <c r="CZ80" s="515" t="str">
        <f>IF('School Profile'!$D$20="NO","",IF(AND(CX80="",CY80=""),"",SUM(CX80,CY80)))</f>
        <v/>
      </c>
      <c r="DA80" s="69" t="str">
        <f>IF('School Profile'!$D$20="NO","",IF(AND(CW80="",CZ80=""),"",SUM(CW80+CZ80)))</f>
        <v/>
      </c>
      <c r="DB80" s="68" t="str">
        <f>IF('School Profile'!$D$20="NO","",IF('Marks Entry'!AW80="","",'Marks Entry'!AW80))</f>
        <v/>
      </c>
      <c r="DC80" s="68" t="str">
        <f>IF('School Profile'!$D$20="NO","",IF('Marks Entry'!AX80="","",'Marks Entry'!AX80))</f>
        <v/>
      </c>
      <c r="DD80" s="515" t="str">
        <f>IF('School Profile'!$D$20="NO","",IF(AND(DB80="",DC80=""),"",SUM(DB80,DC80)))</f>
        <v/>
      </c>
      <c r="DE80" s="96" t="str">
        <f>IF('School Profile'!$D$20="NO","",IF(AND(DA80="",DD80=""),"",SUM(DA80,DD80)))</f>
        <v/>
      </c>
      <c r="DF80" s="532">
        <f t="shared" si="219"/>
        <v>0</v>
      </c>
      <c r="DG80" s="65">
        <f t="shared" si="220"/>
        <v>0</v>
      </c>
      <c r="DH80" s="66" t="str">
        <f t="shared" si="221"/>
        <v/>
      </c>
      <c r="DI80" s="65" t="str">
        <f t="shared" si="222"/>
        <v/>
      </c>
      <c r="DJ80" s="65" t="str">
        <f t="shared" si="223"/>
        <v/>
      </c>
      <c r="DK80" s="65" t="str">
        <f t="shared" si="224"/>
        <v/>
      </c>
      <c r="DL80" s="97" t="str">
        <f t="shared" si="264"/>
        <v/>
      </c>
      <c r="DM80" s="97" t="str">
        <f t="shared" si="265"/>
        <v/>
      </c>
      <c r="DN80" s="97" t="str">
        <f t="shared" si="266"/>
        <v/>
      </c>
      <c r="DO80" s="97" t="str">
        <f t="shared" si="267"/>
        <v/>
      </c>
      <c r="DP80" s="97" t="str">
        <f t="shared" si="268"/>
        <v/>
      </c>
      <c r="DQ80" s="97" t="str">
        <f t="shared" si="269"/>
        <v/>
      </c>
      <c r="DR80" s="97" t="str">
        <f t="shared" si="270"/>
        <v/>
      </c>
      <c r="DS80" s="98">
        <f t="shared" si="271"/>
        <v>0</v>
      </c>
      <c r="DT80" s="98">
        <f t="shared" si="272"/>
        <v>0</v>
      </c>
      <c r="DU80" s="98">
        <f t="shared" si="273"/>
        <v>0</v>
      </c>
      <c r="DV80" s="98">
        <f t="shared" si="274"/>
        <v>0</v>
      </c>
      <c r="DW80" s="98">
        <f t="shared" si="275"/>
        <v>0</v>
      </c>
      <c r="DX80" s="98" t="str">
        <f t="shared" si="276"/>
        <v/>
      </c>
      <c r="DY80" s="99" t="str">
        <f t="shared" si="277"/>
        <v/>
      </c>
      <c r="DZ80" s="74" t="str">
        <f>IF('Marks Entry'!AY80="","",'Marks Entry'!AY80)</f>
        <v/>
      </c>
      <c r="EA80" s="74" t="str">
        <f>IF('Marks Entry'!AZ80="","",'Marks Entry'!AZ80)</f>
        <v/>
      </c>
      <c r="EB80" s="74" t="str">
        <f>IF('Marks Entry'!BA80="","",'Marks Entry'!BA80)</f>
        <v/>
      </c>
      <c r="EC80" s="527" t="str">
        <f t="shared" si="225"/>
        <v/>
      </c>
      <c r="ED80" s="74" t="str">
        <f>IF('Marks Entry'!BB80="","",'Marks Entry'!BB80)</f>
        <v/>
      </c>
      <c r="EE80" s="528" t="str">
        <f t="shared" si="226"/>
        <v/>
      </c>
      <c r="EF80" s="74" t="str">
        <f>IF('Marks Entry'!BC80="","",'Marks Entry'!BC80)</f>
        <v/>
      </c>
      <c r="EG80" s="530" t="str">
        <f t="shared" si="227"/>
        <v/>
      </c>
      <c r="EH80" s="368" t="str">
        <f t="shared" si="278"/>
        <v/>
      </c>
      <c r="EI80" s="65">
        <f t="shared" si="279"/>
        <v>0</v>
      </c>
      <c r="EJ80" s="65">
        <f t="shared" si="280"/>
        <v>0</v>
      </c>
      <c r="EK80" s="66" t="str">
        <f t="shared" si="281"/>
        <v/>
      </c>
      <c r="EL80" s="74" t="str">
        <f>IF('Marks Entry'!BD80="","",'Marks Entry'!BD80)</f>
        <v/>
      </c>
      <c r="EM80" s="74" t="str">
        <f>IF('Marks Entry'!BE80="","",'Marks Entry'!BE80)</f>
        <v/>
      </c>
      <c r="EN80" s="74" t="str">
        <f>IF('Marks Entry'!BF80="","",'Marks Entry'!BF80)</f>
        <v/>
      </c>
      <c r="EO80" s="527" t="str">
        <f t="shared" si="228"/>
        <v/>
      </c>
      <c r="EP80" s="74" t="str">
        <f>IF('Marks Entry'!BG80="","",'Marks Entry'!BG80)</f>
        <v/>
      </c>
      <c r="EQ80" s="74" t="str">
        <f>IF('Marks Entry'!BH80="","",'Marks Entry'!BH80)</f>
        <v/>
      </c>
      <c r="ER80" s="528" t="str">
        <f t="shared" si="229"/>
        <v/>
      </c>
      <c r="ES80" s="529" t="str">
        <f t="shared" si="230"/>
        <v/>
      </c>
      <c r="ET80" s="74" t="str">
        <f>IF('Marks Entry'!BI80="","",'Marks Entry'!BI80)</f>
        <v/>
      </c>
      <c r="EU80" s="74" t="str">
        <f>IF('Marks Entry'!BJ80="","",'Marks Entry'!BJ80)</f>
        <v/>
      </c>
      <c r="EV80" s="528" t="str">
        <f t="shared" si="231"/>
        <v/>
      </c>
      <c r="EW80" s="530" t="str">
        <f t="shared" si="232"/>
        <v/>
      </c>
      <c r="EX80" s="368" t="str">
        <f t="shared" si="282"/>
        <v/>
      </c>
      <c r="EY80" s="65">
        <f t="shared" si="283"/>
        <v>0</v>
      </c>
      <c r="EZ80" s="65">
        <f t="shared" si="284"/>
        <v>0</v>
      </c>
      <c r="FA80" s="66" t="str">
        <f t="shared" si="285"/>
        <v/>
      </c>
      <c r="FB80" s="74" t="str">
        <f>IF('Marks Entry'!BK80="","",'Marks Entry'!BK80)</f>
        <v/>
      </c>
      <c r="FC80" s="74" t="str">
        <f>IF('Marks Entry'!BL80="","",'Marks Entry'!BL80)</f>
        <v/>
      </c>
      <c r="FD80" s="74" t="str">
        <f>IF('Marks Entry'!BM80="","",'Marks Entry'!BM80)</f>
        <v/>
      </c>
      <c r="FE80" s="74" t="str">
        <f>IF('Marks Entry'!BN80="","",'Marks Entry'!BN80)</f>
        <v/>
      </c>
      <c r="FF80" s="74" t="str">
        <f>IF('Marks Entry'!BO80="","",'Marks Entry'!BO80)</f>
        <v/>
      </c>
      <c r="FG80" s="74" t="str">
        <f>IF('Marks Entry'!BP80="","",'Marks Entry'!BP80)</f>
        <v/>
      </c>
      <c r="FH80" s="527" t="str">
        <f t="shared" si="233"/>
        <v/>
      </c>
      <c r="FI80" s="74" t="str">
        <f>IF('Marks Entry'!BQ80="","",'Marks Entry'!BQ80)</f>
        <v/>
      </c>
      <c r="FJ80" s="74" t="str">
        <f>IF('Marks Entry'!BR80="","",'Marks Entry'!BR80)</f>
        <v/>
      </c>
      <c r="FK80" s="528" t="str">
        <f t="shared" si="234"/>
        <v/>
      </c>
      <c r="FL80" s="529" t="str">
        <f t="shared" si="235"/>
        <v/>
      </c>
      <c r="FM80" s="74" t="str">
        <f>IF('Marks Entry'!BS80="","",'Marks Entry'!BS80)</f>
        <v/>
      </c>
      <c r="FN80" s="74" t="str">
        <f>IF('Marks Entry'!BT80="","",'Marks Entry'!BT80)</f>
        <v/>
      </c>
      <c r="FO80" s="528" t="str">
        <f t="shared" si="236"/>
        <v/>
      </c>
      <c r="FP80" s="530" t="str">
        <f t="shared" si="237"/>
        <v/>
      </c>
      <c r="FQ80" s="368" t="str">
        <f t="shared" si="286"/>
        <v/>
      </c>
      <c r="FR80" s="65">
        <f t="shared" si="287"/>
        <v>0</v>
      </c>
      <c r="FS80" s="65">
        <f t="shared" si="288"/>
        <v>0</v>
      </c>
      <c r="FT80" s="66" t="str">
        <f t="shared" si="289"/>
        <v/>
      </c>
      <c r="FU80" s="74" t="str">
        <f>IF('Marks Entry'!BU80="","",'Marks Entry'!BU80)</f>
        <v/>
      </c>
      <c r="FV80" s="74" t="str">
        <f>IF('Marks Entry'!BV80="","",'Marks Entry'!BV80)</f>
        <v/>
      </c>
      <c r="FW80" s="74" t="str">
        <f>IF('Marks Entry'!BW80="","",'Marks Entry'!BW80)</f>
        <v/>
      </c>
      <c r="FX80" s="75" t="str">
        <f t="shared" si="238"/>
        <v/>
      </c>
      <c r="FY80" s="368" t="str">
        <f t="shared" si="290"/>
        <v/>
      </c>
      <c r="FZ80" s="65">
        <f t="shared" si="291"/>
        <v>0</v>
      </c>
      <c r="GA80" s="66">
        <f t="shared" si="292"/>
        <v>0</v>
      </c>
      <c r="GB80" s="66" t="str">
        <f t="shared" si="293"/>
        <v/>
      </c>
      <c r="GC80" s="74" t="str">
        <f>IF('Marks Entry'!BX80="","",'Marks Entry'!BX80)</f>
        <v/>
      </c>
      <c r="GD80" s="74" t="str">
        <f>IF('Marks Entry'!BY80="","",'Marks Entry'!BY80)</f>
        <v/>
      </c>
      <c r="GE80" s="74" t="str">
        <f>IF('Marks Entry'!BZ80="","",'Marks Entry'!BZ80)</f>
        <v/>
      </c>
      <c r="GF80" s="75" t="str">
        <f t="shared" si="294"/>
        <v/>
      </c>
      <c r="GG80" s="368" t="str">
        <f t="shared" si="295"/>
        <v/>
      </c>
      <c r="GH80" s="65">
        <f t="shared" si="296"/>
        <v>0</v>
      </c>
      <c r="GI80" s="66">
        <f t="shared" si="297"/>
        <v>0</v>
      </c>
      <c r="GJ80" s="66" t="str">
        <f t="shared" si="298"/>
        <v/>
      </c>
      <c r="GK80" s="100" t="str">
        <f>IF(AND(F80="",B80=""),"",IF('Student DATA Entry'!M77="","",'Student DATA Entry'!M77))</f>
        <v/>
      </c>
      <c r="GL80" s="101" t="str">
        <f>IF(AND(B80="",F80=""),"",IF('Student DATA Entry'!N77="","",'Student DATA Entry'!N77))</f>
        <v/>
      </c>
      <c r="GM80" s="581" t="str">
        <f t="shared" si="299"/>
        <v/>
      </c>
      <c r="GN80" s="94" t="str">
        <f t="shared" si="300"/>
        <v/>
      </c>
      <c r="GO80" s="94" t="str">
        <f t="shared" si="301"/>
        <v/>
      </c>
      <c r="GP80" s="102" t="str">
        <f t="shared" si="239"/>
        <v/>
      </c>
      <c r="GQ80" s="94" t="str">
        <f t="shared" si="302"/>
        <v/>
      </c>
      <c r="GR80" s="103" t="str">
        <f t="shared" si="303"/>
        <v/>
      </c>
      <c r="GS80" s="102" t="str">
        <f t="shared" si="240"/>
        <v/>
      </c>
      <c r="GT80" s="104" t="str">
        <f t="shared" si="304"/>
        <v/>
      </c>
      <c r="GU80" s="94" t="str">
        <f>IF('Marks Entry'!V80=1,GT80,"")</f>
        <v/>
      </c>
      <c r="GV80" s="94" t="str">
        <f>IF('Marks Entry'!V80=2,GT80,"")</f>
        <v/>
      </c>
      <c r="GW80" s="94" t="str">
        <f>IF('Marks Entry'!V80=3,GT80,"")</f>
        <v/>
      </c>
      <c r="GX80" s="94" t="str">
        <f>IF('Marks Entry'!V80=4,GT80,"")</f>
        <v/>
      </c>
      <c r="GY80" s="94" t="str">
        <f>IF('Marks Entry'!V80=5,GT80,"")</f>
        <v/>
      </c>
      <c r="GZ80" s="94" t="str">
        <f t="shared" si="305"/>
        <v/>
      </c>
      <c r="HA80" s="105" t="str">
        <f t="shared" si="241"/>
        <v/>
      </c>
      <c r="HB80" s="94" t="str">
        <f t="shared" si="306"/>
        <v/>
      </c>
      <c r="HC80" s="94" t="str">
        <f t="shared" si="307"/>
        <v/>
      </c>
      <c r="HD80" s="105" t="str">
        <f t="shared" si="242"/>
        <v/>
      </c>
      <c r="HE80" s="94" t="str">
        <f t="shared" si="308"/>
        <v/>
      </c>
      <c r="HF80" s="94" t="str">
        <f t="shared" si="309"/>
        <v/>
      </c>
      <c r="HG80" s="105" t="str">
        <f t="shared" si="243"/>
        <v/>
      </c>
      <c r="HH80" s="94" t="str">
        <f t="shared" si="310"/>
        <v/>
      </c>
      <c r="HI80" s="94" t="str">
        <f t="shared" si="311"/>
        <v/>
      </c>
      <c r="HJ80" s="105" t="str">
        <f t="shared" si="244"/>
        <v/>
      </c>
      <c r="HK80" s="94" t="str">
        <f t="shared" si="312"/>
        <v/>
      </c>
      <c r="HL80" s="94" t="str">
        <f t="shared" si="313"/>
        <v/>
      </c>
      <c r="HM80" s="105" t="str">
        <f t="shared" si="245"/>
        <v/>
      </c>
      <c r="HN80" s="367" t="str">
        <f t="shared" si="314"/>
        <v xml:space="preserve">      </v>
      </c>
      <c r="HO80" s="418" t="str">
        <f t="shared" si="246"/>
        <v xml:space="preserve">      </v>
      </c>
      <c r="HP80" s="367" t="str">
        <f t="shared" si="315"/>
        <v xml:space="preserve">      </v>
      </c>
      <c r="HQ80" s="107" t="str">
        <f t="shared" si="316"/>
        <v xml:space="preserve">      </v>
      </c>
      <c r="HR80" s="366" t="str">
        <f t="shared" si="317"/>
        <v xml:space="preserve">      </v>
      </c>
      <c r="HS80" s="544" t="str">
        <f t="shared" si="247"/>
        <v/>
      </c>
      <c r="HT80" s="542" t="str">
        <f t="shared" si="318"/>
        <v/>
      </c>
      <c r="HU80" s="541" t="str">
        <f t="shared" si="319"/>
        <v/>
      </c>
      <c r="HV80" s="540" t="str">
        <f t="shared" si="320"/>
        <v/>
      </c>
      <c r="HW80" s="537" t="str">
        <f t="shared" si="321"/>
        <v/>
      </c>
      <c r="HX80" s="539" t="str">
        <f t="shared" si="322"/>
        <v/>
      </c>
      <c r="HY80" s="553" t="str">
        <f>IFERROR(IF(OR(HS80="SUPPLEMENTARY",HS80="RE-EXAM"),'Supp. Result Entry'!AQ78,""),"")</f>
        <v/>
      </c>
      <c r="HZ80" s="538" t="str">
        <f t="shared" si="323"/>
        <v/>
      </c>
      <c r="IA80" s="415" t="str">
        <f t="shared" si="324"/>
        <v/>
      </c>
      <c r="IB80" s="415" t="str">
        <f>IF(AND(HZ80="",IA80=""),"",IF(OR(HS80="SUPPLEMENTARY",HS80="RE-EXAM"),'Supp. Result Entry'!AQ78,HS80))</f>
        <v/>
      </c>
      <c r="IC80" s="87"/>
      <c r="IS80" s="109" t="str">
        <f>IF('Supp. Result Entry'!T78="","",'Supp. Result Entry'!$T$4)</f>
        <v/>
      </c>
      <c r="IT80" s="110" t="str">
        <f>IF('Supp. Result Entry'!W78="","",'Supp. Result Entry'!$W$4)</f>
        <v/>
      </c>
      <c r="IU80" s="110" t="str">
        <f>IF('Supp. Result Entry'!Z78="","",'Supp. Result Entry'!$Z$4)</f>
        <v/>
      </c>
      <c r="IV80" s="110" t="str">
        <f>IF('Supp. Result Entry'!AC78="","",'Supp. Result Entry'!$AC$4)</f>
        <v/>
      </c>
      <c r="IW80" s="110" t="str">
        <f>IF('Supp. Result Entry'!AF78="","",'Supp. Result Entry'!$AF$4)</f>
        <v/>
      </c>
      <c r="IX80" s="110" t="str">
        <f>IF('Supp. Result Entry'!AI78="","",'Supp. Result Entry'!$AI$4)</f>
        <v/>
      </c>
      <c r="IY80" s="110" t="str">
        <f>IF('Supp. Result Entry'!AI78="","",'Supp. Result Entry'!$AL$4)</f>
        <v/>
      </c>
      <c r="IZ80" s="110" t="str">
        <f>IF('Supp. Result Entry'!U78="","",'Supp. Result Entry'!U78)</f>
        <v/>
      </c>
      <c r="JA80" s="110" t="str">
        <f>IF('Supp. Result Entry'!X78="","",'Supp. Result Entry'!X78)</f>
        <v/>
      </c>
      <c r="JB80" s="110" t="str">
        <f>IF('Supp. Result Entry'!AA78="","",'Supp. Result Entry'!AA78)</f>
        <v/>
      </c>
      <c r="JC80" s="110" t="str">
        <f>IF('Supp. Result Entry'!AD78="","",'Supp. Result Entry'!AD78)</f>
        <v/>
      </c>
      <c r="JD80" s="110" t="str">
        <f>IF('Supp. Result Entry'!AG78="","",'Supp. Result Entry'!AG78)</f>
        <v/>
      </c>
      <c r="JE80" s="110" t="str">
        <f>IF('Supp. Result Entry'!AJ78="","",'Supp. Result Entry'!AJ78)</f>
        <v/>
      </c>
      <c r="JF80" s="110" t="str">
        <f>IF('Supp. Result Entry'!AM78="","",'Supp. Result Entry'!AM78)</f>
        <v/>
      </c>
      <c r="JG80" s="110" t="str">
        <f>IF('Supp. Result Entry'!V78="","",'Supp. Result Entry'!V78)</f>
        <v/>
      </c>
      <c r="JH80" s="110" t="str">
        <f>IF('Supp. Result Entry'!Y78="","",'Supp. Result Entry'!Y78)</f>
        <v/>
      </c>
      <c r="JI80" s="110" t="str">
        <f>IF('Supp. Result Entry'!AB78="","",'Supp. Result Entry'!AB78)</f>
        <v/>
      </c>
      <c r="JJ80" s="110" t="str">
        <f>IF('Supp. Result Entry'!AE78="","",'Supp. Result Entry'!AE78)</f>
        <v/>
      </c>
      <c r="JK80" s="110" t="str">
        <f>IF('Supp. Result Entry'!AH78="","",'Supp. Result Entry'!AH78)</f>
        <v/>
      </c>
      <c r="JL80" s="110" t="str">
        <f>IF('Supp. Result Entry'!AK78="","",'Supp. Result Entry'!AK78)</f>
        <v/>
      </c>
      <c r="JM80" s="110" t="str">
        <f>IF('Supp. Result Entry'!AN78="","",'Supp. Result Entry'!AN78)</f>
        <v/>
      </c>
      <c r="JN80" s="110">
        <f>COUNTIF('Supp. Result Entry'!K78:Q78,"S")</f>
        <v>0</v>
      </c>
      <c r="JO80" s="110">
        <f t="shared" si="248"/>
        <v>0</v>
      </c>
      <c r="JP80" s="110">
        <f t="shared" si="325"/>
        <v>0</v>
      </c>
      <c r="JQ80" s="110" t="str">
        <f t="shared" si="249"/>
        <v/>
      </c>
      <c r="JR80" s="110" t="str">
        <f t="shared" si="250"/>
        <v/>
      </c>
      <c r="JS80" s="110" t="str">
        <f t="shared" si="251"/>
        <v/>
      </c>
      <c r="JT80" s="110" t="str">
        <f t="shared" si="252"/>
        <v/>
      </c>
      <c r="JU80" s="110" t="str">
        <f t="shared" si="253"/>
        <v/>
      </c>
      <c r="JV80" s="110" t="str">
        <f t="shared" si="254"/>
        <v/>
      </c>
      <c r="JW80" s="110" t="str">
        <f t="shared" si="255"/>
        <v/>
      </c>
      <c r="JX80" s="110" t="str">
        <f t="shared" si="326"/>
        <v/>
      </c>
      <c r="JY80" s="110" t="str">
        <f t="shared" si="327"/>
        <v/>
      </c>
      <c r="JZ80" s="110" t="str">
        <f t="shared" si="256"/>
        <v/>
      </c>
      <c r="KA80" s="108" t="str">
        <f t="shared" si="328"/>
        <v/>
      </c>
    </row>
    <row r="81" spans="1:287" s="108" customFormat="1" ht="21.95" customHeight="1">
      <c r="A81" s="89">
        <v>75</v>
      </c>
      <c r="B81" s="90" t="str">
        <f>IF('Marks Entry'!B81="","",'Marks Entry'!B81)</f>
        <v/>
      </c>
      <c r="C81" s="94" t="str">
        <f>IF('Marks Entry'!D81="","",'Marks Entry'!D81)</f>
        <v/>
      </c>
      <c r="D81" s="91" t="str">
        <f>IF('Marks Entry'!E81="","",'Marks Entry'!E81)</f>
        <v/>
      </c>
      <c r="E81" s="92" t="str">
        <f>IF('Marks Entry'!F81="","",'Marks Entry'!F81)</f>
        <v/>
      </c>
      <c r="F81" s="93" t="str">
        <f>IF('Marks Entry'!G81="","",'Marks Entry'!G81)</f>
        <v/>
      </c>
      <c r="G81" s="93" t="str">
        <f>IF('Marks Entry'!H81="","",'Marks Entry'!H81)</f>
        <v/>
      </c>
      <c r="H81" s="93" t="str">
        <f>IF('Marks Entry'!I81="","",'Marks Entry'!I81)</f>
        <v/>
      </c>
      <c r="I81" s="94" t="str">
        <f>IF('Marks Entry'!J81="","",'Marks Entry'!J81)</f>
        <v/>
      </c>
      <c r="J81" s="95" t="str">
        <f>IF('Marks Entry'!K81="","",'Marks Entry'!K81)</f>
        <v/>
      </c>
      <c r="K81" s="68" t="str">
        <f>IF('Marks Entry'!L81="","",'Marks Entry'!L81)</f>
        <v/>
      </c>
      <c r="L81" s="68" t="str">
        <f>IF('Marks Entry'!M81="","",'Marks Entry'!M81)</f>
        <v/>
      </c>
      <c r="M81" s="68" t="str">
        <f>IF('Marks Entry'!N81="","",'Marks Entry'!N81)</f>
        <v/>
      </c>
      <c r="N81" s="514" t="str">
        <f t="shared" si="257"/>
        <v/>
      </c>
      <c r="O81" s="68" t="str">
        <f>IF('Marks Entry'!O81="","",'Marks Entry'!O81)</f>
        <v/>
      </c>
      <c r="P81" s="515" t="str">
        <f t="shared" si="258"/>
        <v/>
      </c>
      <c r="Q81" s="68" t="str">
        <f>IF('Marks Entry'!P81="","",'Marks Entry'!P81)</f>
        <v/>
      </c>
      <c r="R81" s="96" t="str">
        <f t="shared" si="259"/>
        <v/>
      </c>
      <c r="S81" s="65">
        <f t="shared" si="260"/>
        <v>0</v>
      </c>
      <c r="T81" s="65">
        <f t="shared" si="261"/>
        <v>0</v>
      </c>
      <c r="U81" s="66" t="str">
        <f t="shared" si="171"/>
        <v/>
      </c>
      <c r="V81" s="65" t="str">
        <f t="shared" si="172"/>
        <v/>
      </c>
      <c r="W81" s="65" t="str">
        <f t="shared" si="262"/>
        <v/>
      </c>
      <c r="X81" s="65" t="str">
        <f t="shared" si="173"/>
        <v/>
      </c>
      <c r="Y81" s="68" t="str">
        <f>IF('Marks Entry'!Q81="","",'Marks Entry'!Q81)</f>
        <v/>
      </c>
      <c r="Z81" s="68" t="str">
        <f>IF('Marks Entry'!R81="","",'Marks Entry'!R81)</f>
        <v/>
      </c>
      <c r="AA81" s="68" t="str">
        <f>IF('Marks Entry'!S81="","",'Marks Entry'!S81)</f>
        <v/>
      </c>
      <c r="AB81" s="514" t="str">
        <f t="shared" si="174"/>
        <v/>
      </c>
      <c r="AC81" s="68" t="str">
        <f>IF('Marks Entry'!T81="","",'Marks Entry'!T81)</f>
        <v/>
      </c>
      <c r="AD81" s="515" t="str">
        <f t="shared" si="175"/>
        <v/>
      </c>
      <c r="AE81" s="68" t="str">
        <f>IF('Marks Entry'!U81="","",'Marks Entry'!U81)</f>
        <v/>
      </c>
      <c r="AF81" s="96" t="str">
        <f t="shared" si="176"/>
        <v/>
      </c>
      <c r="AG81" s="65">
        <f t="shared" si="177"/>
        <v>0</v>
      </c>
      <c r="AH81" s="65">
        <f t="shared" si="178"/>
        <v>0</v>
      </c>
      <c r="AI81" s="66" t="str">
        <f t="shared" si="179"/>
        <v/>
      </c>
      <c r="AJ81" s="65" t="str">
        <f t="shared" si="180"/>
        <v/>
      </c>
      <c r="AK81" s="65" t="str">
        <f t="shared" si="181"/>
        <v/>
      </c>
      <c r="AL81" s="65" t="str">
        <f t="shared" si="182"/>
        <v/>
      </c>
      <c r="AM81" s="524" t="str">
        <f>IF('Marks Entry'!V81="","",IF('Marks Entry'!V81=1,'School Profile'!$I$9,IF('Marks Entry'!V81=2,'School Profile'!$I$10,IF('Marks Entry'!V81=3,'School Profile'!$I$11,IF('Marks Entry'!V81=4,'School Profile'!$I$12,IF('Marks Entry'!V81=5,'School Profile'!$I$13,IF('Marks Entry'!V81=6,'School Profile'!$I$14,"")))))))</f>
        <v/>
      </c>
      <c r="AN81" s="68" t="str">
        <f>IF('Marks Entry'!W81="","",'Marks Entry'!W81)</f>
        <v/>
      </c>
      <c r="AO81" s="68" t="str">
        <f>IF('Marks Entry'!X81="","",'Marks Entry'!X81)</f>
        <v/>
      </c>
      <c r="AP81" s="68" t="str">
        <f>IF('Marks Entry'!Y81="","",'Marks Entry'!Y81)</f>
        <v/>
      </c>
      <c r="AQ81" s="514" t="str">
        <f t="shared" si="183"/>
        <v/>
      </c>
      <c r="AR81" s="68" t="str">
        <f>IF('Marks Entry'!Z81="","",'Marks Entry'!Z81)</f>
        <v/>
      </c>
      <c r="AS81" s="515" t="str">
        <f t="shared" si="184"/>
        <v/>
      </c>
      <c r="AT81" s="68" t="str">
        <f>IF('Marks Entry'!AA81="","",'Marks Entry'!AA81)</f>
        <v/>
      </c>
      <c r="AU81" s="96" t="str">
        <f t="shared" si="185"/>
        <v/>
      </c>
      <c r="AV81" s="65">
        <f t="shared" si="186"/>
        <v>0</v>
      </c>
      <c r="AW81" s="65">
        <f t="shared" si="187"/>
        <v>0</v>
      </c>
      <c r="AX81" s="66" t="str">
        <f t="shared" si="188"/>
        <v/>
      </c>
      <c r="AY81" s="65" t="str">
        <f t="shared" si="189"/>
        <v/>
      </c>
      <c r="AZ81" s="65" t="str">
        <f t="shared" si="190"/>
        <v/>
      </c>
      <c r="BA81" s="65" t="str">
        <f t="shared" si="191"/>
        <v/>
      </c>
      <c r="BB81" s="68" t="str">
        <f>IF('Marks Entry'!AB81="","",'Marks Entry'!AB81)</f>
        <v/>
      </c>
      <c r="BC81" s="68" t="str">
        <f>IF('Marks Entry'!AC81="","",'Marks Entry'!AC81)</f>
        <v/>
      </c>
      <c r="BD81" s="68" t="str">
        <f>IF('Marks Entry'!AD81="","",'Marks Entry'!AD81)</f>
        <v/>
      </c>
      <c r="BE81" s="514" t="str">
        <f t="shared" si="192"/>
        <v/>
      </c>
      <c r="BF81" s="68" t="str">
        <f>IF('Marks Entry'!AE81="","",'Marks Entry'!AE81)</f>
        <v/>
      </c>
      <c r="BG81" s="515" t="str">
        <f t="shared" si="193"/>
        <v/>
      </c>
      <c r="BH81" s="68" t="str">
        <f>IF('Marks Entry'!AF81="","",'Marks Entry'!AF81)</f>
        <v/>
      </c>
      <c r="BI81" s="96" t="str">
        <f t="shared" si="194"/>
        <v/>
      </c>
      <c r="BJ81" s="65">
        <f t="shared" si="195"/>
        <v>0</v>
      </c>
      <c r="BK81" s="65">
        <f t="shared" si="263"/>
        <v>0</v>
      </c>
      <c r="BL81" s="66" t="str">
        <f t="shared" si="196"/>
        <v/>
      </c>
      <c r="BM81" s="65" t="str">
        <f t="shared" si="197"/>
        <v/>
      </c>
      <c r="BN81" s="65" t="str">
        <f t="shared" si="198"/>
        <v/>
      </c>
      <c r="BO81" s="65" t="str">
        <f t="shared" si="199"/>
        <v/>
      </c>
      <c r="BP81" s="68" t="str">
        <f>IF('Marks Entry'!AG81="","",'Marks Entry'!AG81)</f>
        <v/>
      </c>
      <c r="BQ81" s="68" t="str">
        <f>IF('Marks Entry'!AH81="","",'Marks Entry'!AH81)</f>
        <v/>
      </c>
      <c r="BR81" s="68" t="str">
        <f>IF('Marks Entry'!AI81="","",'Marks Entry'!AI81)</f>
        <v/>
      </c>
      <c r="BS81" s="514" t="str">
        <f t="shared" si="200"/>
        <v/>
      </c>
      <c r="BT81" s="68" t="str">
        <f>IF('Marks Entry'!AJ81="","",'Marks Entry'!AJ81)</f>
        <v/>
      </c>
      <c r="BU81" s="515" t="str">
        <f t="shared" si="201"/>
        <v/>
      </c>
      <c r="BV81" s="68" t="str">
        <f>IF('Marks Entry'!AK81="","",'Marks Entry'!AK81)</f>
        <v/>
      </c>
      <c r="BW81" s="96" t="str">
        <f t="shared" si="202"/>
        <v/>
      </c>
      <c r="BX81" s="65">
        <f t="shared" si="203"/>
        <v>0</v>
      </c>
      <c r="BY81" s="65">
        <f t="shared" si="204"/>
        <v>0</v>
      </c>
      <c r="BZ81" s="66" t="str">
        <f t="shared" si="205"/>
        <v/>
      </c>
      <c r="CA81" s="65" t="str">
        <f t="shared" si="206"/>
        <v/>
      </c>
      <c r="CB81" s="65" t="str">
        <f t="shared" si="207"/>
        <v/>
      </c>
      <c r="CC81" s="65" t="str">
        <f t="shared" si="208"/>
        <v/>
      </c>
      <c r="CD81" s="66">
        <f t="shared" si="209"/>
        <v>0</v>
      </c>
      <c r="CE81" s="68" t="str">
        <f>IF('Marks Entry'!AL81="","",'Marks Entry'!AL81)</f>
        <v/>
      </c>
      <c r="CF81" s="68" t="str">
        <f>IF('Marks Entry'!AM81="","",'Marks Entry'!AM81)</f>
        <v/>
      </c>
      <c r="CG81" s="68" t="str">
        <f>IF('Marks Entry'!AN81="","",'Marks Entry'!AN81)</f>
        <v/>
      </c>
      <c r="CH81" s="514" t="str">
        <f t="shared" si="210"/>
        <v/>
      </c>
      <c r="CI81" s="68" t="str">
        <f>IF('Marks Entry'!AO81="","",'Marks Entry'!AO81)</f>
        <v/>
      </c>
      <c r="CJ81" s="515" t="str">
        <f t="shared" si="211"/>
        <v/>
      </c>
      <c r="CK81" s="68" t="str">
        <f>IF('Marks Entry'!AP81="","",'Marks Entry'!AP81)</f>
        <v/>
      </c>
      <c r="CL81" s="96" t="str">
        <f t="shared" si="212"/>
        <v/>
      </c>
      <c r="CM81" s="65">
        <f t="shared" si="213"/>
        <v>0</v>
      </c>
      <c r="CN81" s="65">
        <f t="shared" si="214"/>
        <v>0</v>
      </c>
      <c r="CO81" s="66" t="str">
        <f t="shared" si="215"/>
        <v/>
      </c>
      <c r="CP81" s="65" t="str">
        <f t="shared" si="216"/>
        <v/>
      </c>
      <c r="CQ81" s="65" t="str">
        <f t="shared" si="217"/>
        <v/>
      </c>
      <c r="CR81" s="65" t="str">
        <f t="shared" si="218"/>
        <v/>
      </c>
      <c r="CS81" s="616" t="str">
        <f>IF('School Profile'!$D$20="NO","",IF('Marks Entry'!AQ81="","",IF('Marks Entry'!AQ81=1,'School Profile'!$I$29,IF('Marks Entry'!AQ81=2,'School Profile'!$I$30,IF('Marks Entry'!AQ81=3,'School Profile'!$I$31,IF('Marks Entry'!AQ81=4,'School Profile'!$I$32,IF('Marks Entry'!AQ81=5,'School Profile'!$I$33,IF('Marks Entry'!AQ81=6,'School Profile'!$I$34,IF('Marks Entry'!AQ81=7,'School Profile'!$I$35,IF('Marks Entry'!AQ81=8,'School Profile'!$I$36,IF('Marks Entry'!AQ81=9,'School Profile'!$I$37,IF('Marks Entry'!AQ81=10,'School Profile'!$I$38,IF('Marks Entry'!AQ81=11,'School Profile'!$I$39,"")))))))))))))</f>
        <v/>
      </c>
      <c r="CT81" s="68" t="str">
        <f>IF('School Profile'!$D$20="NO","",IF('Marks Entry'!AR81="","",'Marks Entry'!AR81))</f>
        <v/>
      </c>
      <c r="CU81" s="68" t="str">
        <f>IF('School Profile'!$D$20="NO","",IF('Marks Entry'!AS81="","",'Marks Entry'!AS81))</f>
        <v/>
      </c>
      <c r="CV81" s="68" t="str">
        <f>IF('School Profile'!$D$20="NO","",IF('Marks Entry'!AT81="","",'Marks Entry'!AT81))</f>
        <v/>
      </c>
      <c r="CW81" s="514" t="str">
        <f>IF('School Profile'!$D$20="NO","",IF(AND(CT81="",CU81="",CV81=""),"",SUM(CT81:CV81)))</f>
        <v/>
      </c>
      <c r="CX81" s="68" t="str">
        <f>IF('School Profile'!$D$20="NO","",IF('Marks Entry'!AU81="","",'Marks Entry'!AU81))</f>
        <v/>
      </c>
      <c r="CY81" s="68" t="str">
        <f>IF('School Profile'!$D$20="NO","",IF('Marks Entry'!AV81="","",'Marks Entry'!AV81))</f>
        <v/>
      </c>
      <c r="CZ81" s="515" t="str">
        <f>IF('School Profile'!$D$20="NO","",IF(AND(CX81="",CY81=""),"",SUM(CX81,CY81)))</f>
        <v/>
      </c>
      <c r="DA81" s="69" t="str">
        <f>IF('School Profile'!$D$20="NO","",IF(AND(CW81="",CZ81=""),"",SUM(CW81+CZ81)))</f>
        <v/>
      </c>
      <c r="DB81" s="68" t="str">
        <f>IF('School Profile'!$D$20="NO","",IF('Marks Entry'!AW81="","",'Marks Entry'!AW81))</f>
        <v/>
      </c>
      <c r="DC81" s="68" t="str">
        <f>IF('School Profile'!$D$20="NO","",IF('Marks Entry'!AX81="","",'Marks Entry'!AX81))</f>
        <v/>
      </c>
      <c r="DD81" s="515" t="str">
        <f>IF('School Profile'!$D$20="NO","",IF(AND(DB81="",DC81=""),"",SUM(DB81,DC81)))</f>
        <v/>
      </c>
      <c r="DE81" s="96" t="str">
        <f>IF('School Profile'!$D$20="NO","",IF(AND(DA81="",DD81=""),"",SUM(DA81,DD81)))</f>
        <v/>
      </c>
      <c r="DF81" s="532">
        <f t="shared" si="219"/>
        <v>0</v>
      </c>
      <c r="DG81" s="65">
        <f t="shared" si="220"/>
        <v>0</v>
      </c>
      <c r="DH81" s="66" t="str">
        <f t="shared" si="221"/>
        <v/>
      </c>
      <c r="DI81" s="65" t="str">
        <f t="shared" si="222"/>
        <v/>
      </c>
      <c r="DJ81" s="65" t="str">
        <f t="shared" si="223"/>
        <v/>
      </c>
      <c r="DK81" s="65" t="str">
        <f t="shared" si="224"/>
        <v/>
      </c>
      <c r="DL81" s="97" t="str">
        <f t="shared" si="264"/>
        <v/>
      </c>
      <c r="DM81" s="97" t="str">
        <f t="shared" si="265"/>
        <v/>
      </c>
      <c r="DN81" s="97" t="str">
        <f t="shared" si="266"/>
        <v/>
      </c>
      <c r="DO81" s="97" t="str">
        <f t="shared" si="267"/>
        <v/>
      </c>
      <c r="DP81" s="97" t="str">
        <f t="shared" si="268"/>
        <v/>
      </c>
      <c r="DQ81" s="97" t="str">
        <f t="shared" si="269"/>
        <v/>
      </c>
      <c r="DR81" s="97" t="str">
        <f t="shared" si="270"/>
        <v/>
      </c>
      <c r="DS81" s="98">
        <f t="shared" si="271"/>
        <v>0</v>
      </c>
      <c r="DT81" s="98">
        <f t="shared" si="272"/>
        <v>0</v>
      </c>
      <c r="DU81" s="98">
        <f t="shared" si="273"/>
        <v>0</v>
      </c>
      <c r="DV81" s="98">
        <f t="shared" si="274"/>
        <v>0</v>
      </c>
      <c r="DW81" s="98">
        <f t="shared" si="275"/>
        <v>0</v>
      </c>
      <c r="DX81" s="98" t="str">
        <f t="shared" si="276"/>
        <v/>
      </c>
      <c r="DY81" s="99" t="str">
        <f t="shared" si="277"/>
        <v/>
      </c>
      <c r="DZ81" s="74" t="str">
        <f>IF('Marks Entry'!AY81="","",'Marks Entry'!AY81)</f>
        <v/>
      </c>
      <c r="EA81" s="74" t="str">
        <f>IF('Marks Entry'!AZ81="","",'Marks Entry'!AZ81)</f>
        <v/>
      </c>
      <c r="EB81" s="74" t="str">
        <f>IF('Marks Entry'!BA81="","",'Marks Entry'!BA81)</f>
        <v/>
      </c>
      <c r="EC81" s="527" t="str">
        <f t="shared" si="225"/>
        <v/>
      </c>
      <c r="ED81" s="74" t="str">
        <f>IF('Marks Entry'!BB81="","",'Marks Entry'!BB81)</f>
        <v/>
      </c>
      <c r="EE81" s="528" t="str">
        <f t="shared" si="226"/>
        <v/>
      </c>
      <c r="EF81" s="74" t="str">
        <f>IF('Marks Entry'!BC81="","",'Marks Entry'!BC81)</f>
        <v/>
      </c>
      <c r="EG81" s="530" t="str">
        <f t="shared" si="227"/>
        <v/>
      </c>
      <c r="EH81" s="368" t="str">
        <f t="shared" si="278"/>
        <v/>
      </c>
      <c r="EI81" s="65">
        <f t="shared" si="279"/>
        <v>0</v>
      </c>
      <c r="EJ81" s="65">
        <f t="shared" si="280"/>
        <v>0</v>
      </c>
      <c r="EK81" s="66" t="str">
        <f t="shared" si="281"/>
        <v/>
      </c>
      <c r="EL81" s="74" t="str">
        <f>IF('Marks Entry'!BD81="","",'Marks Entry'!BD81)</f>
        <v/>
      </c>
      <c r="EM81" s="74" t="str">
        <f>IF('Marks Entry'!BE81="","",'Marks Entry'!BE81)</f>
        <v/>
      </c>
      <c r="EN81" s="74" t="str">
        <f>IF('Marks Entry'!BF81="","",'Marks Entry'!BF81)</f>
        <v/>
      </c>
      <c r="EO81" s="527" t="str">
        <f t="shared" si="228"/>
        <v/>
      </c>
      <c r="EP81" s="74" t="str">
        <f>IF('Marks Entry'!BG81="","",'Marks Entry'!BG81)</f>
        <v/>
      </c>
      <c r="EQ81" s="74" t="str">
        <f>IF('Marks Entry'!BH81="","",'Marks Entry'!BH81)</f>
        <v/>
      </c>
      <c r="ER81" s="528" t="str">
        <f t="shared" si="229"/>
        <v/>
      </c>
      <c r="ES81" s="529" t="str">
        <f t="shared" si="230"/>
        <v/>
      </c>
      <c r="ET81" s="74" t="str">
        <f>IF('Marks Entry'!BI81="","",'Marks Entry'!BI81)</f>
        <v/>
      </c>
      <c r="EU81" s="74" t="str">
        <f>IF('Marks Entry'!BJ81="","",'Marks Entry'!BJ81)</f>
        <v/>
      </c>
      <c r="EV81" s="528" t="str">
        <f t="shared" si="231"/>
        <v/>
      </c>
      <c r="EW81" s="530" t="str">
        <f t="shared" si="232"/>
        <v/>
      </c>
      <c r="EX81" s="368" t="str">
        <f t="shared" si="282"/>
        <v/>
      </c>
      <c r="EY81" s="65">
        <f t="shared" si="283"/>
        <v>0</v>
      </c>
      <c r="EZ81" s="65">
        <f t="shared" si="284"/>
        <v>0</v>
      </c>
      <c r="FA81" s="66" t="str">
        <f t="shared" si="285"/>
        <v/>
      </c>
      <c r="FB81" s="74" t="str">
        <f>IF('Marks Entry'!BK81="","",'Marks Entry'!BK81)</f>
        <v/>
      </c>
      <c r="FC81" s="74" t="str">
        <f>IF('Marks Entry'!BL81="","",'Marks Entry'!BL81)</f>
        <v/>
      </c>
      <c r="FD81" s="74" t="str">
        <f>IF('Marks Entry'!BM81="","",'Marks Entry'!BM81)</f>
        <v/>
      </c>
      <c r="FE81" s="74" t="str">
        <f>IF('Marks Entry'!BN81="","",'Marks Entry'!BN81)</f>
        <v/>
      </c>
      <c r="FF81" s="74" t="str">
        <f>IF('Marks Entry'!BO81="","",'Marks Entry'!BO81)</f>
        <v/>
      </c>
      <c r="FG81" s="74" t="str">
        <f>IF('Marks Entry'!BP81="","",'Marks Entry'!BP81)</f>
        <v/>
      </c>
      <c r="FH81" s="527" t="str">
        <f t="shared" si="233"/>
        <v/>
      </c>
      <c r="FI81" s="74" t="str">
        <f>IF('Marks Entry'!BQ81="","",'Marks Entry'!BQ81)</f>
        <v/>
      </c>
      <c r="FJ81" s="74" t="str">
        <f>IF('Marks Entry'!BR81="","",'Marks Entry'!BR81)</f>
        <v/>
      </c>
      <c r="FK81" s="528" t="str">
        <f t="shared" si="234"/>
        <v/>
      </c>
      <c r="FL81" s="529" t="str">
        <f t="shared" si="235"/>
        <v/>
      </c>
      <c r="FM81" s="74" t="str">
        <f>IF('Marks Entry'!BS81="","",'Marks Entry'!BS81)</f>
        <v/>
      </c>
      <c r="FN81" s="74" t="str">
        <f>IF('Marks Entry'!BT81="","",'Marks Entry'!BT81)</f>
        <v/>
      </c>
      <c r="FO81" s="528" t="str">
        <f t="shared" si="236"/>
        <v/>
      </c>
      <c r="FP81" s="530" t="str">
        <f t="shared" si="237"/>
        <v/>
      </c>
      <c r="FQ81" s="368" t="str">
        <f t="shared" si="286"/>
        <v/>
      </c>
      <c r="FR81" s="65">
        <f t="shared" si="287"/>
        <v>0</v>
      </c>
      <c r="FS81" s="65">
        <f t="shared" si="288"/>
        <v>0</v>
      </c>
      <c r="FT81" s="66" t="str">
        <f t="shared" si="289"/>
        <v/>
      </c>
      <c r="FU81" s="74" t="str">
        <f>IF('Marks Entry'!BU81="","",'Marks Entry'!BU81)</f>
        <v/>
      </c>
      <c r="FV81" s="74" t="str">
        <f>IF('Marks Entry'!BV81="","",'Marks Entry'!BV81)</f>
        <v/>
      </c>
      <c r="FW81" s="74" t="str">
        <f>IF('Marks Entry'!BW81="","",'Marks Entry'!BW81)</f>
        <v/>
      </c>
      <c r="FX81" s="75" t="str">
        <f t="shared" si="238"/>
        <v/>
      </c>
      <c r="FY81" s="368" t="str">
        <f t="shared" si="290"/>
        <v/>
      </c>
      <c r="FZ81" s="65">
        <f t="shared" si="291"/>
        <v>0</v>
      </c>
      <c r="GA81" s="66">
        <f t="shared" si="292"/>
        <v>0</v>
      </c>
      <c r="GB81" s="66" t="str">
        <f t="shared" si="293"/>
        <v/>
      </c>
      <c r="GC81" s="74" t="str">
        <f>IF('Marks Entry'!BX81="","",'Marks Entry'!BX81)</f>
        <v/>
      </c>
      <c r="GD81" s="74" t="str">
        <f>IF('Marks Entry'!BY81="","",'Marks Entry'!BY81)</f>
        <v/>
      </c>
      <c r="GE81" s="74" t="str">
        <f>IF('Marks Entry'!BZ81="","",'Marks Entry'!BZ81)</f>
        <v/>
      </c>
      <c r="GF81" s="75" t="str">
        <f t="shared" si="294"/>
        <v/>
      </c>
      <c r="GG81" s="368" t="str">
        <f t="shared" si="295"/>
        <v/>
      </c>
      <c r="GH81" s="65">
        <f t="shared" si="296"/>
        <v>0</v>
      </c>
      <c r="GI81" s="66">
        <f t="shared" si="297"/>
        <v>0</v>
      </c>
      <c r="GJ81" s="66" t="str">
        <f t="shared" si="298"/>
        <v/>
      </c>
      <c r="GK81" s="100" t="str">
        <f>IF(AND(F81="",B81=""),"",IF('Student DATA Entry'!M78="","",'Student DATA Entry'!M78))</f>
        <v/>
      </c>
      <c r="GL81" s="101" t="str">
        <f>IF(AND(B81="",F81=""),"",IF('Student DATA Entry'!N78="","",'Student DATA Entry'!N78))</f>
        <v/>
      </c>
      <c r="GM81" s="581" t="str">
        <f t="shared" si="299"/>
        <v/>
      </c>
      <c r="GN81" s="94" t="str">
        <f t="shared" si="300"/>
        <v/>
      </c>
      <c r="GO81" s="94" t="str">
        <f t="shared" si="301"/>
        <v/>
      </c>
      <c r="GP81" s="102" t="str">
        <f t="shared" si="239"/>
        <v/>
      </c>
      <c r="GQ81" s="94" t="str">
        <f t="shared" si="302"/>
        <v/>
      </c>
      <c r="GR81" s="103" t="str">
        <f t="shared" si="303"/>
        <v/>
      </c>
      <c r="GS81" s="102" t="str">
        <f t="shared" si="240"/>
        <v/>
      </c>
      <c r="GT81" s="104" t="str">
        <f t="shared" si="304"/>
        <v/>
      </c>
      <c r="GU81" s="94" t="str">
        <f>IF('Marks Entry'!V81=1,GT81,"")</f>
        <v/>
      </c>
      <c r="GV81" s="94" t="str">
        <f>IF('Marks Entry'!V81=2,GT81,"")</f>
        <v/>
      </c>
      <c r="GW81" s="94" t="str">
        <f>IF('Marks Entry'!V81=3,GT81,"")</f>
        <v/>
      </c>
      <c r="GX81" s="94" t="str">
        <f>IF('Marks Entry'!V81=4,GT81,"")</f>
        <v/>
      </c>
      <c r="GY81" s="94" t="str">
        <f>IF('Marks Entry'!V81=5,GT81,"")</f>
        <v/>
      </c>
      <c r="GZ81" s="94" t="str">
        <f t="shared" si="305"/>
        <v/>
      </c>
      <c r="HA81" s="105" t="str">
        <f t="shared" si="241"/>
        <v/>
      </c>
      <c r="HB81" s="94" t="str">
        <f t="shared" si="306"/>
        <v/>
      </c>
      <c r="HC81" s="94" t="str">
        <f t="shared" si="307"/>
        <v/>
      </c>
      <c r="HD81" s="105" t="str">
        <f t="shared" si="242"/>
        <v/>
      </c>
      <c r="HE81" s="94" t="str">
        <f t="shared" si="308"/>
        <v/>
      </c>
      <c r="HF81" s="94" t="str">
        <f t="shared" si="309"/>
        <v/>
      </c>
      <c r="HG81" s="105" t="str">
        <f t="shared" si="243"/>
        <v/>
      </c>
      <c r="HH81" s="94" t="str">
        <f t="shared" si="310"/>
        <v/>
      </c>
      <c r="HI81" s="94" t="str">
        <f t="shared" si="311"/>
        <v/>
      </c>
      <c r="HJ81" s="105" t="str">
        <f t="shared" si="244"/>
        <v/>
      </c>
      <c r="HK81" s="94" t="str">
        <f t="shared" si="312"/>
        <v/>
      </c>
      <c r="HL81" s="94" t="str">
        <f t="shared" si="313"/>
        <v/>
      </c>
      <c r="HM81" s="105" t="str">
        <f t="shared" si="245"/>
        <v/>
      </c>
      <c r="HN81" s="367" t="str">
        <f t="shared" si="314"/>
        <v xml:space="preserve">      </v>
      </c>
      <c r="HO81" s="418" t="str">
        <f t="shared" si="246"/>
        <v xml:space="preserve">      </v>
      </c>
      <c r="HP81" s="367" t="str">
        <f t="shared" si="315"/>
        <v xml:space="preserve">      </v>
      </c>
      <c r="HQ81" s="107" t="str">
        <f t="shared" si="316"/>
        <v xml:space="preserve">      </v>
      </c>
      <c r="HR81" s="366" t="str">
        <f t="shared" si="317"/>
        <v xml:space="preserve">      </v>
      </c>
      <c r="HS81" s="544" t="str">
        <f t="shared" si="247"/>
        <v/>
      </c>
      <c r="HT81" s="542" t="str">
        <f t="shared" si="318"/>
        <v/>
      </c>
      <c r="HU81" s="541" t="str">
        <f t="shared" si="319"/>
        <v/>
      </c>
      <c r="HV81" s="540" t="str">
        <f t="shared" si="320"/>
        <v/>
      </c>
      <c r="HW81" s="537" t="str">
        <f t="shared" si="321"/>
        <v/>
      </c>
      <c r="HX81" s="539" t="str">
        <f t="shared" si="322"/>
        <v/>
      </c>
      <c r="HY81" s="553" t="str">
        <f>IFERROR(IF(OR(HS81="SUPPLEMENTARY",HS81="RE-EXAM"),'Supp. Result Entry'!AQ79,""),"")</f>
        <v/>
      </c>
      <c r="HZ81" s="538" t="str">
        <f t="shared" si="323"/>
        <v/>
      </c>
      <c r="IA81" s="415" t="str">
        <f t="shared" si="324"/>
        <v/>
      </c>
      <c r="IB81" s="415" t="str">
        <f>IF(AND(HZ81="",IA81=""),"",IF(OR(HS81="SUPPLEMENTARY",HS81="RE-EXAM"),'Supp. Result Entry'!AQ79,HS81))</f>
        <v/>
      </c>
      <c r="IC81" s="87"/>
      <c r="IS81" s="109" t="str">
        <f>IF('Supp. Result Entry'!T79="","",'Supp. Result Entry'!$T$4)</f>
        <v/>
      </c>
      <c r="IT81" s="110" t="str">
        <f>IF('Supp. Result Entry'!W79="","",'Supp. Result Entry'!$W$4)</f>
        <v/>
      </c>
      <c r="IU81" s="110" t="str">
        <f>IF('Supp. Result Entry'!Z79="","",'Supp. Result Entry'!$Z$4)</f>
        <v/>
      </c>
      <c r="IV81" s="110" t="str">
        <f>IF('Supp. Result Entry'!AC79="","",'Supp. Result Entry'!$AC$4)</f>
        <v/>
      </c>
      <c r="IW81" s="110" t="str">
        <f>IF('Supp. Result Entry'!AF79="","",'Supp. Result Entry'!$AF$4)</f>
        <v/>
      </c>
      <c r="IX81" s="110" t="str">
        <f>IF('Supp. Result Entry'!AI79="","",'Supp. Result Entry'!$AI$4)</f>
        <v/>
      </c>
      <c r="IY81" s="110" t="str">
        <f>IF('Supp. Result Entry'!AI79="","",'Supp. Result Entry'!$AL$4)</f>
        <v/>
      </c>
      <c r="IZ81" s="110" t="str">
        <f>IF('Supp. Result Entry'!U79="","",'Supp. Result Entry'!U79)</f>
        <v/>
      </c>
      <c r="JA81" s="110" t="str">
        <f>IF('Supp. Result Entry'!X79="","",'Supp. Result Entry'!X79)</f>
        <v/>
      </c>
      <c r="JB81" s="110" t="str">
        <f>IF('Supp. Result Entry'!AA79="","",'Supp. Result Entry'!AA79)</f>
        <v/>
      </c>
      <c r="JC81" s="110" t="str">
        <f>IF('Supp. Result Entry'!AD79="","",'Supp. Result Entry'!AD79)</f>
        <v/>
      </c>
      <c r="JD81" s="110" t="str">
        <f>IF('Supp. Result Entry'!AG79="","",'Supp. Result Entry'!AG79)</f>
        <v/>
      </c>
      <c r="JE81" s="110" t="str">
        <f>IF('Supp. Result Entry'!AJ79="","",'Supp. Result Entry'!AJ79)</f>
        <v/>
      </c>
      <c r="JF81" s="110" t="str">
        <f>IF('Supp. Result Entry'!AM79="","",'Supp. Result Entry'!AM79)</f>
        <v/>
      </c>
      <c r="JG81" s="110" t="str">
        <f>IF('Supp. Result Entry'!V79="","",'Supp. Result Entry'!V79)</f>
        <v/>
      </c>
      <c r="JH81" s="110" t="str">
        <f>IF('Supp. Result Entry'!Y79="","",'Supp. Result Entry'!Y79)</f>
        <v/>
      </c>
      <c r="JI81" s="110" t="str">
        <f>IF('Supp. Result Entry'!AB79="","",'Supp. Result Entry'!AB79)</f>
        <v/>
      </c>
      <c r="JJ81" s="110" t="str">
        <f>IF('Supp. Result Entry'!AE79="","",'Supp. Result Entry'!AE79)</f>
        <v/>
      </c>
      <c r="JK81" s="110" t="str">
        <f>IF('Supp. Result Entry'!AH79="","",'Supp. Result Entry'!AH79)</f>
        <v/>
      </c>
      <c r="JL81" s="110" t="str">
        <f>IF('Supp. Result Entry'!AK79="","",'Supp. Result Entry'!AK79)</f>
        <v/>
      </c>
      <c r="JM81" s="110" t="str">
        <f>IF('Supp. Result Entry'!AN79="","",'Supp. Result Entry'!AN79)</f>
        <v/>
      </c>
      <c r="JN81" s="110">
        <f>COUNTIF('Supp. Result Entry'!K79:Q79,"S")</f>
        <v>0</v>
      </c>
      <c r="JO81" s="110">
        <f t="shared" si="248"/>
        <v>0</v>
      </c>
      <c r="JP81" s="110">
        <f t="shared" si="325"/>
        <v>0</v>
      </c>
      <c r="JQ81" s="110" t="str">
        <f t="shared" si="249"/>
        <v/>
      </c>
      <c r="JR81" s="110" t="str">
        <f t="shared" si="250"/>
        <v/>
      </c>
      <c r="JS81" s="110" t="str">
        <f t="shared" si="251"/>
        <v/>
      </c>
      <c r="JT81" s="110" t="str">
        <f t="shared" si="252"/>
        <v/>
      </c>
      <c r="JU81" s="110" t="str">
        <f t="shared" si="253"/>
        <v/>
      </c>
      <c r="JV81" s="110" t="str">
        <f t="shared" si="254"/>
        <v/>
      </c>
      <c r="JW81" s="110" t="str">
        <f t="shared" si="255"/>
        <v/>
      </c>
      <c r="JX81" s="110" t="str">
        <f t="shared" si="326"/>
        <v/>
      </c>
      <c r="JY81" s="110" t="str">
        <f t="shared" si="327"/>
        <v/>
      </c>
      <c r="JZ81" s="110" t="str">
        <f t="shared" si="256"/>
        <v/>
      </c>
      <c r="KA81" s="108" t="str">
        <f t="shared" si="328"/>
        <v/>
      </c>
    </row>
    <row r="82" spans="1:287" s="108" customFormat="1" ht="21.95" customHeight="1">
      <c r="A82" s="89">
        <v>76</v>
      </c>
      <c r="B82" s="90" t="str">
        <f>IF('Marks Entry'!B82="","",'Marks Entry'!B82)</f>
        <v/>
      </c>
      <c r="C82" s="94" t="str">
        <f>IF('Marks Entry'!D82="","",'Marks Entry'!D82)</f>
        <v/>
      </c>
      <c r="D82" s="91" t="str">
        <f>IF('Marks Entry'!E82="","",'Marks Entry'!E82)</f>
        <v/>
      </c>
      <c r="E82" s="92" t="str">
        <f>IF('Marks Entry'!F82="","",'Marks Entry'!F82)</f>
        <v/>
      </c>
      <c r="F82" s="93" t="str">
        <f>IF('Marks Entry'!G82="","",'Marks Entry'!G82)</f>
        <v/>
      </c>
      <c r="G82" s="93" t="str">
        <f>IF('Marks Entry'!H82="","",'Marks Entry'!H82)</f>
        <v/>
      </c>
      <c r="H82" s="93" t="str">
        <f>IF('Marks Entry'!I82="","",'Marks Entry'!I82)</f>
        <v/>
      </c>
      <c r="I82" s="94" t="str">
        <f>IF('Marks Entry'!J82="","",'Marks Entry'!J82)</f>
        <v/>
      </c>
      <c r="J82" s="95" t="str">
        <f>IF('Marks Entry'!K82="","",'Marks Entry'!K82)</f>
        <v/>
      </c>
      <c r="K82" s="68" t="str">
        <f>IF('Marks Entry'!L82="","",'Marks Entry'!L82)</f>
        <v/>
      </c>
      <c r="L82" s="68" t="str">
        <f>IF('Marks Entry'!M82="","",'Marks Entry'!M82)</f>
        <v/>
      </c>
      <c r="M82" s="68" t="str">
        <f>IF('Marks Entry'!N82="","",'Marks Entry'!N82)</f>
        <v/>
      </c>
      <c r="N82" s="514" t="str">
        <f t="shared" si="257"/>
        <v/>
      </c>
      <c r="O82" s="68" t="str">
        <f>IF('Marks Entry'!O82="","",'Marks Entry'!O82)</f>
        <v/>
      </c>
      <c r="P82" s="515" t="str">
        <f t="shared" si="258"/>
        <v/>
      </c>
      <c r="Q82" s="68" t="str">
        <f>IF('Marks Entry'!P82="","",'Marks Entry'!P82)</f>
        <v/>
      </c>
      <c r="R82" s="96" t="str">
        <f t="shared" si="259"/>
        <v/>
      </c>
      <c r="S82" s="65">
        <f t="shared" si="260"/>
        <v>0</v>
      </c>
      <c r="T82" s="65">
        <f t="shared" si="261"/>
        <v>0</v>
      </c>
      <c r="U82" s="66" t="str">
        <f t="shared" si="171"/>
        <v/>
      </c>
      <c r="V82" s="65" t="str">
        <f t="shared" si="172"/>
        <v/>
      </c>
      <c r="W82" s="65" t="str">
        <f t="shared" si="262"/>
        <v/>
      </c>
      <c r="X82" s="65" t="str">
        <f t="shared" si="173"/>
        <v/>
      </c>
      <c r="Y82" s="68" t="str">
        <f>IF('Marks Entry'!Q82="","",'Marks Entry'!Q82)</f>
        <v/>
      </c>
      <c r="Z82" s="68" t="str">
        <f>IF('Marks Entry'!R82="","",'Marks Entry'!R82)</f>
        <v/>
      </c>
      <c r="AA82" s="68" t="str">
        <f>IF('Marks Entry'!S82="","",'Marks Entry'!S82)</f>
        <v/>
      </c>
      <c r="AB82" s="514" t="str">
        <f t="shared" si="174"/>
        <v/>
      </c>
      <c r="AC82" s="68" t="str">
        <f>IF('Marks Entry'!T82="","",'Marks Entry'!T82)</f>
        <v/>
      </c>
      <c r="AD82" s="515" t="str">
        <f t="shared" si="175"/>
        <v/>
      </c>
      <c r="AE82" s="68" t="str">
        <f>IF('Marks Entry'!U82="","",'Marks Entry'!U82)</f>
        <v/>
      </c>
      <c r="AF82" s="96" t="str">
        <f t="shared" si="176"/>
        <v/>
      </c>
      <c r="AG82" s="65">
        <f t="shared" si="177"/>
        <v>0</v>
      </c>
      <c r="AH82" s="65">
        <f t="shared" si="178"/>
        <v>0</v>
      </c>
      <c r="AI82" s="66" t="str">
        <f t="shared" si="179"/>
        <v/>
      </c>
      <c r="AJ82" s="65" t="str">
        <f t="shared" si="180"/>
        <v/>
      </c>
      <c r="AK82" s="65" t="str">
        <f t="shared" si="181"/>
        <v/>
      </c>
      <c r="AL82" s="65" t="str">
        <f t="shared" si="182"/>
        <v/>
      </c>
      <c r="AM82" s="524" t="str">
        <f>IF('Marks Entry'!V82="","",IF('Marks Entry'!V82=1,'School Profile'!$I$9,IF('Marks Entry'!V82=2,'School Profile'!$I$10,IF('Marks Entry'!V82=3,'School Profile'!$I$11,IF('Marks Entry'!V82=4,'School Profile'!$I$12,IF('Marks Entry'!V82=5,'School Profile'!$I$13,IF('Marks Entry'!V82=6,'School Profile'!$I$14,"")))))))</f>
        <v/>
      </c>
      <c r="AN82" s="68" t="str">
        <f>IF('Marks Entry'!W82="","",'Marks Entry'!W82)</f>
        <v/>
      </c>
      <c r="AO82" s="68" t="str">
        <f>IF('Marks Entry'!X82="","",'Marks Entry'!X82)</f>
        <v/>
      </c>
      <c r="AP82" s="68" t="str">
        <f>IF('Marks Entry'!Y82="","",'Marks Entry'!Y82)</f>
        <v/>
      </c>
      <c r="AQ82" s="514" t="str">
        <f t="shared" si="183"/>
        <v/>
      </c>
      <c r="AR82" s="68" t="str">
        <f>IF('Marks Entry'!Z82="","",'Marks Entry'!Z82)</f>
        <v/>
      </c>
      <c r="AS82" s="515" t="str">
        <f t="shared" si="184"/>
        <v/>
      </c>
      <c r="AT82" s="68" t="str">
        <f>IF('Marks Entry'!AA82="","",'Marks Entry'!AA82)</f>
        <v/>
      </c>
      <c r="AU82" s="96" t="str">
        <f t="shared" si="185"/>
        <v/>
      </c>
      <c r="AV82" s="65">
        <f t="shared" si="186"/>
        <v>0</v>
      </c>
      <c r="AW82" s="65">
        <f t="shared" si="187"/>
        <v>0</v>
      </c>
      <c r="AX82" s="66" t="str">
        <f t="shared" si="188"/>
        <v/>
      </c>
      <c r="AY82" s="65" t="str">
        <f t="shared" si="189"/>
        <v/>
      </c>
      <c r="AZ82" s="65" t="str">
        <f t="shared" si="190"/>
        <v/>
      </c>
      <c r="BA82" s="65" t="str">
        <f t="shared" si="191"/>
        <v/>
      </c>
      <c r="BB82" s="68" t="str">
        <f>IF('Marks Entry'!AB82="","",'Marks Entry'!AB82)</f>
        <v/>
      </c>
      <c r="BC82" s="68" t="str">
        <f>IF('Marks Entry'!AC82="","",'Marks Entry'!AC82)</f>
        <v/>
      </c>
      <c r="BD82" s="68" t="str">
        <f>IF('Marks Entry'!AD82="","",'Marks Entry'!AD82)</f>
        <v/>
      </c>
      <c r="BE82" s="514" t="str">
        <f t="shared" si="192"/>
        <v/>
      </c>
      <c r="BF82" s="68" t="str">
        <f>IF('Marks Entry'!AE82="","",'Marks Entry'!AE82)</f>
        <v/>
      </c>
      <c r="BG82" s="515" t="str">
        <f t="shared" si="193"/>
        <v/>
      </c>
      <c r="BH82" s="68" t="str">
        <f>IF('Marks Entry'!AF82="","",'Marks Entry'!AF82)</f>
        <v/>
      </c>
      <c r="BI82" s="96" t="str">
        <f t="shared" si="194"/>
        <v/>
      </c>
      <c r="BJ82" s="65">
        <f t="shared" si="195"/>
        <v>0</v>
      </c>
      <c r="BK82" s="65">
        <f t="shared" si="263"/>
        <v>0</v>
      </c>
      <c r="BL82" s="66" t="str">
        <f t="shared" si="196"/>
        <v/>
      </c>
      <c r="BM82" s="65" t="str">
        <f t="shared" si="197"/>
        <v/>
      </c>
      <c r="BN82" s="65" t="str">
        <f t="shared" si="198"/>
        <v/>
      </c>
      <c r="BO82" s="65" t="str">
        <f t="shared" si="199"/>
        <v/>
      </c>
      <c r="BP82" s="68" t="str">
        <f>IF('Marks Entry'!AG82="","",'Marks Entry'!AG82)</f>
        <v/>
      </c>
      <c r="BQ82" s="68" t="str">
        <f>IF('Marks Entry'!AH82="","",'Marks Entry'!AH82)</f>
        <v/>
      </c>
      <c r="BR82" s="68" t="str">
        <f>IF('Marks Entry'!AI82="","",'Marks Entry'!AI82)</f>
        <v/>
      </c>
      <c r="BS82" s="514" t="str">
        <f t="shared" si="200"/>
        <v/>
      </c>
      <c r="BT82" s="68" t="str">
        <f>IF('Marks Entry'!AJ82="","",'Marks Entry'!AJ82)</f>
        <v/>
      </c>
      <c r="BU82" s="515" t="str">
        <f t="shared" si="201"/>
        <v/>
      </c>
      <c r="BV82" s="68" t="str">
        <f>IF('Marks Entry'!AK82="","",'Marks Entry'!AK82)</f>
        <v/>
      </c>
      <c r="BW82" s="96" t="str">
        <f t="shared" si="202"/>
        <v/>
      </c>
      <c r="BX82" s="65">
        <f t="shared" si="203"/>
        <v>0</v>
      </c>
      <c r="BY82" s="65">
        <f t="shared" si="204"/>
        <v>0</v>
      </c>
      <c r="BZ82" s="66" t="str">
        <f t="shared" si="205"/>
        <v/>
      </c>
      <c r="CA82" s="65" t="str">
        <f t="shared" si="206"/>
        <v/>
      </c>
      <c r="CB82" s="65" t="str">
        <f t="shared" si="207"/>
        <v/>
      </c>
      <c r="CC82" s="65" t="str">
        <f t="shared" si="208"/>
        <v/>
      </c>
      <c r="CD82" s="66">
        <f t="shared" si="209"/>
        <v>0</v>
      </c>
      <c r="CE82" s="68" t="str">
        <f>IF('Marks Entry'!AL82="","",'Marks Entry'!AL82)</f>
        <v/>
      </c>
      <c r="CF82" s="68" t="str">
        <f>IF('Marks Entry'!AM82="","",'Marks Entry'!AM82)</f>
        <v/>
      </c>
      <c r="CG82" s="68" t="str">
        <f>IF('Marks Entry'!AN82="","",'Marks Entry'!AN82)</f>
        <v/>
      </c>
      <c r="CH82" s="514" t="str">
        <f t="shared" si="210"/>
        <v/>
      </c>
      <c r="CI82" s="68" t="str">
        <f>IF('Marks Entry'!AO82="","",'Marks Entry'!AO82)</f>
        <v/>
      </c>
      <c r="CJ82" s="515" t="str">
        <f t="shared" si="211"/>
        <v/>
      </c>
      <c r="CK82" s="68" t="str">
        <f>IF('Marks Entry'!AP82="","",'Marks Entry'!AP82)</f>
        <v/>
      </c>
      <c r="CL82" s="96" t="str">
        <f t="shared" si="212"/>
        <v/>
      </c>
      <c r="CM82" s="65">
        <f t="shared" si="213"/>
        <v>0</v>
      </c>
      <c r="CN82" s="65">
        <f t="shared" si="214"/>
        <v>0</v>
      </c>
      <c r="CO82" s="66" t="str">
        <f t="shared" si="215"/>
        <v/>
      </c>
      <c r="CP82" s="65" t="str">
        <f t="shared" si="216"/>
        <v/>
      </c>
      <c r="CQ82" s="65" t="str">
        <f t="shared" si="217"/>
        <v/>
      </c>
      <c r="CR82" s="65" t="str">
        <f t="shared" si="218"/>
        <v/>
      </c>
      <c r="CS82" s="616" t="str">
        <f>IF('School Profile'!$D$20="NO","",IF('Marks Entry'!AQ82="","",IF('Marks Entry'!AQ82=1,'School Profile'!$I$29,IF('Marks Entry'!AQ82=2,'School Profile'!$I$30,IF('Marks Entry'!AQ82=3,'School Profile'!$I$31,IF('Marks Entry'!AQ82=4,'School Profile'!$I$32,IF('Marks Entry'!AQ82=5,'School Profile'!$I$33,IF('Marks Entry'!AQ82=6,'School Profile'!$I$34,IF('Marks Entry'!AQ82=7,'School Profile'!$I$35,IF('Marks Entry'!AQ82=8,'School Profile'!$I$36,IF('Marks Entry'!AQ82=9,'School Profile'!$I$37,IF('Marks Entry'!AQ82=10,'School Profile'!$I$38,IF('Marks Entry'!AQ82=11,'School Profile'!$I$39,"")))))))))))))</f>
        <v/>
      </c>
      <c r="CT82" s="68" t="str">
        <f>IF('School Profile'!$D$20="NO","",IF('Marks Entry'!AR82="","",'Marks Entry'!AR82))</f>
        <v/>
      </c>
      <c r="CU82" s="68" t="str">
        <f>IF('School Profile'!$D$20="NO","",IF('Marks Entry'!AS82="","",'Marks Entry'!AS82))</f>
        <v/>
      </c>
      <c r="CV82" s="68" t="str">
        <f>IF('School Profile'!$D$20="NO","",IF('Marks Entry'!AT82="","",'Marks Entry'!AT82))</f>
        <v/>
      </c>
      <c r="CW82" s="514" t="str">
        <f>IF('School Profile'!$D$20="NO","",IF(AND(CT82="",CU82="",CV82=""),"",SUM(CT82:CV82)))</f>
        <v/>
      </c>
      <c r="CX82" s="68" t="str">
        <f>IF('School Profile'!$D$20="NO","",IF('Marks Entry'!AU82="","",'Marks Entry'!AU82))</f>
        <v/>
      </c>
      <c r="CY82" s="68" t="str">
        <f>IF('School Profile'!$D$20="NO","",IF('Marks Entry'!AV82="","",'Marks Entry'!AV82))</f>
        <v/>
      </c>
      <c r="CZ82" s="515" t="str">
        <f>IF('School Profile'!$D$20="NO","",IF(AND(CX82="",CY82=""),"",SUM(CX82,CY82)))</f>
        <v/>
      </c>
      <c r="DA82" s="69" t="str">
        <f>IF('School Profile'!$D$20="NO","",IF(AND(CW82="",CZ82=""),"",SUM(CW82+CZ82)))</f>
        <v/>
      </c>
      <c r="DB82" s="68" t="str">
        <f>IF('School Profile'!$D$20="NO","",IF('Marks Entry'!AW82="","",'Marks Entry'!AW82))</f>
        <v/>
      </c>
      <c r="DC82" s="68" t="str">
        <f>IF('School Profile'!$D$20="NO","",IF('Marks Entry'!AX82="","",'Marks Entry'!AX82))</f>
        <v/>
      </c>
      <c r="DD82" s="515" t="str">
        <f>IF('School Profile'!$D$20="NO","",IF(AND(DB82="",DC82=""),"",SUM(DB82,DC82)))</f>
        <v/>
      </c>
      <c r="DE82" s="96" t="str">
        <f>IF('School Profile'!$D$20="NO","",IF(AND(DA82="",DD82=""),"",SUM(DA82,DD82)))</f>
        <v/>
      </c>
      <c r="DF82" s="532">
        <f t="shared" si="219"/>
        <v>0</v>
      </c>
      <c r="DG82" s="65">
        <f t="shared" si="220"/>
        <v>0</v>
      </c>
      <c r="DH82" s="66" t="str">
        <f t="shared" si="221"/>
        <v/>
      </c>
      <c r="DI82" s="65" t="str">
        <f t="shared" si="222"/>
        <v/>
      </c>
      <c r="DJ82" s="65" t="str">
        <f t="shared" si="223"/>
        <v/>
      </c>
      <c r="DK82" s="65" t="str">
        <f t="shared" si="224"/>
        <v/>
      </c>
      <c r="DL82" s="97" t="str">
        <f t="shared" si="264"/>
        <v/>
      </c>
      <c r="DM82" s="97" t="str">
        <f t="shared" si="265"/>
        <v/>
      </c>
      <c r="DN82" s="97" t="str">
        <f t="shared" si="266"/>
        <v/>
      </c>
      <c r="DO82" s="97" t="str">
        <f t="shared" si="267"/>
        <v/>
      </c>
      <c r="DP82" s="97" t="str">
        <f t="shared" si="268"/>
        <v/>
      </c>
      <c r="DQ82" s="97" t="str">
        <f t="shared" si="269"/>
        <v/>
      </c>
      <c r="DR82" s="97" t="str">
        <f t="shared" si="270"/>
        <v/>
      </c>
      <c r="DS82" s="98">
        <f t="shared" si="271"/>
        <v>0</v>
      </c>
      <c r="DT82" s="98">
        <f t="shared" si="272"/>
        <v>0</v>
      </c>
      <c r="DU82" s="98">
        <f t="shared" si="273"/>
        <v>0</v>
      </c>
      <c r="DV82" s="98">
        <f t="shared" si="274"/>
        <v>0</v>
      </c>
      <c r="DW82" s="98">
        <f t="shared" si="275"/>
        <v>0</v>
      </c>
      <c r="DX82" s="98" t="str">
        <f t="shared" si="276"/>
        <v/>
      </c>
      <c r="DY82" s="99" t="str">
        <f t="shared" si="277"/>
        <v/>
      </c>
      <c r="DZ82" s="74" t="str">
        <f>IF('Marks Entry'!AY82="","",'Marks Entry'!AY82)</f>
        <v/>
      </c>
      <c r="EA82" s="74" t="str">
        <f>IF('Marks Entry'!AZ82="","",'Marks Entry'!AZ82)</f>
        <v/>
      </c>
      <c r="EB82" s="74" t="str">
        <f>IF('Marks Entry'!BA82="","",'Marks Entry'!BA82)</f>
        <v/>
      </c>
      <c r="EC82" s="527" t="str">
        <f t="shared" si="225"/>
        <v/>
      </c>
      <c r="ED82" s="74" t="str">
        <f>IF('Marks Entry'!BB82="","",'Marks Entry'!BB82)</f>
        <v/>
      </c>
      <c r="EE82" s="528" t="str">
        <f t="shared" si="226"/>
        <v/>
      </c>
      <c r="EF82" s="74" t="str">
        <f>IF('Marks Entry'!BC82="","",'Marks Entry'!BC82)</f>
        <v/>
      </c>
      <c r="EG82" s="530" t="str">
        <f t="shared" si="227"/>
        <v/>
      </c>
      <c r="EH82" s="368" t="str">
        <f t="shared" si="278"/>
        <v/>
      </c>
      <c r="EI82" s="65">
        <f t="shared" si="279"/>
        <v>0</v>
      </c>
      <c r="EJ82" s="65">
        <f t="shared" si="280"/>
        <v>0</v>
      </c>
      <c r="EK82" s="66" t="str">
        <f t="shared" si="281"/>
        <v/>
      </c>
      <c r="EL82" s="74" t="str">
        <f>IF('Marks Entry'!BD82="","",'Marks Entry'!BD82)</f>
        <v/>
      </c>
      <c r="EM82" s="74" t="str">
        <f>IF('Marks Entry'!BE82="","",'Marks Entry'!BE82)</f>
        <v/>
      </c>
      <c r="EN82" s="74" t="str">
        <f>IF('Marks Entry'!BF82="","",'Marks Entry'!BF82)</f>
        <v/>
      </c>
      <c r="EO82" s="527" t="str">
        <f t="shared" si="228"/>
        <v/>
      </c>
      <c r="EP82" s="74" t="str">
        <f>IF('Marks Entry'!BG82="","",'Marks Entry'!BG82)</f>
        <v/>
      </c>
      <c r="EQ82" s="74" t="str">
        <f>IF('Marks Entry'!BH82="","",'Marks Entry'!BH82)</f>
        <v/>
      </c>
      <c r="ER82" s="528" t="str">
        <f t="shared" si="229"/>
        <v/>
      </c>
      <c r="ES82" s="529" t="str">
        <f t="shared" si="230"/>
        <v/>
      </c>
      <c r="ET82" s="74" t="str">
        <f>IF('Marks Entry'!BI82="","",'Marks Entry'!BI82)</f>
        <v/>
      </c>
      <c r="EU82" s="74" t="str">
        <f>IF('Marks Entry'!BJ82="","",'Marks Entry'!BJ82)</f>
        <v/>
      </c>
      <c r="EV82" s="528" t="str">
        <f t="shared" si="231"/>
        <v/>
      </c>
      <c r="EW82" s="530" t="str">
        <f t="shared" si="232"/>
        <v/>
      </c>
      <c r="EX82" s="368" t="str">
        <f t="shared" si="282"/>
        <v/>
      </c>
      <c r="EY82" s="65">
        <f t="shared" si="283"/>
        <v>0</v>
      </c>
      <c r="EZ82" s="65">
        <f t="shared" si="284"/>
        <v>0</v>
      </c>
      <c r="FA82" s="66" t="str">
        <f t="shared" si="285"/>
        <v/>
      </c>
      <c r="FB82" s="74" t="str">
        <f>IF('Marks Entry'!BK82="","",'Marks Entry'!BK82)</f>
        <v/>
      </c>
      <c r="FC82" s="74" t="str">
        <f>IF('Marks Entry'!BL82="","",'Marks Entry'!BL82)</f>
        <v/>
      </c>
      <c r="FD82" s="74" t="str">
        <f>IF('Marks Entry'!BM82="","",'Marks Entry'!BM82)</f>
        <v/>
      </c>
      <c r="FE82" s="74" t="str">
        <f>IF('Marks Entry'!BN82="","",'Marks Entry'!BN82)</f>
        <v/>
      </c>
      <c r="FF82" s="74" t="str">
        <f>IF('Marks Entry'!BO82="","",'Marks Entry'!BO82)</f>
        <v/>
      </c>
      <c r="FG82" s="74" t="str">
        <f>IF('Marks Entry'!BP82="","",'Marks Entry'!BP82)</f>
        <v/>
      </c>
      <c r="FH82" s="527" t="str">
        <f t="shared" si="233"/>
        <v/>
      </c>
      <c r="FI82" s="74" t="str">
        <f>IF('Marks Entry'!BQ82="","",'Marks Entry'!BQ82)</f>
        <v/>
      </c>
      <c r="FJ82" s="74" t="str">
        <f>IF('Marks Entry'!BR82="","",'Marks Entry'!BR82)</f>
        <v/>
      </c>
      <c r="FK82" s="528" t="str">
        <f t="shared" si="234"/>
        <v/>
      </c>
      <c r="FL82" s="529" t="str">
        <f t="shared" si="235"/>
        <v/>
      </c>
      <c r="FM82" s="74" t="str">
        <f>IF('Marks Entry'!BS82="","",'Marks Entry'!BS82)</f>
        <v/>
      </c>
      <c r="FN82" s="74" t="str">
        <f>IF('Marks Entry'!BT82="","",'Marks Entry'!BT82)</f>
        <v/>
      </c>
      <c r="FO82" s="528" t="str">
        <f t="shared" si="236"/>
        <v/>
      </c>
      <c r="FP82" s="530" t="str">
        <f t="shared" si="237"/>
        <v/>
      </c>
      <c r="FQ82" s="368" t="str">
        <f t="shared" si="286"/>
        <v/>
      </c>
      <c r="FR82" s="65">
        <f t="shared" si="287"/>
        <v>0</v>
      </c>
      <c r="FS82" s="65">
        <f t="shared" si="288"/>
        <v>0</v>
      </c>
      <c r="FT82" s="66" t="str">
        <f t="shared" si="289"/>
        <v/>
      </c>
      <c r="FU82" s="74" t="str">
        <f>IF('Marks Entry'!BU82="","",'Marks Entry'!BU82)</f>
        <v/>
      </c>
      <c r="FV82" s="74" t="str">
        <f>IF('Marks Entry'!BV82="","",'Marks Entry'!BV82)</f>
        <v/>
      </c>
      <c r="FW82" s="74" t="str">
        <f>IF('Marks Entry'!BW82="","",'Marks Entry'!BW82)</f>
        <v/>
      </c>
      <c r="FX82" s="75" t="str">
        <f t="shared" si="238"/>
        <v/>
      </c>
      <c r="FY82" s="368" t="str">
        <f t="shared" si="290"/>
        <v/>
      </c>
      <c r="FZ82" s="65">
        <f t="shared" si="291"/>
        <v>0</v>
      </c>
      <c r="GA82" s="66">
        <f t="shared" si="292"/>
        <v>0</v>
      </c>
      <c r="GB82" s="66" t="str">
        <f t="shared" si="293"/>
        <v/>
      </c>
      <c r="GC82" s="74" t="str">
        <f>IF('Marks Entry'!BX82="","",'Marks Entry'!BX82)</f>
        <v/>
      </c>
      <c r="GD82" s="74" t="str">
        <f>IF('Marks Entry'!BY82="","",'Marks Entry'!BY82)</f>
        <v/>
      </c>
      <c r="GE82" s="74" t="str">
        <f>IF('Marks Entry'!BZ82="","",'Marks Entry'!BZ82)</f>
        <v/>
      </c>
      <c r="GF82" s="75" t="str">
        <f t="shared" si="294"/>
        <v/>
      </c>
      <c r="GG82" s="368" t="str">
        <f t="shared" si="295"/>
        <v/>
      </c>
      <c r="GH82" s="65">
        <f t="shared" si="296"/>
        <v>0</v>
      </c>
      <c r="GI82" s="66">
        <f t="shared" si="297"/>
        <v>0</v>
      </c>
      <c r="GJ82" s="66" t="str">
        <f t="shared" si="298"/>
        <v/>
      </c>
      <c r="GK82" s="100" t="str">
        <f>IF(AND(F82="",B82=""),"",IF('Student DATA Entry'!M79="","",'Student DATA Entry'!M79))</f>
        <v/>
      </c>
      <c r="GL82" s="101" t="str">
        <f>IF(AND(B82="",F82=""),"",IF('Student DATA Entry'!N79="","",'Student DATA Entry'!N79))</f>
        <v/>
      </c>
      <c r="GM82" s="581" t="str">
        <f t="shared" si="299"/>
        <v/>
      </c>
      <c r="GN82" s="94" t="str">
        <f t="shared" si="300"/>
        <v/>
      </c>
      <c r="GO82" s="94" t="str">
        <f t="shared" si="301"/>
        <v/>
      </c>
      <c r="GP82" s="102" t="str">
        <f t="shared" si="239"/>
        <v/>
      </c>
      <c r="GQ82" s="94" t="str">
        <f t="shared" si="302"/>
        <v/>
      </c>
      <c r="GR82" s="103" t="str">
        <f t="shared" si="303"/>
        <v/>
      </c>
      <c r="GS82" s="102" t="str">
        <f t="shared" si="240"/>
        <v/>
      </c>
      <c r="GT82" s="104" t="str">
        <f t="shared" si="304"/>
        <v/>
      </c>
      <c r="GU82" s="94" t="str">
        <f>IF('Marks Entry'!V82=1,GT82,"")</f>
        <v/>
      </c>
      <c r="GV82" s="94" t="str">
        <f>IF('Marks Entry'!V82=2,GT82,"")</f>
        <v/>
      </c>
      <c r="GW82" s="94" t="str">
        <f>IF('Marks Entry'!V82=3,GT82,"")</f>
        <v/>
      </c>
      <c r="GX82" s="94" t="str">
        <f>IF('Marks Entry'!V82=4,GT82,"")</f>
        <v/>
      </c>
      <c r="GY82" s="94" t="str">
        <f>IF('Marks Entry'!V82=5,GT82,"")</f>
        <v/>
      </c>
      <c r="GZ82" s="94" t="str">
        <f t="shared" si="305"/>
        <v/>
      </c>
      <c r="HA82" s="105" t="str">
        <f t="shared" si="241"/>
        <v/>
      </c>
      <c r="HB82" s="94" t="str">
        <f t="shared" si="306"/>
        <v/>
      </c>
      <c r="HC82" s="94" t="str">
        <f t="shared" si="307"/>
        <v/>
      </c>
      <c r="HD82" s="105" t="str">
        <f t="shared" si="242"/>
        <v/>
      </c>
      <c r="HE82" s="94" t="str">
        <f t="shared" si="308"/>
        <v/>
      </c>
      <c r="HF82" s="94" t="str">
        <f t="shared" si="309"/>
        <v/>
      </c>
      <c r="HG82" s="105" t="str">
        <f t="shared" si="243"/>
        <v/>
      </c>
      <c r="HH82" s="94" t="str">
        <f t="shared" si="310"/>
        <v/>
      </c>
      <c r="HI82" s="94" t="str">
        <f t="shared" si="311"/>
        <v/>
      </c>
      <c r="HJ82" s="105" t="str">
        <f t="shared" si="244"/>
        <v/>
      </c>
      <c r="HK82" s="94" t="str">
        <f t="shared" si="312"/>
        <v/>
      </c>
      <c r="HL82" s="94" t="str">
        <f t="shared" si="313"/>
        <v/>
      </c>
      <c r="HM82" s="105" t="str">
        <f t="shared" si="245"/>
        <v/>
      </c>
      <c r="HN82" s="367" t="str">
        <f t="shared" si="314"/>
        <v xml:space="preserve">      </v>
      </c>
      <c r="HO82" s="418" t="str">
        <f t="shared" si="246"/>
        <v xml:space="preserve">      </v>
      </c>
      <c r="HP82" s="367" t="str">
        <f t="shared" si="315"/>
        <v xml:space="preserve">      </v>
      </c>
      <c r="HQ82" s="107" t="str">
        <f t="shared" si="316"/>
        <v xml:space="preserve">      </v>
      </c>
      <c r="HR82" s="366" t="str">
        <f t="shared" si="317"/>
        <v xml:space="preserve">      </v>
      </c>
      <c r="HS82" s="544" t="str">
        <f t="shared" si="247"/>
        <v/>
      </c>
      <c r="HT82" s="542" t="str">
        <f t="shared" si="318"/>
        <v/>
      </c>
      <c r="HU82" s="541" t="str">
        <f t="shared" si="319"/>
        <v/>
      </c>
      <c r="HV82" s="540" t="str">
        <f t="shared" si="320"/>
        <v/>
      </c>
      <c r="HW82" s="537" t="str">
        <f t="shared" si="321"/>
        <v/>
      </c>
      <c r="HX82" s="539" t="str">
        <f t="shared" si="322"/>
        <v/>
      </c>
      <c r="HY82" s="553" t="str">
        <f>IFERROR(IF(OR(HS82="SUPPLEMENTARY",HS82="RE-EXAM"),'Supp. Result Entry'!AQ80,""),"")</f>
        <v/>
      </c>
      <c r="HZ82" s="538" t="str">
        <f t="shared" si="323"/>
        <v/>
      </c>
      <c r="IA82" s="415" t="str">
        <f t="shared" si="324"/>
        <v/>
      </c>
      <c r="IB82" s="415" t="str">
        <f>IF(AND(HZ82="",IA82=""),"",IF(OR(HS82="SUPPLEMENTARY",HS82="RE-EXAM"),'Supp. Result Entry'!AQ80,HS82))</f>
        <v/>
      </c>
      <c r="IC82" s="87"/>
      <c r="IS82" s="109" t="str">
        <f>IF('Supp. Result Entry'!T80="","",'Supp. Result Entry'!$T$4)</f>
        <v/>
      </c>
      <c r="IT82" s="110" t="str">
        <f>IF('Supp. Result Entry'!W80="","",'Supp. Result Entry'!$W$4)</f>
        <v/>
      </c>
      <c r="IU82" s="110" t="str">
        <f>IF('Supp. Result Entry'!Z80="","",'Supp. Result Entry'!$Z$4)</f>
        <v/>
      </c>
      <c r="IV82" s="110" t="str">
        <f>IF('Supp. Result Entry'!AC80="","",'Supp. Result Entry'!$AC$4)</f>
        <v/>
      </c>
      <c r="IW82" s="110" t="str">
        <f>IF('Supp. Result Entry'!AF80="","",'Supp. Result Entry'!$AF$4)</f>
        <v/>
      </c>
      <c r="IX82" s="110" t="str">
        <f>IF('Supp. Result Entry'!AI80="","",'Supp. Result Entry'!$AI$4)</f>
        <v/>
      </c>
      <c r="IY82" s="110" t="str">
        <f>IF('Supp. Result Entry'!AI80="","",'Supp. Result Entry'!$AL$4)</f>
        <v/>
      </c>
      <c r="IZ82" s="110" t="str">
        <f>IF('Supp. Result Entry'!U80="","",'Supp. Result Entry'!U80)</f>
        <v/>
      </c>
      <c r="JA82" s="110" t="str">
        <f>IF('Supp. Result Entry'!X80="","",'Supp. Result Entry'!X80)</f>
        <v/>
      </c>
      <c r="JB82" s="110" t="str">
        <f>IF('Supp. Result Entry'!AA80="","",'Supp. Result Entry'!AA80)</f>
        <v/>
      </c>
      <c r="JC82" s="110" t="str">
        <f>IF('Supp. Result Entry'!AD80="","",'Supp. Result Entry'!AD80)</f>
        <v/>
      </c>
      <c r="JD82" s="110" t="str">
        <f>IF('Supp. Result Entry'!AG80="","",'Supp. Result Entry'!AG80)</f>
        <v/>
      </c>
      <c r="JE82" s="110" t="str">
        <f>IF('Supp. Result Entry'!AJ80="","",'Supp. Result Entry'!AJ80)</f>
        <v/>
      </c>
      <c r="JF82" s="110" t="str">
        <f>IF('Supp. Result Entry'!AM80="","",'Supp. Result Entry'!AM80)</f>
        <v/>
      </c>
      <c r="JG82" s="110" t="str">
        <f>IF('Supp. Result Entry'!V80="","",'Supp. Result Entry'!V80)</f>
        <v/>
      </c>
      <c r="JH82" s="110" t="str">
        <f>IF('Supp. Result Entry'!Y80="","",'Supp. Result Entry'!Y80)</f>
        <v/>
      </c>
      <c r="JI82" s="110" t="str">
        <f>IF('Supp. Result Entry'!AB80="","",'Supp. Result Entry'!AB80)</f>
        <v/>
      </c>
      <c r="JJ82" s="110" t="str">
        <f>IF('Supp. Result Entry'!AE80="","",'Supp. Result Entry'!AE80)</f>
        <v/>
      </c>
      <c r="JK82" s="110" t="str">
        <f>IF('Supp. Result Entry'!AH80="","",'Supp. Result Entry'!AH80)</f>
        <v/>
      </c>
      <c r="JL82" s="110" t="str">
        <f>IF('Supp. Result Entry'!AK80="","",'Supp. Result Entry'!AK80)</f>
        <v/>
      </c>
      <c r="JM82" s="110" t="str">
        <f>IF('Supp. Result Entry'!AN80="","",'Supp. Result Entry'!AN80)</f>
        <v/>
      </c>
      <c r="JN82" s="110">
        <f>COUNTIF('Supp. Result Entry'!K80:Q80,"S")</f>
        <v>0</v>
      </c>
      <c r="JO82" s="110">
        <f t="shared" si="248"/>
        <v>0</v>
      </c>
      <c r="JP82" s="110">
        <f t="shared" si="325"/>
        <v>0</v>
      </c>
      <c r="JQ82" s="110" t="str">
        <f t="shared" si="249"/>
        <v/>
      </c>
      <c r="JR82" s="110" t="str">
        <f t="shared" si="250"/>
        <v/>
      </c>
      <c r="JS82" s="110" t="str">
        <f t="shared" si="251"/>
        <v/>
      </c>
      <c r="JT82" s="110" t="str">
        <f t="shared" si="252"/>
        <v/>
      </c>
      <c r="JU82" s="110" t="str">
        <f t="shared" si="253"/>
        <v/>
      </c>
      <c r="JV82" s="110" t="str">
        <f t="shared" si="254"/>
        <v/>
      </c>
      <c r="JW82" s="110" t="str">
        <f t="shared" si="255"/>
        <v/>
      </c>
      <c r="JX82" s="110" t="str">
        <f t="shared" si="326"/>
        <v/>
      </c>
      <c r="JY82" s="110" t="str">
        <f t="shared" si="327"/>
        <v/>
      </c>
      <c r="JZ82" s="110" t="str">
        <f t="shared" si="256"/>
        <v/>
      </c>
      <c r="KA82" s="108" t="str">
        <f t="shared" si="328"/>
        <v/>
      </c>
    </row>
    <row r="83" spans="1:287" s="108" customFormat="1" ht="21.95" customHeight="1">
      <c r="A83" s="89">
        <v>77</v>
      </c>
      <c r="B83" s="90" t="str">
        <f>IF('Marks Entry'!B83="","",'Marks Entry'!B83)</f>
        <v/>
      </c>
      <c r="C83" s="94" t="str">
        <f>IF('Marks Entry'!D83="","",'Marks Entry'!D83)</f>
        <v/>
      </c>
      <c r="D83" s="91" t="str">
        <f>IF('Marks Entry'!E83="","",'Marks Entry'!E83)</f>
        <v/>
      </c>
      <c r="E83" s="92" t="str">
        <f>IF('Marks Entry'!F83="","",'Marks Entry'!F83)</f>
        <v/>
      </c>
      <c r="F83" s="93" t="str">
        <f>IF('Marks Entry'!G83="","",'Marks Entry'!G83)</f>
        <v/>
      </c>
      <c r="G83" s="93" t="str">
        <f>IF('Marks Entry'!H83="","",'Marks Entry'!H83)</f>
        <v/>
      </c>
      <c r="H83" s="93" t="str">
        <f>IF('Marks Entry'!I83="","",'Marks Entry'!I83)</f>
        <v/>
      </c>
      <c r="I83" s="94" t="str">
        <f>IF('Marks Entry'!J83="","",'Marks Entry'!J83)</f>
        <v/>
      </c>
      <c r="J83" s="95" t="str">
        <f>IF('Marks Entry'!K83="","",'Marks Entry'!K83)</f>
        <v/>
      </c>
      <c r="K83" s="68" t="str">
        <f>IF('Marks Entry'!L83="","",'Marks Entry'!L83)</f>
        <v/>
      </c>
      <c r="L83" s="68" t="str">
        <f>IF('Marks Entry'!M83="","",'Marks Entry'!M83)</f>
        <v/>
      </c>
      <c r="M83" s="68" t="str">
        <f>IF('Marks Entry'!N83="","",'Marks Entry'!N83)</f>
        <v/>
      </c>
      <c r="N83" s="514" t="str">
        <f t="shared" si="257"/>
        <v/>
      </c>
      <c r="O83" s="68" t="str">
        <f>IF('Marks Entry'!O83="","",'Marks Entry'!O83)</f>
        <v/>
      </c>
      <c r="P83" s="515" t="str">
        <f t="shared" si="258"/>
        <v/>
      </c>
      <c r="Q83" s="68" t="str">
        <f>IF('Marks Entry'!P83="","",'Marks Entry'!P83)</f>
        <v/>
      </c>
      <c r="R83" s="96" t="str">
        <f t="shared" si="259"/>
        <v/>
      </c>
      <c r="S83" s="65">
        <f t="shared" si="260"/>
        <v>0</v>
      </c>
      <c r="T83" s="65">
        <f t="shared" si="261"/>
        <v>0</v>
      </c>
      <c r="U83" s="66" t="str">
        <f t="shared" si="171"/>
        <v/>
      </c>
      <c r="V83" s="65" t="str">
        <f t="shared" si="172"/>
        <v/>
      </c>
      <c r="W83" s="65" t="str">
        <f t="shared" si="262"/>
        <v/>
      </c>
      <c r="X83" s="65" t="str">
        <f t="shared" si="173"/>
        <v/>
      </c>
      <c r="Y83" s="68" t="str">
        <f>IF('Marks Entry'!Q83="","",'Marks Entry'!Q83)</f>
        <v/>
      </c>
      <c r="Z83" s="68" t="str">
        <f>IF('Marks Entry'!R83="","",'Marks Entry'!R83)</f>
        <v/>
      </c>
      <c r="AA83" s="68" t="str">
        <f>IF('Marks Entry'!S83="","",'Marks Entry'!S83)</f>
        <v/>
      </c>
      <c r="AB83" s="514" t="str">
        <f t="shared" si="174"/>
        <v/>
      </c>
      <c r="AC83" s="68" t="str">
        <f>IF('Marks Entry'!T83="","",'Marks Entry'!T83)</f>
        <v/>
      </c>
      <c r="AD83" s="515" t="str">
        <f t="shared" si="175"/>
        <v/>
      </c>
      <c r="AE83" s="68" t="str">
        <f>IF('Marks Entry'!U83="","",'Marks Entry'!U83)</f>
        <v/>
      </c>
      <c r="AF83" s="96" t="str">
        <f t="shared" si="176"/>
        <v/>
      </c>
      <c r="AG83" s="65">
        <f t="shared" si="177"/>
        <v>0</v>
      </c>
      <c r="AH83" s="65">
        <f t="shared" si="178"/>
        <v>0</v>
      </c>
      <c r="AI83" s="66" t="str">
        <f t="shared" si="179"/>
        <v/>
      </c>
      <c r="AJ83" s="65" t="str">
        <f t="shared" si="180"/>
        <v/>
      </c>
      <c r="AK83" s="65" t="str">
        <f t="shared" si="181"/>
        <v/>
      </c>
      <c r="AL83" s="65" t="str">
        <f t="shared" si="182"/>
        <v/>
      </c>
      <c r="AM83" s="524" t="str">
        <f>IF('Marks Entry'!V83="","",IF('Marks Entry'!V83=1,'School Profile'!$I$9,IF('Marks Entry'!V83=2,'School Profile'!$I$10,IF('Marks Entry'!V83=3,'School Profile'!$I$11,IF('Marks Entry'!V83=4,'School Profile'!$I$12,IF('Marks Entry'!V83=5,'School Profile'!$I$13,IF('Marks Entry'!V83=6,'School Profile'!$I$14,"")))))))</f>
        <v/>
      </c>
      <c r="AN83" s="68" t="str">
        <f>IF('Marks Entry'!W83="","",'Marks Entry'!W83)</f>
        <v/>
      </c>
      <c r="AO83" s="68" t="str">
        <f>IF('Marks Entry'!X83="","",'Marks Entry'!X83)</f>
        <v/>
      </c>
      <c r="AP83" s="68" t="str">
        <f>IF('Marks Entry'!Y83="","",'Marks Entry'!Y83)</f>
        <v/>
      </c>
      <c r="AQ83" s="514" t="str">
        <f t="shared" si="183"/>
        <v/>
      </c>
      <c r="AR83" s="68" t="str">
        <f>IF('Marks Entry'!Z83="","",'Marks Entry'!Z83)</f>
        <v/>
      </c>
      <c r="AS83" s="515" t="str">
        <f t="shared" si="184"/>
        <v/>
      </c>
      <c r="AT83" s="68" t="str">
        <f>IF('Marks Entry'!AA83="","",'Marks Entry'!AA83)</f>
        <v/>
      </c>
      <c r="AU83" s="96" t="str">
        <f t="shared" si="185"/>
        <v/>
      </c>
      <c r="AV83" s="65">
        <f t="shared" si="186"/>
        <v>0</v>
      </c>
      <c r="AW83" s="65">
        <f t="shared" si="187"/>
        <v>0</v>
      </c>
      <c r="AX83" s="66" t="str">
        <f t="shared" si="188"/>
        <v/>
      </c>
      <c r="AY83" s="65" t="str">
        <f t="shared" si="189"/>
        <v/>
      </c>
      <c r="AZ83" s="65" t="str">
        <f t="shared" si="190"/>
        <v/>
      </c>
      <c r="BA83" s="65" t="str">
        <f t="shared" si="191"/>
        <v/>
      </c>
      <c r="BB83" s="68" t="str">
        <f>IF('Marks Entry'!AB83="","",'Marks Entry'!AB83)</f>
        <v/>
      </c>
      <c r="BC83" s="68" t="str">
        <f>IF('Marks Entry'!AC83="","",'Marks Entry'!AC83)</f>
        <v/>
      </c>
      <c r="BD83" s="68" t="str">
        <f>IF('Marks Entry'!AD83="","",'Marks Entry'!AD83)</f>
        <v/>
      </c>
      <c r="BE83" s="514" t="str">
        <f t="shared" si="192"/>
        <v/>
      </c>
      <c r="BF83" s="68" t="str">
        <f>IF('Marks Entry'!AE83="","",'Marks Entry'!AE83)</f>
        <v/>
      </c>
      <c r="BG83" s="515" t="str">
        <f t="shared" si="193"/>
        <v/>
      </c>
      <c r="BH83" s="68" t="str">
        <f>IF('Marks Entry'!AF83="","",'Marks Entry'!AF83)</f>
        <v/>
      </c>
      <c r="BI83" s="96" t="str">
        <f t="shared" si="194"/>
        <v/>
      </c>
      <c r="BJ83" s="65">
        <f t="shared" si="195"/>
        <v>0</v>
      </c>
      <c r="BK83" s="65">
        <f t="shared" si="263"/>
        <v>0</v>
      </c>
      <c r="BL83" s="66" t="str">
        <f t="shared" si="196"/>
        <v/>
      </c>
      <c r="BM83" s="65" t="str">
        <f t="shared" si="197"/>
        <v/>
      </c>
      <c r="BN83" s="65" t="str">
        <f t="shared" si="198"/>
        <v/>
      </c>
      <c r="BO83" s="65" t="str">
        <f t="shared" si="199"/>
        <v/>
      </c>
      <c r="BP83" s="68" t="str">
        <f>IF('Marks Entry'!AG83="","",'Marks Entry'!AG83)</f>
        <v/>
      </c>
      <c r="BQ83" s="68" t="str">
        <f>IF('Marks Entry'!AH83="","",'Marks Entry'!AH83)</f>
        <v/>
      </c>
      <c r="BR83" s="68" t="str">
        <f>IF('Marks Entry'!AI83="","",'Marks Entry'!AI83)</f>
        <v/>
      </c>
      <c r="BS83" s="514" t="str">
        <f t="shared" si="200"/>
        <v/>
      </c>
      <c r="BT83" s="68" t="str">
        <f>IF('Marks Entry'!AJ83="","",'Marks Entry'!AJ83)</f>
        <v/>
      </c>
      <c r="BU83" s="515" t="str">
        <f t="shared" si="201"/>
        <v/>
      </c>
      <c r="BV83" s="68" t="str">
        <f>IF('Marks Entry'!AK83="","",'Marks Entry'!AK83)</f>
        <v/>
      </c>
      <c r="BW83" s="96" t="str">
        <f t="shared" si="202"/>
        <v/>
      </c>
      <c r="BX83" s="65">
        <f t="shared" si="203"/>
        <v>0</v>
      </c>
      <c r="BY83" s="65">
        <f t="shared" si="204"/>
        <v>0</v>
      </c>
      <c r="BZ83" s="66" t="str">
        <f t="shared" si="205"/>
        <v/>
      </c>
      <c r="CA83" s="65" t="str">
        <f t="shared" si="206"/>
        <v/>
      </c>
      <c r="CB83" s="65" t="str">
        <f t="shared" si="207"/>
        <v/>
      </c>
      <c r="CC83" s="65" t="str">
        <f t="shared" si="208"/>
        <v/>
      </c>
      <c r="CD83" s="66">
        <f t="shared" si="209"/>
        <v>0</v>
      </c>
      <c r="CE83" s="68" t="str">
        <f>IF('Marks Entry'!AL83="","",'Marks Entry'!AL83)</f>
        <v/>
      </c>
      <c r="CF83" s="68" t="str">
        <f>IF('Marks Entry'!AM83="","",'Marks Entry'!AM83)</f>
        <v/>
      </c>
      <c r="CG83" s="68" t="str">
        <f>IF('Marks Entry'!AN83="","",'Marks Entry'!AN83)</f>
        <v/>
      </c>
      <c r="CH83" s="514" t="str">
        <f t="shared" si="210"/>
        <v/>
      </c>
      <c r="CI83" s="68" t="str">
        <f>IF('Marks Entry'!AO83="","",'Marks Entry'!AO83)</f>
        <v/>
      </c>
      <c r="CJ83" s="515" t="str">
        <f t="shared" si="211"/>
        <v/>
      </c>
      <c r="CK83" s="68" t="str">
        <f>IF('Marks Entry'!AP83="","",'Marks Entry'!AP83)</f>
        <v/>
      </c>
      <c r="CL83" s="96" t="str">
        <f t="shared" si="212"/>
        <v/>
      </c>
      <c r="CM83" s="65">
        <f t="shared" si="213"/>
        <v>0</v>
      </c>
      <c r="CN83" s="65">
        <f t="shared" si="214"/>
        <v>0</v>
      </c>
      <c r="CO83" s="66" t="str">
        <f t="shared" si="215"/>
        <v/>
      </c>
      <c r="CP83" s="65" t="str">
        <f t="shared" si="216"/>
        <v/>
      </c>
      <c r="CQ83" s="65" t="str">
        <f t="shared" si="217"/>
        <v/>
      </c>
      <c r="CR83" s="65" t="str">
        <f t="shared" si="218"/>
        <v/>
      </c>
      <c r="CS83" s="616" t="str">
        <f>IF('School Profile'!$D$20="NO","",IF('Marks Entry'!AQ83="","",IF('Marks Entry'!AQ83=1,'School Profile'!$I$29,IF('Marks Entry'!AQ83=2,'School Profile'!$I$30,IF('Marks Entry'!AQ83=3,'School Profile'!$I$31,IF('Marks Entry'!AQ83=4,'School Profile'!$I$32,IF('Marks Entry'!AQ83=5,'School Profile'!$I$33,IF('Marks Entry'!AQ83=6,'School Profile'!$I$34,IF('Marks Entry'!AQ83=7,'School Profile'!$I$35,IF('Marks Entry'!AQ83=8,'School Profile'!$I$36,IF('Marks Entry'!AQ83=9,'School Profile'!$I$37,IF('Marks Entry'!AQ83=10,'School Profile'!$I$38,IF('Marks Entry'!AQ83=11,'School Profile'!$I$39,"")))))))))))))</f>
        <v/>
      </c>
      <c r="CT83" s="68" t="str">
        <f>IF('School Profile'!$D$20="NO","",IF('Marks Entry'!AR83="","",'Marks Entry'!AR83))</f>
        <v/>
      </c>
      <c r="CU83" s="68" t="str">
        <f>IF('School Profile'!$D$20="NO","",IF('Marks Entry'!AS83="","",'Marks Entry'!AS83))</f>
        <v/>
      </c>
      <c r="CV83" s="68" t="str">
        <f>IF('School Profile'!$D$20="NO","",IF('Marks Entry'!AT83="","",'Marks Entry'!AT83))</f>
        <v/>
      </c>
      <c r="CW83" s="514" t="str">
        <f>IF('School Profile'!$D$20="NO","",IF(AND(CT83="",CU83="",CV83=""),"",SUM(CT83:CV83)))</f>
        <v/>
      </c>
      <c r="CX83" s="68" t="str">
        <f>IF('School Profile'!$D$20="NO","",IF('Marks Entry'!AU83="","",'Marks Entry'!AU83))</f>
        <v/>
      </c>
      <c r="CY83" s="68" t="str">
        <f>IF('School Profile'!$D$20="NO","",IF('Marks Entry'!AV83="","",'Marks Entry'!AV83))</f>
        <v/>
      </c>
      <c r="CZ83" s="515" t="str">
        <f>IF('School Profile'!$D$20="NO","",IF(AND(CX83="",CY83=""),"",SUM(CX83,CY83)))</f>
        <v/>
      </c>
      <c r="DA83" s="69" t="str">
        <f>IF('School Profile'!$D$20="NO","",IF(AND(CW83="",CZ83=""),"",SUM(CW83+CZ83)))</f>
        <v/>
      </c>
      <c r="DB83" s="68" t="str">
        <f>IF('School Profile'!$D$20="NO","",IF('Marks Entry'!AW83="","",'Marks Entry'!AW83))</f>
        <v/>
      </c>
      <c r="DC83" s="68" t="str">
        <f>IF('School Profile'!$D$20="NO","",IF('Marks Entry'!AX83="","",'Marks Entry'!AX83))</f>
        <v/>
      </c>
      <c r="DD83" s="515" t="str">
        <f>IF('School Profile'!$D$20="NO","",IF(AND(DB83="",DC83=""),"",SUM(DB83,DC83)))</f>
        <v/>
      </c>
      <c r="DE83" s="96" t="str">
        <f>IF('School Profile'!$D$20="NO","",IF(AND(DA83="",DD83=""),"",SUM(DA83,DD83)))</f>
        <v/>
      </c>
      <c r="DF83" s="532">
        <f t="shared" si="219"/>
        <v>0</v>
      </c>
      <c r="DG83" s="65">
        <f t="shared" si="220"/>
        <v>0</v>
      </c>
      <c r="DH83" s="66" t="str">
        <f t="shared" si="221"/>
        <v/>
      </c>
      <c r="DI83" s="65" t="str">
        <f t="shared" si="222"/>
        <v/>
      </c>
      <c r="DJ83" s="65" t="str">
        <f t="shared" si="223"/>
        <v/>
      </c>
      <c r="DK83" s="65" t="str">
        <f t="shared" si="224"/>
        <v/>
      </c>
      <c r="DL83" s="97" t="str">
        <f t="shared" si="264"/>
        <v/>
      </c>
      <c r="DM83" s="97" t="str">
        <f t="shared" si="265"/>
        <v/>
      </c>
      <c r="DN83" s="97" t="str">
        <f t="shared" si="266"/>
        <v/>
      </c>
      <c r="DO83" s="97" t="str">
        <f t="shared" si="267"/>
        <v/>
      </c>
      <c r="DP83" s="97" t="str">
        <f t="shared" si="268"/>
        <v/>
      </c>
      <c r="DQ83" s="97" t="str">
        <f t="shared" si="269"/>
        <v/>
      </c>
      <c r="DR83" s="97" t="str">
        <f t="shared" si="270"/>
        <v/>
      </c>
      <c r="DS83" s="98">
        <f t="shared" si="271"/>
        <v>0</v>
      </c>
      <c r="DT83" s="98">
        <f t="shared" si="272"/>
        <v>0</v>
      </c>
      <c r="DU83" s="98">
        <f t="shared" si="273"/>
        <v>0</v>
      </c>
      <c r="DV83" s="98">
        <f t="shared" si="274"/>
        <v>0</v>
      </c>
      <c r="DW83" s="98">
        <f t="shared" si="275"/>
        <v>0</v>
      </c>
      <c r="DX83" s="98" t="str">
        <f t="shared" si="276"/>
        <v/>
      </c>
      <c r="DY83" s="99" t="str">
        <f t="shared" si="277"/>
        <v/>
      </c>
      <c r="DZ83" s="74" t="str">
        <f>IF('Marks Entry'!AY83="","",'Marks Entry'!AY83)</f>
        <v/>
      </c>
      <c r="EA83" s="74" t="str">
        <f>IF('Marks Entry'!AZ83="","",'Marks Entry'!AZ83)</f>
        <v/>
      </c>
      <c r="EB83" s="74" t="str">
        <f>IF('Marks Entry'!BA83="","",'Marks Entry'!BA83)</f>
        <v/>
      </c>
      <c r="EC83" s="527" t="str">
        <f t="shared" si="225"/>
        <v/>
      </c>
      <c r="ED83" s="74" t="str">
        <f>IF('Marks Entry'!BB83="","",'Marks Entry'!BB83)</f>
        <v/>
      </c>
      <c r="EE83" s="528" t="str">
        <f t="shared" si="226"/>
        <v/>
      </c>
      <c r="EF83" s="74" t="str">
        <f>IF('Marks Entry'!BC83="","",'Marks Entry'!BC83)</f>
        <v/>
      </c>
      <c r="EG83" s="530" t="str">
        <f t="shared" si="227"/>
        <v/>
      </c>
      <c r="EH83" s="368" t="str">
        <f t="shared" si="278"/>
        <v/>
      </c>
      <c r="EI83" s="65">
        <f t="shared" si="279"/>
        <v>0</v>
      </c>
      <c r="EJ83" s="65">
        <f t="shared" si="280"/>
        <v>0</v>
      </c>
      <c r="EK83" s="66" t="str">
        <f t="shared" si="281"/>
        <v/>
      </c>
      <c r="EL83" s="74" t="str">
        <f>IF('Marks Entry'!BD83="","",'Marks Entry'!BD83)</f>
        <v/>
      </c>
      <c r="EM83" s="74" t="str">
        <f>IF('Marks Entry'!BE83="","",'Marks Entry'!BE83)</f>
        <v/>
      </c>
      <c r="EN83" s="74" t="str">
        <f>IF('Marks Entry'!BF83="","",'Marks Entry'!BF83)</f>
        <v/>
      </c>
      <c r="EO83" s="527" t="str">
        <f t="shared" si="228"/>
        <v/>
      </c>
      <c r="EP83" s="74" t="str">
        <f>IF('Marks Entry'!BG83="","",'Marks Entry'!BG83)</f>
        <v/>
      </c>
      <c r="EQ83" s="74" t="str">
        <f>IF('Marks Entry'!BH83="","",'Marks Entry'!BH83)</f>
        <v/>
      </c>
      <c r="ER83" s="528" t="str">
        <f t="shared" si="229"/>
        <v/>
      </c>
      <c r="ES83" s="529" t="str">
        <f t="shared" si="230"/>
        <v/>
      </c>
      <c r="ET83" s="74" t="str">
        <f>IF('Marks Entry'!BI83="","",'Marks Entry'!BI83)</f>
        <v/>
      </c>
      <c r="EU83" s="74" t="str">
        <f>IF('Marks Entry'!BJ83="","",'Marks Entry'!BJ83)</f>
        <v/>
      </c>
      <c r="EV83" s="528" t="str">
        <f t="shared" si="231"/>
        <v/>
      </c>
      <c r="EW83" s="530" t="str">
        <f t="shared" si="232"/>
        <v/>
      </c>
      <c r="EX83" s="368" t="str">
        <f t="shared" si="282"/>
        <v/>
      </c>
      <c r="EY83" s="65">
        <f t="shared" si="283"/>
        <v>0</v>
      </c>
      <c r="EZ83" s="65">
        <f t="shared" si="284"/>
        <v>0</v>
      </c>
      <c r="FA83" s="66" t="str">
        <f t="shared" si="285"/>
        <v/>
      </c>
      <c r="FB83" s="74" t="str">
        <f>IF('Marks Entry'!BK83="","",'Marks Entry'!BK83)</f>
        <v/>
      </c>
      <c r="FC83" s="74" t="str">
        <f>IF('Marks Entry'!BL83="","",'Marks Entry'!BL83)</f>
        <v/>
      </c>
      <c r="FD83" s="74" t="str">
        <f>IF('Marks Entry'!BM83="","",'Marks Entry'!BM83)</f>
        <v/>
      </c>
      <c r="FE83" s="74" t="str">
        <f>IF('Marks Entry'!BN83="","",'Marks Entry'!BN83)</f>
        <v/>
      </c>
      <c r="FF83" s="74" t="str">
        <f>IF('Marks Entry'!BO83="","",'Marks Entry'!BO83)</f>
        <v/>
      </c>
      <c r="FG83" s="74" t="str">
        <f>IF('Marks Entry'!BP83="","",'Marks Entry'!BP83)</f>
        <v/>
      </c>
      <c r="FH83" s="527" t="str">
        <f t="shared" si="233"/>
        <v/>
      </c>
      <c r="FI83" s="74" t="str">
        <f>IF('Marks Entry'!BQ83="","",'Marks Entry'!BQ83)</f>
        <v/>
      </c>
      <c r="FJ83" s="74" t="str">
        <f>IF('Marks Entry'!BR83="","",'Marks Entry'!BR83)</f>
        <v/>
      </c>
      <c r="FK83" s="528" t="str">
        <f t="shared" si="234"/>
        <v/>
      </c>
      <c r="FL83" s="529" t="str">
        <f t="shared" si="235"/>
        <v/>
      </c>
      <c r="FM83" s="74" t="str">
        <f>IF('Marks Entry'!BS83="","",'Marks Entry'!BS83)</f>
        <v/>
      </c>
      <c r="FN83" s="74" t="str">
        <f>IF('Marks Entry'!BT83="","",'Marks Entry'!BT83)</f>
        <v/>
      </c>
      <c r="FO83" s="528" t="str">
        <f t="shared" si="236"/>
        <v/>
      </c>
      <c r="FP83" s="530" t="str">
        <f t="shared" si="237"/>
        <v/>
      </c>
      <c r="FQ83" s="368" t="str">
        <f t="shared" si="286"/>
        <v/>
      </c>
      <c r="FR83" s="65">
        <f t="shared" si="287"/>
        <v>0</v>
      </c>
      <c r="FS83" s="65">
        <f t="shared" si="288"/>
        <v>0</v>
      </c>
      <c r="FT83" s="66" t="str">
        <f t="shared" si="289"/>
        <v/>
      </c>
      <c r="FU83" s="74" t="str">
        <f>IF('Marks Entry'!BU83="","",'Marks Entry'!BU83)</f>
        <v/>
      </c>
      <c r="FV83" s="74" t="str">
        <f>IF('Marks Entry'!BV83="","",'Marks Entry'!BV83)</f>
        <v/>
      </c>
      <c r="FW83" s="74" t="str">
        <f>IF('Marks Entry'!BW83="","",'Marks Entry'!BW83)</f>
        <v/>
      </c>
      <c r="FX83" s="75" t="str">
        <f t="shared" si="238"/>
        <v/>
      </c>
      <c r="FY83" s="368" t="str">
        <f t="shared" si="290"/>
        <v/>
      </c>
      <c r="FZ83" s="65">
        <f t="shared" si="291"/>
        <v>0</v>
      </c>
      <c r="GA83" s="66">
        <f t="shared" si="292"/>
        <v>0</v>
      </c>
      <c r="GB83" s="66" t="str">
        <f t="shared" si="293"/>
        <v/>
      </c>
      <c r="GC83" s="74" t="str">
        <f>IF('Marks Entry'!BX83="","",'Marks Entry'!BX83)</f>
        <v/>
      </c>
      <c r="GD83" s="74" t="str">
        <f>IF('Marks Entry'!BY83="","",'Marks Entry'!BY83)</f>
        <v/>
      </c>
      <c r="GE83" s="74" t="str">
        <f>IF('Marks Entry'!BZ83="","",'Marks Entry'!BZ83)</f>
        <v/>
      </c>
      <c r="GF83" s="75" t="str">
        <f t="shared" si="294"/>
        <v/>
      </c>
      <c r="GG83" s="368" t="str">
        <f t="shared" si="295"/>
        <v/>
      </c>
      <c r="GH83" s="65">
        <f t="shared" si="296"/>
        <v>0</v>
      </c>
      <c r="GI83" s="66">
        <f t="shared" si="297"/>
        <v>0</v>
      </c>
      <c r="GJ83" s="66" t="str">
        <f t="shared" si="298"/>
        <v/>
      </c>
      <c r="GK83" s="100" t="str">
        <f>IF(AND(F83="",B83=""),"",IF('Student DATA Entry'!M80="","",'Student DATA Entry'!M80))</f>
        <v/>
      </c>
      <c r="GL83" s="101" t="str">
        <f>IF(AND(B83="",F83=""),"",IF('Student DATA Entry'!N80="","",'Student DATA Entry'!N80))</f>
        <v/>
      </c>
      <c r="GM83" s="581" t="str">
        <f t="shared" si="299"/>
        <v/>
      </c>
      <c r="GN83" s="94" t="str">
        <f t="shared" si="300"/>
        <v/>
      </c>
      <c r="GO83" s="94" t="str">
        <f t="shared" si="301"/>
        <v/>
      </c>
      <c r="GP83" s="102" t="str">
        <f t="shared" si="239"/>
        <v/>
      </c>
      <c r="GQ83" s="94" t="str">
        <f t="shared" si="302"/>
        <v/>
      </c>
      <c r="GR83" s="103" t="str">
        <f t="shared" si="303"/>
        <v/>
      </c>
      <c r="GS83" s="102" t="str">
        <f t="shared" si="240"/>
        <v/>
      </c>
      <c r="GT83" s="104" t="str">
        <f t="shared" si="304"/>
        <v/>
      </c>
      <c r="GU83" s="94" t="str">
        <f>IF('Marks Entry'!V83=1,GT83,"")</f>
        <v/>
      </c>
      <c r="GV83" s="94" t="str">
        <f>IF('Marks Entry'!V83=2,GT83,"")</f>
        <v/>
      </c>
      <c r="GW83" s="94" t="str">
        <f>IF('Marks Entry'!V83=3,GT83,"")</f>
        <v/>
      </c>
      <c r="GX83" s="94" t="str">
        <f>IF('Marks Entry'!V83=4,GT83,"")</f>
        <v/>
      </c>
      <c r="GY83" s="94" t="str">
        <f>IF('Marks Entry'!V83=5,GT83,"")</f>
        <v/>
      </c>
      <c r="GZ83" s="94" t="str">
        <f t="shared" si="305"/>
        <v/>
      </c>
      <c r="HA83" s="105" t="str">
        <f t="shared" si="241"/>
        <v/>
      </c>
      <c r="HB83" s="94" t="str">
        <f t="shared" si="306"/>
        <v/>
      </c>
      <c r="HC83" s="94" t="str">
        <f t="shared" si="307"/>
        <v/>
      </c>
      <c r="HD83" s="105" t="str">
        <f t="shared" si="242"/>
        <v/>
      </c>
      <c r="HE83" s="94" t="str">
        <f t="shared" si="308"/>
        <v/>
      </c>
      <c r="HF83" s="94" t="str">
        <f t="shared" si="309"/>
        <v/>
      </c>
      <c r="HG83" s="105" t="str">
        <f t="shared" si="243"/>
        <v/>
      </c>
      <c r="HH83" s="94" t="str">
        <f t="shared" si="310"/>
        <v/>
      </c>
      <c r="HI83" s="94" t="str">
        <f t="shared" si="311"/>
        <v/>
      </c>
      <c r="HJ83" s="105" t="str">
        <f t="shared" si="244"/>
        <v/>
      </c>
      <c r="HK83" s="94" t="str">
        <f t="shared" si="312"/>
        <v/>
      </c>
      <c r="HL83" s="94" t="str">
        <f t="shared" si="313"/>
        <v/>
      </c>
      <c r="HM83" s="105" t="str">
        <f t="shared" si="245"/>
        <v/>
      </c>
      <c r="HN83" s="367" t="str">
        <f t="shared" si="314"/>
        <v xml:space="preserve">      </v>
      </c>
      <c r="HO83" s="418" t="str">
        <f t="shared" si="246"/>
        <v xml:space="preserve">      </v>
      </c>
      <c r="HP83" s="367" t="str">
        <f t="shared" si="315"/>
        <v xml:space="preserve">      </v>
      </c>
      <c r="HQ83" s="107" t="str">
        <f t="shared" si="316"/>
        <v xml:space="preserve">      </v>
      </c>
      <c r="HR83" s="366" t="str">
        <f t="shared" si="317"/>
        <v xml:space="preserve">      </v>
      </c>
      <c r="HS83" s="544" t="str">
        <f t="shared" si="247"/>
        <v/>
      </c>
      <c r="HT83" s="542" t="str">
        <f t="shared" si="318"/>
        <v/>
      </c>
      <c r="HU83" s="541" t="str">
        <f t="shared" si="319"/>
        <v/>
      </c>
      <c r="HV83" s="540" t="str">
        <f t="shared" si="320"/>
        <v/>
      </c>
      <c r="HW83" s="537" t="str">
        <f t="shared" si="321"/>
        <v/>
      </c>
      <c r="HX83" s="539" t="str">
        <f t="shared" si="322"/>
        <v/>
      </c>
      <c r="HY83" s="553" t="str">
        <f>IFERROR(IF(OR(HS83="SUPPLEMENTARY",HS83="RE-EXAM"),'Supp. Result Entry'!AQ81,""),"")</f>
        <v/>
      </c>
      <c r="HZ83" s="538" t="str">
        <f t="shared" si="323"/>
        <v/>
      </c>
      <c r="IA83" s="415" t="str">
        <f t="shared" si="324"/>
        <v/>
      </c>
      <c r="IB83" s="415" t="str">
        <f>IF(AND(HZ83="",IA83=""),"",IF(OR(HS83="SUPPLEMENTARY",HS83="RE-EXAM"),'Supp. Result Entry'!AQ81,HS83))</f>
        <v/>
      </c>
      <c r="IC83" s="87"/>
      <c r="IS83" s="109" t="str">
        <f>IF('Supp. Result Entry'!T81="","",'Supp. Result Entry'!$T$4)</f>
        <v/>
      </c>
      <c r="IT83" s="110" t="str">
        <f>IF('Supp. Result Entry'!W81="","",'Supp. Result Entry'!$W$4)</f>
        <v/>
      </c>
      <c r="IU83" s="110" t="str">
        <f>IF('Supp. Result Entry'!Z81="","",'Supp. Result Entry'!$Z$4)</f>
        <v/>
      </c>
      <c r="IV83" s="110" t="str">
        <f>IF('Supp. Result Entry'!AC81="","",'Supp. Result Entry'!$AC$4)</f>
        <v/>
      </c>
      <c r="IW83" s="110" t="str">
        <f>IF('Supp. Result Entry'!AF81="","",'Supp. Result Entry'!$AF$4)</f>
        <v/>
      </c>
      <c r="IX83" s="110" t="str">
        <f>IF('Supp. Result Entry'!AI81="","",'Supp. Result Entry'!$AI$4)</f>
        <v/>
      </c>
      <c r="IY83" s="110" t="str">
        <f>IF('Supp. Result Entry'!AI81="","",'Supp. Result Entry'!$AL$4)</f>
        <v/>
      </c>
      <c r="IZ83" s="110" t="str">
        <f>IF('Supp. Result Entry'!U81="","",'Supp. Result Entry'!U81)</f>
        <v/>
      </c>
      <c r="JA83" s="110" t="str">
        <f>IF('Supp. Result Entry'!X81="","",'Supp. Result Entry'!X81)</f>
        <v/>
      </c>
      <c r="JB83" s="110" t="str">
        <f>IF('Supp. Result Entry'!AA81="","",'Supp. Result Entry'!AA81)</f>
        <v/>
      </c>
      <c r="JC83" s="110" t="str">
        <f>IF('Supp. Result Entry'!AD81="","",'Supp. Result Entry'!AD81)</f>
        <v/>
      </c>
      <c r="JD83" s="110" t="str">
        <f>IF('Supp. Result Entry'!AG81="","",'Supp. Result Entry'!AG81)</f>
        <v/>
      </c>
      <c r="JE83" s="110" t="str">
        <f>IF('Supp. Result Entry'!AJ81="","",'Supp. Result Entry'!AJ81)</f>
        <v/>
      </c>
      <c r="JF83" s="110" t="str">
        <f>IF('Supp. Result Entry'!AM81="","",'Supp. Result Entry'!AM81)</f>
        <v/>
      </c>
      <c r="JG83" s="110" t="str">
        <f>IF('Supp. Result Entry'!V81="","",'Supp. Result Entry'!V81)</f>
        <v/>
      </c>
      <c r="JH83" s="110" t="str">
        <f>IF('Supp. Result Entry'!Y81="","",'Supp. Result Entry'!Y81)</f>
        <v/>
      </c>
      <c r="JI83" s="110" t="str">
        <f>IF('Supp. Result Entry'!AB81="","",'Supp. Result Entry'!AB81)</f>
        <v/>
      </c>
      <c r="JJ83" s="110" t="str">
        <f>IF('Supp. Result Entry'!AE81="","",'Supp. Result Entry'!AE81)</f>
        <v/>
      </c>
      <c r="JK83" s="110" t="str">
        <f>IF('Supp. Result Entry'!AH81="","",'Supp. Result Entry'!AH81)</f>
        <v/>
      </c>
      <c r="JL83" s="110" t="str">
        <f>IF('Supp. Result Entry'!AK81="","",'Supp. Result Entry'!AK81)</f>
        <v/>
      </c>
      <c r="JM83" s="110" t="str">
        <f>IF('Supp. Result Entry'!AN81="","",'Supp. Result Entry'!AN81)</f>
        <v/>
      </c>
      <c r="JN83" s="110">
        <f>COUNTIF('Supp. Result Entry'!K81:Q81,"S")</f>
        <v>0</v>
      </c>
      <c r="JO83" s="110">
        <f t="shared" si="248"/>
        <v>0</v>
      </c>
      <c r="JP83" s="110">
        <f t="shared" si="325"/>
        <v>0</v>
      </c>
      <c r="JQ83" s="110" t="str">
        <f t="shared" si="249"/>
        <v/>
      </c>
      <c r="JR83" s="110" t="str">
        <f t="shared" si="250"/>
        <v/>
      </c>
      <c r="JS83" s="110" t="str">
        <f t="shared" si="251"/>
        <v/>
      </c>
      <c r="JT83" s="110" t="str">
        <f t="shared" si="252"/>
        <v/>
      </c>
      <c r="JU83" s="110" t="str">
        <f t="shared" si="253"/>
        <v/>
      </c>
      <c r="JV83" s="110" t="str">
        <f t="shared" si="254"/>
        <v/>
      </c>
      <c r="JW83" s="110" t="str">
        <f t="shared" si="255"/>
        <v/>
      </c>
      <c r="JX83" s="110" t="str">
        <f t="shared" si="326"/>
        <v/>
      </c>
      <c r="JY83" s="110" t="str">
        <f t="shared" si="327"/>
        <v/>
      </c>
      <c r="JZ83" s="110" t="str">
        <f t="shared" si="256"/>
        <v/>
      </c>
      <c r="KA83" s="108" t="str">
        <f t="shared" si="328"/>
        <v/>
      </c>
    </row>
    <row r="84" spans="1:287" s="108" customFormat="1" ht="21.95" customHeight="1">
      <c r="A84" s="89">
        <v>78</v>
      </c>
      <c r="B84" s="90" t="str">
        <f>IF('Marks Entry'!B84="","",'Marks Entry'!B84)</f>
        <v/>
      </c>
      <c r="C84" s="94" t="str">
        <f>IF('Marks Entry'!D84="","",'Marks Entry'!D84)</f>
        <v/>
      </c>
      <c r="D84" s="91" t="str">
        <f>IF('Marks Entry'!E84="","",'Marks Entry'!E84)</f>
        <v/>
      </c>
      <c r="E84" s="92" t="str">
        <f>IF('Marks Entry'!F84="","",'Marks Entry'!F84)</f>
        <v/>
      </c>
      <c r="F84" s="93" t="str">
        <f>IF('Marks Entry'!G84="","",'Marks Entry'!G84)</f>
        <v/>
      </c>
      <c r="G84" s="93" t="str">
        <f>IF('Marks Entry'!H84="","",'Marks Entry'!H84)</f>
        <v/>
      </c>
      <c r="H84" s="93" t="str">
        <f>IF('Marks Entry'!I84="","",'Marks Entry'!I84)</f>
        <v/>
      </c>
      <c r="I84" s="94" t="str">
        <f>IF('Marks Entry'!J84="","",'Marks Entry'!J84)</f>
        <v/>
      </c>
      <c r="J84" s="95" t="str">
        <f>IF('Marks Entry'!K84="","",'Marks Entry'!K84)</f>
        <v/>
      </c>
      <c r="K84" s="68" t="str">
        <f>IF('Marks Entry'!L84="","",'Marks Entry'!L84)</f>
        <v/>
      </c>
      <c r="L84" s="68" t="str">
        <f>IF('Marks Entry'!M84="","",'Marks Entry'!M84)</f>
        <v/>
      </c>
      <c r="M84" s="68" t="str">
        <f>IF('Marks Entry'!N84="","",'Marks Entry'!N84)</f>
        <v/>
      </c>
      <c r="N84" s="514" t="str">
        <f t="shared" si="257"/>
        <v/>
      </c>
      <c r="O84" s="68" t="str">
        <f>IF('Marks Entry'!O84="","",'Marks Entry'!O84)</f>
        <v/>
      </c>
      <c r="P84" s="515" t="str">
        <f t="shared" si="258"/>
        <v/>
      </c>
      <c r="Q84" s="68" t="str">
        <f>IF('Marks Entry'!P84="","",'Marks Entry'!P84)</f>
        <v/>
      </c>
      <c r="R84" s="96" t="str">
        <f t="shared" si="259"/>
        <v/>
      </c>
      <c r="S84" s="65">
        <f t="shared" si="260"/>
        <v>0</v>
      </c>
      <c r="T84" s="65">
        <f t="shared" si="261"/>
        <v>0</v>
      </c>
      <c r="U84" s="66" t="str">
        <f t="shared" si="171"/>
        <v/>
      </c>
      <c r="V84" s="65" t="str">
        <f t="shared" si="172"/>
        <v/>
      </c>
      <c r="W84" s="65" t="str">
        <f t="shared" si="262"/>
        <v/>
      </c>
      <c r="X84" s="65" t="str">
        <f t="shared" si="173"/>
        <v/>
      </c>
      <c r="Y84" s="68" t="str">
        <f>IF('Marks Entry'!Q84="","",'Marks Entry'!Q84)</f>
        <v/>
      </c>
      <c r="Z84" s="68" t="str">
        <f>IF('Marks Entry'!R84="","",'Marks Entry'!R84)</f>
        <v/>
      </c>
      <c r="AA84" s="68" t="str">
        <f>IF('Marks Entry'!S84="","",'Marks Entry'!S84)</f>
        <v/>
      </c>
      <c r="AB84" s="514" t="str">
        <f t="shared" si="174"/>
        <v/>
      </c>
      <c r="AC84" s="68" t="str">
        <f>IF('Marks Entry'!T84="","",'Marks Entry'!T84)</f>
        <v/>
      </c>
      <c r="AD84" s="515" t="str">
        <f t="shared" si="175"/>
        <v/>
      </c>
      <c r="AE84" s="68" t="str">
        <f>IF('Marks Entry'!U84="","",'Marks Entry'!U84)</f>
        <v/>
      </c>
      <c r="AF84" s="96" t="str">
        <f t="shared" si="176"/>
        <v/>
      </c>
      <c r="AG84" s="65">
        <f t="shared" si="177"/>
        <v>0</v>
      </c>
      <c r="AH84" s="65">
        <f t="shared" si="178"/>
        <v>0</v>
      </c>
      <c r="AI84" s="66" t="str">
        <f t="shared" si="179"/>
        <v/>
      </c>
      <c r="AJ84" s="65" t="str">
        <f t="shared" si="180"/>
        <v/>
      </c>
      <c r="AK84" s="65" t="str">
        <f t="shared" si="181"/>
        <v/>
      </c>
      <c r="AL84" s="65" t="str">
        <f t="shared" si="182"/>
        <v/>
      </c>
      <c r="AM84" s="524" t="str">
        <f>IF('Marks Entry'!V84="","",IF('Marks Entry'!V84=1,'School Profile'!$I$9,IF('Marks Entry'!V84=2,'School Profile'!$I$10,IF('Marks Entry'!V84=3,'School Profile'!$I$11,IF('Marks Entry'!V84=4,'School Profile'!$I$12,IF('Marks Entry'!V84=5,'School Profile'!$I$13,IF('Marks Entry'!V84=6,'School Profile'!$I$14,"")))))))</f>
        <v/>
      </c>
      <c r="AN84" s="68" t="str">
        <f>IF('Marks Entry'!W84="","",'Marks Entry'!W84)</f>
        <v/>
      </c>
      <c r="AO84" s="68" t="str">
        <f>IF('Marks Entry'!X84="","",'Marks Entry'!X84)</f>
        <v/>
      </c>
      <c r="AP84" s="68" t="str">
        <f>IF('Marks Entry'!Y84="","",'Marks Entry'!Y84)</f>
        <v/>
      </c>
      <c r="AQ84" s="514" t="str">
        <f t="shared" si="183"/>
        <v/>
      </c>
      <c r="AR84" s="68" t="str">
        <f>IF('Marks Entry'!Z84="","",'Marks Entry'!Z84)</f>
        <v/>
      </c>
      <c r="AS84" s="515" t="str">
        <f t="shared" si="184"/>
        <v/>
      </c>
      <c r="AT84" s="68" t="str">
        <f>IF('Marks Entry'!AA84="","",'Marks Entry'!AA84)</f>
        <v/>
      </c>
      <c r="AU84" s="96" t="str">
        <f t="shared" si="185"/>
        <v/>
      </c>
      <c r="AV84" s="65">
        <f t="shared" si="186"/>
        <v>0</v>
      </c>
      <c r="AW84" s="65">
        <f t="shared" si="187"/>
        <v>0</v>
      </c>
      <c r="AX84" s="66" t="str">
        <f t="shared" si="188"/>
        <v/>
      </c>
      <c r="AY84" s="65" t="str">
        <f t="shared" si="189"/>
        <v/>
      </c>
      <c r="AZ84" s="65" t="str">
        <f t="shared" si="190"/>
        <v/>
      </c>
      <c r="BA84" s="65" t="str">
        <f t="shared" si="191"/>
        <v/>
      </c>
      <c r="BB84" s="68" t="str">
        <f>IF('Marks Entry'!AB84="","",'Marks Entry'!AB84)</f>
        <v/>
      </c>
      <c r="BC84" s="68" t="str">
        <f>IF('Marks Entry'!AC84="","",'Marks Entry'!AC84)</f>
        <v/>
      </c>
      <c r="BD84" s="68" t="str">
        <f>IF('Marks Entry'!AD84="","",'Marks Entry'!AD84)</f>
        <v/>
      </c>
      <c r="BE84" s="514" t="str">
        <f t="shared" si="192"/>
        <v/>
      </c>
      <c r="BF84" s="68" t="str">
        <f>IF('Marks Entry'!AE84="","",'Marks Entry'!AE84)</f>
        <v/>
      </c>
      <c r="BG84" s="515" t="str">
        <f t="shared" si="193"/>
        <v/>
      </c>
      <c r="BH84" s="68" t="str">
        <f>IF('Marks Entry'!AF84="","",'Marks Entry'!AF84)</f>
        <v/>
      </c>
      <c r="BI84" s="96" t="str">
        <f t="shared" si="194"/>
        <v/>
      </c>
      <c r="BJ84" s="65">
        <f t="shared" si="195"/>
        <v>0</v>
      </c>
      <c r="BK84" s="65">
        <f t="shared" si="263"/>
        <v>0</v>
      </c>
      <c r="BL84" s="66" t="str">
        <f t="shared" si="196"/>
        <v/>
      </c>
      <c r="BM84" s="65" t="str">
        <f t="shared" si="197"/>
        <v/>
      </c>
      <c r="BN84" s="65" t="str">
        <f t="shared" si="198"/>
        <v/>
      </c>
      <c r="BO84" s="65" t="str">
        <f t="shared" si="199"/>
        <v/>
      </c>
      <c r="BP84" s="68" t="str">
        <f>IF('Marks Entry'!AG84="","",'Marks Entry'!AG84)</f>
        <v/>
      </c>
      <c r="BQ84" s="68" t="str">
        <f>IF('Marks Entry'!AH84="","",'Marks Entry'!AH84)</f>
        <v/>
      </c>
      <c r="BR84" s="68" t="str">
        <f>IF('Marks Entry'!AI84="","",'Marks Entry'!AI84)</f>
        <v/>
      </c>
      <c r="BS84" s="514" t="str">
        <f t="shared" si="200"/>
        <v/>
      </c>
      <c r="BT84" s="68" t="str">
        <f>IF('Marks Entry'!AJ84="","",'Marks Entry'!AJ84)</f>
        <v/>
      </c>
      <c r="BU84" s="515" t="str">
        <f t="shared" si="201"/>
        <v/>
      </c>
      <c r="BV84" s="68" t="str">
        <f>IF('Marks Entry'!AK84="","",'Marks Entry'!AK84)</f>
        <v/>
      </c>
      <c r="BW84" s="96" t="str">
        <f t="shared" si="202"/>
        <v/>
      </c>
      <c r="BX84" s="65">
        <f t="shared" si="203"/>
        <v>0</v>
      </c>
      <c r="BY84" s="65">
        <f t="shared" si="204"/>
        <v>0</v>
      </c>
      <c r="BZ84" s="66" t="str">
        <f t="shared" si="205"/>
        <v/>
      </c>
      <c r="CA84" s="65" t="str">
        <f t="shared" si="206"/>
        <v/>
      </c>
      <c r="CB84" s="65" t="str">
        <f t="shared" si="207"/>
        <v/>
      </c>
      <c r="CC84" s="65" t="str">
        <f t="shared" si="208"/>
        <v/>
      </c>
      <c r="CD84" s="66">
        <f t="shared" si="209"/>
        <v>0</v>
      </c>
      <c r="CE84" s="68" t="str">
        <f>IF('Marks Entry'!AL84="","",'Marks Entry'!AL84)</f>
        <v/>
      </c>
      <c r="CF84" s="68" t="str">
        <f>IF('Marks Entry'!AM84="","",'Marks Entry'!AM84)</f>
        <v/>
      </c>
      <c r="CG84" s="68" t="str">
        <f>IF('Marks Entry'!AN84="","",'Marks Entry'!AN84)</f>
        <v/>
      </c>
      <c r="CH84" s="514" t="str">
        <f t="shared" si="210"/>
        <v/>
      </c>
      <c r="CI84" s="68" t="str">
        <f>IF('Marks Entry'!AO84="","",'Marks Entry'!AO84)</f>
        <v/>
      </c>
      <c r="CJ84" s="515" t="str">
        <f t="shared" si="211"/>
        <v/>
      </c>
      <c r="CK84" s="68" t="str">
        <f>IF('Marks Entry'!AP84="","",'Marks Entry'!AP84)</f>
        <v/>
      </c>
      <c r="CL84" s="96" t="str">
        <f t="shared" si="212"/>
        <v/>
      </c>
      <c r="CM84" s="65">
        <f t="shared" si="213"/>
        <v>0</v>
      </c>
      <c r="CN84" s="65">
        <f t="shared" si="214"/>
        <v>0</v>
      </c>
      <c r="CO84" s="66" t="str">
        <f t="shared" si="215"/>
        <v/>
      </c>
      <c r="CP84" s="65" t="str">
        <f t="shared" si="216"/>
        <v/>
      </c>
      <c r="CQ84" s="65" t="str">
        <f t="shared" si="217"/>
        <v/>
      </c>
      <c r="CR84" s="65" t="str">
        <f t="shared" si="218"/>
        <v/>
      </c>
      <c r="CS84" s="616" t="str">
        <f>IF('School Profile'!$D$20="NO","",IF('Marks Entry'!AQ84="","",IF('Marks Entry'!AQ84=1,'School Profile'!$I$29,IF('Marks Entry'!AQ84=2,'School Profile'!$I$30,IF('Marks Entry'!AQ84=3,'School Profile'!$I$31,IF('Marks Entry'!AQ84=4,'School Profile'!$I$32,IF('Marks Entry'!AQ84=5,'School Profile'!$I$33,IF('Marks Entry'!AQ84=6,'School Profile'!$I$34,IF('Marks Entry'!AQ84=7,'School Profile'!$I$35,IF('Marks Entry'!AQ84=8,'School Profile'!$I$36,IF('Marks Entry'!AQ84=9,'School Profile'!$I$37,IF('Marks Entry'!AQ84=10,'School Profile'!$I$38,IF('Marks Entry'!AQ84=11,'School Profile'!$I$39,"")))))))))))))</f>
        <v/>
      </c>
      <c r="CT84" s="68" t="str">
        <f>IF('School Profile'!$D$20="NO","",IF('Marks Entry'!AR84="","",'Marks Entry'!AR84))</f>
        <v/>
      </c>
      <c r="CU84" s="68" t="str">
        <f>IF('School Profile'!$D$20="NO","",IF('Marks Entry'!AS84="","",'Marks Entry'!AS84))</f>
        <v/>
      </c>
      <c r="CV84" s="68" t="str">
        <f>IF('School Profile'!$D$20="NO","",IF('Marks Entry'!AT84="","",'Marks Entry'!AT84))</f>
        <v/>
      </c>
      <c r="CW84" s="514" t="str">
        <f>IF('School Profile'!$D$20="NO","",IF(AND(CT84="",CU84="",CV84=""),"",SUM(CT84:CV84)))</f>
        <v/>
      </c>
      <c r="CX84" s="68" t="str">
        <f>IF('School Profile'!$D$20="NO","",IF('Marks Entry'!AU84="","",'Marks Entry'!AU84))</f>
        <v/>
      </c>
      <c r="CY84" s="68" t="str">
        <f>IF('School Profile'!$D$20="NO","",IF('Marks Entry'!AV84="","",'Marks Entry'!AV84))</f>
        <v/>
      </c>
      <c r="CZ84" s="515" t="str">
        <f>IF('School Profile'!$D$20="NO","",IF(AND(CX84="",CY84=""),"",SUM(CX84,CY84)))</f>
        <v/>
      </c>
      <c r="DA84" s="69" t="str">
        <f>IF('School Profile'!$D$20="NO","",IF(AND(CW84="",CZ84=""),"",SUM(CW84+CZ84)))</f>
        <v/>
      </c>
      <c r="DB84" s="68" t="str">
        <f>IF('School Profile'!$D$20="NO","",IF('Marks Entry'!AW84="","",'Marks Entry'!AW84))</f>
        <v/>
      </c>
      <c r="DC84" s="68" t="str">
        <f>IF('School Profile'!$D$20="NO","",IF('Marks Entry'!AX84="","",'Marks Entry'!AX84))</f>
        <v/>
      </c>
      <c r="DD84" s="515" t="str">
        <f>IF('School Profile'!$D$20="NO","",IF(AND(DB84="",DC84=""),"",SUM(DB84,DC84)))</f>
        <v/>
      </c>
      <c r="DE84" s="96" t="str">
        <f>IF('School Profile'!$D$20="NO","",IF(AND(DA84="",DD84=""),"",SUM(DA84,DD84)))</f>
        <v/>
      </c>
      <c r="DF84" s="532">
        <f t="shared" si="219"/>
        <v>0</v>
      </c>
      <c r="DG84" s="65">
        <f t="shared" si="220"/>
        <v>0</v>
      </c>
      <c r="DH84" s="66" t="str">
        <f t="shared" si="221"/>
        <v/>
      </c>
      <c r="DI84" s="65" t="str">
        <f t="shared" si="222"/>
        <v/>
      </c>
      <c r="DJ84" s="65" t="str">
        <f t="shared" si="223"/>
        <v/>
      </c>
      <c r="DK84" s="65" t="str">
        <f t="shared" si="224"/>
        <v/>
      </c>
      <c r="DL84" s="97" t="str">
        <f t="shared" si="264"/>
        <v/>
      </c>
      <c r="DM84" s="97" t="str">
        <f t="shared" si="265"/>
        <v/>
      </c>
      <c r="DN84" s="97" t="str">
        <f t="shared" si="266"/>
        <v/>
      </c>
      <c r="DO84" s="97" t="str">
        <f t="shared" si="267"/>
        <v/>
      </c>
      <c r="DP84" s="97" t="str">
        <f t="shared" si="268"/>
        <v/>
      </c>
      <c r="DQ84" s="97" t="str">
        <f t="shared" si="269"/>
        <v/>
      </c>
      <c r="DR84" s="97" t="str">
        <f t="shared" si="270"/>
        <v/>
      </c>
      <c r="DS84" s="98">
        <f t="shared" si="271"/>
        <v>0</v>
      </c>
      <c r="DT84" s="98">
        <f t="shared" si="272"/>
        <v>0</v>
      </c>
      <c r="DU84" s="98">
        <f t="shared" si="273"/>
        <v>0</v>
      </c>
      <c r="DV84" s="98">
        <f t="shared" si="274"/>
        <v>0</v>
      </c>
      <c r="DW84" s="98">
        <f t="shared" si="275"/>
        <v>0</v>
      </c>
      <c r="DX84" s="98" t="str">
        <f t="shared" si="276"/>
        <v/>
      </c>
      <c r="DY84" s="99" t="str">
        <f t="shared" si="277"/>
        <v/>
      </c>
      <c r="DZ84" s="74" t="str">
        <f>IF('Marks Entry'!AY84="","",'Marks Entry'!AY84)</f>
        <v/>
      </c>
      <c r="EA84" s="74" t="str">
        <f>IF('Marks Entry'!AZ84="","",'Marks Entry'!AZ84)</f>
        <v/>
      </c>
      <c r="EB84" s="74" t="str">
        <f>IF('Marks Entry'!BA84="","",'Marks Entry'!BA84)</f>
        <v/>
      </c>
      <c r="EC84" s="527" t="str">
        <f t="shared" si="225"/>
        <v/>
      </c>
      <c r="ED84" s="74" t="str">
        <f>IF('Marks Entry'!BB84="","",'Marks Entry'!BB84)</f>
        <v/>
      </c>
      <c r="EE84" s="528" t="str">
        <f t="shared" si="226"/>
        <v/>
      </c>
      <c r="EF84" s="74" t="str">
        <f>IF('Marks Entry'!BC84="","",'Marks Entry'!BC84)</f>
        <v/>
      </c>
      <c r="EG84" s="530" t="str">
        <f t="shared" si="227"/>
        <v/>
      </c>
      <c r="EH84" s="368" t="str">
        <f t="shared" si="278"/>
        <v/>
      </c>
      <c r="EI84" s="65">
        <f t="shared" si="279"/>
        <v>0</v>
      </c>
      <c r="EJ84" s="65">
        <f t="shared" si="280"/>
        <v>0</v>
      </c>
      <c r="EK84" s="66" t="str">
        <f t="shared" si="281"/>
        <v/>
      </c>
      <c r="EL84" s="74" t="str">
        <f>IF('Marks Entry'!BD84="","",'Marks Entry'!BD84)</f>
        <v/>
      </c>
      <c r="EM84" s="74" t="str">
        <f>IF('Marks Entry'!BE84="","",'Marks Entry'!BE84)</f>
        <v/>
      </c>
      <c r="EN84" s="74" t="str">
        <f>IF('Marks Entry'!BF84="","",'Marks Entry'!BF84)</f>
        <v/>
      </c>
      <c r="EO84" s="527" t="str">
        <f t="shared" si="228"/>
        <v/>
      </c>
      <c r="EP84" s="74" t="str">
        <f>IF('Marks Entry'!BG84="","",'Marks Entry'!BG84)</f>
        <v/>
      </c>
      <c r="EQ84" s="74" t="str">
        <f>IF('Marks Entry'!BH84="","",'Marks Entry'!BH84)</f>
        <v/>
      </c>
      <c r="ER84" s="528" t="str">
        <f t="shared" si="229"/>
        <v/>
      </c>
      <c r="ES84" s="529" t="str">
        <f t="shared" si="230"/>
        <v/>
      </c>
      <c r="ET84" s="74" t="str">
        <f>IF('Marks Entry'!BI84="","",'Marks Entry'!BI84)</f>
        <v/>
      </c>
      <c r="EU84" s="74" t="str">
        <f>IF('Marks Entry'!BJ84="","",'Marks Entry'!BJ84)</f>
        <v/>
      </c>
      <c r="EV84" s="528" t="str">
        <f t="shared" si="231"/>
        <v/>
      </c>
      <c r="EW84" s="530" t="str">
        <f t="shared" si="232"/>
        <v/>
      </c>
      <c r="EX84" s="368" t="str">
        <f t="shared" si="282"/>
        <v/>
      </c>
      <c r="EY84" s="65">
        <f t="shared" si="283"/>
        <v>0</v>
      </c>
      <c r="EZ84" s="65">
        <f t="shared" si="284"/>
        <v>0</v>
      </c>
      <c r="FA84" s="66" t="str">
        <f t="shared" si="285"/>
        <v/>
      </c>
      <c r="FB84" s="74" t="str">
        <f>IF('Marks Entry'!BK84="","",'Marks Entry'!BK84)</f>
        <v/>
      </c>
      <c r="FC84" s="74" t="str">
        <f>IF('Marks Entry'!BL84="","",'Marks Entry'!BL84)</f>
        <v/>
      </c>
      <c r="FD84" s="74" t="str">
        <f>IF('Marks Entry'!BM84="","",'Marks Entry'!BM84)</f>
        <v/>
      </c>
      <c r="FE84" s="74" t="str">
        <f>IF('Marks Entry'!BN84="","",'Marks Entry'!BN84)</f>
        <v/>
      </c>
      <c r="FF84" s="74" t="str">
        <f>IF('Marks Entry'!BO84="","",'Marks Entry'!BO84)</f>
        <v/>
      </c>
      <c r="FG84" s="74" t="str">
        <f>IF('Marks Entry'!BP84="","",'Marks Entry'!BP84)</f>
        <v/>
      </c>
      <c r="FH84" s="527" t="str">
        <f t="shared" si="233"/>
        <v/>
      </c>
      <c r="FI84" s="74" t="str">
        <f>IF('Marks Entry'!BQ84="","",'Marks Entry'!BQ84)</f>
        <v/>
      </c>
      <c r="FJ84" s="74" t="str">
        <f>IF('Marks Entry'!BR84="","",'Marks Entry'!BR84)</f>
        <v/>
      </c>
      <c r="FK84" s="528" t="str">
        <f t="shared" si="234"/>
        <v/>
      </c>
      <c r="FL84" s="529" t="str">
        <f t="shared" si="235"/>
        <v/>
      </c>
      <c r="FM84" s="74" t="str">
        <f>IF('Marks Entry'!BS84="","",'Marks Entry'!BS84)</f>
        <v/>
      </c>
      <c r="FN84" s="74" t="str">
        <f>IF('Marks Entry'!BT84="","",'Marks Entry'!BT84)</f>
        <v/>
      </c>
      <c r="FO84" s="528" t="str">
        <f t="shared" si="236"/>
        <v/>
      </c>
      <c r="FP84" s="530" t="str">
        <f t="shared" si="237"/>
        <v/>
      </c>
      <c r="FQ84" s="368" t="str">
        <f t="shared" si="286"/>
        <v/>
      </c>
      <c r="FR84" s="65">
        <f t="shared" si="287"/>
        <v>0</v>
      </c>
      <c r="FS84" s="65">
        <f t="shared" si="288"/>
        <v>0</v>
      </c>
      <c r="FT84" s="66" t="str">
        <f t="shared" si="289"/>
        <v/>
      </c>
      <c r="FU84" s="74" t="str">
        <f>IF('Marks Entry'!BU84="","",'Marks Entry'!BU84)</f>
        <v/>
      </c>
      <c r="FV84" s="74" t="str">
        <f>IF('Marks Entry'!BV84="","",'Marks Entry'!BV84)</f>
        <v/>
      </c>
      <c r="FW84" s="74" t="str">
        <f>IF('Marks Entry'!BW84="","",'Marks Entry'!BW84)</f>
        <v/>
      </c>
      <c r="FX84" s="75" t="str">
        <f t="shared" si="238"/>
        <v/>
      </c>
      <c r="FY84" s="368" t="str">
        <f t="shared" si="290"/>
        <v/>
      </c>
      <c r="FZ84" s="65">
        <f t="shared" si="291"/>
        <v>0</v>
      </c>
      <c r="GA84" s="66">
        <f t="shared" si="292"/>
        <v>0</v>
      </c>
      <c r="GB84" s="66" t="str">
        <f t="shared" si="293"/>
        <v/>
      </c>
      <c r="GC84" s="74" t="str">
        <f>IF('Marks Entry'!BX84="","",'Marks Entry'!BX84)</f>
        <v/>
      </c>
      <c r="GD84" s="74" t="str">
        <f>IF('Marks Entry'!BY84="","",'Marks Entry'!BY84)</f>
        <v/>
      </c>
      <c r="GE84" s="74" t="str">
        <f>IF('Marks Entry'!BZ84="","",'Marks Entry'!BZ84)</f>
        <v/>
      </c>
      <c r="GF84" s="75" t="str">
        <f t="shared" si="294"/>
        <v/>
      </c>
      <c r="GG84" s="368" t="str">
        <f t="shared" si="295"/>
        <v/>
      </c>
      <c r="GH84" s="65">
        <f t="shared" si="296"/>
        <v>0</v>
      </c>
      <c r="GI84" s="66">
        <f t="shared" si="297"/>
        <v>0</v>
      </c>
      <c r="GJ84" s="66" t="str">
        <f t="shared" si="298"/>
        <v/>
      </c>
      <c r="GK84" s="100" t="str">
        <f>IF(AND(F84="",B84=""),"",IF('Student DATA Entry'!M81="","",'Student DATA Entry'!M81))</f>
        <v/>
      </c>
      <c r="GL84" s="101" t="str">
        <f>IF(AND(B84="",F84=""),"",IF('Student DATA Entry'!N81="","",'Student DATA Entry'!N81))</f>
        <v/>
      </c>
      <c r="GM84" s="581" t="str">
        <f t="shared" si="299"/>
        <v/>
      </c>
      <c r="GN84" s="94" t="str">
        <f t="shared" si="300"/>
        <v/>
      </c>
      <c r="GO84" s="94" t="str">
        <f t="shared" si="301"/>
        <v/>
      </c>
      <c r="GP84" s="102" t="str">
        <f t="shared" si="239"/>
        <v/>
      </c>
      <c r="GQ84" s="94" t="str">
        <f t="shared" si="302"/>
        <v/>
      </c>
      <c r="GR84" s="103" t="str">
        <f t="shared" si="303"/>
        <v/>
      </c>
      <c r="GS84" s="102" t="str">
        <f t="shared" si="240"/>
        <v/>
      </c>
      <c r="GT84" s="104" t="str">
        <f t="shared" si="304"/>
        <v/>
      </c>
      <c r="GU84" s="94" t="str">
        <f>IF('Marks Entry'!V84=1,GT84,"")</f>
        <v/>
      </c>
      <c r="GV84" s="94" t="str">
        <f>IF('Marks Entry'!V84=2,GT84,"")</f>
        <v/>
      </c>
      <c r="GW84" s="94" t="str">
        <f>IF('Marks Entry'!V84=3,GT84,"")</f>
        <v/>
      </c>
      <c r="GX84" s="94" t="str">
        <f>IF('Marks Entry'!V84=4,GT84,"")</f>
        <v/>
      </c>
      <c r="GY84" s="94" t="str">
        <f>IF('Marks Entry'!V84=5,GT84,"")</f>
        <v/>
      </c>
      <c r="GZ84" s="94" t="str">
        <f t="shared" si="305"/>
        <v/>
      </c>
      <c r="HA84" s="105" t="str">
        <f t="shared" si="241"/>
        <v/>
      </c>
      <c r="HB84" s="94" t="str">
        <f t="shared" si="306"/>
        <v/>
      </c>
      <c r="HC84" s="94" t="str">
        <f t="shared" si="307"/>
        <v/>
      </c>
      <c r="HD84" s="105" t="str">
        <f t="shared" si="242"/>
        <v/>
      </c>
      <c r="HE84" s="94" t="str">
        <f t="shared" si="308"/>
        <v/>
      </c>
      <c r="HF84" s="94" t="str">
        <f t="shared" si="309"/>
        <v/>
      </c>
      <c r="HG84" s="105" t="str">
        <f t="shared" si="243"/>
        <v/>
      </c>
      <c r="HH84" s="94" t="str">
        <f t="shared" si="310"/>
        <v/>
      </c>
      <c r="HI84" s="94" t="str">
        <f t="shared" si="311"/>
        <v/>
      </c>
      <c r="HJ84" s="105" t="str">
        <f t="shared" si="244"/>
        <v/>
      </c>
      <c r="HK84" s="94" t="str">
        <f t="shared" si="312"/>
        <v/>
      </c>
      <c r="HL84" s="94" t="str">
        <f t="shared" si="313"/>
        <v/>
      </c>
      <c r="HM84" s="105" t="str">
        <f t="shared" si="245"/>
        <v/>
      </c>
      <c r="HN84" s="367" t="str">
        <f t="shared" si="314"/>
        <v xml:space="preserve">      </v>
      </c>
      <c r="HO84" s="418" t="str">
        <f t="shared" si="246"/>
        <v xml:space="preserve">      </v>
      </c>
      <c r="HP84" s="367" t="str">
        <f t="shared" si="315"/>
        <v xml:space="preserve">      </v>
      </c>
      <c r="HQ84" s="107" t="str">
        <f t="shared" si="316"/>
        <v xml:space="preserve">      </v>
      </c>
      <c r="HR84" s="366" t="str">
        <f t="shared" si="317"/>
        <v xml:space="preserve">      </v>
      </c>
      <c r="HS84" s="544" t="str">
        <f t="shared" si="247"/>
        <v/>
      </c>
      <c r="HT84" s="542" t="str">
        <f t="shared" si="318"/>
        <v/>
      </c>
      <c r="HU84" s="541" t="str">
        <f t="shared" si="319"/>
        <v/>
      </c>
      <c r="HV84" s="540" t="str">
        <f t="shared" si="320"/>
        <v/>
      </c>
      <c r="HW84" s="537" t="str">
        <f t="shared" si="321"/>
        <v/>
      </c>
      <c r="HX84" s="539" t="str">
        <f t="shared" si="322"/>
        <v/>
      </c>
      <c r="HY84" s="553" t="str">
        <f>IFERROR(IF(OR(HS84="SUPPLEMENTARY",HS84="RE-EXAM"),'Supp. Result Entry'!AQ82,""),"")</f>
        <v/>
      </c>
      <c r="HZ84" s="538" t="str">
        <f t="shared" si="323"/>
        <v/>
      </c>
      <c r="IA84" s="415" t="str">
        <f t="shared" si="324"/>
        <v/>
      </c>
      <c r="IB84" s="415" t="str">
        <f>IF(AND(HZ84="",IA84=""),"",IF(OR(HS84="SUPPLEMENTARY",HS84="RE-EXAM"),'Supp. Result Entry'!AQ82,HS84))</f>
        <v/>
      </c>
      <c r="IC84" s="87"/>
      <c r="IS84" s="109" t="str">
        <f>IF('Supp. Result Entry'!T82="","",'Supp. Result Entry'!$T$4)</f>
        <v/>
      </c>
      <c r="IT84" s="110" t="str">
        <f>IF('Supp. Result Entry'!W82="","",'Supp. Result Entry'!$W$4)</f>
        <v/>
      </c>
      <c r="IU84" s="110" t="str">
        <f>IF('Supp. Result Entry'!Z82="","",'Supp. Result Entry'!$Z$4)</f>
        <v/>
      </c>
      <c r="IV84" s="110" t="str">
        <f>IF('Supp. Result Entry'!AC82="","",'Supp. Result Entry'!$AC$4)</f>
        <v/>
      </c>
      <c r="IW84" s="110" t="str">
        <f>IF('Supp. Result Entry'!AF82="","",'Supp. Result Entry'!$AF$4)</f>
        <v/>
      </c>
      <c r="IX84" s="110" t="str">
        <f>IF('Supp. Result Entry'!AI82="","",'Supp. Result Entry'!$AI$4)</f>
        <v/>
      </c>
      <c r="IY84" s="110" t="str">
        <f>IF('Supp. Result Entry'!AI82="","",'Supp. Result Entry'!$AL$4)</f>
        <v/>
      </c>
      <c r="IZ84" s="110" t="str">
        <f>IF('Supp. Result Entry'!U82="","",'Supp. Result Entry'!U82)</f>
        <v/>
      </c>
      <c r="JA84" s="110" t="str">
        <f>IF('Supp. Result Entry'!X82="","",'Supp. Result Entry'!X82)</f>
        <v/>
      </c>
      <c r="JB84" s="110" t="str">
        <f>IF('Supp. Result Entry'!AA82="","",'Supp. Result Entry'!AA82)</f>
        <v/>
      </c>
      <c r="JC84" s="110" t="str">
        <f>IF('Supp. Result Entry'!AD82="","",'Supp. Result Entry'!AD82)</f>
        <v/>
      </c>
      <c r="JD84" s="110" t="str">
        <f>IF('Supp. Result Entry'!AG82="","",'Supp. Result Entry'!AG82)</f>
        <v/>
      </c>
      <c r="JE84" s="110" t="str">
        <f>IF('Supp. Result Entry'!AJ82="","",'Supp. Result Entry'!AJ82)</f>
        <v/>
      </c>
      <c r="JF84" s="110" t="str">
        <f>IF('Supp. Result Entry'!AM82="","",'Supp. Result Entry'!AM82)</f>
        <v/>
      </c>
      <c r="JG84" s="110" t="str">
        <f>IF('Supp. Result Entry'!V82="","",'Supp. Result Entry'!V82)</f>
        <v/>
      </c>
      <c r="JH84" s="110" t="str">
        <f>IF('Supp. Result Entry'!Y82="","",'Supp. Result Entry'!Y82)</f>
        <v/>
      </c>
      <c r="JI84" s="110" t="str">
        <f>IF('Supp. Result Entry'!AB82="","",'Supp. Result Entry'!AB82)</f>
        <v/>
      </c>
      <c r="JJ84" s="110" t="str">
        <f>IF('Supp. Result Entry'!AE82="","",'Supp. Result Entry'!AE82)</f>
        <v/>
      </c>
      <c r="JK84" s="110" t="str">
        <f>IF('Supp. Result Entry'!AH82="","",'Supp. Result Entry'!AH82)</f>
        <v/>
      </c>
      <c r="JL84" s="110" t="str">
        <f>IF('Supp. Result Entry'!AK82="","",'Supp. Result Entry'!AK82)</f>
        <v/>
      </c>
      <c r="JM84" s="110" t="str">
        <f>IF('Supp. Result Entry'!AN82="","",'Supp. Result Entry'!AN82)</f>
        <v/>
      </c>
      <c r="JN84" s="110">
        <f>COUNTIF('Supp. Result Entry'!K82:Q82,"S")</f>
        <v>0</v>
      </c>
      <c r="JO84" s="110">
        <f t="shared" si="248"/>
        <v>0</v>
      </c>
      <c r="JP84" s="110">
        <f t="shared" si="325"/>
        <v>0</v>
      </c>
      <c r="JQ84" s="110" t="str">
        <f t="shared" si="249"/>
        <v/>
      </c>
      <c r="JR84" s="110" t="str">
        <f t="shared" si="250"/>
        <v/>
      </c>
      <c r="JS84" s="110" t="str">
        <f t="shared" si="251"/>
        <v/>
      </c>
      <c r="JT84" s="110" t="str">
        <f t="shared" si="252"/>
        <v/>
      </c>
      <c r="JU84" s="110" t="str">
        <f t="shared" si="253"/>
        <v/>
      </c>
      <c r="JV84" s="110" t="str">
        <f t="shared" si="254"/>
        <v/>
      </c>
      <c r="JW84" s="110" t="str">
        <f t="shared" si="255"/>
        <v/>
      </c>
      <c r="JX84" s="110" t="str">
        <f t="shared" si="326"/>
        <v/>
      </c>
      <c r="JY84" s="110" t="str">
        <f t="shared" si="327"/>
        <v/>
      </c>
      <c r="JZ84" s="110" t="str">
        <f t="shared" si="256"/>
        <v/>
      </c>
      <c r="KA84" s="108" t="str">
        <f t="shared" si="328"/>
        <v/>
      </c>
    </row>
    <row r="85" spans="1:287" s="108" customFormat="1" ht="21.95" customHeight="1">
      <c r="A85" s="89">
        <v>79</v>
      </c>
      <c r="B85" s="90" t="str">
        <f>IF('Marks Entry'!B85="","",'Marks Entry'!B85)</f>
        <v/>
      </c>
      <c r="C85" s="94" t="str">
        <f>IF('Marks Entry'!D85="","",'Marks Entry'!D85)</f>
        <v/>
      </c>
      <c r="D85" s="91" t="str">
        <f>IF('Marks Entry'!E85="","",'Marks Entry'!E85)</f>
        <v/>
      </c>
      <c r="E85" s="92" t="str">
        <f>IF('Marks Entry'!F85="","",'Marks Entry'!F85)</f>
        <v/>
      </c>
      <c r="F85" s="93" t="str">
        <f>IF('Marks Entry'!G85="","",'Marks Entry'!G85)</f>
        <v/>
      </c>
      <c r="G85" s="93" t="str">
        <f>IF('Marks Entry'!H85="","",'Marks Entry'!H85)</f>
        <v/>
      </c>
      <c r="H85" s="93" t="str">
        <f>IF('Marks Entry'!I85="","",'Marks Entry'!I85)</f>
        <v/>
      </c>
      <c r="I85" s="94" t="str">
        <f>IF('Marks Entry'!J85="","",'Marks Entry'!J85)</f>
        <v/>
      </c>
      <c r="J85" s="95" t="str">
        <f>IF('Marks Entry'!K85="","",'Marks Entry'!K85)</f>
        <v/>
      </c>
      <c r="K85" s="68" t="str">
        <f>IF('Marks Entry'!L85="","",'Marks Entry'!L85)</f>
        <v/>
      </c>
      <c r="L85" s="68" t="str">
        <f>IF('Marks Entry'!M85="","",'Marks Entry'!M85)</f>
        <v/>
      </c>
      <c r="M85" s="68" t="str">
        <f>IF('Marks Entry'!N85="","",'Marks Entry'!N85)</f>
        <v/>
      </c>
      <c r="N85" s="514" t="str">
        <f t="shared" si="257"/>
        <v/>
      </c>
      <c r="O85" s="68" t="str">
        <f>IF('Marks Entry'!O85="","",'Marks Entry'!O85)</f>
        <v/>
      </c>
      <c r="P85" s="515" t="str">
        <f t="shared" si="258"/>
        <v/>
      </c>
      <c r="Q85" s="68" t="str">
        <f>IF('Marks Entry'!P85="","",'Marks Entry'!P85)</f>
        <v/>
      </c>
      <c r="R85" s="96" t="str">
        <f t="shared" si="259"/>
        <v/>
      </c>
      <c r="S85" s="65">
        <f t="shared" si="260"/>
        <v>0</v>
      </c>
      <c r="T85" s="65">
        <f t="shared" si="261"/>
        <v>0</v>
      </c>
      <c r="U85" s="66" t="str">
        <f t="shared" si="171"/>
        <v/>
      </c>
      <c r="V85" s="65" t="str">
        <f t="shared" si="172"/>
        <v/>
      </c>
      <c r="W85" s="65" t="str">
        <f t="shared" si="262"/>
        <v/>
      </c>
      <c r="X85" s="65" t="str">
        <f t="shared" si="173"/>
        <v/>
      </c>
      <c r="Y85" s="68" t="str">
        <f>IF('Marks Entry'!Q85="","",'Marks Entry'!Q85)</f>
        <v/>
      </c>
      <c r="Z85" s="68" t="str">
        <f>IF('Marks Entry'!R85="","",'Marks Entry'!R85)</f>
        <v/>
      </c>
      <c r="AA85" s="68" t="str">
        <f>IF('Marks Entry'!S85="","",'Marks Entry'!S85)</f>
        <v/>
      </c>
      <c r="AB85" s="514" t="str">
        <f t="shared" si="174"/>
        <v/>
      </c>
      <c r="AC85" s="68" t="str">
        <f>IF('Marks Entry'!T85="","",'Marks Entry'!T85)</f>
        <v/>
      </c>
      <c r="AD85" s="515" t="str">
        <f t="shared" si="175"/>
        <v/>
      </c>
      <c r="AE85" s="68" t="str">
        <f>IF('Marks Entry'!U85="","",'Marks Entry'!U85)</f>
        <v/>
      </c>
      <c r="AF85" s="96" t="str">
        <f t="shared" si="176"/>
        <v/>
      </c>
      <c r="AG85" s="65">
        <f t="shared" si="177"/>
        <v>0</v>
      </c>
      <c r="AH85" s="65">
        <f t="shared" si="178"/>
        <v>0</v>
      </c>
      <c r="AI85" s="66" t="str">
        <f t="shared" si="179"/>
        <v/>
      </c>
      <c r="AJ85" s="65" t="str">
        <f t="shared" si="180"/>
        <v/>
      </c>
      <c r="AK85" s="65" t="str">
        <f t="shared" si="181"/>
        <v/>
      </c>
      <c r="AL85" s="65" t="str">
        <f t="shared" si="182"/>
        <v/>
      </c>
      <c r="AM85" s="524" t="str">
        <f>IF('Marks Entry'!V85="","",IF('Marks Entry'!V85=1,'School Profile'!$I$9,IF('Marks Entry'!V85=2,'School Profile'!$I$10,IF('Marks Entry'!V85=3,'School Profile'!$I$11,IF('Marks Entry'!V85=4,'School Profile'!$I$12,IF('Marks Entry'!V85=5,'School Profile'!$I$13,IF('Marks Entry'!V85=6,'School Profile'!$I$14,"")))))))</f>
        <v/>
      </c>
      <c r="AN85" s="68" t="str">
        <f>IF('Marks Entry'!W85="","",'Marks Entry'!W85)</f>
        <v/>
      </c>
      <c r="AO85" s="68" t="str">
        <f>IF('Marks Entry'!X85="","",'Marks Entry'!X85)</f>
        <v/>
      </c>
      <c r="AP85" s="68" t="str">
        <f>IF('Marks Entry'!Y85="","",'Marks Entry'!Y85)</f>
        <v/>
      </c>
      <c r="AQ85" s="514" t="str">
        <f t="shared" si="183"/>
        <v/>
      </c>
      <c r="AR85" s="68" t="str">
        <f>IF('Marks Entry'!Z85="","",'Marks Entry'!Z85)</f>
        <v/>
      </c>
      <c r="AS85" s="515" t="str">
        <f t="shared" si="184"/>
        <v/>
      </c>
      <c r="AT85" s="68" t="str">
        <f>IF('Marks Entry'!AA85="","",'Marks Entry'!AA85)</f>
        <v/>
      </c>
      <c r="AU85" s="96" t="str">
        <f t="shared" si="185"/>
        <v/>
      </c>
      <c r="AV85" s="65">
        <f t="shared" si="186"/>
        <v>0</v>
      </c>
      <c r="AW85" s="65">
        <f t="shared" si="187"/>
        <v>0</v>
      </c>
      <c r="AX85" s="66" t="str">
        <f t="shared" si="188"/>
        <v/>
      </c>
      <c r="AY85" s="65" t="str">
        <f t="shared" si="189"/>
        <v/>
      </c>
      <c r="AZ85" s="65" t="str">
        <f t="shared" si="190"/>
        <v/>
      </c>
      <c r="BA85" s="65" t="str">
        <f t="shared" si="191"/>
        <v/>
      </c>
      <c r="BB85" s="68" t="str">
        <f>IF('Marks Entry'!AB85="","",'Marks Entry'!AB85)</f>
        <v/>
      </c>
      <c r="BC85" s="68" t="str">
        <f>IF('Marks Entry'!AC85="","",'Marks Entry'!AC85)</f>
        <v/>
      </c>
      <c r="BD85" s="68" t="str">
        <f>IF('Marks Entry'!AD85="","",'Marks Entry'!AD85)</f>
        <v/>
      </c>
      <c r="BE85" s="514" t="str">
        <f t="shared" si="192"/>
        <v/>
      </c>
      <c r="BF85" s="68" t="str">
        <f>IF('Marks Entry'!AE85="","",'Marks Entry'!AE85)</f>
        <v/>
      </c>
      <c r="BG85" s="515" t="str">
        <f t="shared" si="193"/>
        <v/>
      </c>
      <c r="BH85" s="68" t="str">
        <f>IF('Marks Entry'!AF85="","",'Marks Entry'!AF85)</f>
        <v/>
      </c>
      <c r="BI85" s="96" t="str">
        <f t="shared" si="194"/>
        <v/>
      </c>
      <c r="BJ85" s="65">
        <f t="shared" si="195"/>
        <v>0</v>
      </c>
      <c r="BK85" s="65">
        <f t="shared" si="263"/>
        <v>0</v>
      </c>
      <c r="BL85" s="66" t="str">
        <f t="shared" si="196"/>
        <v/>
      </c>
      <c r="BM85" s="65" t="str">
        <f t="shared" si="197"/>
        <v/>
      </c>
      <c r="BN85" s="65" t="str">
        <f t="shared" si="198"/>
        <v/>
      </c>
      <c r="BO85" s="65" t="str">
        <f t="shared" si="199"/>
        <v/>
      </c>
      <c r="BP85" s="68" t="str">
        <f>IF('Marks Entry'!AG85="","",'Marks Entry'!AG85)</f>
        <v/>
      </c>
      <c r="BQ85" s="68" t="str">
        <f>IF('Marks Entry'!AH85="","",'Marks Entry'!AH85)</f>
        <v/>
      </c>
      <c r="BR85" s="68" t="str">
        <f>IF('Marks Entry'!AI85="","",'Marks Entry'!AI85)</f>
        <v/>
      </c>
      <c r="BS85" s="514" t="str">
        <f t="shared" si="200"/>
        <v/>
      </c>
      <c r="BT85" s="68" t="str">
        <f>IF('Marks Entry'!AJ85="","",'Marks Entry'!AJ85)</f>
        <v/>
      </c>
      <c r="BU85" s="515" t="str">
        <f t="shared" si="201"/>
        <v/>
      </c>
      <c r="BV85" s="68" t="str">
        <f>IF('Marks Entry'!AK85="","",'Marks Entry'!AK85)</f>
        <v/>
      </c>
      <c r="BW85" s="96" t="str">
        <f t="shared" si="202"/>
        <v/>
      </c>
      <c r="BX85" s="65">
        <f t="shared" si="203"/>
        <v>0</v>
      </c>
      <c r="BY85" s="65">
        <f t="shared" si="204"/>
        <v>0</v>
      </c>
      <c r="BZ85" s="66" t="str">
        <f t="shared" si="205"/>
        <v/>
      </c>
      <c r="CA85" s="65" t="str">
        <f t="shared" si="206"/>
        <v/>
      </c>
      <c r="CB85" s="65" t="str">
        <f t="shared" si="207"/>
        <v/>
      </c>
      <c r="CC85" s="65" t="str">
        <f t="shared" si="208"/>
        <v/>
      </c>
      <c r="CD85" s="66">
        <f t="shared" si="209"/>
        <v>0</v>
      </c>
      <c r="CE85" s="68" t="str">
        <f>IF('Marks Entry'!AL85="","",'Marks Entry'!AL85)</f>
        <v/>
      </c>
      <c r="CF85" s="68" t="str">
        <f>IF('Marks Entry'!AM85="","",'Marks Entry'!AM85)</f>
        <v/>
      </c>
      <c r="CG85" s="68" t="str">
        <f>IF('Marks Entry'!AN85="","",'Marks Entry'!AN85)</f>
        <v/>
      </c>
      <c r="CH85" s="514" t="str">
        <f t="shared" si="210"/>
        <v/>
      </c>
      <c r="CI85" s="68" t="str">
        <f>IF('Marks Entry'!AO85="","",'Marks Entry'!AO85)</f>
        <v/>
      </c>
      <c r="CJ85" s="515" t="str">
        <f t="shared" si="211"/>
        <v/>
      </c>
      <c r="CK85" s="68" t="str">
        <f>IF('Marks Entry'!AP85="","",'Marks Entry'!AP85)</f>
        <v/>
      </c>
      <c r="CL85" s="96" t="str">
        <f t="shared" si="212"/>
        <v/>
      </c>
      <c r="CM85" s="65">
        <f t="shared" si="213"/>
        <v>0</v>
      </c>
      <c r="CN85" s="65">
        <f t="shared" si="214"/>
        <v>0</v>
      </c>
      <c r="CO85" s="66" t="str">
        <f t="shared" si="215"/>
        <v/>
      </c>
      <c r="CP85" s="65" t="str">
        <f t="shared" si="216"/>
        <v/>
      </c>
      <c r="CQ85" s="65" t="str">
        <f t="shared" si="217"/>
        <v/>
      </c>
      <c r="CR85" s="65" t="str">
        <f t="shared" si="218"/>
        <v/>
      </c>
      <c r="CS85" s="616" t="str">
        <f>IF('School Profile'!$D$20="NO","",IF('Marks Entry'!AQ85="","",IF('Marks Entry'!AQ85=1,'School Profile'!$I$29,IF('Marks Entry'!AQ85=2,'School Profile'!$I$30,IF('Marks Entry'!AQ85=3,'School Profile'!$I$31,IF('Marks Entry'!AQ85=4,'School Profile'!$I$32,IF('Marks Entry'!AQ85=5,'School Profile'!$I$33,IF('Marks Entry'!AQ85=6,'School Profile'!$I$34,IF('Marks Entry'!AQ85=7,'School Profile'!$I$35,IF('Marks Entry'!AQ85=8,'School Profile'!$I$36,IF('Marks Entry'!AQ85=9,'School Profile'!$I$37,IF('Marks Entry'!AQ85=10,'School Profile'!$I$38,IF('Marks Entry'!AQ85=11,'School Profile'!$I$39,"")))))))))))))</f>
        <v/>
      </c>
      <c r="CT85" s="68" t="str">
        <f>IF('School Profile'!$D$20="NO","",IF('Marks Entry'!AR85="","",'Marks Entry'!AR85))</f>
        <v/>
      </c>
      <c r="CU85" s="68" t="str">
        <f>IF('School Profile'!$D$20="NO","",IF('Marks Entry'!AS85="","",'Marks Entry'!AS85))</f>
        <v/>
      </c>
      <c r="CV85" s="68" t="str">
        <f>IF('School Profile'!$D$20="NO","",IF('Marks Entry'!AT85="","",'Marks Entry'!AT85))</f>
        <v/>
      </c>
      <c r="CW85" s="514" t="str">
        <f>IF('School Profile'!$D$20="NO","",IF(AND(CT85="",CU85="",CV85=""),"",SUM(CT85:CV85)))</f>
        <v/>
      </c>
      <c r="CX85" s="68" t="str">
        <f>IF('School Profile'!$D$20="NO","",IF('Marks Entry'!AU85="","",'Marks Entry'!AU85))</f>
        <v/>
      </c>
      <c r="CY85" s="68" t="str">
        <f>IF('School Profile'!$D$20="NO","",IF('Marks Entry'!AV85="","",'Marks Entry'!AV85))</f>
        <v/>
      </c>
      <c r="CZ85" s="515" t="str">
        <f>IF('School Profile'!$D$20="NO","",IF(AND(CX85="",CY85=""),"",SUM(CX85,CY85)))</f>
        <v/>
      </c>
      <c r="DA85" s="69" t="str">
        <f>IF('School Profile'!$D$20="NO","",IF(AND(CW85="",CZ85=""),"",SUM(CW85+CZ85)))</f>
        <v/>
      </c>
      <c r="DB85" s="68" t="str">
        <f>IF('School Profile'!$D$20="NO","",IF('Marks Entry'!AW85="","",'Marks Entry'!AW85))</f>
        <v/>
      </c>
      <c r="DC85" s="68" t="str">
        <f>IF('School Profile'!$D$20="NO","",IF('Marks Entry'!AX85="","",'Marks Entry'!AX85))</f>
        <v/>
      </c>
      <c r="DD85" s="515" t="str">
        <f>IF('School Profile'!$D$20="NO","",IF(AND(DB85="",DC85=""),"",SUM(DB85,DC85)))</f>
        <v/>
      </c>
      <c r="DE85" s="96" t="str">
        <f>IF('School Profile'!$D$20="NO","",IF(AND(DA85="",DD85=""),"",SUM(DA85,DD85)))</f>
        <v/>
      </c>
      <c r="DF85" s="532">
        <f t="shared" si="219"/>
        <v>0</v>
      </c>
      <c r="DG85" s="65">
        <f t="shared" si="220"/>
        <v>0</v>
      </c>
      <c r="DH85" s="66" t="str">
        <f t="shared" si="221"/>
        <v/>
      </c>
      <c r="DI85" s="65" t="str">
        <f t="shared" si="222"/>
        <v/>
      </c>
      <c r="DJ85" s="65" t="str">
        <f t="shared" si="223"/>
        <v/>
      </c>
      <c r="DK85" s="65" t="str">
        <f t="shared" si="224"/>
        <v/>
      </c>
      <c r="DL85" s="97" t="str">
        <f t="shared" si="264"/>
        <v/>
      </c>
      <c r="DM85" s="97" t="str">
        <f t="shared" si="265"/>
        <v/>
      </c>
      <c r="DN85" s="97" t="str">
        <f t="shared" si="266"/>
        <v/>
      </c>
      <c r="DO85" s="97" t="str">
        <f t="shared" si="267"/>
        <v/>
      </c>
      <c r="DP85" s="97" t="str">
        <f t="shared" si="268"/>
        <v/>
      </c>
      <c r="DQ85" s="97" t="str">
        <f t="shared" si="269"/>
        <v/>
      </c>
      <c r="DR85" s="97" t="str">
        <f t="shared" si="270"/>
        <v/>
      </c>
      <c r="DS85" s="98">
        <f t="shared" si="271"/>
        <v>0</v>
      </c>
      <c r="DT85" s="98">
        <f t="shared" si="272"/>
        <v>0</v>
      </c>
      <c r="DU85" s="98">
        <f t="shared" si="273"/>
        <v>0</v>
      </c>
      <c r="DV85" s="98">
        <f t="shared" si="274"/>
        <v>0</v>
      </c>
      <c r="DW85" s="98">
        <f t="shared" si="275"/>
        <v>0</v>
      </c>
      <c r="DX85" s="98" t="str">
        <f t="shared" si="276"/>
        <v/>
      </c>
      <c r="DY85" s="99" t="str">
        <f t="shared" si="277"/>
        <v/>
      </c>
      <c r="DZ85" s="74" t="str">
        <f>IF('Marks Entry'!AY85="","",'Marks Entry'!AY85)</f>
        <v/>
      </c>
      <c r="EA85" s="74" t="str">
        <f>IF('Marks Entry'!AZ85="","",'Marks Entry'!AZ85)</f>
        <v/>
      </c>
      <c r="EB85" s="74" t="str">
        <f>IF('Marks Entry'!BA85="","",'Marks Entry'!BA85)</f>
        <v/>
      </c>
      <c r="EC85" s="527" t="str">
        <f t="shared" si="225"/>
        <v/>
      </c>
      <c r="ED85" s="74" t="str">
        <f>IF('Marks Entry'!BB85="","",'Marks Entry'!BB85)</f>
        <v/>
      </c>
      <c r="EE85" s="528" t="str">
        <f t="shared" si="226"/>
        <v/>
      </c>
      <c r="EF85" s="74" t="str">
        <f>IF('Marks Entry'!BC85="","",'Marks Entry'!BC85)</f>
        <v/>
      </c>
      <c r="EG85" s="530" t="str">
        <f t="shared" si="227"/>
        <v/>
      </c>
      <c r="EH85" s="368" t="str">
        <f t="shared" si="278"/>
        <v/>
      </c>
      <c r="EI85" s="65">
        <f t="shared" si="279"/>
        <v>0</v>
      </c>
      <c r="EJ85" s="65">
        <f t="shared" si="280"/>
        <v>0</v>
      </c>
      <c r="EK85" s="66" t="str">
        <f t="shared" si="281"/>
        <v/>
      </c>
      <c r="EL85" s="74" t="str">
        <f>IF('Marks Entry'!BD85="","",'Marks Entry'!BD85)</f>
        <v/>
      </c>
      <c r="EM85" s="74" t="str">
        <f>IF('Marks Entry'!BE85="","",'Marks Entry'!BE85)</f>
        <v/>
      </c>
      <c r="EN85" s="74" t="str">
        <f>IF('Marks Entry'!BF85="","",'Marks Entry'!BF85)</f>
        <v/>
      </c>
      <c r="EO85" s="527" t="str">
        <f t="shared" si="228"/>
        <v/>
      </c>
      <c r="EP85" s="74" t="str">
        <f>IF('Marks Entry'!BG85="","",'Marks Entry'!BG85)</f>
        <v/>
      </c>
      <c r="EQ85" s="74" t="str">
        <f>IF('Marks Entry'!BH85="","",'Marks Entry'!BH85)</f>
        <v/>
      </c>
      <c r="ER85" s="528" t="str">
        <f t="shared" si="229"/>
        <v/>
      </c>
      <c r="ES85" s="529" t="str">
        <f t="shared" si="230"/>
        <v/>
      </c>
      <c r="ET85" s="74" t="str">
        <f>IF('Marks Entry'!BI85="","",'Marks Entry'!BI85)</f>
        <v/>
      </c>
      <c r="EU85" s="74" t="str">
        <f>IF('Marks Entry'!BJ85="","",'Marks Entry'!BJ85)</f>
        <v/>
      </c>
      <c r="EV85" s="528" t="str">
        <f t="shared" si="231"/>
        <v/>
      </c>
      <c r="EW85" s="530" t="str">
        <f t="shared" si="232"/>
        <v/>
      </c>
      <c r="EX85" s="368" t="str">
        <f t="shared" si="282"/>
        <v/>
      </c>
      <c r="EY85" s="65">
        <f t="shared" si="283"/>
        <v>0</v>
      </c>
      <c r="EZ85" s="65">
        <f t="shared" si="284"/>
        <v>0</v>
      </c>
      <c r="FA85" s="66" t="str">
        <f t="shared" si="285"/>
        <v/>
      </c>
      <c r="FB85" s="74" t="str">
        <f>IF('Marks Entry'!BK85="","",'Marks Entry'!BK85)</f>
        <v/>
      </c>
      <c r="FC85" s="74" t="str">
        <f>IF('Marks Entry'!BL85="","",'Marks Entry'!BL85)</f>
        <v/>
      </c>
      <c r="FD85" s="74" t="str">
        <f>IF('Marks Entry'!BM85="","",'Marks Entry'!BM85)</f>
        <v/>
      </c>
      <c r="FE85" s="74" t="str">
        <f>IF('Marks Entry'!BN85="","",'Marks Entry'!BN85)</f>
        <v/>
      </c>
      <c r="FF85" s="74" t="str">
        <f>IF('Marks Entry'!BO85="","",'Marks Entry'!BO85)</f>
        <v/>
      </c>
      <c r="FG85" s="74" t="str">
        <f>IF('Marks Entry'!BP85="","",'Marks Entry'!BP85)</f>
        <v/>
      </c>
      <c r="FH85" s="527" t="str">
        <f t="shared" si="233"/>
        <v/>
      </c>
      <c r="FI85" s="74" t="str">
        <f>IF('Marks Entry'!BQ85="","",'Marks Entry'!BQ85)</f>
        <v/>
      </c>
      <c r="FJ85" s="74" t="str">
        <f>IF('Marks Entry'!BR85="","",'Marks Entry'!BR85)</f>
        <v/>
      </c>
      <c r="FK85" s="528" t="str">
        <f t="shared" si="234"/>
        <v/>
      </c>
      <c r="FL85" s="529" t="str">
        <f t="shared" si="235"/>
        <v/>
      </c>
      <c r="FM85" s="74" t="str">
        <f>IF('Marks Entry'!BS85="","",'Marks Entry'!BS85)</f>
        <v/>
      </c>
      <c r="FN85" s="74" t="str">
        <f>IF('Marks Entry'!BT85="","",'Marks Entry'!BT85)</f>
        <v/>
      </c>
      <c r="FO85" s="528" t="str">
        <f t="shared" si="236"/>
        <v/>
      </c>
      <c r="FP85" s="530" t="str">
        <f t="shared" si="237"/>
        <v/>
      </c>
      <c r="FQ85" s="368" t="str">
        <f t="shared" si="286"/>
        <v/>
      </c>
      <c r="FR85" s="65">
        <f t="shared" si="287"/>
        <v>0</v>
      </c>
      <c r="FS85" s="65">
        <f t="shared" si="288"/>
        <v>0</v>
      </c>
      <c r="FT85" s="66" t="str">
        <f t="shared" si="289"/>
        <v/>
      </c>
      <c r="FU85" s="74" t="str">
        <f>IF('Marks Entry'!BU85="","",'Marks Entry'!BU85)</f>
        <v/>
      </c>
      <c r="FV85" s="74" t="str">
        <f>IF('Marks Entry'!BV85="","",'Marks Entry'!BV85)</f>
        <v/>
      </c>
      <c r="FW85" s="74" t="str">
        <f>IF('Marks Entry'!BW85="","",'Marks Entry'!BW85)</f>
        <v/>
      </c>
      <c r="FX85" s="75" t="str">
        <f t="shared" si="238"/>
        <v/>
      </c>
      <c r="FY85" s="368" t="str">
        <f t="shared" si="290"/>
        <v/>
      </c>
      <c r="FZ85" s="65">
        <f t="shared" si="291"/>
        <v>0</v>
      </c>
      <c r="GA85" s="66">
        <f t="shared" si="292"/>
        <v>0</v>
      </c>
      <c r="GB85" s="66" t="str">
        <f t="shared" si="293"/>
        <v/>
      </c>
      <c r="GC85" s="74" t="str">
        <f>IF('Marks Entry'!BX85="","",'Marks Entry'!BX85)</f>
        <v/>
      </c>
      <c r="GD85" s="74" t="str">
        <f>IF('Marks Entry'!BY85="","",'Marks Entry'!BY85)</f>
        <v/>
      </c>
      <c r="GE85" s="74" t="str">
        <f>IF('Marks Entry'!BZ85="","",'Marks Entry'!BZ85)</f>
        <v/>
      </c>
      <c r="GF85" s="75" t="str">
        <f t="shared" si="294"/>
        <v/>
      </c>
      <c r="GG85" s="368" t="str">
        <f t="shared" si="295"/>
        <v/>
      </c>
      <c r="GH85" s="65">
        <f t="shared" si="296"/>
        <v>0</v>
      </c>
      <c r="GI85" s="66">
        <f t="shared" si="297"/>
        <v>0</v>
      </c>
      <c r="GJ85" s="66" t="str">
        <f t="shared" si="298"/>
        <v/>
      </c>
      <c r="GK85" s="100" t="str">
        <f>IF(AND(F85="",B85=""),"",IF('Student DATA Entry'!M82="","",'Student DATA Entry'!M82))</f>
        <v/>
      </c>
      <c r="GL85" s="101" t="str">
        <f>IF(AND(B85="",F85=""),"",IF('Student DATA Entry'!N82="","",'Student DATA Entry'!N82))</f>
        <v/>
      </c>
      <c r="GM85" s="581" t="str">
        <f t="shared" si="299"/>
        <v/>
      </c>
      <c r="GN85" s="94" t="str">
        <f t="shared" si="300"/>
        <v/>
      </c>
      <c r="GO85" s="94" t="str">
        <f t="shared" si="301"/>
        <v/>
      </c>
      <c r="GP85" s="102" t="str">
        <f t="shared" si="239"/>
        <v/>
      </c>
      <c r="GQ85" s="94" t="str">
        <f t="shared" si="302"/>
        <v/>
      </c>
      <c r="GR85" s="103" t="str">
        <f t="shared" si="303"/>
        <v/>
      </c>
      <c r="GS85" s="102" t="str">
        <f t="shared" si="240"/>
        <v/>
      </c>
      <c r="GT85" s="104" t="str">
        <f t="shared" si="304"/>
        <v/>
      </c>
      <c r="GU85" s="94" t="str">
        <f>IF('Marks Entry'!V85=1,GT85,"")</f>
        <v/>
      </c>
      <c r="GV85" s="94" t="str">
        <f>IF('Marks Entry'!V85=2,GT85,"")</f>
        <v/>
      </c>
      <c r="GW85" s="94" t="str">
        <f>IF('Marks Entry'!V85=3,GT85,"")</f>
        <v/>
      </c>
      <c r="GX85" s="94" t="str">
        <f>IF('Marks Entry'!V85=4,GT85,"")</f>
        <v/>
      </c>
      <c r="GY85" s="94" t="str">
        <f>IF('Marks Entry'!V85=5,GT85,"")</f>
        <v/>
      </c>
      <c r="GZ85" s="94" t="str">
        <f t="shared" si="305"/>
        <v/>
      </c>
      <c r="HA85" s="105" t="str">
        <f t="shared" si="241"/>
        <v/>
      </c>
      <c r="HB85" s="94" t="str">
        <f t="shared" si="306"/>
        <v/>
      </c>
      <c r="HC85" s="94" t="str">
        <f t="shared" si="307"/>
        <v/>
      </c>
      <c r="HD85" s="105" t="str">
        <f t="shared" si="242"/>
        <v/>
      </c>
      <c r="HE85" s="94" t="str">
        <f t="shared" si="308"/>
        <v/>
      </c>
      <c r="HF85" s="94" t="str">
        <f t="shared" si="309"/>
        <v/>
      </c>
      <c r="HG85" s="105" t="str">
        <f t="shared" si="243"/>
        <v/>
      </c>
      <c r="HH85" s="94" t="str">
        <f t="shared" si="310"/>
        <v/>
      </c>
      <c r="HI85" s="94" t="str">
        <f t="shared" si="311"/>
        <v/>
      </c>
      <c r="HJ85" s="105" t="str">
        <f t="shared" si="244"/>
        <v/>
      </c>
      <c r="HK85" s="94" t="str">
        <f t="shared" si="312"/>
        <v/>
      </c>
      <c r="HL85" s="94" t="str">
        <f t="shared" si="313"/>
        <v/>
      </c>
      <c r="HM85" s="105" t="str">
        <f t="shared" si="245"/>
        <v/>
      </c>
      <c r="HN85" s="367" t="str">
        <f t="shared" si="314"/>
        <v xml:space="preserve">      </v>
      </c>
      <c r="HO85" s="418" t="str">
        <f t="shared" si="246"/>
        <v xml:space="preserve">      </v>
      </c>
      <c r="HP85" s="367" t="str">
        <f t="shared" si="315"/>
        <v xml:space="preserve">      </v>
      </c>
      <c r="HQ85" s="107" t="str">
        <f t="shared" si="316"/>
        <v xml:space="preserve">      </v>
      </c>
      <c r="HR85" s="366" t="str">
        <f t="shared" si="317"/>
        <v xml:space="preserve">      </v>
      </c>
      <c r="HS85" s="544" t="str">
        <f t="shared" si="247"/>
        <v/>
      </c>
      <c r="HT85" s="542" t="str">
        <f t="shared" si="318"/>
        <v/>
      </c>
      <c r="HU85" s="541" t="str">
        <f t="shared" si="319"/>
        <v/>
      </c>
      <c r="HV85" s="540" t="str">
        <f t="shared" si="320"/>
        <v/>
      </c>
      <c r="HW85" s="537" t="str">
        <f t="shared" si="321"/>
        <v/>
      </c>
      <c r="HX85" s="539" t="str">
        <f t="shared" si="322"/>
        <v/>
      </c>
      <c r="HY85" s="553" t="str">
        <f>IFERROR(IF(OR(HS85="SUPPLEMENTARY",HS85="RE-EXAM"),'Supp. Result Entry'!AQ83,""),"")</f>
        <v/>
      </c>
      <c r="HZ85" s="538" t="str">
        <f t="shared" si="323"/>
        <v/>
      </c>
      <c r="IA85" s="415" t="str">
        <f t="shared" si="324"/>
        <v/>
      </c>
      <c r="IB85" s="415" t="str">
        <f>IF(AND(HZ85="",IA85=""),"",IF(OR(HS85="SUPPLEMENTARY",HS85="RE-EXAM"),'Supp. Result Entry'!AQ83,HS85))</f>
        <v/>
      </c>
      <c r="IC85" s="87"/>
      <c r="IS85" s="109" t="str">
        <f>IF('Supp. Result Entry'!T83="","",'Supp. Result Entry'!$T$4)</f>
        <v/>
      </c>
      <c r="IT85" s="110" t="str">
        <f>IF('Supp. Result Entry'!W83="","",'Supp. Result Entry'!$W$4)</f>
        <v/>
      </c>
      <c r="IU85" s="110" t="str">
        <f>IF('Supp. Result Entry'!Z83="","",'Supp. Result Entry'!$Z$4)</f>
        <v/>
      </c>
      <c r="IV85" s="110" t="str">
        <f>IF('Supp. Result Entry'!AC83="","",'Supp. Result Entry'!$AC$4)</f>
        <v/>
      </c>
      <c r="IW85" s="110" t="str">
        <f>IF('Supp. Result Entry'!AF83="","",'Supp. Result Entry'!$AF$4)</f>
        <v/>
      </c>
      <c r="IX85" s="110" t="str">
        <f>IF('Supp. Result Entry'!AI83="","",'Supp. Result Entry'!$AI$4)</f>
        <v/>
      </c>
      <c r="IY85" s="110" t="str">
        <f>IF('Supp. Result Entry'!AI83="","",'Supp. Result Entry'!$AL$4)</f>
        <v/>
      </c>
      <c r="IZ85" s="110" t="str">
        <f>IF('Supp. Result Entry'!U83="","",'Supp. Result Entry'!U83)</f>
        <v/>
      </c>
      <c r="JA85" s="110" t="str">
        <f>IF('Supp. Result Entry'!X83="","",'Supp. Result Entry'!X83)</f>
        <v/>
      </c>
      <c r="JB85" s="110" t="str">
        <f>IF('Supp. Result Entry'!AA83="","",'Supp. Result Entry'!AA83)</f>
        <v/>
      </c>
      <c r="JC85" s="110" t="str">
        <f>IF('Supp. Result Entry'!AD83="","",'Supp. Result Entry'!AD83)</f>
        <v/>
      </c>
      <c r="JD85" s="110" t="str">
        <f>IF('Supp. Result Entry'!AG83="","",'Supp. Result Entry'!AG83)</f>
        <v/>
      </c>
      <c r="JE85" s="110" t="str">
        <f>IF('Supp. Result Entry'!AJ83="","",'Supp. Result Entry'!AJ83)</f>
        <v/>
      </c>
      <c r="JF85" s="110" t="str">
        <f>IF('Supp. Result Entry'!AM83="","",'Supp. Result Entry'!AM83)</f>
        <v/>
      </c>
      <c r="JG85" s="110" t="str">
        <f>IF('Supp. Result Entry'!V83="","",'Supp. Result Entry'!V83)</f>
        <v/>
      </c>
      <c r="JH85" s="110" t="str">
        <f>IF('Supp. Result Entry'!Y83="","",'Supp. Result Entry'!Y83)</f>
        <v/>
      </c>
      <c r="JI85" s="110" t="str">
        <f>IF('Supp. Result Entry'!AB83="","",'Supp. Result Entry'!AB83)</f>
        <v/>
      </c>
      <c r="JJ85" s="110" t="str">
        <f>IF('Supp. Result Entry'!AE83="","",'Supp. Result Entry'!AE83)</f>
        <v/>
      </c>
      <c r="JK85" s="110" t="str">
        <f>IF('Supp. Result Entry'!AH83="","",'Supp. Result Entry'!AH83)</f>
        <v/>
      </c>
      <c r="JL85" s="110" t="str">
        <f>IF('Supp. Result Entry'!AK83="","",'Supp. Result Entry'!AK83)</f>
        <v/>
      </c>
      <c r="JM85" s="110" t="str">
        <f>IF('Supp. Result Entry'!AN83="","",'Supp. Result Entry'!AN83)</f>
        <v/>
      </c>
      <c r="JN85" s="110">
        <f>COUNTIF('Supp. Result Entry'!K83:Q83,"S")</f>
        <v>0</v>
      </c>
      <c r="JO85" s="110">
        <f t="shared" si="248"/>
        <v>0</v>
      </c>
      <c r="JP85" s="110">
        <f t="shared" si="325"/>
        <v>0</v>
      </c>
      <c r="JQ85" s="110" t="str">
        <f t="shared" si="249"/>
        <v/>
      </c>
      <c r="JR85" s="110" t="str">
        <f t="shared" si="250"/>
        <v/>
      </c>
      <c r="JS85" s="110" t="str">
        <f t="shared" si="251"/>
        <v/>
      </c>
      <c r="JT85" s="110" t="str">
        <f t="shared" si="252"/>
        <v/>
      </c>
      <c r="JU85" s="110" t="str">
        <f t="shared" si="253"/>
        <v/>
      </c>
      <c r="JV85" s="110" t="str">
        <f t="shared" si="254"/>
        <v/>
      </c>
      <c r="JW85" s="110" t="str">
        <f t="shared" si="255"/>
        <v/>
      </c>
      <c r="JX85" s="110" t="str">
        <f t="shared" si="326"/>
        <v/>
      </c>
      <c r="JY85" s="110" t="str">
        <f t="shared" si="327"/>
        <v/>
      </c>
      <c r="JZ85" s="110" t="str">
        <f t="shared" si="256"/>
        <v/>
      </c>
      <c r="KA85" s="108" t="str">
        <f t="shared" si="328"/>
        <v/>
      </c>
    </row>
    <row r="86" spans="1:287" s="108" customFormat="1" ht="21.95" customHeight="1">
      <c r="A86" s="89">
        <v>80</v>
      </c>
      <c r="B86" s="90" t="str">
        <f>IF('Marks Entry'!B86="","",'Marks Entry'!B86)</f>
        <v/>
      </c>
      <c r="C86" s="94" t="str">
        <f>IF('Marks Entry'!D86="","",'Marks Entry'!D86)</f>
        <v/>
      </c>
      <c r="D86" s="91" t="str">
        <f>IF('Marks Entry'!E86="","",'Marks Entry'!E86)</f>
        <v/>
      </c>
      <c r="E86" s="92" t="str">
        <f>IF('Marks Entry'!F86="","",'Marks Entry'!F86)</f>
        <v/>
      </c>
      <c r="F86" s="93" t="str">
        <f>IF('Marks Entry'!G86="","",'Marks Entry'!G86)</f>
        <v/>
      </c>
      <c r="G86" s="93" t="str">
        <f>IF('Marks Entry'!H86="","",'Marks Entry'!H86)</f>
        <v/>
      </c>
      <c r="H86" s="93" t="str">
        <f>IF('Marks Entry'!I86="","",'Marks Entry'!I86)</f>
        <v/>
      </c>
      <c r="I86" s="94" t="str">
        <f>IF('Marks Entry'!J86="","",'Marks Entry'!J86)</f>
        <v/>
      </c>
      <c r="J86" s="95" t="str">
        <f>IF('Marks Entry'!K86="","",'Marks Entry'!K86)</f>
        <v/>
      </c>
      <c r="K86" s="68" t="str">
        <f>IF('Marks Entry'!L86="","",'Marks Entry'!L86)</f>
        <v/>
      </c>
      <c r="L86" s="68" t="str">
        <f>IF('Marks Entry'!M86="","",'Marks Entry'!M86)</f>
        <v/>
      </c>
      <c r="M86" s="68" t="str">
        <f>IF('Marks Entry'!N86="","",'Marks Entry'!N86)</f>
        <v/>
      </c>
      <c r="N86" s="514" t="str">
        <f t="shared" si="257"/>
        <v/>
      </c>
      <c r="O86" s="68" t="str">
        <f>IF('Marks Entry'!O86="","",'Marks Entry'!O86)</f>
        <v/>
      </c>
      <c r="P86" s="515" t="str">
        <f t="shared" si="258"/>
        <v/>
      </c>
      <c r="Q86" s="68" t="str">
        <f>IF('Marks Entry'!P86="","",'Marks Entry'!P86)</f>
        <v/>
      </c>
      <c r="R86" s="96" t="str">
        <f t="shared" si="259"/>
        <v/>
      </c>
      <c r="S86" s="65">
        <f t="shared" si="260"/>
        <v>0</v>
      </c>
      <c r="T86" s="65">
        <f t="shared" si="261"/>
        <v>0</v>
      </c>
      <c r="U86" s="66" t="str">
        <f t="shared" si="171"/>
        <v/>
      </c>
      <c r="V86" s="65" t="str">
        <f t="shared" si="172"/>
        <v/>
      </c>
      <c r="W86" s="65" t="str">
        <f t="shared" si="262"/>
        <v/>
      </c>
      <c r="X86" s="65" t="str">
        <f t="shared" si="173"/>
        <v/>
      </c>
      <c r="Y86" s="68" t="str">
        <f>IF('Marks Entry'!Q86="","",'Marks Entry'!Q86)</f>
        <v/>
      </c>
      <c r="Z86" s="68" t="str">
        <f>IF('Marks Entry'!R86="","",'Marks Entry'!R86)</f>
        <v/>
      </c>
      <c r="AA86" s="68" t="str">
        <f>IF('Marks Entry'!S86="","",'Marks Entry'!S86)</f>
        <v/>
      </c>
      <c r="AB86" s="514" t="str">
        <f t="shared" si="174"/>
        <v/>
      </c>
      <c r="AC86" s="68" t="str">
        <f>IF('Marks Entry'!T86="","",'Marks Entry'!T86)</f>
        <v/>
      </c>
      <c r="AD86" s="515" t="str">
        <f t="shared" si="175"/>
        <v/>
      </c>
      <c r="AE86" s="68" t="str">
        <f>IF('Marks Entry'!U86="","",'Marks Entry'!U86)</f>
        <v/>
      </c>
      <c r="AF86" s="96" t="str">
        <f t="shared" si="176"/>
        <v/>
      </c>
      <c r="AG86" s="65">
        <f t="shared" si="177"/>
        <v>0</v>
      </c>
      <c r="AH86" s="65">
        <f t="shared" si="178"/>
        <v>0</v>
      </c>
      <c r="AI86" s="66" t="str">
        <f t="shared" si="179"/>
        <v/>
      </c>
      <c r="AJ86" s="65" t="str">
        <f t="shared" si="180"/>
        <v/>
      </c>
      <c r="AK86" s="65" t="str">
        <f t="shared" si="181"/>
        <v/>
      </c>
      <c r="AL86" s="65" t="str">
        <f t="shared" si="182"/>
        <v/>
      </c>
      <c r="AM86" s="524" t="str">
        <f>IF('Marks Entry'!V86="","",IF('Marks Entry'!V86=1,'School Profile'!$I$9,IF('Marks Entry'!V86=2,'School Profile'!$I$10,IF('Marks Entry'!V86=3,'School Profile'!$I$11,IF('Marks Entry'!V86=4,'School Profile'!$I$12,IF('Marks Entry'!V86=5,'School Profile'!$I$13,IF('Marks Entry'!V86=6,'School Profile'!$I$14,"")))))))</f>
        <v/>
      </c>
      <c r="AN86" s="68" t="str">
        <f>IF('Marks Entry'!W86="","",'Marks Entry'!W86)</f>
        <v/>
      </c>
      <c r="AO86" s="68" t="str">
        <f>IF('Marks Entry'!X86="","",'Marks Entry'!X86)</f>
        <v/>
      </c>
      <c r="AP86" s="68" t="str">
        <f>IF('Marks Entry'!Y86="","",'Marks Entry'!Y86)</f>
        <v/>
      </c>
      <c r="AQ86" s="514" t="str">
        <f t="shared" si="183"/>
        <v/>
      </c>
      <c r="AR86" s="68" t="str">
        <f>IF('Marks Entry'!Z86="","",'Marks Entry'!Z86)</f>
        <v/>
      </c>
      <c r="AS86" s="515" t="str">
        <f t="shared" si="184"/>
        <v/>
      </c>
      <c r="AT86" s="68" t="str">
        <f>IF('Marks Entry'!AA86="","",'Marks Entry'!AA86)</f>
        <v/>
      </c>
      <c r="AU86" s="96" t="str">
        <f t="shared" si="185"/>
        <v/>
      </c>
      <c r="AV86" s="65">
        <f t="shared" si="186"/>
        <v>0</v>
      </c>
      <c r="AW86" s="65">
        <f t="shared" si="187"/>
        <v>0</v>
      </c>
      <c r="AX86" s="66" t="str">
        <f t="shared" si="188"/>
        <v/>
      </c>
      <c r="AY86" s="65" t="str">
        <f t="shared" si="189"/>
        <v/>
      </c>
      <c r="AZ86" s="65" t="str">
        <f t="shared" si="190"/>
        <v/>
      </c>
      <c r="BA86" s="65" t="str">
        <f t="shared" si="191"/>
        <v/>
      </c>
      <c r="BB86" s="68" t="str">
        <f>IF('Marks Entry'!AB86="","",'Marks Entry'!AB86)</f>
        <v/>
      </c>
      <c r="BC86" s="68" t="str">
        <f>IF('Marks Entry'!AC86="","",'Marks Entry'!AC86)</f>
        <v/>
      </c>
      <c r="BD86" s="68" t="str">
        <f>IF('Marks Entry'!AD86="","",'Marks Entry'!AD86)</f>
        <v/>
      </c>
      <c r="BE86" s="514" t="str">
        <f t="shared" si="192"/>
        <v/>
      </c>
      <c r="BF86" s="68" t="str">
        <f>IF('Marks Entry'!AE86="","",'Marks Entry'!AE86)</f>
        <v/>
      </c>
      <c r="BG86" s="515" t="str">
        <f t="shared" si="193"/>
        <v/>
      </c>
      <c r="BH86" s="68" t="str">
        <f>IF('Marks Entry'!AF86="","",'Marks Entry'!AF86)</f>
        <v/>
      </c>
      <c r="BI86" s="96" t="str">
        <f t="shared" si="194"/>
        <v/>
      </c>
      <c r="BJ86" s="65">
        <f t="shared" si="195"/>
        <v>0</v>
      </c>
      <c r="BK86" s="65">
        <f t="shared" si="263"/>
        <v>0</v>
      </c>
      <c r="BL86" s="66" t="str">
        <f t="shared" si="196"/>
        <v/>
      </c>
      <c r="BM86" s="65" t="str">
        <f t="shared" si="197"/>
        <v/>
      </c>
      <c r="BN86" s="65" t="str">
        <f t="shared" si="198"/>
        <v/>
      </c>
      <c r="BO86" s="65" t="str">
        <f t="shared" si="199"/>
        <v/>
      </c>
      <c r="BP86" s="68" t="str">
        <f>IF('Marks Entry'!AG86="","",'Marks Entry'!AG86)</f>
        <v/>
      </c>
      <c r="BQ86" s="68" t="str">
        <f>IF('Marks Entry'!AH86="","",'Marks Entry'!AH86)</f>
        <v/>
      </c>
      <c r="BR86" s="68" t="str">
        <f>IF('Marks Entry'!AI86="","",'Marks Entry'!AI86)</f>
        <v/>
      </c>
      <c r="BS86" s="514" t="str">
        <f t="shared" si="200"/>
        <v/>
      </c>
      <c r="BT86" s="68" t="str">
        <f>IF('Marks Entry'!AJ86="","",'Marks Entry'!AJ86)</f>
        <v/>
      </c>
      <c r="BU86" s="515" t="str">
        <f t="shared" si="201"/>
        <v/>
      </c>
      <c r="BV86" s="68" t="str">
        <f>IF('Marks Entry'!AK86="","",'Marks Entry'!AK86)</f>
        <v/>
      </c>
      <c r="BW86" s="96" t="str">
        <f t="shared" si="202"/>
        <v/>
      </c>
      <c r="BX86" s="65">
        <f t="shared" si="203"/>
        <v>0</v>
      </c>
      <c r="BY86" s="65">
        <f t="shared" si="204"/>
        <v>0</v>
      </c>
      <c r="BZ86" s="66" t="str">
        <f t="shared" si="205"/>
        <v/>
      </c>
      <c r="CA86" s="65" t="str">
        <f t="shared" si="206"/>
        <v/>
      </c>
      <c r="CB86" s="65" t="str">
        <f t="shared" si="207"/>
        <v/>
      </c>
      <c r="CC86" s="65" t="str">
        <f t="shared" si="208"/>
        <v/>
      </c>
      <c r="CD86" s="66">
        <f t="shared" si="209"/>
        <v>0</v>
      </c>
      <c r="CE86" s="68" t="str">
        <f>IF('Marks Entry'!AL86="","",'Marks Entry'!AL86)</f>
        <v/>
      </c>
      <c r="CF86" s="68" t="str">
        <f>IF('Marks Entry'!AM86="","",'Marks Entry'!AM86)</f>
        <v/>
      </c>
      <c r="CG86" s="68" t="str">
        <f>IF('Marks Entry'!AN86="","",'Marks Entry'!AN86)</f>
        <v/>
      </c>
      <c r="CH86" s="514" t="str">
        <f t="shared" si="210"/>
        <v/>
      </c>
      <c r="CI86" s="68" t="str">
        <f>IF('Marks Entry'!AO86="","",'Marks Entry'!AO86)</f>
        <v/>
      </c>
      <c r="CJ86" s="515" t="str">
        <f t="shared" si="211"/>
        <v/>
      </c>
      <c r="CK86" s="68" t="str">
        <f>IF('Marks Entry'!AP86="","",'Marks Entry'!AP86)</f>
        <v/>
      </c>
      <c r="CL86" s="96" t="str">
        <f t="shared" si="212"/>
        <v/>
      </c>
      <c r="CM86" s="65">
        <f t="shared" si="213"/>
        <v>0</v>
      </c>
      <c r="CN86" s="65">
        <f t="shared" si="214"/>
        <v>0</v>
      </c>
      <c r="CO86" s="66" t="str">
        <f t="shared" si="215"/>
        <v/>
      </c>
      <c r="CP86" s="65" t="str">
        <f t="shared" si="216"/>
        <v/>
      </c>
      <c r="CQ86" s="65" t="str">
        <f t="shared" si="217"/>
        <v/>
      </c>
      <c r="CR86" s="65" t="str">
        <f t="shared" si="218"/>
        <v/>
      </c>
      <c r="CS86" s="616" t="str">
        <f>IF('School Profile'!$D$20="NO","",IF('Marks Entry'!AQ86="","",IF('Marks Entry'!AQ86=1,'School Profile'!$I$29,IF('Marks Entry'!AQ86=2,'School Profile'!$I$30,IF('Marks Entry'!AQ86=3,'School Profile'!$I$31,IF('Marks Entry'!AQ86=4,'School Profile'!$I$32,IF('Marks Entry'!AQ86=5,'School Profile'!$I$33,IF('Marks Entry'!AQ86=6,'School Profile'!$I$34,IF('Marks Entry'!AQ86=7,'School Profile'!$I$35,IF('Marks Entry'!AQ86=8,'School Profile'!$I$36,IF('Marks Entry'!AQ86=9,'School Profile'!$I$37,IF('Marks Entry'!AQ86=10,'School Profile'!$I$38,IF('Marks Entry'!AQ86=11,'School Profile'!$I$39,"")))))))))))))</f>
        <v/>
      </c>
      <c r="CT86" s="68" t="str">
        <f>IF('School Profile'!$D$20="NO","",IF('Marks Entry'!AR86="","",'Marks Entry'!AR86))</f>
        <v/>
      </c>
      <c r="CU86" s="68" t="str">
        <f>IF('School Profile'!$D$20="NO","",IF('Marks Entry'!AS86="","",'Marks Entry'!AS86))</f>
        <v/>
      </c>
      <c r="CV86" s="68" t="str">
        <f>IF('School Profile'!$D$20="NO","",IF('Marks Entry'!AT86="","",'Marks Entry'!AT86))</f>
        <v/>
      </c>
      <c r="CW86" s="514" t="str">
        <f>IF('School Profile'!$D$20="NO","",IF(AND(CT86="",CU86="",CV86=""),"",SUM(CT86:CV86)))</f>
        <v/>
      </c>
      <c r="CX86" s="68" t="str">
        <f>IF('School Profile'!$D$20="NO","",IF('Marks Entry'!AU86="","",'Marks Entry'!AU86))</f>
        <v/>
      </c>
      <c r="CY86" s="68" t="str">
        <f>IF('School Profile'!$D$20="NO","",IF('Marks Entry'!AV86="","",'Marks Entry'!AV86))</f>
        <v/>
      </c>
      <c r="CZ86" s="515" t="str">
        <f>IF('School Profile'!$D$20="NO","",IF(AND(CX86="",CY86=""),"",SUM(CX86,CY86)))</f>
        <v/>
      </c>
      <c r="DA86" s="69" t="str">
        <f>IF('School Profile'!$D$20="NO","",IF(AND(CW86="",CZ86=""),"",SUM(CW86+CZ86)))</f>
        <v/>
      </c>
      <c r="DB86" s="68" t="str">
        <f>IF('School Profile'!$D$20="NO","",IF('Marks Entry'!AW86="","",'Marks Entry'!AW86))</f>
        <v/>
      </c>
      <c r="DC86" s="68" t="str">
        <f>IF('School Profile'!$D$20="NO","",IF('Marks Entry'!AX86="","",'Marks Entry'!AX86))</f>
        <v/>
      </c>
      <c r="DD86" s="515" t="str">
        <f>IF('School Profile'!$D$20="NO","",IF(AND(DB86="",DC86=""),"",SUM(DB86,DC86)))</f>
        <v/>
      </c>
      <c r="DE86" s="96" t="str">
        <f>IF('School Profile'!$D$20="NO","",IF(AND(DA86="",DD86=""),"",SUM(DA86,DD86)))</f>
        <v/>
      </c>
      <c r="DF86" s="532">
        <f t="shared" si="219"/>
        <v>0</v>
      </c>
      <c r="DG86" s="65">
        <f t="shared" si="220"/>
        <v>0</v>
      </c>
      <c r="DH86" s="66" t="str">
        <f t="shared" si="221"/>
        <v/>
      </c>
      <c r="DI86" s="65" t="str">
        <f t="shared" si="222"/>
        <v/>
      </c>
      <c r="DJ86" s="65" t="str">
        <f t="shared" si="223"/>
        <v/>
      </c>
      <c r="DK86" s="65" t="str">
        <f t="shared" si="224"/>
        <v/>
      </c>
      <c r="DL86" s="97" t="str">
        <f t="shared" si="264"/>
        <v/>
      </c>
      <c r="DM86" s="97" t="str">
        <f t="shared" si="265"/>
        <v/>
      </c>
      <c r="DN86" s="97" t="str">
        <f t="shared" si="266"/>
        <v/>
      </c>
      <c r="DO86" s="97" t="str">
        <f t="shared" si="267"/>
        <v/>
      </c>
      <c r="DP86" s="97" t="str">
        <f t="shared" si="268"/>
        <v/>
      </c>
      <c r="DQ86" s="97" t="str">
        <f t="shared" si="269"/>
        <v/>
      </c>
      <c r="DR86" s="97" t="str">
        <f t="shared" si="270"/>
        <v/>
      </c>
      <c r="DS86" s="98">
        <f t="shared" si="271"/>
        <v>0</v>
      </c>
      <c r="DT86" s="98">
        <f t="shared" si="272"/>
        <v>0</v>
      </c>
      <c r="DU86" s="98">
        <f t="shared" si="273"/>
        <v>0</v>
      </c>
      <c r="DV86" s="98">
        <f t="shared" si="274"/>
        <v>0</v>
      </c>
      <c r="DW86" s="98">
        <f t="shared" si="275"/>
        <v>0</v>
      </c>
      <c r="DX86" s="98" t="str">
        <f t="shared" si="276"/>
        <v/>
      </c>
      <c r="DY86" s="99" t="str">
        <f t="shared" si="277"/>
        <v/>
      </c>
      <c r="DZ86" s="74" t="str">
        <f>IF('Marks Entry'!AY86="","",'Marks Entry'!AY86)</f>
        <v/>
      </c>
      <c r="EA86" s="74" t="str">
        <f>IF('Marks Entry'!AZ86="","",'Marks Entry'!AZ86)</f>
        <v/>
      </c>
      <c r="EB86" s="74" t="str">
        <f>IF('Marks Entry'!BA86="","",'Marks Entry'!BA86)</f>
        <v/>
      </c>
      <c r="EC86" s="527" t="str">
        <f t="shared" si="225"/>
        <v/>
      </c>
      <c r="ED86" s="74" t="str">
        <f>IF('Marks Entry'!BB86="","",'Marks Entry'!BB86)</f>
        <v/>
      </c>
      <c r="EE86" s="528" t="str">
        <f t="shared" si="226"/>
        <v/>
      </c>
      <c r="EF86" s="74" t="str">
        <f>IF('Marks Entry'!BC86="","",'Marks Entry'!BC86)</f>
        <v/>
      </c>
      <c r="EG86" s="530" t="str">
        <f t="shared" si="227"/>
        <v/>
      </c>
      <c r="EH86" s="368" t="str">
        <f t="shared" si="278"/>
        <v/>
      </c>
      <c r="EI86" s="65">
        <f t="shared" si="279"/>
        <v>0</v>
      </c>
      <c r="EJ86" s="65">
        <f t="shared" si="280"/>
        <v>0</v>
      </c>
      <c r="EK86" s="66" t="str">
        <f t="shared" si="281"/>
        <v/>
      </c>
      <c r="EL86" s="74" t="str">
        <f>IF('Marks Entry'!BD86="","",'Marks Entry'!BD86)</f>
        <v/>
      </c>
      <c r="EM86" s="74" t="str">
        <f>IF('Marks Entry'!BE86="","",'Marks Entry'!BE86)</f>
        <v/>
      </c>
      <c r="EN86" s="74" t="str">
        <f>IF('Marks Entry'!BF86="","",'Marks Entry'!BF86)</f>
        <v/>
      </c>
      <c r="EO86" s="527" t="str">
        <f t="shared" si="228"/>
        <v/>
      </c>
      <c r="EP86" s="74" t="str">
        <f>IF('Marks Entry'!BG86="","",'Marks Entry'!BG86)</f>
        <v/>
      </c>
      <c r="EQ86" s="74" t="str">
        <f>IF('Marks Entry'!BH86="","",'Marks Entry'!BH86)</f>
        <v/>
      </c>
      <c r="ER86" s="528" t="str">
        <f t="shared" si="229"/>
        <v/>
      </c>
      <c r="ES86" s="529" t="str">
        <f t="shared" si="230"/>
        <v/>
      </c>
      <c r="ET86" s="74" t="str">
        <f>IF('Marks Entry'!BI86="","",'Marks Entry'!BI86)</f>
        <v/>
      </c>
      <c r="EU86" s="74" t="str">
        <f>IF('Marks Entry'!BJ86="","",'Marks Entry'!BJ86)</f>
        <v/>
      </c>
      <c r="EV86" s="528" t="str">
        <f t="shared" si="231"/>
        <v/>
      </c>
      <c r="EW86" s="530" t="str">
        <f t="shared" si="232"/>
        <v/>
      </c>
      <c r="EX86" s="368" t="str">
        <f t="shared" si="282"/>
        <v/>
      </c>
      <c r="EY86" s="65">
        <f t="shared" si="283"/>
        <v>0</v>
      </c>
      <c r="EZ86" s="65">
        <f t="shared" si="284"/>
        <v>0</v>
      </c>
      <c r="FA86" s="66" t="str">
        <f t="shared" si="285"/>
        <v/>
      </c>
      <c r="FB86" s="74" t="str">
        <f>IF('Marks Entry'!BK86="","",'Marks Entry'!BK86)</f>
        <v/>
      </c>
      <c r="FC86" s="74" t="str">
        <f>IF('Marks Entry'!BL86="","",'Marks Entry'!BL86)</f>
        <v/>
      </c>
      <c r="FD86" s="74" t="str">
        <f>IF('Marks Entry'!BM86="","",'Marks Entry'!BM86)</f>
        <v/>
      </c>
      <c r="FE86" s="74" t="str">
        <f>IF('Marks Entry'!BN86="","",'Marks Entry'!BN86)</f>
        <v/>
      </c>
      <c r="FF86" s="74" t="str">
        <f>IF('Marks Entry'!BO86="","",'Marks Entry'!BO86)</f>
        <v/>
      </c>
      <c r="FG86" s="74" t="str">
        <f>IF('Marks Entry'!BP86="","",'Marks Entry'!BP86)</f>
        <v/>
      </c>
      <c r="FH86" s="527" t="str">
        <f t="shared" si="233"/>
        <v/>
      </c>
      <c r="FI86" s="74" t="str">
        <f>IF('Marks Entry'!BQ86="","",'Marks Entry'!BQ86)</f>
        <v/>
      </c>
      <c r="FJ86" s="74" t="str">
        <f>IF('Marks Entry'!BR86="","",'Marks Entry'!BR86)</f>
        <v/>
      </c>
      <c r="FK86" s="528" t="str">
        <f t="shared" si="234"/>
        <v/>
      </c>
      <c r="FL86" s="529" t="str">
        <f t="shared" si="235"/>
        <v/>
      </c>
      <c r="FM86" s="74" t="str">
        <f>IF('Marks Entry'!BS86="","",'Marks Entry'!BS86)</f>
        <v/>
      </c>
      <c r="FN86" s="74" t="str">
        <f>IF('Marks Entry'!BT86="","",'Marks Entry'!BT86)</f>
        <v/>
      </c>
      <c r="FO86" s="528" t="str">
        <f t="shared" si="236"/>
        <v/>
      </c>
      <c r="FP86" s="530" t="str">
        <f t="shared" si="237"/>
        <v/>
      </c>
      <c r="FQ86" s="368" t="str">
        <f t="shared" si="286"/>
        <v/>
      </c>
      <c r="FR86" s="65">
        <f t="shared" si="287"/>
        <v>0</v>
      </c>
      <c r="FS86" s="65">
        <f t="shared" si="288"/>
        <v>0</v>
      </c>
      <c r="FT86" s="66" t="str">
        <f t="shared" si="289"/>
        <v/>
      </c>
      <c r="FU86" s="74" t="str">
        <f>IF('Marks Entry'!BU86="","",'Marks Entry'!BU86)</f>
        <v/>
      </c>
      <c r="FV86" s="74" t="str">
        <f>IF('Marks Entry'!BV86="","",'Marks Entry'!BV86)</f>
        <v/>
      </c>
      <c r="FW86" s="74" t="str">
        <f>IF('Marks Entry'!BW86="","",'Marks Entry'!BW86)</f>
        <v/>
      </c>
      <c r="FX86" s="75" t="str">
        <f t="shared" si="238"/>
        <v/>
      </c>
      <c r="FY86" s="368" t="str">
        <f t="shared" si="290"/>
        <v/>
      </c>
      <c r="FZ86" s="65">
        <f t="shared" si="291"/>
        <v>0</v>
      </c>
      <c r="GA86" s="66">
        <f t="shared" si="292"/>
        <v>0</v>
      </c>
      <c r="GB86" s="66" t="str">
        <f t="shared" si="293"/>
        <v/>
      </c>
      <c r="GC86" s="74" t="str">
        <f>IF('Marks Entry'!BX86="","",'Marks Entry'!BX86)</f>
        <v/>
      </c>
      <c r="GD86" s="74" t="str">
        <f>IF('Marks Entry'!BY86="","",'Marks Entry'!BY86)</f>
        <v/>
      </c>
      <c r="GE86" s="74" t="str">
        <f>IF('Marks Entry'!BZ86="","",'Marks Entry'!BZ86)</f>
        <v/>
      </c>
      <c r="GF86" s="75" t="str">
        <f t="shared" si="294"/>
        <v/>
      </c>
      <c r="GG86" s="368" t="str">
        <f t="shared" si="295"/>
        <v/>
      </c>
      <c r="GH86" s="65">
        <f t="shared" si="296"/>
        <v>0</v>
      </c>
      <c r="GI86" s="66">
        <f t="shared" si="297"/>
        <v>0</v>
      </c>
      <c r="GJ86" s="66" t="str">
        <f t="shared" si="298"/>
        <v/>
      </c>
      <c r="GK86" s="100" t="str">
        <f>IF(AND(F86="",B86=""),"",IF('Student DATA Entry'!M83="","",'Student DATA Entry'!M83))</f>
        <v/>
      </c>
      <c r="GL86" s="101" t="str">
        <f>IF(AND(B86="",F86=""),"",IF('Student DATA Entry'!N83="","",'Student DATA Entry'!N83))</f>
        <v/>
      </c>
      <c r="GM86" s="581" t="str">
        <f t="shared" si="299"/>
        <v/>
      </c>
      <c r="GN86" s="94" t="str">
        <f t="shared" si="300"/>
        <v/>
      </c>
      <c r="GO86" s="94" t="str">
        <f t="shared" si="301"/>
        <v/>
      </c>
      <c r="GP86" s="102" t="str">
        <f t="shared" si="239"/>
        <v/>
      </c>
      <c r="GQ86" s="94" t="str">
        <f t="shared" si="302"/>
        <v/>
      </c>
      <c r="GR86" s="103" t="str">
        <f t="shared" si="303"/>
        <v/>
      </c>
      <c r="GS86" s="102" t="str">
        <f t="shared" si="240"/>
        <v/>
      </c>
      <c r="GT86" s="104" t="str">
        <f t="shared" si="304"/>
        <v/>
      </c>
      <c r="GU86" s="94" t="str">
        <f>IF('Marks Entry'!V86=1,GT86,"")</f>
        <v/>
      </c>
      <c r="GV86" s="94" t="str">
        <f>IF('Marks Entry'!V86=2,GT86,"")</f>
        <v/>
      </c>
      <c r="GW86" s="94" t="str">
        <f>IF('Marks Entry'!V86=3,GT86,"")</f>
        <v/>
      </c>
      <c r="GX86" s="94" t="str">
        <f>IF('Marks Entry'!V86=4,GT86,"")</f>
        <v/>
      </c>
      <c r="GY86" s="94" t="str">
        <f>IF('Marks Entry'!V86=5,GT86,"")</f>
        <v/>
      </c>
      <c r="GZ86" s="94" t="str">
        <f t="shared" si="305"/>
        <v/>
      </c>
      <c r="HA86" s="105" t="str">
        <f t="shared" si="241"/>
        <v/>
      </c>
      <c r="HB86" s="94" t="str">
        <f t="shared" si="306"/>
        <v/>
      </c>
      <c r="HC86" s="94" t="str">
        <f t="shared" si="307"/>
        <v/>
      </c>
      <c r="HD86" s="105" t="str">
        <f t="shared" si="242"/>
        <v/>
      </c>
      <c r="HE86" s="94" t="str">
        <f t="shared" si="308"/>
        <v/>
      </c>
      <c r="HF86" s="94" t="str">
        <f t="shared" si="309"/>
        <v/>
      </c>
      <c r="HG86" s="105" t="str">
        <f t="shared" si="243"/>
        <v/>
      </c>
      <c r="HH86" s="94" t="str">
        <f t="shared" si="310"/>
        <v/>
      </c>
      <c r="HI86" s="94" t="str">
        <f t="shared" si="311"/>
        <v/>
      </c>
      <c r="HJ86" s="105" t="str">
        <f t="shared" si="244"/>
        <v/>
      </c>
      <c r="HK86" s="94" t="str">
        <f t="shared" si="312"/>
        <v/>
      </c>
      <c r="HL86" s="94" t="str">
        <f t="shared" si="313"/>
        <v/>
      </c>
      <c r="HM86" s="105" t="str">
        <f t="shared" si="245"/>
        <v/>
      </c>
      <c r="HN86" s="367" t="str">
        <f t="shared" si="314"/>
        <v xml:space="preserve">      </v>
      </c>
      <c r="HO86" s="418" t="str">
        <f t="shared" si="246"/>
        <v xml:space="preserve">      </v>
      </c>
      <c r="HP86" s="367" t="str">
        <f t="shared" si="315"/>
        <v xml:space="preserve">      </v>
      </c>
      <c r="HQ86" s="107" t="str">
        <f t="shared" si="316"/>
        <v xml:space="preserve">      </v>
      </c>
      <c r="HR86" s="366" t="str">
        <f t="shared" si="317"/>
        <v xml:space="preserve">      </v>
      </c>
      <c r="HS86" s="544" t="str">
        <f t="shared" si="247"/>
        <v/>
      </c>
      <c r="HT86" s="542" t="str">
        <f t="shared" si="318"/>
        <v/>
      </c>
      <c r="HU86" s="541" t="str">
        <f t="shared" si="319"/>
        <v/>
      </c>
      <c r="HV86" s="540" t="str">
        <f t="shared" si="320"/>
        <v/>
      </c>
      <c r="HW86" s="537" t="str">
        <f t="shared" si="321"/>
        <v/>
      </c>
      <c r="HX86" s="539" t="str">
        <f t="shared" si="322"/>
        <v/>
      </c>
      <c r="HY86" s="553" t="str">
        <f>IFERROR(IF(OR(HS86="SUPPLEMENTARY",HS86="RE-EXAM"),'Supp. Result Entry'!AQ84,""),"")</f>
        <v/>
      </c>
      <c r="HZ86" s="538" t="str">
        <f t="shared" si="323"/>
        <v/>
      </c>
      <c r="IA86" s="415" t="str">
        <f t="shared" si="324"/>
        <v/>
      </c>
      <c r="IB86" s="415" t="str">
        <f>IF(AND(HZ86="",IA86=""),"",IF(OR(HS86="SUPPLEMENTARY",HS86="RE-EXAM"),'Supp. Result Entry'!AQ84,HS86))</f>
        <v/>
      </c>
      <c r="IC86" s="87"/>
      <c r="IS86" s="109" t="str">
        <f>IF('Supp. Result Entry'!T84="","",'Supp. Result Entry'!$T$4)</f>
        <v/>
      </c>
      <c r="IT86" s="110" t="str">
        <f>IF('Supp. Result Entry'!W84="","",'Supp. Result Entry'!$W$4)</f>
        <v/>
      </c>
      <c r="IU86" s="110" t="str">
        <f>IF('Supp. Result Entry'!Z84="","",'Supp. Result Entry'!$Z$4)</f>
        <v/>
      </c>
      <c r="IV86" s="110" t="str">
        <f>IF('Supp. Result Entry'!AC84="","",'Supp. Result Entry'!$AC$4)</f>
        <v/>
      </c>
      <c r="IW86" s="110" t="str">
        <f>IF('Supp. Result Entry'!AF84="","",'Supp. Result Entry'!$AF$4)</f>
        <v/>
      </c>
      <c r="IX86" s="110" t="str">
        <f>IF('Supp. Result Entry'!AI84="","",'Supp. Result Entry'!$AI$4)</f>
        <v/>
      </c>
      <c r="IY86" s="110" t="str">
        <f>IF('Supp. Result Entry'!AI84="","",'Supp. Result Entry'!$AL$4)</f>
        <v/>
      </c>
      <c r="IZ86" s="110" t="str">
        <f>IF('Supp. Result Entry'!U84="","",'Supp. Result Entry'!U84)</f>
        <v/>
      </c>
      <c r="JA86" s="110" t="str">
        <f>IF('Supp. Result Entry'!X84="","",'Supp. Result Entry'!X84)</f>
        <v/>
      </c>
      <c r="JB86" s="110" t="str">
        <f>IF('Supp. Result Entry'!AA84="","",'Supp. Result Entry'!AA84)</f>
        <v/>
      </c>
      <c r="JC86" s="110" t="str">
        <f>IF('Supp. Result Entry'!AD84="","",'Supp. Result Entry'!AD84)</f>
        <v/>
      </c>
      <c r="JD86" s="110" t="str">
        <f>IF('Supp. Result Entry'!AG84="","",'Supp. Result Entry'!AG84)</f>
        <v/>
      </c>
      <c r="JE86" s="110" t="str">
        <f>IF('Supp. Result Entry'!AJ84="","",'Supp. Result Entry'!AJ84)</f>
        <v/>
      </c>
      <c r="JF86" s="110" t="str">
        <f>IF('Supp. Result Entry'!AM84="","",'Supp. Result Entry'!AM84)</f>
        <v/>
      </c>
      <c r="JG86" s="110" t="str">
        <f>IF('Supp. Result Entry'!V84="","",'Supp. Result Entry'!V84)</f>
        <v/>
      </c>
      <c r="JH86" s="110" t="str">
        <f>IF('Supp. Result Entry'!Y84="","",'Supp. Result Entry'!Y84)</f>
        <v/>
      </c>
      <c r="JI86" s="110" t="str">
        <f>IF('Supp. Result Entry'!AB84="","",'Supp. Result Entry'!AB84)</f>
        <v/>
      </c>
      <c r="JJ86" s="110" t="str">
        <f>IF('Supp. Result Entry'!AE84="","",'Supp. Result Entry'!AE84)</f>
        <v/>
      </c>
      <c r="JK86" s="110" t="str">
        <f>IF('Supp. Result Entry'!AH84="","",'Supp. Result Entry'!AH84)</f>
        <v/>
      </c>
      <c r="JL86" s="110" t="str">
        <f>IF('Supp. Result Entry'!AK84="","",'Supp. Result Entry'!AK84)</f>
        <v/>
      </c>
      <c r="JM86" s="110" t="str">
        <f>IF('Supp. Result Entry'!AN84="","",'Supp. Result Entry'!AN84)</f>
        <v/>
      </c>
      <c r="JN86" s="110">
        <f>COUNTIF('Supp. Result Entry'!K84:Q84,"S")</f>
        <v>0</v>
      </c>
      <c r="JO86" s="110">
        <f t="shared" si="248"/>
        <v>0</v>
      </c>
      <c r="JP86" s="110">
        <f t="shared" si="325"/>
        <v>0</v>
      </c>
      <c r="JQ86" s="110" t="str">
        <f t="shared" si="249"/>
        <v/>
      </c>
      <c r="JR86" s="110" t="str">
        <f t="shared" si="250"/>
        <v/>
      </c>
      <c r="JS86" s="110" t="str">
        <f t="shared" si="251"/>
        <v/>
      </c>
      <c r="JT86" s="110" t="str">
        <f t="shared" si="252"/>
        <v/>
      </c>
      <c r="JU86" s="110" t="str">
        <f t="shared" si="253"/>
        <v/>
      </c>
      <c r="JV86" s="110" t="str">
        <f t="shared" si="254"/>
        <v/>
      </c>
      <c r="JW86" s="110" t="str">
        <f t="shared" si="255"/>
        <v/>
      </c>
      <c r="JX86" s="110" t="str">
        <f t="shared" si="326"/>
        <v/>
      </c>
      <c r="JY86" s="110" t="str">
        <f t="shared" si="327"/>
        <v/>
      </c>
      <c r="JZ86" s="110" t="str">
        <f t="shared" si="256"/>
        <v/>
      </c>
      <c r="KA86" s="108" t="str">
        <f t="shared" si="328"/>
        <v/>
      </c>
    </row>
    <row r="87" spans="1:287" s="108" customFormat="1" ht="21.95" customHeight="1">
      <c r="A87" s="89">
        <v>81</v>
      </c>
      <c r="B87" s="90" t="str">
        <f>IF('Marks Entry'!B87="","",'Marks Entry'!B87)</f>
        <v/>
      </c>
      <c r="C87" s="94" t="str">
        <f>IF('Marks Entry'!D87="","",'Marks Entry'!D87)</f>
        <v/>
      </c>
      <c r="D87" s="91" t="str">
        <f>IF('Marks Entry'!E87="","",'Marks Entry'!E87)</f>
        <v/>
      </c>
      <c r="E87" s="92" t="str">
        <f>IF('Marks Entry'!F87="","",'Marks Entry'!F87)</f>
        <v/>
      </c>
      <c r="F87" s="93" t="str">
        <f>IF('Marks Entry'!G87="","",'Marks Entry'!G87)</f>
        <v/>
      </c>
      <c r="G87" s="93" t="str">
        <f>IF('Marks Entry'!H87="","",'Marks Entry'!H87)</f>
        <v/>
      </c>
      <c r="H87" s="93" t="str">
        <f>IF('Marks Entry'!I87="","",'Marks Entry'!I87)</f>
        <v/>
      </c>
      <c r="I87" s="94" t="str">
        <f>IF('Marks Entry'!J87="","",'Marks Entry'!J87)</f>
        <v/>
      </c>
      <c r="J87" s="95" t="str">
        <f>IF('Marks Entry'!K87="","",'Marks Entry'!K87)</f>
        <v/>
      </c>
      <c r="K87" s="68" t="str">
        <f>IF('Marks Entry'!L87="","",'Marks Entry'!L87)</f>
        <v/>
      </c>
      <c r="L87" s="68" t="str">
        <f>IF('Marks Entry'!M87="","",'Marks Entry'!M87)</f>
        <v/>
      </c>
      <c r="M87" s="68" t="str">
        <f>IF('Marks Entry'!N87="","",'Marks Entry'!N87)</f>
        <v/>
      </c>
      <c r="N87" s="514" t="str">
        <f t="shared" si="257"/>
        <v/>
      </c>
      <c r="O87" s="68" t="str">
        <f>IF('Marks Entry'!O87="","",'Marks Entry'!O87)</f>
        <v/>
      </c>
      <c r="P87" s="515" t="str">
        <f t="shared" si="258"/>
        <v/>
      </c>
      <c r="Q87" s="68" t="str">
        <f>IF('Marks Entry'!P87="","",'Marks Entry'!P87)</f>
        <v/>
      </c>
      <c r="R87" s="96" t="str">
        <f t="shared" si="259"/>
        <v/>
      </c>
      <c r="S87" s="65">
        <f t="shared" si="260"/>
        <v>0</v>
      </c>
      <c r="T87" s="65">
        <f t="shared" si="261"/>
        <v>0</v>
      </c>
      <c r="U87" s="66" t="str">
        <f t="shared" si="171"/>
        <v/>
      </c>
      <c r="V87" s="65" t="str">
        <f t="shared" si="172"/>
        <v/>
      </c>
      <c r="W87" s="65" t="str">
        <f t="shared" si="262"/>
        <v/>
      </c>
      <c r="X87" s="65" t="str">
        <f t="shared" si="173"/>
        <v/>
      </c>
      <c r="Y87" s="68" t="str">
        <f>IF('Marks Entry'!Q87="","",'Marks Entry'!Q87)</f>
        <v/>
      </c>
      <c r="Z87" s="68" t="str">
        <f>IF('Marks Entry'!R87="","",'Marks Entry'!R87)</f>
        <v/>
      </c>
      <c r="AA87" s="68" t="str">
        <f>IF('Marks Entry'!S87="","",'Marks Entry'!S87)</f>
        <v/>
      </c>
      <c r="AB87" s="514" t="str">
        <f t="shared" si="174"/>
        <v/>
      </c>
      <c r="AC87" s="68" t="str">
        <f>IF('Marks Entry'!T87="","",'Marks Entry'!T87)</f>
        <v/>
      </c>
      <c r="AD87" s="515" t="str">
        <f t="shared" si="175"/>
        <v/>
      </c>
      <c r="AE87" s="68" t="str">
        <f>IF('Marks Entry'!U87="","",'Marks Entry'!U87)</f>
        <v/>
      </c>
      <c r="AF87" s="96" t="str">
        <f t="shared" si="176"/>
        <v/>
      </c>
      <c r="AG87" s="65">
        <f t="shared" si="177"/>
        <v>0</v>
      </c>
      <c r="AH87" s="65">
        <f t="shared" si="178"/>
        <v>0</v>
      </c>
      <c r="AI87" s="66" t="str">
        <f t="shared" si="179"/>
        <v/>
      </c>
      <c r="AJ87" s="65" t="str">
        <f t="shared" si="180"/>
        <v/>
      </c>
      <c r="AK87" s="65" t="str">
        <f t="shared" si="181"/>
        <v/>
      </c>
      <c r="AL87" s="65" t="str">
        <f t="shared" si="182"/>
        <v/>
      </c>
      <c r="AM87" s="524" t="str">
        <f>IF('Marks Entry'!V87="","",IF('Marks Entry'!V87=1,'School Profile'!$I$9,IF('Marks Entry'!V87=2,'School Profile'!$I$10,IF('Marks Entry'!V87=3,'School Profile'!$I$11,IF('Marks Entry'!V87=4,'School Profile'!$I$12,IF('Marks Entry'!V87=5,'School Profile'!$I$13,IF('Marks Entry'!V87=6,'School Profile'!$I$14,"")))))))</f>
        <v/>
      </c>
      <c r="AN87" s="68" t="str">
        <f>IF('Marks Entry'!W87="","",'Marks Entry'!W87)</f>
        <v/>
      </c>
      <c r="AO87" s="68" t="str">
        <f>IF('Marks Entry'!X87="","",'Marks Entry'!X87)</f>
        <v/>
      </c>
      <c r="AP87" s="68" t="str">
        <f>IF('Marks Entry'!Y87="","",'Marks Entry'!Y87)</f>
        <v/>
      </c>
      <c r="AQ87" s="514" t="str">
        <f t="shared" si="183"/>
        <v/>
      </c>
      <c r="AR87" s="68" t="str">
        <f>IF('Marks Entry'!Z87="","",'Marks Entry'!Z87)</f>
        <v/>
      </c>
      <c r="AS87" s="515" t="str">
        <f t="shared" si="184"/>
        <v/>
      </c>
      <c r="AT87" s="68" t="str">
        <f>IF('Marks Entry'!AA87="","",'Marks Entry'!AA87)</f>
        <v/>
      </c>
      <c r="AU87" s="96" t="str">
        <f t="shared" si="185"/>
        <v/>
      </c>
      <c r="AV87" s="65">
        <f t="shared" si="186"/>
        <v>0</v>
      </c>
      <c r="AW87" s="65">
        <f t="shared" si="187"/>
        <v>0</v>
      </c>
      <c r="AX87" s="66" t="str">
        <f t="shared" si="188"/>
        <v/>
      </c>
      <c r="AY87" s="65" t="str">
        <f t="shared" si="189"/>
        <v/>
      </c>
      <c r="AZ87" s="65" t="str">
        <f t="shared" si="190"/>
        <v/>
      </c>
      <c r="BA87" s="65" t="str">
        <f t="shared" si="191"/>
        <v/>
      </c>
      <c r="BB87" s="68" t="str">
        <f>IF('Marks Entry'!AB87="","",'Marks Entry'!AB87)</f>
        <v/>
      </c>
      <c r="BC87" s="68" t="str">
        <f>IF('Marks Entry'!AC87="","",'Marks Entry'!AC87)</f>
        <v/>
      </c>
      <c r="BD87" s="68" t="str">
        <f>IF('Marks Entry'!AD87="","",'Marks Entry'!AD87)</f>
        <v/>
      </c>
      <c r="BE87" s="514" t="str">
        <f t="shared" si="192"/>
        <v/>
      </c>
      <c r="BF87" s="68" t="str">
        <f>IF('Marks Entry'!AE87="","",'Marks Entry'!AE87)</f>
        <v/>
      </c>
      <c r="BG87" s="515" t="str">
        <f t="shared" si="193"/>
        <v/>
      </c>
      <c r="BH87" s="68" t="str">
        <f>IF('Marks Entry'!AF87="","",'Marks Entry'!AF87)</f>
        <v/>
      </c>
      <c r="BI87" s="96" t="str">
        <f t="shared" si="194"/>
        <v/>
      </c>
      <c r="BJ87" s="65">
        <f t="shared" si="195"/>
        <v>0</v>
      </c>
      <c r="BK87" s="65">
        <f t="shared" si="263"/>
        <v>0</v>
      </c>
      <c r="BL87" s="66" t="str">
        <f t="shared" si="196"/>
        <v/>
      </c>
      <c r="BM87" s="65" t="str">
        <f t="shared" si="197"/>
        <v/>
      </c>
      <c r="BN87" s="65" t="str">
        <f t="shared" si="198"/>
        <v/>
      </c>
      <c r="BO87" s="65" t="str">
        <f t="shared" si="199"/>
        <v/>
      </c>
      <c r="BP87" s="68" t="str">
        <f>IF('Marks Entry'!AG87="","",'Marks Entry'!AG87)</f>
        <v/>
      </c>
      <c r="BQ87" s="68" t="str">
        <f>IF('Marks Entry'!AH87="","",'Marks Entry'!AH87)</f>
        <v/>
      </c>
      <c r="BR87" s="68" t="str">
        <f>IF('Marks Entry'!AI87="","",'Marks Entry'!AI87)</f>
        <v/>
      </c>
      <c r="BS87" s="514" t="str">
        <f t="shared" si="200"/>
        <v/>
      </c>
      <c r="BT87" s="68" t="str">
        <f>IF('Marks Entry'!AJ87="","",'Marks Entry'!AJ87)</f>
        <v/>
      </c>
      <c r="BU87" s="515" t="str">
        <f t="shared" si="201"/>
        <v/>
      </c>
      <c r="BV87" s="68" t="str">
        <f>IF('Marks Entry'!AK87="","",'Marks Entry'!AK87)</f>
        <v/>
      </c>
      <c r="BW87" s="96" t="str">
        <f t="shared" si="202"/>
        <v/>
      </c>
      <c r="BX87" s="65">
        <f t="shared" si="203"/>
        <v>0</v>
      </c>
      <c r="BY87" s="65">
        <f t="shared" si="204"/>
        <v>0</v>
      </c>
      <c r="BZ87" s="66" t="str">
        <f t="shared" si="205"/>
        <v/>
      </c>
      <c r="CA87" s="65" t="str">
        <f t="shared" si="206"/>
        <v/>
      </c>
      <c r="CB87" s="65" t="str">
        <f t="shared" si="207"/>
        <v/>
      </c>
      <c r="CC87" s="65" t="str">
        <f t="shared" si="208"/>
        <v/>
      </c>
      <c r="CD87" s="66">
        <f t="shared" si="209"/>
        <v>0</v>
      </c>
      <c r="CE87" s="68" t="str">
        <f>IF('Marks Entry'!AL87="","",'Marks Entry'!AL87)</f>
        <v/>
      </c>
      <c r="CF87" s="68" t="str">
        <f>IF('Marks Entry'!AM87="","",'Marks Entry'!AM87)</f>
        <v/>
      </c>
      <c r="CG87" s="68" t="str">
        <f>IF('Marks Entry'!AN87="","",'Marks Entry'!AN87)</f>
        <v/>
      </c>
      <c r="CH87" s="514" t="str">
        <f t="shared" si="210"/>
        <v/>
      </c>
      <c r="CI87" s="68" t="str">
        <f>IF('Marks Entry'!AO87="","",'Marks Entry'!AO87)</f>
        <v/>
      </c>
      <c r="CJ87" s="515" t="str">
        <f t="shared" si="211"/>
        <v/>
      </c>
      <c r="CK87" s="68" t="str">
        <f>IF('Marks Entry'!AP87="","",'Marks Entry'!AP87)</f>
        <v/>
      </c>
      <c r="CL87" s="96" t="str">
        <f t="shared" si="212"/>
        <v/>
      </c>
      <c r="CM87" s="65">
        <f t="shared" si="213"/>
        <v>0</v>
      </c>
      <c r="CN87" s="65">
        <f t="shared" si="214"/>
        <v>0</v>
      </c>
      <c r="CO87" s="66" t="str">
        <f t="shared" si="215"/>
        <v/>
      </c>
      <c r="CP87" s="65" t="str">
        <f t="shared" si="216"/>
        <v/>
      </c>
      <c r="CQ87" s="65" t="str">
        <f t="shared" si="217"/>
        <v/>
      </c>
      <c r="CR87" s="65" t="str">
        <f t="shared" si="218"/>
        <v/>
      </c>
      <c r="CS87" s="616" t="str">
        <f>IF('School Profile'!$D$20="NO","",IF('Marks Entry'!AQ87="","",IF('Marks Entry'!AQ87=1,'School Profile'!$I$29,IF('Marks Entry'!AQ87=2,'School Profile'!$I$30,IF('Marks Entry'!AQ87=3,'School Profile'!$I$31,IF('Marks Entry'!AQ87=4,'School Profile'!$I$32,IF('Marks Entry'!AQ87=5,'School Profile'!$I$33,IF('Marks Entry'!AQ87=6,'School Profile'!$I$34,IF('Marks Entry'!AQ87=7,'School Profile'!$I$35,IF('Marks Entry'!AQ87=8,'School Profile'!$I$36,IF('Marks Entry'!AQ87=9,'School Profile'!$I$37,IF('Marks Entry'!AQ87=10,'School Profile'!$I$38,IF('Marks Entry'!AQ87=11,'School Profile'!$I$39,"")))))))))))))</f>
        <v/>
      </c>
      <c r="CT87" s="68" t="str">
        <f>IF('School Profile'!$D$20="NO","",IF('Marks Entry'!AR87="","",'Marks Entry'!AR87))</f>
        <v/>
      </c>
      <c r="CU87" s="68" t="str">
        <f>IF('School Profile'!$D$20="NO","",IF('Marks Entry'!AS87="","",'Marks Entry'!AS87))</f>
        <v/>
      </c>
      <c r="CV87" s="68" t="str">
        <f>IF('School Profile'!$D$20="NO","",IF('Marks Entry'!AT87="","",'Marks Entry'!AT87))</f>
        <v/>
      </c>
      <c r="CW87" s="514" t="str">
        <f>IF('School Profile'!$D$20="NO","",IF(AND(CT87="",CU87="",CV87=""),"",SUM(CT87:CV87)))</f>
        <v/>
      </c>
      <c r="CX87" s="68" t="str">
        <f>IF('School Profile'!$D$20="NO","",IF('Marks Entry'!AU87="","",'Marks Entry'!AU87))</f>
        <v/>
      </c>
      <c r="CY87" s="68" t="str">
        <f>IF('School Profile'!$D$20="NO","",IF('Marks Entry'!AV87="","",'Marks Entry'!AV87))</f>
        <v/>
      </c>
      <c r="CZ87" s="515" t="str">
        <f>IF('School Profile'!$D$20="NO","",IF(AND(CX87="",CY87=""),"",SUM(CX87,CY87)))</f>
        <v/>
      </c>
      <c r="DA87" s="69" t="str">
        <f>IF('School Profile'!$D$20="NO","",IF(AND(CW87="",CZ87=""),"",SUM(CW87+CZ87)))</f>
        <v/>
      </c>
      <c r="DB87" s="68" t="str">
        <f>IF('School Profile'!$D$20="NO","",IF('Marks Entry'!AW87="","",'Marks Entry'!AW87))</f>
        <v/>
      </c>
      <c r="DC87" s="68" t="str">
        <f>IF('School Profile'!$D$20="NO","",IF('Marks Entry'!AX87="","",'Marks Entry'!AX87))</f>
        <v/>
      </c>
      <c r="DD87" s="515" t="str">
        <f>IF('School Profile'!$D$20="NO","",IF(AND(DB87="",DC87=""),"",SUM(DB87,DC87)))</f>
        <v/>
      </c>
      <c r="DE87" s="96" t="str">
        <f>IF('School Profile'!$D$20="NO","",IF(AND(DA87="",DD87=""),"",SUM(DA87,DD87)))</f>
        <v/>
      </c>
      <c r="DF87" s="532">
        <f t="shared" si="219"/>
        <v>0</v>
      </c>
      <c r="DG87" s="65">
        <f t="shared" si="220"/>
        <v>0</v>
      </c>
      <c r="DH87" s="66" t="str">
        <f t="shared" si="221"/>
        <v/>
      </c>
      <c r="DI87" s="65" t="str">
        <f t="shared" si="222"/>
        <v/>
      </c>
      <c r="DJ87" s="65" t="str">
        <f t="shared" si="223"/>
        <v/>
      </c>
      <c r="DK87" s="65" t="str">
        <f t="shared" si="224"/>
        <v/>
      </c>
      <c r="DL87" s="97" t="str">
        <f t="shared" si="264"/>
        <v/>
      </c>
      <c r="DM87" s="97" t="str">
        <f t="shared" si="265"/>
        <v/>
      </c>
      <c r="DN87" s="97" t="str">
        <f t="shared" si="266"/>
        <v/>
      </c>
      <c r="DO87" s="97" t="str">
        <f t="shared" si="267"/>
        <v/>
      </c>
      <c r="DP87" s="97" t="str">
        <f t="shared" si="268"/>
        <v/>
      </c>
      <c r="DQ87" s="97" t="str">
        <f t="shared" si="269"/>
        <v/>
      </c>
      <c r="DR87" s="97" t="str">
        <f t="shared" si="270"/>
        <v/>
      </c>
      <c r="DS87" s="98">
        <f t="shared" si="271"/>
        <v>0</v>
      </c>
      <c r="DT87" s="98">
        <f t="shared" si="272"/>
        <v>0</v>
      </c>
      <c r="DU87" s="98">
        <f t="shared" si="273"/>
        <v>0</v>
      </c>
      <c r="DV87" s="98">
        <f t="shared" si="274"/>
        <v>0</v>
      </c>
      <c r="DW87" s="98">
        <f t="shared" si="275"/>
        <v>0</v>
      </c>
      <c r="DX87" s="98" t="str">
        <f t="shared" si="276"/>
        <v/>
      </c>
      <c r="DY87" s="99" t="str">
        <f t="shared" si="277"/>
        <v/>
      </c>
      <c r="DZ87" s="74" t="str">
        <f>IF('Marks Entry'!AY87="","",'Marks Entry'!AY87)</f>
        <v/>
      </c>
      <c r="EA87" s="74" t="str">
        <f>IF('Marks Entry'!AZ87="","",'Marks Entry'!AZ87)</f>
        <v/>
      </c>
      <c r="EB87" s="74" t="str">
        <f>IF('Marks Entry'!BA87="","",'Marks Entry'!BA87)</f>
        <v/>
      </c>
      <c r="EC87" s="527" t="str">
        <f t="shared" si="225"/>
        <v/>
      </c>
      <c r="ED87" s="74" t="str">
        <f>IF('Marks Entry'!BB87="","",'Marks Entry'!BB87)</f>
        <v/>
      </c>
      <c r="EE87" s="528" t="str">
        <f t="shared" si="226"/>
        <v/>
      </c>
      <c r="EF87" s="74" t="str">
        <f>IF('Marks Entry'!BC87="","",'Marks Entry'!BC87)</f>
        <v/>
      </c>
      <c r="EG87" s="530" t="str">
        <f t="shared" si="227"/>
        <v/>
      </c>
      <c r="EH87" s="368" t="str">
        <f t="shared" si="278"/>
        <v/>
      </c>
      <c r="EI87" s="65">
        <f t="shared" si="279"/>
        <v>0</v>
      </c>
      <c r="EJ87" s="65">
        <f t="shared" si="280"/>
        <v>0</v>
      </c>
      <c r="EK87" s="66" t="str">
        <f t="shared" si="281"/>
        <v/>
      </c>
      <c r="EL87" s="74" t="str">
        <f>IF('Marks Entry'!BD87="","",'Marks Entry'!BD87)</f>
        <v/>
      </c>
      <c r="EM87" s="74" t="str">
        <f>IF('Marks Entry'!BE87="","",'Marks Entry'!BE87)</f>
        <v/>
      </c>
      <c r="EN87" s="74" t="str">
        <f>IF('Marks Entry'!BF87="","",'Marks Entry'!BF87)</f>
        <v/>
      </c>
      <c r="EO87" s="527" t="str">
        <f t="shared" si="228"/>
        <v/>
      </c>
      <c r="EP87" s="74" t="str">
        <f>IF('Marks Entry'!BG87="","",'Marks Entry'!BG87)</f>
        <v/>
      </c>
      <c r="EQ87" s="74" t="str">
        <f>IF('Marks Entry'!BH87="","",'Marks Entry'!BH87)</f>
        <v/>
      </c>
      <c r="ER87" s="528" t="str">
        <f t="shared" si="229"/>
        <v/>
      </c>
      <c r="ES87" s="529" t="str">
        <f t="shared" si="230"/>
        <v/>
      </c>
      <c r="ET87" s="74" t="str">
        <f>IF('Marks Entry'!BI87="","",'Marks Entry'!BI87)</f>
        <v/>
      </c>
      <c r="EU87" s="74" t="str">
        <f>IF('Marks Entry'!BJ87="","",'Marks Entry'!BJ87)</f>
        <v/>
      </c>
      <c r="EV87" s="528" t="str">
        <f t="shared" si="231"/>
        <v/>
      </c>
      <c r="EW87" s="530" t="str">
        <f t="shared" si="232"/>
        <v/>
      </c>
      <c r="EX87" s="368" t="str">
        <f t="shared" si="282"/>
        <v/>
      </c>
      <c r="EY87" s="65">
        <f t="shared" si="283"/>
        <v>0</v>
      </c>
      <c r="EZ87" s="65">
        <f t="shared" si="284"/>
        <v>0</v>
      </c>
      <c r="FA87" s="66" t="str">
        <f t="shared" si="285"/>
        <v/>
      </c>
      <c r="FB87" s="74" t="str">
        <f>IF('Marks Entry'!BK87="","",'Marks Entry'!BK87)</f>
        <v/>
      </c>
      <c r="FC87" s="74" t="str">
        <f>IF('Marks Entry'!BL87="","",'Marks Entry'!BL87)</f>
        <v/>
      </c>
      <c r="FD87" s="74" t="str">
        <f>IF('Marks Entry'!BM87="","",'Marks Entry'!BM87)</f>
        <v/>
      </c>
      <c r="FE87" s="74" t="str">
        <f>IF('Marks Entry'!BN87="","",'Marks Entry'!BN87)</f>
        <v/>
      </c>
      <c r="FF87" s="74" t="str">
        <f>IF('Marks Entry'!BO87="","",'Marks Entry'!BO87)</f>
        <v/>
      </c>
      <c r="FG87" s="74" t="str">
        <f>IF('Marks Entry'!BP87="","",'Marks Entry'!BP87)</f>
        <v/>
      </c>
      <c r="FH87" s="527" t="str">
        <f t="shared" si="233"/>
        <v/>
      </c>
      <c r="FI87" s="74" t="str">
        <f>IF('Marks Entry'!BQ87="","",'Marks Entry'!BQ87)</f>
        <v/>
      </c>
      <c r="FJ87" s="74" t="str">
        <f>IF('Marks Entry'!BR87="","",'Marks Entry'!BR87)</f>
        <v/>
      </c>
      <c r="FK87" s="528" t="str">
        <f t="shared" si="234"/>
        <v/>
      </c>
      <c r="FL87" s="529" t="str">
        <f t="shared" si="235"/>
        <v/>
      </c>
      <c r="FM87" s="74" t="str">
        <f>IF('Marks Entry'!BS87="","",'Marks Entry'!BS87)</f>
        <v/>
      </c>
      <c r="FN87" s="74" t="str">
        <f>IF('Marks Entry'!BT87="","",'Marks Entry'!BT87)</f>
        <v/>
      </c>
      <c r="FO87" s="528" t="str">
        <f t="shared" si="236"/>
        <v/>
      </c>
      <c r="FP87" s="530" t="str">
        <f t="shared" si="237"/>
        <v/>
      </c>
      <c r="FQ87" s="368" t="str">
        <f t="shared" si="286"/>
        <v/>
      </c>
      <c r="FR87" s="65">
        <f t="shared" si="287"/>
        <v>0</v>
      </c>
      <c r="FS87" s="65">
        <f t="shared" si="288"/>
        <v>0</v>
      </c>
      <c r="FT87" s="66" t="str">
        <f t="shared" si="289"/>
        <v/>
      </c>
      <c r="FU87" s="74" t="str">
        <f>IF('Marks Entry'!BU87="","",'Marks Entry'!BU87)</f>
        <v/>
      </c>
      <c r="FV87" s="74" t="str">
        <f>IF('Marks Entry'!BV87="","",'Marks Entry'!BV87)</f>
        <v/>
      </c>
      <c r="FW87" s="74" t="str">
        <f>IF('Marks Entry'!BW87="","",'Marks Entry'!BW87)</f>
        <v/>
      </c>
      <c r="FX87" s="75" t="str">
        <f t="shared" si="238"/>
        <v/>
      </c>
      <c r="FY87" s="368" t="str">
        <f t="shared" si="290"/>
        <v/>
      </c>
      <c r="FZ87" s="65">
        <f t="shared" si="291"/>
        <v>0</v>
      </c>
      <c r="GA87" s="66">
        <f t="shared" si="292"/>
        <v>0</v>
      </c>
      <c r="GB87" s="66" t="str">
        <f t="shared" si="293"/>
        <v/>
      </c>
      <c r="GC87" s="74" t="str">
        <f>IF('Marks Entry'!BX87="","",'Marks Entry'!BX87)</f>
        <v/>
      </c>
      <c r="GD87" s="74" t="str">
        <f>IF('Marks Entry'!BY87="","",'Marks Entry'!BY87)</f>
        <v/>
      </c>
      <c r="GE87" s="74" t="str">
        <f>IF('Marks Entry'!BZ87="","",'Marks Entry'!BZ87)</f>
        <v/>
      </c>
      <c r="GF87" s="75" t="str">
        <f t="shared" si="294"/>
        <v/>
      </c>
      <c r="GG87" s="368" t="str">
        <f t="shared" si="295"/>
        <v/>
      </c>
      <c r="GH87" s="65">
        <f t="shared" si="296"/>
        <v>0</v>
      </c>
      <c r="GI87" s="66">
        <f t="shared" si="297"/>
        <v>0</v>
      </c>
      <c r="GJ87" s="66" t="str">
        <f t="shared" si="298"/>
        <v/>
      </c>
      <c r="GK87" s="100" t="str">
        <f>IF(AND(F87="",B87=""),"",IF('Student DATA Entry'!M84="","",'Student DATA Entry'!M84))</f>
        <v/>
      </c>
      <c r="GL87" s="101" t="str">
        <f>IF(AND(B87="",F87=""),"",IF('Student DATA Entry'!N84="","",'Student DATA Entry'!N84))</f>
        <v/>
      </c>
      <c r="GM87" s="581" t="str">
        <f t="shared" si="299"/>
        <v/>
      </c>
      <c r="GN87" s="94" t="str">
        <f t="shared" si="300"/>
        <v/>
      </c>
      <c r="GO87" s="94" t="str">
        <f t="shared" si="301"/>
        <v/>
      </c>
      <c r="GP87" s="102" t="str">
        <f t="shared" si="239"/>
        <v/>
      </c>
      <c r="GQ87" s="94" t="str">
        <f t="shared" si="302"/>
        <v/>
      </c>
      <c r="GR87" s="103" t="str">
        <f t="shared" si="303"/>
        <v/>
      </c>
      <c r="GS87" s="102" t="str">
        <f t="shared" si="240"/>
        <v/>
      </c>
      <c r="GT87" s="104" t="str">
        <f t="shared" si="304"/>
        <v/>
      </c>
      <c r="GU87" s="94" t="str">
        <f>IF('Marks Entry'!V87=1,GT87,"")</f>
        <v/>
      </c>
      <c r="GV87" s="94" t="str">
        <f>IF('Marks Entry'!V87=2,GT87,"")</f>
        <v/>
      </c>
      <c r="GW87" s="94" t="str">
        <f>IF('Marks Entry'!V87=3,GT87,"")</f>
        <v/>
      </c>
      <c r="GX87" s="94" t="str">
        <f>IF('Marks Entry'!V87=4,GT87,"")</f>
        <v/>
      </c>
      <c r="GY87" s="94" t="str">
        <f>IF('Marks Entry'!V87=5,GT87,"")</f>
        <v/>
      </c>
      <c r="GZ87" s="94" t="str">
        <f t="shared" si="305"/>
        <v/>
      </c>
      <c r="HA87" s="105" t="str">
        <f t="shared" si="241"/>
        <v/>
      </c>
      <c r="HB87" s="94" t="str">
        <f t="shared" si="306"/>
        <v/>
      </c>
      <c r="HC87" s="94" t="str">
        <f t="shared" si="307"/>
        <v/>
      </c>
      <c r="HD87" s="105" t="str">
        <f t="shared" si="242"/>
        <v/>
      </c>
      <c r="HE87" s="94" t="str">
        <f t="shared" si="308"/>
        <v/>
      </c>
      <c r="HF87" s="94" t="str">
        <f t="shared" si="309"/>
        <v/>
      </c>
      <c r="HG87" s="105" t="str">
        <f t="shared" si="243"/>
        <v/>
      </c>
      <c r="HH87" s="94" t="str">
        <f t="shared" si="310"/>
        <v/>
      </c>
      <c r="HI87" s="94" t="str">
        <f t="shared" si="311"/>
        <v/>
      </c>
      <c r="HJ87" s="105" t="str">
        <f t="shared" si="244"/>
        <v/>
      </c>
      <c r="HK87" s="94" t="str">
        <f t="shared" si="312"/>
        <v/>
      </c>
      <c r="HL87" s="94" t="str">
        <f t="shared" si="313"/>
        <v/>
      </c>
      <c r="HM87" s="105" t="str">
        <f t="shared" si="245"/>
        <v/>
      </c>
      <c r="HN87" s="367" t="str">
        <f t="shared" si="314"/>
        <v xml:space="preserve">      </v>
      </c>
      <c r="HO87" s="418" t="str">
        <f t="shared" si="246"/>
        <v xml:space="preserve">      </v>
      </c>
      <c r="HP87" s="367" t="str">
        <f t="shared" si="315"/>
        <v xml:space="preserve">      </v>
      </c>
      <c r="HQ87" s="107" t="str">
        <f t="shared" si="316"/>
        <v xml:space="preserve">      </v>
      </c>
      <c r="HR87" s="366" t="str">
        <f t="shared" si="317"/>
        <v xml:space="preserve">      </v>
      </c>
      <c r="HS87" s="544" t="str">
        <f t="shared" si="247"/>
        <v/>
      </c>
      <c r="HT87" s="542" t="str">
        <f t="shared" si="318"/>
        <v/>
      </c>
      <c r="HU87" s="541" t="str">
        <f t="shared" si="319"/>
        <v/>
      </c>
      <c r="HV87" s="540" t="str">
        <f t="shared" si="320"/>
        <v/>
      </c>
      <c r="HW87" s="537" t="str">
        <f t="shared" si="321"/>
        <v/>
      </c>
      <c r="HX87" s="539" t="str">
        <f t="shared" si="322"/>
        <v/>
      </c>
      <c r="HY87" s="553" t="str">
        <f>IFERROR(IF(OR(HS87="SUPPLEMENTARY",HS87="RE-EXAM"),'Supp. Result Entry'!AQ85,""),"")</f>
        <v/>
      </c>
      <c r="HZ87" s="538" t="str">
        <f t="shared" si="323"/>
        <v/>
      </c>
      <c r="IA87" s="415" t="str">
        <f t="shared" si="324"/>
        <v/>
      </c>
      <c r="IB87" s="415" t="str">
        <f>IF(AND(HZ87="",IA87=""),"",IF(OR(HS87="SUPPLEMENTARY",HS87="RE-EXAM"),'Supp. Result Entry'!AQ85,HS87))</f>
        <v/>
      </c>
      <c r="IC87" s="87"/>
      <c r="IS87" s="109" t="str">
        <f>IF('Supp. Result Entry'!T85="","",'Supp. Result Entry'!$T$4)</f>
        <v/>
      </c>
      <c r="IT87" s="110" t="str">
        <f>IF('Supp. Result Entry'!W85="","",'Supp. Result Entry'!$W$4)</f>
        <v/>
      </c>
      <c r="IU87" s="110" t="str">
        <f>IF('Supp. Result Entry'!Z85="","",'Supp. Result Entry'!$Z$4)</f>
        <v/>
      </c>
      <c r="IV87" s="110" t="str">
        <f>IF('Supp. Result Entry'!AC85="","",'Supp. Result Entry'!$AC$4)</f>
        <v/>
      </c>
      <c r="IW87" s="110" t="str">
        <f>IF('Supp. Result Entry'!AF85="","",'Supp. Result Entry'!$AF$4)</f>
        <v/>
      </c>
      <c r="IX87" s="110" t="str">
        <f>IF('Supp. Result Entry'!AI85="","",'Supp. Result Entry'!$AI$4)</f>
        <v/>
      </c>
      <c r="IY87" s="110" t="str">
        <f>IF('Supp. Result Entry'!AI85="","",'Supp. Result Entry'!$AL$4)</f>
        <v/>
      </c>
      <c r="IZ87" s="110" t="str">
        <f>IF('Supp. Result Entry'!U85="","",'Supp. Result Entry'!U85)</f>
        <v/>
      </c>
      <c r="JA87" s="110" t="str">
        <f>IF('Supp. Result Entry'!X85="","",'Supp. Result Entry'!X85)</f>
        <v/>
      </c>
      <c r="JB87" s="110" t="str">
        <f>IF('Supp. Result Entry'!AA85="","",'Supp. Result Entry'!AA85)</f>
        <v/>
      </c>
      <c r="JC87" s="110" t="str">
        <f>IF('Supp. Result Entry'!AD85="","",'Supp. Result Entry'!AD85)</f>
        <v/>
      </c>
      <c r="JD87" s="110" t="str">
        <f>IF('Supp. Result Entry'!AG85="","",'Supp. Result Entry'!AG85)</f>
        <v/>
      </c>
      <c r="JE87" s="110" t="str">
        <f>IF('Supp. Result Entry'!AJ85="","",'Supp. Result Entry'!AJ85)</f>
        <v/>
      </c>
      <c r="JF87" s="110" t="str">
        <f>IF('Supp. Result Entry'!AM85="","",'Supp. Result Entry'!AM85)</f>
        <v/>
      </c>
      <c r="JG87" s="110" t="str">
        <f>IF('Supp. Result Entry'!V85="","",'Supp. Result Entry'!V85)</f>
        <v/>
      </c>
      <c r="JH87" s="110" t="str">
        <f>IF('Supp. Result Entry'!Y85="","",'Supp. Result Entry'!Y85)</f>
        <v/>
      </c>
      <c r="JI87" s="110" t="str">
        <f>IF('Supp. Result Entry'!AB85="","",'Supp. Result Entry'!AB85)</f>
        <v/>
      </c>
      <c r="JJ87" s="110" t="str">
        <f>IF('Supp. Result Entry'!AE85="","",'Supp. Result Entry'!AE85)</f>
        <v/>
      </c>
      <c r="JK87" s="110" t="str">
        <f>IF('Supp. Result Entry'!AH85="","",'Supp. Result Entry'!AH85)</f>
        <v/>
      </c>
      <c r="JL87" s="110" t="str">
        <f>IF('Supp. Result Entry'!AK85="","",'Supp. Result Entry'!AK85)</f>
        <v/>
      </c>
      <c r="JM87" s="110" t="str">
        <f>IF('Supp. Result Entry'!AN85="","",'Supp. Result Entry'!AN85)</f>
        <v/>
      </c>
      <c r="JN87" s="110">
        <f>COUNTIF('Supp. Result Entry'!K85:Q85,"S")</f>
        <v>0</v>
      </c>
      <c r="JO87" s="110">
        <f t="shared" si="248"/>
        <v>0</v>
      </c>
      <c r="JP87" s="110">
        <f t="shared" si="325"/>
        <v>0</v>
      </c>
      <c r="JQ87" s="110" t="str">
        <f t="shared" si="249"/>
        <v/>
      </c>
      <c r="JR87" s="110" t="str">
        <f t="shared" si="250"/>
        <v/>
      </c>
      <c r="JS87" s="110" t="str">
        <f t="shared" si="251"/>
        <v/>
      </c>
      <c r="JT87" s="110" t="str">
        <f t="shared" si="252"/>
        <v/>
      </c>
      <c r="JU87" s="110" t="str">
        <f t="shared" si="253"/>
        <v/>
      </c>
      <c r="JV87" s="110" t="str">
        <f t="shared" si="254"/>
        <v/>
      </c>
      <c r="JW87" s="110" t="str">
        <f t="shared" si="255"/>
        <v/>
      </c>
      <c r="JX87" s="110" t="str">
        <f t="shared" si="326"/>
        <v/>
      </c>
      <c r="JY87" s="110" t="str">
        <f t="shared" si="327"/>
        <v/>
      </c>
      <c r="JZ87" s="110" t="str">
        <f t="shared" si="256"/>
        <v/>
      </c>
      <c r="KA87" s="108" t="str">
        <f t="shared" si="328"/>
        <v/>
      </c>
    </row>
    <row r="88" spans="1:287" s="108" customFormat="1" ht="21.95" customHeight="1">
      <c r="A88" s="89">
        <v>82</v>
      </c>
      <c r="B88" s="90" t="str">
        <f>IF('Marks Entry'!B88="","",'Marks Entry'!B88)</f>
        <v/>
      </c>
      <c r="C88" s="94" t="str">
        <f>IF('Marks Entry'!D88="","",'Marks Entry'!D88)</f>
        <v/>
      </c>
      <c r="D88" s="91" t="str">
        <f>IF('Marks Entry'!E88="","",'Marks Entry'!E88)</f>
        <v/>
      </c>
      <c r="E88" s="92" t="str">
        <f>IF('Marks Entry'!F88="","",'Marks Entry'!F88)</f>
        <v/>
      </c>
      <c r="F88" s="93" t="str">
        <f>IF('Marks Entry'!G88="","",'Marks Entry'!G88)</f>
        <v/>
      </c>
      <c r="G88" s="93" t="str">
        <f>IF('Marks Entry'!H88="","",'Marks Entry'!H88)</f>
        <v/>
      </c>
      <c r="H88" s="93" t="str">
        <f>IF('Marks Entry'!I88="","",'Marks Entry'!I88)</f>
        <v/>
      </c>
      <c r="I88" s="94" t="str">
        <f>IF('Marks Entry'!J88="","",'Marks Entry'!J88)</f>
        <v/>
      </c>
      <c r="J88" s="95" t="str">
        <f>IF('Marks Entry'!K88="","",'Marks Entry'!K88)</f>
        <v/>
      </c>
      <c r="K88" s="68" t="str">
        <f>IF('Marks Entry'!L88="","",'Marks Entry'!L88)</f>
        <v/>
      </c>
      <c r="L88" s="68" t="str">
        <f>IF('Marks Entry'!M88="","",'Marks Entry'!M88)</f>
        <v/>
      </c>
      <c r="M88" s="68" t="str">
        <f>IF('Marks Entry'!N88="","",'Marks Entry'!N88)</f>
        <v/>
      </c>
      <c r="N88" s="514" t="str">
        <f t="shared" si="257"/>
        <v/>
      </c>
      <c r="O88" s="68" t="str">
        <f>IF('Marks Entry'!O88="","",'Marks Entry'!O88)</f>
        <v/>
      </c>
      <c r="P88" s="515" t="str">
        <f t="shared" si="258"/>
        <v/>
      </c>
      <c r="Q88" s="68" t="str">
        <f>IF('Marks Entry'!P88="","",'Marks Entry'!P88)</f>
        <v/>
      </c>
      <c r="R88" s="96" t="str">
        <f t="shared" si="259"/>
        <v/>
      </c>
      <c r="S88" s="65">
        <f t="shared" si="260"/>
        <v>0</v>
      </c>
      <c r="T88" s="65">
        <f t="shared" si="261"/>
        <v>0</v>
      </c>
      <c r="U88" s="66" t="str">
        <f t="shared" si="171"/>
        <v/>
      </c>
      <c r="V88" s="65" t="str">
        <f t="shared" si="172"/>
        <v/>
      </c>
      <c r="W88" s="65" t="str">
        <f t="shared" si="262"/>
        <v/>
      </c>
      <c r="X88" s="65" t="str">
        <f t="shared" si="173"/>
        <v/>
      </c>
      <c r="Y88" s="68" t="str">
        <f>IF('Marks Entry'!Q88="","",'Marks Entry'!Q88)</f>
        <v/>
      </c>
      <c r="Z88" s="68" t="str">
        <f>IF('Marks Entry'!R88="","",'Marks Entry'!R88)</f>
        <v/>
      </c>
      <c r="AA88" s="68" t="str">
        <f>IF('Marks Entry'!S88="","",'Marks Entry'!S88)</f>
        <v/>
      </c>
      <c r="AB88" s="514" t="str">
        <f t="shared" si="174"/>
        <v/>
      </c>
      <c r="AC88" s="68" t="str">
        <f>IF('Marks Entry'!T88="","",'Marks Entry'!T88)</f>
        <v/>
      </c>
      <c r="AD88" s="515" t="str">
        <f t="shared" si="175"/>
        <v/>
      </c>
      <c r="AE88" s="68" t="str">
        <f>IF('Marks Entry'!U88="","",'Marks Entry'!U88)</f>
        <v/>
      </c>
      <c r="AF88" s="96" t="str">
        <f t="shared" si="176"/>
        <v/>
      </c>
      <c r="AG88" s="65">
        <f t="shared" si="177"/>
        <v>0</v>
      </c>
      <c r="AH88" s="65">
        <f t="shared" si="178"/>
        <v>0</v>
      </c>
      <c r="AI88" s="66" t="str">
        <f t="shared" si="179"/>
        <v/>
      </c>
      <c r="AJ88" s="65" t="str">
        <f t="shared" si="180"/>
        <v/>
      </c>
      <c r="AK88" s="65" t="str">
        <f t="shared" si="181"/>
        <v/>
      </c>
      <c r="AL88" s="65" t="str">
        <f t="shared" si="182"/>
        <v/>
      </c>
      <c r="AM88" s="524" t="str">
        <f>IF('Marks Entry'!V88="","",IF('Marks Entry'!V88=1,'School Profile'!$I$9,IF('Marks Entry'!V88=2,'School Profile'!$I$10,IF('Marks Entry'!V88=3,'School Profile'!$I$11,IF('Marks Entry'!V88=4,'School Profile'!$I$12,IF('Marks Entry'!V88=5,'School Profile'!$I$13,IF('Marks Entry'!V88=6,'School Profile'!$I$14,"")))))))</f>
        <v/>
      </c>
      <c r="AN88" s="68" t="str">
        <f>IF('Marks Entry'!W88="","",'Marks Entry'!W88)</f>
        <v/>
      </c>
      <c r="AO88" s="68" t="str">
        <f>IF('Marks Entry'!X88="","",'Marks Entry'!X88)</f>
        <v/>
      </c>
      <c r="AP88" s="68" t="str">
        <f>IF('Marks Entry'!Y88="","",'Marks Entry'!Y88)</f>
        <v/>
      </c>
      <c r="AQ88" s="514" t="str">
        <f t="shared" si="183"/>
        <v/>
      </c>
      <c r="AR88" s="68" t="str">
        <f>IF('Marks Entry'!Z88="","",'Marks Entry'!Z88)</f>
        <v/>
      </c>
      <c r="AS88" s="515" t="str">
        <f t="shared" si="184"/>
        <v/>
      </c>
      <c r="AT88" s="68" t="str">
        <f>IF('Marks Entry'!AA88="","",'Marks Entry'!AA88)</f>
        <v/>
      </c>
      <c r="AU88" s="96" t="str">
        <f t="shared" si="185"/>
        <v/>
      </c>
      <c r="AV88" s="65">
        <f t="shared" si="186"/>
        <v>0</v>
      </c>
      <c r="AW88" s="65">
        <f t="shared" si="187"/>
        <v>0</v>
      </c>
      <c r="AX88" s="66" t="str">
        <f t="shared" si="188"/>
        <v/>
      </c>
      <c r="AY88" s="65" t="str">
        <f t="shared" si="189"/>
        <v/>
      </c>
      <c r="AZ88" s="65" t="str">
        <f t="shared" si="190"/>
        <v/>
      </c>
      <c r="BA88" s="65" t="str">
        <f t="shared" si="191"/>
        <v/>
      </c>
      <c r="BB88" s="68" t="str">
        <f>IF('Marks Entry'!AB88="","",'Marks Entry'!AB88)</f>
        <v/>
      </c>
      <c r="BC88" s="68" t="str">
        <f>IF('Marks Entry'!AC88="","",'Marks Entry'!AC88)</f>
        <v/>
      </c>
      <c r="BD88" s="68" t="str">
        <f>IF('Marks Entry'!AD88="","",'Marks Entry'!AD88)</f>
        <v/>
      </c>
      <c r="BE88" s="514" t="str">
        <f t="shared" si="192"/>
        <v/>
      </c>
      <c r="BF88" s="68" t="str">
        <f>IF('Marks Entry'!AE88="","",'Marks Entry'!AE88)</f>
        <v/>
      </c>
      <c r="BG88" s="515" t="str">
        <f t="shared" si="193"/>
        <v/>
      </c>
      <c r="BH88" s="68" t="str">
        <f>IF('Marks Entry'!AF88="","",'Marks Entry'!AF88)</f>
        <v/>
      </c>
      <c r="BI88" s="96" t="str">
        <f t="shared" si="194"/>
        <v/>
      </c>
      <c r="BJ88" s="65">
        <f t="shared" si="195"/>
        <v>0</v>
      </c>
      <c r="BK88" s="65">
        <f t="shared" si="263"/>
        <v>0</v>
      </c>
      <c r="BL88" s="66" t="str">
        <f t="shared" si="196"/>
        <v/>
      </c>
      <c r="BM88" s="65" t="str">
        <f t="shared" si="197"/>
        <v/>
      </c>
      <c r="BN88" s="65" t="str">
        <f t="shared" si="198"/>
        <v/>
      </c>
      <c r="BO88" s="65" t="str">
        <f t="shared" si="199"/>
        <v/>
      </c>
      <c r="BP88" s="68" t="str">
        <f>IF('Marks Entry'!AG88="","",'Marks Entry'!AG88)</f>
        <v/>
      </c>
      <c r="BQ88" s="68" t="str">
        <f>IF('Marks Entry'!AH88="","",'Marks Entry'!AH88)</f>
        <v/>
      </c>
      <c r="BR88" s="68" t="str">
        <f>IF('Marks Entry'!AI88="","",'Marks Entry'!AI88)</f>
        <v/>
      </c>
      <c r="BS88" s="514" t="str">
        <f t="shared" si="200"/>
        <v/>
      </c>
      <c r="BT88" s="68" t="str">
        <f>IF('Marks Entry'!AJ88="","",'Marks Entry'!AJ88)</f>
        <v/>
      </c>
      <c r="BU88" s="515" t="str">
        <f t="shared" si="201"/>
        <v/>
      </c>
      <c r="BV88" s="68" t="str">
        <f>IF('Marks Entry'!AK88="","",'Marks Entry'!AK88)</f>
        <v/>
      </c>
      <c r="BW88" s="96" t="str">
        <f t="shared" si="202"/>
        <v/>
      </c>
      <c r="BX88" s="65">
        <f t="shared" si="203"/>
        <v>0</v>
      </c>
      <c r="BY88" s="65">
        <f t="shared" si="204"/>
        <v>0</v>
      </c>
      <c r="BZ88" s="66" t="str">
        <f t="shared" si="205"/>
        <v/>
      </c>
      <c r="CA88" s="65" t="str">
        <f t="shared" si="206"/>
        <v/>
      </c>
      <c r="CB88" s="65" t="str">
        <f t="shared" si="207"/>
        <v/>
      </c>
      <c r="CC88" s="65" t="str">
        <f t="shared" si="208"/>
        <v/>
      </c>
      <c r="CD88" s="66">
        <f t="shared" si="209"/>
        <v>0</v>
      </c>
      <c r="CE88" s="68" t="str">
        <f>IF('Marks Entry'!AL88="","",'Marks Entry'!AL88)</f>
        <v/>
      </c>
      <c r="CF88" s="68" t="str">
        <f>IF('Marks Entry'!AM88="","",'Marks Entry'!AM88)</f>
        <v/>
      </c>
      <c r="CG88" s="68" t="str">
        <f>IF('Marks Entry'!AN88="","",'Marks Entry'!AN88)</f>
        <v/>
      </c>
      <c r="CH88" s="514" t="str">
        <f t="shared" si="210"/>
        <v/>
      </c>
      <c r="CI88" s="68" t="str">
        <f>IF('Marks Entry'!AO88="","",'Marks Entry'!AO88)</f>
        <v/>
      </c>
      <c r="CJ88" s="515" t="str">
        <f t="shared" si="211"/>
        <v/>
      </c>
      <c r="CK88" s="68" t="str">
        <f>IF('Marks Entry'!AP88="","",'Marks Entry'!AP88)</f>
        <v/>
      </c>
      <c r="CL88" s="96" t="str">
        <f t="shared" si="212"/>
        <v/>
      </c>
      <c r="CM88" s="65">
        <f t="shared" si="213"/>
        <v>0</v>
      </c>
      <c r="CN88" s="65">
        <f t="shared" si="214"/>
        <v>0</v>
      </c>
      <c r="CO88" s="66" t="str">
        <f t="shared" si="215"/>
        <v/>
      </c>
      <c r="CP88" s="65" t="str">
        <f t="shared" si="216"/>
        <v/>
      </c>
      <c r="CQ88" s="65" t="str">
        <f t="shared" si="217"/>
        <v/>
      </c>
      <c r="CR88" s="65" t="str">
        <f t="shared" si="218"/>
        <v/>
      </c>
      <c r="CS88" s="616" t="str">
        <f>IF('School Profile'!$D$20="NO","",IF('Marks Entry'!AQ88="","",IF('Marks Entry'!AQ88=1,'School Profile'!$I$29,IF('Marks Entry'!AQ88=2,'School Profile'!$I$30,IF('Marks Entry'!AQ88=3,'School Profile'!$I$31,IF('Marks Entry'!AQ88=4,'School Profile'!$I$32,IF('Marks Entry'!AQ88=5,'School Profile'!$I$33,IF('Marks Entry'!AQ88=6,'School Profile'!$I$34,IF('Marks Entry'!AQ88=7,'School Profile'!$I$35,IF('Marks Entry'!AQ88=8,'School Profile'!$I$36,IF('Marks Entry'!AQ88=9,'School Profile'!$I$37,IF('Marks Entry'!AQ88=10,'School Profile'!$I$38,IF('Marks Entry'!AQ88=11,'School Profile'!$I$39,"")))))))))))))</f>
        <v/>
      </c>
      <c r="CT88" s="68" t="str">
        <f>IF('School Profile'!$D$20="NO","",IF('Marks Entry'!AR88="","",'Marks Entry'!AR88))</f>
        <v/>
      </c>
      <c r="CU88" s="68" t="str">
        <f>IF('School Profile'!$D$20="NO","",IF('Marks Entry'!AS88="","",'Marks Entry'!AS88))</f>
        <v/>
      </c>
      <c r="CV88" s="68" t="str">
        <f>IF('School Profile'!$D$20="NO","",IF('Marks Entry'!AT88="","",'Marks Entry'!AT88))</f>
        <v/>
      </c>
      <c r="CW88" s="514" t="str">
        <f>IF('School Profile'!$D$20="NO","",IF(AND(CT88="",CU88="",CV88=""),"",SUM(CT88:CV88)))</f>
        <v/>
      </c>
      <c r="CX88" s="68" t="str">
        <f>IF('School Profile'!$D$20="NO","",IF('Marks Entry'!AU88="","",'Marks Entry'!AU88))</f>
        <v/>
      </c>
      <c r="CY88" s="68" t="str">
        <f>IF('School Profile'!$D$20="NO","",IF('Marks Entry'!AV88="","",'Marks Entry'!AV88))</f>
        <v/>
      </c>
      <c r="CZ88" s="515" t="str">
        <f>IF('School Profile'!$D$20="NO","",IF(AND(CX88="",CY88=""),"",SUM(CX88,CY88)))</f>
        <v/>
      </c>
      <c r="DA88" s="69" t="str">
        <f>IF('School Profile'!$D$20="NO","",IF(AND(CW88="",CZ88=""),"",SUM(CW88+CZ88)))</f>
        <v/>
      </c>
      <c r="DB88" s="68" t="str">
        <f>IF('School Profile'!$D$20="NO","",IF('Marks Entry'!AW88="","",'Marks Entry'!AW88))</f>
        <v/>
      </c>
      <c r="DC88" s="68" t="str">
        <f>IF('School Profile'!$D$20="NO","",IF('Marks Entry'!AX88="","",'Marks Entry'!AX88))</f>
        <v/>
      </c>
      <c r="DD88" s="515" t="str">
        <f>IF('School Profile'!$D$20="NO","",IF(AND(DB88="",DC88=""),"",SUM(DB88,DC88)))</f>
        <v/>
      </c>
      <c r="DE88" s="96" t="str">
        <f>IF('School Profile'!$D$20="NO","",IF(AND(DA88="",DD88=""),"",SUM(DA88,DD88)))</f>
        <v/>
      </c>
      <c r="DF88" s="532">
        <f t="shared" si="219"/>
        <v>0</v>
      </c>
      <c r="DG88" s="65">
        <f t="shared" si="220"/>
        <v>0</v>
      </c>
      <c r="DH88" s="66" t="str">
        <f t="shared" si="221"/>
        <v/>
      </c>
      <c r="DI88" s="65" t="str">
        <f t="shared" si="222"/>
        <v/>
      </c>
      <c r="DJ88" s="65" t="str">
        <f t="shared" si="223"/>
        <v/>
      </c>
      <c r="DK88" s="65" t="str">
        <f t="shared" si="224"/>
        <v/>
      </c>
      <c r="DL88" s="97" t="str">
        <f t="shared" si="264"/>
        <v/>
      </c>
      <c r="DM88" s="97" t="str">
        <f t="shared" si="265"/>
        <v/>
      </c>
      <c r="DN88" s="97" t="str">
        <f t="shared" si="266"/>
        <v/>
      </c>
      <c r="DO88" s="97" t="str">
        <f t="shared" si="267"/>
        <v/>
      </c>
      <c r="DP88" s="97" t="str">
        <f t="shared" si="268"/>
        <v/>
      </c>
      <c r="DQ88" s="97" t="str">
        <f t="shared" si="269"/>
        <v/>
      </c>
      <c r="DR88" s="97" t="str">
        <f t="shared" si="270"/>
        <v/>
      </c>
      <c r="DS88" s="98">
        <f t="shared" si="271"/>
        <v>0</v>
      </c>
      <c r="DT88" s="98">
        <f t="shared" si="272"/>
        <v>0</v>
      </c>
      <c r="DU88" s="98">
        <f t="shared" si="273"/>
        <v>0</v>
      </c>
      <c r="DV88" s="98">
        <f t="shared" si="274"/>
        <v>0</v>
      </c>
      <c r="DW88" s="98">
        <f t="shared" si="275"/>
        <v>0</v>
      </c>
      <c r="DX88" s="98" t="str">
        <f t="shared" si="276"/>
        <v/>
      </c>
      <c r="DY88" s="99" t="str">
        <f t="shared" si="277"/>
        <v/>
      </c>
      <c r="DZ88" s="74" t="str">
        <f>IF('Marks Entry'!AY88="","",'Marks Entry'!AY88)</f>
        <v/>
      </c>
      <c r="EA88" s="74" t="str">
        <f>IF('Marks Entry'!AZ88="","",'Marks Entry'!AZ88)</f>
        <v/>
      </c>
      <c r="EB88" s="74" t="str">
        <f>IF('Marks Entry'!BA88="","",'Marks Entry'!BA88)</f>
        <v/>
      </c>
      <c r="EC88" s="527" t="str">
        <f t="shared" si="225"/>
        <v/>
      </c>
      <c r="ED88" s="74" t="str">
        <f>IF('Marks Entry'!BB88="","",'Marks Entry'!BB88)</f>
        <v/>
      </c>
      <c r="EE88" s="528" t="str">
        <f t="shared" si="226"/>
        <v/>
      </c>
      <c r="EF88" s="74" t="str">
        <f>IF('Marks Entry'!BC88="","",'Marks Entry'!BC88)</f>
        <v/>
      </c>
      <c r="EG88" s="530" t="str">
        <f t="shared" si="227"/>
        <v/>
      </c>
      <c r="EH88" s="368" t="str">
        <f t="shared" si="278"/>
        <v/>
      </c>
      <c r="EI88" s="65">
        <f t="shared" si="279"/>
        <v>0</v>
      </c>
      <c r="EJ88" s="65">
        <f t="shared" si="280"/>
        <v>0</v>
      </c>
      <c r="EK88" s="66" t="str">
        <f t="shared" si="281"/>
        <v/>
      </c>
      <c r="EL88" s="74" t="str">
        <f>IF('Marks Entry'!BD88="","",'Marks Entry'!BD88)</f>
        <v/>
      </c>
      <c r="EM88" s="74" t="str">
        <f>IF('Marks Entry'!BE88="","",'Marks Entry'!BE88)</f>
        <v/>
      </c>
      <c r="EN88" s="74" t="str">
        <f>IF('Marks Entry'!BF88="","",'Marks Entry'!BF88)</f>
        <v/>
      </c>
      <c r="EO88" s="527" t="str">
        <f t="shared" si="228"/>
        <v/>
      </c>
      <c r="EP88" s="74" t="str">
        <f>IF('Marks Entry'!BG88="","",'Marks Entry'!BG88)</f>
        <v/>
      </c>
      <c r="EQ88" s="74" t="str">
        <f>IF('Marks Entry'!BH88="","",'Marks Entry'!BH88)</f>
        <v/>
      </c>
      <c r="ER88" s="528" t="str">
        <f t="shared" si="229"/>
        <v/>
      </c>
      <c r="ES88" s="529" t="str">
        <f t="shared" si="230"/>
        <v/>
      </c>
      <c r="ET88" s="74" t="str">
        <f>IF('Marks Entry'!BI88="","",'Marks Entry'!BI88)</f>
        <v/>
      </c>
      <c r="EU88" s="74" t="str">
        <f>IF('Marks Entry'!BJ88="","",'Marks Entry'!BJ88)</f>
        <v/>
      </c>
      <c r="EV88" s="528" t="str">
        <f t="shared" si="231"/>
        <v/>
      </c>
      <c r="EW88" s="530" t="str">
        <f t="shared" si="232"/>
        <v/>
      </c>
      <c r="EX88" s="368" t="str">
        <f t="shared" si="282"/>
        <v/>
      </c>
      <c r="EY88" s="65">
        <f t="shared" si="283"/>
        <v>0</v>
      </c>
      <c r="EZ88" s="65">
        <f t="shared" si="284"/>
        <v>0</v>
      </c>
      <c r="FA88" s="66" t="str">
        <f t="shared" si="285"/>
        <v/>
      </c>
      <c r="FB88" s="74" t="str">
        <f>IF('Marks Entry'!BK88="","",'Marks Entry'!BK88)</f>
        <v/>
      </c>
      <c r="FC88" s="74" t="str">
        <f>IF('Marks Entry'!BL88="","",'Marks Entry'!BL88)</f>
        <v/>
      </c>
      <c r="FD88" s="74" t="str">
        <f>IF('Marks Entry'!BM88="","",'Marks Entry'!BM88)</f>
        <v/>
      </c>
      <c r="FE88" s="74" t="str">
        <f>IF('Marks Entry'!BN88="","",'Marks Entry'!BN88)</f>
        <v/>
      </c>
      <c r="FF88" s="74" t="str">
        <f>IF('Marks Entry'!BO88="","",'Marks Entry'!BO88)</f>
        <v/>
      </c>
      <c r="FG88" s="74" t="str">
        <f>IF('Marks Entry'!BP88="","",'Marks Entry'!BP88)</f>
        <v/>
      </c>
      <c r="FH88" s="527" t="str">
        <f t="shared" si="233"/>
        <v/>
      </c>
      <c r="FI88" s="74" t="str">
        <f>IF('Marks Entry'!BQ88="","",'Marks Entry'!BQ88)</f>
        <v/>
      </c>
      <c r="FJ88" s="74" t="str">
        <f>IF('Marks Entry'!BR88="","",'Marks Entry'!BR88)</f>
        <v/>
      </c>
      <c r="FK88" s="528" t="str">
        <f t="shared" si="234"/>
        <v/>
      </c>
      <c r="FL88" s="529" t="str">
        <f t="shared" si="235"/>
        <v/>
      </c>
      <c r="FM88" s="74" t="str">
        <f>IF('Marks Entry'!BS88="","",'Marks Entry'!BS88)</f>
        <v/>
      </c>
      <c r="FN88" s="74" t="str">
        <f>IF('Marks Entry'!BT88="","",'Marks Entry'!BT88)</f>
        <v/>
      </c>
      <c r="FO88" s="528" t="str">
        <f t="shared" si="236"/>
        <v/>
      </c>
      <c r="FP88" s="530" t="str">
        <f t="shared" si="237"/>
        <v/>
      </c>
      <c r="FQ88" s="368" t="str">
        <f t="shared" si="286"/>
        <v/>
      </c>
      <c r="FR88" s="65">
        <f t="shared" si="287"/>
        <v>0</v>
      </c>
      <c r="FS88" s="65">
        <f t="shared" si="288"/>
        <v>0</v>
      </c>
      <c r="FT88" s="66" t="str">
        <f t="shared" si="289"/>
        <v/>
      </c>
      <c r="FU88" s="74" t="str">
        <f>IF('Marks Entry'!BU88="","",'Marks Entry'!BU88)</f>
        <v/>
      </c>
      <c r="FV88" s="74" t="str">
        <f>IF('Marks Entry'!BV88="","",'Marks Entry'!BV88)</f>
        <v/>
      </c>
      <c r="FW88" s="74" t="str">
        <f>IF('Marks Entry'!BW88="","",'Marks Entry'!BW88)</f>
        <v/>
      </c>
      <c r="FX88" s="75" t="str">
        <f t="shared" si="238"/>
        <v/>
      </c>
      <c r="FY88" s="368" t="str">
        <f t="shared" si="290"/>
        <v/>
      </c>
      <c r="FZ88" s="65">
        <f t="shared" si="291"/>
        <v>0</v>
      </c>
      <c r="GA88" s="66">
        <f t="shared" si="292"/>
        <v>0</v>
      </c>
      <c r="GB88" s="66" t="str">
        <f t="shared" si="293"/>
        <v/>
      </c>
      <c r="GC88" s="74" t="str">
        <f>IF('Marks Entry'!BX88="","",'Marks Entry'!BX88)</f>
        <v/>
      </c>
      <c r="GD88" s="74" t="str">
        <f>IF('Marks Entry'!BY88="","",'Marks Entry'!BY88)</f>
        <v/>
      </c>
      <c r="GE88" s="74" t="str">
        <f>IF('Marks Entry'!BZ88="","",'Marks Entry'!BZ88)</f>
        <v/>
      </c>
      <c r="GF88" s="75" t="str">
        <f t="shared" si="294"/>
        <v/>
      </c>
      <c r="GG88" s="368" t="str">
        <f t="shared" si="295"/>
        <v/>
      </c>
      <c r="GH88" s="65">
        <f t="shared" si="296"/>
        <v>0</v>
      </c>
      <c r="GI88" s="66">
        <f t="shared" si="297"/>
        <v>0</v>
      </c>
      <c r="GJ88" s="66" t="str">
        <f t="shared" si="298"/>
        <v/>
      </c>
      <c r="GK88" s="100" t="str">
        <f>IF(AND(F88="",B88=""),"",IF('Student DATA Entry'!M85="","",'Student DATA Entry'!M85))</f>
        <v/>
      </c>
      <c r="GL88" s="101" t="str">
        <f>IF(AND(B88="",F88=""),"",IF('Student DATA Entry'!N85="","",'Student DATA Entry'!N85))</f>
        <v/>
      </c>
      <c r="GM88" s="581" t="str">
        <f t="shared" si="299"/>
        <v/>
      </c>
      <c r="GN88" s="94" t="str">
        <f t="shared" si="300"/>
        <v/>
      </c>
      <c r="GO88" s="94" t="str">
        <f t="shared" si="301"/>
        <v/>
      </c>
      <c r="GP88" s="102" t="str">
        <f t="shared" si="239"/>
        <v/>
      </c>
      <c r="GQ88" s="94" t="str">
        <f t="shared" si="302"/>
        <v/>
      </c>
      <c r="GR88" s="103" t="str">
        <f t="shared" si="303"/>
        <v/>
      </c>
      <c r="GS88" s="102" t="str">
        <f t="shared" si="240"/>
        <v/>
      </c>
      <c r="GT88" s="104" t="str">
        <f t="shared" si="304"/>
        <v/>
      </c>
      <c r="GU88" s="94" t="str">
        <f>IF('Marks Entry'!V88=1,GT88,"")</f>
        <v/>
      </c>
      <c r="GV88" s="94" t="str">
        <f>IF('Marks Entry'!V88=2,GT88,"")</f>
        <v/>
      </c>
      <c r="GW88" s="94" t="str">
        <f>IF('Marks Entry'!V88=3,GT88,"")</f>
        <v/>
      </c>
      <c r="GX88" s="94" t="str">
        <f>IF('Marks Entry'!V88=4,GT88,"")</f>
        <v/>
      </c>
      <c r="GY88" s="94" t="str">
        <f>IF('Marks Entry'!V88=5,GT88,"")</f>
        <v/>
      </c>
      <c r="GZ88" s="94" t="str">
        <f t="shared" si="305"/>
        <v/>
      </c>
      <c r="HA88" s="105" t="str">
        <f t="shared" si="241"/>
        <v/>
      </c>
      <c r="HB88" s="94" t="str">
        <f t="shared" si="306"/>
        <v/>
      </c>
      <c r="HC88" s="94" t="str">
        <f t="shared" si="307"/>
        <v/>
      </c>
      <c r="HD88" s="105" t="str">
        <f t="shared" si="242"/>
        <v/>
      </c>
      <c r="HE88" s="94" t="str">
        <f t="shared" si="308"/>
        <v/>
      </c>
      <c r="HF88" s="94" t="str">
        <f t="shared" si="309"/>
        <v/>
      </c>
      <c r="HG88" s="105" t="str">
        <f t="shared" si="243"/>
        <v/>
      </c>
      <c r="HH88" s="94" t="str">
        <f t="shared" si="310"/>
        <v/>
      </c>
      <c r="HI88" s="94" t="str">
        <f t="shared" si="311"/>
        <v/>
      </c>
      <c r="HJ88" s="105" t="str">
        <f t="shared" si="244"/>
        <v/>
      </c>
      <c r="HK88" s="94" t="str">
        <f t="shared" si="312"/>
        <v/>
      </c>
      <c r="HL88" s="94" t="str">
        <f t="shared" si="313"/>
        <v/>
      </c>
      <c r="HM88" s="105" t="str">
        <f t="shared" si="245"/>
        <v/>
      </c>
      <c r="HN88" s="367" t="str">
        <f t="shared" si="314"/>
        <v xml:space="preserve">      </v>
      </c>
      <c r="HO88" s="418" t="str">
        <f t="shared" si="246"/>
        <v xml:space="preserve">      </v>
      </c>
      <c r="HP88" s="367" t="str">
        <f t="shared" si="315"/>
        <v xml:space="preserve">      </v>
      </c>
      <c r="HQ88" s="107" t="str">
        <f t="shared" si="316"/>
        <v xml:space="preserve">      </v>
      </c>
      <c r="HR88" s="366" t="str">
        <f t="shared" si="317"/>
        <v xml:space="preserve">      </v>
      </c>
      <c r="HS88" s="544" t="str">
        <f t="shared" si="247"/>
        <v/>
      </c>
      <c r="HT88" s="542" t="str">
        <f t="shared" si="318"/>
        <v/>
      </c>
      <c r="HU88" s="541" t="str">
        <f t="shared" si="319"/>
        <v/>
      </c>
      <c r="HV88" s="540" t="str">
        <f t="shared" si="320"/>
        <v/>
      </c>
      <c r="HW88" s="537" t="str">
        <f t="shared" si="321"/>
        <v/>
      </c>
      <c r="HX88" s="539" t="str">
        <f t="shared" si="322"/>
        <v/>
      </c>
      <c r="HY88" s="553" t="str">
        <f>IFERROR(IF(OR(HS88="SUPPLEMENTARY",HS88="RE-EXAM"),'Supp. Result Entry'!AQ86,""),"")</f>
        <v/>
      </c>
      <c r="HZ88" s="538" t="str">
        <f t="shared" si="323"/>
        <v/>
      </c>
      <c r="IA88" s="415" t="str">
        <f t="shared" si="324"/>
        <v/>
      </c>
      <c r="IB88" s="415" t="str">
        <f>IF(AND(HZ88="",IA88=""),"",IF(OR(HS88="SUPPLEMENTARY",HS88="RE-EXAM"),'Supp. Result Entry'!AQ86,HS88))</f>
        <v/>
      </c>
      <c r="IC88" s="87"/>
      <c r="IS88" s="109" t="str">
        <f>IF('Supp. Result Entry'!T86="","",'Supp. Result Entry'!$T$4)</f>
        <v/>
      </c>
      <c r="IT88" s="110" t="str">
        <f>IF('Supp. Result Entry'!W86="","",'Supp. Result Entry'!$W$4)</f>
        <v/>
      </c>
      <c r="IU88" s="110" t="str">
        <f>IF('Supp. Result Entry'!Z86="","",'Supp. Result Entry'!$Z$4)</f>
        <v/>
      </c>
      <c r="IV88" s="110" t="str">
        <f>IF('Supp. Result Entry'!AC86="","",'Supp. Result Entry'!$AC$4)</f>
        <v/>
      </c>
      <c r="IW88" s="110" t="str">
        <f>IF('Supp. Result Entry'!AF86="","",'Supp. Result Entry'!$AF$4)</f>
        <v/>
      </c>
      <c r="IX88" s="110" t="str">
        <f>IF('Supp. Result Entry'!AI86="","",'Supp. Result Entry'!$AI$4)</f>
        <v/>
      </c>
      <c r="IY88" s="110" t="str">
        <f>IF('Supp. Result Entry'!AI86="","",'Supp. Result Entry'!$AL$4)</f>
        <v/>
      </c>
      <c r="IZ88" s="110" t="str">
        <f>IF('Supp. Result Entry'!U86="","",'Supp. Result Entry'!U86)</f>
        <v/>
      </c>
      <c r="JA88" s="110" t="str">
        <f>IF('Supp. Result Entry'!X86="","",'Supp. Result Entry'!X86)</f>
        <v/>
      </c>
      <c r="JB88" s="110" t="str">
        <f>IF('Supp. Result Entry'!AA86="","",'Supp. Result Entry'!AA86)</f>
        <v/>
      </c>
      <c r="JC88" s="110" t="str">
        <f>IF('Supp. Result Entry'!AD86="","",'Supp. Result Entry'!AD86)</f>
        <v/>
      </c>
      <c r="JD88" s="110" t="str">
        <f>IF('Supp. Result Entry'!AG86="","",'Supp. Result Entry'!AG86)</f>
        <v/>
      </c>
      <c r="JE88" s="110" t="str">
        <f>IF('Supp. Result Entry'!AJ86="","",'Supp. Result Entry'!AJ86)</f>
        <v/>
      </c>
      <c r="JF88" s="110" t="str">
        <f>IF('Supp. Result Entry'!AM86="","",'Supp. Result Entry'!AM86)</f>
        <v/>
      </c>
      <c r="JG88" s="110" t="str">
        <f>IF('Supp. Result Entry'!V86="","",'Supp. Result Entry'!V86)</f>
        <v/>
      </c>
      <c r="JH88" s="110" t="str">
        <f>IF('Supp. Result Entry'!Y86="","",'Supp. Result Entry'!Y86)</f>
        <v/>
      </c>
      <c r="JI88" s="110" t="str">
        <f>IF('Supp. Result Entry'!AB86="","",'Supp. Result Entry'!AB86)</f>
        <v/>
      </c>
      <c r="JJ88" s="110" t="str">
        <f>IF('Supp. Result Entry'!AE86="","",'Supp. Result Entry'!AE86)</f>
        <v/>
      </c>
      <c r="JK88" s="110" t="str">
        <f>IF('Supp. Result Entry'!AH86="","",'Supp. Result Entry'!AH86)</f>
        <v/>
      </c>
      <c r="JL88" s="110" t="str">
        <f>IF('Supp. Result Entry'!AK86="","",'Supp. Result Entry'!AK86)</f>
        <v/>
      </c>
      <c r="JM88" s="110" t="str">
        <f>IF('Supp. Result Entry'!AN86="","",'Supp. Result Entry'!AN86)</f>
        <v/>
      </c>
      <c r="JN88" s="110">
        <f>COUNTIF('Supp. Result Entry'!K86:Q86,"S")</f>
        <v>0</v>
      </c>
      <c r="JO88" s="110">
        <f t="shared" si="248"/>
        <v>0</v>
      </c>
      <c r="JP88" s="110">
        <f t="shared" si="325"/>
        <v>0</v>
      </c>
      <c r="JQ88" s="110" t="str">
        <f t="shared" si="249"/>
        <v/>
      </c>
      <c r="JR88" s="110" t="str">
        <f t="shared" si="250"/>
        <v/>
      </c>
      <c r="JS88" s="110" t="str">
        <f t="shared" si="251"/>
        <v/>
      </c>
      <c r="JT88" s="110" t="str">
        <f t="shared" si="252"/>
        <v/>
      </c>
      <c r="JU88" s="110" t="str">
        <f t="shared" si="253"/>
        <v/>
      </c>
      <c r="JV88" s="110" t="str">
        <f t="shared" si="254"/>
        <v/>
      </c>
      <c r="JW88" s="110" t="str">
        <f t="shared" si="255"/>
        <v/>
      </c>
      <c r="JX88" s="110" t="str">
        <f t="shared" si="326"/>
        <v/>
      </c>
      <c r="JY88" s="110" t="str">
        <f t="shared" si="327"/>
        <v/>
      </c>
      <c r="JZ88" s="110" t="str">
        <f t="shared" si="256"/>
        <v/>
      </c>
      <c r="KA88" s="108" t="str">
        <f t="shared" si="328"/>
        <v/>
      </c>
    </row>
    <row r="89" spans="1:287" s="108" customFormat="1" ht="21.95" customHeight="1">
      <c r="A89" s="89">
        <v>83</v>
      </c>
      <c r="B89" s="90" t="str">
        <f>IF('Marks Entry'!B89="","",'Marks Entry'!B89)</f>
        <v/>
      </c>
      <c r="C89" s="94" t="str">
        <f>IF('Marks Entry'!D89="","",'Marks Entry'!D89)</f>
        <v/>
      </c>
      <c r="D89" s="91" t="str">
        <f>IF('Marks Entry'!E89="","",'Marks Entry'!E89)</f>
        <v/>
      </c>
      <c r="E89" s="92" t="str">
        <f>IF('Marks Entry'!F89="","",'Marks Entry'!F89)</f>
        <v/>
      </c>
      <c r="F89" s="93" t="str">
        <f>IF('Marks Entry'!G89="","",'Marks Entry'!G89)</f>
        <v/>
      </c>
      <c r="G89" s="93" t="str">
        <f>IF('Marks Entry'!H89="","",'Marks Entry'!H89)</f>
        <v/>
      </c>
      <c r="H89" s="93" t="str">
        <f>IF('Marks Entry'!I89="","",'Marks Entry'!I89)</f>
        <v/>
      </c>
      <c r="I89" s="94" t="str">
        <f>IF('Marks Entry'!J89="","",'Marks Entry'!J89)</f>
        <v/>
      </c>
      <c r="J89" s="95" t="str">
        <f>IF('Marks Entry'!K89="","",'Marks Entry'!K89)</f>
        <v/>
      </c>
      <c r="K89" s="68" t="str">
        <f>IF('Marks Entry'!L89="","",'Marks Entry'!L89)</f>
        <v/>
      </c>
      <c r="L89" s="68" t="str">
        <f>IF('Marks Entry'!M89="","",'Marks Entry'!M89)</f>
        <v/>
      </c>
      <c r="M89" s="68" t="str">
        <f>IF('Marks Entry'!N89="","",'Marks Entry'!N89)</f>
        <v/>
      </c>
      <c r="N89" s="514" t="str">
        <f t="shared" si="257"/>
        <v/>
      </c>
      <c r="O89" s="68" t="str">
        <f>IF('Marks Entry'!O89="","",'Marks Entry'!O89)</f>
        <v/>
      </c>
      <c r="P89" s="515" t="str">
        <f t="shared" si="258"/>
        <v/>
      </c>
      <c r="Q89" s="68" t="str">
        <f>IF('Marks Entry'!P89="","",'Marks Entry'!P89)</f>
        <v/>
      </c>
      <c r="R89" s="96" t="str">
        <f t="shared" si="259"/>
        <v/>
      </c>
      <c r="S89" s="65">
        <f t="shared" si="260"/>
        <v>0</v>
      </c>
      <c r="T89" s="65">
        <f t="shared" si="261"/>
        <v>0</v>
      </c>
      <c r="U89" s="66" t="str">
        <f t="shared" si="171"/>
        <v/>
      </c>
      <c r="V89" s="65" t="str">
        <f t="shared" si="172"/>
        <v/>
      </c>
      <c r="W89" s="65" t="str">
        <f t="shared" si="262"/>
        <v/>
      </c>
      <c r="X89" s="65" t="str">
        <f t="shared" si="173"/>
        <v/>
      </c>
      <c r="Y89" s="68" t="str">
        <f>IF('Marks Entry'!Q89="","",'Marks Entry'!Q89)</f>
        <v/>
      </c>
      <c r="Z89" s="68" t="str">
        <f>IF('Marks Entry'!R89="","",'Marks Entry'!R89)</f>
        <v/>
      </c>
      <c r="AA89" s="68" t="str">
        <f>IF('Marks Entry'!S89="","",'Marks Entry'!S89)</f>
        <v/>
      </c>
      <c r="AB89" s="514" t="str">
        <f t="shared" si="174"/>
        <v/>
      </c>
      <c r="AC89" s="68" t="str">
        <f>IF('Marks Entry'!T89="","",'Marks Entry'!T89)</f>
        <v/>
      </c>
      <c r="AD89" s="515" t="str">
        <f t="shared" si="175"/>
        <v/>
      </c>
      <c r="AE89" s="68" t="str">
        <f>IF('Marks Entry'!U89="","",'Marks Entry'!U89)</f>
        <v/>
      </c>
      <c r="AF89" s="96" t="str">
        <f t="shared" si="176"/>
        <v/>
      </c>
      <c r="AG89" s="65">
        <f t="shared" si="177"/>
        <v>0</v>
      </c>
      <c r="AH89" s="65">
        <f t="shared" si="178"/>
        <v>0</v>
      </c>
      <c r="AI89" s="66" t="str">
        <f t="shared" si="179"/>
        <v/>
      </c>
      <c r="AJ89" s="65" t="str">
        <f t="shared" si="180"/>
        <v/>
      </c>
      <c r="AK89" s="65" t="str">
        <f t="shared" si="181"/>
        <v/>
      </c>
      <c r="AL89" s="65" t="str">
        <f t="shared" si="182"/>
        <v/>
      </c>
      <c r="AM89" s="524" t="str">
        <f>IF('Marks Entry'!V89="","",IF('Marks Entry'!V89=1,'School Profile'!$I$9,IF('Marks Entry'!V89=2,'School Profile'!$I$10,IF('Marks Entry'!V89=3,'School Profile'!$I$11,IF('Marks Entry'!V89=4,'School Profile'!$I$12,IF('Marks Entry'!V89=5,'School Profile'!$I$13,IF('Marks Entry'!V89=6,'School Profile'!$I$14,"")))))))</f>
        <v/>
      </c>
      <c r="AN89" s="68" t="str">
        <f>IF('Marks Entry'!W89="","",'Marks Entry'!W89)</f>
        <v/>
      </c>
      <c r="AO89" s="68" t="str">
        <f>IF('Marks Entry'!X89="","",'Marks Entry'!X89)</f>
        <v/>
      </c>
      <c r="AP89" s="68" t="str">
        <f>IF('Marks Entry'!Y89="","",'Marks Entry'!Y89)</f>
        <v/>
      </c>
      <c r="AQ89" s="514" t="str">
        <f t="shared" si="183"/>
        <v/>
      </c>
      <c r="AR89" s="68" t="str">
        <f>IF('Marks Entry'!Z89="","",'Marks Entry'!Z89)</f>
        <v/>
      </c>
      <c r="AS89" s="515" t="str">
        <f t="shared" si="184"/>
        <v/>
      </c>
      <c r="AT89" s="68" t="str">
        <f>IF('Marks Entry'!AA89="","",'Marks Entry'!AA89)</f>
        <v/>
      </c>
      <c r="AU89" s="96" t="str">
        <f t="shared" si="185"/>
        <v/>
      </c>
      <c r="AV89" s="65">
        <f t="shared" si="186"/>
        <v>0</v>
      </c>
      <c r="AW89" s="65">
        <f t="shared" si="187"/>
        <v>0</v>
      </c>
      <c r="AX89" s="66" t="str">
        <f t="shared" si="188"/>
        <v/>
      </c>
      <c r="AY89" s="65" t="str">
        <f t="shared" si="189"/>
        <v/>
      </c>
      <c r="AZ89" s="65" t="str">
        <f t="shared" si="190"/>
        <v/>
      </c>
      <c r="BA89" s="65" t="str">
        <f t="shared" si="191"/>
        <v/>
      </c>
      <c r="BB89" s="68" t="str">
        <f>IF('Marks Entry'!AB89="","",'Marks Entry'!AB89)</f>
        <v/>
      </c>
      <c r="BC89" s="68" t="str">
        <f>IF('Marks Entry'!AC89="","",'Marks Entry'!AC89)</f>
        <v/>
      </c>
      <c r="BD89" s="68" t="str">
        <f>IF('Marks Entry'!AD89="","",'Marks Entry'!AD89)</f>
        <v/>
      </c>
      <c r="BE89" s="514" t="str">
        <f t="shared" si="192"/>
        <v/>
      </c>
      <c r="BF89" s="68" t="str">
        <f>IF('Marks Entry'!AE89="","",'Marks Entry'!AE89)</f>
        <v/>
      </c>
      <c r="BG89" s="515" t="str">
        <f t="shared" si="193"/>
        <v/>
      </c>
      <c r="BH89" s="68" t="str">
        <f>IF('Marks Entry'!AF89="","",'Marks Entry'!AF89)</f>
        <v/>
      </c>
      <c r="BI89" s="96" t="str">
        <f t="shared" si="194"/>
        <v/>
      </c>
      <c r="BJ89" s="65">
        <f t="shared" si="195"/>
        <v>0</v>
      </c>
      <c r="BK89" s="65">
        <f t="shared" si="263"/>
        <v>0</v>
      </c>
      <c r="BL89" s="66" t="str">
        <f t="shared" si="196"/>
        <v/>
      </c>
      <c r="BM89" s="65" t="str">
        <f t="shared" si="197"/>
        <v/>
      </c>
      <c r="BN89" s="65" t="str">
        <f t="shared" si="198"/>
        <v/>
      </c>
      <c r="BO89" s="65" t="str">
        <f t="shared" si="199"/>
        <v/>
      </c>
      <c r="BP89" s="68" t="str">
        <f>IF('Marks Entry'!AG89="","",'Marks Entry'!AG89)</f>
        <v/>
      </c>
      <c r="BQ89" s="68" t="str">
        <f>IF('Marks Entry'!AH89="","",'Marks Entry'!AH89)</f>
        <v/>
      </c>
      <c r="BR89" s="68" t="str">
        <f>IF('Marks Entry'!AI89="","",'Marks Entry'!AI89)</f>
        <v/>
      </c>
      <c r="BS89" s="514" t="str">
        <f t="shared" si="200"/>
        <v/>
      </c>
      <c r="BT89" s="68" t="str">
        <f>IF('Marks Entry'!AJ89="","",'Marks Entry'!AJ89)</f>
        <v/>
      </c>
      <c r="BU89" s="515" t="str">
        <f t="shared" si="201"/>
        <v/>
      </c>
      <c r="BV89" s="68" t="str">
        <f>IF('Marks Entry'!AK89="","",'Marks Entry'!AK89)</f>
        <v/>
      </c>
      <c r="BW89" s="96" t="str">
        <f t="shared" si="202"/>
        <v/>
      </c>
      <c r="BX89" s="65">
        <f t="shared" si="203"/>
        <v>0</v>
      </c>
      <c r="BY89" s="65">
        <f t="shared" si="204"/>
        <v>0</v>
      </c>
      <c r="BZ89" s="66" t="str">
        <f t="shared" si="205"/>
        <v/>
      </c>
      <c r="CA89" s="65" t="str">
        <f t="shared" si="206"/>
        <v/>
      </c>
      <c r="CB89" s="65" t="str">
        <f t="shared" si="207"/>
        <v/>
      </c>
      <c r="CC89" s="65" t="str">
        <f t="shared" si="208"/>
        <v/>
      </c>
      <c r="CD89" s="66">
        <f t="shared" si="209"/>
        <v>0</v>
      </c>
      <c r="CE89" s="68" t="str">
        <f>IF('Marks Entry'!AL89="","",'Marks Entry'!AL89)</f>
        <v/>
      </c>
      <c r="CF89" s="68" t="str">
        <f>IF('Marks Entry'!AM89="","",'Marks Entry'!AM89)</f>
        <v/>
      </c>
      <c r="CG89" s="68" t="str">
        <f>IF('Marks Entry'!AN89="","",'Marks Entry'!AN89)</f>
        <v/>
      </c>
      <c r="CH89" s="514" t="str">
        <f t="shared" si="210"/>
        <v/>
      </c>
      <c r="CI89" s="68" t="str">
        <f>IF('Marks Entry'!AO89="","",'Marks Entry'!AO89)</f>
        <v/>
      </c>
      <c r="CJ89" s="515" t="str">
        <f t="shared" si="211"/>
        <v/>
      </c>
      <c r="CK89" s="68" t="str">
        <f>IF('Marks Entry'!AP89="","",'Marks Entry'!AP89)</f>
        <v/>
      </c>
      <c r="CL89" s="96" t="str">
        <f t="shared" si="212"/>
        <v/>
      </c>
      <c r="CM89" s="65">
        <f t="shared" si="213"/>
        <v>0</v>
      </c>
      <c r="CN89" s="65">
        <f t="shared" si="214"/>
        <v>0</v>
      </c>
      <c r="CO89" s="66" t="str">
        <f t="shared" si="215"/>
        <v/>
      </c>
      <c r="CP89" s="65" t="str">
        <f t="shared" si="216"/>
        <v/>
      </c>
      <c r="CQ89" s="65" t="str">
        <f t="shared" si="217"/>
        <v/>
      </c>
      <c r="CR89" s="65" t="str">
        <f t="shared" si="218"/>
        <v/>
      </c>
      <c r="CS89" s="616" t="str">
        <f>IF('School Profile'!$D$20="NO","",IF('Marks Entry'!AQ89="","",IF('Marks Entry'!AQ89=1,'School Profile'!$I$29,IF('Marks Entry'!AQ89=2,'School Profile'!$I$30,IF('Marks Entry'!AQ89=3,'School Profile'!$I$31,IF('Marks Entry'!AQ89=4,'School Profile'!$I$32,IF('Marks Entry'!AQ89=5,'School Profile'!$I$33,IF('Marks Entry'!AQ89=6,'School Profile'!$I$34,IF('Marks Entry'!AQ89=7,'School Profile'!$I$35,IF('Marks Entry'!AQ89=8,'School Profile'!$I$36,IF('Marks Entry'!AQ89=9,'School Profile'!$I$37,IF('Marks Entry'!AQ89=10,'School Profile'!$I$38,IF('Marks Entry'!AQ89=11,'School Profile'!$I$39,"")))))))))))))</f>
        <v/>
      </c>
      <c r="CT89" s="68" t="str">
        <f>IF('School Profile'!$D$20="NO","",IF('Marks Entry'!AR89="","",'Marks Entry'!AR89))</f>
        <v/>
      </c>
      <c r="CU89" s="68" t="str">
        <f>IF('School Profile'!$D$20="NO","",IF('Marks Entry'!AS89="","",'Marks Entry'!AS89))</f>
        <v/>
      </c>
      <c r="CV89" s="68" t="str">
        <f>IF('School Profile'!$D$20="NO","",IF('Marks Entry'!AT89="","",'Marks Entry'!AT89))</f>
        <v/>
      </c>
      <c r="CW89" s="514" t="str">
        <f>IF('School Profile'!$D$20="NO","",IF(AND(CT89="",CU89="",CV89=""),"",SUM(CT89:CV89)))</f>
        <v/>
      </c>
      <c r="CX89" s="68" t="str">
        <f>IF('School Profile'!$D$20="NO","",IF('Marks Entry'!AU89="","",'Marks Entry'!AU89))</f>
        <v/>
      </c>
      <c r="CY89" s="68" t="str">
        <f>IF('School Profile'!$D$20="NO","",IF('Marks Entry'!AV89="","",'Marks Entry'!AV89))</f>
        <v/>
      </c>
      <c r="CZ89" s="515" t="str">
        <f>IF('School Profile'!$D$20="NO","",IF(AND(CX89="",CY89=""),"",SUM(CX89,CY89)))</f>
        <v/>
      </c>
      <c r="DA89" s="69" t="str">
        <f>IF('School Profile'!$D$20="NO","",IF(AND(CW89="",CZ89=""),"",SUM(CW89+CZ89)))</f>
        <v/>
      </c>
      <c r="DB89" s="68" t="str">
        <f>IF('School Profile'!$D$20="NO","",IF('Marks Entry'!AW89="","",'Marks Entry'!AW89))</f>
        <v/>
      </c>
      <c r="DC89" s="68" t="str">
        <f>IF('School Profile'!$D$20="NO","",IF('Marks Entry'!AX89="","",'Marks Entry'!AX89))</f>
        <v/>
      </c>
      <c r="DD89" s="515" t="str">
        <f>IF('School Profile'!$D$20="NO","",IF(AND(DB89="",DC89=""),"",SUM(DB89,DC89)))</f>
        <v/>
      </c>
      <c r="DE89" s="96" t="str">
        <f>IF('School Profile'!$D$20="NO","",IF(AND(DA89="",DD89=""),"",SUM(DA89,DD89)))</f>
        <v/>
      </c>
      <c r="DF89" s="532">
        <f t="shared" si="219"/>
        <v>0</v>
      </c>
      <c r="DG89" s="65">
        <f t="shared" si="220"/>
        <v>0</v>
      </c>
      <c r="DH89" s="66" t="str">
        <f t="shared" si="221"/>
        <v/>
      </c>
      <c r="DI89" s="65" t="str">
        <f t="shared" si="222"/>
        <v/>
      </c>
      <c r="DJ89" s="65" t="str">
        <f t="shared" si="223"/>
        <v/>
      </c>
      <c r="DK89" s="65" t="str">
        <f t="shared" si="224"/>
        <v/>
      </c>
      <c r="DL89" s="97" t="str">
        <f t="shared" si="264"/>
        <v/>
      </c>
      <c r="DM89" s="97" t="str">
        <f t="shared" si="265"/>
        <v/>
      </c>
      <c r="DN89" s="97" t="str">
        <f t="shared" si="266"/>
        <v/>
      </c>
      <c r="DO89" s="97" t="str">
        <f t="shared" si="267"/>
        <v/>
      </c>
      <c r="DP89" s="97" t="str">
        <f t="shared" si="268"/>
        <v/>
      </c>
      <c r="DQ89" s="97" t="str">
        <f t="shared" si="269"/>
        <v/>
      </c>
      <c r="DR89" s="97" t="str">
        <f t="shared" si="270"/>
        <v/>
      </c>
      <c r="DS89" s="98">
        <f t="shared" si="271"/>
        <v>0</v>
      </c>
      <c r="DT89" s="98">
        <f t="shared" si="272"/>
        <v>0</v>
      </c>
      <c r="DU89" s="98">
        <f t="shared" si="273"/>
        <v>0</v>
      </c>
      <c r="DV89" s="98">
        <f t="shared" si="274"/>
        <v>0</v>
      </c>
      <c r="DW89" s="98">
        <f t="shared" si="275"/>
        <v>0</v>
      </c>
      <c r="DX89" s="98" t="str">
        <f t="shared" si="276"/>
        <v/>
      </c>
      <c r="DY89" s="99" t="str">
        <f t="shared" si="277"/>
        <v/>
      </c>
      <c r="DZ89" s="74" t="str">
        <f>IF('Marks Entry'!AY89="","",'Marks Entry'!AY89)</f>
        <v/>
      </c>
      <c r="EA89" s="74" t="str">
        <f>IF('Marks Entry'!AZ89="","",'Marks Entry'!AZ89)</f>
        <v/>
      </c>
      <c r="EB89" s="74" t="str">
        <f>IF('Marks Entry'!BA89="","",'Marks Entry'!BA89)</f>
        <v/>
      </c>
      <c r="EC89" s="527" t="str">
        <f t="shared" si="225"/>
        <v/>
      </c>
      <c r="ED89" s="74" t="str">
        <f>IF('Marks Entry'!BB89="","",'Marks Entry'!BB89)</f>
        <v/>
      </c>
      <c r="EE89" s="528" t="str">
        <f t="shared" si="226"/>
        <v/>
      </c>
      <c r="EF89" s="74" t="str">
        <f>IF('Marks Entry'!BC89="","",'Marks Entry'!BC89)</f>
        <v/>
      </c>
      <c r="EG89" s="530" t="str">
        <f t="shared" si="227"/>
        <v/>
      </c>
      <c r="EH89" s="368" t="str">
        <f t="shared" si="278"/>
        <v/>
      </c>
      <c r="EI89" s="65">
        <f t="shared" si="279"/>
        <v>0</v>
      </c>
      <c r="EJ89" s="65">
        <f t="shared" si="280"/>
        <v>0</v>
      </c>
      <c r="EK89" s="66" t="str">
        <f t="shared" si="281"/>
        <v/>
      </c>
      <c r="EL89" s="74" t="str">
        <f>IF('Marks Entry'!BD89="","",'Marks Entry'!BD89)</f>
        <v/>
      </c>
      <c r="EM89" s="74" t="str">
        <f>IF('Marks Entry'!BE89="","",'Marks Entry'!BE89)</f>
        <v/>
      </c>
      <c r="EN89" s="74" t="str">
        <f>IF('Marks Entry'!BF89="","",'Marks Entry'!BF89)</f>
        <v/>
      </c>
      <c r="EO89" s="527" t="str">
        <f t="shared" si="228"/>
        <v/>
      </c>
      <c r="EP89" s="74" t="str">
        <f>IF('Marks Entry'!BG89="","",'Marks Entry'!BG89)</f>
        <v/>
      </c>
      <c r="EQ89" s="74" t="str">
        <f>IF('Marks Entry'!BH89="","",'Marks Entry'!BH89)</f>
        <v/>
      </c>
      <c r="ER89" s="528" t="str">
        <f t="shared" si="229"/>
        <v/>
      </c>
      <c r="ES89" s="529" t="str">
        <f t="shared" si="230"/>
        <v/>
      </c>
      <c r="ET89" s="74" t="str">
        <f>IF('Marks Entry'!BI89="","",'Marks Entry'!BI89)</f>
        <v/>
      </c>
      <c r="EU89" s="74" t="str">
        <f>IF('Marks Entry'!BJ89="","",'Marks Entry'!BJ89)</f>
        <v/>
      </c>
      <c r="EV89" s="528" t="str">
        <f t="shared" si="231"/>
        <v/>
      </c>
      <c r="EW89" s="530" t="str">
        <f t="shared" si="232"/>
        <v/>
      </c>
      <c r="EX89" s="368" t="str">
        <f t="shared" si="282"/>
        <v/>
      </c>
      <c r="EY89" s="65">
        <f t="shared" si="283"/>
        <v>0</v>
      </c>
      <c r="EZ89" s="65">
        <f t="shared" si="284"/>
        <v>0</v>
      </c>
      <c r="FA89" s="66" t="str">
        <f t="shared" si="285"/>
        <v/>
      </c>
      <c r="FB89" s="74" t="str">
        <f>IF('Marks Entry'!BK89="","",'Marks Entry'!BK89)</f>
        <v/>
      </c>
      <c r="FC89" s="74" t="str">
        <f>IF('Marks Entry'!BL89="","",'Marks Entry'!BL89)</f>
        <v/>
      </c>
      <c r="FD89" s="74" t="str">
        <f>IF('Marks Entry'!BM89="","",'Marks Entry'!BM89)</f>
        <v/>
      </c>
      <c r="FE89" s="74" t="str">
        <f>IF('Marks Entry'!BN89="","",'Marks Entry'!BN89)</f>
        <v/>
      </c>
      <c r="FF89" s="74" t="str">
        <f>IF('Marks Entry'!BO89="","",'Marks Entry'!BO89)</f>
        <v/>
      </c>
      <c r="FG89" s="74" t="str">
        <f>IF('Marks Entry'!BP89="","",'Marks Entry'!BP89)</f>
        <v/>
      </c>
      <c r="FH89" s="527" t="str">
        <f t="shared" si="233"/>
        <v/>
      </c>
      <c r="FI89" s="74" t="str">
        <f>IF('Marks Entry'!BQ89="","",'Marks Entry'!BQ89)</f>
        <v/>
      </c>
      <c r="FJ89" s="74" t="str">
        <f>IF('Marks Entry'!BR89="","",'Marks Entry'!BR89)</f>
        <v/>
      </c>
      <c r="FK89" s="528" t="str">
        <f t="shared" si="234"/>
        <v/>
      </c>
      <c r="FL89" s="529" t="str">
        <f t="shared" si="235"/>
        <v/>
      </c>
      <c r="FM89" s="74" t="str">
        <f>IF('Marks Entry'!BS89="","",'Marks Entry'!BS89)</f>
        <v/>
      </c>
      <c r="FN89" s="74" t="str">
        <f>IF('Marks Entry'!BT89="","",'Marks Entry'!BT89)</f>
        <v/>
      </c>
      <c r="FO89" s="528" t="str">
        <f t="shared" si="236"/>
        <v/>
      </c>
      <c r="FP89" s="530" t="str">
        <f t="shared" si="237"/>
        <v/>
      </c>
      <c r="FQ89" s="368" t="str">
        <f t="shared" si="286"/>
        <v/>
      </c>
      <c r="FR89" s="65">
        <f t="shared" si="287"/>
        <v>0</v>
      </c>
      <c r="FS89" s="65">
        <f t="shared" si="288"/>
        <v>0</v>
      </c>
      <c r="FT89" s="66" t="str">
        <f t="shared" si="289"/>
        <v/>
      </c>
      <c r="FU89" s="74" t="str">
        <f>IF('Marks Entry'!BU89="","",'Marks Entry'!BU89)</f>
        <v/>
      </c>
      <c r="FV89" s="74" t="str">
        <f>IF('Marks Entry'!BV89="","",'Marks Entry'!BV89)</f>
        <v/>
      </c>
      <c r="FW89" s="74" t="str">
        <f>IF('Marks Entry'!BW89="","",'Marks Entry'!BW89)</f>
        <v/>
      </c>
      <c r="FX89" s="75" t="str">
        <f t="shared" si="238"/>
        <v/>
      </c>
      <c r="FY89" s="368" t="str">
        <f t="shared" si="290"/>
        <v/>
      </c>
      <c r="FZ89" s="65">
        <f t="shared" si="291"/>
        <v>0</v>
      </c>
      <c r="GA89" s="66">
        <f t="shared" si="292"/>
        <v>0</v>
      </c>
      <c r="GB89" s="66" t="str">
        <f t="shared" si="293"/>
        <v/>
      </c>
      <c r="GC89" s="74" t="str">
        <f>IF('Marks Entry'!BX89="","",'Marks Entry'!BX89)</f>
        <v/>
      </c>
      <c r="GD89" s="74" t="str">
        <f>IF('Marks Entry'!BY89="","",'Marks Entry'!BY89)</f>
        <v/>
      </c>
      <c r="GE89" s="74" t="str">
        <f>IF('Marks Entry'!BZ89="","",'Marks Entry'!BZ89)</f>
        <v/>
      </c>
      <c r="GF89" s="75" t="str">
        <f t="shared" si="294"/>
        <v/>
      </c>
      <c r="GG89" s="368" t="str">
        <f t="shared" si="295"/>
        <v/>
      </c>
      <c r="GH89" s="65">
        <f t="shared" si="296"/>
        <v>0</v>
      </c>
      <c r="GI89" s="66">
        <f t="shared" si="297"/>
        <v>0</v>
      </c>
      <c r="GJ89" s="66" t="str">
        <f t="shared" si="298"/>
        <v/>
      </c>
      <c r="GK89" s="100" t="str">
        <f>IF(AND(F89="",B89=""),"",IF('Student DATA Entry'!M86="","",'Student DATA Entry'!M86))</f>
        <v/>
      </c>
      <c r="GL89" s="101" t="str">
        <f>IF(AND(B89="",F89=""),"",IF('Student DATA Entry'!N86="","",'Student DATA Entry'!N86))</f>
        <v/>
      </c>
      <c r="GM89" s="581" t="str">
        <f t="shared" si="299"/>
        <v/>
      </c>
      <c r="GN89" s="94" t="str">
        <f t="shared" si="300"/>
        <v/>
      </c>
      <c r="GO89" s="94" t="str">
        <f t="shared" si="301"/>
        <v/>
      </c>
      <c r="GP89" s="102" t="str">
        <f t="shared" si="239"/>
        <v/>
      </c>
      <c r="GQ89" s="94" t="str">
        <f t="shared" si="302"/>
        <v/>
      </c>
      <c r="GR89" s="103" t="str">
        <f t="shared" si="303"/>
        <v/>
      </c>
      <c r="GS89" s="102" t="str">
        <f t="shared" si="240"/>
        <v/>
      </c>
      <c r="GT89" s="104" t="str">
        <f t="shared" si="304"/>
        <v/>
      </c>
      <c r="GU89" s="94" t="str">
        <f>IF('Marks Entry'!V89=1,GT89,"")</f>
        <v/>
      </c>
      <c r="GV89" s="94" t="str">
        <f>IF('Marks Entry'!V89=2,GT89,"")</f>
        <v/>
      </c>
      <c r="GW89" s="94" t="str">
        <f>IF('Marks Entry'!V89=3,GT89,"")</f>
        <v/>
      </c>
      <c r="GX89" s="94" t="str">
        <f>IF('Marks Entry'!V89=4,GT89,"")</f>
        <v/>
      </c>
      <c r="GY89" s="94" t="str">
        <f>IF('Marks Entry'!V89=5,GT89,"")</f>
        <v/>
      </c>
      <c r="GZ89" s="94" t="str">
        <f t="shared" si="305"/>
        <v/>
      </c>
      <c r="HA89" s="105" t="str">
        <f t="shared" si="241"/>
        <v/>
      </c>
      <c r="HB89" s="94" t="str">
        <f t="shared" si="306"/>
        <v/>
      </c>
      <c r="HC89" s="94" t="str">
        <f t="shared" si="307"/>
        <v/>
      </c>
      <c r="HD89" s="105" t="str">
        <f t="shared" si="242"/>
        <v/>
      </c>
      <c r="HE89" s="94" t="str">
        <f t="shared" si="308"/>
        <v/>
      </c>
      <c r="HF89" s="94" t="str">
        <f t="shared" si="309"/>
        <v/>
      </c>
      <c r="HG89" s="105" t="str">
        <f t="shared" si="243"/>
        <v/>
      </c>
      <c r="HH89" s="94" t="str">
        <f t="shared" si="310"/>
        <v/>
      </c>
      <c r="HI89" s="94" t="str">
        <f t="shared" si="311"/>
        <v/>
      </c>
      <c r="HJ89" s="105" t="str">
        <f t="shared" si="244"/>
        <v/>
      </c>
      <c r="HK89" s="94" t="str">
        <f t="shared" si="312"/>
        <v/>
      </c>
      <c r="HL89" s="94" t="str">
        <f t="shared" si="313"/>
        <v/>
      </c>
      <c r="HM89" s="105" t="str">
        <f t="shared" si="245"/>
        <v/>
      </c>
      <c r="HN89" s="367" t="str">
        <f t="shared" si="314"/>
        <v xml:space="preserve">      </v>
      </c>
      <c r="HO89" s="418" t="str">
        <f t="shared" si="246"/>
        <v xml:space="preserve">      </v>
      </c>
      <c r="HP89" s="367" t="str">
        <f t="shared" si="315"/>
        <v xml:space="preserve">      </v>
      </c>
      <c r="HQ89" s="107" t="str">
        <f t="shared" si="316"/>
        <v xml:space="preserve">      </v>
      </c>
      <c r="HR89" s="366" t="str">
        <f t="shared" si="317"/>
        <v xml:space="preserve">      </v>
      </c>
      <c r="HS89" s="544" t="str">
        <f t="shared" si="247"/>
        <v/>
      </c>
      <c r="HT89" s="542" t="str">
        <f t="shared" si="318"/>
        <v/>
      </c>
      <c r="HU89" s="541" t="str">
        <f t="shared" si="319"/>
        <v/>
      </c>
      <c r="HV89" s="540" t="str">
        <f t="shared" si="320"/>
        <v/>
      </c>
      <c r="HW89" s="537" t="str">
        <f t="shared" si="321"/>
        <v/>
      </c>
      <c r="HX89" s="539" t="str">
        <f t="shared" si="322"/>
        <v/>
      </c>
      <c r="HY89" s="553" t="str">
        <f>IFERROR(IF(OR(HS89="SUPPLEMENTARY",HS89="RE-EXAM"),'Supp. Result Entry'!AQ87,""),"")</f>
        <v/>
      </c>
      <c r="HZ89" s="538" t="str">
        <f t="shared" si="323"/>
        <v/>
      </c>
      <c r="IA89" s="415" t="str">
        <f t="shared" si="324"/>
        <v/>
      </c>
      <c r="IB89" s="415" t="str">
        <f>IF(AND(HZ89="",IA89=""),"",IF(OR(HS89="SUPPLEMENTARY",HS89="RE-EXAM"),'Supp. Result Entry'!AQ87,HS89))</f>
        <v/>
      </c>
      <c r="IC89" s="87"/>
      <c r="IS89" s="109" t="str">
        <f>IF('Supp. Result Entry'!T87="","",'Supp. Result Entry'!$T$4)</f>
        <v/>
      </c>
      <c r="IT89" s="110" t="str">
        <f>IF('Supp. Result Entry'!W87="","",'Supp. Result Entry'!$W$4)</f>
        <v/>
      </c>
      <c r="IU89" s="110" t="str">
        <f>IF('Supp. Result Entry'!Z87="","",'Supp. Result Entry'!$Z$4)</f>
        <v/>
      </c>
      <c r="IV89" s="110" t="str">
        <f>IF('Supp. Result Entry'!AC87="","",'Supp. Result Entry'!$AC$4)</f>
        <v/>
      </c>
      <c r="IW89" s="110" t="str">
        <f>IF('Supp. Result Entry'!AF87="","",'Supp. Result Entry'!$AF$4)</f>
        <v/>
      </c>
      <c r="IX89" s="110" t="str">
        <f>IF('Supp. Result Entry'!AI87="","",'Supp. Result Entry'!$AI$4)</f>
        <v/>
      </c>
      <c r="IY89" s="110" t="str">
        <f>IF('Supp. Result Entry'!AI87="","",'Supp. Result Entry'!$AL$4)</f>
        <v/>
      </c>
      <c r="IZ89" s="110" t="str">
        <f>IF('Supp. Result Entry'!U87="","",'Supp. Result Entry'!U87)</f>
        <v/>
      </c>
      <c r="JA89" s="110" t="str">
        <f>IF('Supp. Result Entry'!X87="","",'Supp. Result Entry'!X87)</f>
        <v/>
      </c>
      <c r="JB89" s="110" t="str">
        <f>IF('Supp. Result Entry'!AA87="","",'Supp. Result Entry'!AA87)</f>
        <v/>
      </c>
      <c r="JC89" s="110" t="str">
        <f>IF('Supp. Result Entry'!AD87="","",'Supp. Result Entry'!AD87)</f>
        <v/>
      </c>
      <c r="JD89" s="110" t="str">
        <f>IF('Supp. Result Entry'!AG87="","",'Supp. Result Entry'!AG87)</f>
        <v/>
      </c>
      <c r="JE89" s="110" t="str">
        <f>IF('Supp. Result Entry'!AJ87="","",'Supp. Result Entry'!AJ87)</f>
        <v/>
      </c>
      <c r="JF89" s="110" t="str">
        <f>IF('Supp. Result Entry'!AM87="","",'Supp. Result Entry'!AM87)</f>
        <v/>
      </c>
      <c r="JG89" s="110" t="str">
        <f>IF('Supp. Result Entry'!V87="","",'Supp. Result Entry'!V87)</f>
        <v/>
      </c>
      <c r="JH89" s="110" t="str">
        <f>IF('Supp. Result Entry'!Y87="","",'Supp. Result Entry'!Y87)</f>
        <v/>
      </c>
      <c r="JI89" s="110" t="str">
        <f>IF('Supp. Result Entry'!AB87="","",'Supp. Result Entry'!AB87)</f>
        <v/>
      </c>
      <c r="JJ89" s="110" t="str">
        <f>IF('Supp. Result Entry'!AE87="","",'Supp. Result Entry'!AE87)</f>
        <v/>
      </c>
      <c r="JK89" s="110" t="str">
        <f>IF('Supp. Result Entry'!AH87="","",'Supp. Result Entry'!AH87)</f>
        <v/>
      </c>
      <c r="JL89" s="110" t="str">
        <f>IF('Supp. Result Entry'!AK87="","",'Supp. Result Entry'!AK87)</f>
        <v/>
      </c>
      <c r="JM89" s="110" t="str">
        <f>IF('Supp. Result Entry'!AN87="","",'Supp. Result Entry'!AN87)</f>
        <v/>
      </c>
      <c r="JN89" s="110">
        <f>COUNTIF('Supp. Result Entry'!K87:Q87,"S")</f>
        <v>0</v>
      </c>
      <c r="JO89" s="110">
        <f t="shared" si="248"/>
        <v>0</v>
      </c>
      <c r="JP89" s="110">
        <f t="shared" si="325"/>
        <v>0</v>
      </c>
      <c r="JQ89" s="110" t="str">
        <f t="shared" si="249"/>
        <v/>
      </c>
      <c r="JR89" s="110" t="str">
        <f t="shared" si="250"/>
        <v/>
      </c>
      <c r="JS89" s="110" t="str">
        <f t="shared" si="251"/>
        <v/>
      </c>
      <c r="JT89" s="110" t="str">
        <f t="shared" si="252"/>
        <v/>
      </c>
      <c r="JU89" s="110" t="str">
        <f t="shared" si="253"/>
        <v/>
      </c>
      <c r="JV89" s="110" t="str">
        <f t="shared" si="254"/>
        <v/>
      </c>
      <c r="JW89" s="110" t="str">
        <f t="shared" si="255"/>
        <v/>
      </c>
      <c r="JX89" s="110" t="str">
        <f t="shared" si="326"/>
        <v/>
      </c>
      <c r="JY89" s="110" t="str">
        <f t="shared" si="327"/>
        <v/>
      </c>
      <c r="JZ89" s="110" t="str">
        <f t="shared" si="256"/>
        <v/>
      </c>
      <c r="KA89" s="108" t="str">
        <f t="shared" si="328"/>
        <v/>
      </c>
    </row>
    <row r="90" spans="1:287" s="108" customFormat="1" ht="21.95" customHeight="1">
      <c r="A90" s="89">
        <v>84</v>
      </c>
      <c r="B90" s="90" t="str">
        <f>IF('Marks Entry'!B90="","",'Marks Entry'!B90)</f>
        <v/>
      </c>
      <c r="C90" s="94" t="str">
        <f>IF('Marks Entry'!D90="","",'Marks Entry'!D90)</f>
        <v/>
      </c>
      <c r="D90" s="91" t="str">
        <f>IF('Marks Entry'!E90="","",'Marks Entry'!E90)</f>
        <v/>
      </c>
      <c r="E90" s="92" t="str">
        <f>IF('Marks Entry'!F90="","",'Marks Entry'!F90)</f>
        <v/>
      </c>
      <c r="F90" s="93" t="str">
        <f>IF('Marks Entry'!G90="","",'Marks Entry'!G90)</f>
        <v/>
      </c>
      <c r="G90" s="93" t="str">
        <f>IF('Marks Entry'!H90="","",'Marks Entry'!H90)</f>
        <v/>
      </c>
      <c r="H90" s="93" t="str">
        <f>IF('Marks Entry'!I90="","",'Marks Entry'!I90)</f>
        <v/>
      </c>
      <c r="I90" s="94" t="str">
        <f>IF('Marks Entry'!J90="","",'Marks Entry'!J90)</f>
        <v/>
      </c>
      <c r="J90" s="95" t="str">
        <f>IF('Marks Entry'!K90="","",'Marks Entry'!K90)</f>
        <v/>
      </c>
      <c r="K90" s="68" t="str">
        <f>IF('Marks Entry'!L90="","",'Marks Entry'!L90)</f>
        <v/>
      </c>
      <c r="L90" s="68" t="str">
        <f>IF('Marks Entry'!M90="","",'Marks Entry'!M90)</f>
        <v/>
      </c>
      <c r="M90" s="68" t="str">
        <f>IF('Marks Entry'!N90="","",'Marks Entry'!N90)</f>
        <v/>
      </c>
      <c r="N90" s="514" t="str">
        <f t="shared" si="257"/>
        <v/>
      </c>
      <c r="O90" s="68" t="str">
        <f>IF('Marks Entry'!O90="","",'Marks Entry'!O90)</f>
        <v/>
      </c>
      <c r="P90" s="515" t="str">
        <f t="shared" si="258"/>
        <v/>
      </c>
      <c r="Q90" s="68" t="str">
        <f>IF('Marks Entry'!P90="","",'Marks Entry'!P90)</f>
        <v/>
      </c>
      <c r="R90" s="96" t="str">
        <f t="shared" si="259"/>
        <v/>
      </c>
      <c r="S90" s="65">
        <f t="shared" si="260"/>
        <v>0</v>
      </c>
      <c r="T90" s="65">
        <f t="shared" si="261"/>
        <v>0</v>
      </c>
      <c r="U90" s="66" t="str">
        <f t="shared" si="171"/>
        <v/>
      </c>
      <c r="V90" s="65" t="str">
        <f t="shared" si="172"/>
        <v/>
      </c>
      <c r="W90" s="65" t="str">
        <f t="shared" si="262"/>
        <v/>
      </c>
      <c r="X90" s="65" t="str">
        <f t="shared" si="173"/>
        <v/>
      </c>
      <c r="Y90" s="68" t="str">
        <f>IF('Marks Entry'!Q90="","",'Marks Entry'!Q90)</f>
        <v/>
      </c>
      <c r="Z90" s="68" t="str">
        <f>IF('Marks Entry'!R90="","",'Marks Entry'!R90)</f>
        <v/>
      </c>
      <c r="AA90" s="68" t="str">
        <f>IF('Marks Entry'!S90="","",'Marks Entry'!S90)</f>
        <v/>
      </c>
      <c r="AB90" s="514" t="str">
        <f t="shared" si="174"/>
        <v/>
      </c>
      <c r="AC90" s="68" t="str">
        <f>IF('Marks Entry'!T90="","",'Marks Entry'!T90)</f>
        <v/>
      </c>
      <c r="AD90" s="515" t="str">
        <f t="shared" si="175"/>
        <v/>
      </c>
      <c r="AE90" s="68" t="str">
        <f>IF('Marks Entry'!U90="","",'Marks Entry'!U90)</f>
        <v/>
      </c>
      <c r="AF90" s="96" t="str">
        <f t="shared" si="176"/>
        <v/>
      </c>
      <c r="AG90" s="65">
        <f t="shared" si="177"/>
        <v>0</v>
      </c>
      <c r="AH90" s="65">
        <f t="shared" si="178"/>
        <v>0</v>
      </c>
      <c r="AI90" s="66" t="str">
        <f t="shared" si="179"/>
        <v/>
      </c>
      <c r="AJ90" s="65" t="str">
        <f t="shared" si="180"/>
        <v/>
      </c>
      <c r="AK90" s="65" t="str">
        <f t="shared" si="181"/>
        <v/>
      </c>
      <c r="AL90" s="65" t="str">
        <f t="shared" si="182"/>
        <v/>
      </c>
      <c r="AM90" s="524" t="str">
        <f>IF('Marks Entry'!V90="","",IF('Marks Entry'!V90=1,'School Profile'!$I$9,IF('Marks Entry'!V90=2,'School Profile'!$I$10,IF('Marks Entry'!V90=3,'School Profile'!$I$11,IF('Marks Entry'!V90=4,'School Profile'!$I$12,IF('Marks Entry'!V90=5,'School Profile'!$I$13,IF('Marks Entry'!V90=6,'School Profile'!$I$14,"")))))))</f>
        <v/>
      </c>
      <c r="AN90" s="68" t="str">
        <f>IF('Marks Entry'!W90="","",'Marks Entry'!W90)</f>
        <v/>
      </c>
      <c r="AO90" s="68" t="str">
        <f>IF('Marks Entry'!X90="","",'Marks Entry'!X90)</f>
        <v/>
      </c>
      <c r="AP90" s="68" t="str">
        <f>IF('Marks Entry'!Y90="","",'Marks Entry'!Y90)</f>
        <v/>
      </c>
      <c r="AQ90" s="514" t="str">
        <f t="shared" si="183"/>
        <v/>
      </c>
      <c r="AR90" s="68" t="str">
        <f>IF('Marks Entry'!Z90="","",'Marks Entry'!Z90)</f>
        <v/>
      </c>
      <c r="AS90" s="515" t="str">
        <f t="shared" si="184"/>
        <v/>
      </c>
      <c r="AT90" s="68" t="str">
        <f>IF('Marks Entry'!AA90="","",'Marks Entry'!AA90)</f>
        <v/>
      </c>
      <c r="AU90" s="96" t="str">
        <f t="shared" si="185"/>
        <v/>
      </c>
      <c r="AV90" s="65">
        <f t="shared" si="186"/>
        <v>0</v>
      </c>
      <c r="AW90" s="65">
        <f t="shared" si="187"/>
        <v>0</v>
      </c>
      <c r="AX90" s="66" t="str">
        <f t="shared" si="188"/>
        <v/>
      </c>
      <c r="AY90" s="65" t="str">
        <f t="shared" si="189"/>
        <v/>
      </c>
      <c r="AZ90" s="65" t="str">
        <f t="shared" si="190"/>
        <v/>
      </c>
      <c r="BA90" s="65" t="str">
        <f t="shared" si="191"/>
        <v/>
      </c>
      <c r="BB90" s="68" t="str">
        <f>IF('Marks Entry'!AB90="","",'Marks Entry'!AB90)</f>
        <v/>
      </c>
      <c r="BC90" s="68" t="str">
        <f>IF('Marks Entry'!AC90="","",'Marks Entry'!AC90)</f>
        <v/>
      </c>
      <c r="BD90" s="68" t="str">
        <f>IF('Marks Entry'!AD90="","",'Marks Entry'!AD90)</f>
        <v/>
      </c>
      <c r="BE90" s="514" t="str">
        <f t="shared" si="192"/>
        <v/>
      </c>
      <c r="BF90" s="68" t="str">
        <f>IF('Marks Entry'!AE90="","",'Marks Entry'!AE90)</f>
        <v/>
      </c>
      <c r="BG90" s="515" t="str">
        <f t="shared" si="193"/>
        <v/>
      </c>
      <c r="BH90" s="68" t="str">
        <f>IF('Marks Entry'!AF90="","",'Marks Entry'!AF90)</f>
        <v/>
      </c>
      <c r="BI90" s="96" t="str">
        <f t="shared" si="194"/>
        <v/>
      </c>
      <c r="BJ90" s="65">
        <f t="shared" si="195"/>
        <v>0</v>
      </c>
      <c r="BK90" s="65">
        <f t="shared" si="263"/>
        <v>0</v>
      </c>
      <c r="BL90" s="66" t="str">
        <f t="shared" si="196"/>
        <v/>
      </c>
      <c r="BM90" s="65" t="str">
        <f t="shared" si="197"/>
        <v/>
      </c>
      <c r="BN90" s="65" t="str">
        <f t="shared" si="198"/>
        <v/>
      </c>
      <c r="BO90" s="65" t="str">
        <f t="shared" si="199"/>
        <v/>
      </c>
      <c r="BP90" s="68" t="str">
        <f>IF('Marks Entry'!AG90="","",'Marks Entry'!AG90)</f>
        <v/>
      </c>
      <c r="BQ90" s="68" t="str">
        <f>IF('Marks Entry'!AH90="","",'Marks Entry'!AH90)</f>
        <v/>
      </c>
      <c r="BR90" s="68" t="str">
        <f>IF('Marks Entry'!AI90="","",'Marks Entry'!AI90)</f>
        <v/>
      </c>
      <c r="BS90" s="514" t="str">
        <f t="shared" si="200"/>
        <v/>
      </c>
      <c r="BT90" s="68" t="str">
        <f>IF('Marks Entry'!AJ90="","",'Marks Entry'!AJ90)</f>
        <v/>
      </c>
      <c r="BU90" s="515" t="str">
        <f t="shared" si="201"/>
        <v/>
      </c>
      <c r="BV90" s="68" t="str">
        <f>IF('Marks Entry'!AK90="","",'Marks Entry'!AK90)</f>
        <v/>
      </c>
      <c r="BW90" s="96" t="str">
        <f t="shared" si="202"/>
        <v/>
      </c>
      <c r="BX90" s="65">
        <f t="shared" si="203"/>
        <v>0</v>
      </c>
      <c r="BY90" s="65">
        <f t="shared" si="204"/>
        <v>0</v>
      </c>
      <c r="BZ90" s="66" t="str">
        <f t="shared" si="205"/>
        <v/>
      </c>
      <c r="CA90" s="65" t="str">
        <f t="shared" si="206"/>
        <v/>
      </c>
      <c r="CB90" s="65" t="str">
        <f t="shared" si="207"/>
        <v/>
      </c>
      <c r="CC90" s="65" t="str">
        <f t="shared" si="208"/>
        <v/>
      </c>
      <c r="CD90" s="66">
        <f t="shared" si="209"/>
        <v>0</v>
      </c>
      <c r="CE90" s="68" t="str">
        <f>IF('Marks Entry'!AL90="","",'Marks Entry'!AL90)</f>
        <v/>
      </c>
      <c r="CF90" s="68" t="str">
        <f>IF('Marks Entry'!AM90="","",'Marks Entry'!AM90)</f>
        <v/>
      </c>
      <c r="CG90" s="68" t="str">
        <f>IF('Marks Entry'!AN90="","",'Marks Entry'!AN90)</f>
        <v/>
      </c>
      <c r="CH90" s="514" t="str">
        <f t="shared" si="210"/>
        <v/>
      </c>
      <c r="CI90" s="68" t="str">
        <f>IF('Marks Entry'!AO90="","",'Marks Entry'!AO90)</f>
        <v/>
      </c>
      <c r="CJ90" s="515" t="str">
        <f t="shared" si="211"/>
        <v/>
      </c>
      <c r="CK90" s="68" t="str">
        <f>IF('Marks Entry'!AP90="","",'Marks Entry'!AP90)</f>
        <v/>
      </c>
      <c r="CL90" s="96" t="str">
        <f t="shared" si="212"/>
        <v/>
      </c>
      <c r="CM90" s="65">
        <f t="shared" si="213"/>
        <v>0</v>
      </c>
      <c r="CN90" s="65">
        <f t="shared" si="214"/>
        <v>0</v>
      </c>
      <c r="CO90" s="66" t="str">
        <f t="shared" si="215"/>
        <v/>
      </c>
      <c r="CP90" s="65" t="str">
        <f t="shared" si="216"/>
        <v/>
      </c>
      <c r="CQ90" s="65" t="str">
        <f t="shared" si="217"/>
        <v/>
      </c>
      <c r="CR90" s="65" t="str">
        <f t="shared" si="218"/>
        <v/>
      </c>
      <c r="CS90" s="616" t="str">
        <f>IF('School Profile'!$D$20="NO","",IF('Marks Entry'!AQ90="","",IF('Marks Entry'!AQ90=1,'School Profile'!$I$29,IF('Marks Entry'!AQ90=2,'School Profile'!$I$30,IF('Marks Entry'!AQ90=3,'School Profile'!$I$31,IF('Marks Entry'!AQ90=4,'School Profile'!$I$32,IF('Marks Entry'!AQ90=5,'School Profile'!$I$33,IF('Marks Entry'!AQ90=6,'School Profile'!$I$34,IF('Marks Entry'!AQ90=7,'School Profile'!$I$35,IF('Marks Entry'!AQ90=8,'School Profile'!$I$36,IF('Marks Entry'!AQ90=9,'School Profile'!$I$37,IF('Marks Entry'!AQ90=10,'School Profile'!$I$38,IF('Marks Entry'!AQ90=11,'School Profile'!$I$39,"")))))))))))))</f>
        <v/>
      </c>
      <c r="CT90" s="68" t="str">
        <f>IF('School Profile'!$D$20="NO","",IF('Marks Entry'!AR90="","",'Marks Entry'!AR90))</f>
        <v/>
      </c>
      <c r="CU90" s="68" t="str">
        <f>IF('School Profile'!$D$20="NO","",IF('Marks Entry'!AS90="","",'Marks Entry'!AS90))</f>
        <v/>
      </c>
      <c r="CV90" s="68" t="str">
        <f>IF('School Profile'!$D$20="NO","",IF('Marks Entry'!AT90="","",'Marks Entry'!AT90))</f>
        <v/>
      </c>
      <c r="CW90" s="514" t="str">
        <f>IF('School Profile'!$D$20="NO","",IF(AND(CT90="",CU90="",CV90=""),"",SUM(CT90:CV90)))</f>
        <v/>
      </c>
      <c r="CX90" s="68" t="str">
        <f>IF('School Profile'!$D$20="NO","",IF('Marks Entry'!AU90="","",'Marks Entry'!AU90))</f>
        <v/>
      </c>
      <c r="CY90" s="68" t="str">
        <f>IF('School Profile'!$D$20="NO","",IF('Marks Entry'!AV90="","",'Marks Entry'!AV90))</f>
        <v/>
      </c>
      <c r="CZ90" s="515" t="str">
        <f>IF('School Profile'!$D$20="NO","",IF(AND(CX90="",CY90=""),"",SUM(CX90,CY90)))</f>
        <v/>
      </c>
      <c r="DA90" s="69" t="str">
        <f>IF('School Profile'!$D$20="NO","",IF(AND(CW90="",CZ90=""),"",SUM(CW90+CZ90)))</f>
        <v/>
      </c>
      <c r="DB90" s="68" t="str">
        <f>IF('School Profile'!$D$20="NO","",IF('Marks Entry'!AW90="","",'Marks Entry'!AW90))</f>
        <v/>
      </c>
      <c r="DC90" s="68" t="str">
        <f>IF('School Profile'!$D$20="NO","",IF('Marks Entry'!AX90="","",'Marks Entry'!AX90))</f>
        <v/>
      </c>
      <c r="DD90" s="515" t="str">
        <f>IF('School Profile'!$D$20="NO","",IF(AND(DB90="",DC90=""),"",SUM(DB90,DC90)))</f>
        <v/>
      </c>
      <c r="DE90" s="96" t="str">
        <f>IF('School Profile'!$D$20="NO","",IF(AND(DA90="",DD90=""),"",SUM(DA90,DD90)))</f>
        <v/>
      </c>
      <c r="DF90" s="532">
        <f t="shared" si="219"/>
        <v>0</v>
      </c>
      <c r="DG90" s="65">
        <f t="shared" si="220"/>
        <v>0</v>
      </c>
      <c r="DH90" s="66" t="str">
        <f t="shared" si="221"/>
        <v/>
      </c>
      <c r="DI90" s="65" t="str">
        <f t="shared" si="222"/>
        <v/>
      </c>
      <c r="DJ90" s="65" t="str">
        <f t="shared" si="223"/>
        <v/>
      </c>
      <c r="DK90" s="65" t="str">
        <f t="shared" si="224"/>
        <v/>
      </c>
      <c r="DL90" s="97" t="str">
        <f t="shared" si="264"/>
        <v/>
      </c>
      <c r="DM90" s="97" t="str">
        <f t="shared" si="265"/>
        <v/>
      </c>
      <c r="DN90" s="97" t="str">
        <f t="shared" si="266"/>
        <v/>
      </c>
      <c r="DO90" s="97" t="str">
        <f t="shared" si="267"/>
        <v/>
      </c>
      <c r="DP90" s="97" t="str">
        <f t="shared" si="268"/>
        <v/>
      </c>
      <c r="DQ90" s="97" t="str">
        <f t="shared" si="269"/>
        <v/>
      </c>
      <c r="DR90" s="97" t="str">
        <f t="shared" si="270"/>
        <v/>
      </c>
      <c r="DS90" s="98">
        <f t="shared" si="271"/>
        <v>0</v>
      </c>
      <c r="DT90" s="98">
        <f t="shared" si="272"/>
        <v>0</v>
      </c>
      <c r="DU90" s="98">
        <f t="shared" si="273"/>
        <v>0</v>
      </c>
      <c r="DV90" s="98">
        <f t="shared" si="274"/>
        <v>0</v>
      </c>
      <c r="DW90" s="98">
        <f t="shared" si="275"/>
        <v>0</v>
      </c>
      <c r="DX90" s="98" t="str">
        <f t="shared" si="276"/>
        <v/>
      </c>
      <c r="DY90" s="99" t="str">
        <f t="shared" si="277"/>
        <v/>
      </c>
      <c r="DZ90" s="74" t="str">
        <f>IF('Marks Entry'!AY90="","",'Marks Entry'!AY90)</f>
        <v/>
      </c>
      <c r="EA90" s="74" t="str">
        <f>IF('Marks Entry'!AZ90="","",'Marks Entry'!AZ90)</f>
        <v/>
      </c>
      <c r="EB90" s="74" t="str">
        <f>IF('Marks Entry'!BA90="","",'Marks Entry'!BA90)</f>
        <v/>
      </c>
      <c r="EC90" s="527" t="str">
        <f t="shared" si="225"/>
        <v/>
      </c>
      <c r="ED90" s="74" t="str">
        <f>IF('Marks Entry'!BB90="","",'Marks Entry'!BB90)</f>
        <v/>
      </c>
      <c r="EE90" s="528" t="str">
        <f t="shared" si="226"/>
        <v/>
      </c>
      <c r="EF90" s="74" t="str">
        <f>IF('Marks Entry'!BC90="","",'Marks Entry'!BC90)</f>
        <v/>
      </c>
      <c r="EG90" s="530" t="str">
        <f t="shared" si="227"/>
        <v/>
      </c>
      <c r="EH90" s="368" t="str">
        <f t="shared" si="278"/>
        <v/>
      </c>
      <c r="EI90" s="65">
        <f t="shared" si="279"/>
        <v>0</v>
      </c>
      <c r="EJ90" s="65">
        <f t="shared" si="280"/>
        <v>0</v>
      </c>
      <c r="EK90" s="66" t="str">
        <f t="shared" si="281"/>
        <v/>
      </c>
      <c r="EL90" s="74" t="str">
        <f>IF('Marks Entry'!BD90="","",'Marks Entry'!BD90)</f>
        <v/>
      </c>
      <c r="EM90" s="74" t="str">
        <f>IF('Marks Entry'!BE90="","",'Marks Entry'!BE90)</f>
        <v/>
      </c>
      <c r="EN90" s="74" t="str">
        <f>IF('Marks Entry'!BF90="","",'Marks Entry'!BF90)</f>
        <v/>
      </c>
      <c r="EO90" s="527" t="str">
        <f t="shared" si="228"/>
        <v/>
      </c>
      <c r="EP90" s="74" t="str">
        <f>IF('Marks Entry'!BG90="","",'Marks Entry'!BG90)</f>
        <v/>
      </c>
      <c r="EQ90" s="74" t="str">
        <f>IF('Marks Entry'!BH90="","",'Marks Entry'!BH90)</f>
        <v/>
      </c>
      <c r="ER90" s="528" t="str">
        <f t="shared" si="229"/>
        <v/>
      </c>
      <c r="ES90" s="529" t="str">
        <f t="shared" si="230"/>
        <v/>
      </c>
      <c r="ET90" s="74" t="str">
        <f>IF('Marks Entry'!BI90="","",'Marks Entry'!BI90)</f>
        <v/>
      </c>
      <c r="EU90" s="74" t="str">
        <f>IF('Marks Entry'!BJ90="","",'Marks Entry'!BJ90)</f>
        <v/>
      </c>
      <c r="EV90" s="528" t="str">
        <f t="shared" si="231"/>
        <v/>
      </c>
      <c r="EW90" s="530" t="str">
        <f t="shared" si="232"/>
        <v/>
      </c>
      <c r="EX90" s="368" t="str">
        <f t="shared" si="282"/>
        <v/>
      </c>
      <c r="EY90" s="65">
        <f t="shared" si="283"/>
        <v>0</v>
      </c>
      <c r="EZ90" s="65">
        <f t="shared" si="284"/>
        <v>0</v>
      </c>
      <c r="FA90" s="66" t="str">
        <f t="shared" si="285"/>
        <v/>
      </c>
      <c r="FB90" s="74" t="str">
        <f>IF('Marks Entry'!BK90="","",'Marks Entry'!BK90)</f>
        <v/>
      </c>
      <c r="FC90" s="74" t="str">
        <f>IF('Marks Entry'!BL90="","",'Marks Entry'!BL90)</f>
        <v/>
      </c>
      <c r="FD90" s="74" t="str">
        <f>IF('Marks Entry'!BM90="","",'Marks Entry'!BM90)</f>
        <v/>
      </c>
      <c r="FE90" s="74" t="str">
        <f>IF('Marks Entry'!BN90="","",'Marks Entry'!BN90)</f>
        <v/>
      </c>
      <c r="FF90" s="74" t="str">
        <f>IF('Marks Entry'!BO90="","",'Marks Entry'!BO90)</f>
        <v/>
      </c>
      <c r="FG90" s="74" t="str">
        <f>IF('Marks Entry'!BP90="","",'Marks Entry'!BP90)</f>
        <v/>
      </c>
      <c r="FH90" s="527" t="str">
        <f t="shared" si="233"/>
        <v/>
      </c>
      <c r="FI90" s="74" t="str">
        <f>IF('Marks Entry'!BQ90="","",'Marks Entry'!BQ90)</f>
        <v/>
      </c>
      <c r="FJ90" s="74" t="str">
        <f>IF('Marks Entry'!BR90="","",'Marks Entry'!BR90)</f>
        <v/>
      </c>
      <c r="FK90" s="528" t="str">
        <f t="shared" si="234"/>
        <v/>
      </c>
      <c r="FL90" s="529" t="str">
        <f t="shared" si="235"/>
        <v/>
      </c>
      <c r="FM90" s="74" t="str">
        <f>IF('Marks Entry'!BS90="","",'Marks Entry'!BS90)</f>
        <v/>
      </c>
      <c r="FN90" s="74" t="str">
        <f>IF('Marks Entry'!BT90="","",'Marks Entry'!BT90)</f>
        <v/>
      </c>
      <c r="FO90" s="528" t="str">
        <f t="shared" si="236"/>
        <v/>
      </c>
      <c r="FP90" s="530" t="str">
        <f t="shared" si="237"/>
        <v/>
      </c>
      <c r="FQ90" s="368" t="str">
        <f t="shared" si="286"/>
        <v/>
      </c>
      <c r="FR90" s="65">
        <f t="shared" si="287"/>
        <v>0</v>
      </c>
      <c r="FS90" s="65">
        <f t="shared" si="288"/>
        <v>0</v>
      </c>
      <c r="FT90" s="66" t="str">
        <f t="shared" si="289"/>
        <v/>
      </c>
      <c r="FU90" s="74" t="str">
        <f>IF('Marks Entry'!BU90="","",'Marks Entry'!BU90)</f>
        <v/>
      </c>
      <c r="FV90" s="74" t="str">
        <f>IF('Marks Entry'!BV90="","",'Marks Entry'!BV90)</f>
        <v/>
      </c>
      <c r="FW90" s="74" t="str">
        <f>IF('Marks Entry'!BW90="","",'Marks Entry'!BW90)</f>
        <v/>
      </c>
      <c r="FX90" s="75" t="str">
        <f t="shared" si="238"/>
        <v/>
      </c>
      <c r="FY90" s="368" t="str">
        <f t="shared" si="290"/>
        <v/>
      </c>
      <c r="FZ90" s="65">
        <f t="shared" si="291"/>
        <v>0</v>
      </c>
      <c r="GA90" s="66">
        <f t="shared" si="292"/>
        <v>0</v>
      </c>
      <c r="GB90" s="66" t="str">
        <f t="shared" si="293"/>
        <v/>
      </c>
      <c r="GC90" s="74" t="str">
        <f>IF('Marks Entry'!BX90="","",'Marks Entry'!BX90)</f>
        <v/>
      </c>
      <c r="GD90" s="74" t="str">
        <f>IF('Marks Entry'!BY90="","",'Marks Entry'!BY90)</f>
        <v/>
      </c>
      <c r="GE90" s="74" t="str">
        <f>IF('Marks Entry'!BZ90="","",'Marks Entry'!BZ90)</f>
        <v/>
      </c>
      <c r="GF90" s="75" t="str">
        <f t="shared" si="294"/>
        <v/>
      </c>
      <c r="GG90" s="368" t="str">
        <f t="shared" si="295"/>
        <v/>
      </c>
      <c r="GH90" s="65">
        <f t="shared" si="296"/>
        <v>0</v>
      </c>
      <c r="GI90" s="66">
        <f t="shared" si="297"/>
        <v>0</v>
      </c>
      <c r="GJ90" s="66" t="str">
        <f t="shared" si="298"/>
        <v/>
      </c>
      <c r="GK90" s="100" t="str">
        <f>IF(AND(F90="",B90=""),"",IF('Student DATA Entry'!M87="","",'Student DATA Entry'!M87))</f>
        <v/>
      </c>
      <c r="GL90" s="101" t="str">
        <f>IF(AND(B90="",F90=""),"",IF('Student DATA Entry'!N87="","",'Student DATA Entry'!N87))</f>
        <v/>
      </c>
      <c r="GM90" s="581" t="str">
        <f t="shared" si="299"/>
        <v/>
      </c>
      <c r="GN90" s="94" t="str">
        <f t="shared" si="300"/>
        <v/>
      </c>
      <c r="GO90" s="94" t="str">
        <f t="shared" si="301"/>
        <v/>
      </c>
      <c r="GP90" s="102" t="str">
        <f t="shared" si="239"/>
        <v/>
      </c>
      <c r="GQ90" s="94" t="str">
        <f t="shared" si="302"/>
        <v/>
      </c>
      <c r="GR90" s="103" t="str">
        <f t="shared" si="303"/>
        <v/>
      </c>
      <c r="GS90" s="102" t="str">
        <f t="shared" si="240"/>
        <v/>
      </c>
      <c r="GT90" s="104" t="str">
        <f t="shared" si="304"/>
        <v/>
      </c>
      <c r="GU90" s="94" t="str">
        <f>IF('Marks Entry'!V90=1,GT90,"")</f>
        <v/>
      </c>
      <c r="GV90" s="94" t="str">
        <f>IF('Marks Entry'!V90=2,GT90,"")</f>
        <v/>
      </c>
      <c r="GW90" s="94" t="str">
        <f>IF('Marks Entry'!V90=3,GT90,"")</f>
        <v/>
      </c>
      <c r="GX90" s="94" t="str">
        <f>IF('Marks Entry'!V90=4,GT90,"")</f>
        <v/>
      </c>
      <c r="GY90" s="94" t="str">
        <f>IF('Marks Entry'!V90=5,GT90,"")</f>
        <v/>
      </c>
      <c r="GZ90" s="94" t="str">
        <f t="shared" si="305"/>
        <v/>
      </c>
      <c r="HA90" s="105" t="str">
        <f t="shared" si="241"/>
        <v/>
      </c>
      <c r="HB90" s="94" t="str">
        <f t="shared" si="306"/>
        <v/>
      </c>
      <c r="HC90" s="94" t="str">
        <f t="shared" si="307"/>
        <v/>
      </c>
      <c r="HD90" s="105" t="str">
        <f t="shared" si="242"/>
        <v/>
      </c>
      <c r="HE90" s="94" t="str">
        <f t="shared" si="308"/>
        <v/>
      </c>
      <c r="HF90" s="94" t="str">
        <f t="shared" si="309"/>
        <v/>
      </c>
      <c r="HG90" s="105" t="str">
        <f t="shared" si="243"/>
        <v/>
      </c>
      <c r="HH90" s="94" t="str">
        <f t="shared" si="310"/>
        <v/>
      </c>
      <c r="HI90" s="94" t="str">
        <f t="shared" si="311"/>
        <v/>
      </c>
      <c r="HJ90" s="105" t="str">
        <f t="shared" si="244"/>
        <v/>
      </c>
      <c r="HK90" s="94" t="str">
        <f t="shared" si="312"/>
        <v/>
      </c>
      <c r="HL90" s="94" t="str">
        <f t="shared" si="313"/>
        <v/>
      </c>
      <c r="HM90" s="105" t="str">
        <f t="shared" si="245"/>
        <v/>
      </c>
      <c r="HN90" s="367" t="str">
        <f t="shared" si="314"/>
        <v xml:space="preserve">      </v>
      </c>
      <c r="HO90" s="418" t="str">
        <f t="shared" si="246"/>
        <v xml:space="preserve">      </v>
      </c>
      <c r="HP90" s="367" t="str">
        <f t="shared" si="315"/>
        <v xml:space="preserve">      </v>
      </c>
      <c r="HQ90" s="107" t="str">
        <f t="shared" si="316"/>
        <v xml:space="preserve">      </v>
      </c>
      <c r="HR90" s="366" t="str">
        <f t="shared" si="317"/>
        <v xml:space="preserve">      </v>
      </c>
      <c r="HS90" s="544" t="str">
        <f t="shared" si="247"/>
        <v/>
      </c>
      <c r="HT90" s="542" t="str">
        <f t="shared" si="318"/>
        <v/>
      </c>
      <c r="HU90" s="541" t="str">
        <f t="shared" si="319"/>
        <v/>
      </c>
      <c r="HV90" s="540" t="str">
        <f t="shared" si="320"/>
        <v/>
      </c>
      <c r="HW90" s="537" t="str">
        <f t="shared" si="321"/>
        <v/>
      </c>
      <c r="HX90" s="539" t="str">
        <f t="shared" si="322"/>
        <v/>
      </c>
      <c r="HY90" s="553" t="str">
        <f>IFERROR(IF(OR(HS90="SUPPLEMENTARY",HS90="RE-EXAM"),'Supp. Result Entry'!AQ88,""),"")</f>
        <v/>
      </c>
      <c r="HZ90" s="538" t="str">
        <f t="shared" si="323"/>
        <v/>
      </c>
      <c r="IA90" s="415" t="str">
        <f t="shared" si="324"/>
        <v/>
      </c>
      <c r="IB90" s="415" t="str">
        <f>IF(AND(HZ90="",IA90=""),"",IF(OR(HS90="SUPPLEMENTARY",HS90="RE-EXAM"),'Supp. Result Entry'!AQ88,HS90))</f>
        <v/>
      </c>
      <c r="IC90" s="87"/>
      <c r="IS90" s="109" t="str">
        <f>IF('Supp. Result Entry'!T88="","",'Supp. Result Entry'!$T$4)</f>
        <v/>
      </c>
      <c r="IT90" s="110" t="str">
        <f>IF('Supp. Result Entry'!W88="","",'Supp. Result Entry'!$W$4)</f>
        <v/>
      </c>
      <c r="IU90" s="110" t="str">
        <f>IF('Supp. Result Entry'!Z88="","",'Supp. Result Entry'!$Z$4)</f>
        <v/>
      </c>
      <c r="IV90" s="110" t="str">
        <f>IF('Supp. Result Entry'!AC88="","",'Supp. Result Entry'!$AC$4)</f>
        <v/>
      </c>
      <c r="IW90" s="110" t="str">
        <f>IF('Supp. Result Entry'!AF88="","",'Supp. Result Entry'!$AF$4)</f>
        <v/>
      </c>
      <c r="IX90" s="110" t="str">
        <f>IF('Supp. Result Entry'!AI88="","",'Supp. Result Entry'!$AI$4)</f>
        <v/>
      </c>
      <c r="IY90" s="110" t="str">
        <f>IF('Supp. Result Entry'!AI88="","",'Supp. Result Entry'!$AL$4)</f>
        <v/>
      </c>
      <c r="IZ90" s="110" t="str">
        <f>IF('Supp. Result Entry'!U88="","",'Supp. Result Entry'!U88)</f>
        <v/>
      </c>
      <c r="JA90" s="110" t="str">
        <f>IF('Supp. Result Entry'!X88="","",'Supp. Result Entry'!X88)</f>
        <v/>
      </c>
      <c r="JB90" s="110" t="str">
        <f>IF('Supp. Result Entry'!AA88="","",'Supp. Result Entry'!AA88)</f>
        <v/>
      </c>
      <c r="JC90" s="110" t="str">
        <f>IF('Supp. Result Entry'!AD88="","",'Supp. Result Entry'!AD88)</f>
        <v/>
      </c>
      <c r="JD90" s="110" t="str">
        <f>IF('Supp. Result Entry'!AG88="","",'Supp. Result Entry'!AG88)</f>
        <v/>
      </c>
      <c r="JE90" s="110" t="str">
        <f>IF('Supp. Result Entry'!AJ88="","",'Supp. Result Entry'!AJ88)</f>
        <v/>
      </c>
      <c r="JF90" s="110" t="str">
        <f>IF('Supp. Result Entry'!AM88="","",'Supp. Result Entry'!AM88)</f>
        <v/>
      </c>
      <c r="JG90" s="110" t="str">
        <f>IF('Supp. Result Entry'!V88="","",'Supp. Result Entry'!V88)</f>
        <v/>
      </c>
      <c r="JH90" s="110" t="str">
        <f>IF('Supp. Result Entry'!Y88="","",'Supp. Result Entry'!Y88)</f>
        <v/>
      </c>
      <c r="JI90" s="110" t="str">
        <f>IF('Supp. Result Entry'!AB88="","",'Supp. Result Entry'!AB88)</f>
        <v/>
      </c>
      <c r="JJ90" s="110" t="str">
        <f>IF('Supp. Result Entry'!AE88="","",'Supp. Result Entry'!AE88)</f>
        <v/>
      </c>
      <c r="JK90" s="110" t="str">
        <f>IF('Supp. Result Entry'!AH88="","",'Supp. Result Entry'!AH88)</f>
        <v/>
      </c>
      <c r="JL90" s="110" t="str">
        <f>IF('Supp. Result Entry'!AK88="","",'Supp. Result Entry'!AK88)</f>
        <v/>
      </c>
      <c r="JM90" s="110" t="str">
        <f>IF('Supp. Result Entry'!AN88="","",'Supp. Result Entry'!AN88)</f>
        <v/>
      </c>
      <c r="JN90" s="110">
        <f>COUNTIF('Supp. Result Entry'!K88:Q88,"S")</f>
        <v>0</v>
      </c>
      <c r="JO90" s="110">
        <f t="shared" si="248"/>
        <v>0</v>
      </c>
      <c r="JP90" s="110">
        <f t="shared" si="325"/>
        <v>0</v>
      </c>
      <c r="JQ90" s="110" t="str">
        <f t="shared" si="249"/>
        <v/>
      </c>
      <c r="JR90" s="110" t="str">
        <f t="shared" si="250"/>
        <v/>
      </c>
      <c r="JS90" s="110" t="str">
        <f t="shared" si="251"/>
        <v/>
      </c>
      <c r="JT90" s="110" t="str">
        <f t="shared" si="252"/>
        <v/>
      </c>
      <c r="JU90" s="110" t="str">
        <f t="shared" si="253"/>
        <v/>
      </c>
      <c r="JV90" s="110" t="str">
        <f t="shared" si="254"/>
        <v/>
      </c>
      <c r="JW90" s="110" t="str">
        <f t="shared" si="255"/>
        <v/>
      </c>
      <c r="JX90" s="110" t="str">
        <f t="shared" si="326"/>
        <v/>
      </c>
      <c r="JY90" s="110" t="str">
        <f t="shared" si="327"/>
        <v/>
      </c>
      <c r="JZ90" s="110" t="str">
        <f t="shared" si="256"/>
        <v/>
      </c>
      <c r="KA90" s="108" t="str">
        <f t="shared" si="328"/>
        <v/>
      </c>
    </row>
    <row r="91" spans="1:287" s="108" customFormat="1" ht="21.95" customHeight="1">
      <c r="A91" s="89">
        <v>85</v>
      </c>
      <c r="B91" s="90" t="str">
        <f>IF('Marks Entry'!B91="","",'Marks Entry'!B91)</f>
        <v/>
      </c>
      <c r="C91" s="94" t="str">
        <f>IF('Marks Entry'!D91="","",'Marks Entry'!D91)</f>
        <v/>
      </c>
      <c r="D91" s="91" t="str">
        <f>IF('Marks Entry'!E91="","",'Marks Entry'!E91)</f>
        <v/>
      </c>
      <c r="E91" s="92" t="str">
        <f>IF('Marks Entry'!F91="","",'Marks Entry'!F91)</f>
        <v/>
      </c>
      <c r="F91" s="93" t="str">
        <f>IF('Marks Entry'!G91="","",'Marks Entry'!G91)</f>
        <v/>
      </c>
      <c r="G91" s="93" t="str">
        <f>IF('Marks Entry'!H91="","",'Marks Entry'!H91)</f>
        <v/>
      </c>
      <c r="H91" s="93" t="str">
        <f>IF('Marks Entry'!I91="","",'Marks Entry'!I91)</f>
        <v/>
      </c>
      <c r="I91" s="94" t="str">
        <f>IF('Marks Entry'!J91="","",'Marks Entry'!J91)</f>
        <v/>
      </c>
      <c r="J91" s="95" t="str">
        <f>IF('Marks Entry'!K91="","",'Marks Entry'!K91)</f>
        <v/>
      </c>
      <c r="K91" s="68" t="str">
        <f>IF('Marks Entry'!L91="","",'Marks Entry'!L91)</f>
        <v/>
      </c>
      <c r="L91" s="68" t="str">
        <f>IF('Marks Entry'!M91="","",'Marks Entry'!M91)</f>
        <v/>
      </c>
      <c r="M91" s="68" t="str">
        <f>IF('Marks Entry'!N91="","",'Marks Entry'!N91)</f>
        <v/>
      </c>
      <c r="N91" s="514" t="str">
        <f t="shared" si="257"/>
        <v/>
      </c>
      <c r="O91" s="68" t="str">
        <f>IF('Marks Entry'!O91="","",'Marks Entry'!O91)</f>
        <v/>
      </c>
      <c r="P91" s="515" t="str">
        <f t="shared" si="258"/>
        <v/>
      </c>
      <c r="Q91" s="68" t="str">
        <f>IF('Marks Entry'!P91="","",'Marks Entry'!P91)</f>
        <v/>
      </c>
      <c r="R91" s="96" t="str">
        <f t="shared" si="259"/>
        <v/>
      </c>
      <c r="S91" s="65">
        <f t="shared" si="260"/>
        <v>0</v>
      </c>
      <c r="T91" s="65">
        <f t="shared" si="261"/>
        <v>0</v>
      </c>
      <c r="U91" s="66" t="str">
        <f t="shared" si="171"/>
        <v/>
      </c>
      <c r="V91" s="65" t="str">
        <f t="shared" si="172"/>
        <v/>
      </c>
      <c r="W91" s="65" t="str">
        <f t="shared" si="262"/>
        <v/>
      </c>
      <c r="X91" s="65" t="str">
        <f t="shared" si="173"/>
        <v/>
      </c>
      <c r="Y91" s="68" t="str">
        <f>IF('Marks Entry'!Q91="","",'Marks Entry'!Q91)</f>
        <v/>
      </c>
      <c r="Z91" s="68" t="str">
        <f>IF('Marks Entry'!R91="","",'Marks Entry'!R91)</f>
        <v/>
      </c>
      <c r="AA91" s="68" t="str">
        <f>IF('Marks Entry'!S91="","",'Marks Entry'!S91)</f>
        <v/>
      </c>
      <c r="AB91" s="514" t="str">
        <f t="shared" si="174"/>
        <v/>
      </c>
      <c r="AC91" s="68" t="str">
        <f>IF('Marks Entry'!T91="","",'Marks Entry'!T91)</f>
        <v/>
      </c>
      <c r="AD91" s="515" t="str">
        <f t="shared" si="175"/>
        <v/>
      </c>
      <c r="AE91" s="68" t="str">
        <f>IF('Marks Entry'!U91="","",'Marks Entry'!U91)</f>
        <v/>
      </c>
      <c r="AF91" s="96" t="str">
        <f t="shared" si="176"/>
        <v/>
      </c>
      <c r="AG91" s="65">
        <f t="shared" si="177"/>
        <v>0</v>
      </c>
      <c r="AH91" s="65">
        <f t="shared" si="178"/>
        <v>0</v>
      </c>
      <c r="AI91" s="66" t="str">
        <f t="shared" si="179"/>
        <v/>
      </c>
      <c r="AJ91" s="65" t="str">
        <f t="shared" si="180"/>
        <v/>
      </c>
      <c r="AK91" s="65" t="str">
        <f t="shared" si="181"/>
        <v/>
      </c>
      <c r="AL91" s="65" t="str">
        <f t="shared" si="182"/>
        <v/>
      </c>
      <c r="AM91" s="524" t="str">
        <f>IF('Marks Entry'!V91="","",IF('Marks Entry'!V91=1,'School Profile'!$I$9,IF('Marks Entry'!V91=2,'School Profile'!$I$10,IF('Marks Entry'!V91=3,'School Profile'!$I$11,IF('Marks Entry'!V91=4,'School Profile'!$I$12,IF('Marks Entry'!V91=5,'School Profile'!$I$13,IF('Marks Entry'!V91=6,'School Profile'!$I$14,"")))))))</f>
        <v/>
      </c>
      <c r="AN91" s="68" t="str">
        <f>IF('Marks Entry'!W91="","",'Marks Entry'!W91)</f>
        <v/>
      </c>
      <c r="AO91" s="68" t="str">
        <f>IF('Marks Entry'!X91="","",'Marks Entry'!X91)</f>
        <v/>
      </c>
      <c r="AP91" s="68" t="str">
        <f>IF('Marks Entry'!Y91="","",'Marks Entry'!Y91)</f>
        <v/>
      </c>
      <c r="AQ91" s="514" t="str">
        <f t="shared" si="183"/>
        <v/>
      </c>
      <c r="AR91" s="68" t="str">
        <f>IF('Marks Entry'!Z91="","",'Marks Entry'!Z91)</f>
        <v/>
      </c>
      <c r="AS91" s="515" t="str">
        <f t="shared" si="184"/>
        <v/>
      </c>
      <c r="AT91" s="68" t="str">
        <f>IF('Marks Entry'!AA91="","",'Marks Entry'!AA91)</f>
        <v/>
      </c>
      <c r="AU91" s="96" t="str">
        <f t="shared" si="185"/>
        <v/>
      </c>
      <c r="AV91" s="65">
        <f t="shared" si="186"/>
        <v>0</v>
      </c>
      <c r="AW91" s="65">
        <f t="shared" si="187"/>
        <v>0</v>
      </c>
      <c r="AX91" s="66" t="str">
        <f t="shared" si="188"/>
        <v/>
      </c>
      <c r="AY91" s="65" t="str">
        <f t="shared" si="189"/>
        <v/>
      </c>
      <c r="AZ91" s="65" t="str">
        <f t="shared" si="190"/>
        <v/>
      </c>
      <c r="BA91" s="65" t="str">
        <f t="shared" si="191"/>
        <v/>
      </c>
      <c r="BB91" s="68" t="str">
        <f>IF('Marks Entry'!AB91="","",'Marks Entry'!AB91)</f>
        <v/>
      </c>
      <c r="BC91" s="68" t="str">
        <f>IF('Marks Entry'!AC91="","",'Marks Entry'!AC91)</f>
        <v/>
      </c>
      <c r="BD91" s="68" t="str">
        <f>IF('Marks Entry'!AD91="","",'Marks Entry'!AD91)</f>
        <v/>
      </c>
      <c r="BE91" s="514" t="str">
        <f t="shared" si="192"/>
        <v/>
      </c>
      <c r="BF91" s="68" t="str">
        <f>IF('Marks Entry'!AE91="","",'Marks Entry'!AE91)</f>
        <v/>
      </c>
      <c r="BG91" s="515" t="str">
        <f t="shared" si="193"/>
        <v/>
      </c>
      <c r="BH91" s="68" t="str">
        <f>IF('Marks Entry'!AF91="","",'Marks Entry'!AF91)</f>
        <v/>
      </c>
      <c r="BI91" s="96" t="str">
        <f t="shared" si="194"/>
        <v/>
      </c>
      <c r="BJ91" s="65">
        <f t="shared" si="195"/>
        <v>0</v>
      </c>
      <c r="BK91" s="65">
        <f t="shared" si="263"/>
        <v>0</v>
      </c>
      <c r="BL91" s="66" t="str">
        <f t="shared" si="196"/>
        <v/>
      </c>
      <c r="BM91" s="65" t="str">
        <f t="shared" si="197"/>
        <v/>
      </c>
      <c r="BN91" s="65" t="str">
        <f t="shared" si="198"/>
        <v/>
      </c>
      <c r="BO91" s="65" t="str">
        <f t="shared" si="199"/>
        <v/>
      </c>
      <c r="BP91" s="68" t="str">
        <f>IF('Marks Entry'!AG91="","",'Marks Entry'!AG91)</f>
        <v/>
      </c>
      <c r="BQ91" s="68" t="str">
        <f>IF('Marks Entry'!AH91="","",'Marks Entry'!AH91)</f>
        <v/>
      </c>
      <c r="BR91" s="68" t="str">
        <f>IF('Marks Entry'!AI91="","",'Marks Entry'!AI91)</f>
        <v/>
      </c>
      <c r="BS91" s="514" t="str">
        <f t="shared" si="200"/>
        <v/>
      </c>
      <c r="BT91" s="68" t="str">
        <f>IF('Marks Entry'!AJ91="","",'Marks Entry'!AJ91)</f>
        <v/>
      </c>
      <c r="BU91" s="515" t="str">
        <f t="shared" si="201"/>
        <v/>
      </c>
      <c r="BV91" s="68" t="str">
        <f>IF('Marks Entry'!AK91="","",'Marks Entry'!AK91)</f>
        <v/>
      </c>
      <c r="BW91" s="96" t="str">
        <f t="shared" si="202"/>
        <v/>
      </c>
      <c r="BX91" s="65">
        <f t="shared" si="203"/>
        <v>0</v>
      </c>
      <c r="BY91" s="65">
        <f t="shared" si="204"/>
        <v>0</v>
      </c>
      <c r="BZ91" s="66" t="str">
        <f t="shared" si="205"/>
        <v/>
      </c>
      <c r="CA91" s="65" t="str">
        <f t="shared" si="206"/>
        <v/>
      </c>
      <c r="CB91" s="65" t="str">
        <f t="shared" si="207"/>
        <v/>
      </c>
      <c r="CC91" s="65" t="str">
        <f t="shared" si="208"/>
        <v/>
      </c>
      <c r="CD91" s="66">
        <f t="shared" si="209"/>
        <v>0</v>
      </c>
      <c r="CE91" s="68" t="str">
        <f>IF('Marks Entry'!AL91="","",'Marks Entry'!AL91)</f>
        <v/>
      </c>
      <c r="CF91" s="68" t="str">
        <f>IF('Marks Entry'!AM91="","",'Marks Entry'!AM91)</f>
        <v/>
      </c>
      <c r="CG91" s="68" t="str">
        <f>IF('Marks Entry'!AN91="","",'Marks Entry'!AN91)</f>
        <v/>
      </c>
      <c r="CH91" s="514" t="str">
        <f t="shared" si="210"/>
        <v/>
      </c>
      <c r="CI91" s="68" t="str">
        <f>IF('Marks Entry'!AO91="","",'Marks Entry'!AO91)</f>
        <v/>
      </c>
      <c r="CJ91" s="515" t="str">
        <f t="shared" si="211"/>
        <v/>
      </c>
      <c r="CK91" s="68" t="str">
        <f>IF('Marks Entry'!AP91="","",'Marks Entry'!AP91)</f>
        <v/>
      </c>
      <c r="CL91" s="96" t="str">
        <f t="shared" si="212"/>
        <v/>
      </c>
      <c r="CM91" s="65">
        <f t="shared" si="213"/>
        <v>0</v>
      </c>
      <c r="CN91" s="65">
        <f t="shared" si="214"/>
        <v>0</v>
      </c>
      <c r="CO91" s="66" t="str">
        <f t="shared" si="215"/>
        <v/>
      </c>
      <c r="CP91" s="65" t="str">
        <f t="shared" si="216"/>
        <v/>
      </c>
      <c r="CQ91" s="65" t="str">
        <f t="shared" si="217"/>
        <v/>
      </c>
      <c r="CR91" s="65" t="str">
        <f t="shared" si="218"/>
        <v/>
      </c>
      <c r="CS91" s="616" t="str">
        <f>IF('School Profile'!$D$20="NO","",IF('Marks Entry'!AQ91="","",IF('Marks Entry'!AQ91=1,'School Profile'!$I$29,IF('Marks Entry'!AQ91=2,'School Profile'!$I$30,IF('Marks Entry'!AQ91=3,'School Profile'!$I$31,IF('Marks Entry'!AQ91=4,'School Profile'!$I$32,IF('Marks Entry'!AQ91=5,'School Profile'!$I$33,IF('Marks Entry'!AQ91=6,'School Profile'!$I$34,IF('Marks Entry'!AQ91=7,'School Profile'!$I$35,IF('Marks Entry'!AQ91=8,'School Profile'!$I$36,IF('Marks Entry'!AQ91=9,'School Profile'!$I$37,IF('Marks Entry'!AQ91=10,'School Profile'!$I$38,IF('Marks Entry'!AQ91=11,'School Profile'!$I$39,"")))))))))))))</f>
        <v/>
      </c>
      <c r="CT91" s="68" t="str">
        <f>IF('School Profile'!$D$20="NO","",IF('Marks Entry'!AR91="","",'Marks Entry'!AR91))</f>
        <v/>
      </c>
      <c r="CU91" s="68" t="str">
        <f>IF('School Profile'!$D$20="NO","",IF('Marks Entry'!AS91="","",'Marks Entry'!AS91))</f>
        <v/>
      </c>
      <c r="CV91" s="68" t="str">
        <f>IF('School Profile'!$D$20="NO","",IF('Marks Entry'!AT91="","",'Marks Entry'!AT91))</f>
        <v/>
      </c>
      <c r="CW91" s="514" t="str">
        <f>IF('School Profile'!$D$20="NO","",IF(AND(CT91="",CU91="",CV91=""),"",SUM(CT91:CV91)))</f>
        <v/>
      </c>
      <c r="CX91" s="68" t="str">
        <f>IF('School Profile'!$D$20="NO","",IF('Marks Entry'!AU91="","",'Marks Entry'!AU91))</f>
        <v/>
      </c>
      <c r="CY91" s="68" t="str">
        <f>IF('School Profile'!$D$20="NO","",IF('Marks Entry'!AV91="","",'Marks Entry'!AV91))</f>
        <v/>
      </c>
      <c r="CZ91" s="515" t="str">
        <f>IF('School Profile'!$D$20="NO","",IF(AND(CX91="",CY91=""),"",SUM(CX91,CY91)))</f>
        <v/>
      </c>
      <c r="DA91" s="69" t="str">
        <f>IF('School Profile'!$D$20="NO","",IF(AND(CW91="",CZ91=""),"",SUM(CW91+CZ91)))</f>
        <v/>
      </c>
      <c r="DB91" s="68" t="str">
        <f>IF('School Profile'!$D$20="NO","",IF('Marks Entry'!AW91="","",'Marks Entry'!AW91))</f>
        <v/>
      </c>
      <c r="DC91" s="68" t="str">
        <f>IF('School Profile'!$D$20="NO","",IF('Marks Entry'!AX91="","",'Marks Entry'!AX91))</f>
        <v/>
      </c>
      <c r="DD91" s="515" t="str">
        <f>IF('School Profile'!$D$20="NO","",IF(AND(DB91="",DC91=""),"",SUM(DB91,DC91)))</f>
        <v/>
      </c>
      <c r="DE91" s="96" t="str">
        <f>IF('School Profile'!$D$20="NO","",IF(AND(DA91="",DD91=""),"",SUM(DA91,DD91)))</f>
        <v/>
      </c>
      <c r="DF91" s="532">
        <f t="shared" si="219"/>
        <v>0</v>
      </c>
      <c r="DG91" s="65">
        <f t="shared" si="220"/>
        <v>0</v>
      </c>
      <c r="DH91" s="66" t="str">
        <f t="shared" si="221"/>
        <v/>
      </c>
      <c r="DI91" s="65" t="str">
        <f t="shared" si="222"/>
        <v/>
      </c>
      <c r="DJ91" s="65" t="str">
        <f t="shared" si="223"/>
        <v/>
      </c>
      <c r="DK91" s="65" t="str">
        <f t="shared" si="224"/>
        <v/>
      </c>
      <c r="DL91" s="97" t="str">
        <f t="shared" si="264"/>
        <v/>
      </c>
      <c r="DM91" s="97" t="str">
        <f t="shared" si="265"/>
        <v/>
      </c>
      <c r="DN91" s="97" t="str">
        <f t="shared" si="266"/>
        <v/>
      </c>
      <c r="DO91" s="97" t="str">
        <f t="shared" si="267"/>
        <v/>
      </c>
      <c r="DP91" s="97" t="str">
        <f t="shared" si="268"/>
        <v/>
      </c>
      <c r="DQ91" s="97" t="str">
        <f t="shared" si="269"/>
        <v/>
      </c>
      <c r="DR91" s="97" t="str">
        <f t="shared" si="270"/>
        <v/>
      </c>
      <c r="DS91" s="98">
        <f t="shared" si="271"/>
        <v>0</v>
      </c>
      <c r="DT91" s="98">
        <f t="shared" si="272"/>
        <v>0</v>
      </c>
      <c r="DU91" s="98">
        <f t="shared" si="273"/>
        <v>0</v>
      </c>
      <c r="DV91" s="98">
        <f t="shared" si="274"/>
        <v>0</v>
      </c>
      <c r="DW91" s="98">
        <f t="shared" si="275"/>
        <v>0</v>
      </c>
      <c r="DX91" s="98" t="str">
        <f t="shared" si="276"/>
        <v/>
      </c>
      <c r="DY91" s="99" t="str">
        <f t="shared" si="277"/>
        <v/>
      </c>
      <c r="DZ91" s="74" t="str">
        <f>IF('Marks Entry'!AY91="","",'Marks Entry'!AY91)</f>
        <v/>
      </c>
      <c r="EA91" s="74" t="str">
        <f>IF('Marks Entry'!AZ91="","",'Marks Entry'!AZ91)</f>
        <v/>
      </c>
      <c r="EB91" s="74" t="str">
        <f>IF('Marks Entry'!BA91="","",'Marks Entry'!BA91)</f>
        <v/>
      </c>
      <c r="EC91" s="527" t="str">
        <f t="shared" si="225"/>
        <v/>
      </c>
      <c r="ED91" s="74" t="str">
        <f>IF('Marks Entry'!BB91="","",'Marks Entry'!BB91)</f>
        <v/>
      </c>
      <c r="EE91" s="528" t="str">
        <f t="shared" si="226"/>
        <v/>
      </c>
      <c r="EF91" s="74" t="str">
        <f>IF('Marks Entry'!BC91="","",'Marks Entry'!BC91)</f>
        <v/>
      </c>
      <c r="EG91" s="530" t="str">
        <f t="shared" si="227"/>
        <v/>
      </c>
      <c r="EH91" s="368" t="str">
        <f t="shared" si="278"/>
        <v/>
      </c>
      <c r="EI91" s="65">
        <f t="shared" si="279"/>
        <v>0</v>
      </c>
      <c r="EJ91" s="65">
        <f t="shared" si="280"/>
        <v>0</v>
      </c>
      <c r="EK91" s="66" t="str">
        <f t="shared" si="281"/>
        <v/>
      </c>
      <c r="EL91" s="74" t="str">
        <f>IF('Marks Entry'!BD91="","",'Marks Entry'!BD91)</f>
        <v/>
      </c>
      <c r="EM91" s="74" t="str">
        <f>IF('Marks Entry'!BE91="","",'Marks Entry'!BE91)</f>
        <v/>
      </c>
      <c r="EN91" s="74" t="str">
        <f>IF('Marks Entry'!BF91="","",'Marks Entry'!BF91)</f>
        <v/>
      </c>
      <c r="EO91" s="527" t="str">
        <f t="shared" si="228"/>
        <v/>
      </c>
      <c r="EP91" s="74" t="str">
        <f>IF('Marks Entry'!BG91="","",'Marks Entry'!BG91)</f>
        <v/>
      </c>
      <c r="EQ91" s="74" t="str">
        <f>IF('Marks Entry'!BH91="","",'Marks Entry'!BH91)</f>
        <v/>
      </c>
      <c r="ER91" s="528" t="str">
        <f t="shared" si="229"/>
        <v/>
      </c>
      <c r="ES91" s="529" t="str">
        <f t="shared" si="230"/>
        <v/>
      </c>
      <c r="ET91" s="74" t="str">
        <f>IF('Marks Entry'!BI91="","",'Marks Entry'!BI91)</f>
        <v/>
      </c>
      <c r="EU91" s="74" t="str">
        <f>IF('Marks Entry'!BJ91="","",'Marks Entry'!BJ91)</f>
        <v/>
      </c>
      <c r="EV91" s="528" t="str">
        <f t="shared" si="231"/>
        <v/>
      </c>
      <c r="EW91" s="530" t="str">
        <f t="shared" si="232"/>
        <v/>
      </c>
      <c r="EX91" s="368" t="str">
        <f t="shared" si="282"/>
        <v/>
      </c>
      <c r="EY91" s="65">
        <f t="shared" si="283"/>
        <v>0</v>
      </c>
      <c r="EZ91" s="65">
        <f t="shared" si="284"/>
        <v>0</v>
      </c>
      <c r="FA91" s="66" t="str">
        <f t="shared" si="285"/>
        <v/>
      </c>
      <c r="FB91" s="74" t="str">
        <f>IF('Marks Entry'!BK91="","",'Marks Entry'!BK91)</f>
        <v/>
      </c>
      <c r="FC91" s="74" t="str">
        <f>IF('Marks Entry'!BL91="","",'Marks Entry'!BL91)</f>
        <v/>
      </c>
      <c r="FD91" s="74" t="str">
        <f>IF('Marks Entry'!BM91="","",'Marks Entry'!BM91)</f>
        <v/>
      </c>
      <c r="FE91" s="74" t="str">
        <f>IF('Marks Entry'!BN91="","",'Marks Entry'!BN91)</f>
        <v/>
      </c>
      <c r="FF91" s="74" t="str">
        <f>IF('Marks Entry'!BO91="","",'Marks Entry'!BO91)</f>
        <v/>
      </c>
      <c r="FG91" s="74" t="str">
        <f>IF('Marks Entry'!BP91="","",'Marks Entry'!BP91)</f>
        <v/>
      </c>
      <c r="FH91" s="527" t="str">
        <f t="shared" si="233"/>
        <v/>
      </c>
      <c r="FI91" s="74" t="str">
        <f>IF('Marks Entry'!BQ91="","",'Marks Entry'!BQ91)</f>
        <v/>
      </c>
      <c r="FJ91" s="74" t="str">
        <f>IF('Marks Entry'!BR91="","",'Marks Entry'!BR91)</f>
        <v/>
      </c>
      <c r="FK91" s="528" t="str">
        <f t="shared" si="234"/>
        <v/>
      </c>
      <c r="FL91" s="529" t="str">
        <f t="shared" si="235"/>
        <v/>
      </c>
      <c r="FM91" s="74" t="str">
        <f>IF('Marks Entry'!BS91="","",'Marks Entry'!BS91)</f>
        <v/>
      </c>
      <c r="FN91" s="74" t="str">
        <f>IF('Marks Entry'!BT91="","",'Marks Entry'!BT91)</f>
        <v/>
      </c>
      <c r="FO91" s="528" t="str">
        <f t="shared" si="236"/>
        <v/>
      </c>
      <c r="FP91" s="530" t="str">
        <f t="shared" si="237"/>
        <v/>
      </c>
      <c r="FQ91" s="368" t="str">
        <f t="shared" si="286"/>
        <v/>
      </c>
      <c r="FR91" s="65">
        <f t="shared" si="287"/>
        <v>0</v>
      </c>
      <c r="FS91" s="65">
        <f t="shared" si="288"/>
        <v>0</v>
      </c>
      <c r="FT91" s="66" t="str">
        <f t="shared" si="289"/>
        <v/>
      </c>
      <c r="FU91" s="74" t="str">
        <f>IF('Marks Entry'!BU91="","",'Marks Entry'!BU91)</f>
        <v/>
      </c>
      <c r="FV91" s="74" t="str">
        <f>IF('Marks Entry'!BV91="","",'Marks Entry'!BV91)</f>
        <v/>
      </c>
      <c r="FW91" s="74" t="str">
        <f>IF('Marks Entry'!BW91="","",'Marks Entry'!BW91)</f>
        <v/>
      </c>
      <c r="FX91" s="75" t="str">
        <f t="shared" si="238"/>
        <v/>
      </c>
      <c r="FY91" s="368" t="str">
        <f t="shared" si="290"/>
        <v/>
      </c>
      <c r="FZ91" s="65">
        <f t="shared" si="291"/>
        <v>0</v>
      </c>
      <c r="GA91" s="66">
        <f t="shared" si="292"/>
        <v>0</v>
      </c>
      <c r="GB91" s="66" t="str">
        <f t="shared" si="293"/>
        <v/>
      </c>
      <c r="GC91" s="74" t="str">
        <f>IF('Marks Entry'!BX91="","",'Marks Entry'!BX91)</f>
        <v/>
      </c>
      <c r="GD91" s="74" t="str">
        <f>IF('Marks Entry'!BY91="","",'Marks Entry'!BY91)</f>
        <v/>
      </c>
      <c r="GE91" s="74" t="str">
        <f>IF('Marks Entry'!BZ91="","",'Marks Entry'!BZ91)</f>
        <v/>
      </c>
      <c r="GF91" s="75" t="str">
        <f t="shared" si="294"/>
        <v/>
      </c>
      <c r="GG91" s="368" t="str">
        <f t="shared" si="295"/>
        <v/>
      </c>
      <c r="GH91" s="65">
        <f t="shared" si="296"/>
        <v>0</v>
      </c>
      <c r="GI91" s="66">
        <f t="shared" si="297"/>
        <v>0</v>
      </c>
      <c r="GJ91" s="66" t="str">
        <f t="shared" si="298"/>
        <v/>
      </c>
      <c r="GK91" s="100" t="str">
        <f>IF(AND(F91="",B91=""),"",IF('Student DATA Entry'!M88="","",'Student DATA Entry'!M88))</f>
        <v/>
      </c>
      <c r="GL91" s="101" t="str">
        <f>IF(AND(B91="",F91=""),"",IF('Student DATA Entry'!N88="","",'Student DATA Entry'!N88))</f>
        <v/>
      </c>
      <c r="GM91" s="581" t="str">
        <f t="shared" si="299"/>
        <v/>
      </c>
      <c r="GN91" s="94" t="str">
        <f t="shared" si="300"/>
        <v/>
      </c>
      <c r="GO91" s="94" t="str">
        <f t="shared" si="301"/>
        <v/>
      </c>
      <c r="GP91" s="102" t="str">
        <f t="shared" si="239"/>
        <v/>
      </c>
      <c r="GQ91" s="94" t="str">
        <f t="shared" si="302"/>
        <v/>
      </c>
      <c r="GR91" s="103" t="str">
        <f t="shared" si="303"/>
        <v/>
      </c>
      <c r="GS91" s="102" t="str">
        <f t="shared" si="240"/>
        <v/>
      </c>
      <c r="GT91" s="104" t="str">
        <f t="shared" si="304"/>
        <v/>
      </c>
      <c r="GU91" s="94" t="str">
        <f>IF('Marks Entry'!V91=1,GT91,"")</f>
        <v/>
      </c>
      <c r="GV91" s="94" t="str">
        <f>IF('Marks Entry'!V91=2,GT91,"")</f>
        <v/>
      </c>
      <c r="GW91" s="94" t="str">
        <f>IF('Marks Entry'!V91=3,GT91,"")</f>
        <v/>
      </c>
      <c r="GX91" s="94" t="str">
        <f>IF('Marks Entry'!V91=4,GT91,"")</f>
        <v/>
      </c>
      <c r="GY91" s="94" t="str">
        <f>IF('Marks Entry'!V91=5,GT91,"")</f>
        <v/>
      </c>
      <c r="GZ91" s="94" t="str">
        <f t="shared" si="305"/>
        <v/>
      </c>
      <c r="HA91" s="105" t="str">
        <f t="shared" si="241"/>
        <v/>
      </c>
      <c r="HB91" s="94" t="str">
        <f t="shared" si="306"/>
        <v/>
      </c>
      <c r="HC91" s="94" t="str">
        <f t="shared" si="307"/>
        <v/>
      </c>
      <c r="HD91" s="105" t="str">
        <f t="shared" si="242"/>
        <v/>
      </c>
      <c r="HE91" s="94" t="str">
        <f t="shared" si="308"/>
        <v/>
      </c>
      <c r="HF91" s="94" t="str">
        <f t="shared" si="309"/>
        <v/>
      </c>
      <c r="HG91" s="105" t="str">
        <f t="shared" si="243"/>
        <v/>
      </c>
      <c r="HH91" s="94" t="str">
        <f t="shared" si="310"/>
        <v/>
      </c>
      <c r="HI91" s="94" t="str">
        <f t="shared" si="311"/>
        <v/>
      </c>
      <c r="HJ91" s="105" t="str">
        <f t="shared" si="244"/>
        <v/>
      </c>
      <c r="HK91" s="94" t="str">
        <f t="shared" si="312"/>
        <v/>
      </c>
      <c r="HL91" s="94" t="str">
        <f t="shared" si="313"/>
        <v/>
      </c>
      <c r="HM91" s="105" t="str">
        <f t="shared" si="245"/>
        <v/>
      </c>
      <c r="HN91" s="367" t="str">
        <f t="shared" si="314"/>
        <v xml:space="preserve">      </v>
      </c>
      <c r="HO91" s="418" t="str">
        <f t="shared" si="246"/>
        <v xml:space="preserve">      </v>
      </c>
      <c r="HP91" s="367" t="str">
        <f t="shared" si="315"/>
        <v xml:space="preserve">      </v>
      </c>
      <c r="HQ91" s="107" t="str">
        <f t="shared" si="316"/>
        <v xml:space="preserve">      </v>
      </c>
      <c r="HR91" s="366" t="str">
        <f t="shared" si="317"/>
        <v xml:space="preserve">      </v>
      </c>
      <c r="HS91" s="544" t="str">
        <f t="shared" si="247"/>
        <v/>
      </c>
      <c r="HT91" s="542" t="str">
        <f t="shared" si="318"/>
        <v/>
      </c>
      <c r="HU91" s="541" t="str">
        <f t="shared" si="319"/>
        <v/>
      </c>
      <c r="HV91" s="540" t="str">
        <f t="shared" si="320"/>
        <v/>
      </c>
      <c r="HW91" s="537" t="str">
        <f t="shared" si="321"/>
        <v/>
      </c>
      <c r="HX91" s="539" t="str">
        <f t="shared" si="322"/>
        <v/>
      </c>
      <c r="HY91" s="553" t="str">
        <f>IFERROR(IF(OR(HS91="SUPPLEMENTARY",HS91="RE-EXAM"),'Supp. Result Entry'!AQ89,""),"")</f>
        <v/>
      </c>
      <c r="HZ91" s="538" t="str">
        <f t="shared" si="323"/>
        <v/>
      </c>
      <c r="IA91" s="415" t="str">
        <f t="shared" si="324"/>
        <v/>
      </c>
      <c r="IB91" s="415" t="str">
        <f>IF(AND(HZ91="",IA91=""),"",IF(OR(HS91="SUPPLEMENTARY",HS91="RE-EXAM"),'Supp. Result Entry'!AQ89,HS91))</f>
        <v/>
      </c>
      <c r="IC91" s="87"/>
      <c r="IS91" s="109" t="str">
        <f>IF('Supp. Result Entry'!T89="","",'Supp. Result Entry'!$T$4)</f>
        <v/>
      </c>
      <c r="IT91" s="110" t="str">
        <f>IF('Supp. Result Entry'!W89="","",'Supp. Result Entry'!$W$4)</f>
        <v/>
      </c>
      <c r="IU91" s="110" t="str">
        <f>IF('Supp. Result Entry'!Z89="","",'Supp. Result Entry'!$Z$4)</f>
        <v/>
      </c>
      <c r="IV91" s="110" t="str">
        <f>IF('Supp. Result Entry'!AC89="","",'Supp. Result Entry'!$AC$4)</f>
        <v/>
      </c>
      <c r="IW91" s="110" t="str">
        <f>IF('Supp. Result Entry'!AF89="","",'Supp. Result Entry'!$AF$4)</f>
        <v/>
      </c>
      <c r="IX91" s="110" t="str">
        <f>IF('Supp. Result Entry'!AI89="","",'Supp. Result Entry'!$AI$4)</f>
        <v/>
      </c>
      <c r="IY91" s="110" t="str">
        <f>IF('Supp. Result Entry'!AI89="","",'Supp. Result Entry'!$AL$4)</f>
        <v/>
      </c>
      <c r="IZ91" s="110" t="str">
        <f>IF('Supp. Result Entry'!U89="","",'Supp. Result Entry'!U89)</f>
        <v/>
      </c>
      <c r="JA91" s="110" t="str">
        <f>IF('Supp. Result Entry'!X89="","",'Supp. Result Entry'!X89)</f>
        <v/>
      </c>
      <c r="JB91" s="110" t="str">
        <f>IF('Supp. Result Entry'!AA89="","",'Supp. Result Entry'!AA89)</f>
        <v/>
      </c>
      <c r="JC91" s="110" t="str">
        <f>IF('Supp. Result Entry'!AD89="","",'Supp. Result Entry'!AD89)</f>
        <v/>
      </c>
      <c r="JD91" s="110" t="str">
        <f>IF('Supp. Result Entry'!AG89="","",'Supp. Result Entry'!AG89)</f>
        <v/>
      </c>
      <c r="JE91" s="110" t="str">
        <f>IF('Supp. Result Entry'!AJ89="","",'Supp. Result Entry'!AJ89)</f>
        <v/>
      </c>
      <c r="JF91" s="110" t="str">
        <f>IF('Supp. Result Entry'!AM89="","",'Supp. Result Entry'!AM89)</f>
        <v/>
      </c>
      <c r="JG91" s="110" t="str">
        <f>IF('Supp. Result Entry'!V89="","",'Supp. Result Entry'!V89)</f>
        <v/>
      </c>
      <c r="JH91" s="110" t="str">
        <f>IF('Supp. Result Entry'!Y89="","",'Supp. Result Entry'!Y89)</f>
        <v/>
      </c>
      <c r="JI91" s="110" t="str">
        <f>IF('Supp. Result Entry'!AB89="","",'Supp. Result Entry'!AB89)</f>
        <v/>
      </c>
      <c r="JJ91" s="110" t="str">
        <f>IF('Supp. Result Entry'!AE89="","",'Supp. Result Entry'!AE89)</f>
        <v/>
      </c>
      <c r="JK91" s="110" t="str">
        <f>IF('Supp. Result Entry'!AH89="","",'Supp. Result Entry'!AH89)</f>
        <v/>
      </c>
      <c r="JL91" s="110" t="str">
        <f>IF('Supp. Result Entry'!AK89="","",'Supp. Result Entry'!AK89)</f>
        <v/>
      </c>
      <c r="JM91" s="110" t="str">
        <f>IF('Supp. Result Entry'!AN89="","",'Supp. Result Entry'!AN89)</f>
        <v/>
      </c>
      <c r="JN91" s="110">
        <f>COUNTIF('Supp. Result Entry'!K89:Q89,"S")</f>
        <v>0</v>
      </c>
      <c r="JO91" s="110">
        <f t="shared" si="248"/>
        <v>0</v>
      </c>
      <c r="JP91" s="110">
        <f t="shared" si="325"/>
        <v>0</v>
      </c>
      <c r="JQ91" s="110" t="str">
        <f t="shared" si="249"/>
        <v/>
      </c>
      <c r="JR91" s="110" t="str">
        <f t="shared" si="250"/>
        <v/>
      </c>
      <c r="JS91" s="110" t="str">
        <f t="shared" si="251"/>
        <v/>
      </c>
      <c r="JT91" s="110" t="str">
        <f t="shared" si="252"/>
        <v/>
      </c>
      <c r="JU91" s="110" t="str">
        <f t="shared" si="253"/>
        <v/>
      </c>
      <c r="JV91" s="110" t="str">
        <f t="shared" si="254"/>
        <v/>
      </c>
      <c r="JW91" s="110" t="str">
        <f t="shared" si="255"/>
        <v/>
      </c>
      <c r="JX91" s="110" t="str">
        <f t="shared" si="326"/>
        <v/>
      </c>
      <c r="JY91" s="110" t="str">
        <f t="shared" si="327"/>
        <v/>
      </c>
      <c r="JZ91" s="110" t="str">
        <f t="shared" si="256"/>
        <v/>
      </c>
      <c r="KA91" s="108" t="str">
        <f t="shared" si="328"/>
        <v/>
      </c>
    </row>
    <row r="92" spans="1:287" s="108" customFormat="1" ht="21.95" customHeight="1">
      <c r="A92" s="89">
        <v>86</v>
      </c>
      <c r="B92" s="90" t="str">
        <f>IF('Marks Entry'!B92="","",'Marks Entry'!B92)</f>
        <v/>
      </c>
      <c r="C92" s="94" t="str">
        <f>IF('Marks Entry'!D92="","",'Marks Entry'!D92)</f>
        <v/>
      </c>
      <c r="D92" s="91" t="str">
        <f>IF('Marks Entry'!E92="","",'Marks Entry'!E92)</f>
        <v/>
      </c>
      <c r="E92" s="92" t="str">
        <f>IF('Marks Entry'!F92="","",'Marks Entry'!F92)</f>
        <v/>
      </c>
      <c r="F92" s="93" t="str">
        <f>IF('Marks Entry'!G92="","",'Marks Entry'!G92)</f>
        <v/>
      </c>
      <c r="G92" s="93" t="str">
        <f>IF('Marks Entry'!H92="","",'Marks Entry'!H92)</f>
        <v/>
      </c>
      <c r="H92" s="93" t="str">
        <f>IF('Marks Entry'!I92="","",'Marks Entry'!I92)</f>
        <v/>
      </c>
      <c r="I92" s="94" t="str">
        <f>IF('Marks Entry'!J92="","",'Marks Entry'!J92)</f>
        <v/>
      </c>
      <c r="J92" s="95" t="str">
        <f>IF('Marks Entry'!K92="","",'Marks Entry'!K92)</f>
        <v/>
      </c>
      <c r="K92" s="68" t="str">
        <f>IF('Marks Entry'!L92="","",'Marks Entry'!L92)</f>
        <v/>
      </c>
      <c r="L92" s="68" t="str">
        <f>IF('Marks Entry'!M92="","",'Marks Entry'!M92)</f>
        <v/>
      </c>
      <c r="M92" s="68" t="str">
        <f>IF('Marks Entry'!N92="","",'Marks Entry'!N92)</f>
        <v/>
      </c>
      <c r="N92" s="514" t="str">
        <f t="shared" si="257"/>
        <v/>
      </c>
      <c r="O92" s="68" t="str">
        <f>IF('Marks Entry'!O92="","",'Marks Entry'!O92)</f>
        <v/>
      </c>
      <c r="P92" s="515" t="str">
        <f t="shared" si="258"/>
        <v/>
      </c>
      <c r="Q92" s="68" t="str">
        <f>IF('Marks Entry'!P92="","",'Marks Entry'!P92)</f>
        <v/>
      </c>
      <c r="R92" s="96" t="str">
        <f t="shared" si="259"/>
        <v/>
      </c>
      <c r="S92" s="65">
        <f t="shared" si="260"/>
        <v>0</v>
      </c>
      <c r="T92" s="65">
        <f t="shared" si="261"/>
        <v>0</v>
      </c>
      <c r="U92" s="66" t="str">
        <f t="shared" si="171"/>
        <v/>
      </c>
      <c r="V92" s="65" t="str">
        <f t="shared" si="172"/>
        <v/>
      </c>
      <c r="W92" s="65" t="str">
        <f t="shared" si="262"/>
        <v/>
      </c>
      <c r="X92" s="65" t="str">
        <f t="shared" si="173"/>
        <v/>
      </c>
      <c r="Y92" s="68" t="str">
        <f>IF('Marks Entry'!Q92="","",'Marks Entry'!Q92)</f>
        <v/>
      </c>
      <c r="Z92" s="68" t="str">
        <f>IF('Marks Entry'!R92="","",'Marks Entry'!R92)</f>
        <v/>
      </c>
      <c r="AA92" s="68" t="str">
        <f>IF('Marks Entry'!S92="","",'Marks Entry'!S92)</f>
        <v/>
      </c>
      <c r="AB92" s="514" t="str">
        <f t="shared" si="174"/>
        <v/>
      </c>
      <c r="AC92" s="68" t="str">
        <f>IF('Marks Entry'!T92="","",'Marks Entry'!T92)</f>
        <v/>
      </c>
      <c r="AD92" s="515" t="str">
        <f t="shared" si="175"/>
        <v/>
      </c>
      <c r="AE92" s="68" t="str">
        <f>IF('Marks Entry'!U92="","",'Marks Entry'!U92)</f>
        <v/>
      </c>
      <c r="AF92" s="96" t="str">
        <f t="shared" si="176"/>
        <v/>
      </c>
      <c r="AG92" s="65">
        <f t="shared" si="177"/>
        <v>0</v>
      </c>
      <c r="AH92" s="65">
        <f t="shared" si="178"/>
        <v>0</v>
      </c>
      <c r="AI92" s="66" t="str">
        <f t="shared" si="179"/>
        <v/>
      </c>
      <c r="AJ92" s="65" t="str">
        <f t="shared" si="180"/>
        <v/>
      </c>
      <c r="AK92" s="65" t="str">
        <f t="shared" si="181"/>
        <v/>
      </c>
      <c r="AL92" s="65" t="str">
        <f t="shared" si="182"/>
        <v/>
      </c>
      <c r="AM92" s="524" t="str">
        <f>IF('Marks Entry'!V92="","",IF('Marks Entry'!V92=1,'School Profile'!$I$9,IF('Marks Entry'!V92=2,'School Profile'!$I$10,IF('Marks Entry'!V92=3,'School Profile'!$I$11,IF('Marks Entry'!V92=4,'School Profile'!$I$12,IF('Marks Entry'!V92=5,'School Profile'!$I$13,IF('Marks Entry'!V92=6,'School Profile'!$I$14,"")))))))</f>
        <v/>
      </c>
      <c r="AN92" s="68" t="str">
        <f>IF('Marks Entry'!W92="","",'Marks Entry'!W92)</f>
        <v/>
      </c>
      <c r="AO92" s="68" t="str">
        <f>IF('Marks Entry'!X92="","",'Marks Entry'!X92)</f>
        <v/>
      </c>
      <c r="AP92" s="68" t="str">
        <f>IF('Marks Entry'!Y92="","",'Marks Entry'!Y92)</f>
        <v/>
      </c>
      <c r="AQ92" s="514" t="str">
        <f t="shared" si="183"/>
        <v/>
      </c>
      <c r="AR92" s="68" t="str">
        <f>IF('Marks Entry'!Z92="","",'Marks Entry'!Z92)</f>
        <v/>
      </c>
      <c r="AS92" s="515" t="str">
        <f t="shared" si="184"/>
        <v/>
      </c>
      <c r="AT92" s="68" t="str">
        <f>IF('Marks Entry'!AA92="","",'Marks Entry'!AA92)</f>
        <v/>
      </c>
      <c r="AU92" s="96" t="str">
        <f t="shared" si="185"/>
        <v/>
      </c>
      <c r="AV92" s="65">
        <f t="shared" si="186"/>
        <v>0</v>
      </c>
      <c r="AW92" s="65">
        <f t="shared" si="187"/>
        <v>0</v>
      </c>
      <c r="AX92" s="66" t="str">
        <f t="shared" si="188"/>
        <v/>
      </c>
      <c r="AY92" s="65" t="str">
        <f t="shared" si="189"/>
        <v/>
      </c>
      <c r="AZ92" s="65" t="str">
        <f t="shared" si="190"/>
        <v/>
      </c>
      <c r="BA92" s="65" t="str">
        <f t="shared" si="191"/>
        <v/>
      </c>
      <c r="BB92" s="68" t="str">
        <f>IF('Marks Entry'!AB92="","",'Marks Entry'!AB92)</f>
        <v/>
      </c>
      <c r="BC92" s="68" t="str">
        <f>IF('Marks Entry'!AC92="","",'Marks Entry'!AC92)</f>
        <v/>
      </c>
      <c r="BD92" s="68" t="str">
        <f>IF('Marks Entry'!AD92="","",'Marks Entry'!AD92)</f>
        <v/>
      </c>
      <c r="BE92" s="514" t="str">
        <f t="shared" si="192"/>
        <v/>
      </c>
      <c r="BF92" s="68" t="str">
        <f>IF('Marks Entry'!AE92="","",'Marks Entry'!AE92)</f>
        <v/>
      </c>
      <c r="BG92" s="515" t="str">
        <f t="shared" si="193"/>
        <v/>
      </c>
      <c r="BH92" s="68" t="str">
        <f>IF('Marks Entry'!AF92="","",'Marks Entry'!AF92)</f>
        <v/>
      </c>
      <c r="BI92" s="96" t="str">
        <f t="shared" si="194"/>
        <v/>
      </c>
      <c r="BJ92" s="65">
        <f t="shared" si="195"/>
        <v>0</v>
      </c>
      <c r="BK92" s="65">
        <f t="shared" si="263"/>
        <v>0</v>
      </c>
      <c r="BL92" s="66" t="str">
        <f t="shared" si="196"/>
        <v/>
      </c>
      <c r="BM92" s="65" t="str">
        <f t="shared" si="197"/>
        <v/>
      </c>
      <c r="BN92" s="65" t="str">
        <f t="shared" si="198"/>
        <v/>
      </c>
      <c r="BO92" s="65" t="str">
        <f t="shared" si="199"/>
        <v/>
      </c>
      <c r="BP92" s="68" t="str">
        <f>IF('Marks Entry'!AG92="","",'Marks Entry'!AG92)</f>
        <v/>
      </c>
      <c r="BQ92" s="68" t="str">
        <f>IF('Marks Entry'!AH92="","",'Marks Entry'!AH92)</f>
        <v/>
      </c>
      <c r="BR92" s="68" t="str">
        <f>IF('Marks Entry'!AI92="","",'Marks Entry'!AI92)</f>
        <v/>
      </c>
      <c r="BS92" s="514" t="str">
        <f t="shared" si="200"/>
        <v/>
      </c>
      <c r="BT92" s="68" t="str">
        <f>IF('Marks Entry'!AJ92="","",'Marks Entry'!AJ92)</f>
        <v/>
      </c>
      <c r="BU92" s="515" t="str">
        <f t="shared" si="201"/>
        <v/>
      </c>
      <c r="BV92" s="68" t="str">
        <f>IF('Marks Entry'!AK92="","",'Marks Entry'!AK92)</f>
        <v/>
      </c>
      <c r="BW92" s="96" t="str">
        <f t="shared" si="202"/>
        <v/>
      </c>
      <c r="BX92" s="65">
        <f t="shared" si="203"/>
        <v>0</v>
      </c>
      <c r="BY92" s="65">
        <f t="shared" si="204"/>
        <v>0</v>
      </c>
      <c r="BZ92" s="66" t="str">
        <f t="shared" si="205"/>
        <v/>
      </c>
      <c r="CA92" s="65" t="str">
        <f t="shared" si="206"/>
        <v/>
      </c>
      <c r="CB92" s="65" t="str">
        <f t="shared" si="207"/>
        <v/>
      </c>
      <c r="CC92" s="65" t="str">
        <f t="shared" si="208"/>
        <v/>
      </c>
      <c r="CD92" s="66">
        <f t="shared" si="209"/>
        <v>0</v>
      </c>
      <c r="CE92" s="68" t="str">
        <f>IF('Marks Entry'!AL92="","",'Marks Entry'!AL92)</f>
        <v/>
      </c>
      <c r="CF92" s="68" t="str">
        <f>IF('Marks Entry'!AM92="","",'Marks Entry'!AM92)</f>
        <v/>
      </c>
      <c r="CG92" s="68" t="str">
        <f>IF('Marks Entry'!AN92="","",'Marks Entry'!AN92)</f>
        <v/>
      </c>
      <c r="CH92" s="514" t="str">
        <f t="shared" si="210"/>
        <v/>
      </c>
      <c r="CI92" s="68" t="str">
        <f>IF('Marks Entry'!AO92="","",'Marks Entry'!AO92)</f>
        <v/>
      </c>
      <c r="CJ92" s="515" t="str">
        <f t="shared" si="211"/>
        <v/>
      </c>
      <c r="CK92" s="68" t="str">
        <f>IF('Marks Entry'!AP92="","",'Marks Entry'!AP92)</f>
        <v/>
      </c>
      <c r="CL92" s="96" t="str">
        <f t="shared" si="212"/>
        <v/>
      </c>
      <c r="CM92" s="65">
        <f t="shared" si="213"/>
        <v>0</v>
      </c>
      <c r="CN92" s="65">
        <f t="shared" si="214"/>
        <v>0</v>
      </c>
      <c r="CO92" s="66" t="str">
        <f t="shared" si="215"/>
        <v/>
      </c>
      <c r="CP92" s="65" t="str">
        <f t="shared" si="216"/>
        <v/>
      </c>
      <c r="CQ92" s="65" t="str">
        <f t="shared" si="217"/>
        <v/>
      </c>
      <c r="CR92" s="65" t="str">
        <f t="shared" si="218"/>
        <v/>
      </c>
      <c r="CS92" s="616" t="str">
        <f>IF('School Profile'!$D$20="NO","",IF('Marks Entry'!AQ92="","",IF('Marks Entry'!AQ92=1,'School Profile'!$I$29,IF('Marks Entry'!AQ92=2,'School Profile'!$I$30,IF('Marks Entry'!AQ92=3,'School Profile'!$I$31,IF('Marks Entry'!AQ92=4,'School Profile'!$I$32,IF('Marks Entry'!AQ92=5,'School Profile'!$I$33,IF('Marks Entry'!AQ92=6,'School Profile'!$I$34,IF('Marks Entry'!AQ92=7,'School Profile'!$I$35,IF('Marks Entry'!AQ92=8,'School Profile'!$I$36,IF('Marks Entry'!AQ92=9,'School Profile'!$I$37,IF('Marks Entry'!AQ92=10,'School Profile'!$I$38,IF('Marks Entry'!AQ92=11,'School Profile'!$I$39,"")))))))))))))</f>
        <v/>
      </c>
      <c r="CT92" s="68" t="str">
        <f>IF('School Profile'!$D$20="NO","",IF('Marks Entry'!AR92="","",'Marks Entry'!AR92))</f>
        <v/>
      </c>
      <c r="CU92" s="68" t="str">
        <f>IF('School Profile'!$D$20="NO","",IF('Marks Entry'!AS92="","",'Marks Entry'!AS92))</f>
        <v/>
      </c>
      <c r="CV92" s="68" t="str">
        <f>IF('School Profile'!$D$20="NO","",IF('Marks Entry'!AT92="","",'Marks Entry'!AT92))</f>
        <v/>
      </c>
      <c r="CW92" s="514" t="str">
        <f>IF('School Profile'!$D$20="NO","",IF(AND(CT92="",CU92="",CV92=""),"",SUM(CT92:CV92)))</f>
        <v/>
      </c>
      <c r="CX92" s="68" t="str">
        <f>IF('School Profile'!$D$20="NO","",IF('Marks Entry'!AU92="","",'Marks Entry'!AU92))</f>
        <v/>
      </c>
      <c r="CY92" s="68" t="str">
        <f>IF('School Profile'!$D$20="NO","",IF('Marks Entry'!AV92="","",'Marks Entry'!AV92))</f>
        <v/>
      </c>
      <c r="CZ92" s="515" t="str">
        <f>IF('School Profile'!$D$20="NO","",IF(AND(CX92="",CY92=""),"",SUM(CX92,CY92)))</f>
        <v/>
      </c>
      <c r="DA92" s="69" t="str">
        <f>IF('School Profile'!$D$20="NO","",IF(AND(CW92="",CZ92=""),"",SUM(CW92+CZ92)))</f>
        <v/>
      </c>
      <c r="DB92" s="68" t="str">
        <f>IF('School Profile'!$D$20="NO","",IF('Marks Entry'!AW92="","",'Marks Entry'!AW92))</f>
        <v/>
      </c>
      <c r="DC92" s="68" t="str">
        <f>IF('School Profile'!$D$20="NO","",IF('Marks Entry'!AX92="","",'Marks Entry'!AX92))</f>
        <v/>
      </c>
      <c r="DD92" s="515" t="str">
        <f>IF('School Profile'!$D$20="NO","",IF(AND(DB92="",DC92=""),"",SUM(DB92,DC92)))</f>
        <v/>
      </c>
      <c r="DE92" s="96" t="str">
        <f>IF('School Profile'!$D$20="NO","",IF(AND(DA92="",DD92=""),"",SUM(DA92,DD92)))</f>
        <v/>
      </c>
      <c r="DF92" s="532">
        <f t="shared" si="219"/>
        <v>0</v>
      </c>
      <c r="DG92" s="65">
        <f t="shared" si="220"/>
        <v>0</v>
      </c>
      <c r="DH92" s="66" t="str">
        <f t="shared" si="221"/>
        <v/>
      </c>
      <c r="DI92" s="65" t="str">
        <f t="shared" si="222"/>
        <v/>
      </c>
      <c r="DJ92" s="65" t="str">
        <f t="shared" si="223"/>
        <v/>
      </c>
      <c r="DK92" s="65" t="str">
        <f t="shared" si="224"/>
        <v/>
      </c>
      <c r="DL92" s="97" t="str">
        <f t="shared" si="264"/>
        <v/>
      </c>
      <c r="DM92" s="97" t="str">
        <f t="shared" si="265"/>
        <v/>
      </c>
      <c r="DN92" s="97" t="str">
        <f t="shared" si="266"/>
        <v/>
      </c>
      <c r="DO92" s="97" t="str">
        <f t="shared" si="267"/>
        <v/>
      </c>
      <c r="DP92" s="97" t="str">
        <f t="shared" si="268"/>
        <v/>
      </c>
      <c r="DQ92" s="97" t="str">
        <f t="shared" si="269"/>
        <v/>
      </c>
      <c r="DR92" s="97" t="str">
        <f t="shared" si="270"/>
        <v/>
      </c>
      <c r="DS92" s="98">
        <f t="shared" si="271"/>
        <v>0</v>
      </c>
      <c r="DT92" s="98">
        <f t="shared" si="272"/>
        <v>0</v>
      </c>
      <c r="DU92" s="98">
        <f t="shared" si="273"/>
        <v>0</v>
      </c>
      <c r="DV92" s="98">
        <f t="shared" si="274"/>
        <v>0</v>
      </c>
      <c r="DW92" s="98">
        <f t="shared" si="275"/>
        <v>0</v>
      </c>
      <c r="DX92" s="98" t="str">
        <f t="shared" si="276"/>
        <v/>
      </c>
      <c r="DY92" s="99" t="str">
        <f t="shared" si="277"/>
        <v/>
      </c>
      <c r="DZ92" s="74" t="str">
        <f>IF('Marks Entry'!AY92="","",'Marks Entry'!AY92)</f>
        <v/>
      </c>
      <c r="EA92" s="74" t="str">
        <f>IF('Marks Entry'!AZ92="","",'Marks Entry'!AZ92)</f>
        <v/>
      </c>
      <c r="EB92" s="74" t="str">
        <f>IF('Marks Entry'!BA92="","",'Marks Entry'!BA92)</f>
        <v/>
      </c>
      <c r="EC92" s="527" t="str">
        <f t="shared" si="225"/>
        <v/>
      </c>
      <c r="ED92" s="74" t="str">
        <f>IF('Marks Entry'!BB92="","",'Marks Entry'!BB92)</f>
        <v/>
      </c>
      <c r="EE92" s="528" t="str">
        <f t="shared" si="226"/>
        <v/>
      </c>
      <c r="EF92" s="74" t="str">
        <f>IF('Marks Entry'!BC92="","",'Marks Entry'!BC92)</f>
        <v/>
      </c>
      <c r="EG92" s="530" t="str">
        <f t="shared" si="227"/>
        <v/>
      </c>
      <c r="EH92" s="368" t="str">
        <f t="shared" si="278"/>
        <v/>
      </c>
      <c r="EI92" s="65">
        <f t="shared" si="279"/>
        <v>0</v>
      </c>
      <c r="EJ92" s="65">
        <f t="shared" si="280"/>
        <v>0</v>
      </c>
      <c r="EK92" s="66" t="str">
        <f t="shared" si="281"/>
        <v/>
      </c>
      <c r="EL92" s="74" t="str">
        <f>IF('Marks Entry'!BD92="","",'Marks Entry'!BD92)</f>
        <v/>
      </c>
      <c r="EM92" s="74" t="str">
        <f>IF('Marks Entry'!BE92="","",'Marks Entry'!BE92)</f>
        <v/>
      </c>
      <c r="EN92" s="74" t="str">
        <f>IF('Marks Entry'!BF92="","",'Marks Entry'!BF92)</f>
        <v/>
      </c>
      <c r="EO92" s="527" t="str">
        <f t="shared" si="228"/>
        <v/>
      </c>
      <c r="EP92" s="74" t="str">
        <f>IF('Marks Entry'!BG92="","",'Marks Entry'!BG92)</f>
        <v/>
      </c>
      <c r="EQ92" s="74" t="str">
        <f>IF('Marks Entry'!BH92="","",'Marks Entry'!BH92)</f>
        <v/>
      </c>
      <c r="ER92" s="528" t="str">
        <f t="shared" si="229"/>
        <v/>
      </c>
      <c r="ES92" s="529" t="str">
        <f t="shared" si="230"/>
        <v/>
      </c>
      <c r="ET92" s="74" t="str">
        <f>IF('Marks Entry'!BI92="","",'Marks Entry'!BI92)</f>
        <v/>
      </c>
      <c r="EU92" s="74" t="str">
        <f>IF('Marks Entry'!BJ92="","",'Marks Entry'!BJ92)</f>
        <v/>
      </c>
      <c r="EV92" s="528" t="str">
        <f t="shared" si="231"/>
        <v/>
      </c>
      <c r="EW92" s="530" t="str">
        <f t="shared" si="232"/>
        <v/>
      </c>
      <c r="EX92" s="368" t="str">
        <f t="shared" si="282"/>
        <v/>
      </c>
      <c r="EY92" s="65">
        <f t="shared" si="283"/>
        <v>0</v>
      </c>
      <c r="EZ92" s="65">
        <f t="shared" si="284"/>
        <v>0</v>
      </c>
      <c r="FA92" s="66" t="str">
        <f t="shared" si="285"/>
        <v/>
      </c>
      <c r="FB92" s="74" t="str">
        <f>IF('Marks Entry'!BK92="","",'Marks Entry'!BK92)</f>
        <v/>
      </c>
      <c r="FC92" s="74" t="str">
        <f>IF('Marks Entry'!BL92="","",'Marks Entry'!BL92)</f>
        <v/>
      </c>
      <c r="FD92" s="74" t="str">
        <f>IF('Marks Entry'!BM92="","",'Marks Entry'!BM92)</f>
        <v/>
      </c>
      <c r="FE92" s="74" t="str">
        <f>IF('Marks Entry'!BN92="","",'Marks Entry'!BN92)</f>
        <v/>
      </c>
      <c r="FF92" s="74" t="str">
        <f>IF('Marks Entry'!BO92="","",'Marks Entry'!BO92)</f>
        <v/>
      </c>
      <c r="FG92" s="74" t="str">
        <f>IF('Marks Entry'!BP92="","",'Marks Entry'!BP92)</f>
        <v/>
      </c>
      <c r="FH92" s="527" t="str">
        <f t="shared" si="233"/>
        <v/>
      </c>
      <c r="FI92" s="74" t="str">
        <f>IF('Marks Entry'!BQ92="","",'Marks Entry'!BQ92)</f>
        <v/>
      </c>
      <c r="FJ92" s="74" t="str">
        <f>IF('Marks Entry'!BR92="","",'Marks Entry'!BR92)</f>
        <v/>
      </c>
      <c r="FK92" s="528" t="str">
        <f t="shared" si="234"/>
        <v/>
      </c>
      <c r="FL92" s="529" t="str">
        <f t="shared" si="235"/>
        <v/>
      </c>
      <c r="FM92" s="74" t="str">
        <f>IF('Marks Entry'!BS92="","",'Marks Entry'!BS92)</f>
        <v/>
      </c>
      <c r="FN92" s="74" t="str">
        <f>IF('Marks Entry'!BT92="","",'Marks Entry'!BT92)</f>
        <v/>
      </c>
      <c r="FO92" s="528" t="str">
        <f t="shared" si="236"/>
        <v/>
      </c>
      <c r="FP92" s="530" t="str">
        <f t="shared" si="237"/>
        <v/>
      </c>
      <c r="FQ92" s="368" t="str">
        <f t="shared" si="286"/>
        <v/>
      </c>
      <c r="FR92" s="65">
        <f t="shared" si="287"/>
        <v>0</v>
      </c>
      <c r="FS92" s="65">
        <f t="shared" si="288"/>
        <v>0</v>
      </c>
      <c r="FT92" s="66" t="str">
        <f t="shared" si="289"/>
        <v/>
      </c>
      <c r="FU92" s="74" t="str">
        <f>IF('Marks Entry'!BU92="","",'Marks Entry'!BU92)</f>
        <v/>
      </c>
      <c r="FV92" s="74" t="str">
        <f>IF('Marks Entry'!BV92="","",'Marks Entry'!BV92)</f>
        <v/>
      </c>
      <c r="FW92" s="74" t="str">
        <f>IF('Marks Entry'!BW92="","",'Marks Entry'!BW92)</f>
        <v/>
      </c>
      <c r="FX92" s="75" t="str">
        <f t="shared" si="238"/>
        <v/>
      </c>
      <c r="FY92" s="368" t="str">
        <f t="shared" si="290"/>
        <v/>
      </c>
      <c r="FZ92" s="65">
        <f t="shared" si="291"/>
        <v>0</v>
      </c>
      <c r="GA92" s="66">
        <f t="shared" si="292"/>
        <v>0</v>
      </c>
      <c r="GB92" s="66" t="str">
        <f t="shared" si="293"/>
        <v/>
      </c>
      <c r="GC92" s="74" t="str">
        <f>IF('Marks Entry'!BX92="","",'Marks Entry'!BX92)</f>
        <v/>
      </c>
      <c r="GD92" s="74" t="str">
        <f>IF('Marks Entry'!BY92="","",'Marks Entry'!BY92)</f>
        <v/>
      </c>
      <c r="GE92" s="74" t="str">
        <f>IF('Marks Entry'!BZ92="","",'Marks Entry'!BZ92)</f>
        <v/>
      </c>
      <c r="GF92" s="75" t="str">
        <f t="shared" si="294"/>
        <v/>
      </c>
      <c r="GG92" s="368" t="str">
        <f t="shared" si="295"/>
        <v/>
      </c>
      <c r="GH92" s="65">
        <f t="shared" si="296"/>
        <v>0</v>
      </c>
      <c r="GI92" s="66">
        <f t="shared" si="297"/>
        <v>0</v>
      </c>
      <c r="GJ92" s="66" t="str">
        <f t="shared" si="298"/>
        <v/>
      </c>
      <c r="GK92" s="100" t="str">
        <f>IF(AND(F92="",B92=""),"",IF('Student DATA Entry'!M89="","",'Student DATA Entry'!M89))</f>
        <v/>
      </c>
      <c r="GL92" s="101" t="str">
        <f>IF(AND(B92="",F92=""),"",IF('Student DATA Entry'!N89="","",'Student DATA Entry'!N89))</f>
        <v/>
      </c>
      <c r="GM92" s="581" t="str">
        <f t="shared" si="299"/>
        <v/>
      </c>
      <c r="GN92" s="94" t="str">
        <f t="shared" si="300"/>
        <v/>
      </c>
      <c r="GO92" s="94" t="str">
        <f t="shared" si="301"/>
        <v/>
      </c>
      <c r="GP92" s="102" t="str">
        <f t="shared" si="239"/>
        <v/>
      </c>
      <c r="GQ92" s="94" t="str">
        <f t="shared" si="302"/>
        <v/>
      </c>
      <c r="GR92" s="103" t="str">
        <f t="shared" si="303"/>
        <v/>
      </c>
      <c r="GS92" s="102" t="str">
        <f t="shared" si="240"/>
        <v/>
      </c>
      <c r="GT92" s="104" t="str">
        <f t="shared" si="304"/>
        <v/>
      </c>
      <c r="GU92" s="94" t="str">
        <f>IF('Marks Entry'!V92=1,GT92,"")</f>
        <v/>
      </c>
      <c r="GV92" s="94" t="str">
        <f>IF('Marks Entry'!V92=2,GT92,"")</f>
        <v/>
      </c>
      <c r="GW92" s="94" t="str">
        <f>IF('Marks Entry'!V92=3,GT92,"")</f>
        <v/>
      </c>
      <c r="GX92" s="94" t="str">
        <f>IF('Marks Entry'!V92=4,GT92,"")</f>
        <v/>
      </c>
      <c r="GY92" s="94" t="str">
        <f>IF('Marks Entry'!V92=5,GT92,"")</f>
        <v/>
      </c>
      <c r="GZ92" s="94" t="str">
        <f t="shared" si="305"/>
        <v/>
      </c>
      <c r="HA92" s="105" t="str">
        <f t="shared" si="241"/>
        <v/>
      </c>
      <c r="HB92" s="94" t="str">
        <f t="shared" si="306"/>
        <v/>
      </c>
      <c r="HC92" s="94" t="str">
        <f t="shared" si="307"/>
        <v/>
      </c>
      <c r="HD92" s="105" t="str">
        <f t="shared" si="242"/>
        <v/>
      </c>
      <c r="HE92" s="94" t="str">
        <f t="shared" si="308"/>
        <v/>
      </c>
      <c r="HF92" s="94" t="str">
        <f t="shared" si="309"/>
        <v/>
      </c>
      <c r="HG92" s="105" t="str">
        <f t="shared" si="243"/>
        <v/>
      </c>
      <c r="HH92" s="94" t="str">
        <f t="shared" si="310"/>
        <v/>
      </c>
      <c r="HI92" s="94" t="str">
        <f t="shared" si="311"/>
        <v/>
      </c>
      <c r="HJ92" s="105" t="str">
        <f t="shared" si="244"/>
        <v/>
      </c>
      <c r="HK92" s="94" t="str">
        <f t="shared" si="312"/>
        <v/>
      </c>
      <c r="HL92" s="94" t="str">
        <f t="shared" si="313"/>
        <v/>
      </c>
      <c r="HM92" s="105" t="str">
        <f t="shared" si="245"/>
        <v/>
      </c>
      <c r="HN92" s="367" t="str">
        <f t="shared" si="314"/>
        <v xml:space="preserve">      </v>
      </c>
      <c r="HO92" s="418" t="str">
        <f t="shared" si="246"/>
        <v xml:space="preserve">      </v>
      </c>
      <c r="HP92" s="367" t="str">
        <f t="shared" si="315"/>
        <v xml:space="preserve">      </v>
      </c>
      <c r="HQ92" s="107" t="str">
        <f t="shared" si="316"/>
        <v xml:space="preserve">      </v>
      </c>
      <c r="HR92" s="366" t="str">
        <f t="shared" si="317"/>
        <v xml:space="preserve">      </v>
      </c>
      <c r="HS92" s="544" t="str">
        <f t="shared" si="247"/>
        <v/>
      </c>
      <c r="HT92" s="542" t="str">
        <f t="shared" si="318"/>
        <v/>
      </c>
      <c r="HU92" s="541" t="str">
        <f t="shared" si="319"/>
        <v/>
      </c>
      <c r="HV92" s="540" t="str">
        <f t="shared" si="320"/>
        <v/>
      </c>
      <c r="HW92" s="537" t="str">
        <f t="shared" si="321"/>
        <v/>
      </c>
      <c r="HX92" s="539" t="str">
        <f t="shared" si="322"/>
        <v/>
      </c>
      <c r="HY92" s="553" t="str">
        <f>IFERROR(IF(OR(HS92="SUPPLEMENTARY",HS92="RE-EXAM"),'Supp. Result Entry'!AQ90,""),"")</f>
        <v/>
      </c>
      <c r="HZ92" s="538" t="str">
        <f t="shared" si="323"/>
        <v/>
      </c>
      <c r="IA92" s="415" t="str">
        <f t="shared" si="324"/>
        <v/>
      </c>
      <c r="IB92" s="415" t="str">
        <f>IF(AND(HZ92="",IA92=""),"",IF(OR(HS92="SUPPLEMENTARY",HS92="RE-EXAM"),'Supp. Result Entry'!AQ90,HS92))</f>
        <v/>
      </c>
      <c r="IC92" s="87"/>
      <c r="IS92" s="109" t="str">
        <f>IF('Supp. Result Entry'!T90="","",'Supp. Result Entry'!$T$4)</f>
        <v/>
      </c>
      <c r="IT92" s="110" t="str">
        <f>IF('Supp. Result Entry'!W90="","",'Supp. Result Entry'!$W$4)</f>
        <v/>
      </c>
      <c r="IU92" s="110" t="str">
        <f>IF('Supp. Result Entry'!Z90="","",'Supp. Result Entry'!$Z$4)</f>
        <v/>
      </c>
      <c r="IV92" s="110" t="str">
        <f>IF('Supp. Result Entry'!AC90="","",'Supp. Result Entry'!$AC$4)</f>
        <v/>
      </c>
      <c r="IW92" s="110" t="str">
        <f>IF('Supp. Result Entry'!AF90="","",'Supp. Result Entry'!$AF$4)</f>
        <v/>
      </c>
      <c r="IX92" s="110" t="str">
        <f>IF('Supp. Result Entry'!AI90="","",'Supp. Result Entry'!$AI$4)</f>
        <v/>
      </c>
      <c r="IY92" s="110" t="str">
        <f>IF('Supp. Result Entry'!AI90="","",'Supp. Result Entry'!$AL$4)</f>
        <v/>
      </c>
      <c r="IZ92" s="110" t="str">
        <f>IF('Supp. Result Entry'!U90="","",'Supp. Result Entry'!U90)</f>
        <v/>
      </c>
      <c r="JA92" s="110" t="str">
        <f>IF('Supp. Result Entry'!X90="","",'Supp. Result Entry'!X90)</f>
        <v/>
      </c>
      <c r="JB92" s="110" t="str">
        <f>IF('Supp. Result Entry'!AA90="","",'Supp. Result Entry'!AA90)</f>
        <v/>
      </c>
      <c r="JC92" s="110" t="str">
        <f>IF('Supp. Result Entry'!AD90="","",'Supp. Result Entry'!AD90)</f>
        <v/>
      </c>
      <c r="JD92" s="110" t="str">
        <f>IF('Supp. Result Entry'!AG90="","",'Supp. Result Entry'!AG90)</f>
        <v/>
      </c>
      <c r="JE92" s="110" t="str">
        <f>IF('Supp. Result Entry'!AJ90="","",'Supp. Result Entry'!AJ90)</f>
        <v/>
      </c>
      <c r="JF92" s="110" t="str">
        <f>IF('Supp. Result Entry'!AM90="","",'Supp. Result Entry'!AM90)</f>
        <v/>
      </c>
      <c r="JG92" s="110" t="str">
        <f>IF('Supp. Result Entry'!V90="","",'Supp. Result Entry'!V90)</f>
        <v/>
      </c>
      <c r="JH92" s="110" t="str">
        <f>IF('Supp. Result Entry'!Y90="","",'Supp. Result Entry'!Y90)</f>
        <v/>
      </c>
      <c r="JI92" s="110" t="str">
        <f>IF('Supp. Result Entry'!AB90="","",'Supp. Result Entry'!AB90)</f>
        <v/>
      </c>
      <c r="JJ92" s="110" t="str">
        <f>IF('Supp. Result Entry'!AE90="","",'Supp. Result Entry'!AE90)</f>
        <v/>
      </c>
      <c r="JK92" s="110" t="str">
        <f>IF('Supp. Result Entry'!AH90="","",'Supp. Result Entry'!AH90)</f>
        <v/>
      </c>
      <c r="JL92" s="110" t="str">
        <f>IF('Supp. Result Entry'!AK90="","",'Supp. Result Entry'!AK90)</f>
        <v/>
      </c>
      <c r="JM92" s="110" t="str">
        <f>IF('Supp. Result Entry'!AN90="","",'Supp. Result Entry'!AN90)</f>
        <v/>
      </c>
      <c r="JN92" s="110">
        <f>COUNTIF('Supp. Result Entry'!K90:Q90,"S")</f>
        <v>0</v>
      </c>
      <c r="JO92" s="110">
        <f t="shared" si="248"/>
        <v>0</v>
      </c>
      <c r="JP92" s="110">
        <f t="shared" si="325"/>
        <v>0</v>
      </c>
      <c r="JQ92" s="110" t="str">
        <f t="shared" si="249"/>
        <v/>
      </c>
      <c r="JR92" s="110" t="str">
        <f t="shared" si="250"/>
        <v/>
      </c>
      <c r="JS92" s="110" t="str">
        <f t="shared" si="251"/>
        <v/>
      </c>
      <c r="JT92" s="110" t="str">
        <f t="shared" si="252"/>
        <v/>
      </c>
      <c r="JU92" s="110" t="str">
        <f t="shared" si="253"/>
        <v/>
      </c>
      <c r="JV92" s="110" t="str">
        <f t="shared" si="254"/>
        <v/>
      </c>
      <c r="JW92" s="110" t="str">
        <f t="shared" si="255"/>
        <v/>
      </c>
      <c r="JX92" s="110" t="str">
        <f t="shared" si="326"/>
        <v/>
      </c>
      <c r="JY92" s="110" t="str">
        <f t="shared" si="327"/>
        <v/>
      </c>
      <c r="JZ92" s="110" t="str">
        <f t="shared" si="256"/>
        <v/>
      </c>
      <c r="KA92" s="108" t="str">
        <f t="shared" si="328"/>
        <v/>
      </c>
    </row>
    <row r="93" spans="1:287" s="108" customFormat="1" ht="21.95" customHeight="1">
      <c r="A93" s="89">
        <v>87</v>
      </c>
      <c r="B93" s="90" t="str">
        <f>IF('Marks Entry'!B93="","",'Marks Entry'!B93)</f>
        <v/>
      </c>
      <c r="C93" s="94" t="str">
        <f>IF('Marks Entry'!D93="","",'Marks Entry'!D93)</f>
        <v/>
      </c>
      <c r="D93" s="91" t="str">
        <f>IF('Marks Entry'!E93="","",'Marks Entry'!E93)</f>
        <v/>
      </c>
      <c r="E93" s="92" t="str">
        <f>IF('Marks Entry'!F93="","",'Marks Entry'!F93)</f>
        <v/>
      </c>
      <c r="F93" s="93" t="str">
        <f>IF('Marks Entry'!G93="","",'Marks Entry'!G93)</f>
        <v/>
      </c>
      <c r="G93" s="93" t="str">
        <f>IF('Marks Entry'!H93="","",'Marks Entry'!H93)</f>
        <v/>
      </c>
      <c r="H93" s="93" t="str">
        <f>IF('Marks Entry'!I93="","",'Marks Entry'!I93)</f>
        <v/>
      </c>
      <c r="I93" s="94" t="str">
        <f>IF('Marks Entry'!J93="","",'Marks Entry'!J93)</f>
        <v/>
      </c>
      <c r="J93" s="95" t="str">
        <f>IF('Marks Entry'!K93="","",'Marks Entry'!K93)</f>
        <v/>
      </c>
      <c r="K93" s="68" t="str">
        <f>IF('Marks Entry'!L93="","",'Marks Entry'!L93)</f>
        <v/>
      </c>
      <c r="L93" s="68" t="str">
        <f>IF('Marks Entry'!M93="","",'Marks Entry'!M93)</f>
        <v/>
      </c>
      <c r="M93" s="68" t="str">
        <f>IF('Marks Entry'!N93="","",'Marks Entry'!N93)</f>
        <v/>
      </c>
      <c r="N93" s="514" t="str">
        <f t="shared" si="257"/>
        <v/>
      </c>
      <c r="O93" s="68" t="str">
        <f>IF('Marks Entry'!O93="","",'Marks Entry'!O93)</f>
        <v/>
      </c>
      <c r="P93" s="515" t="str">
        <f t="shared" si="258"/>
        <v/>
      </c>
      <c r="Q93" s="68" t="str">
        <f>IF('Marks Entry'!P93="","",'Marks Entry'!P93)</f>
        <v/>
      </c>
      <c r="R93" s="96" t="str">
        <f t="shared" si="259"/>
        <v/>
      </c>
      <c r="S93" s="65">
        <f t="shared" si="260"/>
        <v>0</v>
      </c>
      <c r="T93" s="65">
        <f t="shared" si="261"/>
        <v>0</v>
      </c>
      <c r="U93" s="66" t="str">
        <f t="shared" si="171"/>
        <v/>
      </c>
      <c r="V93" s="65" t="str">
        <f t="shared" si="172"/>
        <v/>
      </c>
      <c r="W93" s="65" t="str">
        <f t="shared" si="262"/>
        <v/>
      </c>
      <c r="X93" s="65" t="str">
        <f t="shared" si="173"/>
        <v/>
      </c>
      <c r="Y93" s="68" t="str">
        <f>IF('Marks Entry'!Q93="","",'Marks Entry'!Q93)</f>
        <v/>
      </c>
      <c r="Z93" s="68" t="str">
        <f>IF('Marks Entry'!R93="","",'Marks Entry'!R93)</f>
        <v/>
      </c>
      <c r="AA93" s="68" t="str">
        <f>IF('Marks Entry'!S93="","",'Marks Entry'!S93)</f>
        <v/>
      </c>
      <c r="AB93" s="514" t="str">
        <f t="shared" si="174"/>
        <v/>
      </c>
      <c r="AC93" s="68" t="str">
        <f>IF('Marks Entry'!T93="","",'Marks Entry'!T93)</f>
        <v/>
      </c>
      <c r="AD93" s="515" t="str">
        <f t="shared" si="175"/>
        <v/>
      </c>
      <c r="AE93" s="68" t="str">
        <f>IF('Marks Entry'!U93="","",'Marks Entry'!U93)</f>
        <v/>
      </c>
      <c r="AF93" s="96" t="str">
        <f t="shared" si="176"/>
        <v/>
      </c>
      <c r="AG93" s="65">
        <f t="shared" si="177"/>
        <v>0</v>
      </c>
      <c r="AH93" s="65">
        <f t="shared" si="178"/>
        <v>0</v>
      </c>
      <c r="AI93" s="66" t="str">
        <f t="shared" si="179"/>
        <v/>
      </c>
      <c r="AJ93" s="65" t="str">
        <f t="shared" si="180"/>
        <v/>
      </c>
      <c r="AK93" s="65" t="str">
        <f t="shared" si="181"/>
        <v/>
      </c>
      <c r="AL93" s="65" t="str">
        <f t="shared" si="182"/>
        <v/>
      </c>
      <c r="AM93" s="524" t="str">
        <f>IF('Marks Entry'!V93="","",IF('Marks Entry'!V93=1,'School Profile'!$I$9,IF('Marks Entry'!V93=2,'School Profile'!$I$10,IF('Marks Entry'!V93=3,'School Profile'!$I$11,IF('Marks Entry'!V93=4,'School Profile'!$I$12,IF('Marks Entry'!V93=5,'School Profile'!$I$13,IF('Marks Entry'!V93=6,'School Profile'!$I$14,"")))))))</f>
        <v/>
      </c>
      <c r="AN93" s="68" t="str">
        <f>IF('Marks Entry'!W93="","",'Marks Entry'!W93)</f>
        <v/>
      </c>
      <c r="AO93" s="68" t="str">
        <f>IF('Marks Entry'!X93="","",'Marks Entry'!X93)</f>
        <v/>
      </c>
      <c r="AP93" s="68" t="str">
        <f>IF('Marks Entry'!Y93="","",'Marks Entry'!Y93)</f>
        <v/>
      </c>
      <c r="AQ93" s="514" t="str">
        <f t="shared" si="183"/>
        <v/>
      </c>
      <c r="AR93" s="68" t="str">
        <f>IF('Marks Entry'!Z93="","",'Marks Entry'!Z93)</f>
        <v/>
      </c>
      <c r="AS93" s="515" t="str">
        <f t="shared" si="184"/>
        <v/>
      </c>
      <c r="AT93" s="68" t="str">
        <f>IF('Marks Entry'!AA93="","",'Marks Entry'!AA93)</f>
        <v/>
      </c>
      <c r="AU93" s="96" t="str">
        <f t="shared" si="185"/>
        <v/>
      </c>
      <c r="AV93" s="65">
        <f t="shared" si="186"/>
        <v>0</v>
      </c>
      <c r="AW93" s="65">
        <f t="shared" si="187"/>
        <v>0</v>
      </c>
      <c r="AX93" s="66" t="str">
        <f t="shared" si="188"/>
        <v/>
      </c>
      <c r="AY93" s="65" t="str">
        <f t="shared" si="189"/>
        <v/>
      </c>
      <c r="AZ93" s="65" t="str">
        <f t="shared" si="190"/>
        <v/>
      </c>
      <c r="BA93" s="65" t="str">
        <f t="shared" si="191"/>
        <v/>
      </c>
      <c r="BB93" s="68" t="str">
        <f>IF('Marks Entry'!AB93="","",'Marks Entry'!AB93)</f>
        <v/>
      </c>
      <c r="BC93" s="68" t="str">
        <f>IF('Marks Entry'!AC93="","",'Marks Entry'!AC93)</f>
        <v/>
      </c>
      <c r="BD93" s="68" t="str">
        <f>IF('Marks Entry'!AD93="","",'Marks Entry'!AD93)</f>
        <v/>
      </c>
      <c r="BE93" s="514" t="str">
        <f t="shared" si="192"/>
        <v/>
      </c>
      <c r="BF93" s="68" t="str">
        <f>IF('Marks Entry'!AE93="","",'Marks Entry'!AE93)</f>
        <v/>
      </c>
      <c r="BG93" s="515" t="str">
        <f t="shared" si="193"/>
        <v/>
      </c>
      <c r="BH93" s="68" t="str">
        <f>IF('Marks Entry'!AF93="","",'Marks Entry'!AF93)</f>
        <v/>
      </c>
      <c r="BI93" s="96" t="str">
        <f t="shared" si="194"/>
        <v/>
      </c>
      <c r="BJ93" s="65">
        <f t="shared" si="195"/>
        <v>0</v>
      </c>
      <c r="BK93" s="65">
        <f t="shared" si="263"/>
        <v>0</v>
      </c>
      <c r="BL93" s="66" t="str">
        <f t="shared" si="196"/>
        <v/>
      </c>
      <c r="BM93" s="65" t="str">
        <f t="shared" si="197"/>
        <v/>
      </c>
      <c r="BN93" s="65" t="str">
        <f t="shared" si="198"/>
        <v/>
      </c>
      <c r="BO93" s="65" t="str">
        <f t="shared" si="199"/>
        <v/>
      </c>
      <c r="BP93" s="68" t="str">
        <f>IF('Marks Entry'!AG93="","",'Marks Entry'!AG93)</f>
        <v/>
      </c>
      <c r="BQ93" s="68" t="str">
        <f>IF('Marks Entry'!AH93="","",'Marks Entry'!AH93)</f>
        <v/>
      </c>
      <c r="BR93" s="68" t="str">
        <f>IF('Marks Entry'!AI93="","",'Marks Entry'!AI93)</f>
        <v/>
      </c>
      <c r="BS93" s="514" t="str">
        <f t="shared" si="200"/>
        <v/>
      </c>
      <c r="BT93" s="68" t="str">
        <f>IF('Marks Entry'!AJ93="","",'Marks Entry'!AJ93)</f>
        <v/>
      </c>
      <c r="BU93" s="515" t="str">
        <f t="shared" si="201"/>
        <v/>
      </c>
      <c r="BV93" s="68" t="str">
        <f>IF('Marks Entry'!AK93="","",'Marks Entry'!AK93)</f>
        <v/>
      </c>
      <c r="BW93" s="96" t="str">
        <f t="shared" si="202"/>
        <v/>
      </c>
      <c r="BX93" s="65">
        <f t="shared" si="203"/>
        <v>0</v>
      </c>
      <c r="BY93" s="65">
        <f t="shared" si="204"/>
        <v>0</v>
      </c>
      <c r="BZ93" s="66" t="str">
        <f t="shared" si="205"/>
        <v/>
      </c>
      <c r="CA93" s="65" t="str">
        <f t="shared" si="206"/>
        <v/>
      </c>
      <c r="CB93" s="65" t="str">
        <f t="shared" si="207"/>
        <v/>
      </c>
      <c r="CC93" s="65" t="str">
        <f t="shared" si="208"/>
        <v/>
      </c>
      <c r="CD93" s="66">
        <f t="shared" si="209"/>
        <v>0</v>
      </c>
      <c r="CE93" s="68" t="str">
        <f>IF('Marks Entry'!AL93="","",'Marks Entry'!AL93)</f>
        <v/>
      </c>
      <c r="CF93" s="68" t="str">
        <f>IF('Marks Entry'!AM93="","",'Marks Entry'!AM93)</f>
        <v/>
      </c>
      <c r="CG93" s="68" t="str">
        <f>IF('Marks Entry'!AN93="","",'Marks Entry'!AN93)</f>
        <v/>
      </c>
      <c r="CH93" s="514" t="str">
        <f t="shared" si="210"/>
        <v/>
      </c>
      <c r="CI93" s="68" t="str">
        <f>IF('Marks Entry'!AO93="","",'Marks Entry'!AO93)</f>
        <v/>
      </c>
      <c r="CJ93" s="515" t="str">
        <f t="shared" si="211"/>
        <v/>
      </c>
      <c r="CK93" s="68" t="str">
        <f>IF('Marks Entry'!AP93="","",'Marks Entry'!AP93)</f>
        <v/>
      </c>
      <c r="CL93" s="96" t="str">
        <f t="shared" si="212"/>
        <v/>
      </c>
      <c r="CM93" s="65">
        <f t="shared" si="213"/>
        <v>0</v>
      </c>
      <c r="CN93" s="65">
        <f t="shared" si="214"/>
        <v>0</v>
      </c>
      <c r="CO93" s="66" t="str">
        <f t="shared" si="215"/>
        <v/>
      </c>
      <c r="CP93" s="65" t="str">
        <f t="shared" si="216"/>
        <v/>
      </c>
      <c r="CQ93" s="65" t="str">
        <f t="shared" si="217"/>
        <v/>
      </c>
      <c r="CR93" s="65" t="str">
        <f t="shared" si="218"/>
        <v/>
      </c>
      <c r="CS93" s="616" t="str">
        <f>IF('School Profile'!$D$20="NO","",IF('Marks Entry'!AQ93="","",IF('Marks Entry'!AQ93=1,'School Profile'!$I$29,IF('Marks Entry'!AQ93=2,'School Profile'!$I$30,IF('Marks Entry'!AQ93=3,'School Profile'!$I$31,IF('Marks Entry'!AQ93=4,'School Profile'!$I$32,IF('Marks Entry'!AQ93=5,'School Profile'!$I$33,IF('Marks Entry'!AQ93=6,'School Profile'!$I$34,IF('Marks Entry'!AQ93=7,'School Profile'!$I$35,IF('Marks Entry'!AQ93=8,'School Profile'!$I$36,IF('Marks Entry'!AQ93=9,'School Profile'!$I$37,IF('Marks Entry'!AQ93=10,'School Profile'!$I$38,IF('Marks Entry'!AQ93=11,'School Profile'!$I$39,"")))))))))))))</f>
        <v/>
      </c>
      <c r="CT93" s="68" t="str">
        <f>IF('School Profile'!$D$20="NO","",IF('Marks Entry'!AR93="","",'Marks Entry'!AR93))</f>
        <v/>
      </c>
      <c r="CU93" s="68" t="str">
        <f>IF('School Profile'!$D$20="NO","",IF('Marks Entry'!AS93="","",'Marks Entry'!AS93))</f>
        <v/>
      </c>
      <c r="CV93" s="68" t="str">
        <f>IF('School Profile'!$D$20="NO","",IF('Marks Entry'!AT93="","",'Marks Entry'!AT93))</f>
        <v/>
      </c>
      <c r="CW93" s="514" t="str">
        <f>IF('School Profile'!$D$20="NO","",IF(AND(CT93="",CU93="",CV93=""),"",SUM(CT93:CV93)))</f>
        <v/>
      </c>
      <c r="CX93" s="68" t="str">
        <f>IF('School Profile'!$D$20="NO","",IF('Marks Entry'!AU93="","",'Marks Entry'!AU93))</f>
        <v/>
      </c>
      <c r="CY93" s="68" t="str">
        <f>IF('School Profile'!$D$20="NO","",IF('Marks Entry'!AV93="","",'Marks Entry'!AV93))</f>
        <v/>
      </c>
      <c r="CZ93" s="515" t="str">
        <f>IF('School Profile'!$D$20="NO","",IF(AND(CX93="",CY93=""),"",SUM(CX93,CY93)))</f>
        <v/>
      </c>
      <c r="DA93" s="69" t="str">
        <f>IF('School Profile'!$D$20="NO","",IF(AND(CW93="",CZ93=""),"",SUM(CW93+CZ93)))</f>
        <v/>
      </c>
      <c r="DB93" s="68" t="str">
        <f>IF('School Profile'!$D$20="NO","",IF('Marks Entry'!AW93="","",'Marks Entry'!AW93))</f>
        <v/>
      </c>
      <c r="DC93" s="68" t="str">
        <f>IF('School Profile'!$D$20="NO","",IF('Marks Entry'!AX93="","",'Marks Entry'!AX93))</f>
        <v/>
      </c>
      <c r="DD93" s="515" t="str">
        <f>IF('School Profile'!$D$20="NO","",IF(AND(DB93="",DC93=""),"",SUM(DB93,DC93)))</f>
        <v/>
      </c>
      <c r="DE93" s="96" t="str">
        <f>IF('School Profile'!$D$20="NO","",IF(AND(DA93="",DD93=""),"",SUM(DA93,DD93)))</f>
        <v/>
      </c>
      <c r="DF93" s="532">
        <f t="shared" si="219"/>
        <v>0</v>
      </c>
      <c r="DG93" s="65">
        <f t="shared" si="220"/>
        <v>0</v>
      </c>
      <c r="DH93" s="66" t="str">
        <f t="shared" si="221"/>
        <v/>
      </c>
      <c r="DI93" s="65" t="str">
        <f t="shared" si="222"/>
        <v/>
      </c>
      <c r="DJ93" s="65" t="str">
        <f t="shared" si="223"/>
        <v/>
      </c>
      <c r="DK93" s="65" t="str">
        <f t="shared" si="224"/>
        <v/>
      </c>
      <c r="DL93" s="97" t="str">
        <f t="shared" si="264"/>
        <v/>
      </c>
      <c r="DM93" s="97" t="str">
        <f t="shared" si="265"/>
        <v/>
      </c>
      <c r="DN93" s="97" t="str">
        <f t="shared" si="266"/>
        <v/>
      </c>
      <c r="DO93" s="97" t="str">
        <f t="shared" si="267"/>
        <v/>
      </c>
      <c r="DP93" s="97" t="str">
        <f t="shared" si="268"/>
        <v/>
      </c>
      <c r="DQ93" s="97" t="str">
        <f t="shared" si="269"/>
        <v/>
      </c>
      <c r="DR93" s="97" t="str">
        <f t="shared" si="270"/>
        <v/>
      </c>
      <c r="DS93" s="98">
        <f t="shared" si="271"/>
        <v>0</v>
      </c>
      <c r="DT93" s="98">
        <f t="shared" si="272"/>
        <v>0</v>
      </c>
      <c r="DU93" s="98">
        <f t="shared" si="273"/>
        <v>0</v>
      </c>
      <c r="DV93" s="98">
        <f t="shared" si="274"/>
        <v>0</v>
      </c>
      <c r="DW93" s="98">
        <f t="shared" si="275"/>
        <v>0</v>
      </c>
      <c r="DX93" s="98" t="str">
        <f t="shared" si="276"/>
        <v/>
      </c>
      <c r="DY93" s="99" t="str">
        <f t="shared" si="277"/>
        <v/>
      </c>
      <c r="DZ93" s="74" t="str">
        <f>IF('Marks Entry'!AY93="","",'Marks Entry'!AY93)</f>
        <v/>
      </c>
      <c r="EA93" s="74" t="str">
        <f>IF('Marks Entry'!AZ93="","",'Marks Entry'!AZ93)</f>
        <v/>
      </c>
      <c r="EB93" s="74" t="str">
        <f>IF('Marks Entry'!BA93="","",'Marks Entry'!BA93)</f>
        <v/>
      </c>
      <c r="EC93" s="527" t="str">
        <f t="shared" si="225"/>
        <v/>
      </c>
      <c r="ED93" s="74" t="str">
        <f>IF('Marks Entry'!BB93="","",'Marks Entry'!BB93)</f>
        <v/>
      </c>
      <c r="EE93" s="528" t="str">
        <f t="shared" si="226"/>
        <v/>
      </c>
      <c r="EF93" s="74" t="str">
        <f>IF('Marks Entry'!BC93="","",'Marks Entry'!BC93)</f>
        <v/>
      </c>
      <c r="EG93" s="530" t="str">
        <f t="shared" si="227"/>
        <v/>
      </c>
      <c r="EH93" s="368" t="str">
        <f t="shared" si="278"/>
        <v/>
      </c>
      <c r="EI93" s="65">
        <f t="shared" si="279"/>
        <v>0</v>
      </c>
      <c r="EJ93" s="65">
        <f t="shared" si="280"/>
        <v>0</v>
      </c>
      <c r="EK93" s="66" t="str">
        <f t="shared" si="281"/>
        <v/>
      </c>
      <c r="EL93" s="74" t="str">
        <f>IF('Marks Entry'!BD93="","",'Marks Entry'!BD93)</f>
        <v/>
      </c>
      <c r="EM93" s="74" t="str">
        <f>IF('Marks Entry'!BE93="","",'Marks Entry'!BE93)</f>
        <v/>
      </c>
      <c r="EN93" s="74" t="str">
        <f>IF('Marks Entry'!BF93="","",'Marks Entry'!BF93)</f>
        <v/>
      </c>
      <c r="EO93" s="527" t="str">
        <f t="shared" si="228"/>
        <v/>
      </c>
      <c r="EP93" s="74" t="str">
        <f>IF('Marks Entry'!BG93="","",'Marks Entry'!BG93)</f>
        <v/>
      </c>
      <c r="EQ93" s="74" t="str">
        <f>IF('Marks Entry'!BH93="","",'Marks Entry'!BH93)</f>
        <v/>
      </c>
      <c r="ER93" s="528" t="str">
        <f t="shared" si="229"/>
        <v/>
      </c>
      <c r="ES93" s="529" t="str">
        <f t="shared" si="230"/>
        <v/>
      </c>
      <c r="ET93" s="74" t="str">
        <f>IF('Marks Entry'!BI93="","",'Marks Entry'!BI93)</f>
        <v/>
      </c>
      <c r="EU93" s="74" t="str">
        <f>IF('Marks Entry'!BJ93="","",'Marks Entry'!BJ93)</f>
        <v/>
      </c>
      <c r="EV93" s="528" t="str">
        <f t="shared" si="231"/>
        <v/>
      </c>
      <c r="EW93" s="530" t="str">
        <f t="shared" si="232"/>
        <v/>
      </c>
      <c r="EX93" s="368" t="str">
        <f t="shared" si="282"/>
        <v/>
      </c>
      <c r="EY93" s="65">
        <f t="shared" si="283"/>
        <v>0</v>
      </c>
      <c r="EZ93" s="65">
        <f t="shared" si="284"/>
        <v>0</v>
      </c>
      <c r="FA93" s="66" t="str">
        <f t="shared" si="285"/>
        <v/>
      </c>
      <c r="FB93" s="74" t="str">
        <f>IF('Marks Entry'!BK93="","",'Marks Entry'!BK93)</f>
        <v/>
      </c>
      <c r="FC93" s="74" t="str">
        <f>IF('Marks Entry'!BL93="","",'Marks Entry'!BL93)</f>
        <v/>
      </c>
      <c r="FD93" s="74" t="str">
        <f>IF('Marks Entry'!BM93="","",'Marks Entry'!BM93)</f>
        <v/>
      </c>
      <c r="FE93" s="74" t="str">
        <f>IF('Marks Entry'!BN93="","",'Marks Entry'!BN93)</f>
        <v/>
      </c>
      <c r="FF93" s="74" t="str">
        <f>IF('Marks Entry'!BO93="","",'Marks Entry'!BO93)</f>
        <v/>
      </c>
      <c r="FG93" s="74" t="str">
        <f>IF('Marks Entry'!BP93="","",'Marks Entry'!BP93)</f>
        <v/>
      </c>
      <c r="FH93" s="527" t="str">
        <f t="shared" si="233"/>
        <v/>
      </c>
      <c r="FI93" s="74" t="str">
        <f>IF('Marks Entry'!BQ93="","",'Marks Entry'!BQ93)</f>
        <v/>
      </c>
      <c r="FJ93" s="74" t="str">
        <f>IF('Marks Entry'!BR93="","",'Marks Entry'!BR93)</f>
        <v/>
      </c>
      <c r="FK93" s="528" t="str">
        <f t="shared" si="234"/>
        <v/>
      </c>
      <c r="FL93" s="529" t="str">
        <f t="shared" si="235"/>
        <v/>
      </c>
      <c r="FM93" s="74" t="str">
        <f>IF('Marks Entry'!BS93="","",'Marks Entry'!BS93)</f>
        <v/>
      </c>
      <c r="FN93" s="74" t="str">
        <f>IF('Marks Entry'!BT93="","",'Marks Entry'!BT93)</f>
        <v/>
      </c>
      <c r="FO93" s="528" t="str">
        <f t="shared" si="236"/>
        <v/>
      </c>
      <c r="FP93" s="530" t="str">
        <f t="shared" si="237"/>
        <v/>
      </c>
      <c r="FQ93" s="368" t="str">
        <f t="shared" si="286"/>
        <v/>
      </c>
      <c r="FR93" s="65">
        <f t="shared" si="287"/>
        <v>0</v>
      </c>
      <c r="FS93" s="65">
        <f t="shared" si="288"/>
        <v>0</v>
      </c>
      <c r="FT93" s="66" t="str">
        <f t="shared" si="289"/>
        <v/>
      </c>
      <c r="FU93" s="74" t="str">
        <f>IF('Marks Entry'!BU93="","",'Marks Entry'!BU93)</f>
        <v/>
      </c>
      <c r="FV93" s="74" t="str">
        <f>IF('Marks Entry'!BV93="","",'Marks Entry'!BV93)</f>
        <v/>
      </c>
      <c r="FW93" s="74" t="str">
        <f>IF('Marks Entry'!BW93="","",'Marks Entry'!BW93)</f>
        <v/>
      </c>
      <c r="FX93" s="75" t="str">
        <f t="shared" si="238"/>
        <v/>
      </c>
      <c r="FY93" s="368" t="str">
        <f t="shared" si="290"/>
        <v/>
      </c>
      <c r="FZ93" s="65">
        <f t="shared" si="291"/>
        <v>0</v>
      </c>
      <c r="GA93" s="66">
        <f t="shared" si="292"/>
        <v>0</v>
      </c>
      <c r="GB93" s="66" t="str">
        <f t="shared" si="293"/>
        <v/>
      </c>
      <c r="GC93" s="74" t="str">
        <f>IF('Marks Entry'!BX93="","",'Marks Entry'!BX93)</f>
        <v/>
      </c>
      <c r="GD93" s="74" t="str">
        <f>IF('Marks Entry'!BY93="","",'Marks Entry'!BY93)</f>
        <v/>
      </c>
      <c r="GE93" s="74" t="str">
        <f>IF('Marks Entry'!BZ93="","",'Marks Entry'!BZ93)</f>
        <v/>
      </c>
      <c r="GF93" s="75" t="str">
        <f t="shared" si="294"/>
        <v/>
      </c>
      <c r="GG93" s="368" t="str">
        <f t="shared" si="295"/>
        <v/>
      </c>
      <c r="GH93" s="65">
        <f t="shared" si="296"/>
        <v>0</v>
      </c>
      <c r="GI93" s="66">
        <f t="shared" si="297"/>
        <v>0</v>
      </c>
      <c r="GJ93" s="66" t="str">
        <f t="shared" si="298"/>
        <v/>
      </c>
      <c r="GK93" s="100" t="str">
        <f>IF(AND(F93="",B93=""),"",IF('Student DATA Entry'!M90="","",'Student DATA Entry'!M90))</f>
        <v/>
      </c>
      <c r="GL93" s="101" t="str">
        <f>IF(AND(B93="",F93=""),"",IF('Student DATA Entry'!N90="","",'Student DATA Entry'!N90))</f>
        <v/>
      </c>
      <c r="GM93" s="581" t="str">
        <f t="shared" si="299"/>
        <v/>
      </c>
      <c r="GN93" s="94" t="str">
        <f t="shared" si="300"/>
        <v/>
      </c>
      <c r="GO93" s="94" t="str">
        <f t="shared" si="301"/>
        <v/>
      </c>
      <c r="GP93" s="102" t="str">
        <f t="shared" si="239"/>
        <v/>
      </c>
      <c r="GQ93" s="94" t="str">
        <f t="shared" si="302"/>
        <v/>
      </c>
      <c r="GR93" s="103" t="str">
        <f t="shared" si="303"/>
        <v/>
      </c>
      <c r="GS93" s="102" t="str">
        <f t="shared" si="240"/>
        <v/>
      </c>
      <c r="GT93" s="104" t="str">
        <f t="shared" si="304"/>
        <v/>
      </c>
      <c r="GU93" s="94" t="str">
        <f>IF('Marks Entry'!V93=1,GT93,"")</f>
        <v/>
      </c>
      <c r="GV93" s="94" t="str">
        <f>IF('Marks Entry'!V93=2,GT93,"")</f>
        <v/>
      </c>
      <c r="GW93" s="94" t="str">
        <f>IF('Marks Entry'!V93=3,GT93,"")</f>
        <v/>
      </c>
      <c r="GX93" s="94" t="str">
        <f>IF('Marks Entry'!V93=4,GT93,"")</f>
        <v/>
      </c>
      <c r="GY93" s="94" t="str">
        <f>IF('Marks Entry'!V93=5,GT93,"")</f>
        <v/>
      </c>
      <c r="GZ93" s="94" t="str">
        <f t="shared" si="305"/>
        <v/>
      </c>
      <c r="HA93" s="105" t="str">
        <f t="shared" si="241"/>
        <v/>
      </c>
      <c r="HB93" s="94" t="str">
        <f t="shared" si="306"/>
        <v/>
      </c>
      <c r="HC93" s="94" t="str">
        <f t="shared" si="307"/>
        <v/>
      </c>
      <c r="HD93" s="105" t="str">
        <f t="shared" si="242"/>
        <v/>
      </c>
      <c r="HE93" s="94" t="str">
        <f t="shared" si="308"/>
        <v/>
      </c>
      <c r="HF93" s="94" t="str">
        <f t="shared" si="309"/>
        <v/>
      </c>
      <c r="HG93" s="105" t="str">
        <f t="shared" si="243"/>
        <v/>
      </c>
      <c r="HH93" s="94" t="str">
        <f t="shared" si="310"/>
        <v/>
      </c>
      <c r="HI93" s="94" t="str">
        <f t="shared" si="311"/>
        <v/>
      </c>
      <c r="HJ93" s="105" t="str">
        <f t="shared" si="244"/>
        <v/>
      </c>
      <c r="HK93" s="94" t="str">
        <f t="shared" si="312"/>
        <v/>
      </c>
      <c r="HL93" s="94" t="str">
        <f t="shared" si="313"/>
        <v/>
      </c>
      <c r="HM93" s="105" t="str">
        <f t="shared" si="245"/>
        <v/>
      </c>
      <c r="HN93" s="367" t="str">
        <f t="shared" si="314"/>
        <v xml:space="preserve">      </v>
      </c>
      <c r="HO93" s="418" t="str">
        <f t="shared" si="246"/>
        <v xml:space="preserve">      </v>
      </c>
      <c r="HP93" s="367" t="str">
        <f t="shared" si="315"/>
        <v xml:space="preserve">      </v>
      </c>
      <c r="HQ93" s="107" t="str">
        <f t="shared" si="316"/>
        <v xml:space="preserve">      </v>
      </c>
      <c r="HR93" s="366" t="str">
        <f t="shared" si="317"/>
        <v xml:space="preserve">      </v>
      </c>
      <c r="HS93" s="544" t="str">
        <f t="shared" si="247"/>
        <v/>
      </c>
      <c r="HT93" s="542" t="str">
        <f t="shared" si="318"/>
        <v/>
      </c>
      <c r="HU93" s="541" t="str">
        <f t="shared" si="319"/>
        <v/>
      </c>
      <c r="HV93" s="540" t="str">
        <f t="shared" si="320"/>
        <v/>
      </c>
      <c r="HW93" s="537" t="str">
        <f t="shared" si="321"/>
        <v/>
      </c>
      <c r="HX93" s="539" t="str">
        <f t="shared" si="322"/>
        <v/>
      </c>
      <c r="HY93" s="553" t="str">
        <f>IFERROR(IF(OR(HS93="SUPPLEMENTARY",HS93="RE-EXAM"),'Supp. Result Entry'!AQ91,""),"")</f>
        <v/>
      </c>
      <c r="HZ93" s="538" t="str">
        <f t="shared" si="323"/>
        <v/>
      </c>
      <c r="IA93" s="415" t="str">
        <f t="shared" si="324"/>
        <v/>
      </c>
      <c r="IB93" s="415" t="str">
        <f>IF(AND(HZ93="",IA93=""),"",IF(OR(HS93="SUPPLEMENTARY",HS93="RE-EXAM"),'Supp. Result Entry'!AQ91,HS93))</f>
        <v/>
      </c>
      <c r="IC93" s="87"/>
      <c r="IS93" s="109" t="str">
        <f>IF('Supp. Result Entry'!T91="","",'Supp. Result Entry'!$T$4)</f>
        <v/>
      </c>
      <c r="IT93" s="110" t="str">
        <f>IF('Supp. Result Entry'!W91="","",'Supp. Result Entry'!$W$4)</f>
        <v/>
      </c>
      <c r="IU93" s="110" t="str">
        <f>IF('Supp. Result Entry'!Z91="","",'Supp. Result Entry'!$Z$4)</f>
        <v/>
      </c>
      <c r="IV93" s="110" t="str">
        <f>IF('Supp. Result Entry'!AC91="","",'Supp. Result Entry'!$AC$4)</f>
        <v/>
      </c>
      <c r="IW93" s="110" t="str">
        <f>IF('Supp. Result Entry'!AF91="","",'Supp. Result Entry'!$AF$4)</f>
        <v/>
      </c>
      <c r="IX93" s="110" t="str">
        <f>IF('Supp. Result Entry'!AI91="","",'Supp. Result Entry'!$AI$4)</f>
        <v/>
      </c>
      <c r="IY93" s="110" t="str">
        <f>IF('Supp. Result Entry'!AI91="","",'Supp. Result Entry'!$AL$4)</f>
        <v/>
      </c>
      <c r="IZ93" s="110" t="str">
        <f>IF('Supp. Result Entry'!U91="","",'Supp. Result Entry'!U91)</f>
        <v/>
      </c>
      <c r="JA93" s="110" t="str">
        <f>IF('Supp. Result Entry'!X91="","",'Supp. Result Entry'!X91)</f>
        <v/>
      </c>
      <c r="JB93" s="110" t="str">
        <f>IF('Supp. Result Entry'!AA91="","",'Supp. Result Entry'!AA91)</f>
        <v/>
      </c>
      <c r="JC93" s="110" t="str">
        <f>IF('Supp. Result Entry'!AD91="","",'Supp. Result Entry'!AD91)</f>
        <v/>
      </c>
      <c r="JD93" s="110" t="str">
        <f>IF('Supp. Result Entry'!AG91="","",'Supp. Result Entry'!AG91)</f>
        <v/>
      </c>
      <c r="JE93" s="110" t="str">
        <f>IF('Supp. Result Entry'!AJ91="","",'Supp. Result Entry'!AJ91)</f>
        <v/>
      </c>
      <c r="JF93" s="110" t="str">
        <f>IF('Supp. Result Entry'!AM91="","",'Supp. Result Entry'!AM91)</f>
        <v/>
      </c>
      <c r="JG93" s="110" t="str">
        <f>IF('Supp. Result Entry'!V91="","",'Supp. Result Entry'!V91)</f>
        <v/>
      </c>
      <c r="JH93" s="110" t="str">
        <f>IF('Supp. Result Entry'!Y91="","",'Supp. Result Entry'!Y91)</f>
        <v/>
      </c>
      <c r="JI93" s="110" t="str">
        <f>IF('Supp. Result Entry'!AB91="","",'Supp. Result Entry'!AB91)</f>
        <v/>
      </c>
      <c r="JJ93" s="110" t="str">
        <f>IF('Supp. Result Entry'!AE91="","",'Supp. Result Entry'!AE91)</f>
        <v/>
      </c>
      <c r="JK93" s="110" t="str">
        <f>IF('Supp. Result Entry'!AH91="","",'Supp. Result Entry'!AH91)</f>
        <v/>
      </c>
      <c r="JL93" s="110" t="str">
        <f>IF('Supp. Result Entry'!AK91="","",'Supp. Result Entry'!AK91)</f>
        <v/>
      </c>
      <c r="JM93" s="110" t="str">
        <f>IF('Supp. Result Entry'!AN91="","",'Supp. Result Entry'!AN91)</f>
        <v/>
      </c>
      <c r="JN93" s="110">
        <f>COUNTIF('Supp. Result Entry'!K91:Q91,"S")</f>
        <v>0</v>
      </c>
      <c r="JO93" s="110">
        <f t="shared" si="248"/>
        <v>0</v>
      </c>
      <c r="JP93" s="110">
        <f t="shared" si="325"/>
        <v>0</v>
      </c>
      <c r="JQ93" s="110" t="str">
        <f t="shared" si="249"/>
        <v/>
      </c>
      <c r="JR93" s="110" t="str">
        <f t="shared" si="250"/>
        <v/>
      </c>
      <c r="JS93" s="110" t="str">
        <f t="shared" si="251"/>
        <v/>
      </c>
      <c r="JT93" s="110" t="str">
        <f t="shared" si="252"/>
        <v/>
      </c>
      <c r="JU93" s="110" t="str">
        <f t="shared" si="253"/>
        <v/>
      </c>
      <c r="JV93" s="110" t="str">
        <f t="shared" si="254"/>
        <v/>
      </c>
      <c r="JW93" s="110" t="str">
        <f t="shared" si="255"/>
        <v/>
      </c>
      <c r="JX93" s="110" t="str">
        <f t="shared" si="326"/>
        <v/>
      </c>
      <c r="JY93" s="110" t="str">
        <f t="shared" si="327"/>
        <v/>
      </c>
      <c r="JZ93" s="110" t="str">
        <f t="shared" si="256"/>
        <v/>
      </c>
      <c r="KA93" s="108" t="str">
        <f t="shared" si="328"/>
        <v/>
      </c>
    </row>
    <row r="94" spans="1:287" s="108" customFormat="1" ht="21.95" customHeight="1">
      <c r="A94" s="89">
        <v>88</v>
      </c>
      <c r="B94" s="90" t="str">
        <f>IF('Marks Entry'!B94="","",'Marks Entry'!B94)</f>
        <v/>
      </c>
      <c r="C94" s="94" t="str">
        <f>IF('Marks Entry'!D94="","",'Marks Entry'!D94)</f>
        <v/>
      </c>
      <c r="D94" s="91" t="str">
        <f>IF('Marks Entry'!E94="","",'Marks Entry'!E94)</f>
        <v/>
      </c>
      <c r="E94" s="92" t="str">
        <f>IF('Marks Entry'!F94="","",'Marks Entry'!F94)</f>
        <v/>
      </c>
      <c r="F94" s="93" t="str">
        <f>IF('Marks Entry'!G94="","",'Marks Entry'!G94)</f>
        <v/>
      </c>
      <c r="G94" s="93" t="str">
        <f>IF('Marks Entry'!H94="","",'Marks Entry'!H94)</f>
        <v/>
      </c>
      <c r="H94" s="93" t="str">
        <f>IF('Marks Entry'!I94="","",'Marks Entry'!I94)</f>
        <v/>
      </c>
      <c r="I94" s="94" t="str">
        <f>IF('Marks Entry'!J94="","",'Marks Entry'!J94)</f>
        <v/>
      </c>
      <c r="J94" s="95" t="str">
        <f>IF('Marks Entry'!K94="","",'Marks Entry'!K94)</f>
        <v/>
      </c>
      <c r="K94" s="68" t="str">
        <f>IF('Marks Entry'!L94="","",'Marks Entry'!L94)</f>
        <v/>
      </c>
      <c r="L94" s="68" t="str">
        <f>IF('Marks Entry'!M94="","",'Marks Entry'!M94)</f>
        <v/>
      </c>
      <c r="M94" s="68" t="str">
        <f>IF('Marks Entry'!N94="","",'Marks Entry'!N94)</f>
        <v/>
      </c>
      <c r="N94" s="514" t="str">
        <f t="shared" si="257"/>
        <v/>
      </c>
      <c r="O94" s="68" t="str">
        <f>IF('Marks Entry'!O94="","",'Marks Entry'!O94)</f>
        <v/>
      </c>
      <c r="P94" s="515" t="str">
        <f t="shared" si="258"/>
        <v/>
      </c>
      <c r="Q94" s="68" t="str">
        <f>IF('Marks Entry'!P94="","",'Marks Entry'!P94)</f>
        <v/>
      </c>
      <c r="R94" s="96" t="str">
        <f t="shared" si="259"/>
        <v/>
      </c>
      <c r="S94" s="65">
        <f t="shared" si="260"/>
        <v>0</v>
      </c>
      <c r="T94" s="65">
        <f t="shared" si="261"/>
        <v>0</v>
      </c>
      <c r="U94" s="66" t="str">
        <f t="shared" si="171"/>
        <v/>
      </c>
      <c r="V94" s="65" t="str">
        <f t="shared" si="172"/>
        <v/>
      </c>
      <c r="W94" s="65" t="str">
        <f t="shared" si="262"/>
        <v/>
      </c>
      <c r="X94" s="65" t="str">
        <f t="shared" si="173"/>
        <v/>
      </c>
      <c r="Y94" s="68" t="str">
        <f>IF('Marks Entry'!Q94="","",'Marks Entry'!Q94)</f>
        <v/>
      </c>
      <c r="Z94" s="68" t="str">
        <f>IF('Marks Entry'!R94="","",'Marks Entry'!R94)</f>
        <v/>
      </c>
      <c r="AA94" s="68" t="str">
        <f>IF('Marks Entry'!S94="","",'Marks Entry'!S94)</f>
        <v/>
      </c>
      <c r="AB94" s="514" t="str">
        <f t="shared" si="174"/>
        <v/>
      </c>
      <c r="AC94" s="68" t="str">
        <f>IF('Marks Entry'!T94="","",'Marks Entry'!T94)</f>
        <v/>
      </c>
      <c r="AD94" s="515" t="str">
        <f t="shared" si="175"/>
        <v/>
      </c>
      <c r="AE94" s="68" t="str">
        <f>IF('Marks Entry'!U94="","",'Marks Entry'!U94)</f>
        <v/>
      </c>
      <c r="AF94" s="96" t="str">
        <f t="shared" si="176"/>
        <v/>
      </c>
      <c r="AG94" s="65">
        <f t="shared" si="177"/>
        <v>0</v>
      </c>
      <c r="AH94" s="65">
        <f t="shared" si="178"/>
        <v>0</v>
      </c>
      <c r="AI94" s="66" t="str">
        <f t="shared" si="179"/>
        <v/>
      </c>
      <c r="AJ94" s="65" t="str">
        <f t="shared" si="180"/>
        <v/>
      </c>
      <c r="AK94" s="65" t="str">
        <f t="shared" si="181"/>
        <v/>
      </c>
      <c r="AL94" s="65" t="str">
        <f t="shared" si="182"/>
        <v/>
      </c>
      <c r="AM94" s="524" t="str">
        <f>IF('Marks Entry'!V94="","",IF('Marks Entry'!V94=1,'School Profile'!$I$9,IF('Marks Entry'!V94=2,'School Profile'!$I$10,IF('Marks Entry'!V94=3,'School Profile'!$I$11,IF('Marks Entry'!V94=4,'School Profile'!$I$12,IF('Marks Entry'!V94=5,'School Profile'!$I$13,IF('Marks Entry'!V94=6,'School Profile'!$I$14,"")))))))</f>
        <v/>
      </c>
      <c r="AN94" s="68" t="str">
        <f>IF('Marks Entry'!W94="","",'Marks Entry'!W94)</f>
        <v/>
      </c>
      <c r="AO94" s="68" t="str">
        <f>IF('Marks Entry'!X94="","",'Marks Entry'!X94)</f>
        <v/>
      </c>
      <c r="AP94" s="68" t="str">
        <f>IF('Marks Entry'!Y94="","",'Marks Entry'!Y94)</f>
        <v/>
      </c>
      <c r="AQ94" s="514" t="str">
        <f t="shared" si="183"/>
        <v/>
      </c>
      <c r="AR94" s="68" t="str">
        <f>IF('Marks Entry'!Z94="","",'Marks Entry'!Z94)</f>
        <v/>
      </c>
      <c r="AS94" s="515" t="str">
        <f t="shared" si="184"/>
        <v/>
      </c>
      <c r="AT94" s="68" t="str">
        <f>IF('Marks Entry'!AA94="","",'Marks Entry'!AA94)</f>
        <v/>
      </c>
      <c r="AU94" s="96" t="str">
        <f t="shared" si="185"/>
        <v/>
      </c>
      <c r="AV94" s="65">
        <f t="shared" si="186"/>
        <v>0</v>
      </c>
      <c r="AW94" s="65">
        <f t="shared" si="187"/>
        <v>0</v>
      </c>
      <c r="AX94" s="66" t="str">
        <f t="shared" si="188"/>
        <v/>
      </c>
      <c r="AY94" s="65" t="str">
        <f t="shared" si="189"/>
        <v/>
      </c>
      <c r="AZ94" s="65" t="str">
        <f t="shared" si="190"/>
        <v/>
      </c>
      <c r="BA94" s="65" t="str">
        <f t="shared" si="191"/>
        <v/>
      </c>
      <c r="BB94" s="68" t="str">
        <f>IF('Marks Entry'!AB94="","",'Marks Entry'!AB94)</f>
        <v/>
      </c>
      <c r="BC94" s="68" t="str">
        <f>IF('Marks Entry'!AC94="","",'Marks Entry'!AC94)</f>
        <v/>
      </c>
      <c r="BD94" s="68" t="str">
        <f>IF('Marks Entry'!AD94="","",'Marks Entry'!AD94)</f>
        <v/>
      </c>
      <c r="BE94" s="514" t="str">
        <f t="shared" si="192"/>
        <v/>
      </c>
      <c r="BF94" s="68" t="str">
        <f>IF('Marks Entry'!AE94="","",'Marks Entry'!AE94)</f>
        <v/>
      </c>
      <c r="BG94" s="515" t="str">
        <f t="shared" si="193"/>
        <v/>
      </c>
      <c r="BH94" s="68" t="str">
        <f>IF('Marks Entry'!AF94="","",'Marks Entry'!AF94)</f>
        <v/>
      </c>
      <c r="BI94" s="96" t="str">
        <f t="shared" si="194"/>
        <v/>
      </c>
      <c r="BJ94" s="65">
        <f t="shared" si="195"/>
        <v>0</v>
      </c>
      <c r="BK94" s="65">
        <f t="shared" si="263"/>
        <v>0</v>
      </c>
      <c r="BL94" s="66" t="str">
        <f t="shared" si="196"/>
        <v/>
      </c>
      <c r="BM94" s="65" t="str">
        <f t="shared" si="197"/>
        <v/>
      </c>
      <c r="BN94" s="65" t="str">
        <f t="shared" si="198"/>
        <v/>
      </c>
      <c r="BO94" s="65" t="str">
        <f t="shared" si="199"/>
        <v/>
      </c>
      <c r="BP94" s="68" t="str">
        <f>IF('Marks Entry'!AG94="","",'Marks Entry'!AG94)</f>
        <v/>
      </c>
      <c r="BQ94" s="68" t="str">
        <f>IF('Marks Entry'!AH94="","",'Marks Entry'!AH94)</f>
        <v/>
      </c>
      <c r="BR94" s="68" t="str">
        <f>IF('Marks Entry'!AI94="","",'Marks Entry'!AI94)</f>
        <v/>
      </c>
      <c r="BS94" s="514" t="str">
        <f t="shared" si="200"/>
        <v/>
      </c>
      <c r="BT94" s="68" t="str">
        <f>IF('Marks Entry'!AJ94="","",'Marks Entry'!AJ94)</f>
        <v/>
      </c>
      <c r="BU94" s="515" t="str">
        <f t="shared" si="201"/>
        <v/>
      </c>
      <c r="BV94" s="68" t="str">
        <f>IF('Marks Entry'!AK94="","",'Marks Entry'!AK94)</f>
        <v/>
      </c>
      <c r="BW94" s="96" t="str">
        <f t="shared" si="202"/>
        <v/>
      </c>
      <c r="BX94" s="65">
        <f t="shared" si="203"/>
        <v>0</v>
      </c>
      <c r="BY94" s="65">
        <f t="shared" si="204"/>
        <v>0</v>
      </c>
      <c r="BZ94" s="66" t="str">
        <f t="shared" si="205"/>
        <v/>
      </c>
      <c r="CA94" s="65" t="str">
        <f t="shared" si="206"/>
        <v/>
      </c>
      <c r="CB94" s="65" t="str">
        <f t="shared" si="207"/>
        <v/>
      </c>
      <c r="CC94" s="65" t="str">
        <f t="shared" si="208"/>
        <v/>
      </c>
      <c r="CD94" s="66">
        <f t="shared" si="209"/>
        <v>0</v>
      </c>
      <c r="CE94" s="68" t="str">
        <f>IF('Marks Entry'!AL94="","",'Marks Entry'!AL94)</f>
        <v/>
      </c>
      <c r="CF94" s="68" t="str">
        <f>IF('Marks Entry'!AM94="","",'Marks Entry'!AM94)</f>
        <v/>
      </c>
      <c r="CG94" s="68" t="str">
        <f>IF('Marks Entry'!AN94="","",'Marks Entry'!AN94)</f>
        <v/>
      </c>
      <c r="CH94" s="514" t="str">
        <f t="shared" si="210"/>
        <v/>
      </c>
      <c r="CI94" s="68" t="str">
        <f>IF('Marks Entry'!AO94="","",'Marks Entry'!AO94)</f>
        <v/>
      </c>
      <c r="CJ94" s="515" t="str">
        <f t="shared" si="211"/>
        <v/>
      </c>
      <c r="CK94" s="68" t="str">
        <f>IF('Marks Entry'!AP94="","",'Marks Entry'!AP94)</f>
        <v/>
      </c>
      <c r="CL94" s="96" t="str">
        <f t="shared" si="212"/>
        <v/>
      </c>
      <c r="CM94" s="65">
        <f t="shared" si="213"/>
        <v>0</v>
      </c>
      <c r="CN94" s="65">
        <f t="shared" si="214"/>
        <v>0</v>
      </c>
      <c r="CO94" s="66" t="str">
        <f t="shared" si="215"/>
        <v/>
      </c>
      <c r="CP94" s="65" t="str">
        <f t="shared" si="216"/>
        <v/>
      </c>
      <c r="CQ94" s="65" t="str">
        <f t="shared" si="217"/>
        <v/>
      </c>
      <c r="CR94" s="65" t="str">
        <f t="shared" si="218"/>
        <v/>
      </c>
      <c r="CS94" s="616" t="str">
        <f>IF('School Profile'!$D$20="NO","",IF('Marks Entry'!AQ94="","",IF('Marks Entry'!AQ94=1,'School Profile'!$I$29,IF('Marks Entry'!AQ94=2,'School Profile'!$I$30,IF('Marks Entry'!AQ94=3,'School Profile'!$I$31,IF('Marks Entry'!AQ94=4,'School Profile'!$I$32,IF('Marks Entry'!AQ94=5,'School Profile'!$I$33,IF('Marks Entry'!AQ94=6,'School Profile'!$I$34,IF('Marks Entry'!AQ94=7,'School Profile'!$I$35,IF('Marks Entry'!AQ94=8,'School Profile'!$I$36,IF('Marks Entry'!AQ94=9,'School Profile'!$I$37,IF('Marks Entry'!AQ94=10,'School Profile'!$I$38,IF('Marks Entry'!AQ94=11,'School Profile'!$I$39,"")))))))))))))</f>
        <v/>
      </c>
      <c r="CT94" s="68" t="str">
        <f>IF('School Profile'!$D$20="NO","",IF('Marks Entry'!AR94="","",'Marks Entry'!AR94))</f>
        <v/>
      </c>
      <c r="CU94" s="68" t="str">
        <f>IF('School Profile'!$D$20="NO","",IF('Marks Entry'!AS94="","",'Marks Entry'!AS94))</f>
        <v/>
      </c>
      <c r="CV94" s="68" t="str">
        <f>IF('School Profile'!$D$20="NO","",IF('Marks Entry'!AT94="","",'Marks Entry'!AT94))</f>
        <v/>
      </c>
      <c r="CW94" s="514" t="str">
        <f>IF('School Profile'!$D$20="NO","",IF(AND(CT94="",CU94="",CV94=""),"",SUM(CT94:CV94)))</f>
        <v/>
      </c>
      <c r="CX94" s="68" t="str">
        <f>IF('School Profile'!$D$20="NO","",IF('Marks Entry'!AU94="","",'Marks Entry'!AU94))</f>
        <v/>
      </c>
      <c r="CY94" s="68" t="str">
        <f>IF('School Profile'!$D$20="NO","",IF('Marks Entry'!AV94="","",'Marks Entry'!AV94))</f>
        <v/>
      </c>
      <c r="CZ94" s="515" t="str">
        <f>IF('School Profile'!$D$20="NO","",IF(AND(CX94="",CY94=""),"",SUM(CX94,CY94)))</f>
        <v/>
      </c>
      <c r="DA94" s="69" t="str">
        <f>IF('School Profile'!$D$20="NO","",IF(AND(CW94="",CZ94=""),"",SUM(CW94+CZ94)))</f>
        <v/>
      </c>
      <c r="DB94" s="68" t="str">
        <f>IF('School Profile'!$D$20="NO","",IF('Marks Entry'!AW94="","",'Marks Entry'!AW94))</f>
        <v/>
      </c>
      <c r="DC94" s="68" t="str">
        <f>IF('School Profile'!$D$20="NO","",IF('Marks Entry'!AX94="","",'Marks Entry'!AX94))</f>
        <v/>
      </c>
      <c r="DD94" s="515" t="str">
        <f>IF('School Profile'!$D$20="NO","",IF(AND(DB94="",DC94=""),"",SUM(DB94,DC94)))</f>
        <v/>
      </c>
      <c r="DE94" s="96" t="str">
        <f>IF('School Profile'!$D$20="NO","",IF(AND(DA94="",DD94=""),"",SUM(DA94,DD94)))</f>
        <v/>
      </c>
      <c r="DF94" s="532">
        <f t="shared" si="219"/>
        <v>0</v>
      </c>
      <c r="DG94" s="65">
        <f t="shared" si="220"/>
        <v>0</v>
      </c>
      <c r="DH94" s="66" t="str">
        <f t="shared" si="221"/>
        <v/>
      </c>
      <c r="DI94" s="65" t="str">
        <f t="shared" si="222"/>
        <v/>
      </c>
      <c r="DJ94" s="65" t="str">
        <f t="shared" si="223"/>
        <v/>
      </c>
      <c r="DK94" s="65" t="str">
        <f t="shared" si="224"/>
        <v/>
      </c>
      <c r="DL94" s="97" t="str">
        <f t="shared" si="264"/>
        <v/>
      </c>
      <c r="DM94" s="97" t="str">
        <f t="shared" si="265"/>
        <v/>
      </c>
      <c r="DN94" s="97" t="str">
        <f t="shared" si="266"/>
        <v/>
      </c>
      <c r="DO94" s="97" t="str">
        <f t="shared" si="267"/>
        <v/>
      </c>
      <c r="DP94" s="97" t="str">
        <f t="shared" si="268"/>
        <v/>
      </c>
      <c r="DQ94" s="97" t="str">
        <f t="shared" si="269"/>
        <v/>
      </c>
      <c r="DR94" s="97" t="str">
        <f t="shared" si="270"/>
        <v/>
      </c>
      <c r="DS94" s="98">
        <f t="shared" si="271"/>
        <v>0</v>
      </c>
      <c r="DT94" s="98">
        <f t="shared" si="272"/>
        <v>0</v>
      </c>
      <c r="DU94" s="98">
        <f t="shared" si="273"/>
        <v>0</v>
      </c>
      <c r="DV94" s="98">
        <f t="shared" si="274"/>
        <v>0</v>
      </c>
      <c r="DW94" s="98">
        <f t="shared" si="275"/>
        <v>0</v>
      </c>
      <c r="DX94" s="98" t="str">
        <f t="shared" si="276"/>
        <v/>
      </c>
      <c r="DY94" s="99" t="str">
        <f t="shared" si="277"/>
        <v/>
      </c>
      <c r="DZ94" s="74" t="str">
        <f>IF('Marks Entry'!AY94="","",'Marks Entry'!AY94)</f>
        <v/>
      </c>
      <c r="EA94" s="74" t="str">
        <f>IF('Marks Entry'!AZ94="","",'Marks Entry'!AZ94)</f>
        <v/>
      </c>
      <c r="EB94" s="74" t="str">
        <f>IF('Marks Entry'!BA94="","",'Marks Entry'!BA94)</f>
        <v/>
      </c>
      <c r="EC94" s="527" t="str">
        <f t="shared" si="225"/>
        <v/>
      </c>
      <c r="ED94" s="74" t="str">
        <f>IF('Marks Entry'!BB94="","",'Marks Entry'!BB94)</f>
        <v/>
      </c>
      <c r="EE94" s="528" t="str">
        <f t="shared" si="226"/>
        <v/>
      </c>
      <c r="EF94" s="74" t="str">
        <f>IF('Marks Entry'!BC94="","",'Marks Entry'!BC94)</f>
        <v/>
      </c>
      <c r="EG94" s="530" t="str">
        <f t="shared" si="227"/>
        <v/>
      </c>
      <c r="EH94" s="368" t="str">
        <f t="shared" si="278"/>
        <v/>
      </c>
      <c r="EI94" s="65">
        <f t="shared" si="279"/>
        <v>0</v>
      </c>
      <c r="EJ94" s="65">
        <f t="shared" si="280"/>
        <v>0</v>
      </c>
      <c r="EK94" s="66" t="str">
        <f t="shared" si="281"/>
        <v/>
      </c>
      <c r="EL94" s="74" t="str">
        <f>IF('Marks Entry'!BD94="","",'Marks Entry'!BD94)</f>
        <v/>
      </c>
      <c r="EM94" s="74" t="str">
        <f>IF('Marks Entry'!BE94="","",'Marks Entry'!BE94)</f>
        <v/>
      </c>
      <c r="EN94" s="74" t="str">
        <f>IF('Marks Entry'!BF94="","",'Marks Entry'!BF94)</f>
        <v/>
      </c>
      <c r="EO94" s="527" t="str">
        <f t="shared" si="228"/>
        <v/>
      </c>
      <c r="EP94" s="74" t="str">
        <f>IF('Marks Entry'!BG94="","",'Marks Entry'!BG94)</f>
        <v/>
      </c>
      <c r="EQ94" s="74" t="str">
        <f>IF('Marks Entry'!BH94="","",'Marks Entry'!BH94)</f>
        <v/>
      </c>
      <c r="ER94" s="528" t="str">
        <f t="shared" si="229"/>
        <v/>
      </c>
      <c r="ES94" s="529" t="str">
        <f t="shared" si="230"/>
        <v/>
      </c>
      <c r="ET94" s="74" t="str">
        <f>IF('Marks Entry'!BI94="","",'Marks Entry'!BI94)</f>
        <v/>
      </c>
      <c r="EU94" s="74" t="str">
        <f>IF('Marks Entry'!BJ94="","",'Marks Entry'!BJ94)</f>
        <v/>
      </c>
      <c r="EV94" s="528" t="str">
        <f t="shared" si="231"/>
        <v/>
      </c>
      <c r="EW94" s="530" t="str">
        <f t="shared" si="232"/>
        <v/>
      </c>
      <c r="EX94" s="368" t="str">
        <f t="shared" si="282"/>
        <v/>
      </c>
      <c r="EY94" s="65">
        <f t="shared" si="283"/>
        <v>0</v>
      </c>
      <c r="EZ94" s="65">
        <f t="shared" si="284"/>
        <v>0</v>
      </c>
      <c r="FA94" s="66" t="str">
        <f t="shared" si="285"/>
        <v/>
      </c>
      <c r="FB94" s="74" t="str">
        <f>IF('Marks Entry'!BK94="","",'Marks Entry'!BK94)</f>
        <v/>
      </c>
      <c r="FC94" s="74" t="str">
        <f>IF('Marks Entry'!BL94="","",'Marks Entry'!BL94)</f>
        <v/>
      </c>
      <c r="FD94" s="74" t="str">
        <f>IF('Marks Entry'!BM94="","",'Marks Entry'!BM94)</f>
        <v/>
      </c>
      <c r="FE94" s="74" t="str">
        <f>IF('Marks Entry'!BN94="","",'Marks Entry'!BN94)</f>
        <v/>
      </c>
      <c r="FF94" s="74" t="str">
        <f>IF('Marks Entry'!BO94="","",'Marks Entry'!BO94)</f>
        <v/>
      </c>
      <c r="FG94" s="74" t="str">
        <f>IF('Marks Entry'!BP94="","",'Marks Entry'!BP94)</f>
        <v/>
      </c>
      <c r="FH94" s="527" t="str">
        <f t="shared" si="233"/>
        <v/>
      </c>
      <c r="FI94" s="74" t="str">
        <f>IF('Marks Entry'!BQ94="","",'Marks Entry'!BQ94)</f>
        <v/>
      </c>
      <c r="FJ94" s="74" t="str">
        <f>IF('Marks Entry'!BR94="","",'Marks Entry'!BR94)</f>
        <v/>
      </c>
      <c r="FK94" s="528" t="str">
        <f t="shared" si="234"/>
        <v/>
      </c>
      <c r="FL94" s="529" t="str">
        <f t="shared" si="235"/>
        <v/>
      </c>
      <c r="FM94" s="74" t="str">
        <f>IF('Marks Entry'!BS94="","",'Marks Entry'!BS94)</f>
        <v/>
      </c>
      <c r="FN94" s="74" t="str">
        <f>IF('Marks Entry'!BT94="","",'Marks Entry'!BT94)</f>
        <v/>
      </c>
      <c r="FO94" s="528" t="str">
        <f t="shared" si="236"/>
        <v/>
      </c>
      <c r="FP94" s="530" t="str">
        <f t="shared" si="237"/>
        <v/>
      </c>
      <c r="FQ94" s="368" t="str">
        <f t="shared" si="286"/>
        <v/>
      </c>
      <c r="FR94" s="65">
        <f t="shared" si="287"/>
        <v>0</v>
      </c>
      <c r="FS94" s="65">
        <f t="shared" si="288"/>
        <v>0</v>
      </c>
      <c r="FT94" s="66" t="str">
        <f t="shared" si="289"/>
        <v/>
      </c>
      <c r="FU94" s="74" t="str">
        <f>IF('Marks Entry'!BU94="","",'Marks Entry'!BU94)</f>
        <v/>
      </c>
      <c r="FV94" s="74" t="str">
        <f>IF('Marks Entry'!BV94="","",'Marks Entry'!BV94)</f>
        <v/>
      </c>
      <c r="FW94" s="74" t="str">
        <f>IF('Marks Entry'!BW94="","",'Marks Entry'!BW94)</f>
        <v/>
      </c>
      <c r="FX94" s="75" t="str">
        <f t="shared" si="238"/>
        <v/>
      </c>
      <c r="FY94" s="368" t="str">
        <f t="shared" si="290"/>
        <v/>
      </c>
      <c r="FZ94" s="65">
        <f t="shared" si="291"/>
        <v>0</v>
      </c>
      <c r="GA94" s="66">
        <f t="shared" si="292"/>
        <v>0</v>
      </c>
      <c r="GB94" s="66" t="str">
        <f t="shared" si="293"/>
        <v/>
      </c>
      <c r="GC94" s="74" t="str">
        <f>IF('Marks Entry'!BX94="","",'Marks Entry'!BX94)</f>
        <v/>
      </c>
      <c r="GD94" s="74" t="str">
        <f>IF('Marks Entry'!BY94="","",'Marks Entry'!BY94)</f>
        <v/>
      </c>
      <c r="GE94" s="74" t="str">
        <f>IF('Marks Entry'!BZ94="","",'Marks Entry'!BZ94)</f>
        <v/>
      </c>
      <c r="GF94" s="75" t="str">
        <f t="shared" si="294"/>
        <v/>
      </c>
      <c r="GG94" s="368" t="str">
        <f t="shared" si="295"/>
        <v/>
      </c>
      <c r="GH94" s="65">
        <f t="shared" si="296"/>
        <v>0</v>
      </c>
      <c r="GI94" s="66">
        <f t="shared" si="297"/>
        <v>0</v>
      </c>
      <c r="GJ94" s="66" t="str">
        <f t="shared" si="298"/>
        <v/>
      </c>
      <c r="GK94" s="100" t="str">
        <f>IF(AND(F94="",B94=""),"",IF('Student DATA Entry'!M91="","",'Student DATA Entry'!M91))</f>
        <v/>
      </c>
      <c r="GL94" s="101" t="str">
        <f>IF(AND(B94="",F94=""),"",IF('Student DATA Entry'!N91="","",'Student DATA Entry'!N91))</f>
        <v/>
      </c>
      <c r="GM94" s="581" t="str">
        <f t="shared" si="299"/>
        <v/>
      </c>
      <c r="GN94" s="94" t="str">
        <f t="shared" si="300"/>
        <v/>
      </c>
      <c r="GO94" s="94" t="str">
        <f t="shared" si="301"/>
        <v/>
      </c>
      <c r="GP94" s="102" t="str">
        <f t="shared" si="239"/>
        <v/>
      </c>
      <c r="GQ94" s="94" t="str">
        <f t="shared" si="302"/>
        <v/>
      </c>
      <c r="GR94" s="103" t="str">
        <f t="shared" si="303"/>
        <v/>
      </c>
      <c r="GS94" s="102" t="str">
        <f t="shared" si="240"/>
        <v/>
      </c>
      <c r="GT94" s="104" t="str">
        <f t="shared" si="304"/>
        <v/>
      </c>
      <c r="GU94" s="94" t="str">
        <f>IF('Marks Entry'!V94=1,GT94,"")</f>
        <v/>
      </c>
      <c r="GV94" s="94" t="str">
        <f>IF('Marks Entry'!V94=2,GT94,"")</f>
        <v/>
      </c>
      <c r="GW94" s="94" t="str">
        <f>IF('Marks Entry'!V94=3,GT94,"")</f>
        <v/>
      </c>
      <c r="GX94" s="94" t="str">
        <f>IF('Marks Entry'!V94=4,GT94,"")</f>
        <v/>
      </c>
      <c r="GY94" s="94" t="str">
        <f>IF('Marks Entry'!V94=5,GT94,"")</f>
        <v/>
      </c>
      <c r="GZ94" s="94" t="str">
        <f t="shared" si="305"/>
        <v/>
      </c>
      <c r="HA94" s="105" t="str">
        <f t="shared" si="241"/>
        <v/>
      </c>
      <c r="HB94" s="94" t="str">
        <f t="shared" si="306"/>
        <v/>
      </c>
      <c r="HC94" s="94" t="str">
        <f t="shared" si="307"/>
        <v/>
      </c>
      <c r="HD94" s="105" t="str">
        <f t="shared" si="242"/>
        <v/>
      </c>
      <c r="HE94" s="94" t="str">
        <f t="shared" si="308"/>
        <v/>
      </c>
      <c r="HF94" s="94" t="str">
        <f t="shared" si="309"/>
        <v/>
      </c>
      <c r="HG94" s="105" t="str">
        <f t="shared" si="243"/>
        <v/>
      </c>
      <c r="HH94" s="94" t="str">
        <f t="shared" si="310"/>
        <v/>
      </c>
      <c r="HI94" s="94" t="str">
        <f t="shared" si="311"/>
        <v/>
      </c>
      <c r="HJ94" s="105" t="str">
        <f t="shared" si="244"/>
        <v/>
      </c>
      <c r="HK94" s="94" t="str">
        <f t="shared" si="312"/>
        <v/>
      </c>
      <c r="HL94" s="94" t="str">
        <f t="shared" si="313"/>
        <v/>
      </c>
      <c r="HM94" s="105" t="str">
        <f t="shared" si="245"/>
        <v/>
      </c>
      <c r="HN94" s="367" t="str">
        <f t="shared" si="314"/>
        <v xml:space="preserve">      </v>
      </c>
      <c r="HO94" s="418" t="str">
        <f t="shared" si="246"/>
        <v xml:space="preserve">      </v>
      </c>
      <c r="HP94" s="367" t="str">
        <f t="shared" si="315"/>
        <v xml:space="preserve">      </v>
      </c>
      <c r="HQ94" s="107" t="str">
        <f t="shared" si="316"/>
        <v xml:space="preserve">      </v>
      </c>
      <c r="HR94" s="366" t="str">
        <f t="shared" si="317"/>
        <v xml:space="preserve">      </v>
      </c>
      <c r="HS94" s="544" t="str">
        <f t="shared" si="247"/>
        <v/>
      </c>
      <c r="HT94" s="542" t="str">
        <f t="shared" si="318"/>
        <v/>
      </c>
      <c r="HU94" s="541" t="str">
        <f t="shared" si="319"/>
        <v/>
      </c>
      <c r="HV94" s="540" t="str">
        <f t="shared" si="320"/>
        <v/>
      </c>
      <c r="HW94" s="537" t="str">
        <f t="shared" si="321"/>
        <v/>
      </c>
      <c r="HX94" s="539" t="str">
        <f t="shared" si="322"/>
        <v/>
      </c>
      <c r="HY94" s="553" t="str">
        <f>IFERROR(IF(OR(HS94="SUPPLEMENTARY",HS94="RE-EXAM"),'Supp. Result Entry'!AQ92,""),"")</f>
        <v/>
      </c>
      <c r="HZ94" s="538" t="str">
        <f t="shared" si="323"/>
        <v/>
      </c>
      <c r="IA94" s="415" t="str">
        <f t="shared" si="324"/>
        <v/>
      </c>
      <c r="IB94" s="415" t="str">
        <f>IF(AND(HZ94="",IA94=""),"",IF(OR(HS94="SUPPLEMENTARY",HS94="RE-EXAM"),'Supp. Result Entry'!AQ92,HS94))</f>
        <v/>
      </c>
      <c r="IC94" s="87"/>
      <c r="IS94" s="109" t="str">
        <f>IF('Supp. Result Entry'!T92="","",'Supp. Result Entry'!$T$4)</f>
        <v/>
      </c>
      <c r="IT94" s="110" t="str">
        <f>IF('Supp. Result Entry'!W92="","",'Supp. Result Entry'!$W$4)</f>
        <v/>
      </c>
      <c r="IU94" s="110" t="str">
        <f>IF('Supp. Result Entry'!Z92="","",'Supp. Result Entry'!$Z$4)</f>
        <v/>
      </c>
      <c r="IV94" s="110" t="str">
        <f>IF('Supp. Result Entry'!AC92="","",'Supp. Result Entry'!$AC$4)</f>
        <v/>
      </c>
      <c r="IW94" s="110" t="str">
        <f>IF('Supp. Result Entry'!AF92="","",'Supp. Result Entry'!$AF$4)</f>
        <v/>
      </c>
      <c r="IX94" s="110" t="str">
        <f>IF('Supp. Result Entry'!AI92="","",'Supp. Result Entry'!$AI$4)</f>
        <v/>
      </c>
      <c r="IY94" s="110" t="str">
        <f>IF('Supp. Result Entry'!AI92="","",'Supp. Result Entry'!$AL$4)</f>
        <v/>
      </c>
      <c r="IZ94" s="110" t="str">
        <f>IF('Supp. Result Entry'!U92="","",'Supp. Result Entry'!U92)</f>
        <v/>
      </c>
      <c r="JA94" s="110" t="str">
        <f>IF('Supp. Result Entry'!X92="","",'Supp. Result Entry'!X92)</f>
        <v/>
      </c>
      <c r="JB94" s="110" t="str">
        <f>IF('Supp. Result Entry'!AA92="","",'Supp. Result Entry'!AA92)</f>
        <v/>
      </c>
      <c r="JC94" s="110" t="str">
        <f>IF('Supp. Result Entry'!AD92="","",'Supp. Result Entry'!AD92)</f>
        <v/>
      </c>
      <c r="JD94" s="110" t="str">
        <f>IF('Supp. Result Entry'!AG92="","",'Supp. Result Entry'!AG92)</f>
        <v/>
      </c>
      <c r="JE94" s="110" t="str">
        <f>IF('Supp. Result Entry'!AJ92="","",'Supp. Result Entry'!AJ92)</f>
        <v/>
      </c>
      <c r="JF94" s="110" t="str">
        <f>IF('Supp. Result Entry'!AM92="","",'Supp. Result Entry'!AM92)</f>
        <v/>
      </c>
      <c r="JG94" s="110" t="str">
        <f>IF('Supp. Result Entry'!V92="","",'Supp. Result Entry'!V92)</f>
        <v/>
      </c>
      <c r="JH94" s="110" t="str">
        <f>IF('Supp. Result Entry'!Y92="","",'Supp. Result Entry'!Y92)</f>
        <v/>
      </c>
      <c r="JI94" s="110" t="str">
        <f>IF('Supp. Result Entry'!AB92="","",'Supp. Result Entry'!AB92)</f>
        <v/>
      </c>
      <c r="JJ94" s="110" t="str">
        <f>IF('Supp. Result Entry'!AE92="","",'Supp. Result Entry'!AE92)</f>
        <v/>
      </c>
      <c r="JK94" s="110" t="str">
        <f>IF('Supp. Result Entry'!AH92="","",'Supp. Result Entry'!AH92)</f>
        <v/>
      </c>
      <c r="JL94" s="110" t="str">
        <f>IF('Supp. Result Entry'!AK92="","",'Supp. Result Entry'!AK92)</f>
        <v/>
      </c>
      <c r="JM94" s="110" t="str">
        <f>IF('Supp. Result Entry'!AN92="","",'Supp. Result Entry'!AN92)</f>
        <v/>
      </c>
      <c r="JN94" s="110">
        <f>COUNTIF('Supp. Result Entry'!K92:Q92,"S")</f>
        <v>0</v>
      </c>
      <c r="JO94" s="110">
        <f t="shared" si="248"/>
        <v>0</v>
      </c>
      <c r="JP94" s="110">
        <f t="shared" si="325"/>
        <v>0</v>
      </c>
      <c r="JQ94" s="110" t="str">
        <f t="shared" si="249"/>
        <v/>
      </c>
      <c r="JR94" s="110" t="str">
        <f t="shared" si="250"/>
        <v/>
      </c>
      <c r="JS94" s="110" t="str">
        <f t="shared" si="251"/>
        <v/>
      </c>
      <c r="JT94" s="110" t="str">
        <f t="shared" si="252"/>
        <v/>
      </c>
      <c r="JU94" s="110" t="str">
        <f t="shared" si="253"/>
        <v/>
      </c>
      <c r="JV94" s="110" t="str">
        <f t="shared" si="254"/>
        <v/>
      </c>
      <c r="JW94" s="110" t="str">
        <f t="shared" si="255"/>
        <v/>
      </c>
      <c r="JX94" s="110" t="str">
        <f t="shared" si="326"/>
        <v/>
      </c>
      <c r="JY94" s="110" t="str">
        <f t="shared" si="327"/>
        <v/>
      </c>
      <c r="JZ94" s="110" t="str">
        <f t="shared" si="256"/>
        <v/>
      </c>
      <c r="KA94" s="108" t="str">
        <f t="shared" si="328"/>
        <v/>
      </c>
    </row>
    <row r="95" spans="1:287" s="108" customFormat="1" ht="21.95" customHeight="1">
      <c r="A95" s="89">
        <v>89</v>
      </c>
      <c r="B95" s="90" t="str">
        <f>IF('Marks Entry'!B95="","",'Marks Entry'!B95)</f>
        <v/>
      </c>
      <c r="C95" s="94" t="str">
        <f>IF('Marks Entry'!D95="","",'Marks Entry'!D95)</f>
        <v/>
      </c>
      <c r="D95" s="91" t="str">
        <f>IF('Marks Entry'!E95="","",'Marks Entry'!E95)</f>
        <v/>
      </c>
      <c r="E95" s="92" t="str">
        <f>IF('Marks Entry'!F95="","",'Marks Entry'!F95)</f>
        <v/>
      </c>
      <c r="F95" s="93" t="str">
        <f>IF('Marks Entry'!G95="","",'Marks Entry'!G95)</f>
        <v/>
      </c>
      <c r="G95" s="93" t="str">
        <f>IF('Marks Entry'!H95="","",'Marks Entry'!H95)</f>
        <v/>
      </c>
      <c r="H95" s="93" t="str">
        <f>IF('Marks Entry'!I95="","",'Marks Entry'!I95)</f>
        <v/>
      </c>
      <c r="I95" s="94" t="str">
        <f>IF('Marks Entry'!J95="","",'Marks Entry'!J95)</f>
        <v/>
      </c>
      <c r="J95" s="95" t="str">
        <f>IF('Marks Entry'!K95="","",'Marks Entry'!K95)</f>
        <v/>
      </c>
      <c r="K95" s="68" t="str">
        <f>IF('Marks Entry'!L95="","",'Marks Entry'!L95)</f>
        <v/>
      </c>
      <c r="L95" s="68" t="str">
        <f>IF('Marks Entry'!M95="","",'Marks Entry'!M95)</f>
        <v/>
      </c>
      <c r="M95" s="68" t="str">
        <f>IF('Marks Entry'!N95="","",'Marks Entry'!N95)</f>
        <v/>
      </c>
      <c r="N95" s="514" t="str">
        <f t="shared" si="257"/>
        <v/>
      </c>
      <c r="O95" s="68" t="str">
        <f>IF('Marks Entry'!O95="","",'Marks Entry'!O95)</f>
        <v/>
      </c>
      <c r="P95" s="515" t="str">
        <f t="shared" si="258"/>
        <v/>
      </c>
      <c r="Q95" s="68" t="str">
        <f>IF('Marks Entry'!P95="","",'Marks Entry'!P95)</f>
        <v/>
      </c>
      <c r="R95" s="96" t="str">
        <f t="shared" si="259"/>
        <v/>
      </c>
      <c r="S95" s="65">
        <f t="shared" si="260"/>
        <v>0</v>
      </c>
      <c r="T95" s="65">
        <f t="shared" si="261"/>
        <v>0</v>
      </c>
      <c r="U95" s="66" t="str">
        <f t="shared" si="171"/>
        <v/>
      </c>
      <c r="V95" s="65" t="str">
        <f t="shared" si="172"/>
        <v/>
      </c>
      <c r="W95" s="65" t="str">
        <f t="shared" si="262"/>
        <v/>
      </c>
      <c r="X95" s="65" t="str">
        <f t="shared" si="173"/>
        <v/>
      </c>
      <c r="Y95" s="68" t="str">
        <f>IF('Marks Entry'!Q95="","",'Marks Entry'!Q95)</f>
        <v/>
      </c>
      <c r="Z95" s="68" t="str">
        <f>IF('Marks Entry'!R95="","",'Marks Entry'!R95)</f>
        <v/>
      </c>
      <c r="AA95" s="68" t="str">
        <f>IF('Marks Entry'!S95="","",'Marks Entry'!S95)</f>
        <v/>
      </c>
      <c r="AB95" s="514" t="str">
        <f t="shared" si="174"/>
        <v/>
      </c>
      <c r="AC95" s="68" t="str">
        <f>IF('Marks Entry'!T95="","",'Marks Entry'!T95)</f>
        <v/>
      </c>
      <c r="AD95" s="515" t="str">
        <f t="shared" si="175"/>
        <v/>
      </c>
      <c r="AE95" s="68" t="str">
        <f>IF('Marks Entry'!U95="","",'Marks Entry'!U95)</f>
        <v/>
      </c>
      <c r="AF95" s="96" t="str">
        <f t="shared" si="176"/>
        <v/>
      </c>
      <c r="AG95" s="65">
        <f t="shared" si="177"/>
        <v>0</v>
      </c>
      <c r="AH95" s="65">
        <f t="shared" si="178"/>
        <v>0</v>
      </c>
      <c r="AI95" s="66" t="str">
        <f t="shared" si="179"/>
        <v/>
      </c>
      <c r="AJ95" s="65" t="str">
        <f t="shared" si="180"/>
        <v/>
      </c>
      <c r="AK95" s="65" t="str">
        <f t="shared" si="181"/>
        <v/>
      </c>
      <c r="AL95" s="65" t="str">
        <f t="shared" si="182"/>
        <v/>
      </c>
      <c r="AM95" s="524" t="str">
        <f>IF('Marks Entry'!V95="","",IF('Marks Entry'!V95=1,'School Profile'!$I$9,IF('Marks Entry'!V95=2,'School Profile'!$I$10,IF('Marks Entry'!V95=3,'School Profile'!$I$11,IF('Marks Entry'!V95=4,'School Profile'!$I$12,IF('Marks Entry'!V95=5,'School Profile'!$I$13,IF('Marks Entry'!V95=6,'School Profile'!$I$14,"")))))))</f>
        <v/>
      </c>
      <c r="AN95" s="68" t="str">
        <f>IF('Marks Entry'!W95="","",'Marks Entry'!W95)</f>
        <v/>
      </c>
      <c r="AO95" s="68" t="str">
        <f>IF('Marks Entry'!X95="","",'Marks Entry'!X95)</f>
        <v/>
      </c>
      <c r="AP95" s="68" t="str">
        <f>IF('Marks Entry'!Y95="","",'Marks Entry'!Y95)</f>
        <v/>
      </c>
      <c r="AQ95" s="514" t="str">
        <f t="shared" si="183"/>
        <v/>
      </c>
      <c r="AR95" s="68" t="str">
        <f>IF('Marks Entry'!Z95="","",'Marks Entry'!Z95)</f>
        <v/>
      </c>
      <c r="AS95" s="515" t="str">
        <f t="shared" si="184"/>
        <v/>
      </c>
      <c r="AT95" s="68" t="str">
        <f>IF('Marks Entry'!AA95="","",'Marks Entry'!AA95)</f>
        <v/>
      </c>
      <c r="AU95" s="96" t="str">
        <f t="shared" si="185"/>
        <v/>
      </c>
      <c r="AV95" s="65">
        <f t="shared" si="186"/>
        <v>0</v>
      </c>
      <c r="AW95" s="65">
        <f t="shared" si="187"/>
        <v>0</v>
      </c>
      <c r="AX95" s="66" t="str">
        <f t="shared" si="188"/>
        <v/>
      </c>
      <c r="AY95" s="65" t="str">
        <f t="shared" si="189"/>
        <v/>
      </c>
      <c r="AZ95" s="65" t="str">
        <f t="shared" si="190"/>
        <v/>
      </c>
      <c r="BA95" s="65" t="str">
        <f t="shared" si="191"/>
        <v/>
      </c>
      <c r="BB95" s="68" t="str">
        <f>IF('Marks Entry'!AB95="","",'Marks Entry'!AB95)</f>
        <v/>
      </c>
      <c r="BC95" s="68" t="str">
        <f>IF('Marks Entry'!AC95="","",'Marks Entry'!AC95)</f>
        <v/>
      </c>
      <c r="BD95" s="68" t="str">
        <f>IF('Marks Entry'!AD95="","",'Marks Entry'!AD95)</f>
        <v/>
      </c>
      <c r="BE95" s="514" t="str">
        <f t="shared" si="192"/>
        <v/>
      </c>
      <c r="BF95" s="68" t="str">
        <f>IF('Marks Entry'!AE95="","",'Marks Entry'!AE95)</f>
        <v/>
      </c>
      <c r="BG95" s="515" t="str">
        <f t="shared" si="193"/>
        <v/>
      </c>
      <c r="BH95" s="68" t="str">
        <f>IF('Marks Entry'!AF95="","",'Marks Entry'!AF95)</f>
        <v/>
      </c>
      <c r="BI95" s="96" t="str">
        <f t="shared" si="194"/>
        <v/>
      </c>
      <c r="BJ95" s="65">
        <f t="shared" si="195"/>
        <v>0</v>
      </c>
      <c r="BK95" s="65">
        <f t="shared" si="263"/>
        <v>0</v>
      </c>
      <c r="BL95" s="66" t="str">
        <f t="shared" si="196"/>
        <v/>
      </c>
      <c r="BM95" s="65" t="str">
        <f t="shared" si="197"/>
        <v/>
      </c>
      <c r="BN95" s="65" t="str">
        <f t="shared" si="198"/>
        <v/>
      </c>
      <c r="BO95" s="65" t="str">
        <f t="shared" si="199"/>
        <v/>
      </c>
      <c r="BP95" s="68" t="str">
        <f>IF('Marks Entry'!AG95="","",'Marks Entry'!AG95)</f>
        <v/>
      </c>
      <c r="BQ95" s="68" t="str">
        <f>IF('Marks Entry'!AH95="","",'Marks Entry'!AH95)</f>
        <v/>
      </c>
      <c r="BR95" s="68" t="str">
        <f>IF('Marks Entry'!AI95="","",'Marks Entry'!AI95)</f>
        <v/>
      </c>
      <c r="BS95" s="514" t="str">
        <f t="shared" si="200"/>
        <v/>
      </c>
      <c r="BT95" s="68" t="str">
        <f>IF('Marks Entry'!AJ95="","",'Marks Entry'!AJ95)</f>
        <v/>
      </c>
      <c r="BU95" s="515" t="str">
        <f t="shared" si="201"/>
        <v/>
      </c>
      <c r="BV95" s="68" t="str">
        <f>IF('Marks Entry'!AK95="","",'Marks Entry'!AK95)</f>
        <v/>
      </c>
      <c r="BW95" s="96" t="str">
        <f t="shared" si="202"/>
        <v/>
      </c>
      <c r="BX95" s="65">
        <f t="shared" si="203"/>
        <v>0</v>
      </c>
      <c r="BY95" s="65">
        <f t="shared" si="204"/>
        <v>0</v>
      </c>
      <c r="BZ95" s="66" t="str">
        <f t="shared" si="205"/>
        <v/>
      </c>
      <c r="CA95" s="65" t="str">
        <f t="shared" si="206"/>
        <v/>
      </c>
      <c r="CB95" s="65" t="str">
        <f t="shared" si="207"/>
        <v/>
      </c>
      <c r="CC95" s="65" t="str">
        <f t="shared" si="208"/>
        <v/>
      </c>
      <c r="CD95" s="66">
        <f t="shared" si="209"/>
        <v>0</v>
      </c>
      <c r="CE95" s="68" t="str">
        <f>IF('Marks Entry'!AL95="","",'Marks Entry'!AL95)</f>
        <v/>
      </c>
      <c r="CF95" s="68" t="str">
        <f>IF('Marks Entry'!AM95="","",'Marks Entry'!AM95)</f>
        <v/>
      </c>
      <c r="CG95" s="68" t="str">
        <f>IF('Marks Entry'!AN95="","",'Marks Entry'!AN95)</f>
        <v/>
      </c>
      <c r="CH95" s="514" t="str">
        <f t="shared" si="210"/>
        <v/>
      </c>
      <c r="CI95" s="68" t="str">
        <f>IF('Marks Entry'!AO95="","",'Marks Entry'!AO95)</f>
        <v/>
      </c>
      <c r="CJ95" s="515" t="str">
        <f t="shared" si="211"/>
        <v/>
      </c>
      <c r="CK95" s="68" t="str">
        <f>IF('Marks Entry'!AP95="","",'Marks Entry'!AP95)</f>
        <v/>
      </c>
      <c r="CL95" s="96" t="str">
        <f t="shared" si="212"/>
        <v/>
      </c>
      <c r="CM95" s="65">
        <f t="shared" si="213"/>
        <v>0</v>
      </c>
      <c r="CN95" s="65">
        <f t="shared" si="214"/>
        <v>0</v>
      </c>
      <c r="CO95" s="66" t="str">
        <f t="shared" si="215"/>
        <v/>
      </c>
      <c r="CP95" s="65" t="str">
        <f t="shared" si="216"/>
        <v/>
      </c>
      <c r="CQ95" s="65" t="str">
        <f t="shared" si="217"/>
        <v/>
      </c>
      <c r="CR95" s="65" t="str">
        <f t="shared" si="218"/>
        <v/>
      </c>
      <c r="CS95" s="616" t="str">
        <f>IF('School Profile'!$D$20="NO","",IF('Marks Entry'!AQ95="","",IF('Marks Entry'!AQ95=1,'School Profile'!$I$29,IF('Marks Entry'!AQ95=2,'School Profile'!$I$30,IF('Marks Entry'!AQ95=3,'School Profile'!$I$31,IF('Marks Entry'!AQ95=4,'School Profile'!$I$32,IF('Marks Entry'!AQ95=5,'School Profile'!$I$33,IF('Marks Entry'!AQ95=6,'School Profile'!$I$34,IF('Marks Entry'!AQ95=7,'School Profile'!$I$35,IF('Marks Entry'!AQ95=8,'School Profile'!$I$36,IF('Marks Entry'!AQ95=9,'School Profile'!$I$37,IF('Marks Entry'!AQ95=10,'School Profile'!$I$38,IF('Marks Entry'!AQ95=11,'School Profile'!$I$39,"")))))))))))))</f>
        <v/>
      </c>
      <c r="CT95" s="68" t="str">
        <f>IF('School Profile'!$D$20="NO","",IF('Marks Entry'!AR95="","",'Marks Entry'!AR95))</f>
        <v/>
      </c>
      <c r="CU95" s="68" t="str">
        <f>IF('School Profile'!$D$20="NO","",IF('Marks Entry'!AS95="","",'Marks Entry'!AS95))</f>
        <v/>
      </c>
      <c r="CV95" s="68" t="str">
        <f>IF('School Profile'!$D$20="NO","",IF('Marks Entry'!AT95="","",'Marks Entry'!AT95))</f>
        <v/>
      </c>
      <c r="CW95" s="514" t="str">
        <f>IF('School Profile'!$D$20="NO","",IF(AND(CT95="",CU95="",CV95=""),"",SUM(CT95:CV95)))</f>
        <v/>
      </c>
      <c r="CX95" s="68" t="str">
        <f>IF('School Profile'!$D$20="NO","",IF('Marks Entry'!AU95="","",'Marks Entry'!AU95))</f>
        <v/>
      </c>
      <c r="CY95" s="68" t="str">
        <f>IF('School Profile'!$D$20="NO","",IF('Marks Entry'!AV95="","",'Marks Entry'!AV95))</f>
        <v/>
      </c>
      <c r="CZ95" s="515" t="str">
        <f>IF('School Profile'!$D$20="NO","",IF(AND(CX95="",CY95=""),"",SUM(CX95,CY95)))</f>
        <v/>
      </c>
      <c r="DA95" s="69" t="str">
        <f>IF('School Profile'!$D$20="NO","",IF(AND(CW95="",CZ95=""),"",SUM(CW95+CZ95)))</f>
        <v/>
      </c>
      <c r="DB95" s="68" t="str">
        <f>IF('School Profile'!$D$20="NO","",IF('Marks Entry'!AW95="","",'Marks Entry'!AW95))</f>
        <v/>
      </c>
      <c r="DC95" s="68" t="str">
        <f>IF('School Profile'!$D$20="NO","",IF('Marks Entry'!AX95="","",'Marks Entry'!AX95))</f>
        <v/>
      </c>
      <c r="DD95" s="515" t="str">
        <f>IF('School Profile'!$D$20="NO","",IF(AND(DB95="",DC95=""),"",SUM(DB95,DC95)))</f>
        <v/>
      </c>
      <c r="DE95" s="96" t="str">
        <f>IF('School Profile'!$D$20="NO","",IF(AND(DA95="",DD95=""),"",SUM(DA95,DD95)))</f>
        <v/>
      </c>
      <c r="DF95" s="532">
        <f t="shared" si="219"/>
        <v>0</v>
      </c>
      <c r="DG95" s="65">
        <f t="shared" si="220"/>
        <v>0</v>
      </c>
      <c r="DH95" s="66" t="str">
        <f t="shared" si="221"/>
        <v/>
      </c>
      <c r="DI95" s="65" t="str">
        <f t="shared" si="222"/>
        <v/>
      </c>
      <c r="DJ95" s="65" t="str">
        <f t="shared" si="223"/>
        <v/>
      </c>
      <c r="DK95" s="65" t="str">
        <f t="shared" si="224"/>
        <v/>
      </c>
      <c r="DL95" s="97" t="str">
        <f t="shared" si="264"/>
        <v/>
      </c>
      <c r="DM95" s="97" t="str">
        <f t="shared" si="265"/>
        <v/>
      </c>
      <c r="DN95" s="97" t="str">
        <f t="shared" si="266"/>
        <v/>
      </c>
      <c r="DO95" s="97" t="str">
        <f t="shared" si="267"/>
        <v/>
      </c>
      <c r="DP95" s="97" t="str">
        <f t="shared" si="268"/>
        <v/>
      </c>
      <c r="DQ95" s="97" t="str">
        <f t="shared" si="269"/>
        <v/>
      </c>
      <c r="DR95" s="97" t="str">
        <f t="shared" si="270"/>
        <v/>
      </c>
      <c r="DS95" s="98">
        <f t="shared" si="271"/>
        <v>0</v>
      </c>
      <c r="DT95" s="98">
        <f t="shared" si="272"/>
        <v>0</v>
      </c>
      <c r="DU95" s="98">
        <f t="shared" si="273"/>
        <v>0</v>
      </c>
      <c r="DV95" s="98">
        <f t="shared" si="274"/>
        <v>0</v>
      </c>
      <c r="DW95" s="98">
        <f t="shared" si="275"/>
        <v>0</v>
      </c>
      <c r="DX95" s="98" t="str">
        <f t="shared" si="276"/>
        <v/>
      </c>
      <c r="DY95" s="99" t="str">
        <f t="shared" si="277"/>
        <v/>
      </c>
      <c r="DZ95" s="74" t="str">
        <f>IF('Marks Entry'!AY95="","",'Marks Entry'!AY95)</f>
        <v/>
      </c>
      <c r="EA95" s="74" t="str">
        <f>IF('Marks Entry'!AZ95="","",'Marks Entry'!AZ95)</f>
        <v/>
      </c>
      <c r="EB95" s="74" t="str">
        <f>IF('Marks Entry'!BA95="","",'Marks Entry'!BA95)</f>
        <v/>
      </c>
      <c r="EC95" s="527" t="str">
        <f t="shared" si="225"/>
        <v/>
      </c>
      <c r="ED95" s="74" t="str">
        <f>IF('Marks Entry'!BB95="","",'Marks Entry'!BB95)</f>
        <v/>
      </c>
      <c r="EE95" s="528" t="str">
        <f t="shared" si="226"/>
        <v/>
      </c>
      <c r="EF95" s="74" t="str">
        <f>IF('Marks Entry'!BC95="","",'Marks Entry'!BC95)</f>
        <v/>
      </c>
      <c r="EG95" s="530" t="str">
        <f t="shared" si="227"/>
        <v/>
      </c>
      <c r="EH95" s="368" t="str">
        <f t="shared" si="278"/>
        <v/>
      </c>
      <c r="EI95" s="65">
        <f t="shared" si="279"/>
        <v>0</v>
      </c>
      <c r="EJ95" s="65">
        <f t="shared" si="280"/>
        <v>0</v>
      </c>
      <c r="EK95" s="66" t="str">
        <f t="shared" si="281"/>
        <v/>
      </c>
      <c r="EL95" s="74" t="str">
        <f>IF('Marks Entry'!BD95="","",'Marks Entry'!BD95)</f>
        <v/>
      </c>
      <c r="EM95" s="74" t="str">
        <f>IF('Marks Entry'!BE95="","",'Marks Entry'!BE95)</f>
        <v/>
      </c>
      <c r="EN95" s="74" t="str">
        <f>IF('Marks Entry'!BF95="","",'Marks Entry'!BF95)</f>
        <v/>
      </c>
      <c r="EO95" s="527" t="str">
        <f t="shared" si="228"/>
        <v/>
      </c>
      <c r="EP95" s="74" t="str">
        <f>IF('Marks Entry'!BG95="","",'Marks Entry'!BG95)</f>
        <v/>
      </c>
      <c r="EQ95" s="74" t="str">
        <f>IF('Marks Entry'!BH95="","",'Marks Entry'!BH95)</f>
        <v/>
      </c>
      <c r="ER95" s="528" t="str">
        <f t="shared" si="229"/>
        <v/>
      </c>
      <c r="ES95" s="529" t="str">
        <f t="shared" si="230"/>
        <v/>
      </c>
      <c r="ET95" s="74" t="str">
        <f>IF('Marks Entry'!BI95="","",'Marks Entry'!BI95)</f>
        <v/>
      </c>
      <c r="EU95" s="74" t="str">
        <f>IF('Marks Entry'!BJ95="","",'Marks Entry'!BJ95)</f>
        <v/>
      </c>
      <c r="EV95" s="528" t="str">
        <f t="shared" si="231"/>
        <v/>
      </c>
      <c r="EW95" s="530" t="str">
        <f t="shared" si="232"/>
        <v/>
      </c>
      <c r="EX95" s="368" t="str">
        <f t="shared" si="282"/>
        <v/>
      </c>
      <c r="EY95" s="65">
        <f t="shared" si="283"/>
        <v>0</v>
      </c>
      <c r="EZ95" s="65">
        <f t="shared" si="284"/>
        <v>0</v>
      </c>
      <c r="FA95" s="66" t="str">
        <f t="shared" si="285"/>
        <v/>
      </c>
      <c r="FB95" s="74" t="str">
        <f>IF('Marks Entry'!BK95="","",'Marks Entry'!BK95)</f>
        <v/>
      </c>
      <c r="FC95" s="74" t="str">
        <f>IF('Marks Entry'!BL95="","",'Marks Entry'!BL95)</f>
        <v/>
      </c>
      <c r="FD95" s="74" t="str">
        <f>IF('Marks Entry'!BM95="","",'Marks Entry'!BM95)</f>
        <v/>
      </c>
      <c r="FE95" s="74" t="str">
        <f>IF('Marks Entry'!BN95="","",'Marks Entry'!BN95)</f>
        <v/>
      </c>
      <c r="FF95" s="74" t="str">
        <f>IF('Marks Entry'!BO95="","",'Marks Entry'!BO95)</f>
        <v/>
      </c>
      <c r="FG95" s="74" t="str">
        <f>IF('Marks Entry'!BP95="","",'Marks Entry'!BP95)</f>
        <v/>
      </c>
      <c r="FH95" s="527" t="str">
        <f t="shared" si="233"/>
        <v/>
      </c>
      <c r="FI95" s="74" t="str">
        <f>IF('Marks Entry'!BQ95="","",'Marks Entry'!BQ95)</f>
        <v/>
      </c>
      <c r="FJ95" s="74" t="str">
        <f>IF('Marks Entry'!BR95="","",'Marks Entry'!BR95)</f>
        <v/>
      </c>
      <c r="FK95" s="528" t="str">
        <f t="shared" si="234"/>
        <v/>
      </c>
      <c r="FL95" s="529" t="str">
        <f t="shared" si="235"/>
        <v/>
      </c>
      <c r="FM95" s="74" t="str">
        <f>IF('Marks Entry'!BS95="","",'Marks Entry'!BS95)</f>
        <v/>
      </c>
      <c r="FN95" s="74" t="str">
        <f>IF('Marks Entry'!BT95="","",'Marks Entry'!BT95)</f>
        <v/>
      </c>
      <c r="FO95" s="528" t="str">
        <f t="shared" si="236"/>
        <v/>
      </c>
      <c r="FP95" s="530" t="str">
        <f t="shared" si="237"/>
        <v/>
      </c>
      <c r="FQ95" s="368" t="str">
        <f t="shared" si="286"/>
        <v/>
      </c>
      <c r="FR95" s="65">
        <f t="shared" si="287"/>
        <v>0</v>
      </c>
      <c r="FS95" s="65">
        <f t="shared" si="288"/>
        <v>0</v>
      </c>
      <c r="FT95" s="66" t="str">
        <f t="shared" si="289"/>
        <v/>
      </c>
      <c r="FU95" s="74" t="str">
        <f>IF('Marks Entry'!BU95="","",'Marks Entry'!BU95)</f>
        <v/>
      </c>
      <c r="FV95" s="74" t="str">
        <f>IF('Marks Entry'!BV95="","",'Marks Entry'!BV95)</f>
        <v/>
      </c>
      <c r="FW95" s="74" t="str">
        <f>IF('Marks Entry'!BW95="","",'Marks Entry'!BW95)</f>
        <v/>
      </c>
      <c r="FX95" s="75" t="str">
        <f t="shared" si="238"/>
        <v/>
      </c>
      <c r="FY95" s="368" t="str">
        <f t="shared" si="290"/>
        <v/>
      </c>
      <c r="FZ95" s="65">
        <f t="shared" si="291"/>
        <v>0</v>
      </c>
      <c r="GA95" s="66">
        <f t="shared" si="292"/>
        <v>0</v>
      </c>
      <c r="GB95" s="66" t="str">
        <f t="shared" si="293"/>
        <v/>
      </c>
      <c r="GC95" s="74" t="str">
        <f>IF('Marks Entry'!BX95="","",'Marks Entry'!BX95)</f>
        <v/>
      </c>
      <c r="GD95" s="74" t="str">
        <f>IF('Marks Entry'!BY95="","",'Marks Entry'!BY95)</f>
        <v/>
      </c>
      <c r="GE95" s="74" t="str">
        <f>IF('Marks Entry'!BZ95="","",'Marks Entry'!BZ95)</f>
        <v/>
      </c>
      <c r="GF95" s="75" t="str">
        <f t="shared" si="294"/>
        <v/>
      </c>
      <c r="GG95" s="368" t="str">
        <f t="shared" si="295"/>
        <v/>
      </c>
      <c r="GH95" s="65">
        <f t="shared" si="296"/>
        <v>0</v>
      </c>
      <c r="GI95" s="66">
        <f t="shared" si="297"/>
        <v>0</v>
      </c>
      <c r="GJ95" s="66" t="str">
        <f t="shared" si="298"/>
        <v/>
      </c>
      <c r="GK95" s="100" t="str">
        <f>IF(AND(F95="",B95=""),"",IF('Student DATA Entry'!M92="","",'Student DATA Entry'!M92))</f>
        <v/>
      </c>
      <c r="GL95" s="101" t="str">
        <f>IF(AND(B95="",F95=""),"",IF('Student DATA Entry'!N92="","",'Student DATA Entry'!N92))</f>
        <v/>
      </c>
      <c r="GM95" s="581" t="str">
        <f t="shared" si="299"/>
        <v/>
      </c>
      <c r="GN95" s="94" t="str">
        <f t="shared" si="300"/>
        <v/>
      </c>
      <c r="GO95" s="94" t="str">
        <f t="shared" si="301"/>
        <v/>
      </c>
      <c r="GP95" s="102" t="str">
        <f t="shared" si="239"/>
        <v/>
      </c>
      <c r="GQ95" s="94" t="str">
        <f t="shared" si="302"/>
        <v/>
      </c>
      <c r="GR95" s="103" t="str">
        <f t="shared" si="303"/>
        <v/>
      </c>
      <c r="GS95" s="102" t="str">
        <f t="shared" si="240"/>
        <v/>
      </c>
      <c r="GT95" s="104" t="str">
        <f t="shared" si="304"/>
        <v/>
      </c>
      <c r="GU95" s="94" t="str">
        <f>IF('Marks Entry'!V95=1,GT95,"")</f>
        <v/>
      </c>
      <c r="GV95" s="94" t="str">
        <f>IF('Marks Entry'!V95=2,GT95,"")</f>
        <v/>
      </c>
      <c r="GW95" s="94" t="str">
        <f>IF('Marks Entry'!V95=3,GT95,"")</f>
        <v/>
      </c>
      <c r="GX95" s="94" t="str">
        <f>IF('Marks Entry'!V95=4,GT95,"")</f>
        <v/>
      </c>
      <c r="GY95" s="94" t="str">
        <f>IF('Marks Entry'!V95=5,GT95,"")</f>
        <v/>
      </c>
      <c r="GZ95" s="94" t="str">
        <f t="shared" si="305"/>
        <v/>
      </c>
      <c r="HA95" s="105" t="str">
        <f t="shared" si="241"/>
        <v/>
      </c>
      <c r="HB95" s="94" t="str">
        <f t="shared" si="306"/>
        <v/>
      </c>
      <c r="HC95" s="94" t="str">
        <f t="shared" si="307"/>
        <v/>
      </c>
      <c r="HD95" s="105" t="str">
        <f t="shared" si="242"/>
        <v/>
      </c>
      <c r="HE95" s="94" t="str">
        <f t="shared" si="308"/>
        <v/>
      </c>
      <c r="HF95" s="94" t="str">
        <f t="shared" si="309"/>
        <v/>
      </c>
      <c r="HG95" s="105" t="str">
        <f t="shared" si="243"/>
        <v/>
      </c>
      <c r="HH95" s="94" t="str">
        <f t="shared" si="310"/>
        <v/>
      </c>
      <c r="HI95" s="94" t="str">
        <f t="shared" si="311"/>
        <v/>
      </c>
      <c r="HJ95" s="105" t="str">
        <f t="shared" si="244"/>
        <v/>
      </c>
      <c r="HK95" s="94" t="str">
        <f t="shared" si="312"/>
        <v/>
      </c>
      <c r="HL95" s="94" t="str">
        <f t="shared" si="313"/>
        <v/>
      </c>
      <c r="HM95" s="105" t="str">
        <f t="shared" si="245"/>
        <v/>
      </c>
      <c r="HN95" s="367" t="str">
        <f t="shared" si="314"/>
        <v xml:space="preserve">      </v>
      </c>
      <c r="HO95" s="418" t="str">
        <f t="shared" si="246"/>
        <v xml:space="preserve">      </v>
      </c>
      <c r="HP95" s="367" t="str">
        <f t="shared" si="315"/>
        <v xml:space="preserve">      </v>
      </c>
      <c r="HQ95" s="107" t="str">
        <f t="shared" si="316"/>
        <v xml:space="preserve">      </v>
      </c>
      <c r="HR95" s="366" t="str">
        <f t="shared" si="317"/>
        <v xml:space="preserve">      </v>
      </c>
      <c r="HS95" s="544" t="str">
        <f t="shared" si="247"/>
        <v/>
      </c>
      <c r="HT95" s="542" t="str">
        <f t="shared" si="318"/>
        <v/>
      </c>
      <c r="HU95" s="541" t="str">
        <f t="shared" si="319"/>
        <v/>
      </c>
      <c r="HV95" s="540" t="str">
        <f t="shared" si="320"/>
        <v/>
      </c>
      <c r="HW95" s="537" t="str">
        <f t="shared" si="321"/>
        <v/>
      </c>
      <c r="HX95" s="539" t="str">
        <f t="shared" si="322"/>
        <v/>
      </c>
      <c r="HY95" s="553" t="str">
        <f>IFERROR(IF(OR(HS95="SUPPLEMENTARY",HS95="RE-EXAM"),'Supp. Result Entry'!AQ93,""),"")</f>
        <v/>
      </c>
      <c r="HZ95" s="538" t="str">
        <f t="shared" si="323"/>
        <v/>
      </c>
      <c r="IA95" s="415" t="str">
        <f t="shared" si="324"/>
        <v/>
      </c>
      <c r="IB95" s="415" t="str">
        <f>IF(AND(HZ95="",IA95=""),"",IF(OR(HS95="SUPPLEMENTARY",HS95="RE-EXAM"),'Supp. Result Entry'!AQ93,HS95))</f>
        <v/>
      </c>
      <c r="IC95" s="87"/>
      <c r="IS95" s="109" t="str">
        <f>IF('Supp. Result Entry'!T93="","",'Supp. Result Entry'!$T$4)</f>
        <v/>
      </c>
      <c r="IT95" s="110" t="str">
        <f>IF('Supp. Result Entry'!W93="","",'Supp. Result Entry'!$W$4)</f>
        <v/>
      </c>
      <c r="IU95" s="110" t="str">
        <f>IF('Supp. Result Entry'!Z93="","",'Supp. Result Entry'!$Z$4)</f>
        <v/>
      </c>
      <c r="IV95" s="110" t="str">
        <f>IF('Supp. Result Entry'!AC93="","",'Supp. Result Entry'!$AC$4)</f>
        <v/>
      </c>
      <c r="IW95" s="110" t="str">
        <f>IF('Supp. Result Entry'!AF93="","",'Supp. Result Entry'!$AF$4)</f>
        <v/>
      </c>
      <c r="IX95" s="110" t="str">
        <f>IF('Supp. Result Entry'!AI93="","",'Supp. Result Entry'!$AI$4)</f>
        <v/>
      </c>
      <c r="IY95" s="110" t="str">
        <f>IF('Supp. Result Entry'!AI93="","",'Supp. Result Entry'!$AL$4)</f>
        <v/>
      </c>
      <c r="IZ95" s="110" t="str">
        <f>IF('Supp. Result Entry'!U93="","",'Supp. Result Entry'!U93)</f>
        <v/>
      </c>
      <c r="JA95" s="110" t="str">
        <f>IF('Supp. Result Entry'!X93="","",'Supp. Result Entry'!X93)</f>
        <v/>
      </c>
      <c r="JB95" s="110" t="str">
        <f>IF('Supp. Result Entry'!AA93="","",'Supp. Result Entry'!AA93)</f>
        <v/>
      </c>
      <c r="JC95" s="110" t="str">
        <f>IF('Supp. Result Entry'!AD93="","",'Supp. Result Entry'!AD93)</f>
        <v/>
      </c>
      <c r="JD95" s="110" t="str">
        <f>IF('Supp. Result Entry'!AG93="","",'Supp. Result Entry'!AG93)</f>
        <v/>
      </c>
      <c r="JE95" s="110" t="str">
        <f>IF('Supp. Result Entry'!AJ93="","",'Supp. Result Entry'!AJ93)</f>
        <v/>
      </c>
      <c r="JF95" s="110" t="str">
        <f>IF('Supp. Result Entry'!AM93="","",'Supp. Result Entry'!AM93)</f>
        <v/>
      </c>
      <c r="JG95" s="110" t="str">
        <f>IF('Supp. Result Entry'!V93="","",'Supp. Result Entry'!V93)</f>
        <v/>
      </c>
      <c r="JH95" s="110" t="str">
        <f>IF('Supp. Result Entry'!Y93="","",'Supp. Result Entry'!Y93)</f>
        <v/>
      </c>
      <c r="JI95" s="110" t="str">
        <f>IF('Supp. Result Entry'!AB93="","",'Supp. Result Entry'!AB93)</f>
        <v/>
      </c>
      <c r="JJ95" s="110" t="str">
        <f>IF('Supp. Result Entry'!AE93="","",'Supp. Result Entry'!AE93)</f>
        <v/>
      </c>
      <c r="JK95" s="110" t="str">
        <f>IF('Supp. Result Entry'!AH93="","",'Supp. Result Entry'!AH93)</f>
        <v/>
      </c>
      <c r="JL95" s="110" t="str">
        <f>IF('Supp. Result Entry'!AK93="","",'Supp. Result Entry'!AK93)</f>
        <v/>
      </c>
      <c r="JM95" s="110" t="str">
        <f>IF('Supp. Result Entry'!AN93="","",'Supp. Result Entry'!AN93)</f>
        <v/>
      </c>
      <c r="JN95" s="110">
        <f>COUNTIF('Supp. Result Entry'!K93:Q93,"S")</f>
        <v>0</v>
      </c>
      <c r="JO95" s="110">
        <f t="shared" si="248"/>
        <v>0</v>
      </c>
      <c r="JP95" s="110">
        <f t="shared" si="325"/>
        <v>0</v>
      </c>
      <c r="JQ95" s="110" t="str">
        <f t="shared" si="249"/>
        <v/>
      </c>
      <c r="JR95" s="110" t="str">
        <f t="shared" si="250"/>
        <v/>
      </c>
      <c r="JS95" s="110" t="str">
        <f t="shared" si="251"/>
        <v/>
      </c>
      <c r="JT95" s="110" t="str">
        <f t="shared" si="252"/>
        <v/>
      </c>
      <c r="JU95" s="110" t="str">
        <f t="shared" si="253"/>
        <v/>
      </c>
      <c r="JV95" s="110" t="str">
        <f t="shared" si="254"/>
        <v/>
      </c>
      <c r="JW95" s="110" t="str">
        <f t="shared" si="255"/>
        <v/>
      </c>
      <c r="JX95" s="110" t="str">
        <f t="shared" si="326"/>
        <v/>
      </c>
      <c r="JY95" s="110" t="str">
        <f t="shared" si="327"/>
        <v/>
      </c>
      <c r="JZ95" s="110" t="str">
        <f t="shared" si="256"/>
        <v/>
      </c>
      <c r="KA95" s="108" t="str">
        <f t="shared" si="328"/>
        <v/>
      </c>
    </row>
    <row r="96" spans="1:287" s="108" customFormat="1" ht="21.95" customHeight="1">
      <c r="A96" s="89">
        <v>90</v>
      </c>
      <c r="B96" s="90" t="str">
        <f>IF('Marks Entry'!B96="","",'Marks Entry'!B96)</f>
        <v/>
      </c>
      <c r="C96" s="94" t="str">
        <f>IF('Marks Entry'!D96="","",'Marks Entry'!D96)</f>
        <v/>
      </c>
      <c r="D96" s="91" t="str">
        <f>IF('Marks Entry'!E96="","",'Marks Entry'!E96)</f>
        <v/>
      </c>
      <c r="E96" s="92" t="str">
        <f>IF('Marks Entry'!F96="","",'Marks Entry'!F96)</f>
        <v/>
      </c>
      <c r="F96" s="93" t="str">
        <f>IF('Marks Entry'!G96="","",'Marks Entry'!G96)</f>
        <v/>
      </c>
      <c r="G96" s="93" t="str">
        <f>IF('Marks Entry'!H96="","",'Marks Entry'!H96)</f>
        <v/>
      </c>
      <c r="H96" s="93" t="str">
        <f>IF('Marks Entry'!I96="","",'Marks Entry'!I96)</f>
        <v/>
      </c>
      <c r="I96" s="94" t="str">
        <f>IF('Marks Entry'!J96="","",'Marks Entry'!J96)</f>
        <v/>
      </c>
      <c r="J96" s="95" t="str">
        <f>IF('Marks Entry'!K96="","",'Marks Entry'!K96)</f>
        <v/>
      </c>
      <c r="K96" s="68" t="str">
        <f>IF('Marks Entry'!L96="","",'Marks Entry'!L96)</f>
        <v/>
      </c>
      <c r="L96" s="68" t="str">
        <f>IF('Marks Entry'!M96="","",'Marks Entry'!M96)</f>
        <v/>
      </c>
      <c r="M96" s="68" t="str">
        <f>IF('Marks Entry'!N96="","",'Marks Entry'!N96)</f>
        <v/>
      </c>
      <c r="N96" s="514" t="str">
        <f t="shared" si="257"/>
        <v/>
      </c>
      <c r="O96" s="68" t="str">
        <f>IF('Marks Entry'!O96="","",'Marks Entry'!O96)</f>
        <v/>
      </c>
      <c r="P96" s="515" t="str">
        <f t="shared" si="258"/>
        <v/>
      </c>
      <c r="Q96" s="68" t="str">
        <f>IF('Marks Entry'!P96="","",'Marks Entry'!P96)</f>
        <v/>
      </c>
      <c r="R96" s="96" t="str">
        <f t="shared" si="259"/>
        <v/>
      </c>
      <c r="S96" s="65">
        <f t="shared" si="260"/>
        <v>0</v>
      </c>
      <c r="T96" s="65">
        <f t="shared" si="261"/>
        <v>0</v>
      </c>
      <c r="U96" s="66" t="str">
        <f t="shared" si="171"/>
        <v/>
      </c>
      <c r="V96" s="65" t="str">
        <f t="shared" si="172"/>
        <v/>
      </c>
      <c r="W96" s="65" t="str">
        <f t="shared" si="262"/>
        <v/>
      </c>
      <c r="X96" s="65" t="str">
        <f t="shared" si="173"/>
        <v/>
      </c>
      <c r="Y96" s="68" t="str">
        <f>IF('Marks Entry'!Q96="","",'Marks Entry'!Q96)</f>
        <v/>
      </c>
      <c r="Z96" s="68" t="str">
        <f>IF('Marks Entry'!R96="","",'Marks Entry'!R96)</f>
        <v/>
      </c>
      <c r="AA96" s="68" t="str">
        <f>IF('Marks Entry'!S96="","",'Marks Entry'!S96)</f>
        <v/>
      </c>
      <c r="AB96" s="514" t="str">
        <f t="shared" si="174"/>
        <v/>
      </c>
      <c r="AC96" s="68" t="str">
        <f>IF('Marks Entry'!T96="","",'Marks Entry'!T96)</f>
        <v/>
      </c>
      <c r="AD96" s="515" t="str">
        <f t="shared" si="175"/>
        <v/>
      </c>
      <c r="AE96" s="68" t="str">
        <f>IF('Marks Entry'!U96="","",'Marks Entry'!U96)</f>
        <v/>
      </c>
      <c r="AF96" s="96" t="str">
        <f t="shared" si="176"/>
        <v/>
      </c>
      <c r="AG96" s="65">
        <f t="shared" si="177"/>
        <v>0</v>
      </c>
      <c r="AH96" s="65">
        <f t="shared" si="178"/>
        <v>0</v>
      </c>
      <c r="AI96" s="66" t="str">
        <f t="shared" si="179"/>
        <v/>
      </c>
      <c r="AJ96" s="65" t="str">
        <f t="shared" si="180"/>
        <v/>
      </c>
      <c r="AK96" s="65" t="str">
        <f t="shared" si="181"/>
        <v/>
      </c>
      <c r="AL96" s="65" t="str">
        <f t="shared" si="182"/>
        <v/>
      </c>
      <c r="AM96" s="524" t="str">
        <f>IF('Marks Entry'!V96="","",IF('Marks Entry'!V96=1,'School Profile'!$I$9,IF('Marks Entry'!V96=2,'School Profile'!$I$10,IF('Marks Entry'!V96=3,'School Profile'!$I$11,IF('Marks Entry'!V96=4,'School Profile'!$I$12,IF('Marks Entry'!V96=5,'School Profile'!$I$13,IF('Marks Entry'!V96=6,'School Profile'!$I$14,"")))))))</f>
        <v/>
      </c>
      <c r="AN96" s="68" t="str">
        <f>IF('Marks Entry'!W96="","",'Marks Entry'!W96)</f>
        <v/>
      </c>
      <c r="AO96" s="68" t="str">
        <f>IF('Marks Entry'!X96="","",'Marks Entry'!X96)</f>
        <v/>
      </c>
      <c r="AP96" s="68" t="str">
        <f>IF('Marks Entry'!Y96="","",'Marks Entry'!Y96)</f>
        <v/>
      </c>
      <c r="AQ96" s="514" t="str">
        <f t="shared" si="183"/>
        <v/>
      </c>
      <c r="AR96" s="68" t="str">
        <f>IF('Marks Entry'!Z96="","",'Marks Entry'!Z96)</f>
        <v/>
      </c>
      <c r="AS96" s="515" t="str">
        <f t="shared" si="184"/>
        <v/>
      </c>
      <c r="AT96" s="68" t="str">
        <f>IF('Marks Entry'!AA96="","",'Marks Entry'!AA96)</f>
        <v/>
      </c>
      <c r="AU96" s="96" t="str">
        <f t="shared" si="185"/>
        <v/>
      </c>
      <c r="AV96" s="65">
        <f t="shared" si="186"/>
        <v>0</v>
      </c>
      <c r="AW96" s="65">
        <f t="shared" si="187"/>
        <v>0</v>
      </c>
      <c r="AX96" s="66" t="str">
        <f t="shared" si="188"/>
        <v/>
      </c>
      <c r="AY96" s="65" t="str">
        <f t="shared" si="189"/>
        <v/>
      </c>
      <c r="AZ96" s="65" t="str">
        <f t="shared" si="190"/>
        <v/>
      </c>
      <c r="BA96" s="65" t="str">
        <f t="shared" si="191"/>
        <v/>
      </c>
      <c r="BB96" s="68" t="str">
        <f>IF('Marks Entry'!AB96="","",'Marks Entry'!AB96)</f>
        <v/>
      </c>
      <c r="BC96" s="68" t="str">
        <f>IF('Marks Entry'!AC96="","",'Marks Entry'!AC96)</f>
        <v/>
      </c>
      <c r="BD96" s="68" t="str">
        <f>IF('Marks Entry'!AD96="","",'Marks Entry'!AD96)</f>
        <v/>
      </c>
      <c r="BE96" s="514" t="str">
        <f t="shared" si="192"/>
        <v/>
      </c>
      <c r="BF96" s="68" t="str">
        <f>IF('Marks Entry'!AE96="","",'Marks Entry'!AE96)</f>
        <v/>
      </c>
      <c r="BG96" s="515" t="str">
        <f t="shared" si="193"/>
        <v/>
      </c>
      <c r="BH96" s="68" t="str">
        <f>IF('Marks Entry'!AF96="","",'Marks Entry'!AF96)</f>
        <v/>
      </c>
      <c r="BI96" s="96" t="str">
        <f t="shared" si="194"/>
        <v/>
      </c>
      <c r="BJ96" s="65">
        <f t="shared" si="195"/>
        <v>0</v>
      </c>
      <c r="BK96" s="65">
        <f t="shared" si="263"/>
        <v>0</v>
      </c>
      <c r="BL96" s="66" t="str">
        <f t="shared" si="196"/>
        <v/>
      </c>
      <c r="BM96" s="65" t="str">
        <f t="shared" si="197"/>
        <v/>
      </c>
      <c r="BN96" s="65" t="str">
        <f t="shared" si="198"/>
        <v/>
      </c>
      <c r="BO96" s="65" t="str">
        <f t="shared" si="199"/>
        <v/>
      </c>
      <c r="BP96" s="68" t="str">
        <f>IF('Marks Entry'!AG96="","",'Marks Entry'!AG96)</f>
        <v/>
      </c>
      <c r="BQ96" s="68" t="str">
        <f>IF('Marks Entry'!AH96="","",'Marks Entry'!AH96)</f>
        <v/>
      </c>
      <c r="BR96" s="68" t="str">
        <f>IF('Marks Entry'!AI96="","",'Marks Entry'!AI96)</f>
        <v/>
      </c>
      <c r="BS96" s="514" t="str">
        <f t="shared" si="200"/>
        <v/>
      </c>
      <c r="BT96" s="68" t="str">
        <f>IF('Marks Entry'!AJ96="","",'Marks Entry'!AJ96)</f>
        <v/>
      </c>
      <c r="BU96" s="515" t="str">
        <f t="shared" si="201"/>
        <v/>
      </c>
      <c r="BV96" s="68" t="str">
        <f>IF('Marks Entry'!AK96="","",'Marks Entry'!AK96)</f>
        <v/>
      </c>
      <c r="BW96" s="96" t="str">
        <f t="shared" si="202"/>
        <v/>
      </c>
      <c r="BX96" s="65">
        <f t="shared" si="203"/>
        <v>0</v>
      </c>
      <c r="BY96" s="65">
        <f t="shared" si="204"/>
        <v>0</v>
      </c>
      <c r="BZ96" s="66" t="str">
        <f t="shared" si="205"/>
        <v/>
      </c>
      <c r="CA96" s="65" t="str">
        <f t="shared" si="206"/>
        <v/>
      </c>
      <c r="CB96" s="65" t="str">
        <f t="shared" si="207"/>
        <v/>
      </c>
      <c r="CC96" s="65" t="str">
        <f t="shared" si="208"/>
        <v/>
      </c>
      <c r="CD96" s="66">
        <f t="shared" si="209"/>
        <v>0</v>
      </c>
      <c r="CE96" s="68" t="str">
        <f>IF('Marks Entry'!AL96="","",'Marks Entry'!AL96)</f>
        <v/>
      </c>
      <c r="CF96" s="68" t="str">
        <f>IF('Marks Entry'!AM96="","",'Marks Entry'!AM96)</f>
        <v/>
      </c>
      <c r="CG96" s="68" t="str">
        <f>IF('Marks Entry'!AN96="","",'Marks Entry'!AN96)</f>
        <v/>
      </c>
      <c r="CH96" s="514" t="str">
        <f t="shared" si="210"/>
        <v/>
      </c>
      <c r="CI96" s="68" t="str">
        <f>IF('Marks Entry'!AO96="","",'Marks Entry'!AO96)</f>
        <v/>
      </c>
      <c r="CJ96" s="515" t="str">
        <f t="shared" si="211"/>
        <v/>
      </c>
      <c r="CK96" s="68" t="str">
        <f>IF('Marks Entry'!AP96="","",'Marks Entry'!AP96)</f>
        <v/>
      </c>
      <c r="CL96" s="96" t="str">
        <f t="shared" si="212"/>
        <v/>
      </c>
      <c r="CM96" s="65">
        <f t="shared" si="213"/>
        <v>0</v>
      </c>
      <c r="CN96" s="65">
        <f t="shared" si="214"/>
        <v>0</v>
      </c>
      <c r="CO96" s="66" t="str">
        <f t="shared" si="215"/>
        <v/>
      </c>
      <c r="CP96" s="65" t="str">
        <f t="shared" si="216"/>
        <v/>
      </c>
      <c r="CQ96" s="65" t="str">
        <f t="shared" si="217"/>
        <v/>
      </c>
      <c r="CR96" s="65" t="str">
        <f t="shared" si="218"/>
        <v/>
      </c>
      <c r="CS96" s="616" t="str">
        <f>IF('School Profile'!$D$20="NO","",IF('Marks Entry'!AQ96="","",IF('Marks Entry'!AQ96=1,'School Profile'!$I$29,IF('Marks Entry'!AQ96=2,'School Profile'!$I$30,IF('Marks Entry'!AQ96=3,'School Profile'!$I$31,IF('Marks Entry'!AQ96=4,'School Profile'!$I$32,IF('Marks Entry'!AQ96=5,'School Profile'!$I$33,IF('Marks Entry'!AQ96=6,'School Profile'!$I$34,IF('Marks Entry'!AQ96=7,'School Profile'!$I$35,IF('Marks Entry'!AQ96=8,'School Profile'!$I$36,IF('Marks Entry'!AQ96=9,'School Profile'!$I$37,IF('Marks Entry'!AQ96=10,'School Profile'!$I$38,IF('Marks Entry'!AQ96=11,'School Profile'!$I$39,"")))))))))))))</f>
        <v/>
      </c>
      <c r="CT96" s="68" t="str">
        <f>IF('School Profile'!$D$20="NO","",IF('Marks Entry'!AR96="","",'Marks Entry'!AR96))</f>
        <v/>
      </c>
      <c r="CU96" s="68" t="str">
        <f>IF('School Profile'!$D$20="NO","",IF('Marks Entry'!AS96="","",'Marks Entry'!AS96))</f>
        <v/>
      </c>
      <c r="CV96" s="68" t="str">
        <f>IF('School Profile'!$D$20="NO","",IF('Marks Entry'!AT96="","",'Marks Entry'!AT96))</f>
        <v/>
      </c>
      <c r="CW96" s="514" t="str">
        <f>IF('School Profile'!$D$20="NO","",IF(AND(CT96="",CU96="",CV96=""),"",SUM(CT96:CV96)))</f>
        <v/>
      </c>
      <c r="CX96" s="68" t="str">
        <f>IF('School Profile'!$D$20="NO","",IF('Marks Entry'!AU96="","",'Marks Entry'!AU96))</f>
        <v/>
      </c>
      <c r="CY96" s="68" t="str">
        <f>IF('School Profile'!$D$20="NO","",IF('Marks Entry'!AV96="","",'Marks Entry'!AV96))</f>
        <v/>
      </c>
      <c r="CZ96" s="515" t="str">
        <f>IF('School Profile'!$D$20="NO","",IF(AND(CX96="",CY96=""),"",SUM(CX96,CY96)))</f>
        <v/>
      </c>
      <c r="DA96" s="69" t="str">
        <f>IF('School Profile'!$D$20="NO","",IF(AND(CW96="",CZ96=""),"",SUM(CW96+CZ96)))</f>
        <v/>
      </c>
      <c r="DB96" s="68" t="str">
        <f>IF('School Profile'!$D$20="NO","",IF('Marks Entry'!AW96="","",'Marks Entry'!AW96))</f>
        <v/>
      </c>
      <c r="DC96" s="68" t="str">
        <f>IF('School Profile'!$D$20="NO","",IF('Marks Entry'!AX96="","",'Marks Entry'!AX96))</f>
        <v/>
      </c>
      <c r="DD96" s="515" t="str">
        <f>IF('School Profile'!$D$20="NO","",IF(AND(DB96="",DC96=""),"",SUM(DB96,DC96)))</f>
        <v/>
      </c>
      <c r="DE96" s="96" t="str">
        <f>IF('School Profile'!$D$20="NO","",IF(AND(DA96="",DD96=""),"",SUM(DA96,DD96)))</f>
        <v/>
      </c>
      <c r="DF96" s="532">
        <f t="shared" si="219"/>
        <v>0</v>
      </c>
      <c r="DG96" s="65">
        <f t="shared" si="220"/>
        <v>0</v>
      </c>
      <c r="DH96" s="66" t="str">
        <f t="shared" si="221"/>
        <v/>
      </c>
      <c r="DI96" s="65" t="str">
        <f t="shared" si="222"/>
        <v/>
      </c>
      <c r="DJ96" s="65" t="str">
        <f t="shared" si="223"/>
        <v/>
      </c>
      <c r="DK96" s="65" t="str">
        <f t="shared" si="224"/>
        <v/>
      </c>
      <c r="DL96" s="97" t="str">
        <f t="shared" si="264"/>
        <v/>
      </c>
      <c r="DM96" s="97" t="str">
        <f t="shared" si="265"/>
        <v/>
      </c>
      <c r="DN96" s="97" t="str">
        <f t="shared" si="266"/>
        <v/>
      </c>
      <c r="DO96" s="97" t="str">
        <f t="shared" si="267"/>
        <v/>
      </c>
      <c r="DP96" s="97" t="str">
        <f t="shared" si="268"/>
        <v/>
      </c>
      <c r="DQ96" s="97" t="str">
        <f t="shared" si="269"/>
        <v/>
      </c>
      <c r="DR96" s="97" t="str">
        <f t="shared" si="270"/>
        <v/>
      </c>
      <c r="DS96" s="98">
        <f t="shared" si="271"/>
        <v>0</v>
      </c>
      <c r="DT96" s="98">
        <f t="shared" si="272"/>
        <v>0</v>
      </c>
      <c r="DU96" s="98">
        <f t="shared" si="273"/>
        <v>0</v>
      </c>
      <c r="DV96" s="98">
        <f t="shared" si="274"/>
        <v>0</v>
      </c>
      <c r="DW96" s="98">
        <f t="shared" si="275"/>
        <v>0</v>
      </c>
      <c r="DX96" s="98" t="str">
        <f t="shared" si="276"/>
        <v/>
      </c>
      <c r="DY96" s="99" t="str">
        <f t="shared" si="277"/>
        <v/>
      </c>
      <c r="DZ96" s="74" t="str">
        <f>IF('Marks Entry'!AY96="","",'Marks Entry'!AY96)</f>
        <v/>
      </c>
      <c r="EA96" s="74" t="str">
        <f>IF('Marks Entry'!AZ96="","",'Marks Entry'!AZ96)</f>
        <v/>
      </c>
      <c r="EB96" s="74" t="str">
        <f>IF('Marks Entry'!BA96="","",'Marks Entry'!BA96)</f>
        <v/>
      </c>
      <c r="EC96" s="527" t="str">
        <f t="shared" si="225"/>
        <v/>
      </c>
      <c r="ED96" s="74" t="str">
        <f>IF('Marks Entry'!BB96="","",'Marks Entry'!BB96)</f>
        <v/>
      </c>
      <c r="EE96" s="528" t="str">
        <f t="shared" si="226"/>
        <v/>
      </c>
      <c r="EF96" s="74" t="str">
        <f>IF('Marks Entry'!BC96="","",'Marks Entry'!BC96)</f>
        <v/>
      </c>
      <c r="EG96" s="530" t="str">
        <f t="shared" si="227"/>
        <v/>
      </c>
      <c r="EH96" s="368" t="str">
        <f t="shared" si="278"/>
        <v/>
      </c>
      <c r="EI96" s="65">
        <f t="shared" si="279"/>
        <v>0</v>
      </c>
      <c r="EJ96" s="65">
        <f t="shared" si="280"/>
        <v>0</v>
      </c>
      <c r="EK96" s="66" t="str">
        <f t="shared" si="281"/>
        <v/>
      </c>
      <c r="EL96" s="74" t="str">
        <f>IF('Marks Entry'!BD96="","",'Marks Entry'!BD96)</f>
        <v/>
      </c>
      <c r="EM96" s="74" t="str">
        <f>IF('Marks Entry'!BE96="","",'Marks Entry'!BE96)</f>
        <v/>
      </c>
      <c r="EN96" s="74" t="str">
        <f>IF('Marks Entry'!BF96="","",'Marks Entry'!BF96)</f>
        <v/>
      </c>
      <c r="EO96" s="527" t="str">
        <f t="shared" si="228"/>
        <v/>
      </c>
      <c r="EP96" s="74" t="str">
        <f>IF('Marks Entry'!BG96="","",'Marks Entry'!BG96)</f>
        <v/>
      </c>
      <c r="EQ96" s="74" t="str">
        <f>IF('Marks Entry'!BH96="","",'Marks Entry'!BH96)</f>
        <v/>
      </c>
      <c r="ER96" s="528" t="str">
        <f t="shared" si="229"/>
        <v/>
      </c>
      <c r="ES96" s="529" t="str">
        <f t="shared" si="230"/>
        <v/>
      </c>
      <c r="ET96" s="74" t="str">
        <f>IF('Marks Entry'!BI96="","",'Marks Entry'!BI96)</f>
        <v/>
      </c>
      <c r="EU96" s="74" t="str">
        <f>IF('Marks Entry'!BJ96="","",'Marks Entry'!BJ96)</f>
        <v/>
      </c>
      <c r="EV96" s="528" t="str">
        <f t="shared" si="231"/>
        <v/>
      </c>
      <c r="EW96" s="530" t="str">
        <f t="shared" si="232"/>
        <v/>
      </c>
      <c r="EX96" s="368" t="str">
        <f t="shared" si="282"/>
        <v/>
      </c>
      <c r="EY96" s="65">
        <f t="shared" si="283"/>
        <v>0</v>
      </c>
      <c r="EZ96" s="65">
        <f t="shared" si="284"/>
        <v>0</v>
      </c>
      <c r="FA96" s="66" t="str">
        <f t="shared" si="285"/>
        <v/>
      </c>
      <c r="FB96" s="74" t="str">
        <f>IF('Marks Entry'!BK96="","",'Marks Entry'!BK96)</f>
        <v/>
      </c>
      <c r="FC96" s="74" t="str">
        <f>IF('Marks Entry'!BL96="","",'Marks Entry'!BL96)</f>
        <v/>
      </c>
      <c r="FD96" s="74" t="str">
        <f>IF('Marks Entry'!BM96="","",'Marks Entry'!BM96)</f>
        <v/>
      </c>
      <c r="FE96" s="74" t="str">
        <f>IF('Marks Entry'!BN96="","",'Marks Entry'!BN96)</f>
        <v/>
      </c>
      <c r="FF96" s="74" t="str">
        <f>IF('Marks Entry'!BO96="","",'Marks Entry'!BO96)</f>
        <v/>
      </c>
      <c r="FG96" s="74" t="str">
        <f>IF('Marks Entry'!BP96="","",'Marks Entry'!BP96)</f>
        <v/>
      </c>
      <c r="FH96" s="527" t="str">
        <f t="shared" si="233"/>
        <v/>
      </c>
      <c r="FI96" s="74" t="str">
        <f>IF('Marks Entry'!BQ96="","",'Marks Entry'!BQ96)</f>
        <v/>
      </c>
      <c r="FJ96" s="74" t="str">
        <f>IF('Marks Entry'!BR96="","",'Marks Entry'!BR96)</f>
        <v/>
      </c>
      <c r="FK96" s="528" t="str">
        <f t="shared" si="234"/>
        <v/>
      </c>
      <c r="FL96" s="529" t="str">
        <f t="shared" si="235"/>
        <v/>
      </c>
      <c r="FM96" s="74" t="str">
        <f>IF('Marks Entry'!BS96="","",'Marks Entry'!BS96)</f>
        <v/>
      </c>
      <c r="FN96" s="74" t="str">
        <f>IF('Marks Entry'!BT96="","",'Marks Entry'!BT96)</f>
        <v/>
      </c>
      <c r="FO96" s="528" t="str">
        <f t="shared" si="236"/>
        <v/>
      </c>
      <c r="FP96" s="530" t="str">
        <f t="shared" si="237"/>
        <v/>
      </c>
      <c r="FQ96" s="368" t="str">
        <f t="shared" si="286"/>
        <v/>
      </c>
      <c r="FR96" s="65">
        <f t="shared" si="287"/>
        <v>0</v>
      </c>
      <c r="FS96" s="65">
        <f t="shared" si="288"/>
        <v>0</v>
      </c>
      <c r="FT96" s="66" t="str">
        <f t="shared" si="289"/>
        <v/>
      </c>
      <c r="FU96" s="74" t="str">
        <f>IF('Marks Entry'!BU96="","",'Marks Entry'!BU96)</f>
        <v/>
      </c>
      <c r="FV96" s="74" t="str">
        <f>IF('Marks Entry'!BV96="","",'Marks Entry'!BV96)</f>
        <v/>
      </c>
      <c r="FW96" s="74" t="str">
        <f>IF('Marks Entry'!BW96="","",'Marks Entry'!BW96)</f>
        <v/>
      </c>
      <c r="FX96" s="75" t="str">
        <f t="shared" si="238"/>
        <v/>
      </c>
      <c r="FY96" s="368" t="str">
        <f t="shared" si="290"/>
        <v/>
      </c>
      <c r="FZ96" s="65">
        <f t="shared" si="291"/>
        <v>0</v>
      </c>
      <c r="GA96" s="66">
        <f t="shared" si="292"/>
        <v>0</v>
      </c>
      <c r="GB96" s="66" t="str">
        <f t="shared" si="293"/>
        <v/>
      </c>
      <c r="GC96" s="74" t="str">
        <f>IF('Marks Entry'!BX96="","",'Marks Entry'!BX96)</f>
        <v/>
      </c>
      <c r="GD96" s="74" t="str">
        <f>IF('Marks Entry'!BY96="","",'Marks Entry'!BY96)</f>
        <v/>
      </c>
      <c r="GE96" s="74" t="str">
        <f>IF('Marks Entry'!BZ96="","",'Marks Entry'!BZ96)</f>
        <v/>
      </c>
      <c r="GF96" s="75" t="str">
        <f t="shared" si="294"/>
        <v/>
      </c>
      <c r="GG96" s="368" t="str">
        <f t="shared" si="295"/>
        <v/>
      </c>
      <c r="GH96" s="65">
        <f t="shared" si="296"/>
        <v>0</v>
      </c>
      <c r="GI96" s="66">
        <f t="shared" si="297"/>
        <v>0</v>
      </c>
      <c r="GJ96" s="66" t="str">
        <f t="shared" si="298"/>
        <v/>
      </c>
      <c r="GK96" s="100" t="str">
        <f>IF(AND(F96="",B96=""),"",IF('Student DATA Entry'!M93="","",'Student DATA Entry'!M93))</f>
        <v/>
      </c>
      <c r="GL96" s="101" t="str">
        <f>IF(AND(B96="",F96=""),"",IF('Student DATA Entry'!N93="","",'Student DATA Entry'!N93))</f>
        <v/>
      </c>
      <c r="GM96" s="581" t="str">
        <f t="shared" si="299"/>
        <v/>
      </c>
      <c r="GN96" s="94" t="str">
        <f t="shared" si="300"/>
        <v/>
      </c>
      <c r="GO96" s="94" t="str">
        <f t="shared" si="301"/>
        <v/>
      </c>
      <c r="GP96" s="102" t="str">
        <f t="shared" si="239"/>
        <v/>
      </c>
      <c r="GQ96" s="94" t="str">
        <f t="shared" si="302"/>
        <v/>
      </c>
      <c r="GR96" s="103" t="str">
        <f t="shared" si="303"/>
        <v/>
      </c>
      <c r="GS96" s="102" t="str">
        <f t="shared" si="240"/>
        <v/>
      </c>
      <c r="GT96" s="104" t="str">
        <f t="shared" si="304"/>
        <v/>
      </c>
      <c r="GU96" s="94" t="str">
        <f>IF('Marks Entry'!V96=1,GT96,"")</f>
        <v/>
      </c>
      <c r="GV96" s="94" t="str">
        <f>IF('Marks Entry'!V96=2,GT96,"")</f>
        <v/>
      </c>
      <c r="GW96" s="94" t="str">
        <f>IF('Marks Entry'!V96=3,GT96,"")</f>
        <v/>
      </c>
      <c r="GX96" s="94" t="str">
        <f>IF('Marks Entry'!V96=4,GT96,"")</f>
        <v/>
      </c>
      <c r="GY96" s="94" t="str">
        <f>IF('Marks Entry'!V96=5,GT96,"")</f>
        <v/>
      </c>
      <c r="GZ96" s="94" t="str">
        <f t="shared" si="305"/>
        <v/>
      </c>
      <c r="HA96" s="105" t="str">
        <f t="shared" si="241"/>
        <v/>
      </c>
      <c r="HB96" s="94" t="str">
        <f t="shared" si="306"/>
        <v/>
      </c>
      <c r="HC96" s="94" t="str">
        <f t="shared" si="307"/>
        <v/>
      </c>
      <c r="HD96" s="105" t="str">
        <f t="shared" si="242"/>
        <v/>
      </c>
      <c r="HE96" s="94" t="str">
        <f t="shared" si="308"/>
        <v/>
      </c>
      <c r="HF96" s="94" t="str">
        <f t="shared" si="309"/>
        <v/>
      </c>
      <c r="HG96" s="105" t="str">
        <f t="shared" si="243"/>
        <v/>
      </c>
      <c r="HH96" s="94" t="str">
        <f t="shared" si="310"/>
        <v/>
      </c>
      <c r="HI96" s="94" t="str">
        <f t="shared" si="311"/>
        <v/>
      </c>
      <c r="HJ96" s="105" t="str">
        <f t="shared" si="244"/>
        <v/>
      </c>
      <c r="HK96" s="94" t="str">
        <f t="shared" si="312"/>
        <v/>
      </c>
      <c r="HL96" s="94" t="str">
        <f t="shared" si="313"/>
        <v/>
      </c>
      <c r="HM96" s="105" t="str">
        <f t="shared" si="245"/>
        <v/>
      </c>
      <c r="HN96" s="367" t="str">
        <f t="shared" si="314"/>
        <v xml:space="preserve">      </v>
      </c>
      <c r="HO96" s="418" t="str">
        <f t="shared" si="246"/>
        <v xml:space="preserve">      </v>
      </c>
      <c r="HP96" s="367" t="str">
        <f t="shared" si="315"/>
        <v xml:space="preserve">      </v>
      </c>
      <c r="HQ96" s="107" t="str">
        <f t="shared" si="316"/>
        <v xml:space="preserve">      </v>
      </c>
      <c r="HR96" s="366" t="str">
        <f t="shared" si="317"/>
        <v xml:space="preserve">      </v>
      </c>
      <c r="HS96" s="544" t="str">
        <f t="shared" si="247"/>
        <v/>
      </c>
      <c r="HT96" s="542" t="str">
        <f t="shared" si="318"/>
        <v/>
      </c>
      <c r="HU96" s="541" t="str">
        <f t="shared" si="319"/>
        <v/>
      </c>
      <c r="HV96" s="540" t="str">
        <f t="shared" si="320"/>
        <v/>
      </c>
      <c r="HW96" s="537" t="str">
        <f t="shared" si="321"/>
        <v/>
      </c>
      <c r="HX96" s="539" t="str">
        <f t="shared" si="322"/>
        <v/>
      </c>
      <c r="HY96" s="553" t="str">
        <f>IFERROR(IF(OR(HS96="SUPPLEMENTARY",HS96="RE-EXAM"),'Supp. Result Entry'!AQ94,""),"")</f>
        <v/>
      </c>
      <c r="HZ96" s="538" t="str">
        <f t="shared" si="323"/>
        <v/>
      </c>
      <c r="IA96" s="415" t="str">
        <f t="shared" si="324"/>
        <v/>
      </c>
      <c r="IB96" s="415" t="str">
        <f>IF(AND(HZ96="",IA96=""),"",IF(OR(HS96="SUPPLEMENTARY",HS96="RE-EXAM"),'Supp. Result Entry'!AQ94,HS96))</f>
        <v/>
      </c>
      <c r="IC96" s="87"/>
      <c r="IS96" s="109" t="str">
        <f>IF('Supp. Result Entry'!T94="","",'Supp. Result Entry'!$T$4)</f>
        <v/>
      </c>
      <c r="IT96" s="110" t="str">
        <f>IF('Supp. Result Entry'!W94="","",'Supp. Result Entry'!$W$4)</f>
        <v/>
      </c>
      <c r="IU96" s="110" t="str">
        <f>IF('Supp. Result Entry'!Z94="","",'Supp. Result Entry'!$Z$4)</f>
        <v/>
      </c>
      <c r="IV96" s="110" t="str">
        <f>IF('Supp. Result Entry'!AC94="","",'Supp. Result Entry'!$AC$4)</f>
        <v/>
      </c>
      <c r="IW96" s="110" t="str">
        <f>IF('Supp. Result Entry'!AF94="","",'Supp. Result Entry'!$AF$4)</f>
        <v/>
      </c>
      <c r="IX96" s="110" t="str">
        <f>IF('Supp. Result Entry'!AI94="","",'Supp. Result Entry'!$AI$4)</f>
        <v/>
      </c>
      <c r="IY96" s="110" t="str">
        <f>IF('Supp. Result Entry'!AI94="","",'Supp. Result Entry'!$AL$4)</f>
        <v/>
      </c>
      <c r="IZ96" s="110" t="str">
        <f>IF('Supp. Result Entry'!U94="","",'Supp. Result Entry'!U94)</f>
        <v/>
      </c>
      <c r="JA96" s="110" t="str">
        <f>IF('Supp. Result Entry'!X94="","",'Supp. Result Entry'!X94)</f>
        <v/>
      </c>
      <c r="JB96" s="110" t="str">
        <f>IF('Supp. Result Entry'!AA94="","",'Supp. Result Entry'!AA94)</f>
        <v/>
      </c>
      <c r="JC96" s="110" t="str">
        <f>IF('Supp. Result Entry'!AD94="","",'Supp. Result Entry'!AD94)</f>
        <v/>
      </c>
      <c r="JD96" s="110" t="str">
        <f>IF('Supp. Result Entry'!AG94="","",'Supp. Result Entry'!AG94)</f>
        <v/>
      </c>
      <c r="JE96" s="110" t="str">
        <f>IF('Supp. Result Entry'!AJ94="","",'Supp. Result Entry'!AJ94)</f>
        <v/>
      </c>
      <c r="JF96" s="110" t="str">
        <f>IF('Supp. Result Entry'!AM94="","",'Supp. Result Entry'!AM94)</f>
        <v/>
      </c>
      <c r="JG96" s="110" t="str">
        <f>IF('Supp. Result Entry'!V94="","",'Supp. Result Entry'!V94)</f>
        <v/>
      </c>
      <c r="JH96" s="110" t="str">
        <f>IF('Supp. Result Entry'!Y94="","",'Supp. Result Entry'!Y94)</f>
        <v/>
      </c>
      <c r="JI96" s="110" t="str">
        <f>IF('Supp. Result Entry'!AB94="","",'Supp. Result Entry'!AB94)</f>
        <v/>
      </c>
      <c r="JJ96" s="110" t="str">
        <f>IF('Supp. Result Entry'!AE94="","",'Supp. Result Entry'!AE94)</f>
        <v/>
      </c>
      <c r="JK96" s="110" t="str">
        <f>IF('Supp. Result Entry'!AH94="","",'Supp. Result Entry'!AH94)</f>
        <v/>
      </c>
      <c r="JL96" s="110" t="str">
        <f>IF('Supp. Result Entry'!AK94="","",'Supp. Result Entry'!AK94)</f>
        <v/>
      </c>
      <c r="JM96" s="110" t="str">
        <f>IF('Supp. Result Entry'!AN94="","",'Supp. Result Entry'!AN94)</f>
        <v/>
      </c>
      <c r="JN96" s="110">
        <f>COUNTIF('Supp. Result Entry'!K94:Q94,"S")</f>
        <v>0</v>
      </c>
      <c r="JO96" s="110">
        <f t="shared" si="248"/>
        <v>0</v>
      </c>
      <c r="JP96" s="110">
        <f t="shared" si="325"/>
        <v>0</v>
      </c>
      <c r="JQ96" s="110" t="str">
        <f t="shared" si="249"/>
        <v/>
      </c>
      <c r="JR96" s="110" t="str">
        <f t="shared" si="250"/>
        <v/>
      </c>
      <c r="JS96" s="110" t="str">
        <f t="shared" si="251"/>
        <v/>
      </c>
      <c r="JT96" s="110" t="str">
        <f t="shared" si="252"/>
        <v/>
      </c>
      <c r="JU96" s="110" t="str">
        <f t="shared" si="253"/>
        <v/>
      </c>
      <c r="JV96" s="110" t="str">
        <f t="shared" si="254"/>
        <v/>
      </c>
      <c r="JW96" s="110" t="str">
        <f t="shared" si="255"/>
        <v/>
      </c>
      <c r="JX96" s="110" t="str">
        <f t="shared" si="326"/>
        <v/>
      </c>
      <c r="JY96" s="110" t="str">
        <f t="shared" si="327"/>
        <v/>
      </c>
      <c r="JZ96" s="110" t="str">
        <f t="shared" si="256"/>
        <v/>
      </c>
      <c r="KA96" s="108" t="str">
        <f t="shared" si="328"/>
        <v/>
      </c>
    </row>
    <row r="97" spans="1:287" s="108" customFormat="1" ht="21.95" customHeight="1">
      <c r="A97" s="89">
        <v>91</v>
      </c>
      <c r="B97" s="90" t="str">
        <f>IF('Marks Entry'!B97="","",'Marks Entry'!B97)</f>
        <v/>
      </c>
      <c r="C97" s="94" t="str">
        <f>IF('Marks Entry'!D97="","",'Marks Entry'!D97)</f>
        <v/>
      </c>
      <c r="D97" s="91" t="str">
        <f>IF('Marks Entry'!E97="","",'Marks Entry'!E97)</f>
        <v/>
      </c>
      <c r="E97" s="92" t="str">
        <f>IF('Marks Entry'!F97="","",'Marks Entry'!F97)</f>
        <v/>
      </c>
      <c r="F97" s="93" t="str">
        <f>IF('Marks Entry'!G97="","",'Marks Entry'!G97)</f>
        <v/>
      </c>
      <c r="G97" s="93" t="str">
        <f>IF('Marks Entry'!H97="","",'Marks Entry'!H97)</f>
        <v/>
      </c>
      <c r="H97" s="93" t="str">
        <f>IF('Marks Entry'!I97="","",'Marks Entry'!I97)</f>
        <v/>
      </c>
      <c r="I97" s="94" t="str">
        <f>IF('Marks Entry'!J97="","",'Marks Entry'!J97)</f>
        <v/>
      </c>
      <c r="J97" s="95" t="str">
        <f>IF('Marks Entry'!K97="","",'Marks Entry'!K97)</f>
        <v/>
      </c>
      <c r="K97" s="68" t="str">
        <f>IF('Marks Entry'!L97="","",'Marks Entry'!L97)</f>
        <v/>
      </c>
      <c r="L97" s="68" t="str">
        <f>IF('Marks Entry'!M97="","",'Marks Entry'!M97)</f>
        <v/>
      </c>
      <c r="M97" s="68" t="str">
        <f>IF('Marks Entry'!N97="","",'Marks Entry'!N97)</f>
        <v/>
      </c>
      <c r="N97" s="514" t="str">
        <f t="shared" si="257"/>
        <v/>
      </c>
      <c r="O97" s="68" t="str">
        <f>IF('Marks Entry'!O97="","",'Marks Entry'!O97)</f>
        <v/>
      </c>
      <c r="P97" s="515" t="str">
        <f t="shared" si="258"/>
        <v/>
      </c>
      <c r="Q97" s="68" t="str">
        <f>IF('Marks Entry'!P97="","",'Marks Entry'!P97)</f>
        <v/>
      </c>
      <c r="R97" s="96" t="str">
        <f t="shared" si="259"/>
        <v/>
      </c>
      <c r="S97" s="65">
        <f t="shared" si="260"/>
        <v>0</v>
      </c>
      <c r="T97" s="65">
        <f t="shared" si="261"/>
        <v>0</v>
      </c>
      <c r="U97" s="66" t="str">
        <f t="shared" si="171"/>
        <v/>
      </c>
      <c r="V97" s="65" t="str">
        <f t="shared" si="172"/>
        <v/>
      </c>
      <c r="W97" s="65" t="str">
        <f t="shared" si="262"/>
        <v/>
      </c>
      <c r="X97" s="65" t="str">
        <f t="shared" si="173"/>
        <v/>
      </c>
      <c r="Y97" s="68" t="str">
        <f>IF('Marks Entry'!Q97="","",'Marks Entry'!Q97)</f>
        <v/>
      </c>
      <c r="Z97" s="68" t="str">
        <f>IF('Marks Entry'!R97="","",'Marks Entry'!R97)</f>
        <v/>
      </c>
      <c r="AA97" s="68" t="str">
        <f>IF('Marks Entry'!S97="","",'Marks Entry'!S97)</f>
        <v/>
      </c>
      <c r="AB97" s="514" t="str">
        <f t="shared" si="174"/>
        <v/>
      </c>
      <c r="AC97" s="68" t="str">
        <f>IF('Marks Entry'!T97="","",'Marks Entry'!T97)</f>
        <v/>
      </c>
      <c r="AD97" s="515" t="str">
        <f t="shared" si="175"/>
        <v/>
      </c>
      <c r="AE97" s="68" t="str">
        <f>IF('Marks Entry'!U97="","",'Marks Entry'!U97)</f>
        <v/>
      </c>
      <c r="AF97" s="96" t="str">
        <f t="shared" si="176"/>
        <v/>
      </c>
      <c r="AG97" s="65">
        <f t="shared" si="177"/>
        <v>0</v>
      </c>
      <c r="AH97" s="65">
        <f t="shared" si="178"/>
        <v>0</v>
      </c>
      <c r="AI97" s="66" t="str">
        <f t="shared" si="179"/>
        <v/>
      </c>
      <c r="AJ97" s="65" t="str">
        <f t="shared" si="180"/>
        <v/>
      </c>
      <c r="AK97" s="65" t="str">
        <f t="shared" si="181"/>
        <v/>
      </c>
      <c r="AL97" s="65" t="str">
        <f t="shared" si="182"/>
        <v/>
      </c>
      <c r="AM97" s="524" t="str">
        <f>IF('Marks Entry'!V97="","",IF('Marks Entry'!V97=1,'School Profile'!$I$9,IF('Marks Entry'!V97=2,'School Profile'!$I$10,IF('Marks Entry'!V97=3,'School Profile'!$I$11,IF('Marks Entry'!V97=4,'School Profile'!$I$12,IF('Marks Entry'!V97=5,'School Profile'!$I$13,IF('Marks Entry'!V97=6,'School Profile'!$I$14,"")))))))</f>
        <v/>
      </c>
      <c r="AN97" s="68" t="str">
        <f>IF('Marks Entry'!W97="","",'Marks Entry'!W97)</f>
        <v/>
      </c>
      <c r="AO97" s="68" t="str">
        <f>IF('Marks Entry'!X97="","",'Marks Entry'!X97)</f>
        <v/>
      </c>
      <c r="AP97" s="68" t="str">
        <f>IF('Marks Entry'!Y97="","",'Marks Entry'!Y97)</f>
        <v/>
      </c>
      <c r="AQ97" s="514" t="str">
        <f t="shared" si="183"/>
        <v/>
      </c>
      <c r="AR97" s="68" t="str">
        <f>IF('Marks Entry'!Z97="","",'Marks Entry'!Z97)</f>
        <v/>
      </c>
      <c r="AS97" s="515" t="str">
        <f t="shared" si="184"/>
        <v/>
      </c>
      <c r="AT97" s="68" t="str">
        <f>IF('Marks Entry'!AA97="","",'Marks Entry'!AA97)</f>
        <v/>
      </c>
      <c r="AU97" s="96" t="str">
        <f t="shared" si="185"/>
        <v/>
      </c>
      <c r="AV97" s="65">
        <f t="shared" si="186"/>
        <v>0</v>
      </c>
      <c r="AW97" s="65">
        <f t="shared" si="187"/>
        <v>0</v>
      </c>
      <c r="AX97" s="66" t="str">
        <f t="shared" si="188"/>
        <v/>
      </c>
      <c r="AY97" s="65" t="str">
        <f t="shared" si="189"/>
        <v/>
      </c>
      <c r="AZ97" s="65" t="str">
        <f t="shared" si="190"/>
        <v/>
      </c>
      <c r="BA97" s="65" t="str">
        <f t="shared" si="191"/>
        <v/>
      </c>
      <c r="BB97" s="68" t="str">
        <f>IF('Marks Entry'!AB97="","",'Marks Entry'!AB97)</f>
        <v/>
      </c>
      <c r="BC97" s="68" t="str">
        <f>IF('Marks Entry'!AC97="","",'Marks Entry'!AC97)</f>
        <v/>
      </c>
      <c r="BD97" s="68" t="str">
        <f>IF('Marks Entry'!AD97="","",'Marks Entry'!AD97)</f>
        <v/>
      </c>
      <c r="BE97" s="514" t="str">
        <f t="shared" si="192"/>
        <v/>
      </c>
      <c r="BF97" s="68" t="str">
        <f>IF('Marks Entry'!AE97="","",'Marks Entry'!AE97)</f>
        <v/>
      </c>
      <c r="BG97" s="515" t="str">
        <f t="shared" si="193"/>
        <v/>
      </c>
      <c r="BH97" s="68" t="str">
        <f>IF('Marks Entry'!AF97="","",'Marks Entry'!AF97)</f>
        <v/>
      </c>
      <c r="BI97" s="96" t="str">
        <f t="shared" si="194"/>
        <v/>
      </c>
      <c r="BJ97" s="65">
        <f t="shared" si="195"/>
        <v>0</v>
      </c>
      <c r="BK97" s="65">
        <f t="shared" si="263"/>
        <v>0</v>
      </c>
      <c r="BL97" s="66" t="str">
        <f t="shared" si="196"/>
        <v/>
      </c>
      <c r="BM97" s="65" t="str">
        <f t="shared" si="197"/>
        <v/>
      </c>
      <c r="BN97" s="65" t="str">
        <f t="shared" si="198"/>
        <v/>
      </c>
      <c r="BO97" s="65" t="str">
        <f t="shared" si="199"/>
        <v/>
      </c>
      <c r="BP97" s="68" t="str">
        <f>IF('Marks Entry'!AG97="","",'Marks Entry'!AG97)</f>
        <v/>
      </c>
      <c r="BQ97" s="68" t="str">
        <f>IF('Marks Entry'!AH97="","",'Marks Entry'!AH97)</f>
        <v/>
      </c>
      <c r="BR97" s="68" t="str">
        <f>IF('Marks Entry'!AI97="","",'Marks Entry'!AI97)</f>
        <v/>
      </c>
      <c r="BS97" s="514" t="str">
        <f t="shared" si="200"/>
        <v/>
      </c>
      <c r="BT97" s="68" t="str">
        <f>IF('Marks Entry'!AJ97="","",'Marks Entry'!AJ97)</f>
        <v/>
      </c>
      <c r="BU97" s="515" t="str">
        <f t="shared" si="201"/>
        <v/>
      </c>
      <c r="BV97" s="68" t="str">
        <f>IF('Marks Entry'!AK97="","",'Marks Entry'!AK97)</f>
        <v/>
      </c>
      <c r="BW97" s="96" t="str">
        <f t="shared" si="202"/>
        <v/>
      </c>
      <c r="BX97" s="65">
        <f t="shared" si="203"/>
        <v>0</v>
      </c>
      <c r="BY97" s="65">
        <f t="shared" si="204"/>
        <v>0</v>
      </c>
      <c r="BZ97" s="66" t="str">
        <f t="shared" si="205"/>
        <v/>
      </c>
      <c r="CA97" s="65" t="str">
        <f t="shared" si="206"/>
        <v/>
      </c>
      <c r="CB97" s="65" t="str">
        <f t="shared" si="207"/>
        <v/>
      </c>
      <c r="CC97" s="65" t="str">
        <f t="shared" si="208"/>
        <v/>
      </c>
      <c r="CD97" s="66">
        <f t="shared" si="209"/>
        <v>0</v>
      </c>
      <c r="CE97" s="68" t="str">
        <f>IF('Marks Entry'!AL97="","",'Marks Entry'!AL97)</f>
        <v/>
      </c>
      <c r="CF97" s="68" t="str">
        <f>IF('Marks Entry'!AM97="","",'Marks Entry'!AM97)</f>
        <v/>
      </c>
      <c r="CG97" s="68" t="str">
        <f>IF('Marks Entry'!AN97="","",'Marks Entry'!AN97)</f>
        <v/>
      </c>
      <c r="CH97" s="514" t="str">
        <f t="shared" si="210"/>
        <v/>
      </c>
      <c r="CI97" s="68" t="str">
        <f>IF('Marks Entry'!AO97="","",'Marks Entry'!AO97)</f>
        <v/>
      </c>
      <c r="CJ97" s="515" t="str">
        <f t="shared" si="211"/>
        <v/>
      </c>
      <c r="CK97" s="68" t="str">
        <f>IF('Marks Entry'!AP97="","",'Marks Entry'!AP97)</f>
        <v/>
      </c>
      <c r="CL97" s="96" t="str">
        <f t="shared" si="212"/>
        <v/>
      </c>
      <c r="CM97" s="65">
        <f t="shared" si="213"/>
        <v>0</v>
      </c>
      <c r="CN97" s="65">
        <f t="shared" si="214"/>
        <v>0</v>
      </c>
      <c r="CO97" s="66" t="str">
        <f t="shared" si="215"/>
        <v/>
      </c>
      <c r="CP97" s="65" t="str">
        <f t="shared" si="216"/>
        <v/>
      </c>
      <c r="CQ97" s="65" t="str">
        <f t="shared" si="217"/>
        <v/>
      </c>
      <c r="CR97" s="65" t="str">
        <f t="shared" si="218"/>
        <v/>
      </c>
      <c r="CS97" s="616" t="str">
        <f>IF('School Profile'!$D$20="NO","",IF('Marks Entry'!AQ97="","",IF('Marks Entry'!AQ97=1,'School Profile'!$I$29,IF('Marks Entry'!AQ97=2,'School Profile'!$I$30,IF('Marks Entry'!AQ97=3,'School Profile'!$I$31,IF('Marks Entry'!AQ97=4,'School Profile'!$I$32,IF('Marks Entry'!AQ97=5,'School Profile'!$I$33,IF('Marks Entry'!AQ97=6,'School Profile'!$I$34,IF('Marks Entry'!AQ97=7,'School Profile'!$I$35,IF('Marks Entry'!AQ97=8,'School Profile'!$I$36,IF('Marks Entry'!AQ97=9,'School Profile'!$I$37,IF('Marks Entry'!AQ97=10,'School Profile'!$I$38,IF('Marks Entry'!AQ97=11,'School Profile'!$I$39,"")))))))))))))</f>
        <v/>
      </c>
      <c r="CT97" s="68" t="str">
        <f>IF('School Profile'!$D$20="NO","",IF('Marks Entry'!AR97="","",'Marks Entry'!AR97))</f>
        <v/>
      </c>
      <c r="CU97" s="68" t="str">
        <f>IF('School Profile'!$D$20="NO","",IF('Marks Entry'!AS97="","",'Marks Entry'!AS97))</f>
        <v/>
      </c>
      <c r="CV97" s="68" t="str">
        <f>IF('School Profile'!$D$20="NO","",IF('Marks Entry'!AT97="","",'Marks Entry'!AT97))</f>
        <v/>
      </c>
      <c r="CW97" s="514" t="str">
        <f>IF('School Profile'!$D$20="NO","",IF(AND(CT97="",CU97="",CV97=""),"",SUM(CT97:CV97)))</f>
        <v/>
      </c>
      <c r="CX97" s="68" t="str">
        <f>IF('School Profile'!$D$20="NO","",IF('Marks Entry'!AU97="","",'Marks Entry'!AU97))</f>
        <v/>
      </c>
      <c r="CY97" s="68" t="str">
        <f>IF('School Profile'!$D$20="NO","",IF('Marks Entry'!AV97="","",'Marks Entry'!AV97))</f>
        <v/>
      </c>
      <c r="CZ97" s="515" t="str">
        <f>IF('School Profile'!$D$20="NO","",IF(AND(CX97="",CY97=""),"",SUM(CX97,CY97)))</f>
        <v/>
      </c>
      <c r="DA97" s="69" t="str">
        <f>IF('School Profile'!$D$20="NO","",IF(AND(CW97="",CZ97=""),"",SUM(CW97+CZ97)))</f>
        <v/>
      </c>
      <c r="DB97" s="68" t="str">
        <f>IF('School Profile'!$D$20="NO","",IF('Marks Entry'!AW97="","",'Marks Entry'!AW97))</f>
        <v/>
      </c>
      <c r="DC97" s="68" t="str">
        <f>IF('School Profile'!$D$20="NO","",IF('Marks Entry'!AX97="","",'Marks Entry'!AX97))</f>
        <v/>
      </c>
      <c r="DD97" s="515" t="str">
        <f>IF('School Profile'!$D$20="NO","",IF(AND(DB97="",DC97=""),"",SUM(DB97,DC97)))</f>
        <v/>
      </c>
      <c r="DE97" s="96" t="str">
        <f>IF('School Profile'!$D$20="NO","",IF(AND(DA97="",DD97=""),"",SUM(DA97,DD97)))</f>
        <v/>
      </c>
      <c r="DF97" s="532">
        <f t="shared" si="219"/>
        <v>0</v>
      </c>
      <c r="DG97" s="65">
        <f t="shared" si="220"/>
        <v>0</v>
      </c>
      <c r="DH97" s="66" t="str">
        <f t="shared" si="221"/>
        <v/>
      </c>
      <c r="DI97" s="65" t="str">
        <f t="shared" si="222"/>
        <v/>
      </c>
      <c r="DJ97" s="65" t="str">
        <f t="shared" si="223"/>
        <v/>
      </c>
      <c r="DK97" s="65" t="str">
        <f t="shared" si="224"/>
        <v/>
      </c>
      <c r="DL97" s="97" t="str">
        <f t="shared" si="264"/>
        <v/>
      </c>
      <c r="DM97" s="97" t="str">
        <f t="shared" si="265"/>
        <v/>
      </c>
      <c r="DN97" s="97" t="str">
        <f t="shared" si="266"/>
        <v/>
      </c>
      <c r="DO97" s="97" t="str">
        <f t="shared" si="267"/>
        <v/>
      </c>
      <c r="DP97" s="97" t="str">
        <f t="shared" si="268"/>
        <v/>
      </c>
      <c r="DQ97" s="97" t="str">
        <f t="shared" si="269"/>
        <v/>
      </c>
      <c r="DR97" s="97" t="str">
        <f t="shared" si="270"/>
        <v/>
      </c>
      <c r="DS97" s="98">
        <f t="shared" si="271"/>
        <v>0</v>
      </c>
      <c r="DT97" s="98">
        <f t="shared" si="272"/>
        <v>0</v>
      </c>
      <c r="DU97" s="98">
        <f t="shared" si="273"/>
        <v>0</v>
      </c>
      <c r="DV97" s="98">
        <f t="shared" si="274"/>
        <v>0</v>
      </c>
      <c r="DW97" s="98">
        <f t="shared" si="275"/>
        <v>0</v>
      </c>
      <c r="DX97" s="98" t="str">
        <f t="shared" si="276"/>
        <v/>
      </c>
      <c r="DY97" s="99" t="str">
        <f t="shared" si="277"/>
        <v/>
      </c>
      <c r="DZ97" s="74" t="str">
        <f>IF('Marks Entry'!AY97="","",'Marks Entry'!AY97)</f>
        <v/>
      </c>
      <c r="EA97" s="74" t="str">
        <f>IF('Marks Entry'!AZ97="","",'Marks Entry'!AZ97)</f>
        <v/>
      </c>
      <c r="EB97" s="74" t="str">
        <f>IF('Marks Entry'!BA97="","",'Marks Entry'!BA97)</f>
        <v/>
      </c>
      <c r="EC97" s="527" t="str">
        <f t="shared" si="225"/>
        <v/>
      </c>
      <c r="ED97" s="74" t="str">
        <f>IF('Marks Entry'!BB97="","",'Marks Entry'!BB97)</f>
        <v/>
      </c>
      <c r="EE97" s="528" t="str">
        <f t="shared" si="226"/>
        <v/>
      </c>
      <c r="EF97" s="74" t="str">
        <f>IF('Marks Entry'!BC97="","",'Marks Entry'!BC97)</f>
        <v/>
      </c>
      <c r="EG97" s="530" t="str">
        <f t="shared" si="227"/>
        <v/>
      </c>
      <c r="EH97" s="368" t="str">
        <f t="shared" si="278"/>
        <v/>
      </c>
      <c r="EI97" s="65">
        <f t="shared" si="279"/>
        <v>0</v>
      </c>
      <c r="EJ97" s="65">
        <f t="shared" si="280"/>
        <v>0</v>
      </c>
      <c r="EK97" s="66" t="str">
        <f t="shared" si="281"/>
        <v/>
      </c>
      <c r="EL97" s="74" t="str">
        <f>IF('Marks Entry'!BD97="","",'Marks Entry'!BD97)</f>
        <v/>
      </c>
      <c r="EM97" s="74" t="str">
        <f>IF('Marks Entry'!BE97="","",'Marks Entry'!BE97)</f>
        <v/>
      </c>
      <c r="EN97" s="74" t="str">
        <f>IF('Marks Entry'!BF97="","",'Marks Entry'!BF97)</f>
        <v/>
      </c>
      <c r="EO97" s="527" t="str">
        <f t="shared" si="228"/>
        <v/>
      </c>
      <c r="EP97" s="74" t="str">
        <f>IF('Marks Entry'!BG97="","",'Marks Entry'!BG97)</f>
        <v/>
      </c>
      <c r="EQ97" s="74" t="str">
        <f>IF('Marks Entry'!BH97="","",'Marks Entry'!BH97)</f>
        <v/>
      </c>
      <c r="ER97" s="528" t="str">
        <f t="shared" si="229"/>
        <v/>
      </c>
      <c r="ES97" s="529" t="str">
        <f t="shared" si="230"/>
        <v/>
      </c>
      <c r="ET97" s="74" t="str">
        <f>IF('Marks Entry'!BI97="","",'Marks Entry'!BI97)</f>
        <v/>
      </c>
      <c r="EU97" s="74" t="str">
        <f>IF('Marks Entry'!BJ97="","",'Marks Entry'!BJ97)</f>
        <v/>
      </c>
      <c r="EV97" s="528" t="str">
        <f t="shared" si="231"/>
        <v/>
      </c>
      <c r="EW97" s="530" t="str">
        <f t="shared" si="232"/>
        <v/>
      </c>
      <c r="EX97" s="368" t="str">
        <f t="shared" si="282"/>
        <v/>
      </c>
      <c r="EY97" s="65">
        <f t="shared" si="283"/>
        <v>0</v>
      </c>
      <c r="EZ97" s="65">
        <f t="shared" si="284"/>
        <v>0</v>
      </c>
      <c r="FA97" s="66" t="str">
        <f t="shared" si="285"/>
        <v/>
      </c>
      <c r="FB97" s="74" t="str">
        <f>IF('Marks Entry'!BK97="","",'Marks Entry'!BK97)</f>
        <v/>
      </c>
      <c r="FC97" s="74" t="str">
        <f>IF('Marks Entry'!BL97="","",'Marks Entry'!BL97)</f>
        <v/>
      </c>
      <c r="FD97" s="74" t="str">
        <f>IF('Marks Entry'!BM97="","",'Marks Entry'!BM97)</f>
        <v/>
      </c>
      <c r="FE97" s="74" t="str">
        <f>IF('Marks Entry'!BN97="","",'Marks Entry'!BN97)</f>
        <v/>
      </c>
      <c r="FF97" s="74" t="str">
        <f>IF('Marks Entry'!BO97="","",'Marks Entry'!BO97)</f>
        <v/>
      </c>
      <c r="FG97" s="74" t="str">
        <f>IF('Marks Entry'!BP97="","",'Marks Entry'!BP97)</f>
        <v/>
      </c>
      <c r="FH97" s="527" t="str">
        <f t="shared" si="233"/>
        <v/>
      </c>
      <c r="FI97" s="74" t="str">
        <f>IF('Marks Entry'!BQ97="","",'Marks Entry'!BQ97)</f>
        <v/>
      </c>
      <c r="FJ97" s="74" t="str">
        <f>IF('Marks Entry'!BR97="","",'Marks Entry'!BR97)</f>
        <v/>
      </c>
      <c r="FK97" s="528" t="str">
        <f t="shared" si="234"/>
        <v/>
      </c>
      <c r="FL97" s="529" t="str">
        <f t="shared" si="235"/>
        <v/>
      </c>
      <c r="FM97" s="74" t="str">
        <f>IF('Marks Entry'!BS97="","",'Marks Entry'!BS97)</f>
        <v/>
      </c>
      <c r="FN97" s="74" t="str">
        <f>IF('Marks Entry'!BT97="","",'Marks Entry'!BT97)</f>
        <v/>
      </c>
      <c r="FO97" s="528" t="str">
        <f t="shared" si="236"/>
        <v/>
      </c>
      <c r="FP97" s="530" t="str">
        <f t="shared" si="237"/>
        <v/>
      </c>
      <c r="FQ97" s="368" t="str">
        <f t="shared" si="286"/>
        <v/>
      </c>
      <c r="FR97" s="65">
        <f t="shared" si="287"/>
        <v>0</v>
      </c>
      <c r="FS97" s="65">
        <f t="shared" si="288"/>
        <v>0</v>
      </c>
      <c r="FT97" s="66" t="str">
        <f t="shared" si="289"/>
        <v/>
      </c>
      <c r="FU97" s="74" t="str">
        <f>IF('Marks Entry'!BU97="","",'Marks Entry'!BU97)</f>
        <v/>
      </c>
      <c r="FV97" s="74" t="str">
        <f>IF('Marks Entry'!BV97="","",'Marks Entry'!BV97)</f>
        <v/>
      </c>
      <c r="FW97" s="74" t="str">
        <f>IF('Marks Entry'!BW97="","",'Marks Entry'!BW97)</f>
        <v/>
      </c>
      <c r="FX97" s="75" t="str">
        <f t="shared" si="238"/>
        <v/>
      </c>
      <c r="FY97" s="368" t="str">
        <f t="shared" si="290"/>
        <v/>
      </c>
      <c r="FZ97" s="65">
        <f t="shared" si="291"/>
        <v>0</v>
      </c>
      <c r="GA97" s="66">
        <f t="shared" si="292"/>
        <v>0</v>
      </c>
      <c r="GB97" s="66" t="str">
        <f t="shared" si="293"/>
        <v/>
      </c>
      <c r="GC97" s="74" t="str">
        <f>IF('Marks Entry'!BX97="","",'Marks Entry'!BX97)</f>
        <v/>
      </c>
      <c r="GD97" s="74" t="str">
        <f>IF('Marks Entry'!BY97="","",'Marks Entry'!BY97)</f>
        <v/>
      </c>
      <c r="GE97" s="74" t="str">
        <f>IF('Marks Entry'!BZ97="","",'Marks Entry'!BZ97)</f>
        <v/>
      </c>
      <c r="GF97" s="75" t="str">
        <f t="shared" si="294"/>
        <v/>
      </c>
      <c r="GG97" s="368" t="str">
        <f t="shared" si="295"/>
        <v/>
      </c>
      <c r="GH97" s="65">
        <f t="shared" si="296"/>
        <v>0</v>
      </c>
      <c r="GI97" s="66">
        <f t="shared" si="297"/>
        <v>0</v>
      </c>
      <c r="GJ97" s="66" t="str">
        <f t="shared" si="298"/>
        <v/>
      </c>
      <c r="GK97" s="100" t="str">
        <f>IF(AND(F97="",B97=""),"",IF('Student DATA Entry'!M94="","",'Student DATA Entry'!M94))</f>
        <v/>
      </c>
      <c r="GL97" s="101" t="str">
        <f>IF(AND(B97="",F97=""),"",IF('Student DATA Entry'!N94="","",'Student DATA Entry'!N94))</f>
        <v/>
      </c>
      <c r="GM97" s="581" t="str">
        <f t="shared" si="299"/>
        <v/>
      </c>
      <c r="GN97" s="94" t="str">
        <f t="shared" si="300"/>
        <v/>
      </c>
      <c r="GO97" s="94" t="str">
        <f t="shared" si="301"/>
        <v/>
      </c>
      <c r="GP97" s="102" t="str">
        <f t="shared" si="239"/>
        <v/>
      </c>
      <c r="GQ97" s="94" t="str">
        <f t="shared" si="302"/>
        <v/>
      </c>
      <c r="GR97" s="103" t="str">
        <f t="shared" si="303"/>
        <v/>
      </c>
      <c r="GS97" s="102" t="str">
        <f t="shared" si="240"/>
        <v/>
      </c>
      <c r="GT97" s="104" t="str">
        <f t="shared" si="304"/>
        <v/>
      </c>
      <c r="GU97" s="94" t="str">
        <f>IF('Marks Entry'!V97=1,GT97,"")</f>
        <v/>
      </c>
      <c r="GV97" s="94" t="str">
        <f>IF('Marks Entry'!V97=2,GT97,"")</f>
        <v/>
      </c>
      <c r="GW97" s="94" t="str">
        <f>IF('Marks Entry'!V97=3,GT97,"")</f>
        <v/>
      </c>
      <c r="GX97" s="94" t="str">
        <f>IF('Marks Entry'!V97=4,GT97,"")</f>
        <v/>
      </c>
      <c r="GY97" s="94" t="str">
        <f>IF('Marks Entry'!V97=5,GT97,"")</f>
        <v/>
      </c>
      <c r="GZ97" s="94" t="str">
        <f t="shared" si="305"/>
        <v/>
      </c>
      <c r="HA97" s="105" t="str">
        <f t="shared" si="241"/>
        <v/>
      </c>
      <c r="HB97" s="94" t="str">
        <f t="shared" si="306"/>
        <v/>
      </c>
      <c r="HC97" s="94" t="str">
        <f t="shared" si="307"/>
        <v/>
      </c>
      <c r="HD97" s="105" t="str">
        <f t="shared" si="242"/>
        <v/>
      </c>
      <c r="HE97" s="94" t="str">
        <f t="shared" si="308"/>
        <v/>
      </c>
      <c r="HF97" s="94" t="str">
        <f t="shared" si="309"/>
        <v/>
      </c>
      <c r="HG97" s="105" t="str">
        <f t="shared" si="243"/>
        <v/>
      </c>
      <c r="HH97" s="94" t="str">
        <f t="shared" si="310"/>
        <v/>
      </c>
      <c r="HI97" s="94" t="str">
        <f t="shared" si="311"/>
        <v/>
      </c>
      <c r="HJ97" s="105" t="str">
        <f t="shared" si="244"/>
        <v/>
      </c>
      <c r="HK97" s="94" t="str">
        <f t="shared" si="312"/>
        <v/>
      </c>
      <c r="HL97" s="94" t="str">
        <f t="shared" si="313"/>
        <v/>
      </c>
      <c r="HM97" s="105" t="str">
        <f t="shared" si="245"/>
        <v/>
      </c>
      <c r="HN97" s="367" t="str">
        <f t="shared" si="314"/>
        <v xml:space="preserve">      </v>
      </c>
      <c r="HO97" s="418" t="str">
        <f t="shared" si="246"/>
        <v xml:space="preserve">      </v>
      </c>
      <c r="HP97" s="367" t="str">
        <f t="shared" si="315"/>
        <v xml:space="preserve">      </v>
      </c>
      <c r="HQ97" s="107" t="str">
        <f t="shared" si="316"/>
        <v xml:space="preserve">      </v>
      </c>
      <c r="HR97" s="366" t="str">
        <f t="shared" si="317"/>
        <v xml:space="preserve">      </v>
      </c>
      <c r="HS97" s="544" t="str">
        <f t="shared" si="247"/>
        <v/>
      </c>
      <c r="HT97" s="542" t="str">
        <f t="shared" si="318"/>
        <v/>
      </c>
      <c r="HU97" s="541" t="str">
        <f t="shared" si="319"/>
        <v/>
      </c>
      <c r="HV97" s="540" t="str">
        <f t="shared" si="320"/>
        <v/>
      </c>
      <c r="HW97" s="537" t="str">
        <f t="shared" si="321"/>
        <v/>
      </c>
      <c r="HX97" s="539" t="str">
        <f t="shared" si="322"/>
        <v/>
      </c>
      <c r="HY97" s="553" t="str">
        <f>IFERROR(IF(OR(HS97="SUPPLEMENTARY",HS97="RE-EXAM"),'Supp. Result Entry'!AQ95,""),"")</f>
        <v/>
      </c>
      <c r="HZ97" s="538" t="str">
        <f t="shared" si="323"/>
        <v/>
      </c>
      <c r="IA97" s="415" t="str">
        <f t="shared" si="324"/>
        <v/>
      </c>
      <c r="IB97" s="415" t="str">
        <f>IF(AND(HZ97="",IA97=""),"",IF(OR(HS97="SUPPLEMENTARY",HS97="RE-EXAM"),'Supp. Result Entry'!AQ95,HS97))</f>
        <v/>
      </c>
      <c r="IC97" s="87"/>
      <c r="IS97" s="109" t="str">
        <f>IF('Supp. Result Entry'!T95="","",'Supp. Result Entry'!$T$4)</f>
        <v/>
      </c>
      <c r="IT97" s="110" t="str">
        <f>IF('Supp. Result Entry'!W95="","",'Supp. Result Entry'!$W$4)</f>
        <v/>
      </c>
      <c r="IU97" s="110" t="str">
        <f>IF('Supp. Result Entry'!Z95="","",'Supp. Result Entry'!$Z$4)</f>
        <v/>
      </c>
      <c r="IV97" s="110" t="str">
        <f>IF('Supp. Result Entry'!AC95="","",'Supp. Result Entry'!$AC$4)</f>
        <v/>
      </c>
      <c r="IW97" s="110" t="str">
        <f>IF('Supp. Result Entry'!AF95="","",'Supp. Result Entry'!$AF$4)</f>
        <v/>
      </c>
      <c r="IX97" s="110" t="str">
        <f>IF('Supp. Result Entry'!AI95="","",'Supp. Result Entry'!$AI$4)</f>
        <v/>
      </c>
      <c r="IY97" s="110" t="str">
        <f>IF('Supp. Result Entry'!AI95="","",'Supp. Result Entry'!$AL$4)</f>
        <v/>
      </c>
      <c r="IZ97" s="110" t="str">
        <f>IF('Supp. Result Entry'!U95="","",'Supp. Result Entry'!U95)</f>
        <v/>
      </c>
      <c r="JA97" s="110" t="str">
        <f>IF('Supp. Result Entry'!X95="","",'Supp. Result Entry'!X95)</f>
        <v/>
      </c>
      <c r="JB97" s="110" t="str">
        <f>IF('Supp. Result Entry'!AA95="","",'Supp. Result Entry'!AA95)</f>
        <v/>
      </c>
      <c r="JC97" s="110" t="str">
        <f>IF('Supp. Result Entry'!AD95="","",'Supp. Result Entry'!AD95)</f>
        <v/>
      </c>
      <c r="JD97" s="110" t="str">
        <f>IF('Supp. Result Entry'!AG95="","",'Supp. Result Entry'!AG95)</f>
        <v/>
      </c>
      <c r="JE97" s="110" t="str">
        <f>IF('Supp. Result Entry'!AJ95="","",'Supp. Result Entry'!AJ95)</f>
        <v/>
      </c>
      <c r="JF97" s="110" t="str">
        <f>IF('Supp. Result Entry'!AM95="","",'Supp. Result Entry'!AM95)</f>
        <v/>
      </c>
      <c r="JG97" s="110" t="str">
        <f>IF('Supp. Result Entry'!V95="","",'Supp. Result Entry'!V95)</f>
        <v/>
      </c>
      <c r="JH97" s="110" t="str">
        <f>IF('Supp. Result Entry'!Y95="","",'Supp. Result Entry'!Y95)</f>
        <v/>
      </c>
      <c r="JI97" s="110" t="str">
        <f>IF('Supp. Result Entry'!AB95="","",'Supp. Result Entry'!AB95)</f>
        <v/>
      </c>
      <c r="JJ97" s="110" t="str">
        <f>IF('Supp. Result Entry'!AE95="","",'Supp. Result Entry'!AE95)</f>
        <v/>
      </c>
      <c r="JK97" s="110" t="str">
        <f>IF('Supp. Result Entry'!AH95="","",'Supp. Result Entry'!AH95)</f>
        <v/>
      </c>
      <c r="JL97" s="110" t="str">
        <f>IF('Supp. Result Entry'!AK95="","",'Supp. Result Entry'!AK95)</f>
        <v/>
      </c>
      <c r="JM97" s="110" t="str">
        <f>IF('Supp. Result Entry'!AN95="","",'Supp. Result Entry'!AN95)</f>
        <v/>
      </c>
      <c r="JN97" s="110">
        <f>COUNTIF('Supp. Result Entry'!K95:Q95,"S")</f>
        <v>0</v>
      </c>
      <c r="JO97" s="110">
        <f t="shared" si="248"/>
        <v>0</v>
      </c>
      <c r="JP97" s="110">
        <f t="shared" si="325"/>
        <v>0</v>
      </c>
      <c r="JQ97" s="110" t="str">
        <f t="shared" si="249"/>
        <v/>
      </c>
      <c r="JR97" s="110" t="str">
        <f t="shared" si="250"/>
        <v/>
      </c>
      <c r="JS97" s="110" t="str">
        <f t="shared" si="251"/>
        <v/>
      </c>
      <c r="JT97" s="110" t="str">
        <f t="shared" si="252"/>
        <v/>
      </c>
      <c r="JU97" s="110" t="str">
        <f t="shared" si="253"/>
        <v/>
      </c>
      <c r="JV97" s="110" t="str">
        <f t="shared" si="254"/>
        <v/>
      </c>
      <c r="JW97" s="110" t="str">
        <f t="shared" si="255"/>
        <v/>
      </c>
      <c r="JX97" s="110" t="str">
        <f t="shared" si="326"/>
        <v/>
      </c>
      <c r="JY97" s="110" t="str">
        <f t="shared" si="327"/>
        <v/>
      </c>
      <c r="JZ97" s="110" t="str">
        <f t="shared" si="256"/>
        <v/>
      </c>
      <c r="KA97" s="108" t="str">
        <f t="shared" si="328"/>
        <v/>
      </c>
    </row>
    <row r="98" spans="1:287" s="108" customFormat="1" ht="21.95" customHeight="1">
      <c r="A98" s="89">
        <v>92</v>
      </c>
      <c r="B98" s="90" t="str">
        <f>IF('Marks Entry'!B98="","",'Marks Entry'!B98)</f>
        <v/>
      </c>
      <c r="C98" s="94" t="str">
        <f>IF('Marks Entry'!D98="","",'Marks Entry'!D98)</f>
        <v/>
      </c>
      <c r="D98" s="91" t="str">
        <f>IF('Marks Entry'!E98="","",'Marks Entry'!E98)</f>
        <v/>
      </c>
      <c r="E98" s="92" t="str">
        <f>IF('Marks Entry'!F98="","",'Marks Entry'!F98)</f>
        <v/>
      </c>
      <c r="F98" s="93" t="str">
        <f>IF('Marks Entry'!G98="","",'Marks Entry'!G98)</f>
        <v/>
      </c>
      <c r="G98" s="93" t="str">
        <f>IF('Marks Entry'!H98="","",'Marks Entry'!H98)</f>
        <v/>
      </c>
      <c r="H98" s="93" t="str">
        <f>IF('Marks Entry'!I98="","",'Marks Entry'!I98)</f>
        <v/>
      </c>
      <c r="I98" s="94" t="str">
        <f>IF('Marks Entry'!J98="","",'Marks Entry'!J98)</f>
        <v/>
      </c>
      <c r="J98" s="95" t="str">
        <f>IF('Marks Entry'!K98="","",'Marks Entry'!K98)</f>
        <v/>
      </c>
      <c r="K98" s="68" t="str">
        <f>IF('Marks Entry'!L98="","",'Marks Entry'!L98)</f>
        <v/>
      </c>
      <c r="L98" s="68" t="str">
        <f>IF('Marks Entry'!M98="","",'Marks Entry'!M98)</f>
        <v/>
      </c>
      <c r="M98" s="68" t="str">
        <f>IF('Marks Entry'!N98="","",'Marks Entry'!N98)</f>
        <v/>
      </c>
      <c r="N98" s="514" t="str">
        <f t="shared" si="257"/>
        <v/>
      </c>
      <c r="O98" s="68" t="str">
        <f>IF('Marks Entry'!O98="","",'Marks Entry'!O98)</f>
        <v/>
      </c>
      <c r="P98" s="515" t="str">
        <f t="shared" si="258"/>
        <v/>
      </c>
      <c r="Q98" s="68" t="str">
        <f>IF('Marks Entry'!P98="","",'Marks Entry'!P98)</f>
        <v/>
      </c>
      <c r="R98" s="96" t="str">
        <f t="shared" si="259"/>
        <v/>
      </c>
      <c r="S98" s="65">
        <f t="shared" si="260"/>
        <v>0</v>
      </c>
      <c r="T98" s="65">
        <f t="shared" si="261"/>
        <v>0</v>
      </c>
      <c r="U98" s="66" t="str">
        <f t="shared" si="171"/>
        <v/>
      </c>
      <c r="V98" s="65" t="str">
        <f t="shared" si="172"/>
        <v/>
      </c>
      <c r="W98" s="65" t="str">
        <f t="shared" si="262"/>
        <v/>
      </c>
      <c r="X98" s="65" t="str">
        <f t="shared" si="173"/>
        <v/>
      </c>
      <c r="Y98" s="68" t="str">
        <f>IF('Marks Entry'!Q98="","",'Marks Entry'!Q98)</f>
        <v/>
      </c>
      <c r="Z98" s="68" t="str">
        <f>IF('Marks Entry'!R98="","",'Marks Entry'!R98)</f>
        <v/>
      </c>
      <c r="AA98" s="68" t="str">
        <f>IF('Marks Entry'!S98="","",'Marks Entry'!S98)</f>
        <v/>
      </c>
      <c r="AB98" s="514" t="str">
        <f t="shared" si="174"/>
        <v/>
      </c>
      <c r="AC98" s="68" t="str">
        <f>IF('Marks Entry'!T98="","",'Marks Entry'!T98)</f>
        <v/>
      </c>
      <c r="AD98" s="515" t="str">
        <f t="shared" si="175"/>
        <v/>
      </c>
      <c r="AE98" s="68" t="str">
        <f>IF('Marks Entry'!U98="","",'Marks Entry'!U98)</f>
        <v/>
      </c>
      <c r="AF98" s="96" t="str">
        <f t="shared" si="176"/>
        <v/>
      </c>
      <c r="AG98" s="65">
        <f t="shared" si="177"/>
        <v>0</v>
      </c>
      <c r="AH98" s="65">
        <f t="shared" si="178"/>
        <v>0</v>
      </c>
      <c r="AI98" s="66" t="str">
        <f t="shared" si="179"/>
        <v/>
      </c>
      <c r="AJ98" s="65" t="str">
        <f t="shared" si="180"/>
        <v/>
      </c>
      <c r="AK98" s="65" t="str">
        <f t="shared" si="181"/>
        <v/>
      </c>
      <c r="AL98" s="65" t="str">
        <f t="shared" si="182"/>
        <v/>
      </c>
      <c r="AM98" s="524" t="str">
        <f>IF('Marks Entry'!V98="","",IF('Marks Entry'!V98=1,'School Profile'!$I$9,IF('Marks Entry'!V98=2,'School Profile'!$I$10,IF('Marks Entry'!V98=3,'School Profile'!$I$11,IF('Marks Entry'!V98=4,'School Profile'!$I$12,IF('Marks Entry'!V98=5,'School Profile'!$I$13,IF('Marks Entry'!V98=6,'School Profile'!$I$14,"")))))))</f>
        <v/>
      </c>
      <c r="AN98" s="68" t="str">
        <f>IF('Marks Entry'!W98="","",'Marks Entry'!W98)</f>
        <v/>
      </c>
      <c r="AO98" s="68" t="str">
        <f>IF('Marks Entry'!X98="","",'Marks Entry'!X98)</f>
        <v/>
      </c>
      <c r="AP98" s="68" t="str">
        <f>IF('Marks Entry'!Y98="","",'Marks Entry'!Y98)</f>
        <v/>
      </c>
      <c r="AQ98" s="514" t="str">
        <f t="shared" si="183"/>
        <v/>
      </c>
      <c r="AR98" s="68" t="str">
        <f>IF('Marks Entry'!Z98="","",'Marks Entry'!Z98)</f>
        <v/>
      </c>
      <c r="AS98" s="515" t="str">
        <f t="shared" si="184"/>
        <v/>
      </c>
      <c r="AT98" s="68" t="str">
        <f>IF('Marks Entry'!AA98="","",'Marks Entry'!AA98)</f>
        <v/>
      </c>
      <c r="AU98" s="96" t="str">
        <f t="shared" si="185"/>
        <v/>
      </c>
      <c r="AV98" s="65">
        <f t="shared" si="186"/>
        <v>0</v>
      </c>
      <c r="AW98" s="65">
        <f t="shared" si="187"/>
        <v>0</v>
      </c>
      <c r="AX98" s="66" t="str">
        <f t="shared" si="188"/>
        <v/>
      </c>
      <c r="AY98" s="65" t="str">
        <f t="shared" si="189"/>
        <v/>
      </c>
      <c r="AZ98" s="65" t="str">
        <f t="shared" si="190"/>
        <v/>
      </c>
      <c r="BA98" s="65" t="str">
        <f t="shared" si="191"/>
        <v/>
      </c>
      <c r="BB98" s="68" t="str">
        <f>IF('Marks Entry'!AB98="","",'Marks Entry'!AB98)</f>
        <v/>
      </c>
      <c r="BC98" s="68" t="str">
        <f>IF('Marks Entry'!AC98="","",'Marks Entry'!AC98)</f>
        <v/>
      </c>
      <c r="BD98" s="68" t="str">
        <f>IF('Marks Entry'!AD98="","",'Marks Entry'!AD98)</f>
        <v/>
      </c>
      <c r="BE98" s="514" t="str">
        <f t="shared" si="192"/>
        <v/>
      </c>
      <c r="BF98" s="68" t="str">
        <f>IF('Marks Entry'!AE98="","",'Marks Entry'!AE98)</f>
        <v/>
      </c>
      <c r="BG98" s="515" t="str">
        <f t="shared" si="193"/>
        <v/>
      </c>
      <c r="BH98" s="68" t="str">
        <f>IF('Marks Entry'!AF98="","",'Marks Entry'!AF98)</f>
        <v/>
      </c>
      <c r="BI98" s="96" t="str">
        <f t="shared" si="194"/>
        <v/>
      </c>
      <c r="BJ98" s="65">
        <f t="shared" si="195"/>
        <v>0</v>
      </c>
      <c r="BK98" s="65">
        <f t="shared" si="263"/>
        <v>0</v>
      </c>
      <c r="BL98" s="66" t="str">
        <f t="shared" si="196"/>
        <v/>
      </c>
      <c r="BM98" s="65" t="str">
        <f t="shared" si="197"/>
        <v/>
      </c>
      <c r="BN98" s="65" t="str">
        <f t="shared" si="198"/>
        <v/>
      </c>
      <c r="BO98" s="65" t="str">
        <f t="shared" si="199"/>
        <v/>
      </c>
      <c r="BP98" s="68" t="str">
        <f>IF('Marks Entry'!AG98="","",'Marks Entry'!AG98)</f>
        <v/>
      </c>
      <c r="BQ98" s="68" t="str">
        <f>IF('Marks Entry'!AH98="","",'Marks Entry'!AH98)</f>
        <v/>
      </c>
      <c r="BR98" s="68" t="str">
        <f>IF('Marks Entry'!AI98="","",'Marks Entry'!AI98)</f>
        <v/>
      </c>
      <c r="BS98" s="514" t="str">
        <f t="shared" si="200"/>
        <v/>
      </c>
      <c r="BT98" s="68" t="str">
        <f>IF('Marks Entry'!AJ98="","",'Marks Entry'!AJ98)</f>
        <v/>
      </c>
      <c r="BU98" s="515" t="str">
        <f t="shared" si="201"/>
        <v/>
      </c>
      <c r="BV98" s="68" t="str">
        <f>IF('Marks Entry'!AK98="","",'Marks Entry'!AK98)</f>
        <v/>
      </c>
      <c r="BW98" s="96" t="str">
        <f t="shared" si="202"/>
        <v/>
      </c>
      <c r="BX98" s="65">
        <f t="shared" si="203"/>
        <v>0</v>
      </c>
      <c r="BY98" s="65">
        <f t="shared" si="204"/>
        <v>0</v>
      </c>
      <c r="BZ98" s="66" t="str">
        <f t="shared" si="205"/>
        <v/>
      </c>
      <c r="CA98" s="65" t="str">
        <f t="shared" si="206"/>
        <v/>
      </c>
      <c r="CB98" s="65" t="str">
        <f t="shared" si="207"/>
        <v/>
      </c>
      <c r="CC98" s="65" t="str">
        <f t="shared" si="208"/>
        <v/>
      </c>
      <c r="CD98" s="66">
        <f t="shared" si="209"/>
        <v>0</v>
      </c>
      <c r="CE98" s="68" t="str">
        <f>IF('Marks Entry'!AL98="","",'Marks Entry'!AL98)</f>
        <v/>
      </c>
      <c r="CF98" s="68" t="str">
        <f>IF('Marks Entry'!AM98="","",'Marks Entry'!AM98)</f>
        <v/>
      </c>
      <c r="CG98" s="68" t="str">
        <f>IF('Marks Entry'!AN98="","",'Marks Entry'!AN98)</f>
        <v/>
      </c>
      <c r="CH98" s="514" t="str">
        <f t="shared" si="210"/>
        <v/>
      </c>
      <c r="CI98" s="68" t="str">
        <f>IF('Marks Entry'!AO98="","",'Marks Entry'!AO98)</f>
        <v/>
      </c>
      <c r="CJ98" s="515" t="str">
        <f t="shared" si="211"/>
        <v/>
      </c>
      <c r="CK98" s="68" t="str">
        <f>IF('Marks Entry'!AP98="","",'Marks Entry'!AP98)</f>
        <v/>
      </c>
      <c r="CL98" s="96" t="str">
        <f t="shared" si="212"/>
        <v/>
      </c>
      <c r="CM98" s="65">
        <f t="shared" si="213"/>
        <v>0</v>
      </c>
      <c r="CN98" s="65">
        <f t="shared" si="214"/>
        <v>0</v>
      </c>
      <c r="CO98" s="66" t="str">
        <f t="shared" si="215"/>
        <v/>
      </c>
      <c r="CP98" s="65" t="str">
        <f t="shared" si="216"/>
        <v/>
      </c>
      <c r="CQ98" s="65" t="str">
        <f t="shared" si="217"/>
        <v/>
      </c>
      <c r="CR98" s="65" t="str">
        <f t="shared" si="218"/>
        <v/>
      </c>
      <c r="CS98" s="616" t="str">
        <f>IF('School Profile'!$D$20="NO","",IF('Marks Entry'!AQ98="","",IF('Marks Entry'!AQ98=1,'School Profile'!$I$29,IF('Marks Entry'!AQ98=2,'School Profile'!$I$30,IF('Marks Entry'!AQ98=3,'School Profile'!$I$31,IF('Marks Entry'!AQ98=4,'School Profile'!$I$32,IF('Marks Entry'!AQ98=5,'School Profile'!$I$33,IF('Marks Entry'!AQ98=6,'School Profile'!$I$34,IF('Marks Entry'!AQ98=7,'School Profile'!$I$35,IF('Marks Entry'!AQ98=8,'School Profile'!$I$36,IF('Marks Entry'!AQ98=9,'School Profile'!$I$37,IF('Marks Entry'!AQ98=10,'School Profile'!$I$38,IF('Marks Entry'!AQ98=11,'School Profile'!$I$39,"")))))))))))))</f>
        <v/>
      </c>
      <c r="CT98" s="68" t="str">
        <f>IF('School Profile'!$D$20="NO","",IF('Marks Entry'!AR98="","",'Marks Entry'!AR98))</f>
        <v/>
      </c>
      <c r="CU98" s="68" t="str">
        <f>IF('School Profile'!$D$20="NO","",IF('Marks Entry'!AS98="","",'Marks Entry'!AS98))</f>
        <v/>
      </c>
      <c r="CV98" s="68" t="str">
        <f>IF('School Profile'!$D$20="NO","",IF('Marks Entry'!AT98="","",'Marks Entry'!AT98))</f>
        <v/>
      </c>
      <c r="CW98" s="514" t="str">
        <f>IF('School Profile'!$D$20="NO","",IF(AND(CT98="",CU98="",CV98=""),"",SUM(CT98:CV98)))</f>
        <v/>
      </c>
      <c r="CX98" s="68" t="str">
        <f>IF('School Profile'!$D$20="NO","",IF('Marks Entry'!AU98="","",'Marks Entry'!AU98))</f>
        <v/>
      </c>
      <c r="CY98" s="68" t="str">
        <f>IF('School Profile'!$D$20="NO","",IF('Marks Entry'!AV98="","",'Marks Entry'!AV98))</f>
        <v/>
      </c>
      <c r="CZ98" s="515" t="str">
        <f>IF('School Profile'!$D$20="NO","",IF(AND(CX98="",CY98=""),"",SUM(CX98,CY98)))</f>
        <v/>
      </c>
      <c r="DA98" s="69" t="str">
        <f>IF('School Profile'!$D$20="NO","",IF(AND(CW98="",CZ98=""),"",SUM(CW98+CZ98)))</f>
        <v/>
      </c>
      <c r="DB98" s="68" t="str">
        <f>IF('School Profile'!$D$20="NO","",IF('Marks Entry'!AW98="","",'Marks Entry'!AW98))</f>
        <v/>
      </c>
      <c r="DC98" s="68" t="str">
        <f>IF('School Profile'!$D$20="NO","",IF('Marks Entry'!AX98="","",'Marks Entry'!AX98))</f>
        <v/>
      </c>
      <c r="DD98" s="515" t="str">
        <f>IF('School Profile'!$D$20="NO","",IF(AND(DB98="",DC98=""),"",SUM(DB98,DC98)))</f>
        <v/>
      </c>
      <c r="DE98" s="96" t="str">
        <f>IF('School Profile'!$D$20="NO","",IF(AND(DA98="",DD98=""),"",SUM(DA98,DD98)))</f>
        <v/>
      </c>
      <c r="DF98" s="532">
        <f t="shared" si="219"/>
        <v>0</v>
      </c>
      <c r="DG98" s="65">
        <f t="shared" si="220"/>
        <v>0</v>
      </c>
      <c r="DH98" s="66" t="str">
        <f t="shared" si="221"/>
        <v/>
      </c>
      <c r="DI98" s="65" t="str">
        <f t="shared" si="222"/>
        <v/>
      </c>
      <c r="DJ98" s="65" t="str">
        <f t="shared" si="223"/>
        <v/>
      </c>
      <c r="DK98" s="65" t="str">
        <f t="shared" si="224"/>
        <v/>
      </c>
      <c r="DL98" s="97" t="str">
        <f t="shared" si="264"/>
        <v/>
      </c>
      <c r="DM98" s="97" t="str">
        <f t="shared" si="265"/>
        <v/>
      </c>
      <c r="DN98" s="97" t="str">
        <f t="shared" si="266"/>
        <v/>
      </c>
      <c r="DO98" s="97" t="str">
        <f t="shared" si="267"/>
        <v/>
      </c>
      <c r="DP98" s="97" t="str">
        <f t="shared" si="268"/>
        <v/>
      </c>
      <c r="DQ98" s="97" t="str">
        <f t="shared" si="269"/>
        <v/>
      </c>
      <c r="DR98" s="97" t="str">
        <f t="shared" si="270"/>
        <v/>
      </c>
      <c r="DS98" s="98">
        <f t="shared" si="271"/>
        <v>0</v>
      </c>
      <c r="DT98" s="98">
        <f t="shared" si="272"/>
        <v>0</v>
      </c>
      <c r="DU98" s="98">
        <f t="shared" si="273"/>
        <v>0</v>
      </c>
      <c r="DV98" s="98">
        <f t="shared" si="274"/>
        <v>0</v>
      </c>
      <c r="DW98" s="98">
        <f t="shared" si="275"/>
        <v>0</v>
      </c>
      <c r="DX98" s="98" t="str">
        <f t="shared" si="276"/>
        <v/>
      </c>
      <c r="DY98" s="99" t="str">
        <f t="shared" si="277"/>
        <v/>
      </c>
      <c r="DZ98" s="74" t="str">
        <f>IF('Marks Entry'!AY98="","",'Marks Entry'!AY98)</f>
        <v/>
      </c>
      <c r="EA98" s="74" t="str">
        <f>IF('Marks Entry'!AZ98="","",'Marks Entry'!AZ98)</f>
        <v/>
      </c>
      <c r="EB98" s="74" t="str">
        <f>IF('Marks Entry'!BA98="","",'Marks Entry'!BA98)</f>
        <v/>
      </c>
      <c r="EC98" s="527" t="str">
        <f t="shared" si="225"/>
        <v/>
      </c>
      <c r="ED98" s="74" t="str">
        <f>IF('Marks Entry'!BB98="","",'Marks Entry'!BB98)</f>
        <v/>
      </c>
      <c r="EE98" s="528" t="str">
        <f t="shared" si="226"/>
        <v/>
      </c>
      <c r="EF98" s="74" t="str">
        <f>IF('Marks Entry'!BC98="","",'Marks Entry'!BC98)</f>
        <v/>
      </c>
      <c r="EG98" s="530" t="str">
        <f t="shared" si="227"/>
        <v/>
      </c>
      <c r="EH98" s="368" t="str">
        <f t="shared" si="278"/>
        <v/>
      </c>
      <c r="EI98" s="65">
        <f t="shared" si="279"/>
        <v>0</v>
      </c>
      <c r="EJ98" s="65">
        <f t="shared" si="280"/>
        <v>0</v>
      </c>
      <c r="EK98" s="66" t="str">
        <f t="shared" si="281"/>
        <v/>
      </c>
      <c r="EL98" s="74" t="str">
        <f>IF('Marks Entry'!BD98="","",'Marks Entry'!BD98)</f>
        <v/>
      </c>
      <c r="EM98" s="74" t="str">
        <f>IF('Marks Entry'!BE98="","",'Marks Entry'!BE98)</f>
        <v/>
      </c>
      <c r="EN98" s="74" t="str">
        <f>IF('Marks Entry'!BF98="","",'Marks Entry'!BF98)</f>
        <v/>
      </c>
      <c r="EO98" s="527" t="str">
        <f t="shared" si="228"/>
        <v/>
      </c>
      <c r="EP98" s="74" t="str">
        <f>IF('Marks Entry'!BG98="","",'Marks Entry'!BG98)</f>
        <v/>
      </c>
      <c r="EQ98" s="74" t="str">
        <f>IF('Marks Entry'!BH98="","",'Marks Entry'!BH98)</f>
        <v/>
      </c>
      <c r="ER98" s="528" t="str">
        <f t="shared" si="229"/>
        <v/>
      </c>
      <c r="ES98" s="529" t="str">
        <f t="shared" si="230"/>
        <v/>
      </c>
      <c r="ET98" s="74" t="str">
        <f>IF('Marks Entry'!BI98="","",'Marks Entry'!BI98)</f>
        <v/>
      </c>
      <c r="EU98" s="74" t="str">
        <f>IF('Marks Entry'!BJ98="","",'Marks Entry'!BJ98)</f>
        <v/>
      </c>
      <c r="EV98" s="528" t="str">
        <f t="shared" si="231"/>
        <v/>
      </c>
      <c r="EW98" s="530" t="str">
        <f t="shared" si="232"/>
        <v/>
      </c>
      <c r="EX98" s="368" t="str">
        <f t="shared" si="282"/>
        <v/>
      </c>
      <c r="EY98" s="65">
        <f t="shared" si="283"/>
        <v>0</v>
      </c>
      <c r="EZ98" s="65">
        <f t="shared" si="284"/>
        <v>0</v>
      </c>
      <c r="FA98" s="66" t="str">
        <f t="shared" si="285"/>
        <v/>
      </c>
      <c r="FB98" s="74" t="str">
        <f>IF('Marks Entry'!BK98="","",'Marks Entry'!BK98)</f>
        <v/>
      </c>
      <c r="FC98" s="74" t="str">
        <f>IF('Marks Entry'!BL98="","",'Marks Entry'!BL98)</f>
        <v/>
      </c>
      <c r="FD98" s="74" t="str">
        <f>IF('Marks Entry'!BM98="","",'Marks Entry'!BM98)</f>
        <v/>
      </c>
      <c r="FE98" s="74" t="str">
        <f>IF('Marks Entry'!BN98="","",'Marks Entry'!BN98)</f>
        <v/>
      </c>
      <c r="FF98" s="74" t="str">
        <f>IF('Marks Entry'!BO98="","",'Marks Entry'!BO98)</f>
        <v/>
      </c>
      <c r="FG98" s="74" t="str">
        <f>IF('Marks Entry'!BP98="","",'Marks Entry'!BP98)</f>
        <v/>
      </c>
      <c r="FH98" s="527" t="str">
        <f t="shared" si="233"/>
        <v/>
      </c>
      <c r="FI98" s="74" t="str">
        <f>IF('Marks Entry'!BQ98="","",'Marks Entry'!BQ98)</f>
        <v/>
      </c>
      <c r="FJ98" s="74" t="str">
        <f>IF('Marks Entry'!BR98="","",'Marks Entry'!BR98)</f>
        <v/>
      </c>
      <c r="FK98" s="528" t="str">
        <f t="shared" si="234"/>
        <v/>
      </c>
      <c r="FL98" s="529" t="str">
        <f t="shared" si="235"/>
        <v/>
      </c>
      <c r="FM98" s="74" t="str">
        <f>IF('Marks Entry'!BS98="","",'Marks Entry'!BS98)</f>
        <v/>
      </c>
      <c r="FN98" s="74" t="str">
        <f>IF('Marks Entry'!BT98="","",'Marks Entry'!BT98)</f>
        <v/>
      </c>
      <c r="FO98" s="528" t="str">
        <f t="shared" si="236"/>
        <v/>
      </c>
      <c r="FP98" s="530" t="str">
        <f t="shared" si="237"/>
        <v/>
      </c>
      <c r="FQ98" s="368" t="str">
        <f t="shared" si="286"/>
        <v/>
      </c>
      <c r="FR98" s="65">
        <f t="shared" si="287"/>
        <v>0</v>
      </c>
      <c r="FS98" s="65">
        <f t="shared" si="288"/>
        <v>0</v>
      </c>
      <c r="FT98" s="66" t="str">
        <f t="shared" si="289"/>
        <v/>
      </c>
      <c r="FU98" s="74" t="str">
        <f>IF('Marks Entry'!BU98="","",'Marks Entry'!BU98)</f>
        <v/>
      </c>
      <c r="FV98" s="74" t="str">
        <f>IF('Marks Entry'!BV98="","",'Marks Entry'!BV98)</f>
        <v/>
      </c>
      <c r="FW98" s="74" t="str">
        <f>IF('Marks Entry'!BW98="","",'Marks Entry'!BW98)</f>
        <v/>
      </c>
      <c r="FX98" s="75" t="str">
        <f t="shared" si="238"/>
        <v/>
      </c>
      <c r="FY98" s="368" t="str">
        <f t="shared" si="290"/>
        <v/>
      </c>
      <c r="FZ98" s="65">
        <f t="shared" si="291"/>
        <v>0</v>
      </c>
      <c r="GA98" s="66">
        <f t="shared" si="292"/>
        <v>0</v>
      </c>
      <c r="GB98" s="66" t="str">
        <f t="shared" si="293"/>
        <v/>
      </c>
      <c r="GC98" s="74" t="str">
        <f>IF('Marks Entry'!BX98="","",'Marks Entry'!BX98)</f>
        <v/>
      </c>
      <c r="GD98" s="74" t="str">
        <f>IF('Marks Entry'!BY98="","",'Marks Entry'!BY98)</f>
        <v/>
      </c>
      <c r="GE98" s="74" t="str">
        <f>IF('Marks Entry'!BZ98="","",'Marks Entry'!BZ98)</f>
        <v/>
      </c>
      <c r="GF98" s="75" t="str">
        <f t="shared" si="294"/>
        <v/>
      </c>
      <c r="GG98" s="368" t="str">
        <f t="shared" si="295"/>
        <v/>
      </c>
      <c r="GH98" s="65">
        <f t="shared" si="296"/>
        <v>0</v>
      </c>
      <c r="GI98" s="66">
        <f t="shared" si="297"/>
        <v>0</v>
      </c>
      <c r="GJ98" s="66" t="str">
        <f t="shared" si="298"/>
        <v/>
      </c>
      <c r="GK98" s="100" t="str">
        <f>IF(AND(F98="",B98=""),"",IF('Student DATA Entry'!M95="","",'Student DATA Entry'!M95))</f>
        <v/>
      </c>
      <c r="GL98" s="101" t="str">
        <f>IF(AND(B98="",F98=""),"",IF('Student DATA Entry'!N95="","",'Student DATA Entry'!N95))</f>
        <v/>
      </c>
      <c r="GM98" s="581" t="str">
        <f t="shared" si="299"/>
        <v/>
      </c>
      <c r="GN98" s="94" t="str">
        <f t="shared" si="300"/>
        <v/>
      </c>
      <c r="GO98" s="94" t="str">
        <f t="shared" si="301"/>
        <v/>
      </c>
      <c r="GP98" s="102" t="str">
        <f t="shared" si="239"/>
        <v/>
      </c>
      <c r="GQ98" s="94" t="str">
        <f t="shared" si="302"/>
        <v/>
      </c>
      <c r="GR98" s="103" t="str">
        <f t="shared" si="303"/>
        <v/>
      </c>
      <c r="GS98" s="102" t="str">
        <f t="shared" si="240"/>
        <v/>
      </c>
      <c r="GT98" s="104" t="str">
        <f t="shared" si="304"/>
        <v/>
      </c>
      <c r="GU98" s="94" t="str">
        <f>IF('Marks Entry'!V98=1,GT98,"")</f>
        <v/>
      </c>
      <c r="GV98" s="94" t="str">
        <f>IF('Marks Entry'!V98=2,GT98,"")</f>
        <v/>
      </c>
      <c r="GW98" s="94" t="str">
        <f>IF('Marks Entry'!V98=3,GT98,"")</f>
        <v/>
      </c>
      <c r="GX98" s="94" t="str">
        <f>IF('Marks Entry'!V98=4,GT98,"")</f>
        <v/>
      </c>
      <c r="GY98" s="94" t="str">
        <f>IF('Marks Entry'!V98=5,GT98,"")</f>
        <v/>
      </c>
      <c r="GZ98" s="94" t="str">
        <f t="shared" si="305"/>
        <v/>
      </c>
      <c r="HA98" s="105" t="str">
        <f t="shared" si="241"/>
        <v/>
      </c>
      <c r="HB98" s="94" t="str">
        <f t="shared" si="306"/>
        <v/>
      </c>
      <c r="HC98" s="94" t="str">
        <f t="shared" si="307"/>
        <v/>
      </c>
      <c r="HD98" s="105" t="str">
        <f t="shared" si="242"/>
        <v/>
      </c>
      <c r="HE98" s="94" t="str">
        <f t="shared" si="308"/>
        <v/>
      </c>
      <c r="HF98" s="94" t="str">
        <f t="shared" si="309"/>
        <v/>
      </c>
      <c r="HG98" s="105" t="str">
        <f t="shared" si="243"/>
        <v/>
      </c>
      <c r="HH98" s="94" t="str">
        <f t="shared" si="310"/>
        <v/>
      </c>
      <c r="HI98" s="94" t="str">
        <f t="shared" si="311"/>
        <v/>
      </c>
      <c r="HJ98" s="105" t="str">
        <f t="shared" si="244"/>
        <v/>
      </c>
      <c r="HK98" s="94" t="str">
        <f t="shared" si="312"/>
        <v/>
      </c>
      <c r="HL98" s="94" t="str">
        <f t="shared" si="313"/>
        <v/>
      </c>
      <c r="HM98" s="105" t="str">
        <f t="shared" si="245"/>
        <v/>
      </c>
      <c r="HN98" s="367" t="str">
        <f t="shared" si="314"/>
        <v xml:space="preserve">      </v>
      </c>
      <c r="HO98" s="418" t="str">
        <f t="shared" si="246"/>
        <v xml:space="preserve">      </v>
      </c>
      <c r="HP98" s="367" t="str">
        <f t="shared" si="315"/>
        <v xml:space="preserve">      </v>
      </c>
      <c r="HQ98" s="107" t="str">
        <f t="shared" si="316"/>
        <v xml:space="preserve">      </v>
      </c>
      <c r="HR98" s="366" t="str">
        <f t="shared" si="317"/>
        <v xml:space="preserve">      </v>
      </c>
      <c r="HS98" s="544" t="str">
        <f t="shared" si="247"/>
        <v/>
      </c>
      <c r="HT98" s="542" t="str">
        <f t="shared" si="318"/>
        <v/>
      </c>
      <c r="HU98" s="541" t="str">
        <f t="shared" si="319"/>
        <v/>
      </c>
      <c r="HV98" s="540" t="str">
        <f t="shared" si="320"/>
        <v/>
      </c>
      <c r="HW98" s="537" t="str">
        <f t="shared" si="321"/>
        <v/>
      </c>
      <c r="HX98" s="539" t="str">
        <f t="shared" si="322"/>
        <v/>
      </c>
      <c r="HY98" s="553" t="str">
        <f>IFERROR(IF(OR(HS98="SUPPLEMENTARY",HS98="RE-EXAM"),'Supp. Result Entry'!AQ96,""),"")</f>
        <v/>
      </c>
      <c r="HZ98" s="538" t="str">
        <f t="shared" si="323"/>
        <v/>
      </c>
      <c r="IA98" s="415" t="str">
        <f t="shared" si="324"/>
        <v/>
      </c>
      <c r="IB98" s="415" t="str">
        <f>IF(AND(HZ98="",IA98=""),"",IF(OR(HS98="SUPPLEMENTARY",HS98="RE-EXAM"),'Supp. Result Entry'!AQ96,HS98))</f>
        <v/>
      </c>
      <c r="IC98" s="87"/>
      <c r="IS98" s="109" t="str">
        <f>IF('Supp. Result Entry'!T96="","",'Supp. Result Entry'!$T$4)</f>
        <v/>
      </c>
      <c r="IT98" s="110" t="str">
        <f>IF('Supp. Result Entry'!W96="","",'Supp. Result Entry'!$W$4)</f>
        <v/>
      </c>
      <c r="IU98" s="110" t="str">
        <f>IF('Supp. Result Entry'!Z96="","",'Supp. Result Entry'!$Z$4)</f>
        <v/>
      </c>
      <c r="IV98" s="110" t="str">
        <f>IF('Supp. Result Entry'!AC96="","",'Supp. Result Entry'!$AC$4)</f>
        <v/>
      </c>
      <c r="IW98" s="110" t="str">
        <f>IF('Supp. Result Entry'!AF96="","",'Supp. Result Entry'!$AF$4)</f>
        <v/>
      </c>
      <c r="IX98" s="110" t="str">
        <f>IF('Supp. Result Entry'!AI96="","",'Supp. Result Entry'!$AI$4)</f>
        <v/>
      </c>
      <c r="IY98" s="110" t="str">
        <f>IF('Supp. Result Entry'!AI96="","",'Supp. Result Entry'!$AL$4)</f>
        <v/>
      </c>
      <c r="IZ98" s="110" t="str">
        <f>IF('Supp. Result Entry'!U96="","",'Supp. Result Entry'!U96)</f>
        <v/>
      </c>
      <c r="JA98" s="110" t="str">
        <f>IF('Supp. Result Entry'!X96="","",'Supp. Result Entry'!X96)</f>
        <v/>
      </c>
      <c r="JB98" s="110" t="str">
        <f>IF('Supp. Result Entry'!AA96="","",'Supp. Result Entry'!AA96)</f>
        <v/>
      </c>
      <c r="JC98" s="110" t="str">
        <f>IF('Supp. Result Entry'!AD96="","",'Supp. Result Entry'!AD96)</f>
        <v/>
      </c>
      <c r="JD98" s="110" t="str">
        <f>IF('Supp. Result Entry'!AG96="","",'Supp. Result Entry'!AG96)</f>
        <v/>
      </c>
      <c r="JE98" s="110" t="str">
        <f>IF('Supp. Result Entry'!AJ96="","",'Supp. Result Entry'!AJ96)</f>
        <v/>
      </c>
      <c r="JF98" s="110" t="str">
        <f>IF('Supp. Result Entry'!AM96="","",'Supp. Result Entry'!AM96)</f>
        <v/>
      </c>
      <c r="JG98" s="110" t="str">
        <f>IF('Supp. Result Entry'!V96="","",'Supp. Result Entry'!V96)</f>
        <v/>
      </c>
      <c r="JH98" s="110" t="str">
        <f>IF('Supp. Result Entry'!Y96="","",'Supp. Result Entry'!Y96)</f>
        <v/>
      </c>
      <c r="JI98" s="110" t="str">
        <f>IF('Supp. Result Entry'!AB96="","",'Supp. Result Entry'!AB96)</f>
        <v/>
      </c>
      <c r="JJ98" s="110" t="str">
        <f>IF('Supp. Result Entry'!AE96="","",'Supp. Result Entry'!AE96)</f>
        <v/>
      </c>
      <c r="JK98" s="110" t="str">
        <f>IF('Supp. Result Entry'!AH96="","",'Supp. Result Entry'!AH96)</f>
        <v/>
      </c>
      <c r="JL98" s="110" t="str">
        <f>IF('Supp. Result Entry'!AK96="","",'Supp. Result Entry'!AK96)</f>
        <v/>
      </c>
      <c r="JM98" s="110" t="str">
        <f>IF('Supp. Result Entry'!AN96="","",'Supp. Result Entry'!AN96)</f>
        <v/>
      </c>
      <c r="JN98" s="110">
        <f>COUNTIF('Supp. Result Entry'!K96:Q96,"S")</f>
        <v>0</v>
      </c>
      <c r="JO98" s="110">
        <f t="shared" si="248"/>
        <v>0</v>
      </c>
      <c r="JP98" s="110">
        <f t="shared" si="325"/>
        <v>0</v>
      </c>
      <c r="JQ98" s="110" t="str">
        <f t="shared" si="249"/>
        <v/>
      </c>
      <c r="JR98" s="110" t="str">
        <f t="shared" si="250"/>
        <v/>
      </c>
      <c r="JS98" s="110" t="str">
        <f t="shared" si="251"/>
        <v/>
      </c>
      <c r="JT98" s="110" t="str">
        <f t="shared" si="252"/>
        <v/>
      </c>
      <c r="JU98" s="110" t="str">
        <f t="shared" si="253"/>
        <v/>
      </c>
      <c r="JV98" s="110" t="str">
        <f t="shared" si="254"/>
        <v/>
      </c>
      <c r="JW98" s="110" t="str">
        <f t="shared" si="255"/>
        <v/>
      </c>
      <c r="JX98" s="110" t="str">
        <f t="shared" si="326"/>
        <v/>
      </c>
      <c r="JY98" s="110" t="str">
        <f t="shared" si="327"/>
        <v/>
      </c>
      <c r="JZ98" s="110" t="str">
        <f t="shared" si="256"/>
        <v/>
      </c>
      <c r="KA98" s="108" t="str">
        <f t="shared" si="328"/>
        <v/>
      </c>
    </row>
    <row r="99" spans="1:287" s="108" customFormat="1" ht="21.95" customHeight="1">
      <c r="A99" s="89">
        <v>93</v>
      </c>
      <c r="B99" s="90" t="str">
        <f>IF('Marks Entry'!B99="","",'Marks Entry'!B99)</f>
        <v/>
      </c>
      <c r="C99" s="94" t="str">
        <f>IF('Marks Entry'!D99="","",'Marks Entry'!D99)</f>
        <v/>
      </c>
      <c r="D99" s="91" t="str">
        <f>IF('Marks Entry'!E99="","",'Marks Entry'!E99)</f>
        <v/>
      </c>
      <c r="E99" s="92" t="str">
        <f>IF('Marks Entry'!F99="","",'Marks Entry'!F99)</f>
        <v/>
      </c>
      <c r="F99" s="93" t="str">
        <f>IF('Marks Entry'!G99="","",'Marks Entry'!G99)</f>
        <v/>
      </c>
      <c r="G99" s="93" t="str">
        <f>IF('Marks Entry'!H99="","",'Marks Entry'!H99)</f>
        <v/>
      </c>
      <c r="H99" s="93" t="str">
        <f>IF('Marks Entry'!I99="","",'Marks Entry'!I99)</f>
        <v/>
      </c>
      <c r="I99" s="94" t="str">
        <f>IF('Marks Entry'!J99="","",'Marks Entry'!J99)</f>
        <v/>
      </c>
      <c r="J99" s="95" t="str">
        <f>IF('Marks Entry'!K99="","",'Marks Entry'!K99)</f>
        <v/>
      </c>
      <c r="K99" s="68" t="str">
        <f>IF('Marks Entry'!L99="","",'Marks Entry'!L99)</f>
        <v/>
      </c>
      <c r="L99" s="68" t="str">
        <f>IF('Marks Entry'!M99="","",'Marks Entry'!M99)</f>
        <v/>
      </c>
      <c r="M99" s="68" t="str">
        <f>IF('Marks Entry'!N99="","",'Marks Entry'!N99)</f>
        <v/>
      </c>
      <c r="N99" s="514" t="str">
        <f t="shared" si="257"/>
        <v/>
      </c>
      <c r="O99" s="68" t="str">
        <f>IF('Marks Entry'!O99="","",'Marks Entry'!O99)</f>
        <v/>
      </c>
      <c r="P99" s="515" t="str">
        <f t="shared" si="258"/>
        <v/>
      </c>
      <c r="Q99" s="68" t="str">
        <f>IF('Marks Entry'!P99="","",'Marks Entry'!P99)</f>
        <v/>
      </c>
      <c r="R99" s="96" t="str">
        <f t="shared" si="259"/>
        <v/>
      </c>
      <c r="S99" s="65">
        <f t="shared" si="260"/>
        <v>0</v>
      </c>
      <c r="T99" s="65">
        <f t="shared" si="261"/>
        <v>0</v>
      </c>
      <c r="U99" s="66" t="str">
        <f t="shared" si="171"/>
        <v/>
      </c>
      <c r="V99" s="65" t="str">
        <f t="shared" si="172"/>
        <v/>
      </c>
      <c r="W99" s="65" t="str">
        <f t="shared" si="262"/>
        <v/>
      </c>
      <c r="X99" s="65" t="str">
        <f t="shared" si="173"/>
        <v/>
      </c>
      <c r="Y99" s="68" t="str">
        <f>IF('Marks Entry'!Q99="","",'Marks Entry'!Q99)</f>
        <v/>
      </c>
      <c r="Z99" s="68" t="str">
        <f>IF('Marks Entry'!R99="","",'Marks Entry'!R99)</f>
        <v/>
      </c>
      <c r="AA99" s="68" t="str">
        <f>IF('Marks Entry'!S99="","",'Marks Entry'!S99)</f>
        <v/>
      </c>
      <c r="AB99" s="514" t="str">
        <f t="shared" si="174"/>
        <v/>
      </c>
      <c r="AC99" s="68" t="str">
        <f>IF('Marks Entry'!T99="","",'Marks Entry'!T99)</f>
        <v/>
      </c>
      <c r="AD99" s="515" t="str">
        <f t="shared" si="175"/>
        <v/>
      </c>
      <c r="AE99" s="68" t="str">
        <f>IF('Marks Entry'!U99="","",'Marks Entry'!U99)</f>
        <v/>
      </c>
      <c r="AF99" s="96" t="str">
        <f t="shared" si="176"/>
        <v/>
      </c>
      <c r="AG99" s="65">
        <f t="shared" si="177"/>
        <v>0</v>
      </c>
      <c r="AH99" s="65">
        <f t="shared" si="178"/>
        <v>0</v>
      </c>
      <c r="AI99" s="66" t="str">
        <f t="shared" si="179"/>
        <v/>
      </c>
      <c r="AJ99" s="65" t="str">
        <f t="shared" si="180"/>
        <v/>
      </c>
      <c r="AK99" s="65" t="str">
        <f t="shared" si="181"/>
        <v/>
      </c>
      <c r="AL99" s="65" t="str">
        <f t="shared" si="182"/>
        <v/>
      </c>
      <c r="AM99" s="524" t="str">
        <f>IF('Marks Entry'!V99="","",IF('Marks Entry'!V99=1,'School Profile'!$I$9,IF('Marks Entry'!V99=2,'School Profile'!$I$10,IF('Marks Entry'!V99=3,'School Profile'!$I$11,IF('Marks Entry'!V99=4,'School Profile'!$I$12,IF('Marks Entry'!V99=5,'School Profile'!$I$13,IF('Marks Entry'!V99=6,'School Profile'!$I$14,"")))))))</f>
        <v/>
      </c>
      <c r="AN99" s="68" t="str">
        <f>IF('Marks Entry'!W99="","",'Marks Entry'!W99)</f>
        <v/>
      </c>
      <c r="AO99" s="68" t="str">
        <f>IF('Marks Entry'!X99="","",'Marks Entry'!X99)</f>
        <v/>
      </c>
      <c r="AP99" s="68" t="str">
        <f>IF('Marks Entry'!Y99="","",'Marks Entry'!Y99)</f>
        <v/>
      </c>
      <c r="AQ99" s="514" t="str">
        <f t="shared" si="183"/>
        <v/>
      </c>
      <c r="AR99" s="68" t="str">
        <f>IF('Marks Entry'!Z99="","",'Marks Entry'!Z99)</f>
        <v/>
      </c>
      <c r="AS99" s="515" t="str">
        <f t="shared" si="184"/>
        <v/>
      </c>
      <c r="AT99" s="68" t="str">
        <f>IF('Marks Entry'!AA99="","",'Marks Entry'!AA99)</f>
        <v/>
      </c>
      <c r="AU99" s="96" t="str">
        <f t="shared" si="185"/>
        <v/>
      </c>
      <c r="AV99" s="65">
        <f t="shared" si="186"/>
        <v>0</v>
      </c>
      <c r="AW99" s="65">
        <f t="shared" si="187"/>
        <v>0</v>
      </c>
      <c r="AX99" s="66" t="str">
        <f t="shared" si="188"/>
        <v/>
      </c>
      <c r="AY99" s="65" t="str">
        <f t="shared" si="189"/>
        <v/>
      </c>
      <c r="AZ99" s="65" t="str">
        <f t="shared" si="190"/>
        <v/>
      </c>
      <c r="BA99" s="65" t="str">
        <f t="shared" si="191"/>
        <v/>
      </c>
      <c r="BB99" s="68" t="str">
        <f>IF('Marks Entry'!AB99="","",'Marks Entry'!AB99)</f>
        <v/>
      </c>
      <c r="BC99" s="68" t="str">
        <f>IF('Marks Entry'!AC99="","",'Marks Entry'!AC99)</f>
        <v/>
      </c>
      <c r="BD99" s="68" t="str">
        <f>IF('Marks Entry'!AD99="","",'Marks Entry'!AD99)</f>
        <v/>
      </c>
      <c r="BE99" s="514" t="str">
        <f t="shared" si="192"/>
        <v/>
      </c>
      <c r="BF99" s="68" t="str">
        <f>IF('Marks Entry'!AE99="","",'Marks Entry'!AE99)</f>
        <v/>
      </c>
      <c r="BG99" s="515" t="str">
        <f t="shared" si="193"/>
        <v/>
      </c>
      <c r="BH99" s="68" t="str">
        <f>IF('Marks Entry'!AF99="","",'Marks Entry'!AF99)</f>
        <v/>
      </c>
      <c r="BI99" s="96" t="str">
        <f t="shared" si="194"/>
        <v/>
      </c>
      <c r="BJ99" s="65">
        <f t="shared" si="195"/>
        <v>0</v>
      </c>
      <c r="BK99" s="65">
        <f t="shared" si="263"/>
        <v>0</v>
      </c>
      <c r="BL99" s="66" t="str">
        <f t="shared" si="196"/>
        <v/>
      </c>
      <c r="BM99" s="65" t="str">
        <f t="shared" si="197"/>
        <v/>
      </c>
      <c r="BN99" s="65" t="str">
        <f t="shared" si="198"/>
        <v/>
      </c>
      <c r="BO99" s="65" t="str">
        <f t="shared" si="199"/>
        <v/>
      </c>
      <c r="BP99" s="68" t="str">
        <f>IF('Marks Entry'!AG99="","",'Marks Entry'!AG99)</f>
        <v/>
      </c>
      <c r="BQ99" s="68" t="str">
        <f>IF('Marks Entry'!AH99="","",'Marks Entry'!AH99)</f>
        <v/>
      </c>
      <c r="BR99" s="68" t="str">
        <f>IF('Marks Entry'!AI99="","",'Marks Entry'!AI99)</f>
        <v/>
      </c>
      <c r="BS99" s="514" t="str">
        <f t="shared" si="200"/>
        <v/>
      </c>
      <c r="BT99" s="68" t="str">
        <f>IF('Marks Entry'!AJ99="","",'Marks Entry'!AJ99)</f>
        <v/>
      </c>
      <c r="BU99" s="515" t="str">
        <f t="shared" si="201"/>
        <v/>
      </c>
      <c r="BV99" s="68" t="str">
        <f>IF('Marks Entry'!AK99="","",'Marks Entry'!AK99)</f>
        <v/>
      </c>
      <c r="BW99" s="96" t="str">
        <f t="shared" si="202"/>
        <v/>
      </c>
      <c r="BX99" s="65">
        <f t="shared" si="203"/>
        <v>0</v>
      </c>
      <c r="BY99" s="65">
        <f t="shared" si="204"/>
        <v>0</v>
      </c>
      <c r="BZ99" s="66" t="str">
        <f t="shared" si="205"/>
        <v/>
      </c>
      <c r="CA99" s="65" t="str">
        <f t="shared" si="206"/>
        <v/>
      </c>
      <c r="CB99" s="65" t="str">
        <f t="shared" si="207"/>
        <v/>
      </c>
      <c r="CC99" s="65" t="str">
        <f t="shared" si="208"/>
        <v/>
      </c>
      <c r="CD99" s="66">
        <f t="shared" si="209"/>
        <v>0</v>
      </c>
      <c r="CE99" s="68" t="str">
        <f>IF('Marks Entry'!AL99="","",'Marks Entry'!AL99)</f>
        <v/>
      </c>
      <c r="CF99" s="68" t="str">
        <f>IF('Marks Entry'!AM99="","",'Marks Entry'!AM99)</f>
        <v/>
      </c>
      <c r="CG99" s="68" t="str">
        <f>IF('Marks Entry'!AN99="","",'Marks Entry'!AN99)</f>
        <v/>
      </c>
      <c r="CH99" s="514" t="str">
        <f t="shared" si="210"/>
        <v/>
      </c>
      <c r="CI99" s="68" t="str">
        <f>IF('Marks Entry'!AO99="","",'Marks Entry'!AO99)</f>
        <v/>
      </c>
      <c r="CJ99" s="515" t="str">
        <f t="shared" si="211"/>
        <v/>
      </c>
      <c r="CK99" s="68" t="str">
        <f>IF('Marks Entry'!AP99="","",'Marks Entry'!AP99)</f>
        <v/>
      </c>
      <c r="CL99" s="96" t="str">
        <f t="shared" si="212"/>
        <v/>
      </c>
      <c r="CM99" s="65">
        <f t="shared" si="213"/>
        <v>0</v>
      </c>
      <c r="CN99" s="65">
        <f t="shared" si="214"/>
        <v>0</v>
      </c>
      <c r="CO99" s="66" t="str">
        <f t="shared" si="215"/>
        <v/>
      </c>
      <c r="CP99" s="65" t="str">
        <f t="shared" si="216"/>
        <v/>
      </c>
      <c r="CQ99" s="65" t="str">
        <f t="shared" si="217"/>
        <v/>
      </c>
      <c r="CR99" s="65" t="str">
        <f t="shared" si="218"/>
        <v/>
      </c>
      <c r="CS99" s="616" t="str">
        <f>IF('School Profile'!$D$20="NO","",IF('Marks Entry'!AQ99="","",IF('Marks Entry'!AQ99=1,'School Profile'!$I$29,IF('Marks Entry'!AQ99=2,'School Profile'!$I$30,IF('Marks Entry'!AQ99=3,'School Profile'!$I$31,IF('Marks Entry'!AQ99=4,'School Profile'!$I$32,IF('Marks Entry'!AQ99=5,'School Profile'!$I$33,IF('Marks Entry'!AQ99=6,'School Profile'!$I$34,IF('Marks Entry'!AQ99=7,'School Profile'!$I$35,IF('Marks Entry'!AQ99=8,'School Profile'!$I$36,IF('Marks Entry'!AQ99=9,'School Profile'!$I$37,IF('Marks Entry'!AQ99=10,'School Profile'!$I$38,IF('Marks Entry'!AQ99=11,'School Profile'!$I$39,"")))))))))))))</f>
        <v/>
      </c>
      <c r="CT99" s="68" t="str">
        <f>IF('School Profile'!$D$20="NO","",IF('Marks Entry'!AR99="","",'Marks Entry'!AR99))</f>
        <v/>
      </c>
      <c r="CU99" s="68" t="str">
        <f>IF('School Profile'!$D$20="NO","",IF('Marks Entry'!AS99="","",'Marks Entry'!AS99))</f>
        <v/>
      </c>
      <c r="CV99" s="68" t="str">
        <f>IF('School Profile'!$D$20="NO","",IF('Marks Entry'!AT99="","",'Marks Entry'!AT99))</f>
        <v/>
      </c>
      <c r="CW99" s="514" t="str">
        <f>IF('School Profile'!$D$20="NO","",IF(AND(CT99="",CU99="",CV99=""),"",SUM(CT99:CV99)))</f>
        <v/>
      </c>
      <c r="CX99" s="68" t="str">
        <f>IF('School Profile'!$D$20="NO","",IF('Marks Entry'!AU99="","",'Marks Entry'!AU99))</f>
        <v/>
      </c>
      <c r="CY99" s="68" t="str">
        <f>IF('School Profile'!$D$20="NO","",IF('Marks Entry'!AV99="","",'Marks Entry'!AV99))</f>
        <v/>
      </c>
      <c r="CZ99" s="515" t="str">
        <f>IF('School Profile'!$D$20="NO","",IF(AND(CX99="",CY99=""),"",SUM(CX99,CY99)))</f>
        <v/>
      </c>
      <c r="DA99" s="69" t="str">
        <f>IF('School Profile'!$D$20="NO","",IF(AND(CW99="",CZ99=""),"",SUM(CW99+CZ99)))</f>
        <v/>
      </c>
      <c r="DB99" s="68" t="str">
        <f>IF('School Profile'!$D$20="NO","",IF('Marks Entry'!AW99="","",'Marks Entry'!AW99))</f>
        <v/>
      </c>
      <c r="DC99" s="68" t="str">
        <f>IF('School Profile'!$D$20="NO","",IF('Marks Entry'!AX99="","",'Marks Entry'!AX99))</f>
        <v/>
      </c>
      <c r="DD99" s="515" t="str">
        <f>IF('School Profile'!$D$20="NO","",IF(AND(DB99="",DC99=""),"",SUM(DB99,DC99)))</f>
        <v/>
      </c>
      <c r="DE99" s="96" t="str">
        <f>IF('School Profile'!$D$20="NO","",IF(AND(DA99="",DD99=""),"",SUM(DA99,DD99)))</f>
        <v/>
      </c>
      <c r="DF99" s="532">
        <f t="shared" si="219"/>
        <v>0</v>
      </c>
      <c r="DG99" s="65">
        <f t="shared" si="220"/>
        <v>0</v>
      </c>
      <c r="DH99" s="66" t="str">
        <f t="shared" si="221"/>
        <v/>
      </c>
      <c r="DI99" s="65" t="str">
        <f t="shared" si="222"/>
        <v/>
      </c>
      <c r="DJ99" s="65" t="str">
        <f t="shared" si="223"/>
        <v/>
      </c>
      <c r="DK99" s="65" t="str">
        <f t="shared" si="224"/>
        <v/>
      </c>
      <c r="DL99" s="97" t="str">
        <f t="shared" si="264"/>
        <v/>
      </c>
      <c r="DM99" s="97" t="str">
        <f t="shared" si="265"/>
        <v/>
      </c>
      <c r="DN99" s="97" t="str">
        <f t="shared" si="266"/>
        <v/>
      </c>
      <c r="DO99" s="97" t="str">
        <f t="shared" si="267"/>
        <v/>
      </c>
      <c r="DP99" s="97" t="str">
        <f t="shared" si="268"/>
        <v/>
      </c>
      <c r="DQ99" s="97" t="str">
        <f t="shared" si="269"/>
        <v/>
      </c>
      <c r="DR99" s="97" t="str">
        <f t="shared" si="270"/>
        <v/>
      </c>
      <c r="DS99" s="98">
        <f t="shared" si="271"/>
        <v>0</v>
      </c>
      <c r="DT99" s="98">
        <f t="shared" si="272"/>
        <v>0</v>
      </c>
      <c r="DU99" s="98">
        <f t="shared" si="273"/>
        <v>0</v>
      </c>
      <c r="DV99" s="98">
        <f t="shared" si="274"/>
        <v>0</v>
      </c>
      <c r="DW99" s="98">
        <f t="shared" si="275"/>
        <v>0</v>
      </c>
      <c r="DX99" s="98" t="str">
        <f t="shared" si="276"/>
        <v/>
      </c>
      <c r="DY99" s="99" t="str">
        <f t="shared" si="277"/>
        <v/>
      </c>
      <c r="DZ99" s="74" t="str">
        <f>IF('Marks Entry'!AY99="","",'Marks Entry'!AY99)</f>
        <v/>
      </c>
      <c r="EA99" s="74" t="str">
        <f>IF('Marks Entry'!AZ99="","",'Marks Entry'!AZ99)</f>
        <v/>
      </c>
      <c r="EB99" s="74" t="str">
        <f>IF('Marks Entry'!BA99="","",'Marks Entry'!BA99)</f>
        <v/>
      </c>
      <c r="EC99" s="527" t="str">
        <f t="shared" si="225"/>
        <v/>
      </c>
      <c r="ED99" s="74" t="str">
        <f>IF('Marks Entry'!BB99="","",'Marks Entry'!BB99)</f>
        <v/>
      </c>
      <c r="EE99" s="528" t="str">
        <f t="shared" si="226"/>
        <v/>
      </c>
      <c r="EF99" s="74" t="str">
        <f>IF('Marks Entry'!BC99="","",'Marks Entry'!BC99)</f>
        <v/>
      </c>
      <c r="EG99" s="530" t="str">
        <f t="shared" si="227"/>
        <v/>
      </c>
      <c r="EH99" s="368" t="str">
        <f t="shared" si="278"/>
        <v/>
      </c>
      <c r="EI99" s="65">
        <f t="shared" si="279"/>
        <v>0</v>
      </c>
      <c r="EJ99" s="65">
        <f t="shared" si="280"/>
        <v>0</v>
      </c>
      <c r="EK99" s="66" t="str">
        <f t="shared" si="281"/>
        <v/>
      </c>
      <c r="EL99" s="74" t="str">
        <f>IF('Marks Entry'!BD99="","",'Marks Entry'!BD99)</f>
        <v/>
      </c>
      <c r="EM99" s="74" t="str">
        <f>IF('Marks Entry'!BE99="","",'Marks Entry'!BE99)</f>
        <v/>
      </c>
      <c r="EN99" s="74" t="str">
        <f>IF('Marks Entry'!BF99="","",'Marks Entry'!BF99)</f>
        <v/>
      </c>
      <c r="EO99" s="527" t="str">
        <f t="shared" si="228"/>
        <v/>
      </c>
      <c r="EP99" s="74" t="str">
        <f>IF('Marks Entry'!BG99="","",'Marks Entry'!BG99)</f>
        <v/>
      </c>
      <c r="EQ99" s="74" t="str">
        <f>IF('Marks Entry'!BH99="","",'Marks Entry'!BH99)</f>
        <v/>
      </c>
      <c r="ER99" s="528" t="str">
        <f t="shared" si="229"/>
        <v/>
      </c>
      <c r="ES99" s="529" t="str">
        <f t="shared" si="230"/>
        <v/>
      </c>
      <c r="ET99" s="74" t="str">
        <f>IF('Marks Entry'!BI99="","",'Marks Entry'!BI99)</f>
        <v/>
      </c>
      <c r="EU99" s="74" t="str">
        <f>IF('Marks Entry'!BJ99="","",'Marks Entry'!BJ99)</f>
        <v/>
      </c>
      <c r="EV99" s="528" t="str">
        <f t="shared" si="231"/>
        <v/>
      </c>
      <c r="EW99" s="530" t="str">
        <f t="shared" si="232"/>
        <v/>
      </c>
      <c r="EX99" s="368" t="str">
        <f t="shared" si="282"/>
        <v/>
      </c>
      <c r="EY99" s="65">
        <f t="shared" si="283"/>
        <v>0</v>
      </c>
      <c r="EZ99" s="65">
        <f t="shared" si="284"/>
        <v>0</v>
      </c>
      <c r="FA99" s="66" t="str">
        <f t="shared" si="285"/>
        <v/>
      </c>
      <c r="FB99" s="74" t="str">
        <f>IF('Marks Entry'!BK99="","",'Marks Entry'!BK99)</f>
        <v/>
      </c>
      <c r="FC99" s="74" t="str">
        <f>IF('Marks Entry'!BL99="","",'Marks Entry'!BL99)</f>
        <v/>
      </c>
      <c r="FD99" s="74" t="str">
        <f>IF('Marks Entry'!BM99="","",'Marks Entry'!BM99)</f>
        <v/>
      </c>
      <c r="FE99" s="74" t="str">
        <f>IF('Marks Entry'!BN99="","",'Marks Entry'!BN99)</f>
        <v/>
      </c>
      <c r="FF99" s="74" t="str">
        <f>IF('Marks Entry'!BO99="","",'Marks Entry'!BO99)</f>
        <v/>
      </c>
      <c r="FG99" s="74" t="str">
        <f>IF('Marks Entry'!BP99="","",'Marks Entry'!BP99)</f>
        <v/>
      </c>
      <c r="FH99" s="527" t="str">
        <f t="shared" si="233"/>
        <v/>
      </c>
      <c r="FI99" s="74" t="str">
        <f>IF('Marks Entry'!BQ99="","",'Marks Entry'!BQ99)</f>
        <v/>
      </c>
      <c r="FJ99" s="74" t="str">
        <f>IF('Marks Entry'!BR99="","",'Marks Entry'!BR99)</f>
        <v/>
      </c>
      <c r="FK99" s="528" t="str">
        <f t="shared" si="234"/>
        <v/>
      </c>
      <c r="FL99" s="529" t="str">
        <f t="shared" si="235"/>
        <v/>
      </c>
      <c r="FM99" s="74" t="str">
        <f>IF('Marks Entry'!BS99="","",'Marks Entry'!BS99)</f>
        <v/>
      </c>
      <c r="FN99" s="74" t="str">
        <f>IF('Marks Entry'!BT99="","",'Marks Entry'!BT99)</f>
        <v/>
      </c>
      <c r="FO99" s="528" t="str">
        <f t="shared" si="236"/>
        <v/>
      </c>
      <c r="FP99" s="530" t="str">
        <f t="shared" si="237"/>
        <v/>
      </c>
      <c r="FQ99" s="368" t="str">
        <f t="shared" si="286"/>
        <v/>
      </c>
      <c r="FR99" s="65">
        <f t="shared" si="287"/>
        <v>0</v>
      </c>
      <c r="FS99" s="65">
        <f t="shared" si="288"/>
        <v>0</v>
      </c>
      <c r="FT99" s="66" t="str">
        <f t="shared" si="289"/>
        <v/>
      </c>
      <c r="FU99" s="74" t="str">
        <f>IF('Marks Entry'!BU99="","",'Marks Entry'!BU99)</f>
        <v/>
      </c>
      <c r="FV99" s="74" t="str">
        <f>IF('Marks Entry'!BV99="","",'Marks Entry'!BV99)</f>
        <v/>
      </c>
      <c r="FW99" s="74" t="str">
        <f>IF('Marks Entry'!BW99="","",'Marks Entry'!BW99)</f>
        <v/>
      </c>
      <c r="FX99" s="75" t="str">
        <f t="shared" si="238"/>
        <v/>
      </c>
      <c r="FY99" s="368" t="str">
        <f t="shared" si="290"/>
        <v/>
      </c>
      <c r="FZ99" s="65">
        <f t="shared" si="291"/>
        <v>0</v>
      </c>
      <c r="GA99" s="66">
        <f t="shared" si="292"/>
        <v>0</v>
      </c>
      <c r="GB99" s="66" t="str">
        <f t="shared" si="293"/>
        <v/>
      </c>
      <c r="GC99" s="74" t="str">
        <f>IF('Marks Entry'!BX99="","",'Marks Entry'!BX99)</f>
        <v/>
      </c>
      <c r="GD99" s="74" t="str">
        <f>IF('Marks Entry'!BY99="","",'Marks Entry'!BY99)</f>
        <v/>
      </c>
      <c r="GE99" s="74" t="str">
        <f>IF('Marks Entry'!BZ99="","",'Marks Entry'!BZ99)</f>
        <v/>
      </c>
      <c r="GF99" s="75" t="str">
        <f t="shared" si="294"/>
        <v/>
      </c>
      <c r="GG99" s="368" t="str">
        <f t="shared" si="295"/>
        <v/>
      </c>
      <c r="GH99" s="65">
        <f t="shared" si="296"/>
        <v>0</v>
      </c>
      <c r="GI99" s="66">
        <f t="shared" si="297"/>
        <v>0</v>
      </c>
      <c r="GJ99" s="66" t="str">
        <f t="shared" si="298"/>
        <v/>
      </c>
      <c r="GK99" s="100" t="str">
        <f>IF(AND(F99="",B99=""),"",IF('Student DATA Entry'!M96="","",'Student DATA Entry'!M96))</f>
        <v/>
      </c>
      <c r="GL99" s="101" t="str">
        <f>IF(AND(B99="",F99=""),"",IF('Student DATA Entry'!N96="","",'Student DATA Entry'!N96))</f>
        <v/>
      </c>
      <c r="GM99" s="581" t="str">
        <f t="shared" si="299"/>
        <v/>
      </c>
      <c r="GN99" s="94" t="str">
        <f t="shared" si="300"/>
        <v/>
      </c>
      <c r="GO99" s="94" t="str">
        <f t="shared" si="301"/>
        <v/>
      </c>
      <c r="GP99" s="102" t="str">
        <f t="shared" si="239"/>
        <v/>
      </c>
      <c r="GQ99" s="94" t="str">
        <f t="shared" si="302"/>
        <v/>
      </c>
      <c r="GR99" s="103" t="str">
        <f t="shared" si="303"/>
        <v/>
      </c>
      <c r="GS99" s="102" t="str">
        <f t="shared" si="240"/>
        <v/>
      </c>
      <c r="GT99" s="104" t="str">
        <f t="shared" si="304"/>
        <v/>
      </c>
      <c r="GU99" s="94" t="str">
        <f>IF('Marks Entry'!V99=1,GT99,"")</f>
        <v/>
      </c>
      <c r="GV99" s="94" t="str">
        <f>IF('Marks Entry'!V99=2,GT99,"")</f>
        <v/>
      </c>
      <c r="GW99" s="94" t="str">
        <f>IF('Marks Entry'!V99=3,GT99,"")</f>
        <v/>
      </c>
      <c r="GX99" s="94" t="str">
        <f>IF('Marks Entry'!V99=4,GT99,"")</f>
        <v/>
      </c>
      <c r="GY99" s="94" t="str">
        <f>IF('Marks Entry'!V99=5,GT99,"")</f>
        <v/>
      </c>
      <c r="GZ99" s="94" t="str">
        <f t="shared" si="305"/>
        <v/>
      </c>
      <c r="HA99" s="105" t="str">
        <f t="shared" si="241"/>
        <v/>
      </c>
      <c r="HB99" s="94" t="str">
        <f t="shared" si="306"/>
        <v/>
      </c>
      <c r="HC99" s="94" t="str">
        <f t="shared" si="307"/>
        <v/>
      </c>
      <c r="HD99" s="105" t="str">
        <f t="shared" si="242"/>
        <v/>
      </c>
      <c r="HE99" s="94" t="str">
        <f t="shared" si="308"/>
        <v/>
      </c>
      <c r="HF99" s="94" t="str">
        <f t="shared" si="309"/>
        <v/>
      </c>
      <c r="HG99" s="105" t="str">
        <f t="shared" si="243"/>
        <v/>
      </c>
      <c r="HH99" s="94" t="str">
        <f t="shared" si="310"/>
        <v/>
      </c>
      <c r="HI99" s="94" t="str">
        <f t="shared" si="311"/>
        <v/>
      </c>
      <c r="HJ99" s="105" t="str">
        <f t="shared" si="244"/>
        <v/>
      </c>
      <c r="HK99" s="94" t="str">
        <f t="shared" si="312"/>
        <v/>
      </c>
      <c r="HL99" s="94" t="str">
        <f t="shared" si="313"/>
        <v/>
      </c>
      <c r="HM99" s="105" t="str">
        <f t="shared" si="245"/>
        <v/>
      </c>
      <c r="HN99" s="367" t="str">
        <f t="shared" si="314"/>
        <v xml:space="preserve">      </v>
      </c>
      <c r="HO99" s="418" t="str">
        <f t="shared" si="246"/>
        <v xml:space="preserve">      </v>
      </c>
      <c r="HP99" s="367" t="str">
        <f t="shared" si="315"/>
        <v xml:space="preserve">      </v>
      </c>
      <c r="HQ99" s="107" t="str">
        <f t="shared" si="316"/>
        <v xml:space="preserve">      </v>
      </c>
      <c r="HR99" s="366" t="str">
        <f t="shared" si="317"/>
        <v xml:space="preserve">      </v>
      </c>
      <c r="HS99" s="544" t="str">
        <f t="shared" si="247"/>
        <v/>
      </c>
      <c r="HT99" s="542" t="str">
        <f t="shared" si="318"/>
        <v/>
      </c>
      <c r="HU99" s="541" t="str">
        <f t="shared" si="319"/>
        <v/>
      </c>
      <c r="HV99" s="540" t="str">
        <f t="shared" si="320"/>
        <v/>
      </c>
      <c r="HW99" s="537" t="str">
        <f t="shared" si="321"/>
        <v/>
      </c>
      <c r="HX99" s="539" t="str">
        <f t="shared" si="322"/>
        <v/>
      </c>
      <c r="HY99" s="553" t="str">
        <f>IFERROR(IF(OR(HS99="SUPPLEMENTARY",HS99="RE-EXAM"),'Supp. Result Entry'!AQ97,""),"")</f>
        <v/>
      </c>
      <c r="HZ99" s="538" t="str">
        <f t="shared" si="323"/>
        <v/>
      </c>
      <c r="IA99" s="415" t="str">
        <f t="shared" si="324"/>
        <v/>
      </c>
      <c r="IB99" s="415" t="str">
        <f>IF(AND(HZ99="",IA99=""),"",IF(OR(HS99="SUPPLEMENTARY",HS99="RE-EXAM"),'Supp. Result Entry'!AQ97,HS99))</f>
        <v/>
      </c>
      <c r="IC99" s="87"/>
      <c r="IS99" s="109" t="str">
        <f>IF('Supp. Result Entry'!T97="","",'Supp. Result Entry'!$T$4)</f>
        <v/>
      </c>
      <c r="IT99" s="110" t="str">
        <f>IF('Supp. Result Entry'!W97="","",'Supp. Result Entry'!$W$4)</f>
        <v/>
      </c>
      <c r="IU99" s="110" t="str">
        <f>IF('Supp. Result Entry'!Z97="","",'Supp. Result Entry'!$Z$4)</f>
        <v/>
      </c>
      <c r="IV99" s="110" t="str">
        <f>IF('Supp. Result Entry'!AC97="","",'Supp. Result Entry'!$AC$4)</f>
        <v/>
      </c>
      <c r="IW99" s="110" t="str">
        <f>IF('Supp. Result Entry'!AF97="","",'Supp. Result Entry'!$AF$4)</f>
        <v/>
      </c>
      <c r="IX99" s="110" t="str">
        <f>IF('Supp. Result Entry'!AI97="","",'Supp. Result Entry'!$AI$4)</f>
        <v/>
      </c>
      <c r="IY99" s="110" t="str">
        <f>IF('Supp. Result Entry'!AI97="","",'Supp. Result Entry'!$AL$4)</f>
        <v/>
      </c>
      <c r="IZ99" s="110" t="str">
        <f>IF('Supp. Result Entry'!U97="","",'Supp. Result Entry'!U97)</f>
        <v/>
      </c>
      <c r="JA99" s="110" t="str">
        <f>IF('Supp. Result Entry'!X97="","",'Supp. Result Entry'!X97)</f>
        <v/>
      </c>
      <c r="JB99" s="110" t="str">
        <f>IF('Supp. Result Entry'!AA97="","",'Supp. Result Entry'!AA97)</f>
        <v/>
      </c>
      <c r="JC99" s="110" t="str">
        <f>IF('Supp. Result Entry'!AD97="","",'Supp. Result Entry'!AD97)</f>
        <v/>
      </c>
      <c r="JD99" s="110" t="str">
        <f>IF('Supp. Result Entry'!AG97="","",'Supp. Result Entry'!AG97)</f>
        <v/>
      </c>
      <c r="JE99" s="110" t="str">
        <f>IF('Supp. Result Entry'!AJ97="","",'Supp. Result Entry'!AJ97)</f>
        <v/>
      </c>
      <c r="JF99" s="110" t="str">
        <f>IF('Supp. Result Entry'!AM97="","",'Supp. Result Entry'!AM97)</f>
        <v/>
      </c>
      <c r="JG99" s="110" t="str">
        <f>IF('Supp. Result Entry'!V97="","",'Supp. Result Entry'!V97)</f>
        <v/>
      </c>
      <c r="JH99" s="110" t="str">
        <f>IF('Supp. Result Entry'!Y97="","",'Supp. Result Entry'!Y97)</f>
        <v/>
      </c>
      <c r="JI99" s="110" t="str">
        <f>IF('Supp. Result Entry'!AB97="","",'Supp. Result Entry'!AB97)</f>
        <v/>
      </c>
      <c r="JJ99" s="110" t="str">
        <f>IF('Supp. Result Entry'!AE97="","",'Supp. Result Entry'!AE97)</f>
        <v/>
      </c>
      <c r="JK99" s="110" t="str">
        <f>IF('Supp. Result Entry'!AH97="","",'Supp. Result Entry'!AH97)</f>
        <v/>
      </c>
      <c r="JL99" s="110" t="str">
        <f>IF('Supp. Result Entry'!AK97="","",'Supp. Result Entry'!AK97)</f>
        <v/>
      </c>
      <c r="JM99" s="110" t="str">
        <f>IF('Supp. Result Entry'!AN97="","",'Supp. Result Entry'!AN97)</f>
        <v/>
      </c>
      <c r="JN99" s="110">
        <f>COUNTIF('Supp. Result Entry'!K97:Q97,"S")</f>
        <v>0</v>
      </c>
      <c r="JO99" s="110">
        <f t="shared" si="248"/>
        <v>0</v>
      </c>
      <c r="JP99" s="110">
        <f t="shared" si="325"/>
        <v>0</v>
      </c>
      <c r="JQ99" s="110" t="str">
        <f t="shared" si="249"/>
        <v/>
      </c>
      <c r="JR99" s="110" t="str">
        <f t="shared" si="250"/>
        <v/>
      </c>
      <c r="JS99" s="110" t="str">
        <f t="shared" si="251"/>
        <v/>
      </c>
      <c r="JT99" s="110" t="str">
        <f t="shared" si="252"/>
        <v/>
      </c>
      <c r="JU99" s="110" t="str">
        <f t="shared" si="253"/>
        <v/>
      </c>
      <c r="JV99" s="110" t="str">
        <f t="shared" si="254"/>
        <v/>
      </c>
      <c r="JW99" s="110" t="str">
        <f t="shared" si="255"/>
        <v/>
      </c>
      <c r="JX99" s="110" t="str">
        <f t="shared" si="326"/>
        <v/>
      </c>
      <c r="JY99" s="110" t="str">
        <f t="shared" si="327"/>
        <v/>
      </c>
      <c r="JZ99" s="110" t="str">
        <f t="shared" si="256"/>
        <v/>
      </c>
      <c r="KA99" s="108" t="str">
        <f t="shared" si="328"/>
        <v/>
      </c>
    </row>
    <row r="100" spans="1:287" s="108" customFormat="1" ht="21.95" customHeight="1">
      <c r="A100" s="89">
        <v>94</v>
      </c>
      <c r="B100" s="90" t="str">
        <f>IF('Marks Entry'!B100="","",'Marks Entry'!B100)</f>
        <v/>
      </c>
      <c r="C100" s="94" t="str">
        <f>IF('Marks Entry'!D100="","",'Marks Entry'!D100)</f>
        <v/>
      </c>
      <c r="D100" s="91" t="str">
        <f>IF('Marks Entry'!E100="","",'Marks Entry'!E100)</f>
        <v/>
      </c>
      <c r="E100" s="92" t="str">
        <f>IF('Marks Entry'!F100="","",'Marks Entry'!F100)</f>
        <v/>
      </c>
      <c r="F100" s="93" t="str">
        <f>IF('Marks Entry'!G100="","",'Marks Entry'!G100)</f>
        <v/>
      </c>
      <c r="G100" s="93" t="str">
        <f>IF('Marks Entry'!H100="","",'Marks Entry'!H100)</f>
        <v/>
      </c>
      <c r="H100" s="93" t="str">
        <f>IF('Marks Entry'!I100="","",'Marks Entry'!I100)</f>
        <v/>
      </c>
      <c r="I100" s="94" t="str">
        <f>IF('Marks Entry'!J100="","",'Marks Entry'!J100)</f>
        <v/>
      </c>
      <c r="J100" s="95" t="str">
        <f>IF('Marks Entry'!K100="","",'Marks Entry'!K100)</f>
        <v/>
      </c>
      <c r="K100" s="68" t="str">
        <f>IF('Marks Entry'!L100="","",'Marks Entry'!L100)</f>
        <v/>
      </c>
      <c r="L100" s="68" t="str">
        <f>IF('Marks Entry'!M100="","",'Marks Entry'!M100)</f>
        <v/>
      </c>
      <c r="M100" s="68" t="str">
        <f>IF('Marks Entry'!N100="","",'Marks Entry'!N100)</f>
        <v/>
      </c>
      <c r="N100" s="514" t="str">
        <f t="shared" si="257"/>
        <v/>
      </c>
      <c r="O100" s="68" t="str">
        <f>IF('Marks Entry'!O100="","",'Marks Entry'!O100)</f>
        <v/>
      </c>
      <c r="P100" s="515" t="str">
        <f t="shared" si="258"/>
        <v/>
      </c>
      <c r="Q100" s="68" t="str">
        <f>IF('Marks Entry'!P100="","",'Marks Entry'!P100)</f>
        <v/>
      </c>
      <c r="R100" s="96" t="str">
        <f t="shared" si="259"/>
        <v/>
      </c>
      <c r="S100" s="65">
        <f t="shared" si="260"/>
        <v>0</v>
      </c>
      <c r="T100" s="65">
        <f t="shared" si="261"/>
        <v>0</v>
      </c>
      <c r="U100" s="66" t="str">
        <f t="shared" si="171"/>
        <v/>
      </c>
      <c r="V100" s="65" t="str">
        <f t="shared" si="172"/>
        <v/>
      </c>
      <c r="W100" s="65" t="str">
        <f t="shared" si="262"/>
        <v/>
      </c>
      <c r="X100" s="65" t="str">
        <f t="shared" si="173"/>
        <v/>
      </c>
      <c r="Y100" s="68" t="str">
        <f>IF('Marks Entry'!Q100="","",'Marks Entry'!Q100)</f>
        <v/>
      </c>
      <c r="Z100" s="68" t="str">
        <f>IF('Marks Entry'!R100="","",'Marks Entry'!R100)</f>
        <v/>
      </c>
      <c r="AA100" s="68" t="str">
        <f>IF('Marks Entry'!S100="","",'Marks Entry'!S100)</f>
        <v/>
      </c>
      <c r="AB100" s="514" t="str">
        <f t="shared" si="174"/>
        <v/>
      </c>
      <c r="AC100" s="68" t="str">
        <f>IF('Marks Entry'!T100="","",'Marks Entry'!T100)</f>
        <v/>
      </c>
      <c r="AD100" s="515" t="str">
        <f t="shared" si="175"/>
        <v/>
      </c>
      <c r="AE100" s="68" t="str">
        <f>IF('Marks Entry'!U100="","",'Marks Entry'!U100)</f>
        <v/>
      </c>
      <c r="AF100" s="96" t="str">
        <f t="shared" si="176"/>
        <v/>
      </c>
      <c r="AG100" s="65">
        <f t="shared" si="177"/>
        <v>0</v>
      </c>
      <c r="AH100" s="65">
        <f t="shared" si="178"/>
        <v>0</v>
      </c>
      <c r="AI100" s="66" t="str">
        <f t="shared" si="179"/>
        <v/>
      </c>
      <c r="AJ100" s="65" t="str">
        <f t="shared" si="180"/>
        <v/>
      </c>
      <c r="AK100" s="65" t="str">
        <f t="shared" si="181"/>
        <v/>
      </c>
      <c r="AL100" s="65" t="str">
        <f t="shared" si="182"/>
        <v/>
      </c>
      <c r="AM100" s="524" t="str">
        <f>IF('Marks Entry'!V100="","",IF('Marks Entry'!V100=1,'School Profile'!$I$9,IF('Marks Entry'!V100=2,'School Profile'!$I$10,IF('Marks Entry'!V100=3,'School Profile'!$I$11,IF('Marks Entry'!V100=4,'School Profile'!$I$12,IF('Marks Entry'!V100=5,'School Profile'!$I$13,IF('Marks Entry'!V100=6,'School Profile'!$I$14,"")))))))</f>
        <v/>
      </c>
      <c r="AN100" s="68" t="str">
        <f>IF('Marks Entry'!W100="","",'Marks Entry'!W100)</f>
        <v/>
      </c>
      <c r="AO100" s="68" t="str">
        <f>IF('Marks Entry'!X100="","",'Marks Entry'!X100)</f>
        <v/>
      </c>
      <c r="AP100" s="68" t="str">
        <f>IF('Marks Entry'!Y100="","",'Marks Entry'!Y100)</f>
        <v/>
      </c>
      <c r="AQ100" s="514" t="str">
        <f t="shared" si="183"/>
        <v/>
      </c>
      <c r="AR100" s="68" t="str">
        <f>IF('Marks Entry'!Z100="","",'Marks Entry'!Z100)</f>
        <v/>
      </c>
      <c r="AS100" s="515" t="str">
        <f t="shared" si="184"/>
        <v/>
      </c>
      <c r="AT100" s="68" t="str">
        <f>IF('Marks Entry'!AA100="","",'Marks Entry'!AA100)</f>
        <v/>
      </c>
      <c r="AU100" s="96" t="str">
        <f t="shared" si="185"/>
        <v/>
      </c>
      <c r="AV100" s="65">
        <f t="shared" si="186"/>
        <v>0</v>
      </c>
      <c r="AW100" s="65">
        <f t="shared" si="187"/>
        <v>0</v>
      </c>
      <c r="AX100" s="66" t="str">
        <f t="shared" si="188"/>
        <v/>
      </c>
      <c r="AY100" s="65" t="str">
        <f t="shared" si="189"/>
        <v/>
      </c>
      <c r="AZ100" s="65" t="str">
        <f t="shared" si="190"/>
        <v/>
      </c>
      <c r="BA100" s="65" t="str">
        <f t="shared" si="191"/>
        <v/>
      </c>
      <c r="BB100" s="68" t="str">
        <f>IF('Marks Entry'!AB100="","",'Marks Entry'!AB100)</f>
        <v/>
      </c>
      <c r="BC100" s="68" t="str">
        <f>IF('Marks Entry'!AC100="","",'Marks Entry'!AC100)</f>
        <v/>
      </c>
      <c r="BD100" s="68" t="str">
        <f>IF('Marks Entry'!AD100="","",'Marks Entry'!AD100)</f>
        <v/>
      </c>
      <c r="BE100" s="514" t="str">
        <f t="shared" si="192"/>
        <v/>
      </c>
      <c r="BF100" s="68" t="str">
        <f>IF('Marks Entry'!AE100="","",'Marks Entry'!AE100)</f>
        <v/>
      </c>
      <c r="BG100" s="515" t="str">
        <f t="shared" si="193"/>
        <v/>
      </c>
      <c r="BH100" s="68" t="str">
        <f>IF('Marks Entry'!AF100="","",'Marks Entry'!AF100)</f>
        <v/>
      </c>
      <c r="BI100" s="96" t="str">
        <f t="shared" si="194"/>
        <v/>
      </c>
      <c r="BJ100" s="65">
        <f t="shared" si="195"/>
        <v>0</v>
      </c>
      <c r="BK100" s="65">
        <f t="shared" si="263"/>
        <v>0</v>
      </c>
      <c r="BL100" s="66" t="str">
        <f t="shared" si="196"/>
        <v/>
      </c>
      <c r="BM100" s="65" t="str">
        <f t="shared" si="197"/>
        <v/>
      </c>
      <c r="BN100" s="65" t="str">
        <f t="shared" si="198"/>
        <v/>
      </c>
      <c r="BO100" s="65" t="str">
        <f t="shared" si="199"/>
        <v/>
      </c>
      <c r="BP100" s="68" t="str">
        <f>IF('Marks Entry'!AG100="","",'Marks Entry'!AG100)</f>
        <v/>
      </c>
      <c r="BQ100" s="68" t="str">
        <f>IF('Marks Entry'!AH100="","",'Marks Entry'!AH100)</f>
        <v/>
      </c>
      <c r="BR100" s="68" t="str">
        <f>IF('Marks Entry'!AI100="","",'Marks Entry'!AI100)</f>
        <v/>
      </c>
      <c r="BS100" s="514" t="str">
        <f t="shared" si="200"/>
        <v/>
      </c>
      <c r="BT100" s="68" t="str">
        <f>IF('Marks Entry'!AJ100="","",'Marks Entry'!AJ100)</f>
        <v/>
      </c>
      <c r="BU100" s="515" t="str">
        <f t="shared" si="201"/>
        <v/>
      </c>
      <c r="BV100" s="68" t="str">
        <f>IF('Marks Entry'!AK100="","",'Marks Entry'!AK100)</f>
        <v/>
      </c>
      <c r="BW100" s="96" t="str">
        <f t="shared" si="202"/>
        <v/>
      </c>
      <c r="BX100" s="65">
        <f t="shared" si="203"/>
        <v>0</v>
      </c>
      <c r="BY100" s="65">
        <f t="shared" si="204"/>
        <v>0</v>
      </c>
      <c r="BZ100" s="66" t="str">
        <f t="shared" si="205"/>
        <v/>
      </c>
      <c r="CA100" s="65" t="str">
        <f t="shared" si="206"/>
        <v/>
      </c>
      <c r="CB100" s="65" t="str">
        <f t="shared" si="207"/>
        <v/>
      </c>
      <c r="CC100" s="65" t="str">
        <f t="shared" si="208"/>
        <v/>
      </c>
      <c r="CD100" s="66">
        <f t="shared" si="209"/>
        <v>0</v>
      </c>
      <c r="CE100" s="68" t="str">
        <f>IF('Marks Entry'!AL100="","",'Marks Entry'!AL100)</f>
        <v/>
      </c>
      <c r="CF100" s="68" t="str">
        <f>IF('Marks Entry'!AM100="","",'Marks Entry'!AM100)</f>
        <v/>
      </c>
      <c r="CG100" s="68" t="str">
        <f>IF('Marks Entry'!AN100="","",'Marks Entry'!AN100)</f>
        <v/>
      </c>
      <c r="CH100" s="514" t="str">
        <f t="shared" si="210"/>
        <v/>
      </c>
      <c r="CI100" s="68" t="str">
        <f>IF('Marks Entry'!AO100="","",'Marks Entry'!AO100)</f>
        <v/>
      </c>
      <c r="CJ100" s="515" t="str">
        <f t="shared" si="211"/>
        <v/>
      </c>
      <c r="CK100" s="68" t="str">
        <f>IF('Marks Entry'!AP100="","",'Marks Entry'!AP100)</f>
        <v/>
      </c>
      <c r="CL100" s="96" t="str">
        <f t="shared" si="212"/>
        <v/>
      </c>
      <c r="CM100" s="65">
        <f t="shared" si="213"/>
        <v>0</v>
      </c>
      <c r="CN100" s="65">
        <f t="shared" si="214"/>
        <v>0</v>
      </c>
      <c r="CO100" s="66" t="str">
        <f t="shared" si="215"/>
        <v/>
      </c>
      <c r="CP100" s="65" t="str">
        <f t="shared" si="216"/>
        <v/>
      </c>
      <c r="CQ100" s="65" t="str">
        <f t="shared" si="217"/>
        <v/>
      </c>
      <c r="CR100" s="65" t="str">
        <f t="shared" si="218"/>
        <v/>
      </c>
      <c r="CS100" s="616" t="str">
        <f>IF('School Profile'!$D$20="NO","",IF('Marks Entry'!AQ100="","",IF('Marks Entry'!AQ100=1,'School Profile'!$I$29,IF('Marks Entry'!AQ100=2,'School Profile'!$I$30,IF('Marks Entry'!AQ100=3,'School Profile'!$I$31,IF('Marks Entry'!AQ100=4,'School Profile'!$I$32,IF('Marks Entry'!AQ100=5,'School Profile'!$I$33,IF('Marks Entry'!AQ100=6,'School Profile'!$I$34,IF('Marks Entry'!AQ100=7,'School Profile'!$I$35,IF('Marks Entry'!AQ100=8,'School Profile'!$I$36,IF('Marks Entry'!AQ100=9,'School Profile'!$I$37,IF('Marks Entry'!AQ100=10,'School Profile'!$I$38,IF('Marks Entry'!AQ100=11,'School Profile'!$I$39,"")))))))))))))</f>
        <v/>
      </c>
      <c r="CT100" s="68" t="str">
        <f>IF('School Profile'!$D$20="NO","",IF('Marks Entry'!AR100="","",'Marks Entry'!AR100))</f>
        <v/>
      </c>
      <c r="CU100" s="68" t="str">
        <f>IF('School Profile'!$D$20="NO","",IF('Marks Entry'!AS100="","",'Marks Entry'!AS100))</f>
        <v/>
      </c>
      <c r="CV100" s="68" t="str">
        <f>IF('School Profile'!$D$20="NO","",IF('Marks Entry'!AT100="","",'Marks Entry'!AT100))</f>
        <v/>
      </c>
      <c r="CW100" s="514" t="str">
        <f>IF('School Profile'!$D$20="NO","",IF(AND(CT100="",CU100="",CV100=""),"",SUM(CT100:CV100)))</f>
        <v/>
      </c>
      <c r="CX100" s="68" t="str">
        <f>IF('School Profile'!$D$20="NO","",IF('Marks Entry'!AU100="","",'Marks Entry'!AU100))</f>
        <v/>
      </c>
      <c r="CY100" s="68" t="str">
        <f>IF('School Profile'!$D$20="NO","",IF('Marks Entry'!AV100="","",'Marks Entry'!AV100))</f>
        <v/>
      </c>
      <c r="CZ100" s="515" t="str">
        <f>IF('School Profile'!$D$20="NO","",IF(AND(CX100="",CY100=""),"",SUM(CX100,CY100)))</f>
        <v/>
      </c>
      <c r="DA100" s="69" t="str">
        <f>IF('School Profile'!$D$20="NO","",IF(AND(CW100="",CZ100=""),"",SUM(CW100+CZ100)))</f>
        <v/>
      </c>
      <c r="DB100" s="68" t="str">
        <f>IF('School Profile'!$D$20="NO","",IF('Marks Entry'!AW100="","",'Marks Entry'!AW100))</f>
        <v/>
      </c>
      <c r="DC100" s="68" t="str">
        <f>IF('School Profile'!$D$20="NO","",IF('Marks Entry'!AX100="","",'Marks Entry'!AX100))</f>
        <v/>
      </c>
      <c r="DD100" s="515" t="str">
        <f>IF('School Profile'!$D$20="NO","",IF(AND(DB100="",DC100=""),"",SUM(DB100,DC100)))</f>
        <v/>
      </c>
      <c r="DE100" s="96" t="str">
        <f>IF('School Profile'!$D$20="NO","",IF(AND(DA100="",DD100=""),"",SUM(DA100,DD100)))</f>
        <v/>
      </c>
      <c r="DF100" s="532">
        <f t="shared" si="219"/>
        <v>0</v>
      </c>
      <c r="DG100" s="65">
        <f t="shared" si="220"/>
        <v>0</v>
      </c>
      <c r="DH100" s="66" t="str">
        <f t="shared" si="221"/>
        <v/>
      </c>
      <c r="DI100" s="65" t="str">
        <f t="shared" si="222"/>
        <v/>
      </c>
      <c r="DJ100" s="65" t="str">
        <f t="shared" si="223"/>
        <v/>
      </c>
      <c r="DK100" s="65" t="str">
        <f t="shared" si="224"/>
        <v/>
      </c>
      <c r="DL100" s="97" t="str">
        <f t="shared" si="264"/>
        <v/>
      </c>
      <c r="DM100" s="97" t="str">
        <f t="shared" si="265"/>
        <v/>
      </c>
      <c r="DN100" s="97" t="str">
        <f t="shared" si="266"/>
        <v/>
      </c>
      <c r="DO100" s="97" t="str">
        <f t="shared" si="267"/>
        <v/>
      </c>
      <c r="DP100" s="97" t="str">
        <f t="shared" si="268"/>
        <v/>
      </c>
      <c r="DQ100" s="97" t="str">
        <f t="shared" si="269"/>
        <v/>
      </c>
      <c r="DR100" s="97" t="str">
        <f t="shared" si="270"/>
        <v/>
      </c>
      <c r="DS100" s="98">
        <f t="shared" si="271"/>
        <v>0</v>
      </c>
      <c r="DT100" s="98">
        <f t="shared" si="272"/>
        <v>0</v>
      </c>
      <c r="DU100" s="98">
        <f t="shared" si="273"/>
        <v>0</v>
      </c>
      <c r="DV100" s="98">
        <f t="shared" si="274"/>
        <v>0</v>
      </c>
      <c r="DW100" s="98">
        <f t="shared" si="275"/>
        <v>0</v>
      </c>
      <c r="DX100" s="98" t="str">
        <f t="shared" si="276"/>
        <v/>
      </c>
      <c r="DY100" s="99" t="str">
        <f t="shared" si="277"/>
        <v/>
      </c>
      <c r="DZ100" s="74" t="str">
        <f>IF('Marks Entry'!AY100="","",'Marks Entry'!AY100)</f>
        <v/>
      </c>
      <c r="EA100" s="74" t="str">
        <f>IF('Marks Entry'!AZ100="","",'Marks Entry'!AZ100)</f>
        <v/>
      </c>
      <c r="EB100" s="74" t="str">
        <f>IF('Marks Entry'!BA100="","",'Marks Entry'!BA100)</f>
        <v/>
      </c>
      <c r="EC100" s="527" t="str">
        <f t="shared" si="225"/>
        <v/>
      </c>
      <c r="ED100" s="74" t="str">
        <f>IF('Marks Entry'!BB100="","",'Marks Entry'!BB100)</f>
        <v/>
      </c>
      <c r="EE100" s="528" t="str">
        <f t="shared" si="226"/>
        <v/>
      </c>
      <c r="EF100" s="74" t="str">
        <f>IF('Marks Entry'!BC100="","",'Marks Entry'!BC100)</f>
        <v/>
      </c>
      <c r="EG100" s="530" t="str">
        <f t="shared" si="227"/>
        <v/>
      </c>
      <c r="EH100" s="368" t="str">
        <f t="shared" si="278"/>
        <v/>
      </c>
      <c r="EI100" s="65">
        <f t="shared" si="279"/>
        <v>0</v>
      </c>
      <c r="EJ100" s="65">
        <f t="shared" si="280"/>
        <v>0</v>
      </c>
      <c r="EK100" s="66" t="str">
        <f t="shared" si="281"/>
        <v/>
      </c>
      <c r="EL100" s="74" t="str">
        <f>IF('Marks Entry'!BD100="","",'Marks Entry'!BD100)</f>
        <v/>
      </c>
      <c r="EM100" s="74" t="str">
        <f>IF('Marks Entry'!BE100="","",'Marks Entry'!BE100)</f>
        <v/>
      </c>
      <c r="EN100" s="74" t="str">
        <f>IF('Marks Entry'!BF100="","",'Marks Entry'!BF100)</f>
        <v/>
      </c>
      <c r="EO100" s="527" t="str">
        <f t="shared" si="228"/>
        <v/>
      </c>
      <c r="EP100" s="74" t="str">
        <f>IF('Marks Entry'!BG100="","",'Marks Entry'!BG100)</f>
        <v/>
      </c>
      <c r="EQ100" s="74" t="str">
        <f>IF('Marks Entry'!BH100="","",'Marks Entry'!BH100)</f>
        <v/>
      </c>
      <c r="ER100" s="528" t="str">
        <f t="shared" si="229"/>
        <v/>
      </c>
      <c r="ES100" s="529" t="str">
        <f t="shared" si="230"/>
        <v/>
      </c>
      <c r="ET100" s="74" t="str">
        <f>IF('Marks Entry'!BI100="","",'Marks Entry'!BI100)</f>
        <v/>
      </c>
      <c r="EU100" s="74" t="str">
        <f>IF('Marks Entry'!BJ100="","",'Marks Entry'!BJ100)</f>
        <v/>
      </c>
      <c r="EV100" s="528" t="str">
        <f t="shared" si="231"/>
        <v/>
      </c>
      <c r="EW100" s="530" t="str">
        <f t="shared" si="232"/>
        <v/>
      </c>
      <c r="EX100" s="368" t="str">
        <f t="shared" si="282"/>
        <v/>
      </c>
      <c r="EY100" s="65">
        <f t="shared" si="283"/>
        <v>0</v>
      </c>
      <c r="EZ100" s="65">
        <f t="shared" si="284"/>
        <v>0</v>
      </c>
      <c r="FA100" s="66" t="str">
        <f t="shared" si="285"/>
        <v/>
      </c>
      <c r="FB100" s="74" t="str">
        <f>IF('Marks Entry'!BK100="","",'Marks Entry'!BK100)</f>
        <v/>
      </c>
      <c r="FC100" s="74" t="str">
        <f>IF('Marks Entry'!BL100="","",'Marks Entry'!BL100)</f>
        <v/>
      </c>
      <c r="FD100" s="74" t="str">
        <f>IF('Marks Entry'!BM100="","",'Marks Entry'!BM100)</f>
        <v/>
      </c>
      <c r="FE100" s="74" t="str">
        <f>IF('Marks Entry'!BN100="","",'Marks Entry'!BN100)</f>
        <v/>
      </c>
      <c r="FF100" s="74" t="str">
        <f>IF('Marks Entry'!BO100="","",'Marks Entry'!BO100)</f>
        <v/>
      </c>
      <c r="FG100" s="74" t="str">
        <f>IF('Marks Entry'!BP100="","",'Marks Entry'!BP100)</f>
        <v/>
      </c>
      <c r="FH100" s="527" t="str">
        <f t="shared" si="233"/>
        <v/>
      </c>
      <c r="FI100" s="74" t="str">
        <f>IF('Marks Entry'!BQ100="","",'Marks Entry'!BQ100)</f>
        <v/>
      </c>
      <c r="FJ100" s="74" t="str">
        <f>IF('Marks Entry'!BR100="","",'Marks Entry'!BR100)</f>
        <v/>
      </c>
      <c r="FK100" s="528" t="str">
        <f t="shared" si="234"/>
        <v/>
      </c>
      <c r="FL100" s="529" t="str">
        <f t="shared" si="235"/>
        <v/>
      </c>
      <c r="FM100" s="74" t="str">
        <f>IF('Marks Entry'!BS100="","",'Marks Entry'!BS100)</f>
        <v/>
      </c>
      <c r="FN100" s="74" t="str">
        <f>IF('Marks Entry'!BT100="","",'Marks Entry'!BT100)</f>
        <v/>
      </c>
      <c r="FO100" s="528" t="str">
        <f t="shared" si="236"/>
        <v/>
      </c>
      <c r="FP100" s="530" t="str">
        <f t="shared" si="237"/>
        <v/>
      </c>
      <c r="FQ100" s="368" t="str">
        <f t="shared" si="286"/>
        <v/>
      </c>
      <c r="FR100" s="65">
        <f t="shared" si="287"/>
        <v>0</v>
      </c>
      <c r="FS100" s="65">
        <f t="shared" si="288"/>
        <v>0</v>
      </c>
      <c r="FT100" s="66" t="str">
        <f t="shared" si="289"/>
        <v/>
      </c>
      <c r="FU100" s="74" t="str">
        <f>IF('Marks Entry'!BU100="","",'Marks Entry'!BU100)</f>
        <v/>
      </c>
      <c r="FV100" s="74" t="str">
        <f>IF('Marks Entry'!BV100="","",'Marks Entry'!BV100)</f>
        <v/>
      </c>
      <c r="FW100" s="74" t="str">
        <f>IF('Marks Entry'!BW100="","",'Marks Entry'!BW100)</f>
        <v/>
      </c>
      <c r="FX100" s="75" t="str">
        <f t="shared" si="238"/>
        <v/>
      </c>
      <c r="FY100" s="368" t="str">
        <f t="shared" si="290"/>
        <v/>
      </c>
      <c r="FZ100" s="65">
        <f t="shared" si="291"/>
        <v>0</v>
      </c>
      <c r="GA100" s="66">
        <f t="shared" si="292"/>
        <v>0</v>
      </c>
      <c r="GB100" s="66" t="str">
        <f t="shared" si="293"/>
        <v/>
      </c>
      <c r="GC100" s="74" t="str">
        <f>IF('Marks Entry'!BX100="","",'Marks Entry'!BX100)</f>
        <v/>
      </c>
      <c r="GD100" s="74" t="str">
        <f>IF('Marks Entry'!BY100="","",'Marks Entry'!BY100)</f>
        <v/>
      </c>
      <c r="GE100" s="74" t="str">
        <f>IF('Marks Entry'!BZ100="","",'Marks Entry'!BZ100)</f>
        <v/>
      </c>
      <c r="GF100" s="75" t="str">
        <f t="shared" si="294"/>
        <v/>
      </c>
      <c r="GG100" s="368" t="str">
        <f t="shared" si="295"/>
        <v/>
      </c>
      <c r="GH100" s="65">
        <f t="shared" si="296"/>
        <v>0</v>
      </c>
      <c r="GI100" s="66">
        <f t="shared" si="297"/>
        <v>0</v>
      </c>
      <c r="GJ100" s="66" t="str">
        <f t="shared" si="298"/>
        <v/>
      </c>
      <c r="GK100" s="100" t="str">
        <f>IF(AND(F100="",B100=""),"",IF('Student DATA Entry'!M97="","",'Student DATA Entry'!M97))</f>
        <v/>
      </c>
      <c r="GL100" s="101" t="str">
        <f>IF(AND(B100="",F100=""),"",IF('Student DATA Entry'!N97="","",'Student DATA Entry'!N97))</f>
        <v/>
      </c>
      <c r="GM100" s="581" t="str">
        <f t="shared" si="299"/>
        <v/>
      </c>
      <c r="GN100" s="94" t="str">
        <f t="shared" si="300"/>
        <v/>
      </c>
      <c r="GO100" s="94" t="str">
        <f t="shared" si="301"/>
        <v/>
      </c>
      <c r="GP100" s="102" t="str">
        <f t="shared" si="239"/>
        <v/>
      </c>
      <c r="GQ100" s="94" t="str">
        <f t="shared" si="302"/>
        <v/>
      </c>
      <c r="GR100" s="103" t="str">
        <f t="shared" si="303"/>
        <v/>
      </c>
      <c r="GS100" s="102" t="str">
        <f t="shared" si="240"/>
        <v/>
      </c>
      <c r="GT100" s="104" t="str">
        <f t="shared" si="304"/>
        <v/>
      </c>
      <c r="GU100" s="94" t="str">
        <f>IF('Marks Entry'!V100=1,GT100,"")</f>
        <v/>
      </c>
      <c r="GV100" s="94" t="str">
        <f>IF('Marks Entry'!V100=2,GT100,"")</f>
        <v/>
      </c>
      <c r="GW100" s="94" t="str">
        <f>IF('Marks Entry'!V100=3,GT100,"")</f>
        <v/>
      </c>
      <c r="GX100" s="94" t="str">
        <f>IF('Marks Entry'!V100=4,GT100,"")</f>
        <v/>
      </c>
      <c r="GY100" s="94" t="str">
        <f>IF('Marks Entry'!V100=5,GT100,"")</f>
        <v/>
      </c>
      <c r="GZ100" s="94" t="str">
        <f t="shared" si="305"/>
        <v/>
      </c>
      <c r="HA100" s="105" t="str">
        <f t="shared" si="241"/>
        <v/>
      </c>
      <c r="HB100" s="94" t="str">
        <f t="shared" si="306"/>
        <v/>
      </c>
      <c r="HC100" s="94" t="str">
        <f t="shared" si="307"/>
        <v/>
      </c>
      <c r="HD100" s="105" t="str">
        <f t="shared" si="242"/>
        <v/>
      </c>
      <c r="HE100" s="94" t="str">
        <f t="shared" si="308"/>
        <v/>
      </c>
      <c r="HF100" s="94" t="str">
        <f t="shared" si="309"/>
        <v/>
      </c>
      <c r="HG100" s="105" t="str">
        <f t="shared" si="243"/>
        <v/>
      </c>
      <c r="HH100" s="94" t="str">
        <f t="shared" si="310"/>
        <v/>
      </c>
      <c r="HI100" s="94" t="str">
        <f t="shared" si="311"/>
        <v/>
      </c>
      <c r="HJ100" s="105" t="str">
        <f t="shared" si="244"/>
        <v/>
      </c>
      <c r="HK100" s="94" t="str">
        <f t="shared" si="312"/>
        <v/>
      </c>
      <c r="HL100" s="94" t="str">
        <f t="shared" si="313"/>
        <v/>
      </c>
      <c r="HM100" s="105" t="str">
        <f t="shared" si="245"/>
        <v/>
      </c>
      <c r="HN100" s="367" t="str">
        <f t="shared" si="314"/>
        <v xml:space="preserve">      </v>
      </c>
      <c r="HO100" s="418" t="str">
        <f t="shared" si="246"/>
        <v xml:space="preserve">      </v>
      </c>
      <c r="HP100" s="367" t="str">
        <f t="shared" si="315"/>
        <v xml:space="preserve">      </v>
      </c>
      <c r="HQ100" s="107" t="str">
        <f t="shared" si="316"/>
        <v xml:space="preserve">      </v>
      </c>
      <c r="HR100" s="366" t="str">
        <f t="shared" si="317"/>
        <v xml:space="preserve">      </v>
      </c>
      <c r="HS100" s="544" t="str">
        <f t="shared" si="247"/>
        <v/>
      </c>
      <c r="HT100" s="542" t="str">
        <f t="shared" si="318"/>
        <v/>
      </c>
      <c r="HU100" s="541" t="str">
        <f t="shared" si="319"/>
        <v/>
      </c>
      <c r="HV100" s="540" t="str">
        <f t="shared" si="320"/>
        <v/>
      </c>
      <c r="HW100" s="537" t="str">
        <f t="shared" si="321"/>
        <v/>
      </c>
      <c r="HX100" s="539" t="str">
        <f t="shared" si="322"/>
        <v/>
      </c>
      <c r="HY100" s="553" t="str">
        <f>IFERROR(IF(OR(HS100="SUPPLEMENTARY",HS100="RE-EXAM"),'Supp. Result Entry'!AQ98,""),"")</f>
        <v/>
      </c>
      <c r="HZ100" s="538" t="str">
        <f t="shared" si="323"/>
        <v/>
      </c>
      <c r="IA100" s="415" t="str">
        <f t="shared" si="324"/>
        <v/>
      </c>
      <c r="IB100" s="415" t="str">
        <f>IF(AND(HZ100="",IA100=""),"",IF(OR(HS100="SUPPLEMENTARY",HS100="RE-EXAM"),'Supp. Result Entry'!AQ98,HS100))</f>
        <v/>
      </c>
      <c r="IC100" s="87"/>
      <c r="IS100" s="109" t="str">
        <f>IF('Supp. Result Entry'!T98="","",'Supp. Result Entry'!$T$4)</f>
        <v/>
      </c>
      <c r="IT100" s="110" t="str">
        <f>IF('Supp. Result Entry'!W98="","",'Supp. Result Entry'!$W$4)</f>
        <v/>
      </c>
      <c r="IU100" s="110" t="str">
        <f>IF('Supp. Result Entry'!Z98="","",'Supp. Result Entry'!$Z$4)</f>
        <v/>
      </c>
      <c r="IV100" s="110" t="str">
        <f>IF('Supp. Result Entry'!AC98="","",'Supp. Result Entry'!$AC$4)</f>
        <v/>
      </c>
      <c r="IW100" s="110" t="str">
        <f>IF('Supp. Result Entry'!AF98="","",'Supp. Result Entry'!$AF$4)</f>
        <v/>
      </c>
      <c r="IX100" s="110" t="str">
        <f>IF('Supp. Result Entry'!AI98="","",'Supp. Result Entry'!$AI$4)</f>
        <v/>
      </c>
      <c r="IY100" s="110" t="str">
        <f>IF('Supp. Result Entry'!AI98="","",'Supp. Result Entry'!$AL$4)</f>
        <v/>
      </c>
      <c r="IZ100" s="110" t="str">
        <f>IF('Supp. Result Entry'!U98="","",'Supp. Result Entry'!U98)</f>
        <v/>
      </c>
      <c r="JA100" s="110" t="str">
        <f>IF('Supp. Result Entry'!X98="","",'Supp. Result Entry'!X98)</f>
        <v/>
      </c>
      <c r="JB100" s="110" t="str">
        <f>IF('Supp. Result Entry'!AA98="","",'Supp. Result Entry'!AA98)</f>
        <v/>
      </c>
      <c r="JC100" s="110" t="str">
        <f>IF('Supp. Result Entry'!AD98="","",'Supp. Result Entry'!AD98)</f>
        <v/>
      </c>
      <c r="JD100" s="110" t="str">
        <f>IF('Supp. Result Entry'!AG98="","",'Supp. Result Entry'!AG98)</f>
        <v/>
      </c>
      <c r="JE100" s="110" t="str">
        <f>IF('Supp. Result Entry'!AJ98="","",'Supp. Result Entry'!AJ98)</f>
        <v/>
      </c>
      <c r="JF100" s="110" t="str">
        <f>IF('Supp. Result Entry'!AM98="","",'Supp. Result Entry'!AM98)</f>
        <v/>
      </c>
      <c r="JG100" s="110" t="str">
        <f>IF('Supp. Result Entry'!V98="","",'Supp. Result Entry'!V98)</f>
        <v/>
      </c>
      <c r="JH100" s="110" t="str">
        <f>IF('Supp. Result Entry'!Y98="","",'Supp. Result Entry'!Y98)</f>
        <v/>
      </c>
      <c r="JI100" s="110" t="str">
        <f>IF('Supp. Result Entry'!AB98="","",'Supp. Result Entry'!AB98)</f>
        <v/>
      </c>
      <c r="JJ100" s="110" t="str">
        <f>IF('Supp. Result Entry'!AE98="","",'Supp. Result Entry'!AE98)</f>
        <v/>
      </c>
      <c r="JK100" s="110" t="str">
        <f>IF('Supp. Result Entry'!AH98="","",'Supp. Result Entry'!AH98)</f>
        <v/>
      </c>
      <c r="JL100" s="110" t="str">
        <f>IF('Supp. Result Entry'!AK98="","",'Supp. Result Entry'!AK98)</f>
        <v/>
      </c>
      <c r="JM100" s="110" t="str">
        <f>IF('Supp. Result Entry'!AN98="","",'Supp. Result Entry'!AN98)</f>
        <v/>
      </c>
      <c r="JN100" s="110">
        <f>COUNTIF('Supp. Result Entry'!K98:Q98,"S")</f>
        <v>0</v>
      </c>
      <c r="JO100" s="110">
        <f t="shared" si="248"/>
        <v>0</v>
      </c>
      <c r="JP100" s="110">
        <f t="shared" si="325"/>
        <v>0</v>
      </c>
      <c r="JQ100" s="110" t="str">
        <f t="shared" si="249"/>
        <v/>
      </c>
      <c r="JR100" s="110" t="str">
        <f t="shared" si="250"/>
        <v/>
      </c>
      <c r="JS100" s="110" t="str">
        <f t="shared" si="251"/>
        <v/>
      </c>
      <c r="JT100" s="110" t="str">
        <f t="shared" si="252"/>
        <v/>
      </c>
      <c r="JU100" s="110" t="str">
        <f t="shared" si="253"/>
        <v/>
      </c>
      <c r="JV100" s="110" t="str">
        <f t="shared" si="254"/>
        <v/>
      </c>
      <c r="JW100" s="110" t="str">
        <f t="shared" si="255"/>
        <v/>
      </c>
      <c r="JX100" s="110" t="str">
        <f t="shared" si="326"/>
        <v/>
      </c>
      <c r="JY100" s="110" t="str">
        <f t="shared" si="327"/>
        <v/>
      </c>
      <c r="JZ100" s="110" t="str">
        <f t="shared" si="256"/>
        <v/>
      </c>
      <c r="KA100" s="108" t="str">
        <f t="shared" si="328"/>
        <v/>
      </c>
    </row>
    <row r="101" spans="1:287" s="108" customFormat="1" ht="21.95" customHeight="1">
      <c r="A101" s="89">
        <v>95</v>
      </c>
      <c r="B101" s="90" t="str">
        <f>IF('Marks Entry'!B101="","",'Marks Entry'!B101)</f>
        <v/>
      </c>
      <c r="C101" s="94" t="str">
        <f>IF('Marks Entry'!D101="","",'Marks Entry'!D101)</f>
        <v/>
      </c>
      <c r="D101" s="91" t="str">
        <f>IF('Marks Entry'!E101="","",'Marks Entry'!E101)</f>
        <v/>
      </c>
      <c r="E101" s="92" t="str">
        <f>IF('Marks Entry'!F101="","",'Marks Entry'!F101)</f>
        <v/>
      </c>
      <c r="F101" s="93" t="str">
        <f>IF('Marks Entry'!G101="","",'Marks Entry'!G101)</f>
        <v/>
      </c>
      <c r="G101" s="93" t="str">
        <f>IF('Marks Entry'!H101="","",'Marks Entry'!H101)</f>
        <v/>
      </c>
      <c r="H101" s="93" t="str">
        <f>IF('Marks Entry'!I101="","",'Marks Entry'!I101)</f>
        <v/>
      </c>
      <c r="I101" s="94" t="str">
        <f>IF('Marks Entry'!J101="","",'Marks Entry'!J101)</f>
        <v/>
      </c>
      <c r="J101" s="95" t="str">
        <f>IF('Marks Entry'!K101="","",'Marks Entry'!K101)</f>
        <v/>
      </c>
      <c r="K101" s="68" t="str">
        <f>IF('Marks Entry'!L101="","",'Marks Entry'!L101)</f>
        <v/>
      </c>
      <c r="L101" s="68" t="str">
        <f>IF('Marks Entry'!M101="","",'Marks Entry'!M101)</f>
        <v/>
      </c>
      <c r="M101" s="68" t="str">
        <f>IF('Marks Entry'!N101="","",'Marks Entry'!N101)</f>
        <v/>
      </c>
      <c r="N101" s="514" t="str">
        <f t="shared" si="257"/>
        <v/>
      </c>
      <c r="O101" s="68" t="str">
        <f>IF('Marks Entry'!O101="","",'Marks Entry'!O101)</f>
        <v/>
      </c>
      <c r="P101" s="515" t="str">
        <f t="shared" si="258"/>
        <v/>
      </c>
      <c r="Q101" s="68" t="str">
        <f>IF('Marks Entry'!P101="","",'Marks Entry'!P101)</f>
        <v/>
      </c>
      <c r="R101" s="96" t="str">
        <f t="shared" si="259"/>
        <v/>
      </c>
      <c r="S101" s="65">
        <f t="shared" si="260"/>
        <v>0</v>
      </c>
      <c r="T101" s="65">
        <f t="shared" si="261"/>
        <v>0</v>
      </c>
      <c r="U101" s="66" t="str">
        <f t="shared" si="171"/>
        <v/>
      </c>
      <c r="V101" s="65" t="str">
        <f t="shared" si="172"/>
        <v/>
      </c>
      <c r="W101" s="65" t="str">
        <f t="shared" si="262"/>
        <v/>
      </c>
      <c r="X101" s="65" t="str">
        <f t="shared" si="173"/>
        <v/>
      </c>
      <c r="Y101" s="68" t="str">
        <f>IF('Marks Entry'!Q101="","",'Marks Entry'!Q101)</f>
        <v/>
      </c>
      <c r="Z101" s="68" t="str">
        <f>IF('Marks Entry'!R101="","",'Marks Entry'!R101)</f>
        <v/>
      </c>
      <c r="AA101" s="68" t="str">
        <f>IF('Marks Entry'!S101="","",'Marks Entry'!S101)</f>
        <v/>
      </c>
      <c r="AB101" s="514" t="str">
        <f t="shared" si="174"/>
        <v/>
      </c>
      <c r="AC101" s="68" t="str">
        <f>IF('Marks Entry'!T101="","",'Marks Entry'!T101)</f>
        <v/>
      </c>
      <c r="AD101" s="515" t="str">
        <f t="shared" si="175"/>
        <v/>
      </c>
      <c r="AE101" s="68" t="str">
        <f>IF('Marks Entry'!U101="","",'Marks Entry'!U101)</f>
        <v/>
      </c>
      <c r="AF101" s="96" t="str">
        <f t="shared" si="176"/>
        <v/>
      </c>
      <c r="AG101" s="65">
        <f t="shared" si="177"/>
        <v>0</v>
      </c>
      <c r="AH101" s="65">
        <f t="shared" si="178"/>
        <v>0</v>
      </c>
      <c r="AI101" s="66" t="str">
        <f t="shared" si="179"/>
        <v/>
      </c>
      <c r="AJ101" s="65" t="str">
        <f t="shared" si="180"/>
        <v/>
      </c>
      <c r="AK101" s="65" t="str">
        <f t="shared" si="181"/>
        <v/>
      </c>
      <c r="AL101" s="65" t="str">
        <f t="shared" si="182"/>
        <v/>
      </c>
      <c r="AM101" s="524" t="str">
        <f>IF('Marks Entry'!V101="","",IF('Marks Entry'!V101=1,'School Profile'!$I$9,IF('Marks Entry'!V101=2,'School Profile'!$I$10,IF('Marks Entry'!V101=3,'School Profile'!$I$11,IF('Marks Entry'!V101=4,'School Profile'!$I$12,IF('Marks Entry'!V101=5,'School Profile'!$I$13,IF('Marks Entry'!V101=6,'School Profile'!$I$14,"")))))))</f>
        <v/>
      </c>
      <c r="AN101" s="68" t="str">
        <f>IF('Marks Entry'!W101="","",'Marks Entry'!W101)</f>
        <v/>
      </c>
      <c r="AO101" s="68" t="str">
        <f>IF('Marks Entry'!X101="","",'Marks Entry'!X101)</f>
        <v/>
      </c>
      <c r="AP101" s="68" t="str">
        <f>IF('Marks Entry'!Y101="","",'Marks Entry'!Y101)</f>
        <v/>
      </c>
      <c r="AQ101" s="514" t="str">
        <f t="shared" si="183"/>
        <v/>
      </c>
      <c r="AR101" s="68" t="str">
        <f>IF('Marks Entry'!Z101="","",'Marks Entry'!Z101)</f>
        <v/>
      </c>
      <c r="AS101" s="515" t="str">
        <f t="shared" si="184"/>
        <v/>
      </c>
      <c r="AT101" s="68" t="str">
        <f>IF('Marks Entry'!AA101="","",'Marks Entry'!AA101)</f>
        <v/>
      </c>
      <c r="AU101" s="96" t="str">
        <f t="shared" si="185"/>
        <v/>
      </c>
      <c r="AV101" s="65">
        <f t="shared" si="186"/>
        <v>0</v>
      </c>
      <c r="AW101" s="65">
        <f t="shared" si="187"/>
        <v>0</v>
      </c>
      <c r="AX101" s="66" t="str">
        <f t="shared" si="188"/>
        <v/>
      </c>
      <c r="AY101" s="65" t="str">
        <f t="shared" si="189"/>
        <v/>
      </c>
      <c r="AZ101" s="65" t="str">
        <f t="shared" si="190"/>
        <v/>
      </c>
      <c r="BA101" s="65" t="str">
        <f t="shared" si="191"/>
        <v/>
      </c>
      <c r="BB101" s="68" t="str">
        <f>IF('Marks Entry'!AB101="","",'Marks Entry'!AB101)</f>
        <v/>
      </c>
      <c r="BC101" s="68" t="str">
        <f>IF('Marks Entry'!AC101="","",'Marks Entry'!AC101)</f>
        <v/>
      </c>
      <c r="BD101" s="68" t="str">
        <f>IF('Marks Entry'!AD101="","",'Marks Entry'!AD101)</f>
        <v/>
      </c>
      <c r="BE101" s="514" t="str">
        <f t="shared" si="192"/>
        <v/>
      </c>
      <c r="BF101" s="68" t="str">
        <f>IF('Marks Entry'!AE101="","",'Marks Entry'!AE101)</f>
        <v/>
      </c>
      <c r="BG101" s="515" t="str">
        <f t="shared" si="193"/>
        <v/>
      </c>
      <c r="BH101" s="68" t="str">
        <f>IF('Marks Entry'!AF101="","",'Marks Entry'!AF101)</f>
        <v/>
      </c>
      <c r="BI101" s="96" t="str">
        <f t="shared" si="194"/>
        <v/>
      </c>
      <c r="BJ101" s="65">
        <f t="shared" si="195"/>
        <v>0</v>
      </c>
      <c r="BK101" s="65">
        <f t="shared" si="263"/>
        <v>0</v>
      </c>
      <c r="BL101" s="66" t="str">
        <f t="shared" si="196"/>
        <v/>
      </c>
      <c r="BM101" s="65" t="str">
        <f t="shared" si="197"/>
        <v/>
      </c>
      <c r="BN101" s="65" t="str">
        <f t="shared" si="198"/>
        <v/>
      </c>
      <c r="BO101" s="65" t="str">
        <f t="shared" si="199"/>
        <v/>
      </c>
      <c r="BP101" s="68" t="str">
        <f>IF('Marks Entry'!AG101="","",'Marks Entry'!AG101)</f>
        <v/>
      </c>
      <c r="BQ101" s="68" t="str">
        <f>IF('Marks Entry'!AH101="","",'Marks Entry'!AH101)</f>
        <v/>
      </c>
      <c r="BR101" s="68" t="str">
        <f>IF('Marks Entry'!AI101="","",'Marks Entry'!AI101)</f>
        <v/>
      </c>
      <c r="BS101" s="514" t="str">
        <f t="shared" si="200"/>
        <v/>
      </c>
      <c r="BT101" s="68" t="str">
        <f>IF('Marks Entry'!AJ101="","",'Marks Entry'!AJ101)</f>
        <v/>
      </c>
      <c r="BU101" s="515" t="str">
        <f t="shared" si="201"/>
        <v/>
      </c>
      <c r="BV101" s="68" t="str">
        <f>IF('Marks Entry'!AK101="","",'Marks Entry'!AK101)</f>
        <v/>
      </c>
      <c r="BW101" s="96" t="str">
        <f t="shared" si="202"/>
        <v/>
      </c>
      <c r="BX101" s="65">
        <f t="shared" si="203"/>
        <v>0</v>
      </c>
      <c r="BY101" s="65">
        <f t="shared" si="204"/>
        <v>0</v>
      </c>
      <c r="BZ101" s="66" t="str">
        <f t="shared" si="205"/>
        <v/>
      </c>
      <c r="CA101" s="65" t="str">
        <f t="shared" si="206"/>
        <v/>
      </c>
      <c r="CB101" s="65" t="str">
        <f t="shared" si="207"/>
        <v/>
      </c>
      <c r="CC101" s="65" t="str">
        <f t="shared" si="208"/>
        <v/>
      </c>
      <c r="CD101" s="66">
        <f t="shared" si="209"/>
        <v>0</v>
      </c>
      <c r="CE101" s="68" t="str">
        <f>IF('Marks Entry'!AL101="","",'Marks Entry'!AL101)</f>
        <v/>
      </c>
      <c r="CF101" s="68" t="str">
        <f>IF('Marks Entry'!AM101="","",'Marks Entry'!AM101)</f>
        <v/>
      </c>
      <c r="CG101" s="68" t="str">
        <f>IF('Marks Entry'!AN101="","",'Marks Entry'!AN101)</f>
        <v/>
      </c>
      <c r="CH101" s="514" t="str">
        <f t="shared" si="210"/>
        <v/>
      </c>
      <c r="CI101" s="68" t="str">
        <f>IF('Marks Entry'!AO101="","",'Marks Entry'!AO101)</f>
        <v/>
      </c>
      <c r="CJ101" s="515" t="str">
        <f t="shared" si="211"/>
        <v/>
      </c>
      <c r="CK101" s="68" t="str">
        <f>IF('Marks Entry'!AP101="","",'Marks Entry'!AP101)</f>
        <v/>
      </c>
      <c r="CL101" s="96" t="str">
        <f t="shared" si="212"/>
        <v/>
      </c>
      <c r="CM101" s="65">
        <f t="shared" si="213"/>
        <v>0</v>
      </c>
      <c r="CN101" s="65">
        <f t="shared" si="214"/>
        <v>0</v>
      </c>
      <c r="CO101" s="66" t="str">
        <f t="shared" si="215"/>
        <v/>
      </c>
      <c r="CP101" s="65" t="str">
        <f t="shared" si="216"/>
        <v/>
      </c>
      <c r="CQ101" s="65" t="str">
        <f t="shared" si="217"/>
        <v/>
      </c>
      <c r="CR101" s="65" t="str">
        <f t="shared" si="218"/>
        <v/>
      </c>
      <c r="CS101" s="616" t="str">
        <f>IF('School Profile'!$D$20="NO","",IF('Marks Entry'!AQ101="","",IF('Marks Entry'!AQ101=1,'School Profile'!$I$29,IF('Marks Entry'!AQ101=2,'School Profile'!$I$30,IF('Marks Entry'!AQ101=3,'School Profile'!$I$31,IF('Marks Entry'!AQ101=4,'School Profile'!$I$32,IF('Marks Entry'!AQ101=5,'School Profile'!$I$33,IF('Marks Entry'!AQ101=6,'School Profile'!$I$34,IF('Marks Entry'!AQ101=7,'School Profile'!$I$35,IF('Marks Entry'!AQ101=8,'School Profile'!$I$36,IF('Marks Entry'!AQ101=9,'School Profile'!$I$37,IF('Marks Entry'!AQ101=10,'School Profile'!$I$38,IF('Marks Entry'!AQ101=11,'School Profile'!$I$39,"")))))))))))))</f>
        <v/>
      </c>
      <c r="CT101" s="68" t="str">
        <f>IF('School Profile'!$D$20="NO","",IF('Marks Entry'!AR101="","",'Marks Entry'!AR101))</f>
        <v/>
      </c>
      <c r="CU101" s="68" t="str">
        <f>IF('School Profile'!$D$20="NO","",IF('Marks Entry'!AS101="","",'Marks Entry'!AS101))</f>
        <v/>
      </c>
      <c r="CV101" s="68" t="str">
        <f>IF('School Profile'!$D$20="NO","",IF('Marks Entry'!AT101="","",'Marks Entry'!AT101))</f>
        <v/>
      </c>
      <c r="CW101" s="514" t="str">
        <f>IF('School Profile'!$D$20="NO","",IF(AND(CT101="",CU101="",CV101=""),"",SUM(CT101:CV101)))</f>
        <v/>
      </c>
      <c r="CX101" s="68" t="str">
        <f>IF('School Profile'!$D$20="NO","",IF('Marks Entry'!AU101="","",'Marks Entry'!AU101))</f>
        <v/>
      </c>
      <c r="CY101" s="68" t="str">
        <f>IF('School Profile'!$D$20="NO","",IF('Marks Entry'!AV101="","",'Marks Entry'!AV101))</f>
        <v/>
      </c>
      <c r="CZ101" s="515" t="str">
        <f>IF('School Profile'!$D$20="NO","",IF(AND(CX101="",CY101=""),"",SUM(CX101,CY101)))</f>
        <v/>
      </c>
      <c r="DA101" s="69" t="str">
        <f>IF('School Profile'!$D$20="NO","",IF(AND(CW101="",CZ101=""),"",SUM(CW101+CZ101)))</f>
        <v/>
      </c>
      <c r="DB101" s="68" t="str">
        <f>IF('School Profile'!$D$20="NO","",IF('Marks Entry'!AW101="","",'Marks Entry'!AW101))</f>
        <v/>
      </c>
      <c r="DC101" s="68" t="str">
        <f>IF('School Profile'!$D$20="NO","",IF('Marks Entry'!AX101="","",'Marks Entry'!AX101))</f>
        <v/>
      </c>
      <c r="DD101" s="515" t="str">
        <f>IF('School Profile'!$D$20="NO","",IF(AND(DB101="",DC101=""),"",SUM(DB101,DC101)))</f>
        <v/>
      </c>
      <c r="DE101" s="96" t="str">
        <f>IF('School Profile'!$D$20="NO","",IF(AND(DA101="",DD101=""),"",SUM(DA101,DD101)))</f>
        <v/>
      </c>
      <c r="DF101" s="532">
        <f t="shared" si="219"/>
        <v>0</v>
      </c>
      <c r="DG101" s="65">
        <f t="shared" si="220"/>
        <v>0</v>
      </c>
      <c r="DH101" s="66" t="str">
        <f t="shared" si="221"/>
        <v/>
      </c>
      <c r="DI101" s="65" t="str">
        <f t="shared" si="222"/>
        <v/>
      </c>
      <c r="DJ101" s="65" t="str">
        <f t="shared" si="223"/>
        <v/>
      </c>
      <c r="DK101" s="65" t="str">
        <f t="shared" si="224"/>
        <v/>
      </c>
      <c r="DL101" s="97" t="str">
        <f t="shared" si="264"/>
        <v/>
      </c>
      <c r="DM101" s="97" t="str">
        <f t="shared" si="265"/>
        <v/>
      </c>
      <c r="DN101" s="97" t="str">
        <f t="shared" si="266"/>
        <v/>
      </c>
      <c r="DO101" s="97" t="str">
        <f t="shared" si="267"/>
        <v/>
      </c>
      <c r="DP101" s="97" t="str">
        <f t="shared" si="268"/>
        <v/>
      </c>
      <c r="DQ101" s="97" t="str">
        <f t="shared" si="269"/>
        <v/>
      </c>
      <c r="DR101" s="97" t="str">
        <f t="shared" si="270"/>
        <v/>
      </c>
      <c r="DS101" s="98">
        <f t="shared" si="271"/>
        <v>0</v>
      </c>
      <c r="DT101" s="98">
        <f t="shared" si="272"/>
        <v>0</v>
      </c>
      <c r="DU101" s="98">
        <f t="shared" si="273"/>
        <v>0</v>
      </c>
      <c r="DV101" s="98">
        <f t="shared" si="274"/>
        <v>0</v>
      </c>
      <c r="DW101" s="98">
        <f t="shared" si="275"/>
        <v>0</v>
      </c>
      <c r="DX101" s="98" t="str">
        <f t="shared" si="276"/>
        <v/>
      </c>
      <c r="DY101" s="99" t="str">
        <f t="shared" si="277"/>
        <v/>
      </c>
      <c r="DZ101" s="74" t="str">
        <f>IF('Marks Entry'!AY101="","",'Marks Entry'!AY101)</f>
        <v/>
      </c>
      <c r="EA101" s="74" t="str">
        <f>IF('Marks Entry'!AZ101="","",'Marks Entry'!AZ101)</f>
        <v/>
      </c>
      <c r="EB101" s="74" t="str">
        <f>IF('Marks Entry'!BA101="","",'Marks Entry'!BA101)</f>
        <v/>
      </c>
      <c r="EC101" s="527" t="str">
        <f t="shared" si="225"/>
        <v/>
      </c>
      <c r="ED101" s="74" t="str">
        <f>IF('Marks Entry'!BB101="","",'Marks Entry'!BB101)</f>
        <v/>
      </c>
      <c r="EE101" s="528" t="str">
        <f t="shared" si="226"/>
        <v/>
      </c>
      <c r="EF101" s="74" t="str">
        <f>IF('Marks Entry'!BC101="","",'Marks Entry'!BC101)</f>
        <v/>
      </c>
      <c r="EG101" s="530" t="str">
        <f t="shared" si="227"/>
        <v/>
      </c>
      <c r="EH101" s="368" t="str">
        <f t="shared" si="278"/>
        <v/>
      </c>
      <c r="EI101" s="65">
        <f t="shared" si="279"/>
        <v>0</v>
      </c>
      <c r="EJ101" s="65">
        <f t="shared" si="280"/>
        <v>0</v>
      </c>
      <c r="EK101" s="66" t="str">
        <f t="shared" si="281"/>
        <v/>
      </c>
      <c r="EL101" s="74" t="str">
        <f>IF('Marks Entry'!BD101="","",'Marks Entry'!BD101)</f>
        <v/>
      </c>
      <c r="EM101" s="74" t="str">
        <f>IF('Marks Entry'!BE101="","",'Marks Entry'!BE101)</f>
        <v/>
      </c>
      <c r="EN101" s="74" t="str">
        <f>IF('Marks Entry'!BF101="","",'Marks Entry'!BF101)</f>
        <v/>
      </c>
      <c r="EO101" s="527" t="str">
        <f t="shared" si="228"/>
        <v/>
      </c>
      <c r="EP101" s="74" t="str">
        <f>IF('Marks Entry'!BG101="","",'Marks Entry'!BG101)</f>
        <v/>
      </c>
      <c r="EQ101" s="74" t="str">
        <f>IF('Marks Entry'!BH101="","",'Marks Entry'!BH101)</f>
        <v/>
      </c>
      <c r="ER101" s="528" t="str">
        <f t="shared" si="229"/>
        <v/>
      </c>
      <c r="ES101" s="529" t="str">
        <f t="shared" si="230"/>
        <v/>
      </c>
      <c r="ET101" s="74" t="str">
        <f>IF('Marks Entry'!BI101="","",'Marks Entry'!BI101)</f>
        <v/>
      </c>
      <c r="EU101" s="74" t="str">
        <f>IF('Marks Entry'!BJ101="","",'Marks Entry'!BJ101)</f>
        <v/>
      </c>
      <c r="EV101" s="528" t="str">
        <f t="shared" si="231"/>
        <v/>
      </c>
      <c r="EW101" s="530" t="str">
        <f t="shared" si="232"/>
        <v/>
      </c>
      <c r="EX101" s="368" t="str">
        <f t="shared" si="282"/>
        <v/>
      </c>
      <c r="EY101" s="65">
        <f t="shared" si="283"/>
        <v>0</v>
      </c>
      <c r="EZ101" s="65">
        <f t="shared" si="284"/>
        <v>0</v>
      </c>
      <c r="FA101" s="66" t="str">
        <f t="shared" si="285"/>
        <v/>
      </c>
      <c r="FB101" s="74" t="str">
        <f>IF('Marks Entry'!BK101="","",'Marks Entry'!BK101)</f>
        <v/>
      </c>
      <c r="FC101" s="74" t="str">
        <f>IF('Marks Entry'!BL101="","",'Marks Entry'!BL101)</f>
        <v/>
      </c>
      <c r="FD101" s="74" t="str">
        <f>IF('Marks Entry'!BM101="","",'Marks Entry'!BM101)</f>
        <v/>
      </c>
      <c r="FE101" s="74" t="str">
        <f>IF('Marks Entry'!BN101="","",'Marks Entry'!BN101)</f>
        <v/>
      </c>
      <c r="FF101" s="74" t="str">
        <f>IF('Marks Entry'!BO101="","",'Marks Entry'!BO101)</f>
        <v/>
      </c>
      <c r="FG101" s="74" t="str">
        <f>IF('Marks Entry'!BP101="","",'Marks Entry'!BP101)</f>
        <v/>
      </c>
      <c r="FH101" s="527" t="str">
        <f t="shared" si="233"/>
        <v/>
      </c>
      <c r="FI101" s="74" t="str">
        <f>IF('Marks Entry'!BQ101="","",'Marks Entry'!BQ101)</f>
        <v/>
      </c>
      <c r="FJ101" s="74" t="str">
        <f>IF('Marks Entry'!BR101="","",'Marks Entry'!BR101)</f>
        <v/>
      </c>
      <c r="FK101" s="528" t="str">
        <f t="shared" si="234"/>
        <v/>
      </c>
      <c r="FL101" s="529" t="str">
        <f t="shared" si="235"/>
        <v/>
      </c>
      <c r="FM101" s="74" t="str">
        <f>IF('Marks Entry'!BS101="","",'Marks Entry'!BS101)</f>
        <v/>
      </c>
      <c r="FN101" s="74" t="str">
        <f>IF('Marks Entry'!BT101="","",'Marks Entry'!BT101)</f>
        <v/>
      </c>
      <c r="FO101" s="528" t="str">
        <f t="shared" si="236"/>
        <v/>
      </c>
      <c r="FP101" s="530" t="str">
        <f t="shared" si="237"/>
        <v/>
      </c>
      <c r="FQ101" s="368" t="str">
        <f t="shared" si="286"/>
        <v/>
      </c>
      <c r="FR101" s="65">
        <f t="shared" si="287"/>
        <v>0</v>
      </c>
      <c r="FS101" s="65">
        <f t="shared" si="288"/>
        <v>0</v>
      </c>
      <c r="FT101" s="66" t="str">
        <f t="shared" si="289"/>
        <v/>
      </c>
      <c r="FU101" s="74" t="str">
        <f>IF('Marks Entry'!BU101="","",'Marks Entry'!BU101)</f>
        <v/>
      </c>
      <c r="FV101" s="74" t="str">
        <f>IF('Marks Entry'!BV101="","",'Marks Entry'!BV101)</f>
        <v/>
      </c>
      <c r="FW101" s="74" t="str">
        <f>IF('Marks Entry'!BW101="","",'Marks Entry'!BW101)</f>
        <v/>
      </c>
      <c r="FX101" s="75" t="str">
        <f t="shared" si="238"/>
        <v/>
      </c>
      <c r="FY101" s="368" t="str">
        <f t="shared" si="290"/>
        <v/>
      </c>
      <c r="FZ101" s="65">
        <f t="shared" si="291"/>
        <v>0</v>
      </c>
      <c r="GA101" s="66">
        <f t="shared" si="292"/>
        <v>0</v>
      </c>
      <c r="GB101" s="66" t="str">
        <f t="shared" si="293"/>
        <v/>
      </c>
      <c r="GC101" s="74" t="str">
        <f>IF('Marks Entry'!BX101="","",'Marks Entry'!BX101)</f>
        <v/>
      </c>
      <c r="GD101" s="74" t="str">
        <f>IF('Marks Entry'!BY101="","",'Marks Entry'!BY101)</f>
        <v/>
      </c>
      <c r="GE101" s="74" t="str">
        <f>IF('Marks Entry'!BZ101="","",'Marks Entry'!BZ101)</f>
        <v/>
      </c>
      <c r="GF101" s="75" t="str">
        <f t="shared" si="294"/>
        <v/>
      </c>
      <c r="GG101" s="368" t="str">
        <f t="shared" si="295"/>
        <v/>
      </c>
      <c r="GH101" s="65">
        <f t="shared" si="296"/>
        <v>0</v>
      </c>
      <c r="GI101" s="66">
        <f t="shared" si="297"/>
        <v>0</v>
      </c>
      <c r="GJ101" s="66" t="str">
        <f t="shared" si="298"/>
        <v/>
      </c>
      <c r="GK101" s="100" t="str">
        <f>IF(AND(F101="",B101=""),"",IF('Student DATA Entry'!M98="","",'Student DATA Entry'!M98))</f>
        <v/>
      </c>
      <c r="GL101" s="101" t="str">
        <f>IF(AND(B101="",F101=""),"",IF('Student DATA Entry'!N98="","",'Student DATA Entry'!N98))</f>
        <v/>
      </c>
      <c r="GM101" s="581" t="str">
        <f t="shared" si="299"/>
        <v/>
      </c>
      <c r="GN101" s="94" t="str">
        <f t="shared" si="300"/>
        <v/>
      </c>
      <c r="GO101" s="94" t="str">
        <f t="shared" si="301"/>
        <v/>
      </c>
      <c r="GP101" s="102" t="str">
        <f t="shared" si="239"/>
        <v/>
      </c>
      <c r="GQ101" s="94" t="str">
        <f t="shared" si="302"/>
        <v/>
      </c>
      <c r="GR101" s="103" t="str">
        <f t="shared" si="303"/>
        <v/>
      </c>
      <c r="GS101" s="102" t="str">
        <f t="shared" si="240"/>
        <v/>
      </c>
      <c r="GT101" s="104" t="str">
        <f t="shared" si="304"/>
        <v/>
      </c>
      <c r="GU101" s="94" t="str">
        <f>IF('Marks Entry'!V101=1,GT101,"")</f>
        <v/>
      </c>
      <c r="GV101" s="94" t="str">
        <f>IF('Marks Entry'!V101=2,GT101,"")</f>
        <v/>
      </c>
      <c r="GW101" s="94" t="str">
        <f>IF('Marks Entry'!V101=3,GT101,"")</f>
        <v/>
      </c>
      <c r="GX101" s="94" t="str">
        <f>IF('Marks Entry'!V101=4,GT101,"")</f>
        <v/>
      </c>
      <c r="GY101" s="94" t="str">
        <f>IF('Marks Entry'!V101=5,GT101,"")</f>
        <v/>
      </c>
      <c r="GZ101" s="94" t="str">
        <f t="shared" si="305"/>
        <v/>
      </c>
      <c r="HA101" s="105" t="str">
        <f t="shared" si="241"/>
        <v/>
      </c>
      <c r="HB101" s="94" t="str">
        <f t="shared" si="306"/>
        <v/>
      </c>
      <c r="HC101" s="94" t="str">
        <f t="shared" si="307"/>
        <v/>
      </c>
      <c r="HD101" s="105" t="str">
        <f t="shared" si="242"/>
        <v/>
      </c>
      <c r="HE101" s="94" t="str">
        <f t="shared" si="308"/>
        <v/>
      </c>
      <c r="HF101" s="94" t="str">
        <f t="shared" si="309"/>
        <v/>
      </c>
      <c r="HG101" s="105" t="str">
        <f t="shared" si="243"/>
        <v/>
      </c>
      <c r="HH101" s="94" t="str">
        <f t="shared" si="310"/>
        <v/>
      </c>
      <c r="HI101" s="94" t="str">
        <f t="shared" si="311"/>
        <v/>
      </c>
      <c r="HJ101" s="105" t="str">
        <f t="shared" si="244"/>
        <v/>
      </c>
      <c r="HK101" s="94" t="str">
        <f t="shared" si="312"/>
        <v/>
      </c>
      <c r="HL101" s="94" t="str">
        <f t="shared" si="313"/>
        <v/>
      </c>
      <c r="HM101" s="105" t="str">
        <f t="shared" si="245"/>
        <v/>
      </c>
      <c r="HN101" s="367" t="str">
        <f t="shared" si="314"/>
        <v xml:space="preserve">      </v>
      </c>
      <c r="HO101" s="418" t="str">
        <f t="shared" si="246"/>
        <v xml:space="preserve">      </v>
      </c>
      <c r="HP101" s="367" t="str">
        <f t="shared" si="315"/>
        <v xml:space="preserve">      </v>
      </c>
      <c r="HQ101" s="107" t="str">
        <f t="shared" si="316"/>
        <v xml:space="preserve">      </v>
      </c>
      <c r="HR101" s="366" t="str">
        <f t="shared" si="317"/>
        <v xml:space="preserve">      </v>
      </c>
      <c r="HS101" s="544" t="str">
        <f t="shared" si="247"/>
        <v/>
      </c>
      <c r="HT101" s="542" t="str">
        <f t="shared" si="318"/>
        <v/>
      </c>
      <c r="HU101" s="541" t="str">
        <f t="shared" si="319"/>
        <v/>
      </c>
      <c r="HV101" s="540" t="str">
        <f t="shared" si="320"/>
        <v/>
      </c>
      <c r="HW101" s="537" t="str">
        <f t="shared" si="321"/>
        <v/>
      </c>
      <c r="HX101" s="539" t="str">
        <f t="shared" si="322"/>
        <v/>
      </c>
      <c r="HY101" s="553" t="str">
        <f>IFERROR(IF(OR(HS101="SUPPLEMENTARY",HS101="RE-EXAM"),'Supp. Result Entry'!AQ99,""),"")</f>
        <v/>
      </c>
      <c r="HZ101" s="538" t="str">
        <f t="shared" si="323"/>
        <v/>
      </c>
      <c r="IA101" s="415" t="str">
        <f t="shared" si="324"/>
        <v/>
      </c>
      <c r="IB101" s="415" t="str">
        <f>IF(AND(HZ101="",IA101=""),"",IF(OR(HS101="SUPPLEMENTARY",HS101="RE-EXAM"),'Supp. Result Entry'!AQ99,HS101))</f>
        <v/>
      </c>
      <c r="IC101" s="87"/>
      <c r="IS101" s="109" t="str">
        <f>IF('Supp. Result Entry'!T99="","",'Supp. Result Entry'!$T$4)</f>
        <v/>
      </c>
      <c r="IT101" s="110" t="str">
        <f>IF('Supp. Result Entry'!W99="","",'Supp. Result Entry'!$W$4)</f>
        <v/>
      </c>
      <c r="IU101" s="110" t="str">
        <f>IF('Supp. Result Entry'!Z99="","",'Supp. Result Entry'!$Z$4)</f>
        <v/>
      </c>
      <c r="IV101" s="110" t="str">
        <f>IF('Supp. Result Entry'!AC99="","",'Supp. Result Entry'!$AC$4)</f>
        <v/>
      </c>
      <c r="IW101" s="110" t="str">
        <f>IF('Supp. Result Entry'!AF99="","",'Supp. Result Entry'!$AF$4)</f>
        <v/>
      </c>
      <c r="IX101" s="110" t="str">
        <f>IF('Supp. Result Entry'!AI99="","",'Supp. Result Entry'!$AI$4)</f>
        <v/>
      </c>
      <c r="IY101" s="110" t="str">
        <f>IF('Supp. Result Entry'!AI99="","",'Supp. Result Entry'!$AL$4)</f>
        <v/>
      </c>
      <c r="IZ101" s="110" t="str">
        <f>IF('Supp. Result Entry'!U99="","",'Supp. Result Entry'!U99)</f>
        <v/>
      </c>
      <c r="JA101" s="110" t="str">
        <f>IF('Supp. Result Entry'!X99="","",'Supp. Result Entry'!X99)</f>
        <v/>
      </c>
      <c r="JB101" s="110" t="str">
        <f>IF('Supp. Result Entry'!AA99="","",'Supp. Result Entry'!AA99)</f>
        <v/>
      </c>
      <c r="JC101" s="110" t="str">
        <f>IF('Supp. Result Entry'!AD99="","",'Supp. Result Entry'!AD99)</f>
        <v/>
      </c>
      <c r="JD101" s="110" t="str">
        <f>IF('Supp. Result Entry'!AG99="","",'Supp. Result Entry'!AG99)</f>
        <v/>
      </c>
      <c r="JE101" s="110" t="str">
        <f>IF('Supp. Result Entry'!AJ99="","",'Supp. Result Entry'!AJ99)</f>
        <v/>
      </c>
      <c r="JF101" s="110" t="str">
        <f>IF('Supp. Result Entry'!AM99="","",'Supp. Result Entry'!AM99)</f>
        <v/>
      </c>
      <c r="JG101" s="110" t="str">
        <f>IF('Supp. Result Entry'!V99="","",'Supp. Result Entry'!V99)</f>
        <v/>
      </c>
      <c r="JH101" s="110" t="str">
        <f>IF('Supp. Result Entry'!Y99="","",'Supp. Result Entry'!Y99)</f>
        <v/>
      </c>
      <c r="JI101" s="110" t="str">
        <f>IF('Supp. Result Entry'!AB99="","",'Supp. Result Entry'!AB99)</f>
        <v/>
      </c>
      <c r="JJ101" s="110" t="str">
        <f>IF('Supp. Result Entry'!AE99="","",'Supp. Result Entry'!AE99)</f>
        <v/>
      </c>
      <c r="JK101" s="110" t="str">
        <f>IF('Supp. Result Entry'!AH99="","",'Supp. Result Entry'!AH99)</f>
        <v/>
      </c>
      <c r="JL101" s="110" t="str">
        <f>IF('Supp. Result Entry'!AK99="","",'Supp. Result Entry'!AK99)</f>
        <v/>
      </c>
      <c r="JM101" s="110" t="str">
        <f>IF('Supp. Result Entry'!AN99="","",'Supp. Result Entry'!AN99)</f>
        <v/>
      </c>
      <c r="JN101" s="110">
        <f>COUNTIF('Supp. Result Entry'!K99:Q99,"S")</f>
        <v>0</v>
      </c>
      <c r="JO101" s="110">
        <f t="shared" si="248"/>
        <v>0</v>
      </c>
      <c r="JP101" s="110">
        <f t="shared" si="325"/>
        <v>0</v>
      </c>
      <c r="JQ101" s="110" t="str">
        <f t="shared" si="249"/>
        <v/>
      </c>
      <c r="JR101" s="110" t="str">
        <f t="shared" si="250"/>
        <v/>
      </c>
      <c r="JS101" s="110" t="str">
        <f t="shared" si="251"/>
        <v/>
      </c>
      <c r="JT101" s="110" t="str">
        <f t="shared" si="252"/>
        <v/>
      </c>
      <c r="JU101" s="110" t="str">
        <f t="shared" si="253"/>
        <v/>
      </c>
      <c r="JV101" s="110" t="str">
        <f t="shared" si="254"/>
        <v/>
      </c>
      <c r="JW101" s="110" t="str">
        <f t="shared" si="255"/>
        <v/>
      </c>
      <c r="JX101" s="110" t="str">
        <f t="shared" si="326"/>
        <v/>
      </c>
      <c r="JY101" s="110" t="str">
        <f t="shared" si="327"/>
        <v/>
      </c>
      <c r="JZ101" s="110" t="str">
        <f t="shared" si="256"/>
        <v/>
      </c>
      <c r="KA101" s="108" t="str">
        <f t="shared" si="328"/>
        <v/>
      </c>
    </row>
    <row r="102" spans="1:287" s="108" customFormat="1" ht="21.95" customHeight="1">
      <c r="A102" s="89">
        <v>96</v>
      </c>
      <c r="B102" s="90" t="str">
        <f>IF('Marks Entry'!B102="","",'Marks Entry'!B102)</f>
        <v/>
      </c>
      <c r="C102" s="94" t="str">
        <f>IF('Marks Entry'!D102="","",'Marks Entry'!D102)</f>
        <v/>
      </c>
      <c r="D102" s="91" t="str">
        <f>IF('Marks Entry'!E102="","",'Marks Entry'!E102)</f>
        <v/>
      </c>
      <c r="E102" s="92" t="str">
        <f>IF('Marks Entry'!F102="","",'Marks Entry'!F102)</f>
        <v/>
      </c>
      <c r="F102" s="93" t="str">
        <f>IF('Marks Entry'!G102="","",'Marks Entry'!G102)</f>
        <v/>
      </c>
      <c r="G102" s="93" t="str">
        <f>IF('Marks Entry'!H102="","",'Marks Entry'!H102)</f>
        <v/>
      </c>
      <c r="H102" s="93" t="str">
        <f>IF('Marks Entry'!I102="","",'Marks Entry'!I102)</f>
        <v/>
      </c>
      <c r="I102" s="94" t="str">
        <f>IF('Marks Entry'!J102="","",'Marks Entry'!J102)</f>
        <v/>
      </c>
      <c r="J102" s="95" t="str">
        <f>IF('Marks Entry'!K102="","",'Marks Entry'!K102)</f>
        <v/>
      </c>
      <c r="K102" s="68" t="str">
        <f>IF('Marks Entry'!L102="","",'Marks Entry'!L102)</f>
        <v/>
      </c>
      <c r="L102" s="68" t="str">
        <f>IF('Marks Entry'!M102="","",'Marks Entry'!M102)</f>
        <v/>
      </c>
      <c r="M102" s="68" t="str">
        <f>IF('Marks Entry'!N102="","",'Marks Entry'!N102)</f>
        <v/>
      </c>
      <c r="N102" s="514" t="str">
        <f t="shared" si="257"/>
        <v/>
      </c>
      <c r="O102" s="68" t="str">
        <f>IF('Marks Entry'!O102="","",'Marks Entry'!O102)</f>
        <v/>
      </c>
      <c r="P102" s="515" t="str">
        <f t="shared" si="258"/>
        <v/>
      </c>
      <c r="Q102" s="68" t="str">
        <f>IF('Marks Entry'!P102="","",'Marks Entry'!P102)</f>
        <v/>
      </c>
      <c r="R102" s="96" t="str">
        <f t="shared" si="259"/>
        <v/>
      </c>
      <c r="S102" s="65">
        <f t="shared" si="260"/>
        <v>0</v>
      </c>
      <c r="T102" s="65">
        <f t="shared" si="261"/>
        <v>0</v>
      </c>
      <c r="U102" s="66" t="str">
        <f t="shared" si="171"/>
        <v/>
      </c>
      <c r="V102" s="65" t="str">
        <f t="shared" si="172"/>
        <v/>
      </c>
      <c r="W102" s="65" t="str">
        <f t="shared" si="262"/>
        <v/>
      </c>
      <c r="X102" s="65" t="str">
        <f t="shared" si="173"/>
        <v/>
      </c>
      <c r="Y102" s="68" t="str">
        <f>IF('Marks Entry'!Q102="","",'Marks Entry'!Q102)</f>
        <v/>
      </c>
      <c r="Z102" s="68" t="str">
        <f>IF('Marks Entry'!R102="","",'Marks Entry'!R102)</f>
        <v/>
      </c>
      <c r="AA102" s="68" t="str">
        <f>IF('Marks Entry'!S102="","",'Marks Entry'!S102)</f>
        <v/>
      </c>
      <c r="AB102" s="514" t="str">
        <f t="shared" si="174"/>
        <v/>
      </c>
      <c r="AC102" s="68" t="str">
        <f>IF('Marks Entry'!T102="","",'Marks Entry'!T102)</f>
        <v/>
      </c>
      <c r="AD102" s="515" t="str">
        <f t="shared" si="175"/>
        <v/>
      </c>
      <c r="AE102" s="68" t="str">
        <f>IF('Marks Entry'!U102="","",'Marks Entry'!U102)</f>
        <v/>
      </c>
      <c r="AF102" s="96" t="str">
        <f t="shared" si="176"/>
        <v/>
      </c>
      <c r="AG102" s="65">
        <f t="shared" si="177"/>
        <v>0</v>
      </c>
      <c r="AH102" s="65">
        <f t="shared" si="178"/>
        <v>0</v>
      </c>
      <c r="AI102" s="66" t="str">
        <f t="shared" si="179"/>
        <v/>
      </c>
      <c r="AJ102" s="65" t="str">
        <f t="shared" si="180"/>
        <v/>
      </c>
      <c r="AK102" s="65" t="str">
        <f t="shared" si="181"/>
        <v/>
      </c>
      <c r="AL102" s="65" t="str">
        <f t="shared" si="182"/>
        <v/>
      </c>
      <c r="AM102" s="524" t="str">
        <f>IF('Marks Entry'!V102="","",IF('Marks Entry'!V102=1,'School Profile'!$I$9,IF('Marks Entry'!V102=2,'School Profile'!$I$10,IF('Marks Entry'!V102=3,'School Profile'!$I$11,IF('Marks Entry'!V102=4,'School Profile'!$I$12,IF('Marks Entry'!V102=5,'School Profile'!$I$13,IF('Marks Entry'!V102=6,'School Profile'!$I$14,"")))))))</f>
        <v/>
      </c>
      <c r="AN102" s="68" t="str">
        <f>IF('Marks Entry'!W102="","",'Marks Entry'!W102)</f>
        <v/>
      </c>
      <c r="AO102" s="68" t="str">
        <f>IF('Marks Entry'!X102="","",'Marks Entry'!X102)</f>
        <v/>
      </c>
      <c r="AP102" s="68" t="str">
        <f>IF('Marks Entry'!Y102="","",'Marks Entry'!Y102)</f>
        <v/>
      </c>
      <c r="AQ102" s="514" t="str">
        <f t="shared" si="183"/>
        <v/>
      </c>
      <c r="AR102" s="68" t="str">
        <f>IF('Marks Entry'!Z102="","",'Marks Entry'!Z102)</f>
        <v/>
      </c>
      <c r="AS102" s="515" t="str">
        <f t="shared" si="184"/>
        <v/>
      </c>
      <c r="AT102" s="68" t="str">
        <f>IF('Marks Entry'!AA102="","",'Marks Entry'!AA102)</f>
        <v/>
      </c>
      <c r="AU102" s="96" t="str">
        <f t="shared" si="185"/>
        <v/>
      </c>
      <c r="AV102" s="65">
        <f t="shared" si="186"/>
        <v>0</v>
      </c>
      <c r="AW102" s="65">
        <f t="shared" si="187"/>
        <v>0</v>
      </c>
      <c r="AX102" s="66" t="str">
        <f t="shared" si="188"/>
        <v/>
      </c>
      <c r="AY102" s="65" t="str">
        <f t="shared" si="189"/>
        <v/>
      </c>
      <c r="AZ102" s="65" t="str">
        <f t="shared" si="190"/>
        <v/>
      </c>
      <c r="BA102" s="65" t="str">
        <f t="shared" si="191"/>
        <v/>
      </c>
      <c r="BB102" s="68" t="str">
        <f>IF('Marks Entry'!AB102="","",'Marks Entry'!AB102)</f>
        <v/>
      </c>
      <c r="BC102" s="68" t="str">
        <f>IF('Marks Entry'!AC102="","",'Marks Entry'!AC102)</f>
        <v/>
      </c>
      <c r="BD102" s="68" t="str">
        <f>IF('Marks Entry'!AD102="","",'Marks Entry'!AD102)</f>
        <v/>
      </c>
      <c r="BE102" s="514" t="str">
        <f t="shared" si="192"/>
        <v/>
      </c>
      <c r="BF102" s="68" t="str">
        <f>IF('Marks Entry'!AE102="","",'Marks Entry'!AE102)</f>
        <v/>
      </c>
      <c r="BG102" s="515" t="str">
        <f t="shared" si="193"/>
        <v/>
      </c>
      <c r="BH102" s="68" t="str">
        <f>IF('Marks Entry'!AF102="","",'Marks Entry'!AF102)</f>
        <v/>
      </c>
      <c r="BI102" s="96" t="str">
        <f t="shared" si="194"/>
        <v/>
      </c>
      <c r="BJ102" s="65">
        <f t="shared" si="195"/>
        <v>0</v>
      </c>
      <c r="BK102" s="65">
        <f t="shared" si="263"/>
        <v>0</v>
      </c>
      <c r="BL102" s="66" t="str">
        <f t="shared" si="196"/>
        <v/>
      </c>
      <c r="BM102" s="65" t="str">
        <f t="shared" si="197"/>
        <v/>
      </c>
      <c r="BN102" s="65" t="str">
        <f t="shared" si="198"/>
        <v/>
      </c>
      <c r="BO102" s="65" t="str">
        <f t="shared" si="199"/>
        <v/>
      </c>
      <c r="BP102" s="68" t="str">
        <f>IF('Marks Entry'!AG102="","",'Marks Entry'!AG102)</f>
        <v/>
      </c>
      <c r="BQ102" s="68" t="str">
        <f>IF('Marks Entry'!AH102="","",'Marks Entry'!AH102)</f>
        <v/>
      </c>
      <c r="BR102" s="68" t="str">
        <f>IF('Marks Entry'!AI102="","",'Marks Entry'!AI102)</f>
        <v/>
      </c>
      <c r="BS102" s="514" t="str">
        <f t="shared" si="200"/>
        <v/>
      </c>
      <c r="BT102" s="68" t="str">
        <f>IF('Marks Entry'!AJ102="","",'Marks Entry'!AJ102)</f>
        <v/>
      </c>
      <c r="BU102" s="515" t="str">
        <f t="shared" si="201"/>
        <v/>
      </c>
      <c r="BV102" s="68" t="str">
        <f>IF('Marks Entry'!AK102="","",'Marks Entry'!AK102)</f>
        <v/>
      </c>
      <c r="BW102" s="96" t="str">
        <f t="shared" si="202"/>
        <v/>
      </c>
      <c r="BX102" s="65">
        <f t="shared" si="203"/>
        <v>0</v>
      </c>
      <c r="BY102" s="65">
        <f t="shared" si="204"/>
        <v>0</v>
      </c>
      <c r="BZ102" s="66" t="str">
        <f t="shared" si="205"/>
        <v/>
      </c>
      <c r="CA102" s="65" t="str">
        <f t="shared" si="206"/>
        <v/>
      </c>
      <c r="CB102" s="65" t="str">
        <f t="shared" si="207"/>
        <v/>
      </c>
      <c r="CC102" s="65" t="str">
        <f t="shared" si="208"/>
        <v/>
      </c>
      <c r="CD102" s="66">
        <f t="shared" si="209"/>
        <v>0</v>
      </c>
      <c r="CE102" s="68" t="str">
        <f>IF('Marks Entry'!AL102="","",'Marks Entry'!AL102)</f>
        <v/>
      </c>
      <c r="CF102" s="68" t="str">
        <f>IF('Marks Entry'!AM102="","",'Marks Entry'!AM102)</f>
        <v/>
      </c>
      <c r="CG102" s="68" t="str">
        <f>IF('Marks Entry'!AN102="","",'Marks Entry'!AN102)</f>
        <v/>
      </c>
      <c r="CH102" s="514" t="str">
        <f t="shared" si="210"/>
        <v/>
      </c>
      <c r="CI102" s="68" t="str">
        <f>IF('Marks Entry'!AO102="","",'Marks Entry'!AO102)</f>
        <v/>
      </c>
      <c r="CJ102" s="515" t="str">
        <f t="shared" si="211"/>
        <v/>
      </c>
      <c r="CK102" s="68" t="str">
        <f>IF('Marks Entry'!AP102="","",'Marks Entry'!AP102)</f>
        <v/>
      </c>
      <c r="CL102" s="96" t="str">
        <f t="shared" si="212"/>
        <v/>
      </c>
      <c r="CM102" s="65">
        <f t="shared" si="213"/>
        <v>0</v>
      </c>
      <c r="CN102" s="65">
        <f t="shared" si="214"/>
        <v>0</v>
      </c>
      <c r="CO102" s="66" t="str">
        <f t="shared" si="215"/>
        <v/>
      </c>
      <c r="CP102" s="65" t="str">
        <f t="shared" si="216"/>
        <v/>
      </c>
      <c r="CQ102" s="65" t="str">
        <f t="shared" si="217"/>
        <v/>
      </c>
      <c r="CR102" s="65" t="str">
        <f t="shared" si="218"/>
        <v/>
      </c>
      <c r="CS102" s="616" t="str">
        <f>IF('School Profile'!$D$20="NO","",IF('Marks Entry'!AQ102="","",IF('Marks Entry'!AQ102=1,'School Profile'!$I$29,IF('Marks Entry'!AQ102=2,'School Profile'!$I$30,IF('Marks Entry'!AQ102=3,'School Profile'!$I$31,IF('Marks Entry'!AQ102=4,'School Profile'!$I$32,IF('Marks Entry'!AQ102=5,'School Profile'!$I$33,IF('Marks Entry'!AQ102=6,'School Profile'!$I$34,IF('Marks Entry'!AQ102=7,'School Profile'!$I$35,IF('Marks Entry'!AQ102=8,'School Profile'!$I$36,IF('Marks Entry'!AQ102=9,'School Profile'!$I$37,IF('Marks Entry'!AQ102=10,'School Profile'!$I$38,IF('Marks Entry'!AQ102=11,'School Profile'!$I$39,"")))))))))))))</f>
        <v/>
      </c>
      <c r="CT102" s="68" t="str">
        <f>IF('School Profile'!$D$20="NO","",IF('Marks Entry'!AR102="","",'Marks Entry'!AR102))</f>
        <v/>
      </c>
      <c r="CU102" s="68" t="str">
        <f>IF('School Profile'!$D$20="NO","",IF('Marks Entry'!AS102="","",'Marks Entry'!AS102))</f>
        <v/>
      </c>
      <c r="CV102" s="68" t="str">
        <f>IF('School Profile'!$D$20="NO","",IF('Marks Entry'!AT102="","",'Marks Entry'!AT102))</f>
        <v/>
      </c>
      <c r="CW102" s="514" t="str">
        <f>IF('School Profile'!$D$20="NO","",IF(AND(CT102="",CU102="",CV102=""),"",SUM(CT102:CV102)))</f>
        <v/>
      </c>
      <c r="CX102" s="68" t="str">
        <f>IF('School Profile'!$D$20="NO","",IF('Marks Entry'!AU102="","",'Marks Entry'!AU102))</f>
        <v/>
      </c>
      <c r="CY102" s="68" t="str">
        <f>IF('School Profile'!$D$20="NO","",IF('Marks Entry'!AV102="","",'Marks Entry'!AV102))</f>
        <v/>
      </c>
      <c r="CZ102" s="515" t="str">
        <f>IF('School Profile'!$D$20="NO","",IF(AND(CX102="",CY102=""),"",SUM(CX102,CY102)))</f>
        <v/>
      </c>
      <c r="DA102" s="69" t="str">
        <f>IF('School Profile'!$D$20="NO","",IF(AND(CW102="",CZ102=""),"",SUM(CW102+CZ102)))</f>
        <v/>
      </c>
      <c r="DB102" s="68" t="str">
        <f>IF('School Profile'!$D$20="NO","",IF('Marks Entry'!AW102="","",'Marks Entry'!AW102))</f>
        <v/>
      </c>
      <c r="DC102" s="68" t="str">
        <f>IF('School Profile'!$D$20="NO","",IF('Marks Entry'!AX102="","",'Marks Entry'!AX102))</f>
        <v/>
      </c>
      <c r="DD102" s="515" t="str">
        <f>IF('School Profile'!$D$20="NO","",IF(AND(DB102="",DC102=""),"",SUM(DB102,DC102)))</f>
        <v/>
      </c>
      <c r="DE102" s="96" t="str">
        <f>IF('School Profile'!$D$20="NO","",IF(AND(DA102="",DD102=""),"",SUM(DA102,DD102)))</f>
        <v/>
      </c>
      <c r="DF102" s="532">
        <f t="shared" si="219"/>
        <v>0</v>
      </c>
      <c r="DG102" s="65">
        <f t="shared" si="220"/>
        <v>0</v>
      </c>
      <c r="DH102" s="66" t="str">
        <f t="shared" si="221"/>
        <v/>
      </c>
      <c r="DI102" s="65" t="str">
        <f t="shared" si="222"/>
        <v/>
      </c>
      <c r="DJ102" s="65" t="str">
        <f t="shared" si="223"/>
        <v/>
      </c>
      <c r="DK102" s="65" t="str">
        <f t="shared" si="224"/>
        <v/>
      </c>
      <c r="DL102" s="97" t="str">
        <f t="shared" si="264"/>
        <v/>
      </c>
      <c r="DM102" s="97" t="str">
        <f t="shared" si="265"/>
        <v/>
      </c>
      <c r="DN102" s="97" t="str">
        <f t="shared" si="266"/>
        <v/>
      </c>
      <c r="DO102" s="97" t="str">
        <f t="shared" si="267"/>
        <v/>
      </c>
      <c r="DP102" s="97" t="str">
        <f t="shared" si="268"/>
        <v/>
      </c>
      <c r="DQ102" s="97" t="str">
        <f t="shared" si="269"/>
        <v/>
      </c>
      <c r="DR102" s="97" t="str">
        <f t="shared" si="270"/>
        <v/>
      </c>
      <c r="DS102" s="98">
        <f t="shared" si="271"/>
        <v>0</v>
      </c>
      <c r="DT102" s="98">
        <f t="shared" si="272"/>
        <v>0</v>
      </c>
      <c r="DU102" s="98">
        <f t="shared" si="273"/>
        <v>0</v>
      </c>
      <c r="DV102" s="98">
        <f t="shared" si="274"/>
        <v>0</v>
      </c>
      <c r="DW102" s="98">
        <f t="shared" si="275"/>
        <v>0</v>
      </c>
      <c r="DX102" s="98" t="str">
        <f t="shared" si="276"/>
        <v/>
      </c>
      <c r="DY102" s="99" t="str">
        <f t="shared" si="277"/>
        <v/>
      </c>
      <c r="DZ102" s="74" t="str">
        <f>IF('Marks Entry'!AY102="","",'Marks Entry'!AY102)</f>
        <v/>
      </c>
      <c r="EA102" s="74" t="str">
        <f>IF('Marks Entry'!AZ102="","",'Marks Entry'!AZ102)</f>
        <v/>
      </c>
      <c r="EB102" s="74" t="str">
        <f>IF('Marks Entry'!BA102="","",'Marks Entry'!BA102)</f>
        <v/>
      </c>
      <c r="EC102" s="527" t="str">
        <f t="shared" si="225"/>
        <v/>
      </c>
      <c r="ED102" s="74" t="str">
        <f>IF('Marks Entry'!BB102="","",'Marks Entry'!BB102)</f>
        <v/>
      </c>
      <c r="EE102" s="528" t="str">
        <f t="shared" si="226"/>
        <v/>
      </c>
      <c r="EF102" s="74" t="str">
        <f>IF('Marks Entry'!BC102="","",'Marks Entry'!BC102)</f>
        <v/>
      </c>
      <c r="EG102" s="530" t="str">
        <f t="shared" si="227"/>
        <v/>
      </c>
      <c r="EH102" s="368" t="str">
        <f t="shared" si="278"/>
        <v/>
      </c>
      <c r="EI102" s="65">
        <f t="shared" si="279"/>
        <v>0</v>
      </c>
      <c r="EJ102" s="65">
        <f t="shared" si="280"/>
        <v>0</v>
      </c>
      <c r="EK102" s="66" t="str">
        <f t="shared" si="281"/>
        <v/>
      </c>
      <c r="EL102" s="74" t="str">
        <f>IF('Marks Entry'!BD102="","",'Marks Entry'!BD102)</f>
        <v/>
      </c>
      <c r="EM102" s="74" t="str">
        <f>IF('Marks Entry'!BE102="","",'Marks Entry'!BE102)</f>
        <v/>
      </c>
      <c r="EN102" s="74" t="str">
        <f>IF('Marks Entry'!BF102="","",'Marks Entry'!BF102)</f>
        <v/>
      </c>
      <c r="EO102" s="527" t="str">
        <f t="shared" si="228"/>
        <v/>
      </c>
      <c r="EP102" s="74" t="str">
        <f>IF('Marks Entry'!BG102="","",'Marks Entry'!BG102)</f>
        <v/>
      </c>
      <c r="EQ102" s="74" t="str">
        <f>IF('Marks Entry'!BH102="","",'Marks Entry'!BH102)</f>
        <v/>
      </c>
      <c r="ER102" s="528" t="str">
        <f t="shared" si="229"/>
        <v/>
      </c>
      <c r="ES102" s="529" t="str">
        <f t="shared" si="230"/>
        <v/>
      </c>
      <c r="ET102" s="74" t="str">
        <f>IF('Marks Entry'!BI102="","",'Marks Entry'!BI102)</f>
        <v/>
      </c>
      <c r="EU102" s="74" t="str">
        <f>IF('Marks Entry'!BJ102="","",'Marks Entry'!BJ102)</f>
        <v/>
      </c>
      <c r="EV102" s="528" t="str">
        <f t="shared" si="231"/>
        <v/>
      </c>
      <c r="EW102" s="530" t="str">
        <f t="shared" si="232"/>
        <v/>
      </c>
      <c r="EX102" s="368" t="str">
        <f t="shared" si="282"/>
        <v/>
      </c>
      <c r="EY102" s="65">
        <f t="shared" si="283"/>
        <v>0</v>
      </c>
      <c r="EZ102" s="65">
        <f t="shared" si="284"/>
        <v>0</v>
      </c>
      <c r="FA102" s="66" t="str">
        <f t="shared" si="285"/>
        <v/>
      </c>
      <c r="FB102" s="74" t="str">
        <f>IF('Marks Entry'!BK102="","",'Marks Entry'!BK102)</f>
        <v/>
      </c>
      <c r="FC102" s="74" t="str">
        <f>IF('Marks Entry'!BL102="","",'Marks Entry'!BL102)</f>
        <v/>
      </c>
      <c r="FD102" s="74" t="str">
        <f>IF('Marks Entry'!BM102="","",'Marks Entry'!BM102)</f>
        <v/>
      </c>
      <c r="FE102" s="74" t="str">
        <f>IF('Marks Entry'!BN102="","",'Marks Entry'!BN102)</f>
        <v/>
      </c>
      <c r="FF102" s="74" t="str">
        <f>IF('Marks Entry'!BO102="","",'Marks Entry'!BO102)</f>
        <v/>
      </c>
      <c r="FG102" s="74" t="str">
        <f>IF('Marks Entry'!BP102="","",'Marks Entry'!BP102)</f>
        <v/>
      </c>
      <c r="FH102" s="527" t="str">
        <f t="shared" si="233"/>
        <v/>
      </c>
      <c r="FI102" s="74" t="str">
        <f>IF('Marks Entry'!BQ102="","",'Marks Entry'!BQ102)</f>
        <v/>
      </c>
      <c r="FJ102" s="74" t="str">
        <f>IF('Marks Entry'!BR102="","",'Marks Entry'!BR102)</f>
        <v/>
      </c>
      <c r="FK102" s="528" t="str">
        <f t="shared" si="234"/>
        <v/>
      </c>
      <c r="FL102" s="529" t="str">
        <f t="shared" si="235"/>
        <v/>
      </c>
      <c r="FM102" s="74" t="str">
        <f>IF('Marks Entry'!BS102="","",'Marks Entry'!BS102)</f>
        <v/>
      </c>
      <c r="FN102" s="74" t="str">
        <f>IF('Marks Entry'!BT102="","",'Marks Entry'!BT102)</f>
        <v/>
      </c>
      <c r="FO102" s="528" t="str">
        <f t="shared" si="236"/>
        <v/>
      </c>
      <c r="FP102" s="530" t="str">
        <f t="shared" si="237"/>
        <v/>
      </c>
      <c r="FQ102" s="368" t="str">
        <f t="shared" si="286"/>
        <v/>
      </c>
      <c r="FR102" s="65">
        <f t="shared" si="287"/>
        <v>0</v>
      </c>
      <c r="FS102" s="65">
        <f t="shared" si="288"/>
        <v>0</v>
      </c>
      <c r="FT102" s="66" t="str">
        <f t="shared" si="289"/>
        <v/>
      </c>
      <c r="FU102" s="74" t="str">
        <f>IF('Marks Entry'!BU102="","",'Marks Entry'!BU102)</f>
        <v/>
      </c>
      <c r="FV102" s="74" t="str">
        <f>IF('Marks Entry'!BV102="","",'Marks Entry'!BV102)</f>
        <v/>
      </c>
      <c r="FW102" s="74" t="str">
        <f>IF('Marks Entry'!BW102="","",'Marks Entry'!BW102)</f>
        <v/>
      </c>
      <c r="FX102" s="75" t="str">
        <f t="shared" si="238"/>
        <v/>
      </c>
      <c r="FY102" s="368" t="str">
        <f t="shared" si="290"/>
        <v/>
      </c>
      <c r="FZ102" s="65">
        <f t="shared" si="291"/>
        <v>0</v>
      </c>
      <c r="GA102" s="66">
        <f t="shared" si="292"/>
        <v>0</v>
      </c>
      <c r="GB102" s="66" t="str">
        <f t="shared" si="293"/>
        <v/>
      </c>
      <c r="GC102" s="74" t="str">
        <f>IF('Marks Entry'!BX102="","",'Marks Entry'!BX102)</f>
        <v/>
      </c>
      <c r="GD102" s="74" t="str">
        <f>IF('Marks Entry'!BY102="","",'Marks Entry'!BY102)</f>
        <v/>
      </c>
      <c r="GE102" s="74" t="str">
        <f>IF('Marks Entry'!BZ102="","",'Marks Entry'!BZ102)</f>
        <v/>
      </c>
      <c r="GF102" s="75" t="str">
        <f t="shared" si="294"/>
        <v/>
      </c>
      <c r="GG102" s="368" t="str">
        <f t="shared" si="295"/>
        <v/>
      </c>
      <c r="GH102" s="65">
        <f t="shared" si="296"/>
        <v>0</v>
      </c>
      <c r="GI102" s="66">
        <f t="shared" si="297"/>
        <v>0</v>
      </c>
      <c r="GJ102" s="66" t="str">
        <f t="shared" si="298"/>
        <v/>
      </c>
      <c r="GK102" s="100" t="str">
        <f>IF(AND(F102="",B102=""),"",IF('Student DATA Entry'!M99="","",'Student DATA Entry'!M99))</f>
        <v/>
      </c>
      <c r="GL102" s="101" t="str">
        <f>IF(AND(B102="",F102=""),"",IF('Student DATA Entry'!N99="","",'Student DATA Entry'!N99))</f>
        <v/>
      </c>
      <c r="GM102" s="581" t="str">
        <f t="shared" si="299"/>
        <v/>
      </c>
      <c r="GN102" s="94" t="str">
        <f t="shared" si="300"/>
        <v/>
      </c>
      <c r="GO102" s="94" t="str">
        <f t="shared" si="301"/>
        <v/>
      </c>
      <c r="GP102" s="102" t="str">
        <f t="shared" si="239"/>
        <v/>
      </c>
      <c r="GQ102" s="94" t="str">
        <f t="shared" si="302"/>
        <v/>
      </c>
      <c r="GR102" s="103" t="str">
        <f t="shared" si="303"/>
        <v/>
      </c>
      <c r="GS102" s="102" t="str">
        <f t="shared" si="240"/>
        <v/>
      </c>
      <c r="GT102" s="104" t="str">
        <f t="shared" si="304"/>
        <v/>
      </c>
      <c r="GU102" s="94" t="str">
        <f>IF('Marks Entry'!V102=1,GT102,"")</f>
        <v/>
      </c>
      <c r="GV102" s="94" t="str">
        <f>IF('Marks Entry'!V102=2,GT102,"")</f>
        <v/>
      </c>
      <c r="GW102" s="94" t="str">
        <f>IF('Marks Entry'!V102=3,GT102,"")</f>
        <v/>
      </c>
      <c r="GX102" s="94" t="str">
        <f>IF('Marks Entry'!V102=4,GT102,"")</f>
        <v/>
      </c>
      <c r="GY102" s="94" t="str">
        <f>IF('Marks Entry'!V102=5,GT102,"")</f>
        <v/>
      </c>
      <c r="GZ102" s="94" t="str">
        <f t="shared" si="305"/>
        <v/>
      </c>
      <c r="HA102" s="105" t="str">
        <f t="shared" si="241"/>
        <v/>
      </c>
      <c r="HB102" s="94" t="str">
        <f t="shared" si="306"/>
        <v/>
      </c>
      <c r="HC102" s="94" t="str">
        <f t="shared" si="307"/>
        <v/>
      </c>
      <c r="HD102" s="105" t="str">
        <f t="shared" si="242"/>
        <v/>
      </c>
      <c r="HE102" s="94" t="str">
        <f t="shared" si="308"/>
        <v/>
      </c>
      <c r="HF102" s="94" t="str">
        <f t="shared" si="309"/>
        <v/>
      </c>
      <c r="HG102" s="105" t="str">
        <f t="shared" si="243"/>
        <v/>
      </c>
      <c r="HH102" s="94" t="str">
        <f t="shared" si="310"/>
        <v/>
      </c>
      <c r="HI102" s="94" t="str">
        <f t="shared" si="311"/>
        <v/>
      </c>
      <c r="HJ102" s="105" t="str">
        <f t="shared" si="244"/>
        <v/>
      </c>
      <c r="HK102" s="94" t="str">
        <f t="shared" si="312"/>
        <v/>
      </c>
      <c r="HL102" s="94" t="str">
        <f t="shared" si="313"/>
        <v/>
      </c>
      <c r="HM102" s="105" t="str">
        <f t="shared" si="245"/>
        <v/>
      </c>
      <c r="HN102" s="367" t="str">
        <f t="shared" si="314"/>
        <v xml:space="preserve">      </v>
      </c>
      <c r="HO102" s="418" t="str">
        <f t="shared" si="246"/>
        <v xml:space="preserve">      </v>
      </c>
      <c r="HP102" s="367" t="str">
        <f t="shared" si="315"/>
        <v xml:space="preserve">      </v>
      </c>
      <c r="HQ102" s="107" t="str">
        <f t="shared" si="316"/>
        <v xml:space="preserve">      </v>
      </c>
      <c r="HR102" s="366" t="str">
        <f t="shared" si="317"/>
        <v xml:space="preserve">      </v>
      </c>
      <c r="HS102" s="544" t="str">
        <f t="shared" si="247"/>
        <v/>
      </c>
      <c r="HT102" s="542" t="str">
        <f t="shared" si="318"/>
        <v/>
      </c>
      <c r="HU102" s="541" t="str">
        <f t="shared" si="319"/>
        <v/>
      </c>
      <c r="HV102" s="540" t="str">
        <f t="shared" si="320"/>
        <v/>
      </c>
      <c r="HW102" s="537" t="str">
        <f t="shared" si="321"/>
        <v/>
      </c>
      <c r="HX102" s="539" t="str">
        <f t="shared" si="322"/>
        <v/>
      </c>
      <c r="HY102" s="553" t="str">
        <f>IFERROR(IF(OR(HS102="SUPPLEMENTARY",HS102="RE-EXAM"),'Supp. Result Entry'!AQ100,""),"")</f>
        <v/>
      </c>
      <c r="HZ102" s="538" t="str">
        <f t="shared" si="323"/>
        <v/>
      </c>
      <c r="IA102" s="415" t="str">
        <f t="shared" si="324"/>
        <v/>
      </c>
      <c r="IB102" s="415" t="str">
        <f>IF(AND(HZ102="",IA102=""),"",IF(OR(HS102="SUPPLEMENTARY",HS102="RE-EXAM"),'Supp. Result Entry'!AQ100,HS102))</f>
        <v/>
      </c>
      <c r="IC102" s="87"/>
      <c r="IS102" s="109" t="str">
        <f>IF('Supp. Result Entry'!T100="","",'Supp. Result Entry'!$T$4)</f>
        <v/>
      </c>
      <c r="IT102" s="110" t="str">
        <f>IF('Supp. Result Entry'!W100="","",'Supp. Result Entry'!$W$4)</f>
        <v/>
      </c>
      <c r="IU102" s="110" t="str">
        <f>IF('Supp. Result Entry'!Z100="","",'Supp. Result Entry'!$Z$4)</f>
        <v/>
      </c>
      <c r="IV102" s="110" t="str">
        <f>IF('Supp. Result Entry'!AC100="","",'Supp. Result Entry'!$AC$4)</f>
        <v/>
      </c>
      <c r="IW102" s="110" t="str">
        <f>IF('Supp. Result Entry'!AF100="","",'Supp. Result Entry'!$AF$4)</f>
        <v/>
      </c>
      <c r="IX102" s="110" t="str">
        <f>IF('Supp. Result Entry'!AI100="","",'Supp. Result Entry'!$AI$4)</f>
        <v/>
      </c>
      <c r="IY102" s="110" t="str">
        <f>IF('Supp. Result Entry'!AI100="","",'Supp. Result Entry'!$AL$4)</f>
        <v/>
      </c>
      <c r="IZ102" s="110" t="str">
        <f>IF('Supp. Result Entry'!U100="","",'Supp. Result Entry'!U100)</f>
        <v/>
      </c>
      <c r="JA102" s="110" t="str">
        <f>IF('Supp. Result Entry'!X100="","",'Supp. Result Entry'!X100)</f>
        <v/>
      </c>
      <c r="JB102" s="110" t="str">
        <f>IF('Supp. Result Entry'!AA100="","",'Supp. Result Entry'!AA100)</f>
        <v/>
      </c>
      <c r="JC102" s="110" t="str">
        <f>IF('Supp. Result Entry'!AD100="","",'Supp. Result Entry'!AD100)</f>
        <v/>
      </c>
      <c r="JD102" s="110" t="str">
        <f>IF('Supp. Result Entry'!AG100="","",'Supp. Result Entry'!AG100)</f>
        <v/>
      </c>
      <c r="JE102" s="110" t="str">
        <f>IF('Supp. Result Entry'!AJ100="","",'Supp. Result Entry'!AJ100)</f>
        <v/>
      </c>
      <c r="JF102" s="110" t="str">
        <f>IF('Supp. Result Entry'!AM100="","",'Supp. Result Entry'!AM100)</f>
        <v/>
      </c>
      <c r="JG102" s="110" t="str">
        <f>IF('Supp. Result Entry'!V100="","",'Supp. Result Entry'!V100)</f>
        <v/>
      </c>
      <c r="JH102" s="110" t="str">
        <f>IF('Supp. Result Entry'!Y100="","",'Supp. Result Entry'!Y100)</f>
        <v/>
      </c>
      <c r="JI102" s="110" t="str">
        <f>IF('Supp. Result Entry'!AB100="","",'Supp. Result Entry'!AB100)</f>
        <v/>
      </c>
      <c r="JJ102" s="110" t="str">
        <f>IF('Supp. Result Entry'!AE100="","",'Supp. Result Entry'!AE100)</f>
        <v/>
      </c>
      <c r="JK102" s="110" t="str">
        <f>IF('Supp. Result Entry'!AH100="","",'Supp. Result Entry'!AH100)</f>
        <v/>
      </c>
      <c r="JL102" s="110" t="str">
        <f>IF('Supp. Result Entry'!AK100="","",'Supp. Result Entry'!AK100)</f>
        <v/>
      </c>
      <c r="JM102" s="110" t="str">
        <f>IF('Supp. Result Entry'!AN100="","",'Supp. Result Entry'!AN100)</f>
        <v/>
      </c>
      <c r="JN102" s="110">
        <f>COUNTIF('Supp. Result Entry'!K100:Q100,"S")</f>
        <v>0</v>
      </c>
      <c r="JO102" s="110">
        <f t="shared" si="248"/>
        <v>0</v>
      </c>
      <c r="JP102" s="110">
        <f t="shared" si="325"/>
        <v>0</v>
      </c>
      <c r="JQ102" s="110" t="str">
        <f t="shared" si="249"/>
        <v/>
      </c>
      <c r="JR102" s="110" t="str">
        <f t="shared" si="250"/>
        <v/>
      </c>
      <c r="JS102" s="110" t="str">
        <f t="shared" si="251"/>
        <v/>
      </c>
      <c r="JT102" s="110" t="str">
        <f t="shared" si="252"/>
        <v/>
      </c>
      <c r="JU102" s="110" t="str">
        <f t="shared" si="253"/>
        <v/>
      </c>
      <c r="JV102" s="110" t="str">
        <f t="shared" si="254"/>
        <v/>
      </c>
      <c r="JW102" s="110" t="str">
        <f t="shared" si="255"/>
        <v/>
      </c>
      <c r="JX102" s="110" t="str">
        <f t="shared" si="326"/>
        <v/>
      </c>
      <c r="JY102" s="110" t="str">
        <f t="shared" si="327"/>
        <v/>
      </c>
      <c r="JZ102" s="110" t="str">
        <f t="shared" si="256"/>
        <v/>
      </c>
      <c r="KA102" s="108" t="str">
        <f t="shared" si="328"/>
        <v/>
      </c>
    </row>
    <row r="103" spans="1:287" s="108" customFormat="1" ht="21.95" customHeight="1">
      <c r="A103" s="89">
        <v>97</v>
      </c>
      <c r="B103" s="90" t="str">
        <f>IF('Marks Entry'!B103="","",'Marks Entry'!B103)</f>
        <v/>
      </c>
      <c r="C103" s="94" t="str">
        <f>IF('Marks Entry'!D103="","",'Marks Entry'!D103)</f>
        <v/>
      </c>
      <c r="D103" s="91" t="str">
        <f>IF('Marks Entry'!E103="","",'Marks Entry'!E103)</f>
        <v/>
      </c>
      <c r="E103" s="92" t="str">
        <f>IF('Marks Entry'!F103="","",'Marks Entry'!F103)</f>
        <v/>
      </c>
      <c r="F103" s="93" t="str">
        <f>IF('Marks Entry'!G103="","",'Marks Entry'!G103)</f>
        <v/>
      </c>
      <c r="G103" s="93" t="str">
        <f>IF('Marks Entry'!H103="","",'Marks Entry'!H103)</f>
        <v/>
      </c>
      <c r="H103" s="93" t="str">
        <f>IF('Marks Entry'!I103="","",'Marks Entry'!I103)</f>
        <v/>
      </c>
      <c r="I103" s="94" t="str">
        <f>IF('Marks Entry'!J103="","",'Marks Entry'!J103)</f>
        <v/>
      </c>
      <c r="J103" s="95" t="str">
        <f>IF('Marks Entry'!K103="","",'Marks Entry'!K103)</f>
        <v/>
      </c>
      <c r="K103" s="68" t="str">
        <f>IF('Marks Entry'!L103="","",'Marks Entry'!L103)</f>
        <v/>
      </c>
      <c r="L103" s="68" t="str">
        <f>IF('Marks Entry'!M103="","",'Marks Entry'!M103)</f>
        <v/>
      </c>
      <c r="M103" s="68" t="str">
        <f>IF('Marks Entry'!N103="","",'Marks Entry'!N103)</f>
        <v/>
      </c>
      <c r="N103" s="514" t="str">
        <f t="shared" si="257"/>
        <v/>
      </c>
      <c r="O103" s="68" t="str">
        <f>IF('Marks Entry'!O103="","",'Marks Entry'!O103)</f>
        <v/>
      </c>
      <c r="P103" s="515" t="str">
        <f t="shared" si="258"/>
        <v/>
      </c>
      <c r="Q103" s="68" t="str">
        <f>IF('Marks Entry'!P103="","",'Marks Entry'!P103)</f>
        <v/>
      </c>
      <c r="R103" s="96" t="str">
        <f t="shared" si="259"/>
        <v/>
      </c>
      <c r="S103" s="65">
        <f t="shared" si="260"/>
        <v>0</v>
      </c>
      <c r="T103" s="65">
        <f t="shared" si="261"/>
        <v>0</v>
      </c>
      <c r="U103" s="66" t="str">
        <f t="shared" si="171"/>
        <v/>
      </c>
      <c r="V103" s="65" t="str">
        <f t="shared" si="172"/>
        <v/>
      </c>
      <c r="W103" s="65" t="str">
        <f t="shared" si="262"/>
        <v/>
      </c>
      <c r="X103" s="65" t="str">
        <f t="shared" si="173"/>
        <v/>
      </c>
      <c r="Y103" s="68" t="str">
        <f>IF('Marks Entry'!Q103="","",'Marks Entry'!Q103)</f>
        <v/>
      </c>
      <c r="Z103" s="68" t="str">
        <f>IF('Marks Entry'!R103="","",'Marks Entry'!R103)</f>
        <v/>
      </c>
      <c r="AA103" s="68" t="str">
        <f>IF('Marks Entry'!S103="","",'Marks Entry'!S103)</f>
        <v/>
      </c>
      <c r="AB103" s="514" t="str">
        <f t="shared" si="174"/>
        <v/>
      </c>
      <c r="AC103" s="68" t="str">
        <f>IF('Marks Entry'!T103="","",'Marks Entry'!T103)</f>
        <v/>
      </c>
      <c r="AD103" s="515" t="str">
        <f t="shared" si="175"/>
        <v/>
      </c>
      <c r="AE103" s="68" t="str">
        <f>IF('Marks Entry'!U103="","",'Marks Entry'!U103)</f>
        <v/>
      </c>
      <c r="AF103" s="96" t="str">
        <f t="shared" si="176"/>
        <v/>
      </c>
      <c r="AG103" s="65">
        <f t="shared" si="177"/>
        <v>0</v>
      </c>
      <c r="AH103" s="65">
        <f t="shared" si="178"/>
        <v>0</v>
      </c>
      <c r="AI103" s="66" t="str">
        <f t="shared" si="179"/>
        <v/>
      </c>
      <c r="AJ103" s="65" t="str">
        <f t="shared" si="180"/>
        <v/>
      </c>
      <c r="AK103" s="65" t="str">
        <f t="shared" si="181"/>
        <v/>
      </c>
      <c r="AL103" s="65" t="str">
        <f t="shared" si="182"/>
        <v/>
      </c>
      <c r="AM103" s="524" t="str">
        <f>IF('Marks Entry'!V103="","",IF('Marks Entry'!V103=1,'School Profile'!$I$9,IF('Marks Entry'!V103=2,'School Profile'!$I$10,IF('Marks Entry'!V103=3,'School Profile'!$I$11,IF('Marks Entry'!V103=4,'School Profile'!$I$12,IF('Marks Entry'!V103=5,'School Profile'!$I$13,IF('Marks Entry'!V103=6,'School Profile'!$I$14,"")))))))</f>
        <v/>
      </c>
      <c r="AN103" s="68" t="str">
        <f>IF('Marks Entry'!W103="","",'Marks Entry'!W103)</f>
        <v/>
      </c>
      <c r="AO103" s="68" t="str">
        <f>IF('Marks Entry'!X103="","",'Marks Entry'!X103)</f>
        <v/>
      </c>
      <c r="AP103" s="68" t="str">
        <f>IF('Marks Entry'!Y103="","",'Marks Entry'!Y103)</f>
        <v/>
      </c>
      <c r="AQ103" s="514" t="str">
        <f t="shared" si="183"/>
        <v/>
      </c>
      <c r="AR103" s="68" t="str">
        <f>IF('Marks Entry'!Z103="","",'Marks Entry'!Z103)</f>
        <v/>
      </c>
      <c r="AS103" s="515" t="str">
        <f t="shared" si="184"/>
        <v/>
      </c>
      <c r="AT103" s="68" t="str">
        <f>IF('Marks Entry'!AA103="","",'Marks Entry'!AA103)</f>
        <v/>
      </c>
      <c r="AU103" s="96" t="str">
        <f t="shared" si="185"/>
        <v/>
      </c>
      <c r="AV103" s="65">
        <f t="shared" si="186"/>
        <v>0</v>
      </c>
      <c r="AW103" s="65">
        <f t="shared" si="187"/>
        <v>0</v>
      </c>
      <c r="AX103" s="66" t="str">
        <f t="shared" si="188"/>
        <v/>
      </c>
      <c r="AY103" s="65" t="str">
        <f t="shared" si="189"/>
        <v/>
      </c>
      <c r="AZ103" s="65" t="str">
        <f t="shared" si="190"/>
        <v/>
      </c>
      <c r="BA103" s="65" t="str">
        <f t="shared" si="191"/>
        <v/>
      </c>
      <c r="BB103" s="68" t="str">
        <f>IF('Marks Entry'!AB103="","",'Marks Entry'!AB103)</f>
        <v/>
      </c>
      <c r="BC103" s="68" t="str">
        <f>IF('Marks Entry'!AC103="","",'Marks Entry'!AC103)</f>
        <v/>
      </c>
      <c r="BD103" s="68" t="str">
        <f>IF('Marks Entry'!AD103="","",'Marks Entry'!AD103)</f>
        <v/>
      </c>
      <c r="BE103" s="514" t="str">
        <f t="shared" si="192"/>
        <v/>
      </c>
      <c r="BF103" s="68" t="str">
        <f>IF('Marks Entry'!AE103="","",'Marks Entry'!AE103)</f>
        <v/>
      </c>
      <c r="BG103" s="515" t="str">
        <f t="shared" si="193"/>
        <v/>
      </c>
      <c r="BH103" s="68" t="str">
        <f>IF('Marks Entry'!AF103="","",'Marks Entry'!AF103)</f>
        <v/>
      </c>
      <c r="BI103" s="96" t="str">
        <f t="shared" si="194"/>
        <v/>
      </c>
      <c r="BJ103" s="65">
        <f t="shared" si="195"/>
        <v>0</v>
      </c>
      <c r="BK103" s="65">
        <f t="shared" si="263"/>
        <v>0</v>
      </c>
      <c r="BL103" s="66" t="str">
        <f t="shared" si="196"/>
        <v/>
      </c>
      <c r="BM103" s="65" t="str">
        <f t="shared" si="197"/>
        <v/>
      </c>
      <c r="BN103" s="65" t="str">
        <f t="shared" si="198"/>
        <v/>
      </c>
      <c r="BO103" s="65" t="str">
        <f t="shared" si="199"/>
        <v/>
      </c>
      <c r="BP103" s="68" t="str">
        <f>IF('Marks Entry'!AG103="","",'Marks Entry'!AG103)</f>
        <v/>
      </c>
      <c r="BQ103" s="68" t="str">
        <f>IF('Marks Entry'!AH103="","",'Marks Entry'!AH103)</f>
        <v/>
      </c>
      <c r="BR103" s="68" t="str">
        <f>IF('Marks Entry'!AI103="","",'Marks Entry'!AI103)</f>
        <v/>
      </c>
      <c r="BS103" s="514" t="str">
        <f t="shared" si="200"/>
        <v/>
      </c>
      <c r="BT103" s="68" t="str">
        <f>IF('Marks Entry'!AJ103="","",'Marks Entry'!AJ103)</f>
        <v/>
      </c>
      <c r="BU103" s="515" t="str">
        <f t="shared" si="201"/>
        <v/>
      </c>
      <c r="BV103" s="68" t="str">
        <f>IF('Marks Entry'!AK103="","",'Marks Entry'!AK103)</f>
        <v/>
      </c>
      <c r="BW103" s="96" t="str">
        <f t="shared" si="202"/>
        <v/>
      </c>
      <c r="BX103" s="65">
        <f t="shared" si="203"/>
        <v>0</v>
      </c>
      <c r="BY103" s="65">
        <f t="shared" si="204"/>
        <v>0</v>
      </c>
      <c r="BZ103" s="66" t="str">
        <f t="shared" si="205"/>
        <v/>
      </c>
      <c r="CA103" s="65" t="str">
        <f t="shared" si="206"/>
        <v/>
      </c>
      <c r="CB103" s="65" t="str">
        <f t="shared" si="207"/>
        <v/>
      </c>
      <c r="CC103" s="65" t="str">
        <f t="shared" si="208"/>
        <v/>
      </c>
      <c r="CD103" s="66">
        <f t="shared" ref="CD103:CD134" si="329">SUM(S103,T103,AG103,AH103,AV103,AW103,BJ103,BK103,BX103,BY103,CM103,CN103)</f>
        <v>0</v>
      </c>
      <c r="CE103" s="68" t="str">
        <f>IF('Marks Entry'!AL103="","",'Marks Entry'!AL103)</f>
        <v/>
      </c>
      <c r="CF103" s="68" t="str">
        <f>IF('Marks Entry'!AM103="","",'Marks Entry'!AM103)</f>
        <v/>
      </c>
      <c r="CG103" s="68" t="str">
        <f>IF('Marks Entry'!AN103="","",'Marks Entry'!AN103)</f>
        <v/>
      </c>
      <c r="CH103" s="514" t="str">
        <f t="shared" si="210"/>
        <v/>
      </c>
      <c r="CI103" s="68" t="str">
        <f>IF('Marks Entry'!AO103="","",'Marks Entry'!AO103)</f>
        <v/>
      </c>
      <c r="CJ103" s="515" t="str">
        <f t="shared" si="211"/>
        <v/>
      </c>
      <c r="CK103" s="68" t="str">
        <f>IF('Marks Entry'!AP103="","",'Marks Entry'!AP103)</f>
        <v/>
      </c>
      <c r="CL103" s="96" t="str">
        <f t="shared" si="212"/>
        <v/>
      </c>
      <c r="CM103" s="65">
        <f t="shared" si="213"/>
        <v>0</v>
      </c>
      <c r="CN103" s="65">
        <f t="shared" si="214"/>
        <v>0</v>
      </c>
      <c r="CO103" s="66" t="str">
        <f t="shared" si="215"/>
        <v/>
      </c>
      <c r="CP103" s="65" t="str">
        <f t="shared" si="216"/>
        <v/>
      </c>
      <c r="CQ103" s="65" t="str">
        <f t="shared" si="217"/>
        <v/>
      </c>
      <c r="CR103" s="65" t="str">
        <f t="shared" si="218"/>
        <v/>
      </c>
      <c r="CS103" s="616" t="str">
        <f>IF('School Profile'!$D$20="NO","",IF('Marks Entry'!AQ103="","",IF('Marks Entry'!AQ103=1,'School Profile'!$I$29,IF('Marks Entry'!AQ103=2,'School Profile'!$I$30,IF('Marks Entry'!AQ103=3,'School Profile'!$I$31,IF('Marks Entry'!AQ103=4,'School Profile'!$I$32,IF('Marks Entry'!AQ103=5,'School Profile'!$I$33,IF('Marks Entry'!AQ103=6,'School Profile'!$I$34,IF('Marks Entry'!AQ103=7,'School Profile'!$I$35,IF('Marks Entry'!AQ103=8,'School Profile'!$I$36,IF('Marks Entry'!AQ103=9,'School Profile'!$I$37,IF('Marks Entry'!AQ103=10,'School Profile'!$I$38,IF('Marks Entry'!AQ103=11,'School Profile'!$I$39,"")))))))))))))</f>
        <v/>
      </c>
      <c r="CT103" s="68" t="str">
        <f>IF('School Profile'!$D$20="NO","",IF('Marks Entry'!AR103="","",'Marks Entry'!AR103))</f>
        <v/>
      </c>
      <c r="CU103" s="68" t="str">
        <f>IF('School Profile'!$D$20="NO","",IF('Marks Entry'!AS103="","",'Marks Entry'!AS103))</f>
        <v/>
      </c>
      <c r="CV103" s="68" t="str">
        <f>IF('School Profile'!$D$20="NO","",IF('Marks Entry'!AT103="","",'Marks Entry'!AT103))</f>
        <v/>
      </c>
      <c r="CW103" s="514" t="str">
        <f>IF('School Profile'!$D$20="NO","",IF(AND(CT103="",CU103="",CV103=""),"",SUM(CT103:CV103)))</f>
        <v/>
      </c>
      <c r="CX103" s="68" t="str">
        <f>IF('School Profile'!$D$20="NO","",IF('Marks Entry'!AU103="","",'Marks Entry'!AU103))</f>
        <v/>
      </c>
      <c r="CY103" s="68" t="str">
        <f>IF('School Profile'!$D$20="NO","",IF('Marks Entry'!AV103="","",'Marks Entry'!AV103))</f>
        <v/>
      </c>
      <c r="CZ103" s="515" t="str">
        <f>IF('School Profile'!$D$20="NO","",IF(AND(CX103="",CY103=""),"",SUM(CX103,CY103)))</f>
        <v/>
      </c>
      <c r="DA103" s="69" t="str">
        <f>IF('School Profile'!$D$20="NO","",IF(AND(CW103="",CZ103=""),"",SUM(CW103+CZ103)))</f>
        <v/>
      </c>
      <c r="DB103" s="68" t="str">
        <f>IF('School Profile'!$D$20="NO","",IF('Marks Entry'!AW103="","",'Marks Entry'!AW103))</f>
        <v/>
      </c>
      <c r="DC103" s="68" t="str">
        <f>IF('School Profile'!$D$20="NO","",IF('Marks Entry'!AX103="","",'Marks Entry'!AX103))</f>
        <v/>
      </c>
      <c r="DD103" s="515" t="str">
        <f>IF('School Profile'!$D$20="NO","",IF(AND(DB103="",DC103=""),"",SUM(DB103,DC103)))</f>
        <v/>
      </c>
      <c r="DE103" s="96" t="str">
        <f>IF('School Profile'!$D$20="NO","",IF(AND(DA103="",DD103=""),"",SUM(DA103,DD103)))</f>
        <v/>
      </c>
      <c r="DF103" s="532">
        <f t="shared" si="219"/>
        <v>0</v>
      </c>
      <c r="DG103" s="65">
        <f t="shared" si="220"/>
        <v>0</v>
      </c>
      <c r="DH103" s="66" t="str">
        <f t="shared" si="221"/>
        <v/>
      </c>
      <c r="DI103" s="65" t="str">
        <f t="shared" si="222"/>
        <v/>
      </c>
      <c r="DJ103" s="65" t="str">
        <f t="shared" si="223"/>
        <v/>
      </c>
      <c r="DK103" s="65" t="str">
        <f t="shared" si="224"/>
        <v/>
      </c>
      <c r="DL103" s="97" t="str">
        <f t="shared" si="264"/>
        <v/>
      </c>
      <c r="DM103" s="97" t="str">
        <f t="shared" si="265"/>
        <v/>
      </c>
      <c r="DN103" s="97" t="str">
        <f t="shared" si="266"/>
        <v/>
      </c>
      <c r="DO103" s="97" t="str">
        <f t="shared" si="267"/>
        <v/>
      </c>
      <c r="DP103" s="97" t="str">
        <f t="shared" si="268"/>
        <v/>
      </c>
      <c r="DQ103" s="97" t="str">
        <f t="shared" si="269"/>
        <v/>
      </c>
      <c r="DR103" s="97" t="str">
        <f t="shared" si="270"/>
        <v/>
      </c>
      <c r="DS103" s="98">
        <f t="shared" si="271"/>
        <v>0</v>
      </c>
      <c r="DT103" s="98">
        <f t="shared" si="272"/>
        <v>0</v>
      </c>
      <c r="DU103" s="98">
        <f t="shared" si="273"/>
        <v>0</v>
      </c>
      <c r="DV103" s="98">
        <f t="shared" si="274"/>
        <v>0</v>
      </c>
      <c r="DW103" s="98">
        <f t="shared" si="275"/>
        <v>0</v>
      </c>
      <c r="DX103" s="98" t="str">
        <f t="shared" si="276"/>
        <v/>
      </c>
      <c r="DY103" s="99" t="str">
        <f t="shared" si="277"/>
        <v/>
      </c>
      <c r="DZ103" s="74" t="str">
        <f>IF('Marks Entry'!AY103="","",'Marks Entry'!AY103)</f>
        <v/>
      </c>
      <c r="EA103" s="74" t="str">
        <f>IF('Marks Entry'!AZ103="","",'Marks Entry'!AZ103)</f>
        <v/>
      </c>
      <c r="EB103" s="74" t="str">
        <f>IF('Marks Entry'!BA103="","",'Marks Entry'!BA103)</f>
        <v/>
      </c>
      <c r="EC103" s="527" t="str">
        <f t="shared" si="225"/>
        <v/>
      </c>
      <c r="ED103" s="74" t="str">
        <f>IF('Marks Entry'!BB103="","",'Marks Entry'!BB103)</f>
        <v/>
      </c>
      <c r="EE103" s="528" t="str">
        <f t="shared" si="226"/>
        <v/>
      </c>
      <c r="EF103" s="74" t="str">
        <f>IF('Marks Entry'!BC103="","",'Marks Entry'!BC103)</f>
        <v/>
      </c>
      <c r="EG103" s="530" t="str">
        <f t="shared" si="227"/>
        <v/>
      </c>
      <c r="EH103" s="368" t="str">
        <f t="shared" si="278"/>
        <v/>
      </c>
      <c r="EI103" s="65">
        <f t="shared" si="279"/>
        <v>0</v>
      </c>
      <c r="EJ103" s="65">
        <f t="shared" si="280"/>
        <v>0</v>
      </c>
      <c r="EK103" s="66" t="str">
        <f t="shared" si="281"/>
        <v/>
      </c>
      <c r="EL103" s="74" t="str">
        <f>IF('Marks Entry'!BD103="","",'Marks Entry'!BD103)</f>
        <v/>
      </c>
      <c r="EM103" s="74" t="str">
        <f>IF('Marks Entry'!BE103="","",'Marks Entry'!BE103)</f>
        <v/>
      </c>
      <c r="EN103" s="74" t="str">
        <f>IF('Marks Entry'!BF103="","",'Marks Entry'!BF103)</f>
        <v/>
      </c>
      <c r="EO103" s="527" t="str">
        <f t="shared" si="228"/>
        <v/>
      </c>
      <c r="EP103" s="74" t="str">
        <f>IF('Marks Entry'!BG103="","",'Marks Entry'!BG103)</f>
        <v/>
      </c>
      <c r="EQ103" s="74" t="str">
        <f>IF('Marks Entry'!BH103="","",'Marks Entry'!BH103)</f>
        <v/>
      </c>
      <c r="ER103" s="528" t="str">
        <f t="shared" si="229"/>
        <v/>
      </c>
      <c r="ES103" s="529" t="str">
        <f t="shared" si="230"/>
        <v/>
      </c>
      <c r="ET103" s="74" t="str">
        <f>IF('Marks Entry'!BI103="","",'Marks Entry'!BI103)</f>
        <v/>
      </c>
      <c r="EU103" s="74" t="str">
        <f>IF('Marks Entry'!BJ103="","",'Marks Entry'!BJ103)</f>
        <v/>
      </c>
      <c r="EV103" s="528" t="str">
        <f t="shared" si="231"/>
        <v/>
      </c>
      <c r="EW103" s="530" t="str">
        <f t="shared" si="232"/>
        <v/>
      </c>
      <c r="EX103" s="368" t="str">
        <f t="shared" si="282"/>
        <v/>
      </c>
      <c r="EY103" s="65">
        <f t="shared" si="283"/>
        <v>0</v>
      </c>
      <c r="EZ103" s="65">
        <f t="shared" si="284"/>
        <v>0</v>
      </c>
      <c r="FA103" s="66" t="str">
        <f t="shared" si="285"/>
        <v/>
      </c>
      <c r="FB103" s="74" t="str">
        <f>IF('Marks Entry'!BK103="","",'Marks Entry'!BK103)</f>
        <v/>
      </c>
      <c r="FC103" s="74" t="str">
        <f>IF('Marks Entry'!BL103="","",'Marks Entry'!BL103)</f>
        <v/>
      </c>
      <c r="FD103" s="74" t="str">
        <f>IF('Marks Entry'!BM103="","",'Marks Entry'!BM103)</f>
        <v/>
      </c>
      <c r="FE103" s="74" t="str">
        <f>IF('Marks Entry'!BN103="","",'Marks Entry'!BN103)</f>
        <v/>
      </c>
      <c r="FF103" s="74" t="str">
        <f>IF('Marks Entry'!BO103="","",'Marks Entry'!BO103)</f>
        <v/>
      </c>
      <c r="FG103" s="74" t="str">
        <f>IF('Marks Entry'!BP103="","",'Marks Entry'!BP103)</f>
        <v/>
      </c>
      <c r="FH103" s="527" t="str">
        <f t="shared" si="233"/>
        <v/>
      </c>
      <c r="FI103" s="74" t="str">
        <f>IF('Marks Entry'!BQ103="","",'Marks Entry'!BQ103)</f>
        <v/>
      </c>
      <c r="FJ103" s="74" t="str">
        <f>IF('Marks Entry'!BR103="","",'Marks Entry'!BR103)</f>
        <v/>
      </c>
      <c r="FK103" s="528" t="str">
        <f t="shared" si="234"/>
        <v/>
      </c>
      <c r="FL103" s="529" t="str">
        <f t="shared" si="235"/>
        <v/>
      </c>
      <c r="FM103" s="74" t="str">
        <f>IF('Marks Entry'!BS103="","",'Marks Entry'!BS103)</f>
        <v/>
      </c>
      <c r="FN103" s="74" t="str">
        <f>IF('Marks Entry'!BT103="","",'Marks Entry'!BT103)</f>
        <v/>
      </c>
      <c r="FO103" s="528" t="str">
        <f t="shared" si="236"/>
        <v/>
      </c>
      <c r="FP103" s="530" t="str">
        <f t="shared" si="237"/>
        <v/>
      </c>
      <c r="FQ103" s="368" t="str">
        <f t="shared" si="286"/>
        <v/>
      </c>
      <c r="FR103" s="65">
        <f t="shared" si="287"/>
        <v>0</v>
      </c>
      <c r="FS103" s="65">
        <f t="shared" si="288"/>
        <v>0</v>
      </c>
      <c r="FT103" s="66" t="str">
        <f t="shared" si="289"/>
        <v/>
      </c>
      <c r="FU103" s="74" t="str">
        <f>IF('Marks Entry'!BU103="","",'Marks Entry'!BU103)</f>
        <v/>
      </c>
      <c r="FV103" s="74" t="str">
        <f>IF('Marks Entry'!BV103="","",'Marks Entry'!BV103)</f>
        <v/>
      </c>
      <c r="FW103" s="74" t="str">
        <f>IF('Marks Entry'!BW103="","",'Marks Entry'!BW103)</f>
        <v/>
      </c>
      <c r="FX103" s="75" t="str">
        <f t="shared" si="238"/>
        <v/>
      </c>
      <c r="FY103" s="368" t="str">
        <f t="shared" si="290"/>
        <v/>
      </c>
      <c r="FZ103" s="65">
        <f t="shared" si="291"/>
        <v>0</v>
      </c>
      <c r="GA103" s="66">
        <f t="shared" si="292"/>
        <v>0</v>
      </c>
      <c r="GB103" s="66" t="str">
        <f t="shared" si="293"/>
        <v/>
      </c>
      <c r="GC103" s="74" t="str">
        <f>IF('Marks Entry'!BX103="","",'Marks Entry'!BX103)</f>
        <v/>
      </c>
      <c r="GD103" s="74" t="str">
        <f>IF('Marks Entry'!BY103="","",'Marks Entry'!BY103)</f>
        <v/>
      </c>
      <c r="GE103" s="74" t="str">
        <f>IF('Marks Entry'!BZ103="","",'Marks Entry'!BZ103)</f>
        <v/>
      </c>
      <c r="GF103" s="75" t="str">
        <f t="shared" si="294"/>
        <v/>
      </c>
      <c r="GG103" s="368" t="str">
        <f t="shared" si="295"/>
        <v/>
      </c>
      <c r="GH103" s="65">
        <f t="shared" si="296"/>
        <v>0</v>
      </c>
      <c r="GI103" s="66">
        <f t="shared" si="297"/>
        <v>0</v>
      </c>
      <c r="GJ103" s="66" t="str">
        <f t="shared" si="298"/>
        <v/>
      </c>
      <c r="GK103" s="100" t="str">
        <f>IF(AND(F103="",B103=""),"",IF('Student DATA Entry'!M100="","",'Student DATA Entry'!M100))</f>
        <v/>
      </c>
      <c r="GL103" s="101" t="str">
        <f>IF(AND(B103="",F103=""),"",IF('Student DATA Entry'!N100="","",'Student DATA Entry'!N100))</f>
        <v/>
      </c>
      <c r="GM103" s="581" t="str">
        <f t="shared" si="299"/>
        <v/>
      </c>
      <c r="GN103" s="94" t="str">
        <f t="shared" si="300"/>
        <v/>
      </c>
      <c r="GO103" s="94" t="str">
        <f t="shared" si="301"/>
        <v/>
      </c>
      <c r="GP103" s="102" t="str">
        <f t="shared" ref="GP103:GP134" si="330">IF(GN103="G",ROUNDUP(36%*U103-R103,0),"")</f>
        <v/>
      </c>
      <c r="GQ103" s="94" t="str">
        <f t="shared" si="302"/>
        <v/>
      </c>
      <c r="GR103" s="103" t="str">
        <f t="shared" si="303"/>
        <v/>
      </c>
      <c r="GS103" s="102" t="str">
        <f t="shared" ref="GS103:GS134" si="331">IF(GQ103="G",ROUNDUP(36%*AI103-AF103,0),"")</f>
        <v/>
      </c>
      <c r="GT103" s="104" t="str">
        <f t="shared" si="304"/>
        <v/>
      </c>
      <c r="GU103" s="94" t="str">
        <f>IF('Marks Entry'!V103=1,GT103,"")</f>
        <v/>
      </c>
      <c r="GV103" s="94" t="str">
        <f>IF('Marks Entry'!V103=2,GT103,"")</f>
        <v/>
      </c>
      <c r="GW103" s="94" t="str">
        <f>IF('Marks Entry'!V103=3,GT103,"")</f>
        <v/>
      </c>
      <c r="GX103" s="94" t="str">
        <f>IF('Marks Entry'!V103=4,GT103,"")</f>
        <v/>
      </c>
      <c r="GY103" s="94" t="str">
        <f>IF('Marks Entry'!V103=5,GT103,"")</f>
        <v/>
      </c>
      <c r="GZ103" s="94" t="str">
        <f t="shared" si="305"/>
        <v/>
      </c>
      <c r="HA103" s="105" t="str">
        <f t="shared" ref="HA103:HA134" si="332">IF(GT103="G",ROUNDUP(36%*AX103-AU103,0),"")</f>
        <v/>
      </c>
      <c r="HB103" s="94" t="str">
        <f t="shared" si="306"/>
        <v/>
      </c>
      <c r="HC103" s="94" t="str">
        <f t="shared" si="307"/>
        <v/>
      </c>
      <c r="HD103" s="105" t="str">
        <f t="shared" ref="HD103:HD134" si="333">IF(HB103="G",ROUNDUP(36%*BL103-BI103,0),"")</f>
        <v/>
      </c>
      <c r="HE103" s="94" t="str">
        <f t="shared" si="308"/>
        <v/>
      </c>
      <c r="HF103" s="94" t="str">
        <f t="shared" si="309"/>
        <v/>
      </c>
      <c r="HG103" s="105" t="str">
        <f t="shared" ref="HG103:HG134" si="334">IF(HE103="G",ROUNDUP(36%*BZ103-BW103,0),"")</f>
        <v/>
      </c>
      <c r="HH103" s="94" t="str">
        <f t="shared" si="310"/>
        <v/>
      </c>
      <c r="HI103" s="94" t="str">
        <f t="shared" si="311"/>
        <v/>
      </c>
      <c r="HJ103" s="105" t="str">
        <f t="shared" ref="HJ103:HJ134" si="335">IF(HH103="G",ROUNDUP(36%*CO103-CL103,0),"")</f>
        <v/>
      </c>
      <c r="HK103" s="94" t="str">
        <f t="shared" si="312"/>
        <v/>
      </c>
      <c r="HL103" s="94" t="str">
        <f t="shared" si="313"/>
        <v/>
      </c>
      <c r="HM103" s="105" t="str">
        <f t="shared" ref="HM103:HM134" si="336">IF(HK103="G",ROUNDUP(36%*DH103-DE103,0),"")</f>
        <v/>
      </c>
      <c r="HN103" s="367" t="str">
        <f t="shared" si="314"/>
        <v xml:space="preserve">      </v>
      </c>
      <c r="HO103" s="418" t="str">
        <f t="shared" ref="HO103:HO134" si="337">IF(COUNTIF(DL103:DR103,"F")&gt;0,"",CONCATENATE(IF(GN103="S",$GN$5,"")," ",IF(GQ103="S",$GQ$5,"")," ",IF(GU103="S",$GU$5,IF(GV103="S",$GV$5,IF(GW103="S",$GW$5,IF(GX103="S",$GX$5,IF(GY103="S",$GY$5,"")))))," ",IF(HB103="S",$HB$5,"")," ",IF(HE103="S",$HE$5,"")," ",IF(HH103="S",$HH$5,"")," ",IF(HK103="S",$HK$5,"")))</f>
        <v xml:space="preserve">      </v>
      </c>
      <c r="HP103" s="367" t="str">
        <f t="shared" si="315"/>
        <v xml:space="preserve">      </v>
      </c>
      <c r="HQ103" s="107" t="str">
        <f t="shared" si="316"/>
        <v xml:space="preserve">      </v>
      </c>
      <c r="HR103" s="366" t="str">
        <f t="shared" si="317"/>
        <v xml:space="preserve">      </v>
      </c>
      <c r="HS103" s="544" t="str">
        <f t="shared" ref="HS103:HS134" si="338">IF(B103="NSO","NSO",IF(AND(OR(DY103="PASS",DY103="BY GRACE PASS",DY103="RE-EXAM"),DX103="F"),"FAIL",IF(AND(OR(DY103="PASS",DY103="BY GRACE PASS"),DX103="RE"),"RE-EXAM",DY103)))</f>
        <v/>
      </c>
      <c r="HT103" s="542" t="str">
        <f t="shared" si="318"/>
        <v/>
      </c>
      <c r="HU103" s="541" t="str">
        <f t="shared" si="319"/>
        <v/>
      </c>
      <c r="HV103" s="540" t="str">
        <f t="shared" si="320"/>
        <v/>
      </c>
      <c r="HW103" s="537" t="str">
        <f t="shared" si="321"/>
        <v/>
      </c>
      <c r="HX103" s="539" t="str">
        <f t="shared" si="322"/>
        <v/>
      </c>
      <c r="HY103" s="553" t="str">
        <f>IFERROR(IF(OR(HS103="SUPPLEMENTARY",HS103="RE-EXAM"),'Supp. Result Entry'!AQ101,""),"")</f>
        <v/>
      </c>
      <c r="HZ103" s="538" t="str">
        <f t="shared" si="323"/>
        <v/>
      </c>
      <c r="IA103" s="415" t="str">
        <f t="shared" si="324"/>
        <v/>
      </c>
      <c r="IB103" s="415" t="str">
        <f>IF(AND(HZ103="",IA103=""),"",IF(OR(HS103="SUPPLEMENTARY",HS103="RE-EXAM"),'Supp. Result Entry'!AQ101,HS103))</f>
        <v/>
      </c>
      <c r="IC103" s="87"/>
      <c r="IS103" s="109" t="str">
        <f>IF('Supp. Result Entry'!T101="","",'Supp. Result Entry'!$T$4)</f>
        <v/>
      </c>
      <c r="IT103" s="110" t="str">
        <f>IF('Supp. Result Entry'!W101="","",'Supp. Result Entry'!$W$4)</f>
        <v/>
      </c>
      <c r="IU103" s="110" t="str">
        <f>IF('Supp. Result Entry'!Z101="","",'Supp. Result Entry'!$Z$4)</f>
        <v/>
      </c>
      <c r="IV103" s="110" t="str">
        <f>IF('Supp. Result Entry'!AC101="","",'Supp. Result Entry'!$AC$4)</f>
        <v/>
      </c>
      <c r="IW103" s="110" t="str">
        <f>IF('Supp. Result Entry'!AF101="","",'Supp. Result Entry'!$AF$4)</f>
        <v/>
      </c>
      <c r="IX103" s="110" t="str">
        <f>IF('Supp. Result Entry'!AI101="","",'Supp. Result Entry'!$AI$4)</f>
        <v/>
      </c>
      <c r="IY103" s="110" t="str">
        <f>IF('Supp. Result Entry'!AI101="","",'Supp. Result Entry'!$AL$4)</f>
        <v/>
      </c>
      <c r="IZ103" s="110" t="str">
        <f>IF('Supp. Result Entry'!U101="","",'Supp. Result Entry'!U101)</f>
        <v/>
      </c>
      <c r="JA103" s="110" t="str">
        <f>IF('Supp. Result Entry'!X101="","",'Supp. Result Entry'!X101)</f>
        <v/>
      </c>
      <c r="JB103" s="110" t="str">
        <f>IF('Supp. Result Entry'!AA101="","",'Supp. Result Entry'!AA101)</f>
        <v/>
      </c>
      <c r="JC103" s="110" t="str">
        <f>IF('Supp. Result Entry'!AD101="","",'Supp. Result Entry'!AD101)</f>
        <v/>
      </c>
      <c r="JD103" s="110" t="str">
        <f>IF('Supp. Result Entry'!AG101="","",'Supp. Result Entry'!AG101)</f>
        <v/>
      </c>
      <c r="JE103" s="110" t="str">
        <f>IF('Supp. Result Entry'!AJ101="","",'Supp. Result Entry'!AJ101)</f>
        <v/>
      </c>
      <c r="JF103" s="110" t="str">
        <f>IF('Supp. Result Entry'!AM101="","",'Supp. Result Entry'!AM101)</f>
        <v/>
      </c>
      <c r="JG103" s="110" t="str">
        <f>IF('Supp. Result Entry'!V101="","",'Supp. Result Entry'!V101)</f>
        <v/>
      </c>
      <c r="JH103" s="110" t="str">
        <f>IF('Supp. Result Entry'!Y101="","",'Supp. Result Entry'!Y101)</f>
        <v/>
      </c>
      <c r="JI103" s="110" t="str">
        <f>IF('Supp. Result Entry'!AB101="","",'Supp. Result Entry'!AB101)</f>
        <v/>
      </c>
      <c r="JJ103" s="110" t="str">
        <f>IF('Supp. Result Entry'!AE101="","",'Supp. Result Entry'!AE101)</f>
        <v/>
      </c>
      <c r="JK103" s="110" t="str">
        <f>IF('Supp. Result Entry'!AH101="","",'Supp. Result Entry'!AH101)</f>
        <v/>
      </c>
      <c r="JL103" s="110" t="str">
        <f>IF('Supp. Result Entry'!AK101="","",'Supp. Result Entry'!AK101)</f>
        <v/>
      </c>
      <c r="JM103" s="110" t="str">
        <f>IF('Supp. Result Entry'!AN101="","",'Supp. Result Entry'!AN101)</f>
        <v/>
      </c>
      <c r="JN103" s="110">
        <f>COUNTIF('Supp. Result Entry'!K101:Q101,"S")</f>
        <v>0</v>
      </c>
      <c r="JO103" s="110">
        <f t="shared" si="248"/>
        <v>0</v>
      </c>
      <c r="JP103" s="110">
        <f t="shared" si="325"/>
        <v>0</v>
      </c>
      <c r="JQ103" s="110" t="str">
        <f t="shared" si="249"/>
        <v/>
      </c>
      <c r="JR103" s="110" t="str">
        <f t="shared" si="250"/>
        <v/>
      </c>
      <c r="JS103" s="110" t="str">
        <f t="shared" si="251"/>
        <v/>
      </c>
      <c r="JT103" s="110" t="str">
        <f t="shared" si="252"/>
        <v/>
      </c>
      <c r="JU103" s="110" t="str">
        <f t="shared" si="253"/>
        <v/>
      </c>
      <c r="JV103" s="110" t="str">
        <f t="shared" si="254"/>
        <v/>
      </c>
      <c r="JW103" s="110" t="str">
        <f t="shared" si="255"/>
        <v/>
      </c>
      <c r="JX103" s="110" t="str">
        <f t="shared" si="326"/>
        <v/>
      </c>
      <c r="JY103" s="110" t="str">
        <f t="shared" si="327"/>
        <v/>
      </c>
      <c r="JZ103" s="110" t="str">
        <f t="shared" si="256"/>
        <v/>
      </c>
      <c r="KA103" s="108" t="str">
        <f t="shared" si="328"/>
        <v/>
      </c>
    </row>
    <row r="104" spans="1:287" s="108" customFormat="1" ht="21.95" customHeight="1">
      <c r="A104" s="89">
        <v>98</v>
      </c>
      <c r="B104" s="90" t="str">
        <f>IF('Marks Entry'!B104="","",'Marks Entry'!B104)</f>
        <v/>
      </c>
      <c r="C104" s="94" t="str">
        <f>IF('Marks Entry'!D104="","",'Marks Entry'!D104)</f>
        <v/>
      </c>
      <c r="D104" s="91" t="str">
        <f>IF('Marks Entry'!E104="","",'Marks Entry'!E104)</f>
        <v/>
      </c>
      <c r="E104" s="92" t="str">
        <f>IF('Marks Entry'!F104="","",'Marks Entry'!F104)</f>
        <v/>
      </c>
      <c r="F104" s="93" t="str">
        <f>IF('Marks Entry'!G104="","",'Marks Entry'!G104)</f>
        <v/>
      </c>
      <c r="G104" s="93" t="str">
        <f>IF('Marks Entry'!H104="","",'Marks Entry'!H104)</f>
        <v/>
      </c>
      <c r="H104" s="93" t="str">
        <f>IF('Marks Entry'!I104="","",'Marks Entry'!I104)</f>
        <v/>
      </c>
      <c r="I104" s="94" t="str">
        <f>IF('Marks Entry'!J104="","",'Marks Entry'!J104)</f>
        <v/>
      </c>
      <c r="J104" s="95" t="str">
        <f>IF('Marks Entry'!K104="","",'Marks Entry'!K104)</f>
        <v/>
      </c>
      <c r="K104" s="68" t="str">
        <f>IF('Marks Entry'!L104="","",'Marks Entry'!L104)</f>
        <v/>
      </c>
      <c r="L104" s="68" t="str">
        <f>IF('Marks Entry'!M104="","",'Marks Entry'!M104)</f>
        <v/>
      </c>
      <c r="M104" s="68" t="str">
        <f>IF('Marks Entry'!N104="","",'Marks Entry'!N104)</f>
        <v/>
      </c>
      <c r="N104" s="514" t="str">
        <f t="shared" si="257"/>
        <v/>
      </c>
      <c r="O104" s="68" t="str">
        <f>IF('Marks Entry'!O104="","",'Marks Entry'!O104)</f>
        <v/>
      </c>
      <c r="P104" s="515" t="str">
        <f t="shared" si="258"/>
        <v/>
      </c>
      <c r="Q104" s="68" t="str">
        <f>IF('Marks Entry'!P104="","",'Marks Entry'!P104)</f>
        <v/>
      </c>
      <c r="R104" s="96" t="str">
        <f t="shared" si="259"/>
        <v/>
      </c>
      <c r="S104" s="65">
        <f t="shared" si="260"/>
        <v>0</v>
      </c>
      <c r="T104" s="65">
        <f t="shared" si="261"/>
        <v>0</v>
      </c>
      <c r="U104" s="66" t="str">
        <f t="shared" si="171"/>
        <v/>
      </c>
      <c r="V104" s="65" t="str">
        <f t="shared" si="172"/>
        <v/>
      </c>
      <c r="W104" s="65" t="str">
        <f t="shared" si="262"/>
        <v/>
      </c>
      <c r="X104" s="65" t="str">
        <f t="shared" si="173"/>
        <v/>
      </c>
      <c r="Y104" s="68" t="str">
        <f>IF('Marks Entry'!Q104="","",'Marks Entry'!Q104)</f>
        <v/>
      </c>
      <c r="Z104" s="68" t="str">
        <f>IF('Marks Entry'!R104="","",'Marks Entry'!R104)</f>
        <v/>
      </c>
      <c r="AA104" s="68" t="str">
        <f>IF('Marks Entry'!S104="","",'Marks Entry'!S104)</f>
        <v/>
      </c>
      <c r="AB104" s="514" t="str">
        <f t="shared" si="174"/>
        <v/>
      </c>
      <c r="AC104" s="68" t="str">
        <f>IF('Marks Entry'!T104="","",'Marks Entry'!T104)</f>
        <v/>
      </c>
      <c r="AD104" s="515" t="str">
        <f t="shared" si="175"/>
        <v/>
      </c>
      <c r="AE104" s="68" t="str">
        <f>IF('Marks Entry'!U104="","",'Marks Entry'!U104)</f>
        <v/>
      </c>
      <c r="AF104" s="96" t="str">
        <f t="shared" si="176"/>
        <v/>
      </c>
      <c r="AG104" s="65">
        <f t="shared" si="177"/>
        <v>0</v>
      </c>
      <c r="AH104" s="65">
        <f t="shared" si="178"/>
        <v>0</v>
      </c>
      <c r="AI104" s="66" t="str">
        <f t="shared" si="179"/>
        <v/>
      </c>
      <c r="AJ104" s="65" t="str">
        <f t="shared" si="180"/>
        <v/>
      </c>
      <c r="AK104" s="65" t="str">
        <f t="shared" si="181"/>
        <v/>
      </c>
      <c r="AL104" s="65" t="str">
        <f t="shared" si="182"/>
        <v/>
      </c>
      <c r="AM104" s="524" t="str">
        <f>IF('Marks Entry'!V104="","",IF('Marks Entry'!V104=1,'School Profile'!$I$9,IF('Marks Entry'!V104=2,'School Profile'!$I$10,IF('Marks Entry'!V104=3,'School Profile'!$I$11,IF('Marks Entry'!V104=4,'School Profile'!$I$12,IF('Marks Entry'!V104=5,'School Profile'!$I$13,IF('Marks Entry'!V104=6,'School Profile'!$I$14,"")))))))</f>
        <v/>
      </c>
      <c r="AN104" s="68" t="str">
        <f>IF('Marks Entry'!W104="","",'Marks Entry'!W104)</f>
        <v/>
      </c>
      <c r="AO104" s="68" t="str">
        <f>IF('Marks Entry'!X104="","",'Marks Entry'!X104)</f>
        <v/>
      </c>
      <c r="AP104" s="68" t="str">
        <f>IF('Marks Entry'!Y104="","",'Marks Entry'!Y104)</f>
        <v/>
      </c>
      <c r="AQ104" s="514" t="str">
        <f t="shared" si="183"/>
        <v/>
      </c>
      <c r="AR104" s="68" t="str">
        <f>IF('Marks Entry'!Z104="","",'Marks Entry'!Z104)</f>
        <v/>
      </c>
      <c r="AS104" s="515" t="str">
        <f t="shared" si="184"/>
        <v/>
      </c>
      <c r="AT104" s="68" t="str">
        <f>IF('Marks Entry'!AA104="","",'Marks Entry'!AA104)</f>
        <v/>
      </c>
      <c r="AU104" s="96" t="str">
        <f t="shared" si="185"/>
        <v/>
      </c>
      <c r="AV104" s="65">
        <f t="shared" si="186"/>
        <v>0</v>
      </c>
      <c r="AW104" s="65">
        <f t="shared" si="187"/>
        <v>0</v>
      </c>
      <c r="AX104" s="66" t="str">
        <f t="shared" si="188"/>
        <v/>
      </c>
      <c r="AY104" s="65" t="str">
        <f t="shared" si="189"/>
        <v/>
      </c>
      <c r="AZ104" s="65" t="str">
        <f t="shared" si="190"/>
        <v/>
      </c>
      <c r="BA104" s="65" t="str">
        <f t="shared" si="191"/>
        <v/>
      </c>
      <c r="BB104" s="68" t="str">
        <f>IF('Marks Entry'!AB104="","",'Marks Entry'!AB104)</f>
        <v/>
      </c>
      <c r="BC104" s="68" t="str">
        <f>IF('Marks Entry'!AC104="","",'Marks Entry'!AC104)</f>
        <v/>
      </c>
      <c r="BD104" s="68" t="str">
        <f>IF('Marks Entry'!AD104="","",'Marks Entry'!AD104)</f>
        <v/>
      </c>
      <c r="BE104" s="514" t="str">
        <f t="shared" si="192"/>
        <v/>
      </c>
      <c r="BF104" s="68" t="str">
        <f>IF('Marks Entry'!AE104="","",'Marks Entry'!AE104)</f>
        <v/>
      </c>
      <c r="BG104" s="515" t="str">
        <f t="shared" si="193"/>
        <v/>
      </c>
      <c r="BH104" s="68" t="str">
        <f>IF('Marks Entry'!AF104="","",'Marks Entry'!AF104)</f>
        <v/>
      </c>
      <c r="BI104" s="96" t="str">
        <f t="shared" si="194"/>
        <v/>
      </c>
      <c r="BJ104" s="65">
        <f t="shared" si="195"/>
        <v>0</v>
      </c>
      <c r="BK104" s="65">
        <f t="shared" si="263"/>
        <v>0</v>
      </c>
      <c r="BL104" s="66" t="str">
        <f t="shared" si="196"/>
        <v/>
      </c>
      <c r="BM104" s="65" t="str">
        <f t="shared" si="197"/>
        <v/>
      </c>
      <c r="BN104" s="65" t="str">
        <f t="shared" si="198"/>
        <v/>
      </c>
      <c r="BO104" s="65" t="str">
        <f t="shared" si="199"/>
        <v/>
      </c>
      <c r="BP104" s="68" t="str">
        <f>IF('Marks Entry'!AG104="","",'Marks Entry'!AG104)</f>
        <v/>
      </c>
      <c r="BQ104" s="68" t="str">
        <f>IF('Marks Entry'!AH104="","",'Marks Entry'!AH104)</f>
        <v/>
      </c>
      <c r="BR104" s="68" t="str">
        <f>IF('Marks Entry'!AI104="","",'Marks Entry'!AI104)</f>
        <v/>
      </c>
      <c r="BS104" s="514" t="str">
        <f t="shared" si="200"/>
        <v/>
      </c>
      <c r="BT104" s="68" t="str">
        <f>IF('Marks Entry'!AJ104="","",'Marks Entry'!AJ104)</f>
        <v/>
      </c>
      <c r="BU104" s="515" t="str">
        <f t="shared" si="201"/>
        <v/>
      </c>
      <c r="BV104" s="68" t="str">
        <f>IF('Marks Entry'!AK104="","",'Marks Entry'!AK104)</f>
        <v/>
      </c>
      <c r="BW104" s="96" t="str">
        <f t="shared" si="202"/>
        <v/>
      </c>
      <c r="BX104" s="65">
        <f t="shared" si="203"/>
        <v>0</v>
      </c>
      <c r="BY104" s="65">
        <f t="shared" si="204"/>
        <v>0</v>
      </c>
      <c r="BZ104" s="66" t="str">
        <f t="shared" si="205"/>
        <v/>
      </c>
      <c r="CA104" s="65" t="str">
        <f t="shared" si="206"/>
        <v/>
      </c>
      <c r="CB104" s="65" t="str">
        <f t="shared" si="207"/>
        <v/>
      </c>
      <c r="CC104" s="65" t="str">
        <f t="shared" si="208"/>
        <v/>
      </c>
      <c r="CD104" s="66">
        <f t="shared" si="329"/>
        <v>0</v>
      </c>
      <c r="CE104" s="68" t="str">
        <f>IF('Marks Entry'!AL104="","",'Marks Entry'!AL104)</f>
        <v/>
      </c>
      <c r="CF104" s="68" t="str">
        <f>IF('Marks Entry'!AM104="","",'Marks Entry'!AM104)</f>
        <v/>
      </c>
      <c r="CG104" s="68" t="str">
        <f>IF('Marks Entry'!AN104="","",'Marks Entry'!AN104)</f>
        <v/>
      </c>
      <c r="CH104" s="514" t="str">
        <f t="shared" si="210"/>
        <v/>
      </c>
      <c r="CI104" s="68" t="str">
        <f>IF('Marks Entry'!AO104="","",'Marks Entry'!AO104)</f>
        <v/>
      </c>
      <c r="CJ104" s="515" t="str">
        <f t="shared" si="211"/>
        <v/>
      </c>
      <c r="CK104" s="68" t="str">
        <f>IF('Marks Entry'!AP104="","",'Marks Entry'!AP104)</f>
        <v/>
      </c>
      <c r="CL104" s="96" t="str">
        <f t="shared" si="212"/>
        <v/>
      </c>
      <c r="CM104" s="65">
        <f t="shared" si="213"/>
        <v>0</v>
      </c>
      <c r="CN104" s="65">
        <f t="shared" si="214"/>
        <v>0</v>
      </c>
      <c r="CO104" s="66" t="str">
        <f t="shared" si="215"/>
        <v/>
      </c>
      <c r="CP104" s="65" t="str">
        <f t="shared" si="216"/>
        <v/>
      </c>
      <c r="CQ104" s="65" t="str">
        <f t="shared" si="217"/>
        <v/>
      </c>
      <c r="CR104" s="65" t="str">
        <f t="shared" si="218"/>
        <v/>
      </c>
      <c r="CS104" s="616" t="str">
        <f>IF('School Profile'!$D$20="NO","",IF('Marks Entry'!AQ104="","",IF('Marks Entry'!AQ104=1,'School Profile'!$I$29,IF('Marks Entry'!AQ104=2,'School Profile'!$I$30,IF('Marks Entry'!AQ104=3,'School Profile'!$I$31,IF('Marks Entry'!AQ104=4,'School Profile'!$I$32,IF('Marks Entry'!AQ104=5,'School Profile'!$I$33,IF('Marks Entry'!AQ104=6,'School Profile'!$I$34,IF('Marks Entry'!AQ104=7,'School Profile'!$I$35,IF('Marks Entry'!AQ104=8,'School Profile'!$I$36,IF('Marks Entry'!AQ104=9,'School Profile'!$I$37,IF('Marks Entry'!AQ104=10,'School Profile'!$I$38,IF('Marks Entry'!AQ104=11,'School Profile'!$I$39,"")))))))))))))</f>
        <v/>
      </c>
      <c r="CT104" s="68" t="str">
        <f>IF('School Profile'!$D$20="NO","",IF('Marks Entry'!AR104="","",'Marks Entry'!AR104))</f>
        <v/>
      </c>
      <c r="CU104" s="68" t="str">
        <f>IF('School Profile'!$D$20="NO","",IF('Marks Entry'!AS104="","",'Marks Entry'!AS104))</f>
        <v/>
      </c>
      <c r="CV104" s="68" t="str">
        <f>IF('School Profile'!$D$20="NO","",IF('Marks Entry'!AT104="","",'Marks Entry'!AT104))</f>
        <v/>
      </c>
      <c r="CW104" s="514" t="str">
        <f>IF('School Profile'!$D$20="NO","",IF(AND(CT104="",CU104="",CV104=""),"",SUM(CT104:CV104)))</f>
        <v/>
      </c>
      <c r="CX104" s="68" t="str">
        <f>IF('School Profile'!$D$20="NO","",IF('Marks Entry'!AU104="","",'Marks Entry'!AU104))</f>
        <v/>
      </c>
      <c r="CY104" s="68" t="str">
        <f>IF('School Profile'!$D$20="NO","",IF('Marks Entry'!AV104="","",'Marks Entry'!AV104))</f>
        <v/>
      </c>
      <c r="CZ104" s="515" t="str">
        <f>IF('School Profile'!$D$20="NO","",IF(AND(CX104="",CY104=""),"",SUM(CX104,CY104)))</f>
        <v/>
      </c>
      <c r="DA104" s="69" t="str">
        <f>IF('School Profile'!$D$20="NO","",IF(AND(CW104="",CZ104=""),"",SUM(CW104+CZ104)))</f>
        <v/>
      </c>
      <c r="DB104" s="68" t="str">
        <f>IF('School Profile'!$D$20="NO","",IF('Marks Entry'!AW104="","",'Marks Entry'!AW104))</f>
        <v/>
      </c>
      <c r="DC104" s="68" t="str">
        <f>IF('School Profile'!$D$20="NO","",IF('Marks Entry'!AX104="","",'Marks Entry'!AX104))</f>
        <v/>
      </c>
      <c r="DD104" s="515" t="str">
        <f>IF('School Profile'!$D$20="NO","",IF(AND(DB104="",DC104=""),"",SUM(DB104,DC104)))</f>
        <v/>
      </c>
      <c r="DE104" s="96" t="str">
        <f>IF('School Profile'!$D$20="NO","",IF(AND(DA104="",DD104=""),"",SUM(DA104,DD104)))</f>
        <v/>
      </c>
      <c r="DF104" s="532">
        <f t="shared" si="219"/>
        <v>0</v>
      </c>
      <c r="DG104" s="65">
        <f t="shared" si="220"/>
        <v>0</v>
      </c>
      <c r="DH104" s="66" t="str">
        <f t="shared" si="221"/>
        <v/>
      </c>
      <c r="DI104" s="65" t="str">
        <f t="shared" si="222"/>
        <v/>
      </c>
      <c r="DJ104" s="65" t="str">
        <f t="shared" si="223"/>
        <v/>
      </c>
      <c r="DK104" s="65" t="str">
        <f t="shared" si="224"/>
        <v/>
      </c>
      <c r="DL104" s="97" t="str">
        <f t="shared" si="264"/>
        <v/>
      </c>
      <c r="DM104" s="97" t="str">
        <f t="shared" si="265"/>
        <v/>
      </c>
      <c r="DN104" s="97" t="str">
        <f t="shared" si="266"/>
        <v/>
      </c>
      <c r="DO104" s="97" t="str">
        <f t="shared" si="267"/>
        <v/>
      </c>
      <c r="DP104" s="97" t="str">
        <f t="shared" si="268"/>
        <v/>
      </c>
      <c r="DQ104" s="97" t="str">
        <f t="shared" si="269"/>
        <v/>
      </c>
      <c r="DR104" s="97" t="str">
        <f t="shared" si="270"/>
        <v/>
      </c>
      <c r="DS104" s="98">
        <f t="shared" si="271"/>
        <v>0</v>
      </c>
      <c r="DT104" s="98">
        <f t="shared" si="272"/>
        <v>0</v>
      </c>
      <c r="DU104" s="98">
        <f t="shared" si="273"/>
        <v>0</v>
      </c>
      <c r="DV104" s="98">
        <f t="shared" si="274"/>
        <v>0</v>
      </c>
      <c r="DW104" s="98">
        <f t="shared" si="275"/>
        <v>0</v>
      </c>
      <c r="DX104" s="98" t="str">
        <f t="shared" si="276"/>
        <v/>
      </c>
      <c r="DY104" s="99" t="str">
        <f t="shared" si="277"/>
        <v/>
      </c>
      <c r="DZ104" s="74" t="str">
        <f>IF('Marks Entry'!AY104="","",'Marks Entry'!AY104)</f>
        <v/>
      </c>
      <c r="EA104" s="74" t="str">
        <f>IF('Marks Entry'!AZ104="","",'Marks Entry'!AZ104)</f>
        <v/>
      </c>
      <c r="EB104" s="74" t="str">
        <f>IF('Marks Entry'!BA104="","",'Marks Entry'!BA104)</f>
        <v/>
      </c>
      <c r="EC104" s="527" t="str">
        <f t="shared" si="225"/>
        <v/>
      </c>
      <c r="ED104" s="74" t="str">
        <f>IF('Marks Entry'!BB104="","",'Marks Entry'!BB104)</f>
        <v/>
      </c>
      <c r="EE104" s="528" t="str">
        <f t="shared" si="226"/>
        <v/>
      </c>
      <c r="EF104" s="74" t="str">
        <f>IF('Marks Entry'!BC104="","",'Marks Entry'!BC104)</f>
        <v/>
      </c>
      <c r="EG104" s="530" t="str">
        <f t="shared" si="227"/>
        <v/>
      </c>
      <c r="EH104" s="368" t="str">
        <f t="shared" si="278"/>
        <v/>
      </c>
      <c r="EI104" s="65">
        <f t="shared" si="279"/>
        <v>0</v>
      </c>
      <c r="EJ104" s="65">
        <f t="shared" si="280"/>
        <v>0</v>
      </c>
      <c r="EK104" s="66" t="str">
        <f t="shared" si="281"/>
        <v/>
      </c>
      <c r="EL104" s="74" t="str">
        <f>IF('Marks Entry'!BD104="","",'Marks Entry'!BD104)</f>
        <v/>
      </c>
      <c r="EM104" s="74" t="str">
        <f>IF('Marks Entry'!BE104="","",'Marks Entry'!BE104)</f>
        <v/>
      </c>
      <c r="EN104" s="74" t="str">
        <f>IF('Marks Entry'!BF104="","",'Marks Entry'!BF104)</f>
        <v/>
      </c>
      <c r="EO104" s="527" t="str">
        <f t="shared" si="228"/>
        <v/>
      </c>
      <c r="EP104" s="74" t="str">
        <f>IF('Marks Entry'!BG104="","",'Marks Entry'!BG104)</f>
        <v/>
      </c>
      <c r="EQ104" s="74" t="str">
        <f>IF('Marks Entry'!BH104="","",'Marks Entry'!BH104)</f>
        <v/>
      </c>
      <c r="ER104" s="528" t="str">
        <f t="shared" si="229"/>
        <v/>
      </c>
      <c r="ES104" s="529" t="str">
        <f t="shared" si="230"/>
        <v/>
      </c>
      <c r="ET104" s="74" t="str">
        <f>IF('Marks Entry'!BI104="","",'Marks Entry'!BI104)</f>
        <v/>
      </c>
      <c r="EU104" s="74" t="str">
        <f>IF('Marks Entry'!BJ104="","",'Marks Entry'!BJ104)</f>
        <v/>
      </c>
      <c r="EV104" s="528" t="str">
        <f t="shared" si="231"/>
        <v/>
      </c>
      <c r="EW104" s="530" t="str">
        <f t="shared" si="232"/>
        <v/>
      </c>
      <c r="EX104" s="368" t="str">
        <f t="shared" si="282"/>
        <v/>
      </c>
      <c r="EY104" s="65">
        <f t="shared" si="283"/>
        <v>0</v>
      </c>
      <c r="EZ104" s="65">
        <f t="shared" si="284"/>
        <v>0</v>
      </c>
      <c r="FA104" s="66" t="str">
        <f t="shared" si="285"/>
        <v/>
      </c>
      <c r="FB104" s="74" t="str">
        <f>IF('Marks Entry'!BK104="","",'Marks Entry'!BK104)</f>
        <v/>
      </c>
      <c r="FC104" s="74" t="str">
        <f>IF('Marks Entry'!BL104="","",'Marks Entry'!BL104)</f>
        <v/>
      </c>
      <c r="FD104" s="74" t="str">
        <f>IF('Marks Entry'!BM104="","",'Marks Entry'!BM104)</f>
        <v/>
      </c>
      <c r="FE104" s="74" t="str">
        <f>IF('Marks Entry'!BN104="","",'Marks Entry'!BN104)</f>
        <v/>
      </c>
      <c r="FF104" s="74" t="str">
        <f>IF('Marks Entry'!BO104="","",'Marks Entry'!BO104)</f>
        <v/>
      </c>
      <c r="FG104" s="74" t="str">
        <f>IF('Marks Entry'!BP104="","",'Marks Entry'!BP104)</f>
        <v/>
      </c>
      <c r="FH104" s="527" t="str">
        <f t="shared" si="233"/>
        <v/>
      </c>
      <c r="FI104" s="74" t="str">
        <f>IF('Marks Entry'!BQ104="","",'Marks Entry'!BQ104)</f>
        <v/>
      </c>
      <c r="FJ104" s="74" t="str">
        <f>IF('Marks Entry'!BR104="","",'Marks Entry'!BR104)</f>
        <v/>
      </c>
      <c r="FK104" s="528" t="str">
        <f t="shared" si="234"/>
        <v/>
      </c>
      <c r="FL104" s="529" t="str">
        <f t="shared" si="235"/>
        <v/>
      </c>
      <c r="FM104" s="74" t="str">
        <f>IF('Marks Entry'!BS104="","",'Marks Entry'!BS104)</f>
        <v/>
      </c>
      <c r="FN104" s="74" t="str">
        <f>IF('Marks Entry'!BT104="","",'Marks Entry'!BT104)</f>
        <v/>
      </c>
      <c r="FO104" s="528" t="str">
        <f t="shared" si="236"/>
        <v/>
      </c>
      <c r="FP104" s="530" t="str">
        <f t="shared" si="237"/>
        <v/>
      </c>
      <c r="FQ104" s="368" t="str">
        <f t="shared" si="286"/>
        <v/>
      </c>
      <c r="FR104" s="65">
        <f t="shared" si="287"/>
        <v>0</v>
      </c>
      <c r="FS104" s="65">
        <f t="shared" si="288"/>
        <v>0</v>
      </c>
      <c r="FT104" s="66" t="str">
        <f t="shared" si="289"/>
        <v/>
      </c>
      <c r="FU104" s="74" t="str">
        <f>IF('Marks Entry'!BU104="","",'Marks Entry'!BU104)</f>
        <v/>
      </c>
      <c r="FV104" s="74" t="str">
        <f>IF('Marks Entry'!BV104="","",'Marks Entry'!BV104)</f>
        <v/>
      </c>
      <c r="FW104" s="74" t="str">
        <f>IF('Marks Entry'!BW104="","",'Marks Entry'!BW104)</f>
        <v/>
      </c>
      <c r="FX104" s="75" t="str">
        <f t="shared" si="238"/>
        <v/>
      </c>
      <c r="FY104" s="368" t="str">
        <f t="shared" si="290"/>
        <v/>
      </c>
      <c r="FZ104" s="65">
        <f t="shared" si="291"/>
        <v>0</v>
      </c>
      <c r="GA104" s="66">
        <f t="shared" si="292"/>
        <v>0</v>
      </c>
      <c r="GB104" s="66" t="str">
        <f t="shared" si="293"/>
        <v/>
      </c>
      <c r="GC104" s="74" t="str">
        <f>IF('Marks Entry'!BX104="","",'Marks Entry'!BX104)</f>
        <v/>
      </c>
      <c r="GD104" s="74" t="str">
        <f>IF('Marks Entry'!BY104="","",'Marks Entry'!BY104)</f>
        <v/>
      </c>
      <c r="GE104" s="74" t="str">
        <f>IF('Marks Entry'!BZ104="","",'Marks Entry'!BZ104)</f>
        <v/>
      </c>
      <c r="GF104" s="75" t="str">
        <f t="shared" si="294"/>
        <v/>
      </c>
      <c r="GG104" s="368" t="str">
        <f t="shared" si="295"/>
        <v/>
      </c>
      <c r="GH104" s="65">
        <f t="shared" si="296"/>
        <v>0</v>
      </c>
      <c r="GI104" s="66">
        <f t="shared" si="297"/>
        <v>0</v>
      </c>
      <c r="GJ104" s="66" t="str">
        <f t="shared" si="298"/>
        <v/>
      </c>
      <c r="GK104" s="100" t="str">
        <f>IF(AND(F104="",B104=""),"",IF('Student DATA Entry'!M101="","",'Student DATA Entry'!M101))</f>
        <v/>
      </c>
      <c r="GL104" s="101" t="str">
        <f>IF(AND(B104="",F104=""),"",IF('Student DATA Entry'!N101="","",'Student DATA Entry'!N101))</f>
        <v/>
      </c>
      <c r="GM104" s="581" t="str">
        <f t="shared" si="299"/>
        <v/>
      </c>
      <c r="GN104" s="94" t="str">
        <f t="shared" si="300"/>
        <v/>
      </c>
      <c r="GO104" s="94" t="str">
        <f t="shared" si="301"/>
        <v/>
      </c>
      <c r="GP104" s="102" t="str">
        <f t="shared" si="330"/>
        <v/>
      </c>
      <c r="GQ104" s="94" t="str">
        <f t="shared" si="302"/>
        <v/>
      </c>
      <c r="GR104" s="103" t="str">
        <f t="shared" si="303"/>
        <v/>
      </c>
      <c r="GS104" s="102" t="str">
        <f t="shared" si="331"/>
        <v/>
      </c>
      <c r="GT104" s="104" t="str">
        <f t="shared" si="304"/>
        <v/>
      </c>
      <c r="GU104" s="94" t="str">
        <f>IF('Marks Entry'!V104=1,GT104,"")</f>
        <v/>
      </c>
      <c r="GV104" s="94" t="str">
        <f>IF('Marks Entry'!V104=2,GT104,"")</f>
        <v/>
      </c>
      <c r="GW104" s="94" t="str">
        <f>IF('Marks Entry'!V104=3,GT104,"")</f>
        <v/>
      </c>
      <c r="GX104" s="94" t="str">
        <f>IF('Marks Entry'!V104=4,GT104,"")</f>
        <v/>
      </c>
      <c r="GY104" s="94" t="str">
        <f>IF('Marks Entry'!V104=5,GT104,"")</f>
        <v/>
      </c>
      <c r="GZ104" s="94" t="str">
        <f t="shared" si="305"/>
        <v/>
      </c>
      <c r="HA104" s="105" t="str">
        <f t="shared" si="332"/>
        <v/>
      </c>
      <c r="HB104" s="94" t="str">
        <f t="shared" si="306"/>
        <v/>
      </c>
      <c r="HC104" s="94" t="str">
        <f t="shared" si="307"/>
        <v/>
      </c>
      <c r="HD104" s="105" t="str">
        <f t="shared" si="333"/>
        <v/>
      </c>
      <c r="HE104" s="94" t="str">
        <f t="shared" si="308"/>
        <v/>
      </c>
      <c r="HF104" s="94" t="str">
        <f t="shared" si="309"/>
        <v/>
      </c>
      <c r="HG104" s="105" t="str">
        <f t="shared" si="334"/>
        <v/>
      </c>
      <c r="HH104" s="94" t="str">
        <f t="shared" si="310"/>
        <v/>
      </c>
      <c r="HI104" s="94" t="str">
        <f t="shared" si="311"/>
        <v/>
      </c>
      <c r="HJ104" s="105" t="str">
        <f t="shared" si="335"/>
        <v/>
      </c>
      <c r="HK104" s="94" t="str">
        <f t="shared" si="312"/>
        <v/>
      </c>
      <c r="HL104" s="94" t="str">
        <f t="shared" si="313"/>
        <v/>
      </c>
      <c r="HM104" s="105" t="str">
        <f t="shared" si="336"/>
        <v/>
      </c>
      <c r="HN104" s="367" t="str">
        <f t="shared" si="314"/>
        <v xml:space="preserve">      </v>
      </c>
      <c r="HO104" s="418" t="str">
        <f t="shared" si="337"/>
        <v xml:space="preserve">      </v>
      </c>
      <c r="HP104" s="367" t="str">
        <f t="shared" si="315"/>
        <v xml:space="preserve">      </v>
      </c>
      <c r="HQ104" s="107" t="str">
        <f t="shared" si="316"/>
        <v xml:space="preserve">      </v>
      </c>
      <c r="HR104" s="366" t="str">
        <f t="shared" si="317"/>
        <v xml:space="preserve">      </v>
      </c>
      <c r="HS104" s="544" t="str">
        <f t="shared" si="338"/>
        <v/>
      </c>
      <c r="HT104" s="542" t="str">
        <f t="shared" si="318"/>
        <v/>
      </c>
      <c r="HU104" s="541" t="str">
        <f t="shared" si="319"/>
        <v/>
      </c>
      <c r="HV104" s="540" t="str">
        <f t="shared" si="320"/>
        <v/>
      </c>
      <c r="HW104" s="537" t="str">
        <f t="shared" si="321"/>
        <v/>
      </c>
      <c r="HX104" s="539" t="str">
        <f t="shared" si="322"/>
        <v/>
      </c>
      <c r="HY104" s="553" t="str">
        <f>IFERROR(IF(OR(HS104="SUPPLEMENTARY",HS104="RE-EXAM"),'Supp. Result Entry'!AQ102,""),"")</f>
        <v/>
      </c>
      <c r="HZ104" s="538" t="str">
        <f t="shared" si="323"/>
        <v/>
      </c>
      <c r="IA104" s="415" t="str">
        <f t="shared" si="324"/>
        <v/>
      </c>
      <c r="IB104" s="415" t="str">
        <f>IF(AND(HZ104="",IA104=""),"",IF(OR(HS104="SUPPLEMENTARY",HS104="RE-EXAM"),'Supp. Result Entry'!AQ102,HS104))</f>
        <v/>
      </c>
      <c r="IC104" s="87"/>
      <c r="IS104" s="109" t="str">
        <f>IF('Supp. Result Entry'!T102="","",'Supp. Result Entry'!$T$4)</f>
        <v/>
      </c>
      <c r="IT104" s="110" t="str">
        <f>IF('Supp. Result Entry'!W102="","",'Supp. Result Entry'!$W$4)</f>
        <v/>
      </c>
      <c r="IU104" s="110" t="str">
        <f>IF('Supp. Result Entry'!Z102="","",'Supp. Result Entry'!$Z$4)</f>
        <v/>
      </c>
      <c r="IV104" s="110" t="str">
        <f>IF('Supp. Result Entry'!AC102="","",'Supp. Result Entry'!$AC$4)</f>
        <v/>
      </c>
      <c r="IW104" s="110" t="str">
        <f>IF('Supp. Result Entry'!AF102="","",'Supp. Result Entry'!$AF$4)</f>
        <v/>
      </c>
      <c r="IX104" s="110" t="str">
        <f>IF('Supp. Result Entry'!AI102="","",'Supp. Result Entry'!$AI$4)</f>
        <v/>
      </c>
      <c r="IY104" s="110" t="str">
        <f>IF('Supp. Result Entry'!AI102="","",'Supp. Result Entry'!$AL$4)</f>
        <v/>
      </c>
      <c r="IZ104" s="110" t="str">
        <f>IF('Supp. Result Entry'!U102="","",'Supp. Result Entry'!U102)</f>
        <v/>
      </c>
      <c r="JA104" s="110" t="str">
        <f>IF('Supp. Result Entry'!X102="","",'Supp. Result Entry'!X102)</f>
        <v/>
      </c>
      <c r="JB104" s="110" t="str">
        <f>IF('Supp. Result Entry'!AA102="","",'Supp. Result Entry'!AA102)</f>
        <v/>
      </c>
      <c r="JC104" s="110" t="str">
        <f>IF('Supp. Result Entry'!AD102="","",'Supp. Result Entry'!AD102)</f>
        <v/>
      </c>
      <c r="JD104" s="110" t="str">
        <f>IF('Supp. Result Entry'!AG102="","",'Supp. Result Entry'!AG102)</f>
        <v/>
      </c>
      <c r="JE104" s="110" t="str">
        <f>IF('Supp. Result Entry'!AJ102="","",'Supp. Result Entry'!AJ102)</f>
        <v/>
      </c>
      <c r="JF104" s="110" t="str">
        <f>IF('Supp. Result Entry'!AM102="","",'Supp. Result Entry'!AM102)</f>
        <v/>
      </c>
      <c r="JG104" s="110" t="str">
        <f>IF('Supp. Result Entry'!V102="","",'Supp. Result Entry'!V102)</f>
        <v/>
      </c>
      <c r="JH104" s="110" t="str">
        <f>IF('Supp. Result Entry'!Y102="","",'Supp. Result Entry'!Y102)</f>
        <v/>
      </c>
      <c r="JI104" s="110" t="str">
        <f>IF('Supp. Result Entry'!AB102="","",'Supp. Result Entry'!AB102)</f>
        <v/>
      </c>
      <c r="JJ104" s="110" t="str">
        <f>IF('Supp. Result Entry'!AE102="","",'Supp. Result Entry'!AE102)</f>
        <v/>
      </c>
      <c r="JK104" s="110" t="str">
        <f>IF('Supp. Result Entry'!AH102="","",'Supp. Result Entry'!AH102)</f>
        <v/>
      </c>
      <c r="JL104" s="110" t="str">
        <f>IF('Supp. Result Entry'!AK102="","",'Supp. Result Entry'!AK102)</f>
        <v/>
      </c>
      <c r="JM104" s="110" t="str">
        <f>IF('Supp. Result Entry'!AN102="","",'Supp. Result Entry'!AN102)</f>
        <v/>
      </c>
      <c r="JN104" s="110">
        <f>COUNTIF('Supp. Result Entry'!K102:Q102,"S")</f>
        <v>0</v>
      </c>
      <c r="JO104" s="110">
        <f t="shared" si="248"/>
        <v>0</v>
      </c>
      <c r="JP104" s="110">
        <f t="shared" si="325"/>
        <v>0</v>
      </c>
      <c r="JQ104" s="110" t="str">
        <f t="shared" si="249"/>
        <v/>
      </c>
      <c r="JR104" s="110" t="str">
        <f t="shared" si="250"/>
        <v/>
      </c>
      <c r="JS104" s="110" t="str">
        <f t="shared" si="251"/>
        <v/>
      </c>
      <c r="JT104" s="110" t="str">
        <f t="shared" si="252"/>
        <v/>
      </c>
      <c r="JU104" s="110" t="str">
        <f t="shared" si="253"/>
        <v/>
      </c>
      <c r="JV104" s="110" t="str">
        <f t="shared" si="254"/>
        <v/>
      </c>
      <c r="JW104" s="110" t="str">
        <f t="shared" si="255"/>
        <v/>
      </c>
      <c r="JX104" s="110" t="str">
        <f t="shared" si="326"/>
        <v/>
      </c>
      <c r="JY104" s="110" t="str">
        <f t="shared" si="327"/>
        <v/>
      </c>
      <c r="JZ104" s="110" t="str">
        <f t="shared" si="256"/>
        <v/>
      </c>
      <c r="KA104" s="108" t="str">
        <f t="shared" si="328"/>
        <v/>
      </c>
    </row>
    <row r="105" spans="1:287" s="108" customFormat="1" ht="21.95" customHeight="1">
      <c r="A105" s="89">
        <v>99</v>
      </c>
      <c r="B105" s="90" t="str">
        <f>IF('Marks Entry'!B105="","",'Marks Entry'!B105)</f>
        <v/>
      </c>
      <c r="C105" s="94" t="str">
        <f>IF('Marks Entry'!D105="","",'Marks Entry'!D105)</f>
        <v/>
      </c>
      <c r="D105" s="91" t="str">
        <f>IF('Marks Entry'!E105="","",'Marks Entry'!E105)</f>
        <v/>
      </c>
      <c r="E105" s="92" t="str">
        <f>IF('Marks Entry'!F105="","",'Marks Entry'!F105)</f>
        <v/>
      </c>
      <c r="F105" s="93" t="str">
        <f>IF('Marks Entry'!G105="","",'Marks Entry'!G105)</f>
        <v/>
      </c>
      <c r="G105" s="93" t="str">
        <f>IF('Marks Entry'!H105="","",'Marks Entry'!H105)</f>
        <v/>
      </c>
      <c r="H105" s="93" t="str">
        <f>IF('Marks Entry'!I105="","",'Marks Entry'!I105)</f>
        <v/>
      </c>
      <c r="I105" s="94" t="str">
        <f>IF('Marks Entry'!J105="","",'Marks Entry'!J105)</f>
        <v/>
      </c>
      <c r="J105" s="95" t="str">
        <f>IF('Marks Entry'!K105="","",'Marks Entry'!K105)</f>
        <v/>
      </c>
      <c r="K105" s="68" t="str">
        <f>IF('Marks Entry'!L105="","",'Marks Entry'!L105)</f>
        <v/>
      </c>
      <c r="L105" s="68" t="str">
        <f>IF('Marks Entry'!M105="","",'Marks Entry'!M105)</f>
        <v/>
      </c>
      <c r="M105" s="68" t="str">
        <f>IF('Marks Entry'!N105="","",'Marks Entry'!N105)</f>
        <v/>
      </c>
      <c r="N105" s="514" t="str">
        <f t="shared" si="257"/>
        <v/>
      </c>
      <c r="O105" s="68" t="str">
        <f>IF('Marks Entry'!O105="","",'Marks Entry'!O105)</f>
        <v/>
      </c>
      <c r="P105" s="515" t="str">
        <f t="shared" si="258"/>
        <v/>
      </c>
      <c r="Q105" s="68" t="str">
        <f>IF('Marks Entry'!P105="","",'Marks Entry'!P105)</f>
        <v/>
      </c>
      <c r="R105" s="96" t="str">
        <f t="shared" si="259"/>
        <v/>
      </c>
      <c r="S105" s="65">
        <f t="shared" si="260"/>
        <v>0</v>
      </c>
      <c r="T105" s="65">
        <f t="shared" si="261"/>
        <v>0</v>
      </c>
      <c r="U105" s="66" t="str">
        <f t="shared" si="171"/>
        <v/>
      </c>
      <c r="V105" s="65" t="str">
        <f t="shared" si="172"/>
        <v/>
      </c>
      <c r="W105" s="65" t="str">
        <f t="shared" si="262"/>
        <v/>
      </c>
      <c r="X105" s="65" t="str">
        <f t="shared" si="173"/>
        <v/>
      </c>
      <c r="Y105" s="68" t="str">
        <f>IF('Marks Entry'!Q105="","",'Marks Entry'!Q105)</f>
        <v/>
      </c>
      <c r="Z105" s="68" t="str">
        <f>IF('Marks Entry'!R105="","",'Marks Entry'!R105)</f>
        <v/>
      </c>
      <c r="AA105" s="68" t="str">
        <f>IF('Marks Entry'!S105="","",'Marks Entry'!S105)</f>
        <v/>
      </c>
      <c r="AB105" s="514" t="str">
        <f t="shared" si="174"/>
        <v/>
      </c>
      <c r="AC105" s="68" t="str">
        <f>IF('Marks Entry'!T105="","",'Marks Entry'!T105)</f>
        <v/>
      </c>
      <c r="AD105" s="515" t="str">
        <f t="shared" si="175"/>
        <v/>
      </c>
      <c r="AE105" s="68" t="str">
        <f>IF('Marks Entry'!U105="","",'Marks Entry'!U105)</f>
        <v/>
      </c>
      <c r="AF105" s="96" t="str">
        <f t="shared" si="176"/>
        <v/>
      </c>
      <c r="AG105" s="65">
        <f t="shared" si="177"/>
        <v>0</v>
      </c>
      <c r="AH105" s="65">
        <f t="shared" si="178"/>
        <v>0</v>
      </c>
      <c r="AI105" s="66" t="str">
        <f t="shared" si="179"/>
        <v/>
      </c>
      <c r="AJ105" s="65" t="str">
        <f t="shared" si="180"/>
        <v/>
      </c>
      <c r="AK105" s="65" t="str">
        <f t="shared" si="181"/>
        <v/>
      </c>
      <c r="AL105" s="65" t="str">
        <f t="shared" si="182"/>
        <v/>
      </c>
      <c r="AM105" s="524" t="str">
        <f>IF('Marks Entry'!V105="","",IF('Marks Entry'!V105=1,'School Profile'!$I$9,IF('Marks Entry'!V105=2,'School Profile'!$I$10,IF('Marks Entry'!V105=3,'School Profile'!$I$11,IF('Marks Entry'!V105=4,'School Profile'!$I$12,IF('Marks Entry'!V105=5,'School Profile'!$I$13,IF('Marks Entry'!V105=6,'School Profile'!$I$14,"")))))))</f>
        <v/>
      </c>
      <c r="AN105" s="68" t="str">
        <f>IF('Marks Entry'!W105="","",'Marks Entry'!W105)</f>
        <v/>
      </c>
      <c r="AO105" s="68" t="str">
        <f>IF('Marks Entry'!X105="","",'Marks Entry'!X105)</f>
        <v/>
      </c>
      <c r="AP105" s="68" t="str">
        <f>IF('Marks Entry'!Y105="","",'Marks Entry'!Y105)</f>
        <v/>
      </c>
      <c r="AQ105" s="514" t="str">
        <f t="shared" si="183"/>
        <v/>
      </c>
      <c r="AR105" s="68" t="str">
        <f>IF('Marks Entry'!Z105="","",'Marks Entry'!Z105)</f>
        <v/>
      </c>
      <c r="AS105" s="515" t="str">
        <f t="shared" si="184"/>
        <v/>
      </c>
      <c r="AT105" s="68" t="str">
        <f>IF('Marks Entry'!AA105="","",'Marks Entry'!AA105)</f>
        <v/>
      </c>
      <c r="AU105" s="96" t="str">
        <f t="shared" si="185"/>
        <v/>
      </c>
      <c r="AV105" s="65">
        <f t="shared" si="186"/>
        <v>0</v>
      </c>
      <c r="AW105" s="65">
        <f t="shared" si="187"/>
        <v>0</v>
      </c>
      <c r="AX105" s="66" t="str">
        <f t="shared" si="188"/>
        <v/>
      </c>
      <c r="AY105" s="65" t="str">
        <f t="shared" si="189"/>
        <v/>
      </c>
      <c r="AZ105" s="65" t="str">
        <f t="shared" si="190"/>
        <v/>
      </c>
      <c r="BA105" s="65" t="str">
        <f t="shared" si="191"/>
        <v/>
      </c>
      <c r="BB105" s="68" t="str">
        <f>IF('Marks Entry'!AB105="","",'Marks Entry'!AB105)</f>
        <v/>
      </c>
      <c r="BC105" s="68" t="str">
        <f>IF('Marks Entry'!AC105="","",'Marks Entry'!AC105)</f>
        <v/>
      </c>
      <c r="BD105" s="68" t="str">
        <f>IF('Marks Entry'!AD105="","",'Marks Entry'!AD105)</f>
        <v/>
      </c>
      <c r="BE105" s="514" t="str">
        <f t="shared" si="192"/>
        <v/>
      </c>
      <c r="BF105" s="68" t="str">
        <f>IF('Marks Entry'!AE105="","",'Marks Entry'!AE105)</f>
        <v/>
      </c>
      <c r="BG105" s="515" t="str">
        <f t="shared" si="193"/>
        <v/>
      </c>
      <c r="BH105" s="68" t="str">
        <f>IF('Marks Entry'!AF105="","",'Marks Entry'!AF105)</f>
        <v/>
      </c>
      <c r="BI105" s="96" t="str">
        <f t="shared" si="194"/>
        <v/>
      </c>
      <c r="BJ105" s="65">
        <f t="shared" si="195"/>
        <v>0</v>
      </c>
      <c r="BK105" s="65">
        <f t="shared" si="263"/>
        <v>0</v>
      </c>
      <c r="BL105" s="66" t="str">
        <f t="shared" si="196"/>
        <v/>
      </c>
      <c r="BM105" s="65" t="str">
        <f t="shared" si="197"/>
        <v/>
      </c>
      <c r="BN105" s="65" t="str">
        <f t="shared" si="198"/>
        <v/>
      </c>
      <c r="BO105" s="65" t="str">
        <f t="shared" si="199"/>
        <v/>
      </c>
      <c r="BP105" s="68" t="str">
        <f>IF('Marks Entry'!AG105="","",'Marks Entry'!AG105)</f>
        <v/>
      </c>
      <c r="BQ105" s="68" t="str">
        <f>IF('Marks Entry'!AH105="","",'Marks Entry'!AH105)</f>
        <v/>
      </c>
      <c r="BR105" s="68" t="str">
        <f>IF('Marks Entry'!AI105="","",'Marks Entry'!AI105)</f>
        <v/>
      </c>
      <c r="BS105" s="514" t="str">
        <f t="shared" si="200"/>
        <v/>
      </c>
      <c r="BT105" s="68" t="str">
        <f>IF('Marks Entry'!AJ105="","",'Marks Entry'!AJ105)</f>
        <v/>
      </c>
      <c r="BU105" s="515" t="str">
        <f t="shared" si="201"/>
        <v/>
      </c>
      <c r="BV105" s="68" t="str">
        <f>IF('Marks Entry'!AK105="","",'Marks Entry'!AK105)</f>
        <v/>
      </c>
      <c r="BW105" s="96" t="str">
        <f t="shared" si="202"/>
        <v/>
      </c>
      <c r="BX105" s="65">
        <f t="shared" si="203"/>
        <v>0</v>
      </c>
      <c r="BY105" s="65">
        <f t="shared" si="204"/>
        <v>0</v>
      </c>
      <c r="BZ105" s="66" t="str">
        <f t="shared" si="205"/>
        <v/>
      </c>
      <c r="CA105" s="65" t="str">
        <f t="shared" si="206"/>
        <v/>
      </c>
      <c r="CB105" s="65" t="str">
        <f t="shared" si="207"/>
        <v/>
      </c>
      <c r="CC105" s="65" t="str">
        <f t="shared" si="208"/>
        <v/>
      </c>
      <c r="CD105" s="66">
        <f t="shared" si="329"/>
        <v>0</v>
      </c>
      <c r="CE105" s="68" t="str">
        <f>IF('Marks Entry'!AL105="","",'Marks Entry'!AL105)</f>
        <v/>
      </c>
      <c r="CF105" s="68" t="str">
        <f>IF('Marks Entry'!AM105="","",'Marks Entry'!AM105)</f>
        <v/>
      </c>
      <c r="CG105" s="68" t="str">
        <f>IF('Marks Entry'!AN105="","",'Marks Entry'!AN105)</f>
        <v/>
      </c>
      <c r="CH105" s="514" t="str">
        <f t="shared" si="210"/>
        <v/>
      </c>
      <c r="CI105" s="68" t="str">
        <f>IF('Marks Entry'!AO105="","",'Marks Entry'!AO105)</f>
        <v/>
      </c>
      <c r="CJ105" s="515" t="str">
        <f t="shared" si="211"/>
        <v/>
      </c>
      <c r="CK105" s="68" t="str">
        <f>IF('Marks Entry'!AP105="","",'Marks Entry'!AP105)</f>
        <v/>
      </c>
      <c r="CL105" s="96" t="str">
        <f t="shared" si="212"/>
        <v/>
      </c>
      <c r="CM105" s="65">
        <f t="shared" si="213"/>
        <v>0</v>
      </c>
      <c r="CN105" s="65">
        <f t="shared" si="214"/>
        <v>0</v>
      </c>
      <c r="CO105" s="66" t="str">
        <f t="shared" si="215"/>
        <v/>
      </c>
      <c r="CP105" s="65" t="str">
        <f t="shared" si="216"/>
        <v/>
      </c>
      <c r="CQ105" s="65" t="str">
        <f t="shared" si="217"/>
        <v/>
      </c>
      <c r="CR105" s="65" t="str">
        <f t="shared" si="218"/>
        <v/>
      </c>
      <c r="CS105" s="616" t="str">
        <f>IF('School Profile'!$D$20="NO","",IF('Marks Entry'!AQ105="","",IF('Marks Entry'!AQ105=1,'School Profile'!$I$29,IF('Marks Entry'!AQ105=2,'School Profile'!$I$30,IF('Marks Entry'!AQ105=3,'School Profile'!$I$31,IF('Marks Entry'!AQ105=4,'School Profile'!$I$32,IF('Marks Entry'!AQ105=5,'School Profile'!$I$33,IF('Marks Entry'!AQ105=6,'School Profile'!$I$34,IF('Marks Entry'!AQ105=7,'School Profile'!$I$35,IF('Marks Entry'!AQ105=8,'School Profile'!$I$36,IF('Marks Entry'!AQ105=9,'School Profile'!$I$37,IF('Marks Entry'!AQ105=10,'School Profile'!$I$38,IF('Marks Entry'!AQ105=11,'School Profile'!$I$39,"")))))))))))))</f>
        <v/>
      </c>
      <c r="CT105" s="68" t="str">
        <f>IF('School Profile'!$D$20="NO","",IF('Marks Entry'!AR105="","",'Marks Entry'!AR105))</f>
        <v/>
      </c>
      <c r="CU105" s="68" t="str">
        <f>IF('School Profile'!$D$20="NO","",IF('Marks Entry'!AS105="","",'Marks Entry'!AS105))</f>
        <v/>
      </c>
      <c r="CV105" s="68" t="str">
        <f>IF('School Profile'!$D$20="NO","",IF('Marks Entry'!AT105="","",'Marks Entry'!AT105))</f>
        <v/>
      </c>
      <c r="CW105" s="514" t="str">
        <f>IF('School Profile'!$D$20="NO","",IF(AND(CT105="",CU105="",CV105=""),"",SUM(CT105:CV105)))</f>
        <v/>
      </c>
      <c r="CX105" s="68" t="str">
        <f>IF('School Profile'!$D$20="NO","",IF('Marks Entry'!AU105="","",'Marks Entry'!AU105))</f>
        <v/>
      </c>
      <c r="CY105" s="68" t="str">
        <f>IF('School Profile'!$D$20="NO","",IF('Marks Entry'!AV105="","",'Marks Entry'!AV105))</f>
        <v/>
      </c>
      <c r="CZ105" s="515" t="str">
        <f>IF('School Profile'!$D$20="NO","",IF(AND(CX105="",CY105=""),"",SUM(CX105,CY105)))</f>
        <v/>
      </c>
      <c r="DA105" s="69" t="str">
        <f>IF('School Profile'!$D$20="NO","",IF(AND(CW105="",CZ105=""),"",SUM(CW105+CZ105)))</f>
        <v/>
      </c>
      <c r="DB105" s="68" t="str">
        <f>IF('School Profile'!$D$20="NO","",IF('Marks Entry'!AW105="","",'Marks Entry'!AW105))</f>
        <v/>
      </c>
      <c r="DC105" s="68" t="str">
        <f>IF('School Profile'!$D$20="NO","",IF('Marks Entry'!AX105="","",'Marks Entry'!AX105))</f>
        <v/>
      </c>
      <c r="DD105" s="515" t="str">
        <f>IF('School Profile'!$D$20="NO","",IF(AND(DB105="",DC105=""),"",SUM(DB105,DC105)))</f>
        <v/>
      </c>
      <c r="DE105" s="96" t="str">
        <f>IF('School Profile'!$D$20="NO","",IF(AND(DA105="",DD105=""),"",SUM(DA105,DD105)))</f>
        <v/>
      </c>
      <c r="DF105" s="532">
        <f t="shared" si="219"/>
        <v>0</v>
      </c>
      <c r="DG105" s="65">
        <f t="shared" si="220"/>
        <v>0</v>
      </c>
      <c r="DH105" s="66" t="str">
        <f t="shared" si="221"/>
        <v/>
      </c>
      <c r="DI105" s="65" t="str">
        <f t="shared" si="222"/>
        <v/>
      </c>
      <c r="DJ105" s="65" t="str">
        <f t="shared" si="223"/>
        <v/>
      </c>
      <c r="DK105" s="65" t="str">
        <f t="shared" si="224"/>
        <v/>
      </c>
      <c r="DL105" s="97" t="str">
        <f t="shared" si="264"/>
        <v/>
      </c>
      <c r="DM105" s="97" t="str">
        <f t="shared" si="265"/>
        <v/>
      </c>
      <c r="DN105" s="97" t="str">
        <f t="shared" si="266"/>
        <v/>
      </c>
      <c r="DO105" s="97" t="str">
        <f t="shared" si="267"/>
        <v/>
      </c>
      <c r="DP105" s="97" t="str">
        <f t="shared" si="268"/>
        <v/>
      </c>
      <c r="DQ105" s="97" t="str">
        <f t="shared" si="269"/>
        <v/>
      </c>
      <c r="DR105" s="97" t="str">
        <f t="shared" si="270"/>
        <v/>
      </c>
      <c r="DS105" s="98">
        <f t="shared" si="271"/>
        <v>0</v>
      </c>
      <c r="DT105" s="98">
        <f t="shared" si="272"/>
        <v>0</v>
      </c>
      <c r="DU105" s="98">
        <f t="shared" si="273"/>
        <v>0</v>
      </c>
      <c r="DV105" s="98">
        <f t="shared" si="274"/>
        <v>0</v>
      </c>
      <c r="DW105" s="98">
        <f t="shared" si="275"/>
        <v>0</v>
      </c>
      <c r="DX105" s="98" t="str">
        <f t="shared" si="276"/>
        <v/>
      </c>
      <c r="DY105" s="99" t="str">
        <f t="shared" si="277"/>
        <v/>
      </c>
      <c r="DZ105" s="74" t="str">
        <f>IF('Marks Entry'!AY105="","",'Marks Entry'!AY105)</f>
        <v/>
      </c>
      <c r="EA105" s="74" t="str">
        <f>IF('Marks Entry'!AZ105="","",'Marks Entry'!AZ105)</f>
        <v/>
      </c>
      <c r="EB105" s="74" t="str">
        <f>IF('Marks Entry'!BA105="","",'Marks Entry'!BA105)</f>
        <v/>
      </c>
      <c r="EC105" s="527" t="str">
        <f t="shared" si="225"/>
        <v/>
      </c>
      <c r="ED105" s="74" t="str">
        <f>IF('Marks Entry'!BB105="","",'Marks Entry'!BB105)</f>
        <v/>
      </c>
      <c r="EE105" s="528" t="str">
        <f t="shared" si="226"/>
        <v/>
      </c>
      <c r="EF105" s="74" t="str">
        <f>IF('Marks Entry'!BC105="","",'Marks Entry'!BC105)</f>
        <v/>
      </c>
      <c r="EG105" s="530" t="str">
        <f t="shared" si="227"/>
        <v/>
      </c>
      <c r="EH105" s="368" t="str">
        <f t="shared" si="278"/>
        <v/>
      </c>
      <c r="EI105" s="65">
        <f t="shared" si="279"/>
        <v>0</v>
      </c>
      <c r="EJ105" s="65">
        <f t="shared" si="280"/>
        <v>0</v>
      </c>
      <c r="EK105" s="66" t="str">
        <f t="shared" si="281"/>
        <v/>
      </c>
      <c r="EL105" s="74" t="str">
        <f>IF('Marks Entry'!BD105="","",'Marks Entry'!BD105)</f>
        <v/>
      </c>
      <c r="EM105" s="74" t="str">
        <f>IF('Marks Entry'!BE105="","",'Marks Entry'!BE105)</f>
        <v/>
      </c>
      <c r="EN105" s="74" t="str">
        <f>IF('Marks Entry'!BF105="","",'Marks Entry'!BF105)</f>
        <v/>
      </c>
      <c r="EO105" s="527" t="str">
        <f t="shared" si="228"/>
        <v/>
      </c>
      <c r="EP105" s="74" t="str">
        <f>IF('Marks Entry'!BG105="","",'Marks Entry'!BG105)</f>
        <v/>
      </c>
      <c r="EQ105" s="74" t="str">
        <f>IF('Marks Entry'!BH105="","",'Marks Entry'!BH105)</f>
        <v/>
      </c>
      <c r="ER105" s="528" t="str">
        <f t="shared" si="229"/>
        <v/>
      </c>
      <c r="ES105" s="529" t="str">
        <f t="shared" si="230"/>
        <v/>
      </c>
      <c r="ET105" s="74" t="str">
        <f>IF('Marks Entry'!BI105="","",'Marks Entry'!BI105)</f>
        <v/>
      </c>
      <c r="EU105" s="74" t="str">
        <f>IF('Marks Entry'!BJ105="","",'Marks Entry'!BJ105)</f>
        <v/>
      </c>
      <c r="EV105" s="528" t="str">
        <f t="shared" si="231"/>
        <v/>
      </c>
      <c r="EW105" s="530" t="str">
        <f t="shared" si="232"/>
        <v/>
      </c>
      <c r="EX105" s="368" t="str">
        <f t="shared" si="282"/>
        <v/>
      </c>
      <c r="EY105" s="65">
        <f t="shared" si="283"/>
        <v>0</v>
      </c>
      <c r="EZ105" s="65">
        <f t="shared" si="284"/>
        <v>0</v>
      </c>
      <c r="FA105" s="66" t="str">
        <f t="shared" si="285"/>
        <v/>
      </c>
      <c r="FB105" s="74" t="str">
        <f>IF('Marks Entry'!BK105="","",'Marks Entry'!BK105)</f>
        <v/>
      </c>
      <c r="FC105" s="74" t="str">
        <f>IF('Marks Entry'!BL105="","",'Marks Entry'!BL105)</f>
        <v/>
      </c>
      <c r="FD105" s="74" t="str">
        <f>IF('Marks Entry'!BM105="","",'Marks Entry'!BM105)</f>
        <v/>
      </c>
      <c r="FE105" s="74" t="str">
        <f>IF('Marks Entry'!BN105="","",'Marks Entry'!BN105)</f>
        <v/>
      </c>
      <c r="FF105" s="74" t="str">
        <f>IF('Marks Entry'!BO105="","",'Marks Entry'!BO105)</f>
        <v/>
      </c>
      <c r="FG105" s="74" t="str">
        <f>IF('Marks Entry'!BP105="","",'Marks Entry'!BP105)</f>
        <v/>
      </c>
      <c r="FH105" s="527" t="str">
        <f t="shared" si="233"/>
        <v/>
      </c>
      <c r="FI105" s="74" t="str">
        <f>IF('Marks Entry'!BQ105="","",'Marks Entry'!BQ105)</f>
        <v/>
      </c>
      <c r="FJ105" s="74" t="str">
        <f>IF('Marks Entry'!BR105="","",'Marks Entry'!BR105)</f>
        <v/>
      </c>
      <c r="FK105" s="528" t="str">
        <f t="shared" si="234"/>
        <v/>
      </c>
      <c r="FL105" s="529" t="str">
        <f t="shared" si="235"/>
        <v/>
      </c>
      <c r="FM105" s="74" t="str">
        <f>IF('Marks Entry'!BS105="","",'Marks Entry'!BS105)</f>
        <v/>
      </c>
      <c r="FN105" s="74" t="str">
        <f>IF('Marks Entry'!BT105="","",'Marks Entry'!BT105)</f>
        <v/>
      </c>
      <c r="FO105" s="528" t="str">
        <f t="shared" si="236"/>
        <v/>
      </c>
      <c r="FP105" s="530" t="str">
        <f t="shared" si="237"/>
        <v/>
      </c>
      <c r="FQ105" s="368" t="str">
        <f t="shared" si="286"/>
        <v/>
      </c>
      <c r="FR105" s="65">
        <f t="shared" si="287"/>
        <v>0</v>
      </c>
      <c r="FS105" s="65">
        <f t="shared" si="288"/>
        <v>0</v>
      </c>
      <c r="FT105" s="66" t="str">
        <f t="shared" si="289"/>
        <v/>
      </c>
      <c r="FU105" s="74" t="str">
        <f>IF('Marks Entry'!BU105="","",'Marks Entry'!BU105)</f>
        <v/>
      </c>
      <c r="FV105" s="74" t="str">
        <f>IF('Marks Entry'!BV105="","",'Marks Entry'!BV105)</f>
        <v/>
      </c>
      <c r="FW105" s="74" t="str">
        <f>IF('Marks Entry'!BW105="","",'Marks Entry'!BW105)</f>
        <v/>
      </c>
      <c r="FX105" s="75" t="str">
        <f t="shared" si="238"/>
        <v/>
      </c>
      <c r="FY105" s="368" t="str">
        <f t="shared" si="290"/>
        <v/>
      </c>
      <c r="FZ105" s="65">
        <f t="shared" si="291"/>
        <v>0</v>
      </c>
      <c r="GA105" s="66">
        <f t="shared" si="292"/>
        <v>0</v>
      </c>
      <c r="GB105" s="66" t="str">
        <f t="shared" si="293"/>
        <v/>
      </c>
      <c r="GC105" s="74" t="str">
        <f>IF('Marks Entry'!BX105="","",'Marks Entry'!BX105)</f>
        <v/>
      </c>
      <c r="GD105" s="74" t="str">
        <f>IF('Marks Entry'!BY105="","",'Marks Entry'!BY105)</f>
        <v/>
      </c>
      <c r="GE105" s="74" t="str">
        <f>IF('Marks Entry'!BZ105="","",'Marks Entry'!BZ105)</f>
        <v/>
      </c>
      <c r="GF105" s="75" t="str">
        <f t="shared" si="294"/>
        <v/>
      </c>
      <c r="GG105" s="368" t="str">
        <f t="shared" si="295"/>
        <v/>
      </c>
      <c r="GH105" s="65">
        <f t="shared" si="296"/>
        <v>0</v>
      </c>
      <c r="GI105" s="66">
        <f t="shared" si="297"/>
        <v>0</v>
      </c>
      <c r="GJ105" s="66" t="str">
        <f t="shared" si="298"/>
        <v/>
      </c>
      <c r="GK105" s="100" t="str">
        <f>IF(AND(F105="",B105=""),"",IF('Student DATA Entry'!M102="","",'Student DATA Entry'!M102))</f>
        <v/>
      </c>
      <c r="GL105" s="101" t="str">
        <f>IF(AND(B105="",F105=""),"",IF('Student DATA Entry'!N102="","",'Student DATA Entry'!N102))</f>
        <v/>
      </c>
      <c r="GM105" s="581" t="str">
        <f t="shared" si="299"/>
        <v/>
      </c>
      <c r="GN105" s="94" t="str">
        <f t="shared" si="300"/>
        <v/>
      </c>
      <c r="GO105" s="94" t="str">
        <f t="shared" si="301"/>
        <v/>
      </c>
      <c r="GP105" s="102" t="str">
        <f t="shared" si="330"/>
        <v/>
      </c>
      <c r="GQ105" s="94" t="str">
        <f t="shared" si="302"/>
        <v/>
      </c>
      <c r="GR105" s="103" t="str">
        <f t="shared" si="303"/>
        <v/>
      </c>
      <c r="GS105" s="102" t="str">
        <f t="shared" si="331"/>
        <v/>
      </c>
      <c r="GT105" s="104" t="str">
        <f t="shared" si="304"/>
        <v/>
      </c>
      <c r="GU105" s="94" t="str">
        <f>IF('Marks Entry'!V105=1,GT105,"")</f>
        <v/>
      </c>
      <c r="GV105" s="94" t="str">
        <f>IF('Marks Entry'!V105=2,GT105,"")</f>
        <v/>
      </c>
      <c r="GW105" s="94" t="str">
        <f>IF('Marks Entry'!V105=3,GT105,"")</f>
        <v/>
      </c>
      <c r="GX105" s="94" t="str">
        <f>IF('Marks Entry'!V105=4,GT105,"")</f>
        <v/>
      </c>
      <c r="GY105" s="94" t="str">
        <f>IF('Marks Entry'!V105=5,GT105,"")</f>
        <v/>
      </c>
      <c r="GZ105" s="94" t="str">
        <f t="shared" si="305"/>
        <v/>
      </c>
      <c r="HA105" s="105" t="str">
        <f t="shared" si="332"/>
        <v/>
      </c>
      <c r="HB105" s="94" t="str">
        <f t="shared" si="306"/>
        <v/>
      </c>
      <c r="HC105" s="94" t="str">
        <f t="shared" si="307"/>
        <v/>
      </c>
      <c r="HD105" s="105" t="str">
        <f t="shared" si="333"/>
        <v/>
      </c>
      <c r="HE105" s="94" t="str">
        <f t="shared" si="308"/>
        <v/>
      </c>
      <c r="HF105" s="94" t="str">
        <f t="shared" si="309"/>
        <v/>
      </c>
      <c r="HG105" s="105" t="str">
        <f t="shared" si="334"/>
        <v/>
      </c>
      <c r="HH105" s="94" t="str">
        <f t="shared" si="310"/>
        <v/>
      </c>
      <c r="HI105" s="94" t="str">
        <f t="shared" si="311"/>
        <v/>
      </c>
      <c r="HJ105" s="105" t="str">
        <f t="shared" si="335"/>
        <v/>
      </c>
      <c r="HK105" s="94" t="str">
        <f t="shared" si="312"/>
        <v/>
      </c>
      <c r="HL105" s="94" t="str">
        <f t="shared" si="313"/>
        <v/>
      </c>
      <c r="HM105" s="105" t="str">
        <f t="shared" si="336"/>
        <v/>
      </c>
      <c r="HN105" s="367" t="str">
        <f t="shared" si="314"/>
        <v xml:space="preserve">      </v>
      </c>
      <c r="HO105" s="418" t="str">
        <f t="shared" si="337"/>
        <v xml:space="preserve">      </v>
      </c>
      <c r="HP105" s="367" t="str">
        <f t="shared" si="315"/>
        <v xml:space="preserve">      </v>
      </c>
      <c r="HQ105" s="107" t="str">
        <f t="shared" si="316"/>
        <v xml:space="preserve">      </v>
      </c>
      <c r="HR105" s="366" t="str">
        <f t="shared" si="317"/>
        <v xml:space="preserve">      </v>
      </c>
      <c r="HS105" s="544" t="str">
        <f t="shared" si="338"/>
        <v/>
      </c>
      <c r="HT105" s="542" t="str">
        <f t="shared" si="318"/>
        <v/>
      </c>
      <c r="HU105" s="541" t="str">
        <f t="shared" si="319"/>
        <v/>
      </c>
      <c r="HV105" s="540" t="str">
        <f t="shared" si="320"/>
        <v/>
      </c>
      <c r="HW105" s="537" t="str">
        <f t="shared" si="321"/>
        <v/>
      </c>
      <c r="HX105" s="539" t="str">
        <f t="shared" si="322"/>
        <v/>
      </c>
      <c r="HY105" s="553" t="str">
        <f>IFERROR(IF(OR(HS105="SUPPLEMENTARY",HS105="RE-EXAM"),'Supp. Result Entry'!AQ103,""),"")</f>
        <v/>
      </c>
      <c r="HZ105" s="538" t="str">
        <f t="shared" si="323"/>
        <v/>
      </c>
      <c r="IA105" s="415" t="str">
        <f t="shared" si="324"/>
        <v/>
      </c>
      <c r="IB105" s="415" t="str">
        <f>IF(AND(HZ105="",IA105=""),"",IF(OR(HS105="SUPPLEMENTARY",HS105="RE-EXAM"),'Supp. Result Entry'!AQ103,HS105))</f>
        <v/>
      </c>
      <c r="IC105" s="87"/>
      <c r="IS105" s="109" t="str">
        <f>IF('Supp. Result Entry'!T103="","",'Supp. Result Entry'!$T$4)</f>
        <v/>
      </c>
      <c r="IT105" s="110" t="str">
        <f>IF('Supp. Result Entry'!W103="","",'Supp. Result Entry'!$W$4)</f>
        <v/>
      </c>
      <c r="IU105" s="110" t="str">
        <f>IF('Supp. Result Entry'!Z103="","",'Supp. Result Entry'!$Z$4)</f>
        <v/>
      </c>
      <c r="IV105" s="110" t="str">
        <f>IF('Supp. Result Entry'!AC103="","",'Supp. Result Entry'!$AC$4)</f>
        <v/>
      </c>
      <c r="IW105" s="110" t="str">
        <f>IF('Supp. Result Entry'!AF103="","",'Supp. Result Entry'!$AF$4)</f>
        <v/>
      </c>
      <c r="IX105" s="110" t="str">
        <f>IF('Supp. Result Entry'!AI103="","",'Supp. Result Entry'!$AI$4)</f>
        <v/>
      </c>
      <c r="IY105" s="110" t="str">
        <f>IF('Supp. Result Entry'!AI103="","",'Supp. Result Entry'!$AL$4)</f>
        <v/>
      </c>
      <c r="IZ105" s="110" t="str">
        <f>IF('Supp. Result Entry'!U103="","",'Supp. Result Entry'!U103)</f>
        <v/>
      </c>
      <c r="JA105" s="110" t="str">
        <f>IF('Supp. Result Entry'!X103="","",'Supp. Result Entry'!X103)</f>
        <v/>
      </c>
      <c r="JB105" s="110" t="str">
        <f>IF('Supp. Result Entry'!AA103="","",'Supp. Result Entry'!AA103)</f>
        <v/>
      </c>
      <c r="JC105" s="110" t="str">
        <f>IF('Supp. Result Entry'!AD103="","",'Supp. Result Entry'!AD103)</f>
        <v/>
      </c>
      <c r="JD105" s="110" t="str">
        <f>IF('Supp. Result Entry'!AG103="","",'Supp. Result Entry'!AG103)</f>
        <v/>
      </c>
      <c r="JE105" s="110" t="str">
        <f>IF('Supp. Result Entry'!AJ103="","",'Supp. Result Entry'!AJ103)</f>
        <v/>
      </c>
      <c r="JF105" s="110" t="str">
        <f>IF('Supp. Result Entry'!AM103="","",'Supp. Result Entry'!AM103)</f>
        <v/>
      </c>
      <c r="JG105" s="110" t="str">
        <f>IF('Supp. Result Entry'!V103="","",'Supp. Result Entry'!V103)</f>
        <v/>
      </c>
      <c r="JH105" s="110" t="str">
        <f>IF('Supp. Result Entry'!Y103="","",'Supp. Result Entry'!Y103)</f>
        <v/>
      </c>
      <c r="JI105" s="110" t="str">
        <f>IF('Supp. Result Entry'!AB103="","",'Supp. Result Entry'!AB103)</f>
        <v/>
      </c>
      <c r="JJ105" s="110" t="str">
        <f>IF('Supp. Result Entry'!AE103="","",'Supp. Result Entry'!AE103)</f>
        <v/>
      </c>
      <c r="JK105" s="110" t="str">
        <f>IF('Supp. Result Entry'!AH103="","",'Supp. Result Entry'!AH103)</f>
        <v/>
      </c>
      <c r="JL105" s="110" t="str">
        <f>IF('Supp. Result Entry'!AK103="","",'Supp. Result Entry'!AK103)</f>
        <v/>
      </c>
      <c r="JM105" s="110" t="str">
        <f>IF('Supp. Result Entry'!AN103="","",'Supp. Result Entry'!AN103)</f>
        <v/>
      </c>
      <c r="JN105" s="110">
        <f>COUNTIF('Supp. Result Entry'!K103:Q103,"S")</f>
        <v>0</v>
      </c>
      <c r="JO105" s="110">
        <f t="shared" si="248"/>
        <v>0</v>
      </c>
      <c r="JP105" s="110">
        <f t="shared" si="325"/>
        <v>0</v>
      </c>
      <c r="JQ105" s="110" t="str">
        <f t="shared" si="249"/>
        <v/>
      </c>
      <c r="JR105" s="110" t="str">
        <f t="shared" si="250"/>
        <v/>
      </c>
      <c r="JS105" s="110" t="str">
        <f t="shared" si="251"/>
        <v/>
      </c>
      <c r="JT105" s="110" t="str">
        <f t="shared" si="252"/>
        <v/>
      </c>
      <c r="JU105" s="110" t="str">
        <f t="shared" si="253"/>
        <v/>
      </c>
      <c r="JV105" s="110" t="str">
        <f t="shared" si="254"/>
        <v/>
      </c>
      <c r="JW105" s="110" t="str">
        <f t="shared" si="255"/>
        <v/>
      </c>
      <c r="JX105" s="110" t="str">
        <f t="shared" si="326"/>
        <v/>
      </c>
      <c r="JY105" s="110" t="str">
        <f t="shared" si="327"/>
        <v/>
      </c>
      <c r="JZ105" s="110" t="str">
        <f t="shared" si="256"/>
        <v/>
      </c>
      <c r="KA105" s="108" t="str">
        <f t="shared" si="328"/>
        <v/>
      </c>
    </row>
    <row r="106" spans="1:287" s="108" customFormat="1" ht="21.95" customHeight="1">
      <c r="A106" s="89">
        <v>100</v>
      </c>
      <c r="B106" s="90" t="str">
        <f>IF('Marks Entry'!B106="","",'Marks Entry'!B106)</f>
        <v/>
      </c>
      <c r="C106" s="94" t="str">
        <f>IF('Marks Entry'!D106="","",'Marks Entry'!D106)</f>
        <v/>
      </c>
      <c r="D106" s="91" t="str">
        <f>IF('Marks Entry'!E106="","",'Marks Entry'!E106)</f>
        <v/>
      </c>
      <c r="E106" s="92" t="str">
        <f>IF('Marks Entry'!F106="","",'Marks Entry'!F106)</f>
        <v/>
      </c>
      <c r="F106" s="93" t="str">
        <f>IF('Marks Entry'!G106="","",'Marks Entry'!G106)</f>
        <v/>
      </c>
      <c r="G106" s="93" t="str">
        <f>IF('Marks Entry'!H106="","",'Marks Entry'!H106)</f>
        <v/>
      </c>
      <c r="H106" s="93" t="str">
        <f>IF('Marks Entry'!I106="","",'Marks Entry'!I106)</f>
        <v/>
      </c>
      <c r="I106" s="94" t="str">
        <f>IF('Marks Entry'!J106="","",'Marks Entry'!J106)</f>
        <v/>
      </c>
      <c r="J106" s="95" t="str">
        <f>IF('Marks Entry'!K106="","",'Marks Entry'!K106)</f>
        <v/>
      </c>
      <c r="K106" s="68" t="str">
        <f>IF('Marks Entry'!L106="","",'Marks Entry'!L106)</f>
        <v/>
      </c>
      <c r="L106" s="68" t="str">
        <f>IF('Marks Entry'!M106="","",'Marks Entry'!M106)</f>
        <v/>
      </c>
      <c r="M106" s="68" t="str">
        <f>IF('Marks Entry'!N106="","",'Marks Entry'!N106)</f>
        <v/>
      </c>
      <c r="N106" s="514" t="str">
        <f t="shared" si="257"/>
        <v/>
      </c>
      <c r="O106" s="68" t="str">
        <f>IF('Marks Entry'!O106="","",'Marks Entry'!O106)</f>
        <v/>
      </c>
      <c r="P106" s="515" t="str">
        <f t="shared" si="258"/>
        <v/>
      </c>
      <c r="Q106" s="68" t="str">
        <f>IF('Marks Entry'!P106="","",'Marks Entry'!P106)</f>
        <v/>
      </c>
      <c r="R106" s="96" t="str">
        <f t="shared" si="259"/>
        <v/>
      </c>
      <c r="S106" s="65">
        <f t="shared" si="260"/>
        <v>0</v>
      </c>
      <c r="T106" s="65">
        <f t="shared" si="261"/>
        <v>0</v>
      </c>
      <c r="U106" s="66" t="str">
        <f t="shared" si="171"/>
        <v/>
      </c>
      <c r="V106" s="65" t="str">
        <f t="shared" si="172"/>
        <v/>
      </c>
      <c r="W106" s="65" t="str">
        <f t="shared" si="262"/>
        <v/>
      </c>
      <c r="X106" s="65" t="str">
        <f t="shared" si="173"/>
        <v/>
      </c>
      <c r="Y106" s="68" t="str">
        <f>IF('Marks Entry'!Q106="","",'Marks Entry'!Q106)</f>
        <v/>
      </c>
      <c r="Z106" s="68" t="str">
        <f>IF('Marks Entry'!R106="","",'Marks Entry'!R106)</f>
        <v/>
      </c>
      <c r="AA106" s="68" t="str">
        <f>IF('Marks Entry'!S106="","",'Marks Entry'!S106)</f>
        <v/>
      </c>
      <c r="AB106" s="514" t="str">
        <f t="shared" si="174"/>
        <v/>
      </c>
      <c r="AC106" s="68" t="str">
        <f>IF('Marks Entry'!T106="","",'Marks Entry'!T106)</f>
        <v/>
      </c>
      <c r="AD106" s="515" t="str">
        <f t="shared" si="175"/>
        <v/>
      </c>
      <c r="AE106" s="68" t="str">
        <f>IF('Marks Entry'!U106="","",'Marks Entry'!U106)</f>
        <v/>
      </c>
      <c r="AF106" s="96" t="str">
        <f t="shared" si="176"/>
        <v/>
      </c>
      <c r="AG106" s="65">
        <f t="shared" si="177"/>
        <v>0</v>
      </c>
      <c r="AH106" s="65">
        <f t="shared" si="178"/>
        <v>0</v>
      </c>
      <c r="AI106" s="66" t="str">
        <f t="shared" si="179"/>
        <v/>
      </c>
      <c r="AJ106" s="65" t="str">
        <f t="shared" si="180"/>
        <v/>
      </c>
      <c r="AK106" s="65" t="str">
        <f t="shared" si="181"/>
        <v/>
      </c>
      <c r="AL106" s="65" t="str">
        <f t="shared" si="182"/>
        <v/>
      </c>
      <c r="AM106" s="524" t="str">
        <f>IF('Marks Entry'!V106="","",IF('Marks Entry'!V106=1,'School Profile'!$I$9,IF('Marks Entry'!V106=2,'School Profile'!$I$10,IF('Marks Entry'!V106=3,'School Profile'!$I$11,IF('Marks Entry'!V106=4,'School Profile'!$I$12,IF('Marks Entry'!V106=5,'School Profile'!$I$13,IF('Marks Entry'!V106=6,'School Profile'!$I$14,"")))))))</f>
        <v/>
      </c>
      <c r="AN106" s="68" t="str">
        <f>IF('Marks Entry'!W106="","",'Marks Entry'!W106)</f>
        <v/>
      </c>
      <c r="AO106" s="68" t="str">
        <f>IF('Marks Entry'!X106="","",'Marks Entry'!X106)</f>
        <v/>
      </c>
      <c r="AP106" s="68" t="str">
        <f>IF('Marks Entry'!Y106="","",'Marks Entry'!Y106)</f>
        <v/>
      </c>
      <c r="AQ106" s="514" t="str">
        <f t="shared" si="183"/>
        <v/>
      </c>
      <c r="AR106" s="68" t="str">
        <f>IF('Marks Entry'!Z106="","",'Marks Entry'!Z106)</f>
        <v/>
      </c>
      <c r="AS106" s="515" t="str">
        <f t="shared" si="184"/>
        <v/>
      </c>
      <c r="AT106" s="68" t="str">
        <f>IF('Marks Entry'!AA106="","",'Marks Entry'!AA106)</f>
        <v/>
      </c>
      <c r="AU106" s="96" t="str">
        <f t="shared" si="185"/>
        <v/>
      </c>
      <c r="AV106" s="65">
        <f t="shared" si="186"/>
        <v>0</v>
      </c>
      <c r="AW106" s="65">
        <f t="shared" si="187"/>
        <v>0</v>
      </c>
      <c r="AX106" s="66" t="str">
        <f t="shared" si="188"/>
        <v/>
      </c>
      <c r="AY106" s="65" t="str">
        <f t="shared" si="189"/>
        <v/>
      </c>
      <c r="AZ106" s="65" t="str">
        <f t="shared" si="190"/>
        <v/>
      </c>
      <c r="BA106" s="65" t="str">
        <f t="shared" si="191"/>
        <v/>
      </c>
      <c r="BB106" s="68" t="str">
        <f>IF('Marks Entry'!AB106="","",'Marks Entry'!AB106)</f>
        <v/>
      </c>
      <c r="BC106" s="68" t="str">
        <f>IF('Marks Entry'!AC106="","",'Marks Entry'!AC106)</f>
        <v/>
      </c>
      <c r="BD106" s="68" t="str">
        <f>IF('Marks Entry'!AD106="","",'Marks Entry'!AD106)</f>
        <v/>
      </c>
      <c r="BE106" s="514" t="str">
        <f t="shared" si="192"/>
        <v/>
      </c>
      <c r="BF106" s="68" t="str">
        <f>IF('Marks Entry'!AE106="","",'Marks Entry'!AE106)</f>
        <v/>
      </c>
      <c r="BG106" s="515" t="str">
        <f t="shared" si="193"/>
        <v/>
      </c>
      <c r="BH106" s="68" t="str">
        <f>IF('Marks Entry'!AF106="","",'Marks Entry'!AF106)</f>
        <v/>
      </c>
      <c r="BI106" s="96" t="str">
        <f t="shared" si="194"/>
        <v/>
      </c>
      <c r="BJ106" s="65">
        <f t="shared" si="195"/>
        <v>0</v>
      </c>
      <c r="BK106" s="65">
        <f t="shared" si="263"/>
        <v>0</v>
      </c>
      <c r="BL106" s="66" t="str">
        <f t="shared" si="196"/>
        <v/>
      </c>
      <c r="BM106" s="65" t="str">
        <f t="shared" si="197"/>
        <v/>
      </c>
      <c r="BN106" s="65" t="str">
        <f t="shared" si="198"/>
        <v/>
      </c>
      <c r="BO106" s="65" t="str">
        <f t="shared" si="199"/>
        <v/>
      </c>
      <c r="BP106" s="68" t="str">
        <f>IF('Marks Entry'!AG106="","",'Marks Entry'!AG106)</f>
        <v/>
      </c>
      <c r="BQ106" s="68" t="str">
        <f>IF('Marks Entry'!AH106="","",'Marks Entry'!AH106)</f>
        <v/>
      </c>
      <c r="BR106" s="68" t="str">
        <f>IF('Marks Entry'!AI106="","",'Marks Entry'!AI106)</f>
        <v/>
      </c>
      <c r="BS106" s="514" t="str">
        <f t="shared" si="200"/>
        <v/>
      </c>
      <c r="BT106" s="68" t="str">
        <f>IF('Marks Entry'!AJ106="","",'Marks Entry'!AJ106)</f>
        <v/>
      </c>
      <c r="BU106" s="515" t="str">
        <f t="shared" si="201"/>
        <v/>
      </c>
      <c r="BV106" s="68" t="str">
        <f>IF('Marks Entry'!AK106="","",'Marks Entry'!AK106)</f>
        <v/>
      </c>
      <c r="BW106" s="96" t="str">
        <f t="shared" si="202"/>
        <v/>
      </c>
      <c r="BX106" s="65">
        <f t="shared" si="203"/>
        <v>0</v>
      </c>
      <c r="BY106" s="65">
        <f t="shared" si="204"/>
        <v>0</v>
      </c>
      <c r="BZ106" s="66" t="str">
        <f t="shared" si="205"/>
        <v/>
      </c>
      <c r="CA106" s="65" t="str">
        <f t="shared" si="206"/>
        <v/>
      </c>
      <c r="CB106" s="65" t="str">
        <f t="shared" si="207"/>
        <v/>
      </c>
      <c r="CC106" s="65" t="str">
        <f t="shared" si="208"/>
        <v/>
      </c>
      <c r="CD106" s="66">
        <f t="shared" si="329"/>
        <v>0</v>
      </c>
      <c r="CE106" s="68" t="str">
        <f>IF('Marks Entry'!AL106="","",'Marks Entry'!AL106)</f>
        <v/>
      </c>
      <c r="CF106" s="68" t="str">
        <f>IF('Marks Entry'!AM106="","",'Marks Entry'!AM106)</f>
        <v/>
      </c>
      <c r="CG106" s="68" t="str">
        <f>IF('Marks Entry'!AN106="","",'Marks Entry'!AN106)</f>
        <v/>
      </c>
      <c r="CH106" s="514" t="str">
        <f t="shared" si="210"/>
        <v/>
      </c>
      <c r="CI106" s="68" t="str">
        <f>IF('Marks Entry'!AO106="","",'Marks Entry'!AO106)</f>
        <v/>
      </c>
      <c r="CJ106" s="515" t="str">
        <f t="shared" si="211"/>
        <v/>
      </c>
      <c r="CK106" s="68" t="str">
        <f>IF('Marks Entry'!AP106="","",'Marks Entry'!AP106)</f>
        <v/>
      </c>
      <c r="CL106" s="96" t="str">
        <f t="shared" si="212"/>
        <v/>
      </c>
      <c r="CM106" s="65">
        <f t="shared" si="213"/>
        <v>0</v>
      </c>
      <c r="CN106" s="65">
        <f t="shared" si="214"/>
        <v>0</v>
      </c>
      <c r="CO106" s="66" t="str">
        <f t="shared" si="215"/>
        <v/>
      </c>
      <c r="CP106" s="65" t="str">
        <f t="shared" si="216"/>
        <v/>
      </c>
      <c r="CQ106" s="65" t="str">
        <f t="shared" si="217"/>
        <v/>
      </c>
      <c r="CR106" s="65" t="str">
        <f t="shared" si="218"/>
        <v/>
      </c>
      <c r="CS106" s="616" t="str">
        <f>IF('School Profile'!$D$20="NO","",IF('Marks Entry'!AQ106="","",IF('Marks Entry'!AQ106=1,'School Profile'!$I$29,IF('Marks Entry'!AQ106=2,'School Profile'!$I$30,IF('Marks Entry'!AQ106=3,'School Profile'!$I$31,IF('Marks Entry'!AQ106=4,'School Profile'!$I$32,IF('Marks Entry'!AQ106=5,'School Profile'!$I$33,IF('Marks Entry'!AQ106=6,'School Profile'!$I$34,IF('Marks Entry'!AQ106=7,'School Profile'!$I$35,IF('Marks Entry'!AQ106=8,'School Profile'!$I$36,IF('Marks Entry'!AQ106=9,'School Profile'!$I$37,IF('Marks Entry'!AQ106=10,'School Profile'!$I$38,IF('Marks Entry'!AQ106=11,'School Profile'!$I$39,"")))))))))))))</f>
        <v/>
      </c>
      <c r="CT106" s="68" t="str">
        <f>IF('School Profile'!$D$20="NO","",IF('Marks Entry'!AR106="","",'Marks Entry'!AR106))</f>
        <v/>
      </c>
      <c r="CU106" s="68" t="str">
        <f>IF('School Profile'!$D$20="NO","",IF('Marks Entry'!AS106="","",'Marks Entry'!AS106))</f>
        <v/>
      </c>
      <c r="CV106" s="68" t="str">
        <f>IF('School Profile'!$D$20="NO","",IF('Marks Entry'!AT106="","",'Marks Entry'!AT106))</f>
        <v/>
      </c>
      <c r="CW106" s="514" t="str">
        <f>IF('School Profile'!$D$20="NO","",IF(AND(CT106="",CU106="",CV106=""),"",SUM(CT106:CV106)))</f>
        <v/>
      </c>
      <c r="CX106" s="68" t="str">
        <f>IF('School Profile'!$D$20="NO","",IF('Marks Entry'!AU106="","",'Marks Entry'!AU106))</f>
        <v/>
      </c>
      <c r="CY106" s="68" t="str">
        <f>IF('School Profile'!$D$20="NO","",IF('Marks Entry'!AV106="","",'Marks Entry'!AV106))</f>
        <v/>
      </c>
      <c r="CZ106" s="515" t="str">
        <f>IF('School Profile'!$D$20="NO","",IF(AND(CX106="",CY106=""),"",SUM(CX106,CY106)))</f>
        <v/>
      </c>
      <c r="DA106" s="69" t="str">
        <f>IF('School Profile'!$D$20="NO","",IF(AND(CW106="",CZ106=""),"",SUM(CW106+CZ106)))</f>
        <v/>
      </c>
      <c r="DB106" s="68" t="str">
        <f>IF('School Profile'!$D$20="NO","",IF('Marks Entry'!AW106="","",'Marks Entry'!AW106))</f>
        <v/>
      </c>
      <c r="DC106" s="68" t="str">
        <f>IF('School Profile'!$D$20="NO","",IF('Marks Entry'!AX106="","",'Marks Entry'!AX106))</f>
        <v/>
      </c>
      <c r="DD106" s="515" t="str">
        <f>IF('School Profile'!$D$20="NO","",IF(AND(DB106="",DC106=""),"",SUM(DB106,DC106)))</f>
        <v/>
      </c>
      <c r="DE106" s="96" t="str">
        <f>IF('School Profile'!$D$20="NO","",IF(AND(DA106="",DD106=""),"",SUM(DA106,DD106)))</f>
        <v/>
      </c>
      <c r="DF106" s="532">
        <f t="shared" si="219"/>
        <v>0</v>
      </c>
      <c r="DG106" s="65">
        <f t="shared" si="220"/>
        <v>0</v>
      </c>
      <c r="DH106" s="66" t="str">
        <f t="shared" si="221"/>
        <v/>
      </c>
      <c r="DI106" s="65" t="str">
        <f t="shared" si="222"/>
        <v/>
      </c>
      <c r="DJ106" s="65" t="str">
        <f t="shared" si="223"/>
        <v/>
      </c>
      <c r="DK106" s="65" t="str">
        <f t="shared" si="224"/>
        <v/>
      </c>
      <c r="DL106" s="97" t="str">
        <f t="shared" si="264"/>
        <v/>
      </c>
      <c r="DM106" s="97" t="str">
        <f t="shared" si="265"/>
        <v/>
      </c>
      <c r="DN106" s="97" t="str">
        <f t="shared" si="266"/>
        <v/>
      </c>
      <c r="DO106" s="97" t="str">
        <f t="shared" si="267"/>
        <v/>
      </c>
      <c r="DP106" s="97" t="str">
        <f t="shared" si="268"/>
        <v/>
      </c>
      <c r="DQ106" s="97" t="str">
        <f t="shared" si="269"/>
        <v/>
      </c>
      <c r="DR106" s="97" t="str">
        <f t="shared" si="270"/>
        <v/>
      </c>
      <c r="DS106" s="98">
        <f t="shared" si="271"/>
        <v>0</v>
      </c>
      <c r="DT106" s="98">
        <f t="shared" si="272"/>
        <v>0</v>
      </c>
      <c r="DU106" s="98">
        <f t="shared" si="273"/>
        <v>0</v>
      </c>
      <c r="DV106" s="98">
        <f t="shared" si="274"/>
        <v>0</v>
      </c>
      <c r="DW106" s="98">
        <f t="shared" si="275"/>
        <v>0</v>
      </c>
      <c r="DX106" s="98" t="str">
        <f t="shared" si="276"/>
        <v/>
      </c>
      <c r="DY106" s="99" t="str">
        <f t="shared" si="277"/>
        <v/>
      </c>
      <c r="DZ106" s="74" t="str">
        <f>IF('Marks Entry'!AY106="","",'Marks Entry'!AY106)</f>
        <v/>
      </c>
      <c r="EA106" s="74" t="str">
        <f>IF('Marks Entry'!AZ106="","",'Marks Entry'!AZ106)</f>
        <v/>
      </c>
      <c r="EB106" s="74" t="str">
        <f>IF('Marks Entry'!BA106="","",'Marks Entry'!BA106)</f>
        <v/>
      </c>
      <c r="EC106" s="527" t="str">
        <f t="shared" si="225"/>
        <v/>
      </c>
      <c r="ED106" s="74" t="str">
        <f>IF('Marks Entry'!BB106="","",'Marks Entry'!BB106)</f>
        <v/>
      </c>
      <c r="EE106" s="528" t="str">
        <f t="shared" si="226"/>
        <v/>
      </c>
      <c r="EF106" s="74" t="str">
        <f>IF('Marks Entry'!BC106="","",'Marks Entry'!BC106)</f>
        <v/>
      </c>
      <c r="EG106" s="530" t="str">
        <f t="shared" si="227"/>
        <v/>
      </c>
      <c r="EH106" s="368" t="str">
        <f t="shared" si="278"/>
        <v/>
      </c>
      <c r="EI106" s="65">
        <f t="shared" si="279"/>
        <v>0</v>
      </c>
      <c r="EJ106" s="65">
        <f t="shared" si="280"/>
        <v>0</v>
      </c>
      <c r="EK106" s="66" t="str">
        <f t="shared" si="281"/>
        <v/>
      </c>
      <c r="EL106" s="74" t="str">
        <f>IF('Marks Entry'!BD106="","",'Marks Entry'!BD106)</f>
        <v/>
      </c>
      <c r="EM106" s="74" t="str">
        <f>IF('Marks Entry'!BE106="","",'Marks Entry'!BE106)</f>
        <v/>
      </c>
      <c r="EN106" s="74" t="str">
        <f>IF('Marks Entry'!BF106="","",'Marks Entry'!BF106)</f>
        <v/>
      </c>
      <c r="EO106" s="527" t="str">
        <f t="shared" si="228"/>
        <v/>
      </c>
      <c r="EP106" s="74" t="str">
        <f>IF('Marks Entry'!BG106="","",'Marks Entry'!BG106)</f>
        <v/>
      </c>
      <c r="EQ106" s="74" t="str">
        <f>IF('Marks Entry'!BH106="","",'Marks Entry'!BH106)</f>
        <v/>
      </c>
      <c r="ER106" s="528" t="str">
        <f t="shared" si="229"/>
        <v/>
      </c>
      <c r="ES106" s="529" t="str">
        <f t="shared" si="230"/>
        <v/>
      </c>
      <c r="ET106" s="74" t="str">
        <f>IF('Marks Entry'!BI106="","",'Marks Entry'!BI106)</f>
        <v/>
      </c>
      <c r="EU106" s="74" t="str">
        <f>IF('Marks Entry'!BJ106="","",'Marks Entry'!BJ106)</f>
        <v/>
      </c>
      <c r="EV106" s="528" t="str">
        <f t="shared" si="231"/>
        <v/>
      </c>
      <c r="EW106" s="530" t="str">
        <f t="shared" si="232"/>
        <v/>
      </c>
      <c r="EX106" s="368" t="str">
        <f t="shared" si="282"/>
        <v/>
      </c>
      <c r="EY106" s="65">
        <f t="shared" si="283"/>
        <v>0</v>
      </c>
      <c r="EZ106" s="65">
        <f t="shared" si="284"/>
        <v>0</v>
      </c>
      <c r="FA106" s="66" t="str">
        <f t="shared" si="285"/>
        <v/>
      </c>
      <c r="FB106" s="74" t="str">
        <f>IF('Marks Entry'!BK106="","",'Marks Entry'!BK106)</f>
        <v/>
      </c>
      <c r="FC106" s="74" t="str">
        <f>IF('Marks Entry'!BL106="","",'Marks Entry'!BL106)</f>
        <v/>
      </c>
      <c r="FD106" s="74" t="str">
        <f>IF('Marks Entry'!BM106="","",'Marks Entry'!BM106)</f>
        <v/>
      </c>
      <c r="FE106" s="74" t="str">
        <f>IF('Marks Entry'!BN106="","",'Marks Entry'!BN106)</f>
        <v/>
      </c>
      <c r="FF106" s="74" t="str">
        <f>IF('Marks Entry'!BO106="","",'Marks Entry'!BO106)</f>
        <v/>
      </c>
      <c r="FG106" s="74" t="str">
        <f>IF('Marks Entry'!BP106="","",'Marks Entry'!BP106)</f>
        <v/>
      </c>
      <c r="FH106" s="527" t="str">
        <f t="shared" si="233"/>
        <v/>
      </c>
      <c r="FI106" s="74" t="str">
        <f>IF('Marks Entry'!BQ106="","",'Marks Entry'!BQ106)</f>
        <v/>
      </c>
      <c r="FJ106" s="74" t="str">
        <f>IF('Marks Entry'!BR106="","",'Marks Entry'!BR106)</f>
        <v/>
      </c>
      <c r="FK106" s="528" t="str">
        <f t="shared" si="234"/>
        <v/>
      </c>
      <c r="FL106" s="529" t="str">
        <f t="shared" si="235"/>
        <v/>
      </c>
      <c r="FM106" s="74" t="str">
        <f>IF('Marks Entry'!BS106="","",'Marks Entry'!BS106)</f>
        <v/>
      </c>
      <c r="FN106" s="74" t="str">
        <f>IF('Marks Entry'!BT106="","",'Marks Entry'!BT106)</f>
        <v/>
      </c>
      <c r="FO106" s="528" t="str">
        <f t="shared" si="236"/>
        <v/>
      </c>
      <c r="FP106" s="530" t="str">
        <f t="shared" si="237"/>
        <v/>
      </c>
      <c r="FQ106" s="368" t="str">
        <f t="shared" si="286"/>
        <v/>
      </c>
      <c r="FR106" s="65">
        <f t="shared" si="287"/>
        <v>0</v>
      </c>
      <c r="FS106" s="65">
        <f t="shared" si="288"/>
        <v>0</v>
      </c>
      <c r="FT106" s="66" t="str">
        <f t="shared" si="289"/>
        <v/>
      </c>
      <c r="FU106" s="74" t="str">
        <f>IF('Marks Entry'!BU106="","",'Marks Entry'!BU106)</f>
        <v/>
      </c>
      <c r="FV106" s="74" t="str">
        <f>IF('Marks Entry'!BV106="","",'Marks Entry'!BV106)</f>
        <v/>
      </c>
      <c r="FW106" s="74" t="str">
        <f>IF('Marks Entry'!BW106="","",'Marks Entry'!BW106)</f>
        <v/>
      </c>
      <c r="FX106" s="75" t="str">
        <f t="shared" si="238"/>
        <v/>
      </c>
      <c r="FY106" s="368" t="str">
        <f t="shared" si="290"/>
        <v/>
      </c>
      <c r="FZ106" s="65">
        <f t="shared" si="291"/>
        <v>0</v>
      </c>
      <c r="GA106" s="66">
        <f t="shared" si="292"/>
        <v>0</v>
      </c>
      <c r="GB106" s="66" t="str">
        <f t="shared" si="293"/>
        <v/>
      </c>
      <c r="GC106" s="74" t="str">
        <f>IF('Marks Entry'!BX106="","",'Marks Entry'!BX106)</f>
        <v/>
      </c>
      <c r="GD106" s="74" t="str">
        <f>IF('Marks Entry'!BY106="","",'Marks Entry'!BY106)</f>
        <v/>
      </c>
      <c r="GE106" s="74" t="str">
        <f>IF('Marks Entry'!BZ106="","",'Marks Entry'!BZ106)</f>
        <v/>
      </c>
      <c r="GF106" s="75" t="str">
        <f t="shared" si="294"/>
        <v/>
      </c>
      <c r="GG106" s="368" t="str">
        <f t="shared" si="295"/>
        <v/>
      </c>
      <c r="GH106" s="65">
        <f t="shared" si="296"/>
        <v>0</v>
      </c>
      <c r="GI106" s="66">
        <f t="shared" si="297"/>
        <v>0</v>
      </c>
      <c r="GJ106" s="66" t="str">
        <f t="shared" si="298"/>
        <v/>
      </c>
      <c r="GK106" s="100" t="str">
        <f>IF(AND(F106="",B106=""),"",IF('Student DATA Entry'!M103="","",'Student DATA Entry'!M103))</f>
        <v/>
      </c>
      <c r="GL106" s="101" t="str">
        <f>IF(AND(B106="",F106=""),"",IF('Student DATA Entry'!N103="","",'Student DATA Entry'!N103))</f>
        <v/>
      </c>
      <c r="GM106" s="581" t="str">
        <f t="shared" si="299"/>
        <v/>
      </c>
      <c r="GN106" s="94" t="str">
        <f t="shared" si="300"/>
        <v/>
      </c>
      <c r="GO106" s="94" t="str">
        <f t="shared" si="301"/>
        <v/>
      </c>
      <c r="GP106" s="102" t="str">
        <f t="shared" si="330"/>
        <v/>
      </c>
      <c r="GQ106" s="94" t="str">
        <f t="shared" si="302"/>
        <v/>
      </c>
      <c r="GR106" s="103" t="str">
        <f t="shared" si="303"/>
        <v/>
      </c>
      <c r="GS106" s="102" t="str">
        <f t="shared" si="331"/>
        <v/>
      </c>
      <c r="GT106" s="104" t="str">
        <f t="shared" si="304"/>
        <v/>
      </c>
      <c r="GU106" s="94" t="str">
        <f>IF('Marks Entry'!V106=1,GT106,"")</f>
        <v/>
      </c>
      <c r="GV106" s="94" t="str">
        <f>IF('Marks Entry'!V106=2,GT106,"")</f>
        <v/>
      </c>
      <c r="GW106" s="94" t="str">
        <f>IF('Marks Entry'!V106=3,GT106,"")</f>
        <v/>
      </c>
      <c r="GX106" s="94" t="str">
        <f>IF('Marks Entry'!V106=4,GT106,"")</f>
        <v/>
      </c>
      <c r="GY106" s="94" t="str">
        <f>IF('Marks Entry'!V106=5,GT106,"")</f>
        <v/>
      </c>
      <c r="GZ106" s="94" t="str">
        <f t="shared" si="305"/>
        <v/>
      </c>
      <c r="HA106" s="105" t="str">
        <f t="shared" si="332"/>
        <v/>
      </c>
      <c r="HB106" s="94" t="str">
        <f t="shared" si="306"/>
        <v/>
      </c>
      <c r="HC106" s="94" t="str">
        <f t="shared" si="307"/>
        <v/>
      </c>
      <c r="HD106" s="105" t="str">
        <f t="shared" si="333"/>
        <v/>
      </c>
      <c r="HE106" s="94" t="str">
        <f t="shared" si="308"/>
        <v/>
      </c>
      <c r="HF106" s="94" t="str">
        <f t="shared" si="309"/>
        <v/>
      </c>
      <c r="HG106" s="105" t="str">
        <f t="shared" si="334"/>
        <v/>
      </c>
      <c r="HH106" s="94" t="str">
        <f t="shared" si="310"/>
        <v/>
      </c>
      <c r="HI106" s="94" t="str">
        <f t="shared" si="311"/>
        <v/>
      </c>
      <c r="HJ106" s="105" t="str">
        <f t="shared" si="335"/>
        <v/>
      </c>
      <c r="HK106" s="94" t="str">
        <f t="shared" si="312"/>
        <v/>
      </c>
      <c r="HL106" s="94" t="str">
        <f t="shared" si="313"/>
        <v/>
      </c>
      <c r="HM106" s="105" t="str">
        <f t="shared" si="336"/>
        <v/>
      </c>
      <c r="HN106" s="367" t="str">
        <f t="shared" si="314"/>
        <v xml:space="preserve">      </v>
      </c>
      <c r="HO106" s="418" t="str">
        <f t="shared" si="337"/>
        <v xml:space="preserve">      </v>
      </c>
      <c r="HP106" s="367" t="str">
        <f t="shared" si="315"/>
        <v xml:space="preserve">      </v>
      </c>
      <c r="HQ106" s="107" t="str">
        <f t="shared" si="316"/>
        <v xml:space="preserve">      </v>
      </c>
      <c r="HR106" s="366" t="str">
        <f t="shared" si="317"/>
        <v xml:space="preserve">      </v>
      </c>
      <c r="HS106" s="544" t="str">
        <f t="shared" si="338"/>
        <v/>
      </c>
      <c r="HT106" s="542" t="str">
        <f t="shared" si="318"/>
        <v/>
      </c>
      <c r="HU106" s="541" t="str">
        <f t="shared" si="319"/>
        <v/>
      </c>
      <c r="HV106" s="540" t="str">
        <f t="shared" si="320"/>
        <v/>
      </c>
      <c r="HW106" s="537" t="str">
        <f t="shared" si="321"/>
        <v/>
      </c>
      <c r="HX106" s="539" t="str">
        <f t="shared" si="322"/>
        <v/>
      </c>
      <c r="HY106" s="553" t="str">
        <f>IFERROR(IF(OR(HS106="SUPPLEMENTARY",HS106="RE-EXAM"),'Supp. Result Entry'!AQ104,""),"")</f>
        <v/>
      </c>
      <c r="HZ106" s="538" t="str">
        <f t="shared" si="323"/>
        <v/>
      </c>
      <c r="IA106" s="415" t="str">
        <f t="shared" si="324"/>
        <v/>
      </c>
      <c r="IB106" s="415" t="str">
        <f>IF(AND(HZ106="",IA106=""),"",IF(OR(HS106="SUPPLEMENTARY",HS106="RE-EXAM"),'Supp. Result Entry'!AQ104,HS106))</f>
        <v/>
      </c>
      <c r="IC106" s="87"/>
      <c r="IS106" s="109" t="str">
        <f>IF('Supp. Result Entry'!T104="","",'Supp. Result Entry'!$T$4)</f>
        <v/>
      </c>
      <c r="IT106" s="110" t="str">
        <f>IF('Supp. Result Entry'!W104="","",'Supp. Result Entry'!$W$4)</f>
        <v/>
      </c>
      <c r="IU106" s="110" t="str">
        <f>IF('Supp. Result Entry'!Z104="","",'Supp. Result Entry'!$Z$4)</f>
        <v/>
      </c>
      <c r="IV106" s="110" t="str">
        <f>IF('Supp. Result Entry'!AC104="","",'Supp. Result Entry'!$AC$4)</f>
        <v/>
      </c>
      <c r="IW106" s="110" t="str">
        <f>IF('Supp. Result Entry'!AF104="","",'Supp. Result Entry'!$AF$4)</f>
        <v/>
      </c>
      <c r="IX106" s="110" t="str">
        <f>IF('Supp. Result Entry'!AI104="","",'Supp. Result Entry'!$AI$4)</f>
        <v/>
      </c>
      <c r="IY106" s="110" t="str">
        <f>IF('Supp. Result Entry'!AI104="","",'Supp. Result Entry'!$AL$4)</f>
        <v/>
      </c>
      <c r="IZ106" s="110" t="str">
        <f>IF('Supp. Result Entry'!U104="","",'Supp. Result Entry'!U104)</f>
        <v/>
      </c>
      <c r="JA106" s="110" t="str">
        <f>IF('Supp. Result Entry'!X104="","",'Supp. Result Entry'!X104)</f>
        <v/>
      </c>
      <c r="JB106" s="110" t="str">
        <f>IF('Supp. Result Entry'!AA104="","",'Supp. Result Entry'!AA104)</f>
        <v/>
      </c>
      <c r="JC106" s="110" t="str">
        <f>IF('Supp. Result Entry'!AD104="","",'Supp. Result Entry'!AD104)</f>
        <v/>
      </c>
      <c r="JD106" s="110" t="str">
        <f>IF('Supp. Result Entry'!AG104="","",'Supp. Result Entry'!AG104)</f>
        <v/>
      </c>
      <c r="JE106" s="110" t="str">
        <f>IF('Supp. Result Entry'!AJ104="","",'Supp. Result Entry'!AJ104)</f>
        <v/>
      </c>
      <c r="JF106" s="110" t="str">
        <f>IF('Supp. Result Entry'!AM104="","",'Supp. Result Entry'!AM104)</f>
        <v/>
      </c>
      <c r="JG106" s="110" t="str">
        <f>IF('Supp. Result Entry'!V104="","",'Supp. Result Entry'!V104)</f>
        <v/>
      </c>
      <c r="JH106" s="110" t="str">
        <f>IF('Supp. Result Entry'!Y104="","",'Supp. Result Entry'!Y104)</f>
        <v/>
      </c>
      <c r="JI106" s="110" t="str">
        <f>IF('Supp. Result Entry'!AB104="","",'Supp. Result Entry'!AB104)</f>
        <v/>
      </c>
      <c r="JJ106" s="110" t="str">
        <f>IF('Supp. Result Entry'!AE104="","",'Supp. Result Entry'!AE104)</f>
        <v/>
      </c>
      <c r="JK106" s="110" t="str">
        <f>IF('Supp. Result Entry'!AH104="","",'Supp. Result Entry'!AH104)</f>
        <v/>
      </c>
      <c r="JL106" s="110" t="str">
        <f>IF('Supp. Result Entry'!AK104="","",'Supp. Result Entry'!AK104)</f>
        <v/>
      </c>
      <c r="JM106" s="110" t="str">
        <f>IF('Supp. Result Entry'!AN104="","",'Supp. Result Entry'!AN104)</f>
        <v/>
      </c>
      <c r="JN106" s="110">
        <f>COUNTIF('Supp. Result Entry'!K104:Q104,"S")</f>
        <v>0</v>
      </c>
      <c r="JO106" s="110">
        <f t="shared" si="248"/>
        <v>0</v>
      </c>
      <c r="JP106" s="110">
        <f t="shared" si="325"/>
        <v>0</v>
      </c>
      <c r="JQ106" s="110" t="str">
        <f t="shared" si="249"/>
        <v/>
      </c>
      <c r="JR106" s="110" t="str">
        <f t="shared" si="250"/>
        <v/>
      </c>
      <c r="JS106" s="110" t="str">
        <f t="shared" si="251"/>
        <v/>
      </c>
      <c r="JT106" s="110" t="str">
        <f t="shared" si="252"/>
        <v/>
      </c>
      <c r="JU106" s="110" t="str">
        <f t="shared" si="253"/>
        <v/>
      </c>
      <c r="JV106" s="110" t="str">
        <f t="shared" si="254"/>
        <v/>
      </c>
      <c r="JW106" s="110" t="str">
        <f t="shared" si="255"/>
        <v/>
      </c>
      <c r="JX106" s="110" t="str">
        <f t="shared" si="326"/>
        <v/>
      </c>
      <c r="JY106" s="110" t="str">
        <f t="shared" si="327"/>
        <v/>
      </c>
      <c r="JZ106" s="110" t="str">
        <f t="shared" si="256"/>
        <v/>
      </c>
      <c r="KA106" s="108" t="str">
        <f t="shared" si="328"/>
        <v/>
      </c>
    </row>
    <row r="107" spans="1:287" s="108" customFormat="1" ht="21.95" customHeight="1">
      <c r="A107" s="89">
        <v>101</v>
      </c>
      <c r="B107" s="90" t="str">
        <f>IF('Marks Entry'!B107="","",'Marks Entry'!B107)</f>
        <v/>
      </c>
      <c r="C107" s="94" t="str">
        <f>IF('Marks Entry'!D107="","",'Marks Entry'!D107)</f>
        <v/>
      </c>
      <c r="D107" s="91" t="str">
        <f>IF('Marks Entry'!E107="","",'Marks Entry'!E107)</f>
        <v/>
      </c>
      <c r="E107" s="92" t="str">
        <f>IF('Marks Entry'!F107="","",'Marks Entry'!F107)</f>
        <v/>
      </c>
      <c r="F107" s="93" t="str">
        <f>IF('Marks Entry'!G107="","",'Marks Entry'!G107)</f>
        <v/>
      </c>
      <c r="G107" s="93" t="str">
        <f>IF('Marks Entry'!H107="","",'Marks Entry'!H107)</f>
        <v/>
      </c>
      <c r="H107" s="93" t="str">
        <f>IF('Marks Entry'!I107="","",'Marks Entry'!I107)</f>
        <v/>
      </c>
      <c r="I107" s="94" t="str">
        <f>IF('Marks Entry'!J107="","",'Marks Entry'!J107)</f>
        <v/>
      </c>
      <c r="J107" s="95" t="str">
        <f>IF('Marks Entry'!K107="","",'Marks Entry'!K107)</f>
        <v/>
      </c>
      <c r="K107" s="68" t="str">
        <f>IF('Marks Entry'!L107="","",'Marks Entry'!L107)</f>
        <v/>
      </c>
      <c r="L107" s="68" t="str">
        <f>IF('Marks Entry'!M107="","",'Marks Entry'!M107)</f>
        <v/>
      </c>
      <c r="M107" s="68" t="str">
        <f>IF('Marks Entry'!N107="","",'Marks Entry'!N107)</f>
        <v/>
      </c>
      <c r="N107" s="514" t="str">
        <f t="shared" si="257"/>
        <v/>
      </c>
      <c r="O107" s="68" t="str">
        <f>IF('Marks Entry'!O107="","",'Marks Entry'!O107)</f>
        <v/>
      </c>
      <c r="P107" s="515" t="str">
        <f t="shared" si="258"/>
        <v/>
      </c>
      <c r="Q107" s="68" t="str">
        <f>IF('Marks Entry'!P107="","",'Marks Entry'!P107)</f>
        <v/>
      </c>
      <c r="R107" s="96" t="str">
        <f t="shared" si="259"/>
        <v/>
      </c>
      <c r="S107" s="65">
        <f t="shared" si="260"/>
        <v>0</v>
      </c>
      <c r="T107" s="65">
        <f t="shared" si="261"/>
        <v>0</v>
      </c>
      <c r="U107" s="66" t="str">
        <f t="shared" si="171"/>
        <v/>
      </c>
      <c r="V107" s="65" t="str">
        <f t="shared" si="172"/>
        <v/>
      </c>
      <c r="W107" s="65" t="str">
        <f t="shared" si="262"/>
        <v/>
      </c>
      <c r="X107" s="65" t="str">
        <f t="shared" si="173"/>
        <v/>
      </c>
      <c r="Y107" s="68" t="str">
        <f>IF('Marks Entry'!Q107="","",'Marks Entry'!Q107)</f>
        <v/>
      </c>
      <c r="Z107" s="68" t="str">
        <f>IF('Marks Entry'!R107="","",'Marks Entry'!R107)</f>
        <v/>
      </c>
      <c r="AA107" s="68" t="str">
        <f>IF('Marks Entry'!S107="","",'Marks Entry'!S107)</f>
        <v/>
      </c>
      <c r="AB107" s="514" t="str">
        <f t="shared" si="174"/>
        <v/>
      </c>
      <c r="AC107" s="68" t="str">
        <f>IF('Marks Entry'!T107="","",'Marks Entry'!T107)</f>
        <v/>
      </c>
      <c r="AD107" s="515" t="str">
        <f t="shared" si="175"/>
        <v/>
      </c>
      <c r="AE107" s="68" t="str">
        <f>IF('Marks Entry'!U107="","",'Marks Entry'!U107)</f>
        <v/>
      </c>
      <c r="AF107" s="96" t="str">
        <f t="shared" si="176"/>
        <v/>
      </c>
      <c r="AG107" s="65">
        <f t="shared" si="177"/>
        <v>0</v>
      </c>
      <c r="AH107" s="65">
        <f t="shared" si="178"/>
        <v>0</v>
      </c>
      <c r="AI107" s="66" t="str">
        <f t="shared" si="179"/>
        <v/>
      </c>
      <c r="AJ107" s="65" t="str">
        <f t="shared" si="180"/>
        <v/>
      </c>
      <c r="AK107" s="65" t="str">
        <f t="shared" si="181"/>
        <v/>
      </c>
      <c r="AL107" s="65" t="str">
        <f t="shared" si="182"/>
        <v/>
      </c>
      <c r="AM107" s="524" t="str">
        <f>IF('Marks Entry'!V107="","",IF('Marks Entry'!V107=1,'School Profile'!$I$9,IF('Marks Entry'!V107=2,'School Profile'!$I$10,IF('Marks Entry'!V107=3,'School Profile'!$I$11,IF('Marks Entry'!V107=4,'School Profile'!$I$12,IF('Marks Entry'!V107=5,'School Profile'!$I$13,IF('Marks Entry'!V107=6,'School Profile'!$I$14,"")))))))</f>
        <v/>
      </c>
      <c r="AN107" s="68" t="str">
        <f>IF('Marks Entry'!W107="","",'Marks Entry'!W107)</f>
        <v/>
      </c>
      <c r="AO107" s="68" t="str">
        <f>IF('Marks Entry'!X107="","",'Marks Entry'!X107)</f>
        <v/>
      </c>
      <c r="AP107" s="68" t="str">
        <f>IF('Marks Entry'!Y107="","",'Marks Entry'!Y107)</f>
        <v/>
      </c>
      <c r="AQ107" s="514" t="str">
        <f t="shared" si="183"/>
        <v/>
      </c>
      <c r="AR107" s="68" t="str">
        <f>IF('Marks Entry'!Z107="","",'Marks Entry'!Z107)</f>
        <v/>
      </c>
      <c r="AS107" s="515" t="str">
        <f t="shared" si="184"/>
        <v/>
      </c>
      <c r="AT107" s="68" t="str">
        <f>IF('Marks Entry'!AA107="","",'Marks Entry'!AA107)</f>
        <v/>
      </c>
      <c r="AU107" s="96" t="str">
        <f t="shared" si="185"/>
        <v/>
      </c>
      <c r="AV107" s="65">
        <f t="shared" si="186"/>
        <v>0</v>
      </c>
      <c r="AW107" s="65">
        <f t="shared" si="187"/>
        <v>0</v>
      </c>
      <c r="AX107" s="66" t="str">
        <f t="shared" si="188"/>
        <v/>
      </c>
      <c r="AY107" s="65" t="str">
        <f t="shared" si="189"/>
        <v/>
      </c>
      <c r="AZ107" s="65" t="str">
        <f t="shared" si="190"/>
        <v/>
      </c>
      <c r="BA107" s="65" t="str">
        <f t="shared" si="191"/>
        <v/>
      </c>
      <c r="BB107" s="68" t="str">
        <f>IF('Marks Entry'!AB107="","",'Marks Entry'!AB107)</f>
        <v/>
      </c>
      <c r="BC107" s="68" t="str">
        <f>IF('Marks Entry'!AC107="","",'Marks Entry'!AC107)</f>
        <v/>
      </c>
      <c r="BD107" s="68" t="str">
        <f>IF('Marks Entry'!AD107="","",'Marks Entry'!AD107)</f>
        <v/>
      </c>
      <c r="BE107" s="514" t="str">
        <f t="shared" si="192"/>
        <v/>
      </c>
      <c r="BF107" s="68" t="str">
        <f>IF('Marks Entry'!AE107="","",'Marks Entry'!AE107)</f>
        <v/>
      </c>
      <c r="BG107" s="515" t="str">
        <f t="shared" si="193"/>
        <v/>
      </c>
      <c r="BH107" s="68" t="str">
        <f>IF('Marks Entry'!AF107="","",'Marks Entry'!AF107)</f>
        <v/>
      </c>
      <c r="BI107" s="96" t="str">
        <f t="shared" si="194"/>
        <v/>
      </c>
      <c r="BJ107" s="65">
        <f t="shared" si="195"/>
        <v>0</v>
      </c>
      <c r="BK107" s="65">
        <f t="shared" si="263"/>
        <v>0</v>
      </c>
      <c r="BL107" s="66" t="str">
        <f t="shared" si="196"/>
        <v/>
      </c>
      <c r="BM107" s="65" t="str">
        <f t="shared" si="197"/>
        <v/>
      </c>
      <c r="BN107" s="65" t="str">
        <f t="shared" si="198"/>
        <v/>
      </c>
      <c r="BO107" s="65" t="str">
        <f t="shared" si="199"/>
        <v/>
      </c>
      <c r="BP107" s="68" t="str">
        <f>IF('Marks Entry'!AG107="","",'Marks Entry'!AG107)</f>
        <v/>
      </c>
      <c r="BQ107" s="68" t="str">
        <f>IF('Marks Entry'!AH107="","",'Marks Entry'!AH107)</f>
        <v/>
      </c>
      <c r="BR107" s="68" t="str">
        <f>IF('Marks Entry'!AI107="","",'Marks Entry'!AI107)</f>
        <v/>
      </c>
      <c r="BS107" s="514" t="str">
        <f t="shared" si="200"/>
        <v/>
      </c>
      <c r="BT107" s="68" t="str">
        <f>IF('Marks Entry'!AJ107="","",'Marks Entry'!AJ107)</f>
        <v/>
      </c>
      <c r="BU107" s="515" t="str">
        <f t="shared" si="201"/>
        <v/>
      </c>
      <c r="BV107" s="68" t="str">
        <f>IF('Marks Entry'!AK107="","",'Marks Entry'!AK107)</f>
        <v/>
      </c>
      <c r="BW107" s="96" t="str">
        <f t="shared" si="202"/>
        <v/>
      </c>
      <c r="BX107" s="65">
        <f t="shared" si="203"/>
        <v>0</v>
      </c>
      <c r="BY107" s="65">
        <f t="shared" si="204"/>
        <v>0</v>
      </c>
      <c r="BZ107" s="66" t="str">
        <f t="shared" si="205"/>
        <v/>
      </c>
      <c r="CA107" s="65" t="str">
        <f t="shared" si="206"/>
        <v/>
      </c>
      <c r="CB107" s="65" t="str">
        <f t="shared" si="207"/>
        <v/>
      </c>
      <c r="CC107" s="65" t="str">
        <f t="shared" si="208"/>
        <v/>
      </c>
      <c r="CD107" s="66">
        <f t="shared" si="329"/>
        <v>0</v>
      </c>
      <c r="CE107" s="68" t="str">
        <f>IF('Marks Entry'!AL107="","",'Marks Entry'!AL107)</f>
        <v/>
      </c>
      <c r="CF107" s="68" t="str">
        <f>IF('Marks Entry'!AM107="","",'Marks Entry'!AM107)</f>
        <v/>
      </c>
      <c r="CG107" s="68" t="str">
        <f>IF('Marks Entry'!AN107="","",'Marks Entry'!AN107)</f>
        <v/>
      </c>
      <c r="CH107" s="514" t="str">
        <f t="shared" si="210"/>
        <v/>
      </c>
      <c r="CI107" s="68" t="str">
        <f>IF('Marks Entry'!AO107="","",'Marks Entry'!AO107)</f>
        <v/>
      </c>
      <c r="CJ107" s="515" t="str">
        <f t="shared" si="211"/>
        <v/>
      </c>
      <c r="CK107" s="68" t="str">
        <f>IF('Marks Entry'!AP107="","",'Marks Entry'!AP107)</f>
        <v/>
      </c>
      <c r="CL107" s="96" t="str">
        <f t="shared" si="212"/>
        <v/>
      </c>
      <c r="CM107" s="65">
        <f t="shared" si="213"/>
        <v>0</v>
      </c>
      <c r="CN107" s="65">
        <f t="shared" si="214"/>
        <v>0</v>
      </c>
      <c r="CO107" s="66" t="str">
        <f t="shared" si="215"/>
        <v/>
      </c>
      <c r="CP107" s="65" t="str">
        <f t="shared" si="216"/>
        <v/>
      </c>
      <c r="CQ107" s="65" t="str">
        <f t="shared" si="217"/>
        <v/>
      </c>
      <c r="CR107" s="65" t="str">
        <f t="shared" si="218"/>
        <v/>
      </c>
      <c r="CS107" s="616" t="str">
        <f>IF('School Profile'!$D$20="NO","",IF('Marks Entry'!AQ107="","",IF('Marks Entry'!AQ107=1,'School Profile'!$I$29,IF('Marks Entry'!AQ107=2,'School Profile'!$I$30,IF('Marks Entry'!AQ107=3,'School Profile'!$I$31,IF('Marks Entry'!AQ107=4,'School Profile'!$I$32,IF('Marks Entry'!AQ107=5,'School Profile'!$I$33,IF('Marks Entry'!AQ107=6,'School Profile'!$I$34,IF('Marks Entry'!AQ107=7,'School Profile'!$I$35,IF('Marks Entry'!AQ107=8,'School Profile'!$I$36,IF('Marks Entry'!AQ107=9,'School Profile'!$I$37,IF('Marks Entry'!AQ107=10,'School Profile'!$I$38,IF('Marks Entry'!AQ107=11,'School Profile'!$I$39,"")))))))))))))</f>
        <v/>
      </c>
      <c r="CT107" s="68" t="str">
        <f>IF('School Profile'!$D$20="NO","",IF('Marks Entry'!AR107="","",'Marks Entry'!AR107))</f>
        <v/>
      </c>
      <c r="CU107" s="68" t="str">
        <f>IF('School Profile'!$D$20="NO","",IF('Marks Entry'!AS107="","",'Marks Entry'!AS107))</f>
        <v/>
      </c>
      <c r="CV107" s="68" t="str">
        <f>IF('School Profile'!$D$20="NO","",IF('Marks Entry'!AT107="","",'Marks Entry'!AT107))</f>
        <v/>
      </c>
      <c r="CW107" s="514" t="str">
        <f>IF('School Profile'!$D$20="NO","",IF(AND(CT107="",CU107="",CV107=""),"",SUM(CT107:CV107)))</f>
        <v/>
      </c>
      <c r="CX107" s="68" t="str">
        <f>IF('School Profile'!$D$20="NO","",IF('Marks Entry'!AU107="","",'Marks Entry'!AU107))</f>
        <v/>
      </c>
      <c r="CY107" s="68" t="str">
        <f>IF('School Profile'!$D$20="NO","",IF('Marks Entry'!AV107="","",'Marks Entry'!AV107))</f>
        <v/>
      </c>
      <c r="CZ107" s="515" t="str">
        <f>IF('School Profile'!$D$20="NO","",IF(AND(CX107="",CY107=""),"",SUM(CX107,CY107)))</f>
        <v/>
      </c>
      <c r="DA107" s="69" t="str">
        <f>IF('School Profile'!$D$20="NO","",IF(AND(CW107="",CZ107=""),"",SUM(CW107+CZ107)))</f>
        <v/>
      </c>
      <c r="DB107" s="68" t="str">
        <f>IF('School Profile'!$D$20="NO","",IF('Marks Entry'!AW107="","",'Marks Entry'!AW107))</f>
        <v/>
      </c>
      <c r="DC107" s="68" t="str">
        <f>IF('School Profile'!$D$20="NO","",IF('Marks Entry'!AX107="","",'Marks Entry'!AX107))</f>
        <v/>
      </c>
      <c r="DD107" s="515" t="str">
        <f>IF('School Profile'!$D$20="NO","",IF(AND(DB107="",DC107=""),"",SUM(DB107,DC107)))</f>
        <v/>
      </c>
      <c r="DE107" s="96" t="str">
        <f>IF('School Profile'!$D$20="NO","",IF(AND(DA107="",DD107=""),"",SUM(DA107,DD107)))</f>
        <v/>
      </c>
      <c r="DF107" s="532">
        <f t="shared" si="219"/>
        <v>0</v>
      </c>
      <c r="DG107" s="65">
        <f t="shared" si="220"/>
        <v>0</v>
      </c>
      <c r="DH107" s="66" t="str">
        <f t="shared" si="221"/>
        <v/>
      </c>
      <c r="DI107" s="65" t="str">
        <f t="shared" si="222"/>
        <v/>
      </c>
      <c r="DJ107" s="65" t="str">
        <f t="shared" si="223"/>
        <v/>
      </c>
      <c r="DK107" s="65" t="str">
        <f t="shared" si="224"/>
        <v/>
      </c>
      <c r="DL107" s="97" t="str">
        <f t="shared" si="264"/>
        <v/>
      </c>
      <c r="DM107" s="97" t="str">
        <f t="shared" si="265"/>
        <v/>
      </c>
      <c r="DN107" s="97" t="str">
        <f t="shared" si="266"/>
        <v/>
      </c>
      <c r="DO107" s="97" t="str">
        <f t="shared" si="267"/>
        <v/>
      </c>
      <c r="DP107" s="97" t="str">
        <f t="shared" si="268"/>
        <v/>
      </c>
      <c r="DQ107" s="97" t="str">
        <f t="shared" si="269"/>
        <v/>
      </c>
      <c r="DR107" s="97" t="str">
        <f t="shared" si="270"/>
        <v/>
      </c>
      <c r="DS107" s="98">
        <f t="shared" si="271"/>
        <v>0</v>
      </c>
      <c r="DT107" s="98">
        <f t="shared" si="272"/>
        <v>0</v>
      </c>
      <c r="DU107" s="98">
        <f t="shared" si="273"/>
        <v>0</v>
      </c>
      <c r="DV107" s="98">
        <f t="shared" si="274"/>
        <v>0</v>
      </c>
      <c r="DW107" s="98">
        <f t="shared" si="275"/>
        <v>0</v>
      </c>
      <c r="DX107" s="98" t="str">
        <f t="shared" si="276"/>
        <v/>
      </c>
      <c r="DY107" s="99" t="str">
        <f t="shared" si="277"/>
        <v/>
      </c>
      <c r="DZ107" s="74" t="str">
        <f>IF('Marks Entry'!AY107="","",'Marks Entry'!AY107)</f>
        <v/>
      </c>
      <c r="EA107" s="74" t="str">
        <f>IF('Marks Entry'!AZ107="","",'Marks Entry'!AZ107)</f>
        <v/>
      </c>
      <c r="EB107" s="74" t="str">
        <f>IF('Marks Entry'!BA107="","",'Marks Entry'!BA107)</f>
        <v/>
      </c>
      <c r="EC107" s="527" t="str">
        <f t="shared" si="225"/>
        <v/>
      </c>
      <c r="ED107" s="74" t="str">
        <f>IF('Marks Entry'!BB107="","",'Marks Entry'!BB107)</f>
        <v/>
      </c>
      <c r="EE107" s="528" t="str">
        <f t="shared" si="226"/>
        <v/>
      </c>
      <c r="EF107" s="74" t="str">
        <f>IF('Marks Entry'!BC107="","",'Marks Entry'!BC107)</f>
        <v/>
      </c>
      <c r="EG107" s="530" t="str">
        <f t="shared" si="227"/>
        <v/>
      </c>
      <c r="EH107" s="368" t="str">
        <f t="shared" si="278"/>
        <v/>
      </c>
      <c r="EI107" s="65">
        <f t="shared" si="279"/>
        <v>0</v>
      </c>
      <c r="EJ107" s="65">
        <f t="shared" si="280"/>
        <v>0</v>
      </c>
      <c r="EK107" s="66" t="str">
        <f t="shared" si="281"/>
        <v/>
      </c>
      <c r="EL107" s="74" t="str">
        <f>IF('Marks Entry'!BD107="","",'Marks Entry'!BD107)</f>
        <v/>
      </c>
      <c r="EM107" s="74" t="str">
        <f>IF('Marks Entry'!BE107="","",'Marks Entry'!BE107)</f>
        <v/>
      </c>
      <c r="EN107" s="74" t="str">
        <f>IF('Marks Entry'!BF107="","",'Marks Entry'!BF107)</f>
        <v/>
      </c>
      <c r="EO107" s="527" t="str">
        <f t="shared" si="228"/>
        <v/>
      </c>
      <c r="EP107" s="74" t="str">
        <f>IF('Marks Entry'!BG107="","",'Marks Entry'!BG107)</f>
        <v/>
      </c>
      <c r="EQ107" s="74" t="str">
        <f>IF('Marks Entry'!BH107="","",'Marks Entry'!BH107)</f>
        <v/>
      </c>
      <c r="ER107" s="528" t="str">
        <f t="shared" si="229"/>
        <v/>
      </c>
      <c r="ES107" s="529" t="str">
        <f t="shared" si="230"/>
        <v/>
      </c>
      <c r="ET107" s="74" t="str">
        <f>IF('Marks Entry'!BI107="","",'Marks Entry'!BI107)</f>
        <v/>
      </c>
      <c r="EU107" s="74" t="str">
        <f>IF('Marks Entry'!BJ107="","",'Marks Entry'!BJ107)</f>
        <v/>
      </c>
      <c r="EV107" s="528" t="str">
        <f t="shared" si="231"/>
        <v/>
      </c>
      <c r="EW107" s="530" t="str">
        <f t="shared" si="232"/>
        <v/>
      </c>
      <c r="EX107" s="368" t="str">
        <f t="shared" si="282"/>
        <v/>
      </c>
      <c r="EY107" s="65">
        <f t="shared" si="283"/>
        <v>0</v>
      </c>
      <c r="EZ107" s="65">
        <f t="shared" si="284"/>
        <v>0</v>
      </c>
      <c r="FA107" s="66" t="str">
        <f t="shared" si="285"/>
        <v/>
      </c>
      <c r="FB107" s="74" t="str">
        <f>IF('Marks Entry'!BK107="","",'Marks Entry'!BK107)</f>
        <v/>
      </c>
      <c r="FC107" s="74" t="str">
        <f>IF('Marks Entry'!BL107="","",'Marks Entry'!BL107)</f>
        <v/>
      </c>
      <c r="FD107" s="74" t="str">
        <f>IF('Marks Entry'!BM107="","",'Marks Entry'!BM107)</f>
        <v/>
      </c>
      <c r="FE107" s="74" t="str">
        <f>IF('Marks Entry'!BN107="","",'Marks Entry'!BN107)</f>
        <v/>
      </c>
      <c r="FF107" s="74" t="str">
        <f>IF('Marks Entry'!BO107="","",'Marks Entry'!BO107)</f>
        <v/>
      </c>
      <c r="FG107" s="74" t="str">
        <f>IF('Marks Entry'!BP107="","",'Marks Entry'!BP107)</f>
        <v/>
      </c>
      <c r="FH107" s="527" t="str">
        <f t="shared" si="233"/>
        <v/>
      </c>
      <c r="FI107" s="74" t="str">
        <f>IF('Marks Entry'!BQ107="","",'Marks Entry'!BQ107)</f>
        <v/>
      </c>
      <c r="FJ107" s="74" t="str">
        <f>IF('Marks Entry'!BR107="","",'Marks Entry'!BR107)</f>
        <v/>
      </c>
      <c r="FK107" s="528" t="str">
        <f t="shared" si="234"/>
        <v/>
      </c>
      <c r="FL107" s="529" t="str">
        <f t="shared" si="235"/>
        <v/>
      </c>
      <c r="FM107" s="74" t="str">
        <f>IF('Marks Entry'!BS107="","",'Marks Entry'!BS107)</f>
        <v/>
      </c>
      <c r="FN107" s="74" t="str">
        <f>IF('Marks Entry'!BT107="","",'Marks Entry'!BT107)</f>
        <v/>
      </c>
      <c r="FO107" s="528" t="str">
        <f t="shared" si="236"/>
        <v/>
      </c>
      <c r="FP107" s="530" t="str">
        <f t="shared" si="237"/>
        <v/>
      </c>
      <c r="FQ107" s="368" t="str">
        <f t="shared" si="286"/>
        <v/>
      </c>
      <c r="FR107" s="65">
        <f t="shared" si="287"/>
        <v>0</v>
      </c>
      <c r="FS107" s="65">
        <f t="shared" si="288"/>
        <v>0</v>
      </c>
      <c r="FT107" s="66" t="str">
        <f t="shared" si="289"/>
        <v/>
      </c>
      <c r="FU107" s="74" t="str">
        <f>IF('Marks Entry'!BU107="","",'Marks Entry'!BU107)</f>
        <v/>
      </c>
      <c r="FV107" s="74" t="str">
        <f>IF('Marks Entry'!BV107="","",'Marks Entry'!BV107)</f>
        <v/>
      </c>
      <c r="FW107" s="74" t="str">
        <f>IF('Marks Entry'!BW107="","",'Marks Entry'!BW107)</f>
        <v/>
      </c>
      <c r="FX107" s="75" t="str">
        <f t="shared" si="238"/>
        <v/>
      </c>
      <c r="FY107" s="368" t="str">
        <f t="shared" si="290"/>
        <v/>
      </c>
      <c r="FZ107" s="65">
        <f t="shared" si="291"/>
        <v>0</v>
      </c>
      <c r="GA107" s="66">
        <f t="shared" si="292"/>
        <v>0</v>
      </c>
      <c r="GB107" s="66" t="str">
        <f t="shared" si="293"/>
        <v/>
      </c>
      <c r="GC107" s="74" t="str">
        <f>IF('Marks Entry'!BX107="","",'Marks Entry'!BX107)</f>
        <v/>
      </c>
      <c r="GD107" s="74" t="str">
        <f>IF('Marks Entry'!BY107="","",'Marks Entry'!BY107)</f>
        <v/>
      </c>
      <c r="GE107" s="74" t="str">
        <f>IF('Marks Entry'!BZ107="","",'Marks Entry'!BZ107)</f>
        <v/>
      </c>
      <c r="GF107" s="75" t="str">
        <f t="shared" si="294"/>
        <v/>
      </c>
      <c r="GG107" s="368" t="str">
        <f t="shared" si="295"/>
        <v/>
      </c>
      <c r="GH107" s="65">
        <f t="shared" si="296"/>
        <v>0</v>
      </c>
      <c r="GI107" s="66">
        <f t="shared" si="297"/>
        <v>0</v>
      </c>
      <c r="GJ107" s="66" t="str">
        <f t="shared" si="298"/>
        <v/>
      </c>
      <c r="GK107" s="100" t="str">
        <f>IF(AND(F107="",B107=""),"",IF('Student DATA Entry'!M104="","",'Student DATA Entry'!M104))</f>
        <v/>
      </c>
      <c r="GL107" s="101" t="str">
        <f>IF(AND(B107="",F107=""),"",IF('Student DATA Entry'!N104="","",'Student DATA Entry'!N104))</f>
        <v/>
      </c>
      <c r="GM107" s="581" t="str">
        <f t="shared" si="299"/>
        <v/>
      </c>
      <c r="GN107" s="94" t="str">
        <f t="shared" si="300"/>
        <v/>
      </c>
      <c r="GO107" s="94" t="str">
        <f t="shared" si="301"/>
        <v/>
      </c>
      <c r="GP107" s="102" t="str">
        <f t="shared" si="330"/>
        <v/>
      </c>
      <c r="GQ107" s="94" t="str">
        <f t="shared" si="302"/>
        <v/>
      </c>
      <c r="GR107" s="103" t="str">
        <f t="shared" si="303"/>
        <v/>
      </c>
      <c r="GS107" s="102" t="str">
        <f t="shared" si="331"/>
        <v/>
      </c>
      <c r="GT107" s="104" t="str">
        <f t="shared" si="304"/>
        <v/>
      </c>
      <c r="GU107" s="94" t="str">
        <f>IF('Marks Entry'!V107=1,GT107,"")</f>
        <v/>
      </c>
      <c r="GV107" s="94" t="str">
        <f>IF('Marks Entry'!V107=2,GT107,"")</f>
        <v/>
      </c>
      <c r="GW107" s="94" t="str">
        <f>IF('Marks Entry'!V107=3,GT107,"")</f>
        <v/>
      </c>
      <c r="GX107" s="94" t="str">
        <f>IF('Marks Entry'!V107=4,GT107,"")</f>
        <v/>
      </c>
      <c r="GY107" s="94" t="str">
        <f>IF('Marks Entry'!V107=5,GT107,"")</f>
        <v/>
      </c>
      <c r="GZ107" s="94" t="str">
        <f t="shared" si="305"/>
        <v/>
      </c>
      <c r="HA107" s="105" t="str">
        <f t="shared" si="332"/>
        <v/>
      </c>
      <c r="HB107" s="94" t="str">
        <f t="shared" si="306"/>
        <v/>
      </c>
      <c r="HC107" s="94" t="str">
        <f t="shared" si="307"/>
        <v/>
      </c>
      <c r="HD107" s="105" t="str">
        <f t="shared" si="333"/>
        <v/>
      </c>
      <c r="HE107" s="94" t="str">
        <f t="shared" si="308"/>
        <v/>
      </c>
      <c r="HF107" s="94" t="str">
        <f t="shared" si="309"/>
        <v/>
      </c>
      <c r="HG107" s="105" t="str">
        <f t="shared" si="334"/>
        <v/>
      </c>
      <c r="HH107" s="94" t="str">
        <f t="shared" si="310"/>
        <v/>
      </c>
      <c r="HI107" s="94" t="str">
        <f t="shared" si="311"/>
        <v/>
      </c>
      <c r="HJ107" s="105" t="str">
        <f t="shared" si="335"/>
        <v/>
      </c>
      <c r="HK107" s="94" t="str">
        <f t="shared" si="312"/>
        <v/>
      </c>
      <c r="HL107" s="94" t="str">
        <f t="shared" si="313"/>
        <v/>
      </c>
      <c r="HM107" s="105" t="str">
        <f t="shared" si="336"/>
        <v/>
      </c>
      <c r="HN107" s="367" t="str">
        <f t="shared" si="314"/>
        <v xml:space="preserve">      </v>
      </c>
      <c r="HO107" s="418" t="str">
        <f t="shared" si="337"/>
        <v xml:space="preserve">      </v>
      </c>
      <c r="HP107" s="367" t="str">
        <f t="shared" si="315"/>
        <v xml:space="preserve">      </v>
      </c>
      <c r="HQ107" s="107" t="str">
        <f t="shared" si="316"/>
        <v xml:space="preserve">      </v>
      </c>
      <c r="HR107" s="366" t="str">
        <f t="shared" si="317"/>
        <v xml:space="preserve">      </v>
      </c>
      <c r="HS107" s="544" t="str">
        <f t="shared" si="338"/>
        <v/>
      </c>
      <c r="HT107" s="542" t="str">
        <f t="shared" si="318"/>
        <v/>
      </c>
      <c r="HU107" s="541" t="str">
        <f t="shared" si="319"/>
        <v/>
      </c>
      <c r="HV107" s="540" t="str">
        <f t="shared" si="320"/>
        <v/>
      </c>
      <c r="HW107" s="537" t="str">
        <f t="shared" si="321"/>
        <v/>
      </c>
      <c r="HX107" s="539" t="str">
        <f t="shared" si="322"/>
        <v/>
      </c>
      <c r="HY107" s="553" t="str">
        <f>IFERROR(IF(OR(HS107="SUPPLEMENTARY",HS107="RE-EXAM"),'Supp. Result Entry'!AQ105,""),"")</f>
        <v/>
      </c>
      <c r="HZ107" s="538" t="str">
        <f t="shared" si="323"/>
        <v/>
      </c>
      <c r="IA107" s="415" t="str">
        <f t="shared" si="324"/>
        <v/>
      </c>
      <c r="IB107" s="415" t="str">
        <f>IF(AND(HZ107="",IA107=""),"",IF(OR(HS107="SUPPLEMENTARY",HS107="RE-EXAM"),'Supp. Result Entry'!AQ105,HS107))</f>
        <v/>
      </c>
      <c r="IC107" s="87"/>
      <c r="IS107" s="109" t="str">
        <f>IF('Supp. Result Entry'!T105="","",'Supp. Result Entry'!$T$4)</f>
        <v/>
      </c>
      <c r="IT107" s="110" t="str">
        <f>IF('Supp. Result Entry'!W105="","",'Supp. Result Entry'!$W$4)</f>
        <v/>
      </c>
      <c r="IU107" s="110" t="str">
        <f>IF('Supp. Result Entry'!Z105="","",'Supp. Result Entry'!$Z$4)</f>
        <v/>
      </c>
      <c r="IV107" s="110" t="str">
        <f>IF('Supp. Result Entry'!AC105="","",'Supp. Result Entry'!$AC$4)</f>
        <v/>
      </c>
      <c r="IW107" s="110" t="str">
        <f>IF('Supp. Result Entry'!AF105="","",'Supp. Result Entry'!$AF$4)</f>
        <v/>
      </c>
      <c r="IX107" s="110" t="str">
        <f>IF('Supp. Result Entry'!AI105="","",'Supp. Result Entry'!$AI$4)</f>
        <v/>
      </c>
      <c r="IY107" s="110" t="str">
        <f>IF('Supp. Result Entry'!AI105="","",'Supp. Result Entry'!$AL$4)</f>
        <v/>
      </c>
      <c r="IZ107" s="110" t="str">
        <f>IF('Supp. Result Entry'!U105="","",'Supp. Result Entry'!U105)</f>
        <v/>
      </c>
      <c r="JA107" s="110" t="str">
        <f>IF('Supp. Result Entry'!X105="","",'Supp. Result Entry'!X105)</f>
        <v/>
      </c>
      <c r="JB107" s="110" t="str">
        <f>IF('Supp. Result Entry'!AA105="","",'Supp. Result Entry'!AA105)</f>
        <v/>
      </c>
      <c r="JC107" s="110" t="str">
        <f>IF('Supp. Result Entry'!AD105="","",'Supp. Result Entry'!AD105)</f>
        <v/>
      </c>
      <c r="JD107" s="110" t="str">
        <f>IF('Supp. Result Entry'!AG105="","",'Supp. Result Entry'!AG105)</f>
        <v/>
      </c>
      <c r="JE107" s="110" t="str">
        <f>IF('Supp. Result Entry'!AJ105="","",'Supp. Result Entry'!AJ105)</f>
        <v/>
      </c>
      <c r="JF107" s="110" t="str">
        <f>IF('Supp. Result Entry'!AM105="","",'Supp. Result Entry'!AM105)</f>
        <v/>
      </c>
      <c r="JG107" s="110" t="str">
        <f>IF('Supp. Result Entry'!V105="","",'Supp. Result Entry'!V105)</f>
        <v/>
      </c>
      <c r="JH107" s="110" t="str">
        <f>IF('Supp. Result Entry'!Y105="","",'Supp. Result Entry'!Y105)</f>
        <v/>
      </c>
      <c r="JI107" s="110" t="str">
        <f>IF('Supp. Result Entry'!AB105="","",'Supp. Result Entry'!AB105)</f>
        <v/>
      </c>
      <c r="JJ107" s="110" t="str">
        <f>IF('Supp. Result Entry'!AE105="","",'Supp. Result Entry'!AE105)</f>
        <v/>
      </c>
      <c r="JK107" s="110" t="str">
        <f>IF('Supp. Result Entry'!AH105="","",'Supp. Result Entry'!AH105)</f>
        <v/>
      </c>
      <c r="JL107" s="110" t="str">
        <f>IF('Supp. Result Entry'!AK105="","",'Supp. Result Entry'!AK105)</f>
        <v/>
      </c>
      <c r="JM107" s="110" t="str">
        <f>IF('Supp. Result Entry'!AN105="","",'Supp. Result Entry'!AN105)</f>
        <v/>
      </c>
      <c r="JN107" s="110">
        <f>COUNTIF('Supp. Result Entry'!K105:Q105,"S")</f>
        <v>0</v>
      </c>
      <c r="JO107" s="110">
        <f t="shared" si="248"/>
        <v>0</v>
      </c>
      <c r="JP107" s="110">
        <f t="shared" si="325"/>
        <v>0</v>
      </c>
      <c r="JQ107" s="110" t="str">
        <f t="shared" si="249"/>
        <v/>
      </c>
      <c r="JR107" s="110" t="str">
        <f t="shared" si="250"/>
        <v/>
      </c>
      <c r="JS107" s="110" t="str">
        <f t="shared" si="251"/>
        <v/>
      </c>
      <c r="JT107" s="110" t="str">
        <f t="shared" si="252"/>
        <v/>
      </c>
      <c r="JU107" s="110" t="str">
        <f t="shared" si="253"/>
        <v/>
      </c>
      <c r="JV107" s="110" t="str">
        <f t="shared" si="254"/>
        <v/>
      </c>
      <c r="JW107" s="110" t="str">
        <f t="shared" si="255"/>
        <v/>
      </c>
      <c r="JX107" s="110" t="str">
        <f t="shared" si="326"/>
        <v/>
      </c>
      <c r="JY107" s="110" t="str">
        <f t="shared" si="327"/>
        <v/>
      </c>
      <c r="JZ107" s="110" t="str">
        <f t="shared" si="256"/>
        <v/>
      </c>
      <c r="KA107" s="108" t="str">
        <f t="shared" si="328"/>
        <v/>
      </c>
    </row>
    <row r="108" spans="1:287" s="108" customFormat="1" ht="21.95" customHeight="1">
      <c r="A108" s="89">
        <v>102</v>
      </c>
      <c r="B108" s="90" t="str">
        <f>IF('Marks Entry'!B108="","",'Marks Entry'!B108)</f>
        <v/>
      </c>
      <c r="C108" s="94" t="str">
        <f>IF('Marks Entry'!D108="","",'Marks Entry'!D108)</f>
        <v/>
      </c>
      <c r="D108" s="91" t="str">
        <f>IF('Marks Entry'!E108="","",'Marks Entry'!E108)</f>
        <v/>
      </c>
      <c r="E108" s="92" t="str">
        <f>IF('Marks Entry'!F108="","",'Marks Entry'!F108)</f>
        <v/>
      </c>
      <c r="F108" s="93" t="str">
        <f>IF('Marks Entry'!G108="","",'Marks Entry'!G108)</f>
        <v/>
      </c>
      <c r="G108" s="93" t="str">
        <f>IF('Marks Entry'!H108="","",'Marks Entry'!H108)</f>
        <v/>
      </c>
      <c r="H108" s="93" t="str">
        <f>IF('Marks Entry'!I108="","",'Marks Entry'!I108)</f>
        <v/>
      </c>
      <c r="I108" s="94" t="str">
        <f>IF('Marks Entry'!J108="","",'Marks Entry'!J108)</f>
        <v/>
      </c>
      <c r="J108" s="95" t="str">
        <f>IF('Marks Entry'!K108="","",'Marks Entry'!K108)</f>
        <v/>
      </c>
      <c r="K108" s="68" t="str">
        <f>IF('Marks Entry'!L108="","",'Marks Entry'!L108)</f>
        <v/>
      </c>
      <c r="L108" s="68" t="str">
        <f>IF('Marks Entry'!M108="","",'Marks Entry'!M108)</f>
        <v/>
      </c>
      <c r="M108" s="68" t="str">
        <f>IF('Marks Entry'!N108="","",'Marks Entry'!N108)</f>
        <v/>
      </c>
      <c r="N108" s="514" t="str">
        <f t="shared" si="257"/>
        <v/>
      </c>
      <c r="O108" s="68" t="str">
        <f>IF('Marks Entry'!O108="","",'Marks Entry'!O108)</f>
        <v/>
      </c>
      <c r="P108" s="515" t="str">
        <f t="shared" si="258"/>
        <v/>
      </c>
      <c r="Q108" s="68" t="str">
        <f>IF('Marks Entry'!P108="","",'Marks Entry'!P108)</f>
        <v/>
      </c>
      <c r="R108" s="96" t="str">
        <f t="shared" si="259"/>
        <v/>
      </c>
      <c r="S108" s="65">
        <f t="shared" si="260"/>
        <v>0</v>
      </c>
      <c r="T108" s="65">
        <f t="shared" si="261"/>
        <v>0</v>
      </c>
      <c r="U108" s="66" t="str">
        <f t="shared" si="171"/>
        <v/>
      </c>
      <c r="V108" s="65" t="str">
        <f t="shared" si="172"/>
        <v/>
      </c>
      <c r="W108" s="65" t="str">
        <f t="shared" si="262"/>
        <v/>
      </c>
      <c r="X108" s="65" t="str">
        <f t="shared" si="173"/>
        <v/>
      </c>
      <c r="Y108" s="68" t="str">
        <f>IF('Marks Entry'!Q108="","",'Marks Entry'!Q108)</f>
        <v/>
      </c>
      <c r="Z108" s="68" t="str">
        <f>IF('Marks Entry'!R108="","",'Marks Entry'!R108)</f>
        <v/>
      </c>
      <c r="AA108" s="68" t="str">
        <f>IF('Marks Entry'!S108="","",'Marks Entry'!S108)</f>
        <v/>
      </c>
      <c r="AB108" s="514" t="str">
        <f t="shared" si="174"/>
        <v/>
      </c>
      <c r="AC108" s="68" t="str">
        <f>IF('Marks Entry'!T108="","",'Marks Entry'!T108)</f>
        <v/>
      </c>
      <c r="AD108" s="515" t="str">
        <f t="shared" si="175"/>
        <v/>
      </c>
      <c r="AE108" s="68" t="str">
        <f>IF('Marks Entry'!U108="","",'Marks Entry'!U108)</f>
        <v/>
      </c>
      <c r="AF108" s="96" t="str">
        <f t="shared" si="176"/>
        <v/>
      </c>
      <c r="AG108" s="65">
        <f t="shared" si="177"/>
        <v>0</v>
      </c>
      <c r="AH108" s="65">
        <f t="shared" si="178"/>
        <v>0</v>
      </c>
      <c r="AI108" s="66" t="str">
        <f t="shared" si="179"/>
        <v/>
      </c>
      <c r="AJ108" s="65" t="str">
        <f t="shared" si="180"/>
        <v/>
      </c>
      <c r="AK108" s="65" t="str">
        <f t="shared" si="181"/>
        <v/>
      </c>
      <c r="AL108" s="65" t="str">
        <f t="shared" si="182"/>
        <v/>
      </c>
      <c r="AM108" s="524" t="str">
        <f>IF('Marks Entry'!V108="","",IF('Marks Entry'!V108=1,'School Profile'!$I$9,IF('Marks Entry'!V108=2,'School Profile'!$I$10,IF('Marks Entry'!V108=3,'School Profile'!$I$11,IF('Marks Entry'!V108=4,'School Profile'!$I$12,IF('Marks Entry'!V108=5,'School Profile'!$I$13,IF('Marks Entry'!V108=6,'School Profile'!$I$14,"")))))))</f>
        <v/>
      </c>
      <c r="AN108" s="68" t="str">
        <f>IF('Marks Entry'!W108="","",'Marks Entry'!W108)</f>
        <v/>
      </c>
      <c r="AO108" s="68" t="str">
        <f>IF('Marks Entry'!X108="","",'Marks Entry'!X108)</f>
        <v/>
      </c>
      <c r="AP108" s="68" t="str">
        <f>IF('Marks Entry'!Y108="","",'Marks Entry'!Y108)</f>
        <v/>
      </c>
      <c r="AQ108" s="514" t="str">
        <f t="shared" si="183"/>
        <v/>
      </c>
      <c r="AR108" s="68" t="str">
        <f>IF('Marks Entry'!Z108="","",'Marks Entry'!Z108)</f>
        <v/>
      </c>
      <c r="AS108" s="515" t="str">
        <f t="shared" si="184"/>
        <v/>
      </c>
      <c r="AT108" s="68" t="str">
        <f>IF('Marks Entry'!AA108="","",'Marks Entry'!AA108)</f>
        <v/>
      </c>
      <c r="AU108" s="96" t="str">
        <f t="shared" si="185"/>
        <v/>
      </c>
      <c r="AV108" s="65">
        <f t="shared" si="186"/>
        <v>0</v>
      </c>
      <c r="AW108" s="65">
        <f t="shared" si="187"/>
        <v>0</v>
      </c>
      <c r="AX108" s="66" t="str">
        <f t="shared" si="188"/>
        <v/>
      </c>
      <c r="AY108" s="65" t="str">
        <f t="shared" si="189"/>
        <v/>
      </c>
      <c r="AZ108" s="65" t="str">
        <f t="shared" si="190"/>
        <v/>
      </c>
      <c r="BA108" s="65" t="str">
        <f t="shared" si="191"/>
        <v/>
      </c>
      <c r="BB108" s="68" t="str">
        <f>IF('Marks Entry'!AB108="","",'Marks Entry'!AB108)</f>
        <v/>
      </c>
      <c r="BC108" s="68" t="str">
        <f>IF('Marks Entry'!AC108="","",'Marks Entry'!AC108)</f>
        <v/>
      </c>
      <c r="BD108" s="68" t="str">
        <f>IF('Marks Entry'!AD108="","",'Marks Entry'!AD108)</f>
        <v/>
      </c>
      <c r="BE108" s="514" t="str">
        <f t="shared" si="192"/>
        <v/>
      </c>
      <c r="BF108" s="68" t="str">
        <f>IF('Marks Entry'!AE108="","",'Marks Entry'!AE108)</f>
        <v/>
      </c>
      <c r="BG108" s="515" t="str">
        <f t="shared" si="193"/>
        <v/>
      </c>
      <c r="BH108" s="68" t="str">
        <f>IF('Marks Entry'!AF108="","",'Marks Entry'!AF108)</f>
        <v/>
      </c>
      <c r="BI108" s="96" t="str">
        <f t="shared" si="194"/>
        <v/>
      </c>
      <c r="BJ108" s="65">
        <f t="shared" si="195"/>
        <v>0</v>
      </c>
      <c r="BK108" s="65">
        <f t="shared" si="263"/>
        <v>0</v>
      </c>
      <c r="BL108" s="66" t="str">
        <f t="shared" si="196"/>
        <v/>
      </c>
      <c r="BM108" s="65" t="str">
        <f t="shared" si="197"/>
        <v/>
      </c>
      <c r="BN108" s="65" t="str">
        <f t="shared" si="198"/>
        <v/>
      </c>
      <c r="BO108" s="65" t="str">
        <f t="shared" si="199"/>
        <v/>
      </c>
      <c r="BP108" s="68" t="str">
        <f>IF('Marks Entry'!AG108="","",'Marks Entry'!AG108)</f>
        <v/>
      </c>
      <c r="BQ108" s="68" t="str">
        <f>IF('Marks Entry'!AH108="","",'Marks Entry'!AH108)</f>
        <v/>
      </c>
      <c r="BR108" s="68" t="str">
        <f>IF('Marks Entry'!AI108="","",'Marks Entry'!AI108)</f>
        <v/>
      </c>
      <c r="BS108" s="514" t="str">
        <f t="shared" si="200"/>
        <v/>
      </c>
      <c r="BT108" s="68" t="str">
        <f>IF('Marks Entry'!AJ108="","",'Marks Entry'!AJ108)</f>
        <v/>
      </c>
      <c r="BU108" s="515" t="str">
        <f t="shared" si="201"/>
        <v/>
      </c>
      <c r="BV108" s="68" t="str">
        <f>IF('Marks Entry'!AK108="","",'Marks Entry'!AK108)</f>
        <v/>
      </c>
      <c r="BW108" s="96" t="str">
        <f t="shared" si="202"/>
        <v/>
      </c>
      <c r="BX108" s="65">
        <f t="shared" si="203"/>
        <v>0</v>
      </c>
      <c r="BY108" s="65">
        <f t="shared" si="204"/>
        <v>0</v>
      </c>
      <c r="BZ108" s="66" t="str">
        <f t="shared" si="205"/>
        <v/>
      </c>
      <c r="CA108" s="65" t="str">
        <f t="shared" si="206"/>
        <v/>
      </c>
      <c r="CB108" s="65" t="str">
        <f t="shared" si="207"/>
        <v/>
      </c>
      <c r="CC108" s="65" t="str">
        <f t="shared" si="208"/>
        <v/>
      </c>
      <c r="CD108" s="66">
        <f t="shared" si="329"/>
        <v>0</v>
      </c>
      <c r="CE108" s="68" t="str">
        <f>IF('Marks Entry'!AL108="","",'Marks Entry'!AL108)</f>
        <v/>
      </c>
      <c r="CF108" s="68" t="str">
        <f>IF('Marks Entry'!AM108="","",'Marks Entry'!AM108)</f>
        <v/>
      </c>
      <c r="CG108" s="68" t="str">
        <f>IF('Marks Entry'!AN108="","",'Marks Entry'!AN108)</f>
        <v/>
      </c>
      <c r="CH108" s="514" t="str">
        <f t="shared" si="210"/>
        <v/>
      </c>
      <c r="CI108" s="68" t="str">
        <f>IF('Marks Entry'!AO108="","",'Marks Entry'!AO108)</f>
        <v/>
      </c>
      <c r="CJ108" s="515" t="str">
        <f t="shared" si="211"/>
        <v/>
      </c>
      <c r="CK108" s="68" t="str">
        <f>IF('Marks Entry'!AP108="","",'Marks Entry'!AP108)</f>
        <v/>
      </c>
      <c r="CL108" s="96" t="str">
        <f t="shared" si="212"/>
        <v/>
      </c>
      <c r="CM108" s="65">
        <f t="shared" si="213"/>
        <v>0</v>
      </c>
      <c r="CN108" s="65">
        <f t="shared" si="214"/>
        <v>0</v>
      </c>
      <c r="CO108" s="66" t="str">
        <f t="shared" si="215"/>
        <v/>
      </c>
      <c r="CP108" s="65" t="str">
        <f t="shared" si="216"/>
        <v/>
      </c>
      <c r="CQ108" s="65" t="str">
        <f t="shared" si="217"/>
        <v/>
      </c>
      <c r="CR108" s="65" t="str">
        <f t="shared" si="218"/>
        <v/>
      </c>
      <c r="CS108" s="616" t="str">
        <f>IF('School Profile'!$D$20="NO","",IF('Marks Entry'!AQ108="","",IF('Marks Entry'!AQ108=1,'School Profile'!$I$29,IF('Marks Entry'!AQ108=2,'School Profile'!$I$30,IF('Marks Entry'!AQ108=3,'School Profile'!$I$31,IF('Marks Entry'!AQ108=4,'School Profile'!$I$32,IF('Marks Entry'!AQ108=5,'School Profile'!$I$33,IF('Marks Entry'!AQ108=6,'School Profile'!$I$34,IF('Marks Entry'!AQ108=7,'School Profile'!$I$35,IF('Marks Entry'!AQ108=8,'School Profile'!$I$36,IF('Marks Entry'!AQ108=9,'School Profile'!$I$37,IF('Marks Entry'!AQ108=10,'School Profile'!$I$38,IF('Marks Entry'!AQ108=11,'School Profile'!$I$39,"")))))))))))))</f>
        <v/>
      </c>
      <c r="CT108" s="68" t="str">
        <f>IF('School Profile'!$D$20="NO","",IF('Marks Entry'!AR108="","",'Marks Entry'!AR108))</f>
        <v/>
      </c>
      <c r="CU108" s="68" t="str">
        <f>IF('School Profile'!$D$20="NO","",IF('Marks Entry'!AS108="","",'Marks Entry'!AS108))</f>
        <v/>
      </c>
      <c r="CV108" s="68" t="str">
        <f>IF('School Profile'!$D$20="NO","",IF('Marks Entry'!AT108="","",'Marks Entry'!AT108))</f>
        <v/>
      </c>
      <c r="CW108" s="514" t="str">
        <f>IF('School Profile'!$D$20="NO","",IF(AND(CT108="",CU108="",CV108=""),"",SUM(CT108:CV108)))</f>
        <v/>
      </c>
      <c r="CX108" s="68" t="str">
        <f>IF('School Profile'!$D$20="NO","",IF('Marks Entry'!AU108="","",'Marks Entry'!AU108))</f>
        <v/>
      </c>
      <c r="CY108" s="68" t="str">
        <f>IF('School Profile'!$D$20="NO","",IF('Marks Entry'!AV108="","",'Marks Entry'!AV108))</f>
        <v/>
      </c>
      <c r="CZ108" s="515" t="str">
        <f>IF('School Profile'!$D$20="NO","",IF(AND(CX108="",CY108=""),"",SUM(CX108,CY108)))</f>
        <v/>
      </c>
      <c r="DA108" s="69" t="str">
        <f>IF('School Profile'!$D$20="NO","",IF(AND(CW108="",CZ108=""),"",SUM(CW108+CZ108)))</f>
        <v/>
      </c>
      <c r="DB108" s="68" t="str">
        <f>IF('School Profile'!$D$20="NO","",IF('Marks Entry'!AW108="","",'Marks Entry'!AW108))</f>
        <v/>
      </c>
      <c r="DC108" s="68" t="str">
        <f>IF('School Profile'!$D$20="NO","",IF('Marks Entry'!AX108="","",'Marks Entry'!AX108))</f>
        <v/>
      </c>
      <c r="DD108" s="515" t="str">
        <f>IF('School Profile'!$D$20="NO","",IF(AND(DB108="",DC108=""),"",SUM(DB108,DC108)))</f>
        <v/>
      </c>
      <c r="DE108" s="96" t="str">
        <f>IF('School Profile'!$D$20="NO","",IF(AND(DA108="",DD108=""),"",SUM(DA108,DD108)))</f>
        <v/>
      </c>
      <c r="DF108" s="532">
        <f t="shared" si="219"/>
        <v>0</v>
      </c>
      <c r="DG108" s="65">
        <f t="shared" si="220"/>
        <v>0</v>
      </c>
      <c r="DH108" s="66" t="str">
        <f t="shared" si="221"/>
        <v/>
      </c>
      <c r="DI108" s="65" t="str">
        <f t="shared" si="222"/>
        <v/>
      </c>
      <c r="DJ108" s="65" t="str">
        <f t="shared" si="223"/>
        <v/>
      </c>
      <c r="DK108" s="65" t="str">
        <f t="shared" si="224"/>
        <v/>
      </c>
      <c r="DL108" s="97" t="str">
        <f t="shared" si="264"/>
        <v/>
      </c>
      <c r="DM108" s="97" t="str">
        <f t="shared" si="265"/>
        <v/>
      </c>
      <c r="DN108" s="97" t="str">
        <f t="shared" si="266"/>
        <v/>
      </c>
      <c r="DO108" s="97" t="str">
        <f t="shared" si="267"/>
        <v/>
      </c>
      <c r="DP108" s="97" t="str">
        <f t="shared" si="268"/>
        <v/>
      </c>
      <c r="DQ108" s="97" t="str">
        <f t="shared" si="269"/>
        <v/>
      </c>
      <c r="DR108" s="97" t="str">
        <f t="shared" si="270"/>
        <v/>
      </c>
      <c r="DS108" s="98">
        <f t="shared" si="271"/>
        <v>0</v>
      </c>
      <c r="DT108" s="98">
        <f t="shared" si="272"/>
        <v>0</v>
      </c>
      <c r="DU108" s="98">
        <f t="shared" si="273"/>
        <v>0</v>
      </c>
      <c r="DV108" s="98">
        <f t="shared" si="274"/>
        <v>0</v>
      </c>
      <c r="DW108" s="98">
        <f t="shared" si="275"/>
        <v>0</v>
      </c>
      <c r="DX108" s="98" t="str">
        <f t="shared" si="276"/>
        <v/>
      </c>
      <c r="DY108" s="99" t="str">
        <f t="shared" si="277"/>
        <v/>
      </c>
      <c r="DZ108" s="74" t="str">
        <f>IF('Marks Entry'!AY108="","",'Marks Entry'!AY108)</f>
        <v/>
      </c>
      <c r="EA108" s="74" t="str">
        <f>IF('Marks Entry'!AZ108="","",'Marks Entry'!AZ108)</f>
        <v/>
      </c>
      <c r="EB108" s="74" t="str">
        <f>IF('Marks Entry'!BA108="","",'Marks Entry'!BA108)</f>
        <v/>
      </c>
      <c r="EC108" s="527" t="str">
        <f t="shared" si="225"/>
        <v/>
      </c>
      <c r="ED108" s="74" t="str">
        <f>IF('Marks Entry'!BB108="","",'Marks Entry'!BB108)</f>
        <v/>
      </c>
      <c r="EE108" s="528" t="str">
        <f t="shared" si="226"/>
        <v/>
      </c>
      <c r="EF108" s="74" t="str">
        <f>IF('Marks Entry'!BC108="","",'Marks Entry'!BC108)</f>
        <v/>
      </c>
      <c r="EG108" s="530" t="str">
        <f t="shared" si="227"/>
        <v/>
      </c>
      <c r="EH108" s="368" t="str">
        <f t="shared" si="278"/>
        <v/>
      </c>
      <c r="EI108" s="65">
        <f t="shared" si="279"/>
        <v>0</v>
      </c>
      <c r="EJ108" s="65">
        <f t="shared" si="280"/>
        <v>0</v>
      </c>
      <c r="EK108" s="66" t="str">
        <f t="shared" si="281"/>
        <v/>
      </c>
      <c r="EL108" s="74" t="str">
        <f>IF('Marks Entry'!BD108="","",'Marks Entry'!BD108)</f>
        <v/>
      </c>
      <c r="EM108" s="74" t="str">
        <f>IF('Marks Entry'!BE108="","",'Marks Entry'!BE108)</f>
        <v/>
      </c>
      <c r="EN108" s="74" t="str">
        <f>IF('Marks Entry'!BF108="","",'Marks Entry'!BF108)</f>
        <v/>
      </c>
      <c r="EO108" s="527" t="str">
        <f t="shared" si="228"/>
        <v/>
      </c>
      <c r="EP108" s="74" t="str">
        <f>IF('Marks Entry'!BG108="","",'Marks Entry'!BG108)</f>
        <v/>
      </c>
      <c r="EQ108" s="74" t="str">
        <f>IF('Marks Entry'!BH108="","",'Marks Entry'!BH108)</f>
        <v/>
      </c>
      <c r="ER108" s="528" t="str">
        <f t="shared" si="229"/>
        <v/>
      </c>
      <c r="ES108" s="529" t="str">
        <f t="shared" si="230"/>
        <v/>
      </c>
      <c r="ET108" s="74" t="str">
        <f>IF('Marks Entry'!BI108="","",'Marks Entry'!BI108)</f>
        <v/>
      </c>
      <c r="EU108" s="74" t="str">
        <f>IF('Marks Entry'!BJ108="","",'Marks Entry'!BJ108)</f>
        <v/>
      </c>
      <c r="EV108" s="528" t="str">
        <f t="shared" si="231"/>
        <v/>
      </c>
      <c r="EW108" s="530" t="str">
        <f t="shared" si="232"/>
        <v/>
      </c>
      <c r="EX108" s="368" t="str">
        <f t="shared" si="282"/>
        <v/>
      </c>
      <c r="EY108" s="65">
        <f t="shared" si="283"/>
        <v>0</v>
      </c>
      <c r="EZ108" s="65">
        <f t="shared" si="284"/>
        <v>0</v>
      </c>
      <c r="FA108" s="66" t="str">
        <f t="shared" si="285"/>
        <v/>
      </c>
      <c r="FB108" s="74" t="str">
        <f>IF('Marks Entry'!BK108="","",'Marks Entry'!BK108)</f>
        <v/>
      </c>
      <c r="FC108" s="74" t="str">
        <f>IF('Marks Entry'!BL108="","",'Marks Entry'!BL108)</f>
        <v/>
      </c>
      <c r="FD108" s="74" t="str">
        <f>IF('Marks Entry'!BM108="","",'Marks Entry'!BM108)</f>
        <v/>
      </c>
      <c r="FE108" s="74" t="str">
        <f>IF('Marks Entry'!BN108="","",'Marks Entry'!BN108)</f>
        <v/>
      </c>
      <c r="FF108" s="74" t="str">
        <f>IF('Marks Entry'!BO108="","",'Marks Entry'!BO108)</f>
        <v/>
      </c>
      <c r="FG108" s="74" t="str">
        <f>IF('Marks Entry'!BP108="","",'Marks Entry'!BP108)</f>
        <v/>
      </c>
      <c r="FH108" s="527" t="str">
        <f t="shared" si="233"/>
        <v/>
      </c>
      <c r="FI108" s="74" t="str">
        <f>IF('Marks Entry'!BQ108="","",'Marks Entry'!BQ108)</f>
        <v/>
      </c>
      <c r="FJ108" s="74" t="str">
        <f>IF('Marks Entry'!BR108="","",'Marks Entry'!BR108)</f>
        <v/>
      </c>
      <c r="FK108" s="528" t="str">
        <f t="shared" si="234"/>
        <v/>
      </c>
      <c r="FL108" s="529" t="str">
        <f t="shared" si="235"/>
        <v/>
      </c>
      <c r="FM108" s="74" t="str">
        <f>IF('Marks Entry'!BS108="","",'Marks Entry'!BS108)</f>
        <v/>
      </c>
      <c r="FN108" s="74" t="str">
        <f>IF('Marks Entry'!BT108="","",'Marks Entry'!BT108)</f>
        <v/>
      </c>
      <c r="FO108" s="528" t="str">
        <f t="shared" si="236"/>
        <v/>
      </c>
      <c r="FP108" s="530" t="str">
        <f t="shared" si="237"/>
        <v/>
      </c>
      <c r="FQ108" s="368" t="str">
        <f t="shared" si="286"/>
        <v/>
      </c>
      <c r="FR108" s="65">
        <f t="shared" si="287"/>
        <v>0</v>
      </c>
      <c r="FS108" s="65">
        <f t="shared" si="288"/>
        <v>0</v>
      </c>
      <c r="FT108" s="66" t="str">
        <f t="shared" si="289"/>
        <v/>
      </c>
      <c r="FU108" s="74" t="str">
        <f>IF('Marks Entry'!BU108="","",'Marks Entry'!BU108)</f>
        <v/>
      </c>
      <c r="FV108" s="74" t="str">
        <f>IF('Marks Entry'!BV108="","",'Marks Entry'!BV108)</f>
        <v/>
      </c>
      <c r="FW108" s="74" t="str">
        <f>IF('Marks Entry'!BW108="","",'Marks Entry'!BW108)</f>
        <v/>
      </c>
      <c r="FX108" s="75" t="str">
        <f t="shared" si="238"/>
        <v/>
      </c>
      <c r="FY108" s="368" t="str">
        <f t="shared" si="290"/>
        <v/>
      </c>
      <c r="FZ108" s="65">
        <f t="shared" si="291"/>
        <v>0</v>
      </c>
      <c r="GA108" s="66">
        <f t="shared" si="292"/>
        <v>0</v>
      </c>
      <c r="GB108" s="66" t="str">
        <f t="shared" si="293"/>
        <v/>
      </c>
      <c r="GC108" s="74" t="str">
        <f>IF('Marks Entry'!BX108="","",'Marks Entry'!BX108)</f>
        <v/>
      </c>
      <c r="GD108" s="74" t="str">
        <f>IF('Marks Entry'!BY108="","",'Marks Entry'!BY108)</f>
        <v/>
      </c>
      <c r="GE108" s="74" t="str">
        <f>IF('Marks Entry'!BZ108="","",'Marks Entry'!BZ108)</f>
        <v/>
      </c>
      <c r="GF108" s="75" t="str">
        <f t="shared" si="294"/>
        <v/>
      </c>
      <c r="GG108" s="368" t="str">
        <f t="shared" si="295"/>
        <v/>
      </c>
      <c r="GH108" s="65">
        <f t="shared" si="296"/>
        <v>0</v>
      </c>
      <c r="GI108" s="66">
        <f t="shared" si="297"/>
        <v>0</v>
      </c>
      <c r="GJ108" s="66" t="str">
        <f t="shared" si="298"/>
        <v/>
      </c>
      <c r="GK108" s="100" t="str">
        <f>IF(AND(F108="",B108=""),"",IF('Student DATA Entry'!M105="","",'Student DATA Entry'!M105))</f>
        <v/>
      </c>
      <c r="GL108" s="101" t="str">
        <f>IF(AND(B108="",F108=""),"",IF('Student DATA Entry'!N105="","",'Student DATA Entry'!N105))</f>
        <v/>
      </c>
      <c r="GM108" s="581" t="str">
        <f t="shared" si="299"/>
        <v/>
      </c>
      <c r="GN108" s="94" t="str">
        <f t="shared" si="300"/>
        <v/>
      </c>
      <c r="GO108" s="94" t="str">
        <f t="shared" si="301"/>
        <v/>
      </c>
      <c r="GP108" s="102" t="str">
        <f t="shared" si="330"/>
        <v/>
      </c>
      <c r="GQ108" s="94" t="str">
        <f t="shared" si="302"/>
        <v/>
      </c>
      <c r="GR108" s="103" t="str">
        <f t="shared" si="303"/>
        <v/>
      </c>
      <c r="GS108" s="102" t="str">
        <f t="shared" si="331"/>
        <v/>
      </c>
      <c r="GT108" s="104" t="str">
        <f t="shared" si="304"/>
        <v/>
      </c>
      <c r="GU108" s="94" t="str">
        <f>IF('Marks Entry'!V108=1,GT108,"")</f>
        <v/>
      </c>
      <c r="GV108" s="94" t="str">
        <f>IF('Marks Entry'!V108=2,GT108,"")</f>
        <v/>
      </c>
      <c r="GW108" s="94" t="str">
        <f>IF('Marks Entry'!V108=3,GT108,"")</f>
        <v/>
      </c>
      <c r="GX108" s="94" t="str">
        <f>IF('Marks Entry'!V108=4,GT108,"")</f>
        <v/>
      </c>
      <c r="GY108" s="94" t="str">
        <f>IF('Marks Entry'!V108=5,GT108,"")</f>
        <v/>
      </c>
      <c r="GZ108" s="94" t="str">
        <f t="shared" si="305"/>
        <v/>
      </c>
      <c r="HA108" s="105" t="str">
        <f t="shared" si="332"/>
        <v/>
      </c>
      <c r="HB108" s="94" t="str">
        <f t="shared" si="306"/>
        <v/>
      </c>
      <c r="HC108" s="94" t="str">
        <f t="shared" si="307"/>
        <v/>
      </c>
      <c r="HD108" s="105" t="str">
        <f t="shared" si="333"/>
        <v/>
      </c>
      <c r="HE108" s="94" t="str">
        <f t="shared" si="308"/>
        <v/>
      </c>
      <c r="HF108" s="94" t="str">
        <f t="shared" si="309"/>
        <v/>
      </c>
      <c r="HG108" s="105" t="str">
        <f t="shared" si="334"/>
        <v/>
      </c>
      <c r="HH108" s="94" t="str">
        <f t="shared" si="310"/>
        <v/>
      </c>
      <c r="HI108" s="94" t="str">
        <f t="shared" si="311"/>
        <v/>
      </c>
      <c r="HJ108" s="105" t="str">
        <f t="shared" si="335"/>
        <v/>
      </c>
      <c r="HK108" s="94" t="str">
        <f t="shared" si="312"/>
        <v/>
      </c>
      <c r="HL108" s="94" t="str">
        <f t="shared" si="313"/>
        <v/>
      </c>
      <c r="HM108" s="105" t="str">
        <f t="shared" si="336"/>
        <v/>
      </c>
      <c r="HN108" s="367" t="str">
        <f t="shared" si="314"/>
        <v xml:space="preserve">      </v>
      </c>
      <c r="HO108" s="418" t="str">
        <f t="shared" si="337"/>
        <v xml:space="preserve">      </v>
      </c>
      <c r="HP108" s="367" t="str">
        <f t="shared" si="315"/>
        <v xml:space="preserve">      </v>
      </c>
      <c r="HQ108" s="107" t="str">
        <f t="shared" si="316"/>
        <v xml:space="preserve">      </v>
      </c>
      <c r="HR108" s="366" t="str">
        <f t="shared" si="317"/>
        <v xml:space="preserve">      </v>
      </c>
      <c r="HS108" s="544" t="str">
        <f t="shared" si="338"/>
        <v/>
      </c>
      <c r="HT108" s="542" t="str">
        <f t="shared" si="318"/>
        <v/>
      </c>
      <c r="HU108" s="541" t="str">
        <f t="shared" si="319"/>
        <v/>
      </c>
      <c r="HV108" s="540" t="str">
        <f t="shared" si="320"/>
        <v/>
      </c>
      <c r="HW108" s="537" t="str">
        <f t="shared" si="321"/>
        <v/>
      </c>
      <c r="HX108" s="539" t="str">
        <f t="shared" si="322"/>
        <v/>
      </c>
      <c r="HY108" s="553" t="str">
        <f>IFERROR(IF(OR(HS108="SUPPLEMENTARY",HS108="RE-EXAM"),'Supp. Result Entry'!AQ106,""),"")</f>
        <v/>
      </c>
      <c r="HZ108" s="538" t="str">
        <f t="shared" si="323"/>
        <v/>
      </c>
      <c r="IA108" s="415" t="str">
        <f t="shared" si="324"/>
        <v/>
      </c>
      <c r="IB108" s="415" t="str">
        <f>IF(AND(HZ108="",IA108=""),"",IF(OR(HS108="SUPPLEMENTARY",HS108="RE-EXAM"),'Supp. Result Entry'!AQ106,HS108))</f>
        <v/>
      </c>
      <c r="IC108" s="87"/>
      <c r="IS108" s="109" t="str">
        <f>IF('Supp. Result Entry'!T106="","",'Supp. Result Entry'!$T$4)</f>
        <v/>
      </c>
      <c r="IT108" s="110" t="str">
        <f>IF('Supp. Result Entry'!W106="","",'Supp. Result Entry'!$W$4)</f>
        <v/>
      </c>
      <c r="IU108" s="110" t="str">
        <f>IF('Supp. Result Entry'!Z106="","",'Supp. Result Entry'!$Z$4)</f>
        <v/>
      </c>
      <c r="IV108" s="110" t="str">
        <f>IF('Supp. Result Entry'!AC106="","",'Supp. Result Entry'!$AC$4)</f>
        <v/>
      </c>
      <c r="IW108" s="110" t="str">
        <f>IF('Supp. Result Entry'!AF106="","",'Supp. Result Entry'!$AF$4)</f>
        <v/>
      </c>
      <c r="IX108" s="110" t="str">
        <f>IF('Supp. Result Entry'!AI106="","",'Supp. Result Entry'!$AI$4)</f>
        <v/>
      </c>
      <c r="IY108" s="110" t="str">
        <f>IF('Supp. Result Entry'!AI106="","",'Supp. Result Entry'!$AL$4)</f>
        <v/>
      </c>
      <c r="IZ108" s="110" t="str">
        <f>IF('Supp. Result Entry'!U106="","",'Supp. Result Entry'!U106)</f>
        <v/>
      </c>
      <c r="JA108" s="110" t="str">
        <f>IF('Supp. Result Entry'!X106="","",'Supp. Result Entry'!X106)</f>
        <v/>
      </c>
      <c r="JB108" s="110" t="str">
        <f>IF('Supp. Result Entry'!AA106="","",'Supp. Result Entry'!AA106)</f>
        <v/>
      </c>
      <c r="JC108" s="110" t="str">
        <f>IF('Supp. Result Entry'!AD106="","",'Supp. Result Entry'!AD106)</f>
        <v/>
      </c>
      <c r="JD108" s="110" t="str">
        <f>IF('Supp. Result Entry'!AG106="","",'Supp. Result Entry'!AG106)</f>
        <v/>
      </c>
      <c r="JE108" s="110" t="str">
        <f>IF('Supp. Result Entry'!AJ106="","",'Supp. Result Entry'!AJ106)</f>
        <v/>
      </c>
      <c r="JF108" s="110" t="str">
        <f>IF('Supp. Result Entry'!AM106="","",'Supp. Result Entry'!AM106)</f>
        <v/>
      </c>
      <c r="JG108" s="110" t="str">
        <f>IF('Supp. Result Entry'!V106="","",'Supp. Result Entry'!V106)</f>
        <v/>
      </c>
      <c r="JH108" s="110" t="str">
        <f>IF('Supp. Result Entry'!Y106="","",'Supp. Result Entry'!Y106)</f>
        <v/>
      </c>
      <c r="JI108" s="110" t="str">
        <f>IF('Supp. Result Entry'!AB106="","",'Supp. Result Entry'!AB106)</f>
        <v/>
      </c>
      <c r="JJ108" s="110" t="str">
        <f>IF('Supp. Result Entry'!AE106="","",'Supp. Result Entry'!AE106)</f>
        <v/>
      </c>
      <c r="JK108" s="110" t="str">
        <f>IF('Supp. Result Entry'!AH106="","",'Supp. Result Entry'!AH106)</f>
        <v/>
      </c>
      <c r="JL108" s="110" t="str">
        <f>IF('Supp. Result Entry'!AK106="","",'Supp. Result Entry'!AK106)</f>
        <v/>
      </c>
      <c r="JM108" s="110" t="str">
        <f>IF('Supp. Result Entry'!AN106="","",'Supp. Result Entry'!AN106)</f>
        <v/>
      </c>
      <c r="JN108" s="110">
        <f>COUNTIF('Supp. Result Entry'!K106:Q106,"S")</f>
        <v>0</v>
      </c>
      <c r="JO108" s="110">
        <f t="shared" si="248"/>
        <v>0</v>
      </c>
      <c r="JP108" s="110">
        <f t="shared" si="325"/>
        <v>0</v>
      </c>
      <c r="JQ108" s="110" t="str">
        <f t="shared" si="249"/>
        <v/>
      </c>
      <c r="JR108" s="110" t="str">
        <f t="shared" si="250"/>
        <v/>
      </c>
      <c r="JS108" s="110" t="str">
        <f t="shared" si="251"/>
        <v/>
      </c>
      <c r="JT108" s="110" t="str">
        <f t="shared" si="252"/>
        <v/>
      </c>
      <c r="JU108" s="110" t="str">
        <f t="shared" si="253"/>
        <v/>
      </c>
      <c r="JV108" s="110" t="str">
        <f t="shared" si="254"/>
        <v/>
      </c>
      <c r="JW108" s="110" t="str">
        <f t="shared" si="255"/>
        <v/>
      </c>
      <c r="JX108" s="110" t="str">
        <f t="shared" si="326"/>
        <v/>
      </c>
      <c r="JY108" s="110" t="str">
        <f t="shared" si="327"/>
        <v/>
      </c>
      <c r="JZ108" s="110" t="str">
        <f t="shared" si="256"/>
        <v/>
      </c>
      <c r="KA108" s="108" t="str">
        <f t="shared" si="328"/>
        <v/>
      </c>
    </row>
    <row r="109" spans="1:287" s="108" customFormat="1" ht="21.95" customHeight="1">
      <c r="A109" s="89">
        <v>103</v>
      </c>
      <c r="B109" s="90" t="str">
        <f>IF('Marks Entry'!B109="","",'Marks Entry'!B109)</f>
        <v/>
      </c>
      <c r="C109" s="94" t="str">
        <f>IF('Marks Entry'!D109="","",'Marks Entry'!D109)</f>
        <v/>
      </c>
      <c r="D109" s="91" t="str">
        <f>IF('Marks Entry'!E109="","",'Marks Entry'!E109)</f>
        <v/>
      </c>
      <c r="E109" s="92" t="str">
        <f>IF('Marks Entry'!F109="","",'Marks Entry'!F109)</f>
        <v/>
      </c>
      <c r="F109" s="93" t="str">
        <f>IF('Marks Entry'!G109="","",'Marks Entry'!G109)</f>
        <v/>
      </c>
      <c r="G109" s="93" t="str">
        <f>IF('Marks Entry'!H109="","",'Marks Entry'!H109)</f>
        <v/>
      </c>
      <c r="H109" s="93" t="str">
        <f>IF('Marks Entry'!I109="","",'Marks Entry'!I109)</f>
        <v/>
      </c>
      <c r="I109" s="94" t="str">
        <f>IF('Marks Entry'!J109="","",'Marks Entry'!J109)</f>
        <v/>
      </c>
      <c r="J109" s="95" t="str">
        <f>IF('Marks Entry'!K109="","",'Marks Entry'!K109)</f>
        <v/>
      </c>
      <c r="K109" s="68" t="str">
        <f>IF('Marks Entry'!L109="","",'Marks Entry'!L109)</f>
        <v/>
      </c>
      <c r="L109" s="68" t="str">
        <f>IF('Marks Entry'!M109="","",'Marks Entry'!M109)</f>
        <v/>
      </c>
      <c r="M109" s="68" t="str">
        <f>IF('Marks Entry'!N109="","",'Marks Entry'!N109)</f>
        <v/>
      </c>
      <c r="N109" s="514" t="str">
        <f t="shared" si="257"/>
        <v/>
      </c>
      <c r="O109" s="68" t="str">
        <f>IF('Marks Entry'!O109="","",'Marks Entry'!O109)</f>
        <v/>
      </c>
      <c r="P109" s="515" t="str">
        <f t="shared" si="258"/>
        <v/>
      </c>
      <c r="Q109" s="68" t="str">
        <f>IF('Marks Entry'!P109="","",'Marks Entry'!P109)</f>
        <v/>
      </c>
      <c r="R109" s="96" t="str">
        <f t="shared" si="259"/>
        <v/>
      </c>
      <c r="S109" s="65">
        <f t="shared" si="260"/>
        <v>0</v>
      </c>
      <c r="T109" s="65">
        <f t="shared" si="261"/>
        <v>0</v>
      </c>
      <c r="U109" s="66" t="str">
        <f t="shared" si="171"/>
        <v/>
      </c>
      <c r="V109" s="65" t="str">
        <f t="shared" si="172"/>
        <v/>
      </c>
      <c r="W109" s="65" t="str">
        <f t="shared" si="262"/>
        <v/>
      </c>
      <c r="X109" s="65" t="str">
        <f t="shared" si="173"/>
        <v/>
      </c>
      <c r="Y109" s="68" t="str">
        <f>IF('Marks Entry'!Q109="","",'Marks Entry'!Q109)</f>
        <v/>
      </c>
      <c r="Z109" s="68" t="str">
        <f>IF('Marks Entry'!R109="","",'Marks Entry'!R109)</f>
        <v/>
      </c>
      <c r="AA109" s="68" t="str">
        <f>IF('Marks Entry'!S109="","",'Marks Entry'!S109)</f>
        <v/>
      </c>
      <c r="AB109" s="514" t="str">
        <f t="shared" si="174"/>
        <v/>
      </c>
      <c r="AC109" s="68" t="str">
        <f>IF('Marks Entry'!T109="","",'Marks Entry'!T109)</f>
        <v/>
      </c>
      <c r="AD109" s="515" t="str">
        <f t="shared" si="175"/>
        <v/>
      </c>
      <c r="AE109" s="68" t="str">
        <f>IF('Marks Entry'!U109="","",'Marks Entry'!U109)</f>
        <v/>
      </c>
      <c r="AF109" s="96" t="str">
        <f t="shared" si="176"/>
        <v/>
      </c>
      <c r="AG109" s="65">
        <f t="shared" si="177"/>
        <v>0</v>
      </c>
      <c r="AH109" s="65">
        <f t="shared" si="178"/>
        <v>0</v>
      </c>
      <c r="AI109" s="66" t="str">
        <f t="shared" si="179"/>
        <v/>
      </c>
      <c r="AJ109" s="65" t="str">
        <f t="shared" si="180"/>
        <v/>
      </c>
      <c r="AK109" s="65" t="str">
        <f t="shared" si="181"/>
        <v/>
      </c>
      <c r="AL109" s="65" t="str">
        <f t="shared" si="182"/>
        <v/>
      </c>
      <c r="AM109" s="524" t="str">
        <f>IF('Marks Entry'!V109="","",IF('Marks Entry'!V109=1,'School Profile'!$I$9,IF('Marks Entry'!V109=2,'School Profile'!$I$10,IF('Marks Entry'!V109=3,'School Profile'!$I$11,IF('Marks Entry'!V109=4,'School Profile'!$I$12,IF('Marks Entry'!V109=5,'School Profile'!$I$13,IF('Marks Entry'!V109=6,'School Profile'!$I$14,"")))))))</f>
        <v/>
      </c>
      <c r="AN109" s="68" t="str">
        <f>IF('Marks Entry'!W109="","",'Marks Entry'!W109)</f>
        <v/>
      </c>
      <c r="AO109" s="68" t="str">
        <f>IF('Marks Entry'!X109="","",'Marks Entry'!X109)</f>
        <v/>
      </c>
      <c r="AP109" s="68" t="str">
        <f>IF('Marks Entry'!Y109="","",'Marks Entry'!Y109)</f>
        <v/>
      </c>
      <c r="AQ109" s="514" t="str">
        <f t="shared" si="183"/>
        <v/>
      </c>
      <c r="AR109" s="68" t="str">
        <f>IF('Marks Entry'!Z109="","",'Marks Entry'!Z109)</f>
        <v/>
      </c>
      <c r="AS109" s="515" t="str">
        <f t="shared" si="184"/>
        <v/>
      </c>
      <c r="AT109" s="68" t="str">
        <f>IF('Marks Entry'!AA109="","",'Marks Entry'!AA109)</f>
        <v/>
      </c>
      <c r="AU109" s="96" t="str">
        <f t="shared" si="185"/>
        <v/>
      </c>
      <c r="AV109" s="65">
        <f t="shared" si="186"/>
        <v>0</v>
      </c>
      <c r="AW109" s="65">
        <f t="shared" si="187"/>
        <v>0</v>
      </c>
      <c r="AX109" s="66" t="str">
        <f t="shared" si="188"/>
        <v/>
      </c>
      <c r="AY109" s="65" t="str">
        <f t="shared" si="189"/>
        <v/>
      </c>
      <c r="AZ109" s="65" t="str">
        <f t="shared" si="190"/>
        <v/>
      </c>
      <c r="BA109" s="65" t="str">
        <f t="shared" si="191"/>
        <v/>
      </c>
      <c r="BB109" s="68" t="str">
        <f>IF('Marks Entry'!AB109="","",'Marks Entry'!AB109)</f>
        <v/>
      </c>
      <c r="BC109" s="68" t="str">
        <f>IF('Marks Entry'!AC109="","",'Marks Entry'!AC109)</f>
        <v/>
      </c>
      <c r="BD109" s="68" t="str">
        <f>IF('Marks Entry'!AD109="","",'Marks Entry'!AD109)</f>
        <v/>
      </c>
      <c r="BE109" s="514" t="str">
        <f t="shared" si="192"/>
        <v/>
      </c>
      <c r="BF109" s="68" t="str">
        <f>IF('Marks Entry'!AE109="","",'Marks Entry'!AE109)</f>
        <v/>
      </c>
      <c r="BG109" s="515" t="str">
        <f t="shared" si="193"/>
        <v/>
      </c>
      <c r="BH109" s="68" t="str">
        <f>IF('Marks Entry'!AF109="","",'Marks Entry'!AF109)</f>
        <v/>
      </c>
      <c r="BI109" s="96" t="str">
        <f t="shared" si="194"/>
        <v/>
      </c>
      <c r="BJ109" s="65">
        <f t="shared" si="195"/>
        <v>0</v>
      </c>
      <c r="BK109" s="65">
        <f t="shared" si="263"/>
        <v>0</v>
      </c>
      <c r="BL109" s="66" t="str">
        <f t="shared" si="196"/>
        <v/>
      </c>
      <c r="BM109" s="65" t="str">
        <f t="shared" si="197"/>
        <v/>
      </c>
      <c r="BN109" s="65" t="str">
        <f t="shared" si="198"/>
        <v/>
      </c>
      <c r="BO109" s="65" t="str">
        <f t="shared" si="199"/>
        <v/>
      </c>
      <c r="BP109" s="68" t="str">
        <f>IF('Marks Entry'!AG109="","",'Marks Entry'!AG109)</f>
        <v/>
      </c>
      <c r="BQ109" s="68" t="str">
        <f>IF('Marks Entry'!AH109="","",'Marks Entry'!AH109)</f>
        <v/>
      </c>
      <c r="BR109" s="68" t="str">
        <f>IF('Marks Entry'!AI109="","",'Marks Entry'!AI109)</f>
        <v/>
      </c>
      <c r="BS109" s="514" t="str">
        <f t="shared" si="200"/>
        <v/>
      </c>
      <c r="BT109" s="68" t="str">
        <f>IF('Marks Entry'!AJ109="","",'Marks Entry'!AJ109)</f>
        <v/>
      </c>
      <c r="BU109" s="515" t="str">
        <f t="shared" si="201"/>
        <v/>
      </c>
      <c r="BV109" s="68" t="str">
        <f>IF('Marks Entry'!AK109="","",'Marks Entry'!AK109)</f>
        <v/>
      </c>
      <c r="BW109" s="96" t="str">
        <f t="shared" si="202"/>
        <v/>
      </c>
      <c r="BX109" s="65">
        <f t="shared" si="203"/>
        <v>0</v>
      </c>
      <c r="BY109" s="65">
        <f t="shared" si="204"/>
        <v>0</v>
      </c>
      <c r="BZ109" s="66" t="str">
        <f t="shared" si="205"/>
        <v/>
      </c>
      <c r="CA109" s="65" t="str">
        <f t="shared" si="206"/>
        <v/>
      </c>
      <c r="CB109" s="65" t="str">
        <f t="shared" si="207"/>
        <v/>
      </c>
      <c r="CC109" s="65" t="str">
        <f t="shared" si="208"/>
        <v/>
      </c>
      <c r="CD109" s="66">
        <f t="shared" si="329"/>
        <v>0</v>
      </c>
      <c r="CE109" s="68" t="str">
        <f>IF('Marks Entry'!AL109="","",'Marks Entry'!AL109)</f>
        <v/>
      </c>
      <c r="CF109" s="68" t="str">
        <f>IF('Marks Entry'!AM109="","",'Marks Entry'!AM109)</f>
        <v/>
      </c>
      <c r="CG109" s="68" t="str">
        <f>IF('Marks Entry'!AN109="","",'Marks Entry'!AN109)</f>
        <v/>
      </c>
      <c r="CH109" s="514" t="str">
        <f t="shared" si="210"/>
        <v/>
      </c>
      <c r="CI109" s="68" t="str">
        <f>IF('Marks Entry'!AO109="","",'Marks Entry'!AO109)</f>
        <v/>
      </c>
      <c r="CJ109" s="515" t="str">
        <f t="shared" si="211"/>
        <v/>
      </c>
      <c r="CK109" s="68" t="str">
        <f>IF('Marks Entry'!AP109="","",'Marks Entry'!AP109)</f>
        <v/>
      </c>
      <c r="CL109" s="96" t="str">
        <f t="shared" si="212"/>
        <v/>
      </c>
      <c r="CM109" s="65">
        <f t="shared" si="213"/>
        <v>0</v>
      </c>
      <c r="CN109" s="65">
        <f t="shared" si="214"/>
        <v>0</v>
      </c>
      <c r="CO109" s="66" t="str">
        <f t="shared" si="215"/>
        <v/>
      </c>
      <c r="CP109" s="65" t="str">
        <f t="shared" si="216"/>
        <v/>
      </c>
      <c r="CQ109" s="65" t="str">
        <f t="shared" si="217"/>
        <v/>
      </c>
      <c r="CR109" s="65" t="str">
        <f t="shared" si="218"/>
        <v/>
      </c>
      <c r="CS109" s="616" t="str">
        <f>IF('School Profile'!$D$20="NO","",IF('Marks Entry'!AQ109="","",IF('Marks Entry'!AQ109=1,'School Profile'!$I$29,IF('Marks Entry'!AQ109=2,'School Profile'!$I$30,IF('Marks Entry'!AQ109=3,'School Profile'!$I$31,IF('Marks Entry'!AQ109=4,'School Profile'!$I$32,IF('Marks Entry'!AQ109=5,'School Profile'!$I$33,IF('Marks Entry'!AQ109=6,'School Profile'!$I$34,IF('Marks Entry'!AQ109=7,'School Profile'!$I$35,IF('Marks Entry'!AQ109=8,'School Profile'!$I$36,IF('Marks Entry'!AQ109=9,'School Profile'!$I$37,IF('Marks Entry'!AQ109=10,'School Profile'!$I$38,IF('Marks Entry'!AQ109=11,'School Profile'!$I$39,"")))))))))))))</f>
        <v/>
      </c>
      <c r="CT109" s="68" t="str">
        <f>IF('School Profile'!$D$20="NO","",IF('Marks Entry'!AR109="","",'Marks Entry'!AR109))</f>
        <v/>
      </c>
      <c r="CU109" s="68" t="str">
        <f>IF('School Profile'!$D$20="NO","",IF('Marks Entry'!AS109="","",'Marks Entry'!AS109))</f>
        <v/>
      </c>
      <c r="CV109" s="68" t="str">
        <f>IF('School Profile'!$D$20="NO","",IF('Marks Entry'!AT109="","",'Marks Entry'!AT109))</f>
        <v/>
      </c>
      <c r="CW109" s="514" t="str">
        <f>IF('School Profile'!$D$20="NO","",IF(AND(CT109="",CU109="",CV109=""),"",SUM(CT109:CV109)))</f>
        <v/>
      </c>
      <c r="CX109" s="68" t="str">
        <f>IF('School Profile'!$D$20="NO","",IF('Marks Entry'!AU109="","",'Marks Entry'!AU109))</f>
        <v/>
      </c>
      <c r="CY109" s="68" t="str">
        <f>IF('School Profile'!$D$20="NO","",IF('Marks Entry'!AV109="","",'Marks Entry'!AV109))</f>
        <v/>
      </c>
      <c r="CZ109" s="515" t="str">
        <f>IF('School Profile'!$D$20="NO","",IF(AND(CX109="",CY109=""),"",SUM(CX109,CY109)))</f>
        <v/>
      </c>
      <c r="DA109" s="69" t="str">
        <f>IF('School Profile'!$D$20="NO","",IF(AND(CW109="",CZ109=""),"",SUM(CW109+CZ109)))</f>
        <v/>
      </c>
      <c r="DB109" s="68" t="str">
        <f>IF('School Profile'!$D$20="NO","",IF('Marks Entry'!AW109="","",'Marks Entry'!AW109))</f>
        <v/>
      </c>
      <c r="DC109" s="68" t="str">
        <f>IF('School Profile'!$D$20="NO","",IF('Marks Entry'!AX109="","",'Marks Entry'!AX109))</f>
        <v/>
      </c>
      <c r="DD109" s="515" t="str">
        <f>IF('School Profile'!$D$20="NO","",IF(AND(DB109="",DC109=""),"",SUM(DB109,DC109)))</f>
        <v/>
      </c>
      <c r="DE109" s="96" t="str">
        <f>IF('School Profile'!$D$20="NO","",IF(AND(DA109="",DD109=""),"",SUM(DA109,DD109)))</f>
        <v/>
      </c>
      <c r="DF109" s="532">
        <f t="shared" si="219"/>
        <v>0</v>
      </c>
      <c r="DG109" s="65">
        <f t="shared" si="220"/>
        <v>0</v>
      </c>
      <c r="DH109" s="66" t="str">
        <f t="shared" si="221"/>
        <v/>
      </c>
      <c r="DI109" s="65" t="str">
        <f t="shared" si="222"/>
        <v/>
      </c>
      <c r="DJ109" s="65" t="str">
        <f t="shared" si="223"/>
        <v/>
      </c>
      <c r="DK109" s="65" t="str">
        <f t="shared" si="224"/>
        <v/>
      </c>
      <c r="DL109" s="97" t="str">
        <f t="shared" si="264"/>
        <v/>
      </c>
      <c r="DM109" s="97" t="str">
        <f t="shared" si="265"/>
        <v/>
      </c>
      <c r="DN109" s="97" t="str">
        <f t="shared" si="266"/>
        <v/>
      </c>
      <c r="DO109" s="97" t="str">
        <f t="shared" si="267"/>
        <v/>
      </c>
      <c r="DP109" s="97" t="str">
        <f t="shared" si="268"/>
        <v/>
      </c>
      <c r="DQ109" s="97" t="str">
        <f t="shared" si="269"/>
        <v/>
      </c>
      <c r="DR109" s="97" t="str">
        <f t="shared" si="270"/>
        <v/>
      </c>
      <c r="DS109" s="98">
        <f t="shared" si="271"/>
        <v>0</v>
      </c>
      <c r="DT109" s="98">
        <f t="shared" si="272"/>
        <v>0</v>
      </c>
      <c r="DU109" s="98">
        <f t="shared" si="273"/>
        <v>0</v>
      </c>
      <c r="DV109" s="98">
        <f t="shared" si="274"/>
        <v>0</v>
      </c>
      <c r="DW109" s="98">
        <f t="shared" si="275"/>
        <v>0</v>
      </c>
      <c r="DX109" s="98" t="str">
        <f t="shared" si="276"/>
        <v/>
      </c>
      <c r="DY109" s="99" t="str">
        <f t="shared" si="277"/>
        <v/>
      </c>
      <c r="DZ109" s="74" t="str">
        <f>IF('Marks Entry'!AY109="","",'Marks Entry'!AY109)</f>
        <v/>
      </c>
      <c r="EA109" s="74" t="str">
        <f>IF('Marks Entry'!AZ109="","",'Marks Entry'!AZ109)</f>
        <v/>
      </c>
      <c r="EB109" s="74" t="str">
        <f>IF('Marks Entry'!BA109="","",'Marks Entry'!BA109)</f>
        <v/>
      </c>
      <c r="EC109" s="527" t="str">
        <f t="shared" si="225"/>
        <v/>
      </c>
      <c r="ED109" s="74" t="str">
        <f>IF('Marks Entry'!BB109="","",'Marks Entry'!BB109)</f>
        <v/>
      </c>
      <c r="EE109" s="528" t="str">
        <f t="shared" si="226"/>
        <v/>
      </c>
      <c r="EF109" s="74" t="str">
        <f>IF('Marks Entry'!BC109="","",'Marks Entry'!BC109)</f>
        <v/>
      </c>
      <c r="EG109" s="530" t="str">
        <f t="shared" si="227"/>
        <v/>
      </c>
      <c r="EH109" s="368" t="str">
        <f t="shared" si="278"/>
        <v/>
      </c>
      <c r="EI109" s="65">
        <f t="shared" si="279"/>
        <v>0</v>
      </c>
      <c r="EJ109" s="65">
        <f t="shared" si="280"/>
        <v>0</v>
      </c>
      <c r="EK109" s="66" t="str">
        <f t="shared" si="281"/>
        <v/>
      </c>
      <c r="EL109" s="74" t="str">
        <f>IF('Marks Entry'!BD109="","",'Marks Entry'!BD109)</f>
        <v/>
      </c>
      <c r="EM109" s="74" t="str">
        <f>IF('Marks Entry'!BE109="","",'Marks Entry'!BE109)</f>
        <v/>
      </c>
      <c r="EN109" s="74" t="str">
        <f>IF('Marks Entry'!BF109="","",'Marks Entry'!BF109)</f>
        <v/>
      </c>
      <c r="EO109" s="527" t="str">
        <f t="shared" si="228"/>
        <v/>
      </c>
      <c r="EP109" s="74" t="str">
        <f>IF('Marks Entry'!BG109="","",'Marks Entry'!BG109)</f>
        <v/>
      </c>
      <c r="EQ109" s="74" t="str">
        <f>IF('Marks Entry'!BH109="","",'Marks Entry'!BH109)</f>
        <v/>
      </c>
      <c r="ER109" s="528" t="str">
        <f t="shared" si="229"/>
        <v/>
      </c>
      <c r="ES109" s="529" t="str">
        <f t="shared" si="230"/>
        <v/>
      </c>
      <c r="ET109" s="74" t="str">
        <f>IF('Marks Entry'!BI109="","",'Marks Entry'!BI109)</f>
        <v/>
      </c>
      <c r="EU109" s="74" t="str">
        <f>IF('Marks Entry'!BJ109="","",'Marks Entry'!BJ109)</f>
        <v/>
      </c>
      <c r="EV109" s="528" t="str">
        <f t="shared" si="231"/>
        <v/>
      </c>
      <c r="EW109" s="530" t="str">
        <f t="shared" si="232"/>
        <v/>
      </c>
      <c r="EX109" s="368" t="str">
        <f t="shared" si="282"/>
        <v/>
      </c>
      <c r="EY109" s="65">
        <f t="shared" si="283"/>
        <v>0</v>
      </c>
      <c r="EZ109" s="65">
        <f t="shared" si="284"/>
        <v>0</v>
      </c>
      <c r="FA109" s="66" t="str">
        <f t="shared" si="285"/>
        <v/>
      </c>
      <c r="FB109" s="74" t="str">
        <f>IF('Marks Entry'!BK109="","",'Marks Entry'!BK109)</f>
        <v/>
      </c>
      <c r="FC109" s="74" t="str">
        <f>IF('Marks Entry'!BL109="","",'Marks Entry'!BL109)</f>
        <v/>
      </c>
      <c r="FD109" s="74" t="str">
        <f>IF('Marks Entry'!BM109="","",'Marks Entry'!BM109)</f>
        <v/>
      </c>
      <c r="FE109" s="74" t="str">
        <f>IF('Marks Entry'!BN109="","",'Marks Entry'!BN109)</f>
        <v/>
      </c>
      <c r="FF109" s="74" t="str">
        <f>IF('Marks Entry'!BO109="","",'Marks Entry'!BO109)</f>
        <v/>
      </c>
      <c r="FG109" s="74" t="str">
        <f>IF('Marks Entry'!BP109="","",'Marks Entry'!BP109)</f>
        <v/>
      </c>
      <c r="FH109" s="527" t="str">
        <f t="shared" si="233"/>
        <v/>
      </c>
      <c r="FI109" s="74" t="str">
        <f>IF('Marks Entry'!BQ109="","",'Marks Entry'!BQ109)</f>
        <v/>
      </c>
      <c r="FJ109" s="74" t="str">
        <f>IF('Marks Entry'!BR109="","",'Marks Entry'!BR109)</f>
        <v/>
      </c>
      <c r="FK109" s="528" t="str">
        <f t="shared" si="234"/>
        <v/>
      </c>
      <c r="FL109" s="529" t="str">
        <f t="shared" si="235"/>
        <v/>
      </c>
      <c r="FM109" s="74" t="str">
        <f>IF('Marks Entry'!BS109="","",'Marks Entry'!BS109)</f>
        <v/>
      </c>
      <c r="FN109" s="74" t="str">
        <f>IF('Marks Entry'!BT109="","",'Marks Entry'!BT109)</f>
        <v/>
      </c>
      <c r="FO109" s="528" t="str">
        <f t="shared" si="236"/>
        <v/>
      </c>
      <c r="FP109" s="530" t="str">
        <f t="shared" si="237"/>
        <v/>
      </c>
      <c r="FQ109" s="368" t="str">
        <f t="shared" si="286"/>
        <v/>
      </c>
      <c r="FR109" s="65">
        <f t="shared" si="287"/>
        <v>0</v>
      </c>
      <c r="FS109" s="65">
        <f t="shared" si="288"/>
        <v>0</v>
      </c>
      <c r="FT109" s="66" t="str">
        <f t="shared" si="289"/>
        <v/>
      </c>
      <c r="FU109" s="74" t="str">
        <f>IF('Marks Entry'!BU109="","",'Marks Entry'!BU109)</f>
        <v/>
      </c>
      <c r="FV109" s="74" t="str">
        <f>IF('Marks Entry'!BV109="","",'Marks Entry'!BV109)</f>
        <v/>
      </c>
      <c r="FW109" s="74" t="str">
        <f>IF('Marks Entry'!BW109="","",'Marks Entry'!BW109)</f>
        <v/>
      </c>
      <c r="FX109" s="75" t="str">
        <f t="shared" si="238"/>
        <v/>
      </c>
      <c r="FY109" s="368" t="str">
        <f t="shared" si="290"/>
        <v/>
      </c>
      <c r="FZ109" s="65">
        <f t="shared" si="291"/>
        <v>0</v>
      </c>
      <c r="GA109" s="66">
        <f t="shared" si="292"/>
        <v>0</v>
      </c>
      <c r="GB109" s="66" t="str">
        <f t="shared" si="293"/>
        <v/>
      </c>
      <c r="GC109" s="74" t="str">
        <f>IF('Marks Entry'!BX109="","",'Marks Entry'!BX109)</f>
        <v/>
      </c>
      <c r="GD109" s="74" t="str">
        <f>IF('Marks Entry'!BY109="","",'Marks Entry'!BY109)</f>
        <v/>
      </c>
      <c r="GE109" s="74" t="str">
        <f>IF('Marks Entry'!BZ109="","",'Marks Entry'!BZ109)</f>
        <v/>
      </c>
      <c r="GF109" s="75" t="str">
        <f t="shared" si="294"/>
        <v/>
      </c>
      <c r="GG109" s="368" t="str">
        <f t="shared" si="295"/>
        <v/>
      </c>
      <c r="GH109" s="65">
        <f t="shared" si="296"/>
        <v>0</v>
      </c>
      <c r="GI109" s="66">
        <f t="shared" si="297"/>
        <v>0</v>
      </c>
      <c r="GJ109" s="66" t="str">
        <f t="shared" si="298"/>
        <v/>
      </c>
      <c r="GK109" s="100" t="str">
        <f>IF(AND(F109="",B109=""),"",IF('Student DATA Entry'!M106="","",'Student DATA Entry'!M106))</f>
        <v/>
      </c>
      <c r="GL109" s="101" t="str">
        <f>IF(AND(B109="",F109=""),"",IF('Student DATA Entry'!N106="","",'Student DATA Entry'!N106))</f>
        <v/>
      </c>
      <c r="GM109" s="581" t="str">
        <f t="shared" si="299"/>
        <v/>
      </c>
      <c r="GN109" s="94" t="str">
        <f t="shared" si="300"/>
        <v/>
      </c>
      <c r="GO109" s="94" t="str">
        <f t="shared" si="301"/>
        <v/>
      </c>
      <c r="GP109" s="102" t="str">
        <f t="shared" si="330"/>
        <v/>
      </c>
      <c r="GQ109" s="94" t="str">
        <f t="shared" si="302"/>
        <v/>
      </c>
      <c r="GR109" s="103" t="str">
        <f t="shared" si="303"/>
        <v/>
      </c>
      <c r="GS109" s="102" t="str">
        <f t="shared" si="331"/>
        <v/>
      </c>
      <c r="GT109" s="104" t="str">
        <f t="shared" si="304"/>
        <v/>
      </c>
      <c r="GU109" s="94" t="str">
        <f>IF('Marks Entry'!V109=1,GT109,"")</f>
        <v/>
      </c>
      <c r="GV109" s="94" t="str">
        <f>IF('Marks Entry'!V109=2,GT109,"")</f>
        <v/>
      </c>
      <c r="GW109" s="94" t="str">
        <f>IF('Marks Entry'!V109=3,GT109,"")</f>
        <v/>
      </c>
      <c r="GX109" s="94" t="str">
        <f>IF('Marks Entry'!V109=4,GT109,"")</f>
        <v/>
      </c>
      <c r="GY109" s="94" t="str">
        <f>IF('Marks Entry'!V109=5,GT109,"")</f>
        <v/>
      </c>
      <c r="GZ109" s="94" t="str">
        <f t="shared" si="305"/>
        <v/>
      </c>
      <c r="HA109" s="105" t="str">
        <f t="shared" si="332"/>
        <v/>
      </c>
      <c r="HB109" s="94" t="str">
        <f t="shared" si="306"/>
        <v/>
      </c>
      <c r="HC109" s="94" t="str">
        <f t="shared" si="307"/>
        <v/>
      </c>
      <c r="HD109" s="105" t="str">
        <f t="shared" si="333"/>
        <v/>
      </c>
      <c r="HE109" s="94" t="str">
        <f t="shared" si="308"/>
        <v/>
      </c>
      <c r="HF109" s="94" t="str">
        <f t="shared" si="309"/>
        <v/>
      </c>
      <c r="HG109" s="105" t="str">
        <f t="shared" si="334"/>
        <v/>
      </c>
      <c r="HH109" s="94" t="str">
        <f t="shared" si="310"/>
        <v/>
      </c>
      <c r="HI109" s="94" t="str">
        <f t="shared" si="311"/>
        <v/>
      </c>
      <c r="HJ109" s="105" t="str">
        <f t="shared" si="335"/>
        <v/>
      </c>
      <c r="HK109" s="94" t="str">
        <f t="shared" si="312"/>
        <v/>
      </c>
      <c r="HL109" s="94" t="str">
        <f t="shared" si="313"/>
        <v/>
      </c>
      <c r="HM109" s="105" t="str">
        <f t="shared" si="336"/>
        <v/>
      </c>
      <c r="HN109" s="367" t="str">
        <f t="shared" si="314"/>
        <v xml:space="preserve">      </v>
      </c>
      <c r="HO109" s="418" t="str">
        <f t="shared" si="337"/>
        <v xml:space="preserve">      </v>
      </c>
      <c r="HP109" s="367" t="str">
        <f t="shared" si="315"/>
        <v xml:space="preserve">      </v>
      </c>
      <c r="HQ109" s="107" t="str">
        <f t="shared" si="316"/>
        <v xml:space="preserve">      </v>
      </c>
      <c r="HR109" s="366" t="str">
        <f t="shared" si="317"/>
        <v xml:space="preserve">      </v>
      </c>
      <c r="HS109" s="544" t="str">
        <f t="shared" si="338"/>
        <v/>
      </c>
      <c r="HT109" s="542" t="str">
        <f t="shared" si="318"/>
        <v/>
      </c>
      <c r="HU109" s="541" t="str">
        <f t="shared" si="319"/>
        <v/>
      </c>
      <c r="HV109" s="540" t="str">
        <f t="shared" si="320"/>
        <v/>
      </c>
      <c r="HW109" s="537" t="str">
        <f t="shared" si="321"/>
        <v/>
      </c>
      <c r="HX109" s="539" t="str">
        <f t="shared" si="322"/>
        <v/>
      </c>
      <c r="HY109" s="553" t="str">
        <f>IFERROR(IF(OR(HS109="SUPPLEMENTARY",HS109="RE-EXAM"),'Supp. Result Entry'!AQ107,""),"")</f>
        <v/>
      </c>
      <c r="HZ109" s="538" t="str">
        <f t="shared" si="323"/>
        <v/>
      </c>
      <c r="IA109" s="415" t="str">
        <f t="shared" si="324"/>
        <v/>
      </c>
      <c r="IB109" s="415" t="str">
        <f>IF(AND(HZ109="",IA109=""),"",IF(OR(HS109="SUPPLEMENTARY",HS109="RE-EXAM"),'Supp. Result Entry'!AQ107,HS109))</f>
        <v/>
      </c>
      <c r="IC109" s="87"/>
      <c r="IS109" s="109" t="str">
        <f>IF('Supp. Result Entry'!T107="","",'Supp. Result Entry'!$T$4)</f>
        <v/>
      </c>
      <c r="IT109" s="110" t="str">
        <f>IF('Supp. Result Entry'!W107="","",'Supp. Result Entry'!$W$4)</f>
        <v/>
      </c>
      <c r="IU109" s="110" t="str">
        <f>IF('Supp. Result Entry'!Z107="","",'Supp. Result Entry'!$Z$4)</f>
        <v/>
      </c>
      <c r="IV109" s="110" t="str">
        <f>IF('Supp. Result Entry'!AC107="","",'Supp. Result Entry'!$AC$4)</f>
        <v/>
      </c>
      <c r="IW109" s="110" t="str">
        <f>IF('Supp. Result Entry'!AF107="","",'Supp. Result Entry'!$AF$4)</f>
        <v/>
      </c>
      <c r="IX109" s="110" t="str">
        <f>IF('Supp. Result Entry'!AI107="","",'Supp. Result Entry'!$AI$4)</f>
        <v/>
      </c>
      <c r="IY109" s="110" t="str">
        <f>IF('Supp. Result Entry'!AI107="","",'Supp. Result Entry'!$AL$4)</f>
        <v/>
      </c>
      <c r="IZ109" s="110" t="str">
        <f>IF('Supp. Result Entry'!U107="","",'Supp. Result Entry'!U107)</f>
        <v/>
      </c>
      <c r="JA109" s="110" t="str">
        <f>IF('Supp. Result Entry'!X107="","",'Supp. Result Entry'!X107)</f>
        <v/>
      </c>
      <c r="JB109" s="110" t="str">
        <f>IF('Supp. Result Entry'!AA107="","",'Supp. Result Entry'!AA107)</f>
        <v/>
      </c>
      <c r="JC109" s="110" t="str">
        <f>IF('Supp. Result Entry'!AD107="","",'Supp. Result Entry'!AD107)</f>
        <v/>
      </c>
      <c r="JD109" s="110" t="str">
        <f>IF('Supp. Result Entry'!AG107="","",'Supp. Result Entry'!AG107)</f>
        <v/>
      </c>
      <c r="JE109" s="110" t="str">
        <f>IF('Supp. Result Entry'!AJ107="","",'Supp. Result Entry'!AJ107)</f>
        <v/>
      </c>
      <c r="JF109" s="110" t="str">
        <f>IF('Supp. Result Entry'!AM107="","",'Supp. Result Entry'!AM107)</f>
        <v/>
      </c>
      <c r="JG109" s="110" t="str">
        <f>IF('Supp. Result Entry'!V107="","",'Supp. Result Entry'!V107)</f>
        <v/>
      </c>
      <c r="JH109" s="110" t="str">
        <f>IF('Supp. Result Entry'!Y107="","",'Supp. Result Entry'!Y107)</f>
        <v/>
      </c>
      <c r="JI109" s="110" t="str">
        <f>IF('Supp. Result Entry'!AB107="","",'Supp. Result Entry'!AB107)</f>
        <v/>
      </c>
      <c r="JJ109" s="110" t="str">
        <f>IF('Supp. Result Entry'!AE107="","",'Supp. Result Entry'!AE107)</f>
        <v/>
      </c>
      <c r="JK109" s="110" t="str">
        <f>IF('Supp. Result Entry'!AH107="","",'Supp. Result Entry'!AH107)</f>
        <v/>
      </c>
      <c r="JL109" s="110" t="str">
        <f>IF('Supp. Result Entry'!AK107="","",'Supp. Result Entry'!AK107)</f>
        <v/>
      </c>
      <c r="JM109" s="110" t="str">
        <f>IF('Supp. Result Entry'!AN107="","",'Supp. Result Entry'!AN107)</f>
        <v/>
      </c>
      <c r="JN109" s="110">
        <f>COUNTIF('Supp. Result Entry'!K107:Q107,"S")</f>
        <v>0</v>
      </c>
      <c r="JO109" s="110">
        <f t="shared" si="248"/>
        <v>0</v>
      </c>
      <c r="JP109" s="110">
        <f t="shared" si="325"/>
        <v>0</v>
      </c>
      <c r="JQ109" s="110" t="str">
        <f t="shared" si="249"/>
        <v/>
      </c>
      <c r="JR109" s="110" t="str">
        <f t="shared" si="250"/>
        <v/>
      </c>
      <c r="JS109" s="110" t="str">
        <f t="shared" si="251"/>
        <v/>
      </c>
      <c r="JT109" s="110" t="str">
        <f t="shared" si="252"/>
        <v/>
      </c>
      <c r="JU109" s="110" t="str">
        <f t="shared" si="253"/>
        <v/>
      </c>
      <c r="JV109" s="110" t="str">
        <f t="shared" si="254"/>
        <v/>
      </c>
      <c r="JW109" s="110" t="str">
        <f t="shared" si="255"/>
        <v/>
      </c>
      <c r="JX109" s="110" t="str">
        <f t="shared" si="326"/>
        <v/>
      </c>
      <c r="JY109" s="110" t="str">
        <f t="shared" si="327"/>
        <v/>
      </c>
      <c r="JZ109" s="110" t="str">
        <f t="shared" si="256"/>
        <v/>
      </c>
      <c r="KA109" s="108" t="str">
        <f t="shared" si="328"/>
        <v/>
      </c>
    </row>
    <row r="110" spans="1:287" s="108" customFormat="1" ht="21.95" customHeight="1">
      <c r="A110" s="89">
        <v>104</v>
      </c>
      <c r="B110" s="90" t="str">
        <f>IF('Marks Entry'!B110="","",'Marks Entry'!B110)</f>
        <v/>
      </c>
      <c r="C110" s="94" t="str">
        <f>IF('Marks Entry'!D110="","",'Marks Entry'!D110)</f>
        <v/>
      </c>
      <c r="D110" s="91" t="str">
        <f>IF('Marks Entry'!E110="","",'Marks Entry'!E110)</f>
        <v/>
      </c>
      <c r="E110" s="92" t="str">
        <f>IF('Marks Entry'!F110="","",'Marks Entry'!F110)</f>
        <v/>
      </c>
      <c r="F110" s="93" t="str">
        <f>IF('Marks Entry'!G110="","",'Marks Entry'!G110)</f>
        <v/>
      </c>
      <c r="G110" s="93" t="str">
        <f>IF('Marks Entry'!H110="","",'Marks Entry'!H110)</f>
        <v/>
      </c>
      <c r="H110" s="93" t="str">
        <f>IF('Marks Entry'!I110="","",'Marks Entry'!I110)</f>
        <v/>
      </c>
      <c r="I110" s="94" t="str">
        <f>IF('Marks Entry'!J110="","",'Marks Entry'!J110)</f>
        <v/>
      </c>
      <c r="J110" s="95" t="str">
        <f>IF('Marks Entry'!K110="","",'Marks Entry'!K110)</f>
        <v/>
      </c>
      <c r="K110" s="68" t="str">
        <f>IF('Marks Entry'!L110="","",'Marks Entry'!L110)</f>
        <v/>
      </c>
      <c r="L110" s="68" t="str">
        <f>IF('Marks Entry'!M110="","",'Marks Entry'!M110)</f>
        <v/>
      </c>
      <c r="M110" s="68" t="str">
        <f>IF('Marks Entry'!N110="","",'Marks Entry'!N110)</f>
        <v/>
      </c>
      <c r="N110" s="514" t="str">
        <f t="shared" si="257"/>
        <v/>
      </c>
      <c r="O110" s="68" t="str">
        <f>IF('Marks Entry'!O110="","",'Marks Entry'!O110)</f>
        <v/>
      </c>
      <c r="P110" s="515" t="str">
        <f t="shared" si="258"/>
        <v/>
      </c>
      <c r="Q110" s="68" t="str">
        <f>IF('Marks Entry'!P110="","",'Marks Entry'!P110)</f>
        <v/>
      </c>
      <c r="R110" s="96" t="str">
        <f t="shared" si="259"/>
        <v/>
      </c>
      <c r="S110" s="65">
        <f t="shared" si="260"/>
        <v>0</v>
      </c>
      <c r="T110" s="65">
        <f t="shared" si="261"/>
        <v>0</v>
      </c>
      <c r="U110" s="66" t="str">
        <f t="shared" si="171"/>
        <v/>
      </c>
      <c r="V110" s="65" t="str">
        <f t="shared" si="172"/>
        <v/>
      </c>
      <c r="W110" s="65" t="str">
        <f t="shared" si="262"/>
        <v/>
      </c>
      <c r="X110" s="65" t="str">
        <f t="shared" si="173"/>
        <v/>
      </c>
      <c r="Y110" s="68" t="str">
        <f>IF('Marks Entry'!Q110="","",'Marks Entry'!Q110)</f>
        <v/>
      </c>
      <c r="Z110" s="68" t="str">
        <f>IF('Marks Entry'!R110="","",'Marks Entry'!R110)</f>
        <v/>
      </c>
      <c r="AA110" s="68" t="str">
        <f>IF('Marks Entry'!S110="","",'Marks Entry'!S110)</f>
        <v/>
      </c>
      <c r="AB110" s="514" t="str">
        <f t="shared" si="174"/>
        <v/>
      </c>
      <c r="AC110" s="68" t="str">
        <f>IF('Marks Entry'!T110="","",'Marks Entry'!T110)</f>
        <v/>
      </c>
      <c r="AD110" s="515" t="str">
        <f t="shared" si="175"/>
        <v/>
      </c>
      <c r="AE110" s="68" t="str">
        <f>IF('Marks Entry'!U110="","",'Marks Entry'!U110)</f>
        <v/>
      </c>
      <c r="AF110" s="96" t="str">
        <f t="shared" si="176"/>
        <v/>
      </c>
      <c r="AG110" s="65">
        <f t="shared" si="177"/>
        <v>0</v>
      </c>
      <c r="AH110" s="65">
        <f t="shared" si="178"/>
        <v>0</v>
      </c>
      <c r="AI110" s="66" t="str">
        <f t="shared" si="179"/>
        <v/>
      </c>
      <c r="AJ110" s="65" t="str">
        <f t="shared" si="180"/>
        <v/>
      </c>
      <c r="AK110" s="65" t="str">
        <f t="shared" si="181"/>
        <v/>
      </c>
      <c r="AL110" s="65" t="str">
        <f t="shared" si="182"/>
        <v/>
      </c>
      <c r="AM110" s="524" t="str">
        <f>IF('Marks Entry'!V110="","",IF('Marks Entry'!V110=1,'School Profile'!$I$9,IF('Marks Entry'!V110=2,'School Profile'!$I$10,IF('Marks Entry'!V110=3,'School Profile'!$I$11,IF('Marks Entry'!V110=4,'School Profile'!$I$12,IF('Marks Entry'!V110=5,'School Profile'!$I$13,IF('Marks Entry'!V110=6,'School Profile'!$I$14,"")))))))</f>
        <v/>
      </c>
      <c r="AN110" s="68" t="str">
        <f>IF('Marks Entry'!W110="","",'Marks Entry'!W110)</f>
        <v/>
      </c>
      <c r="AO110" s="68" t="str">
        <f>IF('Marks Entry'!X110="","",'Marks Entry'!X110)</f>
        <v/>
      </c>
      <c r="AP110" s="68" t="str">
        <f>IF('Marks Entry'!Y110="","",'Marks Entry'!Y110)</f>
        <v/>
      </c>
      <c r="AQ110" s="514" t="str">
        <f t="shared" si="183"/>
        <v/>
      </c>
      <c r="AR110" s="68" t="str">
        <f>IF('Marks Entry'!Z110="","",'Marks Entry'!Z110)</f>
        <v/>
      </c>
      <c r="AS110" s="515" t="str">
        <f t="shared" si="184"/>
        <v/>
      </c>
      <c r="AT110" s="68" t="str">
        <f>IF('Marks Entry'!AA110="","",'Marks Entry'!AA110)</f>
        <v/>
      </c>
      <c r="AU110" s="96" t="str">
        <f t="shared" si="185"/>
        <v/>
      </c>
      <c r="AV110" s="65">
        <f t="shared" si="186"/>
        <v>0</v>
      </c>
      <c r="AW110" s="65">
        <f t="shared" si="187"/>
        <v>0</v>
      </c>
      <c r="AX110" s="66" t="str">
        <f t="shared" si="188"/>
        <v/>
      </c>
      <c r="AY110" s="65" t="str">
        <f t="shared" si="189"/>
        <v/>
      </c>
      <c r="AZ110" s="65" t="str">
        <f t="shared" si="190"/>
        <v/>
      </c>
      <c r="BA110" s="65" t="str">
        <f t="shared" si="191"/>
        <v/>
      </c>
      <c r="BB110" s="68" t="str">
        <f>IF('Marks Entry'!AB110="","",'Marks Entry'!AB110)</f>
        <v/>
      </c>
      <c r="BC110" s="68" t="str">
        <f>IF('Marks Entry'!AC110="","",'Marks Entry'!AC110)</f>
        <v/>
      </c>
      <c r="BD110" s="68" t="str">
        <f>IF('Marks Entry'!AD110="","",'Marks Entry'!AD110)</f>
        <v/>
      </c>
      <c r="BE110" s="514" t="str">
        <f t="shared" si="192"/>
        <v/>
      </c>
      <c r="BF110" s="68" t="str">
        <f>IF('Marks Entry'!AE110="","",'Marks Entry'!AE110)</f>
        <v/>
      </c>
      <c r="BG110" s="515" t="str">
        <f t="shared" si="193"/>
        <v/>
      </c>
      <c r="BH110" s="68" t="str">
        <f>IF('Marks Entry'!AF110="","",'Marks Entry'!AF110)</f>
        <v/>
      </c>
      <c r="BI110" s="96" t="str">
        <f t="shared" si="194"/>
        <v/>
      </c>
      <c r="BJ110" s="65">
        <f t="shared" si="195"/>
        <v>0</v>
      </c>
      <c r="BK110" s="65">
        <f t="shared" si="263"/>
        <v>0</v>
      </c>
      <c r="BL110" s="66" t="str">
        <f t="shared" si="196"/>
        <v/>
      </c>
      <c r="BM110" s="65" t="str">
        <f t="shared" si="197"/>
        <v/>
      </c>
      <c r="BN110" s="65" t="str">
        <f t="shared" si="198"/>
        <v/>
      </c>
      <c r="BO110" s="65" t="str">
        <f t="shared" si="199"/>
        <v/>
      </c>
      <c r="BP110" s="68" t="str">
        <f>IF('Marks Entry'!AG110="","",'Marks Entry'!AG110)</f>
        <v/>
      </c>
      <c r="BQ110" s="68" t="str">
        <f>IF('Marks Entry'!AH110="","",'Marks Entry'!AH110)</f>
        <v/>
      </c>
      <c r="BR110" s="68" t="str">
        <f>IF('Marks Entry'!AI110="","",'Marks Entry'!AI110)</f>
        <v/>
      </c>
      <c r="BS110" s="514" t="str">
        <f t="shared" si="200"/>
        <v/>
      </c>
      <c r="BT110" s="68" t="str">
        <f>IF('Marks Entry'!AJ110="","",'Marks Entry'!AJ110)</f>
        <v/>
      </c>
      <c r="BU110" s="515" t="str">
        <f t="shared" si="201"/>
        <v/>
      </c>
      <c r="BV110" s="68" t="str">
        <f>IF('Marks Entry'!AK110="","",'Marks Entry'!AK110)</f>
        <v/>
      </c>
      <c r="BW110" s="96" t="str">
        <f t="shared" si="202"/>
        <v/>
      </c>
      <c r="BX110" s="65">
        <f t="shared" si="203"/>
        <v>0</v>
      </c>
      <c r="BY110" s="65">
        <f t="shared" si="204"/>
        <v>0</v>
      </c>
      <c r="BZ110" s="66" t="str">
        <f t="shared" si="205"/>
        <v/>
      </c>
      <c r="CA110" s="65" t="str">
        <f t="shared" si="206"/>
        <v/>
      </c>
      <c r="CB110" s="65" t="str">
        <f t="shared" si="207"/>
        <v/>
      </c>
      <c r="CC110" s="65" t="str">
        <f t="shared" si="208"/>
        <v/>
      </c>
      <c r="CD110" s="66">
        <f t="shared" si="329"/>
        <v>0</v>
      </c>
      <c r="CE110" s="68" t="str">
        <f>IF('Marks Entry'!AL110="","",'Marks Entry'!AL110)</f>
        <v/>
      </c>
      <c r="CF110" s="68" t="str">
        <f>IF('Marks Entry'!AM110="","",'Marks Entry'!AM110)</f>
        <v/>
      </c>
      <c r="CG110" s="68" t="str">
        <f>IF('Marks Entry'!AN110="","",'Marks Entry'!AN110)</f>
        <v/>
      </c>
      <c r="CH110" s="514" t="str">
        <f t="shared" si="210"/>
        <v/>
      </c>
      <c r="CI110" s="68" t="str">
        <f>IF('Marks Entry'!AO110="","",'Marks Entry'!AO110)</f>
        <v/>
      </c>
      <c r="CJ110" s="515" t="str">
        <f t="shared" si="211"/>
        <v/>
      </c>
      <c r="CK110" s="68" t="str">
        <f>IF('Marks Entry'!AP110="","",'Marks Entry'!AP110)</f>
        <v/>
      </c>
      <c r="CL110" s="96" t="str">
        <f t="shared" si="212"/>
        <v/>
      </c>
      <c r="CM110" s="65">
        <f t="shared" si="213"/>
        <v>0</v>
      </c>
      <c r="CN110" s="65">
        <f t="shared" si="214"/>
        <v>0</v>
      </c>
      <c r="CO110" s="66" t="str">
        <f t="shared" si="215"/>
        <v/>
      </c>
      <c r="CP110" s="65" t="str">
        <f t="shared" si="216"/>
        <v/>
      </c>
      <c r="CQ110" s="65" t="str">
        <f t="shared" si="217"/>
        <v/>
      </c>
      <c r="CR110" s="65" t="str">
        <f t="shared" si="218"/>
        <v/>
      </c>
      <c r="CS110" s="616" t="str">
        <f>IF('School Profile'!$D$20="NO","",IF('Marks Entry'!AQ110="","",IF('Marks Entry'!AQ110=1,'School Profile'!$I$29,IF('Marks Entry'!AQ110=2,'School Profile'!$I$30,IF('Marks Entry'!AQ110=3,'School Profile'!$I$31,IF('Marks Entry'!AQ110=4,'School Profile'!$I$32,IF('Marks Entry'!AQ110=5,'School Profile'!$I$33,IF('Marks Entry'!AQ110=6,'School Profile'!$I$34,IF('Marks Entry'!AQ110=7,'School Profile'!$I$35,IF('Marks Entry'!AQ110=8,'School Profile'!$I$36,IF('Marks Entry'!AQ110=9,'School Profile'!$I$37,IF('Marks Entry'!AQ110=10,'School Profile'!$I$38,IF('Marks Entry'!AQ110=11,'School Profile'!$I$39,"")))))))))))))</f>
        <v/>
      </c>
      <c r="CT110" s="68" t="str">
        <f>IF('School Profile'!$D$20="NO","",IF('Marks Entry'!AR110="","",'Marks Entry'!AR110))</f>
        <v/>
      </c>
      <c r="CU110" s="68" t="str">
        <f>IF('School Profile'!$D$20="NO","",IF('Marks Entry'!AS110="","",'Marks Entry'!AS110))</f>
        <v/>
      </c>
      <c r="CV110" s="68" t="str">
        <f>IF('School Profile'!$D$20="NO","",IF('Marks Entry'!AT110="","",'Marks Entry'!AT110))</f>
        <v/>
      </c>
      <c r="CW110" s="514" t="str">
        <f>IF('School Profile'!$D$20="NO","",IF(AND(CT110="",CU110="",CV110=""),"",SUM(CT110:CV110)))</f>
        <v/>
      </c>
      <c r="CX110" s="68" t="str">
        <f>IF('School Profile'!$D$20="NO","",IF('Marks Entry'!AU110="","",'Marks Entry'!AU110))</f>
        <v/>
      </c>
      <c r="CY110" s="68" t="str">
        <f>IF('School Profile'!$D$20="NO","",IF('Marks Entry'!AV110="","",'Marks Entry'!AV110))</f>
        <v/>
      </c>
      <c r="CZ110" s="515" t="str">
        <f>IF('School Profile'!$D$20="NO","",IF(AND(CX110="",CY110=""),"",SUM(CX110,CY110)))</f>
        <v/>
      </c>
      <c r="DA110" s="69" t="str">
        <f>IF('School Profile'!$D$20="NO","",IF(AND(CW110="",CZ110=""),"",SUM(CW110+CZ110)))</f>
        <v/>
      </c>
      <c r="DB110" s="68" t="str">
        <f>IF('School Profile'!$D$20="NO","",IF('Marks Entry'!AW110="","",'Marks Entry'!AW110))</f>
        <v/>
      </c>
      <c r="DC110" s="68" t="str">
        <f>IF('School Profile'!$D$20="NO","",IF('Marks Entry'!AX110="","",'Marks Entry'!AX110))</f>
        <v/>
      </c>
      <c r="DD110" s="515" t="str">
        <f>IF('School Profile'!$D$20="NO","",IF(AND(DB110="",DC110=""),"",SUM(DB110,DC110)))</f>
        <v/>
      </c>
      <c r="DE110" s="96" t="str">
        <f>IF('School Profile'!$D$20="NO","",IF(AND(DA110="",DD110=""),"",SUM(DA110,DD110)))</f>
        <v/>
      </c>
      <c r="DF110" s="532">
        <f t="shared" si="219"/>
        <v>0</v>
      </c>
      <c r="DG110" s="65">
        <f t="shared" si="220"/>
        <v>0</v>
      </c>
      <c r="DH110" s="66" t="str">
        <f t="shared" si="221"/>
        <v/>
      </c>
      <c r="DI110" s="65" t="str">
        <f t="shared" si="222"/>
        <v/>
      </c>
      <c r="DJ110" s="65" t="str">
        <f t="shared" si="223"/>
        <v/>
      </c>
      <c r="DK110" s="65" t="str">
        <f t="shared" si="224"/>
        <v/>
      </c>
      <c r="DL110" s="97" t="str">
        <f t="shared" si="264"/>
        <v/>
      </c>
      <c r="DM110" s="97" t="str">
        <f t="shared" si="265"/>
        <v/>
      </c>
      <c r="DN110" s="97" t="str">
        <f t="shared" si="266"/>
        <v/>
      </c>
      <c r="DO110" s="97" t="str">
        <f t="shared" si="267"/>
        <v/>
      </c>
      <c r="DP110" s="97" t="str">
        <f t="shared" si="268"/>
        <v/>
      </c>
      <c r="DQ110" s="97" t="str">
        <f t="shared" si="269"/>
        <v/>
      </c>
      <c r="DR110" s="97" t="str">
        <f t="shared" si="270"/>
        <v/>
      </c>
      <c r="DS110" s="98">
        <f t="shared" si="271"/>
        <v>0</v>
      </c>
      <c r="DT110" s="98">
        <f t="shared" si="272"/>
        <v>0</v>
      </c>
      <c r="DU110" s="98">
        <f t="shared" si="273"/>
        <v>0</v>
      </c>
      <c r="DV110" s="98">
        <f t="shared" si="274"/>
        <v>0</v>
      </c>
      <c r="DW110" s="98">
        <f t="shared" si="275"/>
        <v>0</v>
      </c>
      <c r="DX110" s="98" t="str">
        <f t="shared" si="276"/>
        <v/>
      </c>
      <c r="DY110" s="99" t="str">
        <f t="shared" si="277"/>
        <v/>
      </c>
      <c r="DZ110" s="74" t="str">
        <f>IF('Marks Entry'!AY110="","",'Marks Entry'!AY110)</f>
        <v/>
      </c>
      <c r="EA110" s="74" t="str">
        <f>IF('Marks Entry'!AZ110="","",'Marks Entry'!AZ110)</f>
        <v/>
      </c>
      <c r="EB110" s="74" t="str">
        <f>IF('Marks Entry'!BA110="","",'Marks Entry'!BA110)</f>
        <v/>
      </c>
      <c r="EC110" s="527" t="str">
        <f t="shared" si="225"/>
        <v/>
      </c>
      <c r="ED110" s="74" t="str">
        <f>IF('Marks Entry'!BB110="","",'Marks Entry'!BB110)</f>
        <v/>
      </c>
      <c r="EE110" s="528" t="str">
        <f t="shared" si="226"/>
        <v/>
      </c>
      <c r="EF110" s="74" t="str">
        <f>IF('Marks Entry'!BC110="","",'Marks Entry'!BC110)</f>
        <v/>
      </c>
      <c r="EG110" s="530" t="str">
        <f t="shared" si="227"/>
        <v/>
      </c>
      <c r="EH110" s="368" t="str">
        <f t="shared" si="278"/>
        <v/>
      </c>
      <c r="EI110" s="65">
        <f t="shared" si="279"/>
        <v>0</v>
      </c>
      <c r="EJ110" s="65">
        <f t="shared" si="280"/>
        <v>0</v>
      </c>
      <c r="EK110" s="66" t="str">
        <f t="shared" si="281"/>
        <v/>
      </c>
      <c r="EL110" s="74" t="str">
        <f>IF('Marks Entry'!BD110="","",'Marks Entry'!BD110)</f>
        <v/>
      </c>
      <c r="EM110" s="74" t="str">
        <f>IF('Marks Entry'!BE110="","",'Marks Entry'!BE110)</f>
        <v/>
      </c>
      <c r="EN110" s="74" t="str">
        <f>IF('Marks Entry'!BF110="","",'Marks Entry'!BF110)</f>
        <v/>
      </c>
      <c r="EO110" s="527" t="str">
        <f t="shared" si="228"/>
        <v/>
      </c>
      <c r="EP110" s="74" t="str">
        <f>IF('Marks Entry'!BG110="","",'Marks Entry'!BG110)</f>
        <v/>
      </c>
      <c r="EQ110" s="74" t="str">
        <f>IF('Marks Entry'!BH110="","",'Marks Entry'!BH110)</f>
        <v/>
      </c>
      <c r="ER110" s="528" t="str">
        <f t="shared" si="229"/>
        <v/>
      </c>
      <c r="ES110" s="529" t="str">
        <f t="shared" si="230"/>
        <v/>
      </c>
      <c r="ET110" s="74" t="str">
        <f>IF('Marks Entry'!BI110="","",'Marks Entry'!BI110)</f>
        <v/>
      </c>
      <c r="EU110" s="74" t="str">
        <f>IF('Marks Entry'!BJ110="","",'Marks Entry'!BJ110)</f>
        <v/>
      </c>
      <c r="EV110" s="528" t="str">
        <f t="shared" si="231"/>
        <v/>
      </c>
      <c r="EW110" s="530" t="str">
        <f t="shared" si="232"/>
        <v/>
      </c>
      <c r="EX110" s="368" t="str">
        <f t="shared" si="282"/>
        <v/>
      </c>
      <c r="EY110" s="65">
        <f t="shared" si="283"/>
        <v>0</v>
      </c>
      <c r="EZ110" s="65">
        <f t="shared" si="284"/>
        <v>0</v>
      </c>
      <c r="FA110" s="66" t="str">
        <f t="shared" si="285"/>
        <v/>
      </c>
      <c r="FB110" s="74" t="str">
        <f>IF('Marks Entry'!BK110="","",'Marks Entry'!BK110)</f>
        <v/>
      </c>
      <c r="FC110" s="74" t="str">
        <f>IF('Marks Entry'!BL110="","",'Marks Entry'!BL110)</f>
        <v/>
      </c>
      <c r="FD110" s="74" t="str">
        <f>IF('Marks Entry'!BM110="","",'Marks Entry'!BM110)</f>
        <v/>
      </c>
      <c r="FE110" s="74" t="str">
        <f>IF('Marks Entry'!BN110="","",'Marks Entry'!BN110)</f>
        <v/>
      </c>
      <c r="FF110" s="74" t="str">
        <f>IF('Marks Entry'!BO110="","",'Marks Entry'!BO110)</f>
        <v/>
      </c>
      <c r="FG110" s="74" t="str">
        <f>IF('Marks Entry'!BP110="","",'Marks Entry'!BP110)</f>
        <v/>
      </c>
      <c r="FH110" s="527" t="str">
        <f t="shared" si="233"/>
        <v/>
      </c>
      <c r="FI110" s="74" t="str">
        <f>IF('Marks Entry'!BQ110="","",'Marks Entry'!BQ110)</f>
        <v/>
      </c>
      <c r="FJ110" s="74" t="str">
        <f>IF('Marks Entry'!BR110="","",'Marks Entry'!BR110)</f>
        <v/>
      </c>
      <c r="FK110" s="528" t="str">
        <f t="shared" si="234"/>
        <v/>
      </c>
      <c r="FL110" s="529" t="str">
        <f t="shared" si="235"/>
        <v/>
      </c>
      <c r="FM110" s="74" t="str">
        <f>IF('Marks Entry'!BS110="","",'Marks Entry'!BS110)</f>
        <v/>
      </c>
      <c r="FN110" s="74" t="str">
        <f>IF('Marks Entry'!BT110="","",'Marks Entry'!BT110)</f>
        <v/>
      </c>
      <c r="FO110" s="528" t="str">
        <f t="shared" si="236"/>
        <v/>
      </c>
      <c r="FP110" s="530" t="str">
        <f t="shared" si="237"/>
        <v/>
      </c>
      <c r="FQ110" s="368" t="str">
        <f t="shared" si="286"/>
        <v/>
      </c>
      <c r="FR110" s="65">
        <f t="shared" si="287"/>
        <v>0</v>
      </c>
      <c r="FS110" s="65">
        <f t="shared" si="288"/>
        <v>0</v>
      </c>
      <c r="FT110" s="66" t="str">
        <f t="shared" si="289"/>
        <v/>
      </c>
      <c r="FU110" s="74" t="str">
        <f>IF('Marks Entry'!BU110="","",'Marks Entry'!BU110)</f>
        <v/>
      </c>
      <c r="FV110" s="74" t="str">
        <f>IF('Marks Entry'!BV110="","",'Marks Entry'!BV110)</f>
        <v/>
      </c>
      <c r="FW110" s="74" t="str">
        <f>IF('Marks Entry'!BW110="","",'Marks Entry'!BW110)</f>
        <v/>
      </c>
      <c r="FX110" s="75" t="str">
        <f t="shared" si="238"/>
        <v/>
      </c>
      <c r="FY110" s="368" t="str">
        <f t="shared" si="290"/>
        <v/>
      </c>
      <c r="FZ110" s="65">
        <f t="shared" si="291"/>
        <v>0</v>
      </c>
      <c r="GA110" s="66">
        <f t="shared" si="292"/>
        <v>0</v>
      </c>
      <c r="GB110" s="66" t="str">
        <f t="shared" si="293"/>
        <v/>
      </c>
      <c r="GC110" s="74" t="str">
        <f>IF('Marks Entry'!BX110="","",'Marks Entry'!BX110)</f>
        <v/>
      </c>
      <c r="GD110" s="74" t="str">
        <f>IF('Marks Entry'!BY110="","",'Marks Entry'!BY110)</f>
        <v/>
      </c>
      <c r="GE110" s="74" t="str">
        <f>IF('Marks Entry'!BZ110="","",'Marks Entry'!BZ110)</f>
        <v/>
      </c>
      <c r="GF110" s="75" t="str">
        <f t="shared" si="294"/>
        <v/>
      </c>
      <c r="GG110" s="368" t="str">
        <f t="shared" si="295"/>
        <v/>
      </c>
      <c r="GH110" s="65">
        <f t="shared" si="296"/>
        <v>0</v>
      </c>
      <c r="GI110" s="66">
        <f t="shared" si="297"/>
        <v>0</v>
      </c>
      <c r="GJ110" s="66" t="str">
        <f t="shared" si="298"/>
        <v/>
      </c>
      <c r="GK110" s="100" t="str">
        <f>IF(AND(F110="",B110=""),"",IF('Student DATA Entry'!M107="","",'Student DATA Entry'!M107))</f>
        <v/>
      </c>
      <c r="GL110" s="101" t="str">
        <f>IF(AND(B110="",F110=""),"",IF('Student DATA Entry'!N107="","",'Student DATA Entry'!N107))</f>
        <v/>
      </c>
      <c r="GM110" s="581" t="str">
        <f t="shared" si="299"/>
        <v/>
      </c>
      <c r="GN110" s="94" t="str">
        <f t="shared" si="300"/>
        <v/>
      </c>
      <c r="GO110" s="94" t="str">
        <f t="shared" si="301"/>
        <v/>
      </c>
      <c r="GP110" s="102" t="str">
        <f t="shared" si="330"/>
        <v/>
      </c>
      <c r="GQ110" s="94" t="str">
        <f t="shared" si="302"/>
        <v/>
      </c>
      <c r="GR110" s="103" t="str">
        <f t="shared" si="303"/>
        <v/>
      </c>
      <c r="GS110" s="102" t="str">
        <f t="shared" si="331"/>
        <v/>
      </c>
      <c r="GT110" s="104" t="str">
        <f t="shared" si="304"/>
        <v/>
      </c>
      <c r="GU110" s="94" t="str">
        <f>IF('Marks Entry'!V110=1,GT110,"")</f>
        <v/>
      </c>
      <c r="GV110" s="94" t="str">
        <f>IF('Marks Entry'!V110=2,GT110,"")</f>
        <v/>
      </c>
      <c r="GW110" s="94" t="str">
        <f>IF('Marks Entry'!V110=3,GT110,"")</f>
        <v/>
      </c>
      <c r="GX110" s="94" t="str">
        <f>IF('Marks Entry'!V110=4,GT110,"")</f>
        <v/>
      </c>
      <c r="GY110" s="94" t="str">
        <f>IF('Marks Entry'!V110=5,GT110,"")</f>
        <v/>
      </c>
      <c r="GZ110" s="94" t="str">
        <f t="shared" si="305"/>
        <v/>
      </c>
      <c r="HA110" s="105" t="str">
        <f t="shared" si="332"/>
        <v/>
      </c>
      <c r="HB110" s="94" t="str">
        <f t="shared" si="306"/>
        <v/>
      </c>
      <c r="HC110" s="94" t="str">
        <f t="shared" si="307"/>
        <v/>
      </c>
      <c r="HD110" s="105" t="str">
        <f t="shared" si="333"/>
        <v/>
      </c>
      <c r="HE110" s="94" t="str">
        <f t="shared" si="308"/>
        <v/>
      </c>
      <c r="HF110" s="94" t="str">
        <f t="shared" si="309"/>
        <v/>
      </c>
      <c r="HG110" s="105" t="str">
        <f t="shared" si="334"/>
        <v/>
      </c>
      <c r="HH110" s="94" t="str">
        <f t="shared" si="310"/>
        <v/>
      </c>
      <c r="HI110" s="94" t="str">
        <f t="shared" si="311"/>
        <v/>
      </c>
      <c r="HJ110" s="105" t="str">
        <f t="shared" si="335"/>
        <v/>
      </c>
      <c r="HK110" s="94" t="str">
        <f t="shared" si="312"/>
        <v/>
      </c>
      <c r="HL110" s="94" t="str">
        <f t="shared" si="313"/>
        <v/>
      </c>
      <c r="HM110" s="105" t="str">
        <f t="shared" si="336"/>
        <v/>
      </c>
      <c r="HN110" s="367" t="str">
        <f t="shared" si="314"/>
        <v xml:space="preserve">      </v>
      </c>
      <c r="HO110" s="418" t="str">
        <f t="shared" si="337"/>
        <v xml:space="preserve">      </v>
      </c>
      <c r="HP110" s="367" t="str">
        <f t="shared" si="315"/>
        <v xml:space="preserve">      </v>
      </c>
      <c r="HQ110" s="107" t="str">
        <f t="shared" si="316"/>
        <v xml:space="preserve">      </v>
      </c>
      <c r="HR110" s="366" t="str">
        <f t="shared" si="317"/>
        <v xml:space="preserve">      </v>
      </c>
      <c r="HS110" s="544" t="str">
        <f t="shared" si="338"/>
        <v/>
      </c>
      <c r="HT110" s="542" t="str">
        <f t="shared" si="318"/>
        <v/>
      </c>
      <c r="HU110" s="541" t="str">
        <f t="shared" si="319"/>
        <v/>
      </c>
      <c r="HV110" s="540" t="str">
        <f t="shared" si="320"/>
        <v/>
      </c>
      <c r="HW110" s="537" t="str">
        <f t="shared" si="321"/>
        <v/>
      </c>
      <c r="HX110" s="539" t="str">
        <f t="shared" si="322"/>
        <v/>
      </c>
      <c r="HY110" s="553" t="str">
        <f>IFERROR(IF(OR(HS110="SUPPLEMENTARY",HS110="RE-EXAM"),'Supp. Result Entry'!AQ108,""),"")</f>
        <v/>
      </c>
      <c r="HZ110" s="538" t="str">
        <f t="shared" si="323"/>
        <v/>
      </c>
      <c r="IA110" s="415" t="str">
        <f t="shared" si="324"/>
        <v/>
      </c>
      <c r="IB110" s="415" t="str">
        <f>IF(AND(HZ110="",IA110=""),"",IF(OR(HS110="SUPPLEMENTARY",HS110="RE-EXAM"),'Supp. Result Entry'!AQ108,HS110))</f>
        <v/>
      </c>
      <c r="IC110" s="87"/>
      <c r="IS110" s="109" t="str">
        <f>IF('Supp. Result Entry'!T108="","",'Supp. Result Entry'!$T$4)</f>
        <v/>
      </c>
      <c r="IT110" s="110" t="str">
        <f>IF('Supp. Result Entry'!W108="","",'Supp. Result Entry'!$W$4)</f>
        <v/>
      </c>
      <c r="IU110" s="110" t="str">
        <f>IF('Supp. Result Entry'!Z108="","",'Supp. Result Entry'!$Z$4)</f>
        <v/>
      </c>
      <c r="IV110" s="110" t="str">
        <f>IF('Supp. Result Entry'!AC108="","",'Supp. Result Entry'!$AC$4)</f>
        <v/>
      </c>
      <c r="IW110" s="110" t="str">
        <f>IF('Supp. Result Entry'!AF108="","",'Supp. Result Entry'!$AF$4)</f>
        <v/>
      </c>
      <c r="IX110" s="110" t="str">
        <f>IF('Supp. Result Entry'!AI108="","",'Supp. Result Entry'!$AI$4)</f>
        <v/>
      </c>
      <c r="IY110" s="110" t="str">
        <f>IF('Supp. Result Entry'!AI108="","",'Supp. Result Entry'!$AL$4)</f>
        <v/>
      </c>
      <c r="IZ110" s="110" t="str">
        <f>IF('Supp. Result Entry'!U108="","",'Supp. Result Entry'!U108)</f>
        <v/>
      </c>
      <c r="JA110" s="110" t="str">
        <f>IF('Supp. Result Entry'!X108="","",'Supp. Result Entry'!X108)</f>
        <v/>
      </c>
      <c r="JB110" s="110" t="str">
        <f>IF('Supp. Result Entry'!AA108="","",'Supp. Result Entry'!AA108)</f>
        <v/>
      </c>
      <c r="JC110" s="110" t="str">
        <f>IF('Supp. Result Entry'!AD108="","",'Supp. Result Entry'!AD108)</f>
        <v/>
      </c>
      <c r="JD110" s="110" t="str">
        <f>IF('Supp. Result Entry'!AG108="","",'Supp. Result Entry'!AG108)</f>
        <v/>
      </c>
      <c r="JE110" s="110" t="str">
        <f>IF('Supp. Result Entry'!AJ108="","",'Supp. Result Entry'!AJ108)</f>
        <v/>
      </c>
      <c r="JF110" s="110" t="str">
        <f>IF('Supp. Result Entry'!AM108="","",'Supp. Result Entry'!AM108)</f>
        <v/>
      </c>
      <c r="JG110" s="110" t="str">
        <f>IF('Supp. Result Entry'!V108="","",'Supp. Result Entry'!V108)</f>
        <v/>
      </c>
      <c r="JH110" s="110" t="str">
        <f>IF('Supp. Result Entry'!Y108="","",'Supp. Result Entry'!Y108)</f>
        <v/>
      </c>
      <c r="JI110" s="110" t="str">
        <f>IF('Supp. Result Entry'!AB108="","",'Supp. Result Entry'!AB108)</f>
        <v/>
      </c>
      <c r="JJ110" s="110" t="str">
        <f>IF('Supp. Result Entry'!AE108="","",'Supp. Result Entry'!AE108)</f>
        <v/>
      </c>
      <c r="JK110" s="110" t="str">
        <f>IF('Supp. Result Entry'!AH108="","",'Supp. Result Entry'!AH108)</f>
        <v/>
      </c>
      <c r="JL110" s="110" t="str">
        <f>IF('Supp. Result Entry'!AK108="","",'Supp. Result Entry'!AK108)</f>
        <v/>
      </c>
      <c r="JM110" s="110" t="str">
        <f>IF('Supp. Result Entry'!AN108="","",'Supp. Result Entry'!AN108)</f>
        <v/>
      </c>
      <c r="JN110" s="110">
        <f>COUNTIF('Supp. Result Entry'!K108:Q108,"S")</f>
        <v>0</v>
      </c>
      <c r="JO110" s="110">
        <f t="shared" si="248"/>
        <v>0</v>
      </c>
      <c r="JP110" s="110">
        <f t="shared" si="325"/>
        <v>0</v>
      </c>
      <c r="JQ110" s="110" t="str">
        <f t="shared" si="249"/>
        <v/>
      </c>
      <c r="JR110" s="110" t="str">
        <f t="shared" si="250"/>
        <v/>
      </c>
      <c r="JS110" s="110" t="str">
        <f t="shared" si="251"/>
        <v/>
      </c>
      <c r="JT110" s="110" t="str">
        <f t="shared" si="252"/>
        <v/>
      </c>
      <c r="JU110" s="110" t="str">
        <f t="shared" si="253"/>
        <v/>
      </c>
      <c r="JV110" s="110" t="str">
        <f t="shared" si="254"/>
        <v/>
      </c>
      <c r="JW110" s="110" t="str">
        <f t="shared" si="255"/>
        <v/>
      </c>
      <c r="JX110" s="110" t="str">
        <f t="shared" si="326"/>
        <v/>
      </c>
      <c r="JY110" s="110" t="str">
        <f t="shared" si="327"/>
        <v/>
      </c>
      <c r="JZ110" s="110" t="str">
        <f t="shared" si="256"/>
        <v/>
      </c>
      <c r="KA110" s="108" t="str">
        <f t="shared" si="328"/>
        <v/>
      </c>
    </row>
    <row r="111" spans="1:287" s="108" customFormat="1" ht="21.95" customHeight="1">
      <c r="A111" s="89">
        <v>105</v>
      </c>
      <c r="B111" s="90" t="str">
        <f>IF('Marks Entry'!B111="","",'Marks Entry'!B111)</f>
        <v/>
      </c>
      <c r="C111" s="94" t="str">
        <f>IF('Marks Entry'!D111="","",'Marks Entry'!D111)</f>
        <v/>
      </c>
      <c r="D111" s="91" t="str">
        <f>IF('Marks Entry'!E111="","",'Marks Entry'!E111)</f>
        <v/>
      </c>
      <c r="E111" s="92" t="str">
        <f>IF('Marks Entry'!F111="","",'Marks Entry'!F111)</f>
        <v/>
      </c>
      <c r="F111" s="93" t="str">
        <f>IF('Marks Entry'!G111="","",'Marks Entry'!G111)</f>
        <v/>
      </c>
      <c r="G111" s="93" t="str">
        <f>IF('Marks Entry'!H111="","",'Marks Entry'!H111)</f>
        <v/>
      </c>
      <c r="H111" s="93" t="str">
        <f>IF('Marks Entry'!I111="","",'Marks Entry'!I111)</f>
        <v/>
      </c>
      <c r="I111" s="94" t="str">
        <f>IF('Marks Entry'!J111="","",'Marks Entry'!J111)</f>
        <v/>
      </c>
      <c r="J111" s="95" t="str">
        <f>IF('Marks Entry'!K111="","",'Marks Entry'!K111)</f>
        <v/>
      </c>
      <c r="K111" s="68" t="str">
        <f>IF('Marks Entry'!L111="","",'Marks Entry'!L111)</f>
        <v/>
      </c>
      <c r="L111" s="68" t="str">
        <f>IF('Marks Entry'!M111="","",'Marks Entry'!M111)</f>
        <v/>
      </c>
      <c r="M111" s="68" t="str">
        <f>IF('Marks Entry'!N111="","",'Marks Entry'!N111)</f>
        <v/>
      </c>
      <c r="N111" s="514" t="str">
        <f t="shared" si="257"/>
        <v/>
      </c>
      <c r="O111" s="68" t="str">
        <f>IF('Marks Entry'!O111="","",'Marks Entry'!O111)</f>
        <v/>
      </c>
      <c r="P111" s="515" t="str">
        <f t="shared" si="258"/>
        <v/>
      </c>
      <c r="Q111" s="68" t="str">
        <f>IF('Marks Entry'!P111="","",'Marks Entry'!P111)</f>
        <v/>
      </c>
      <c r="R111" s="96" t="str">
        <f t="shared" si="259"/>
        <v/>
      </c>
      <c r="S111" s="65">
        <f t="shared" si="260"/>
        <v>0</v>
      </c>
      <c r="T111" s="65">
        <f t="shared" si="261"/>
        <v>0</v>
      </c>
      <c r="U111" s="66" t="str">
        <f t="shared" si="171"/>
        <v/>
      </c>
      <c r="V111" s="65" t="str">
        <f t="shared" si="172"/>
        <v/>
      </c>
      <c r="W111" s="65" t="str">
        <f t="shared" si="262"/>
        <v/>
      </c>
      <c r="X111" s="65" t="str">
        <f t="shared" si="173"/>
        <v/>
      </c>
      <c r="Y111" s="68" t="str">
        <f>IF('Marks Entry'!Q111="","",'Marks Entry'!Q111)</f>
        <v/>
      </c>
      <c r="Z111" s="68" t="str">
        <f>IF('Marks Entry'!R111="","",'Marks Entry'!R111)</f>
        <v/>
      </c>
      <c r="AA111" s="68" t="str">
        <f>IF('Marks Entry'!S111="","",'Marks Entry'!S111)</f>
        <v/>
      </c>
      <c r="AB111" s="514" t="str">
        <f t="shared" si="174"/>
        <v/>
      </c>
      <c r="AC111" s="68" t="str">
        <f>IF('Marks Entry'!T111="","",'Marks Entry'!T111)</f>
        <v/>
      </c>
      <c r="AD111" s="515" t="str">
        <f t="shared" si="175"/>
        <v/>
      </c>
      <c r="AE111" s="68" t="str">
        <f>IF('Marks Entry'!U111="","",'Marks Entry'!U111)</f>
        <v/>
      </c>
      <c r="AF111" s="96" t="str">
        <f t="shared" si="176"/>
        <v/>
      </c>
      <c r="AG111" s="65">
        <f t="shared" si="177"/>
        <v>0</v>
      </c>
      <c r="AH111" s="65">
        <f t="shared" si="178"/>
        <v>0</v>
      </c>
      <c r="AI111" s="66" t="str">
        <f t="shared" si="179"/>
        <v/>
      </c>
      <c r="AJ111" s="65" t="str">
        <f t="shared" si="180"/>
        <v/>
      </c>
      <c r="AK111" s="65" t="str">
        <f t="shared" si="181"/>
        <v/>
      </c>
      <c r="AL111" s="65" t="str">
        <f t="shared" si="182"/>
        <v/>
      </c>
      <c r="AM111" s="524" t="str">
        <f>IF('Marks Entry'!V111="","",IF('Marks Entry'!V111=1,'School Profile'!$I$9,IF('Marks Entry'!V111=2,'School Profile'!$I$10,IF('Marks Entry'!V111=3,'School Profile'!$I$11,IF('Marks Entry'!V111=4,'School Profile'!$I$12,IF('Marks Entry'!V111=5,'School Profile'!$I$13,IF('Marks Entry'!V111=6,'School Profile'!$I$14,"")))))))</f>
        <v/>
      </c>
      <c r="AN111" s="68" t="str">
        <f>IF('Marks Entry'!W111="","",'Marks Entry'!W111)</f>
        <v/>
      </c>
      <c r="AO111" s="68" t="str">
        <f>IF('Marks Entry'!X111="","",'Marks Entry'!X111)</f>
        <v/>
      </c>
      <c r="AP111" s="68" t="str">
        <f>IF('Marks Entry'!Y111="","",'Marks Entry'!Y111)</f>
        <v/>
      </c>
      <c r="AQ111" s="514" t="str">
        <f t="shared" si="183"/>
        <v/>
      </c>
      <c r="AR111" s="68" t="str">
        <f>IF('Marks Entry'!Z111="","",'Marks Entry'!Z111)</f>
        <v/>
      </c>
      <c r="AS111" s="515" t="str">
        <f t="shared" si="184"/>
        <v/>
      </c>
      <c r="AT111" s="68" t="str">
        <f>IF('Marks Entry'!AA111="","",'Marks Entry'!AA111)</f>
        <v/>
      </c>
      <c r="AU111" s="96" t="str">
        <f t="shared" si="185"/>
        <v/>
      </c>
      <c r="AV111" s="65">
        <f t="shared" si="186"/>
        <v>0</v>
      </c>
      <c r="AW111" s="65">
        <f t="shared" si="187"/>
        <v>0</v>
      </c>
      <c r="AX111" s="66" t="str">
        <f t="shared" si="188"/>
        <v/>
      </c>
      <c r="AY111" s="65" t="str">
        <f t="shared" si="189"/>
        <v/>
      </c>
      <c r="AZ111" s="65" t="str">
        <f t="shared" si="190"/>
        <v/>
      </c>
      <c r="BA111" s="65" t="str">
        <f t="shared" si="191"/>
        <v/>
      </c>
      <c r="BB111" s="68" t="str">
        <f>IF('Marks Entry'!AB111="","",'Marks Entry'!AB111)</f>
        <v/>
      </c>
      <c r="BC111" s="68" t="str">
        <f>IF('Marks Entry'!AC111="","",'Marks Entry'!AC111)</f>
        <v/>
      </c>
      <c r="BD111" s="68" t="str">
        <f>IF('Marks Entry'!AD111="","",'Marks Entry'!AD111)</f>
        <v/>
      </c>
      <c r="BE111" s="514" t="str">
        <f t="shared" si="192"/>
        <v/>
      </c>
      <c r="BF111" s="68" t="str">
        <f>IF('Marks Entry'!AE111="","",'Marks Entry'!AE111)</f>
        <v/>
      </c>
      <c r="BG111" s="515" t="str">
        <f t="shared" si="193"/>
        <v/>
      </c>
      <c r="BH111" s="68" t="str">
        <f>IF('Marks Entry'!AF111="","",'Marks Entry'!AF111)</f>
        <v/>
      </c>
      <c r="BI111" s="96" t="str">
        <f t="shared" si="194"/>
        <v/>
      </c>
      <c r="BJ111" s="65">
        <f t="shared" si="195"/>
        <v>0</v>
      </c>
      <c r="BK111" s="65">
        <f t="shared" si="263"/>
        <v>0</v>
      </c>
      <c r="BL111" s="66" t="str">
        <f t="shared" si="196"/>
        <v/>
      </c>
      <c r="BM111" s="65" t="str">
        <f t="shared" si="197"/>
        <v/>
      </c>
      <c r="BN111" s="65" t="str">
        <f t="shared" si="198"/>
        <v/>
      </c>
      <c r="BO111" s="65" t="str">
        <f t="shared" si="199"/>
        <v/>
      </c>
      <c r="BP111" s="68" t="str">
        <f>IF('Marks Entry'!AG111="","",'Marks Entry'!AG111)</f>
        <v/>
      </c>
      <c r="BQ111" s="68" t="str">
        <f>IF('Marks Entry'!AH111="","",'Marks Entry'!AH111)</f>
        <v/>
      </c>
      <c r="BR111" s="68" t="str">
        <f>IF('Marks Entry'!AI111="","",'Marks Entry'!AI111)</f>
        <v/>
      </c>
      <c r="BS111" s="514" t="str">
        <f t="shared" si="200"/>
        <v/>
      </c>
      <c r="BT111" s="68" t="str">
        <f>IF('Marks Entry'!AJ111="","",'Marks Entry'!AJ111)</f>
        <v/>
      </c>
      <c r="BU111" s="515" t="str">
        <f t="shared" si="201"/>
        <v/>
      </c>
      <c r="BV111" s="68" t="str">
        <f>IF('Marks Entry'!AK111="","",'Marks Entry'!AK111)</f>
        <v/>
      </c>
      <c r="BW111" s="96" t="str">
        <f t="shared" si="202"/>
        <v/>
      </c>
      <c r="BX111" s="65">
        <f t="shared" si="203"/>
        <v>0</v>
      </c>
      <c r="BY111" s="65">
        <f t="shared" si="204"/>
        <v>0</v>
      </c>
      <c r="BZ111" s="66" t="str">
        <f t="shared" si="205"/>
        <v/>
      </c>
      <c r="CA111" s="65" t="str">
        <f t="shared" si="206"/>
        <v/>
      </c>
      <c r="CB111" s="65" t="str">
        <f t="shared" si="207"/>
        <v/>
      </c>
      <c r="CC111" s="65" t="str">
        <f t="shared" si="208"/>
        <v/>
      </c>
      <c r="CD111" s="66">
        <f t="shared" si="329"/>
        <v>0</v>
      </c>
      <c r="CE111" s="68" t="str">
        <f>IF('Marks Entry'!AL111="","",'Marks Entry'!AL111)</f>
        <v/>
      </c>
      <c r="CF111" s="68" t="str">
        <f>IF('Marks Entry'!AM111="","",'Marks Entry'!AM111)</f>
        <v/>
      </c>
      <c r="CG111" s="68" t="str">
        <f>IF('Marks Entry'!AN111="","",'Marks Entry'!AN111)</f>
        <v/>
      </c>
      <c r="CH111" s="514" t="str">
        <f t="shared" si="210"/>
        <v/>
      </c>
      <c r="CI111" s="68" t="str">
        <f>IF('Marks Entry'!AO111="","",'Marks Entry'!AO111)</f>
        <v/>
      </c>
      <c r="CJ111" s="515" t="str">
        <f t="shared" si="211"/>
        <v/>
      </c>
      <c r="CK111" s="68" t="str">
        <f>IF('Marks Entry'!AP111="","",'Marks Entry'!AP111)</f>
        <v/>
      </c>
      <c r="CL111" s="96" t="str">
        <f t="shared" si="212"/>
        <v/>
      </c>
      <c r="CM111" s="65">
        <f t="shared" si="213"/>
        <v>0</v>
      </c>
      <c r="CN111" s="65">
        <f t="shared" si="214"/>
        <v>0</v>
      </c>
      <c r="CO111" s="66" t="str">
        <f t="shared" si="215"/>
        <v/>
      </c>
      <c r="CP111" s="65" t="str">
        <f t="shared" si="216"/>
        <v/>
      </c>
      <c r="CQ111" s="65" t="str">
        <f t="shared" si="217"/>
        <v/>
      </c>
      <c r="CR111" s="65" t="str">
        <f t="shared" si="218"/>
        <v/>
      </c>
      <c r="CS111" s="616" t="str">
        <f>IF('School Profile'!$D$20="NO","",IF('Marks Entry'!AQ111="","",IF('Marks Entry'!AQ111=1,'School Profile'!$I$29,IF('Marks Entry'!AQ111=2,'School Profile'!$I$30,IF('Marks Entry'!AQ111=3,'School Profile'!$I$31,IF('Marks Entry'!AQ111=4,'School Profile'!$I$32,IF('Marks Entry'!AQ111=5,'School Profile'!$I$33,IF('Marks Entry'!AQ111=6,'School Profile'!$I$34,IF('Marks Entry'!AQ111=7,'School Profile'!$I$35,IF('Marks Entry'!AQ111=8,'School Profile'!$I$36,IF('Marks Entry'!AQ111=9,'School Profile'!$I$37,IF('Marks Entry'!AQ111=10,'School Profile'!$I$38,IF('Marks Entry'!AQ111=11,'School Profile'!$I$39,"")))))))))))))</f>
        <v/>
      </c>
      <c r="CT111" s="68" t="str">
        <f>IF('School Profile'!$D$20="NO","",IF('Marks Entry'!AR111="","",'Marks Entry'!AR111))</f>
        <v/>
      </c>
      <c r="CU111" s="68" t="str">
        <f>IF('School Profile'!$D$20="NO","",IF('Marks Entry'!AS111="","",'Marks Entry'!AS111))</f>
        <v/>
      </c>
      <c r="CV111" s="68" t="str">
        <f>IF('School Profile'!$D$20="NO","",IF('Marks Entry'!AT111="","",'Marks Entry'!AT111))</f>
        <v/>
      </c>
      <c r="CW111" s="514" t="str">
        <f>IF('School Profile'!$D$20="NO","",IF(AND(CT111="",CU111="",CV111=""),"",SUM(CT111:CV111)))</f>
        <v/>
      </c>
      <c r="CX111" s="68" t="str">
        <f>IF('School Profile'!$D$20="NO","",IF('Marks Entry'!AU111="","",'Marks Entry'!AU111))</f>
        <v/>
      </c>
      <c r="CY111" s="68" t="str">
        <f>IF('School Profile'!$D$20="NO","",IF('Marks Entry'!AV111="","",'Marks Entry'!AV111))</f>
        <v/>
      </c>
      <c r="CZ111" s="515" t="str">
        <f>IF('School Profile'!$D$20="NO","",IF(AND(CX111="",CY111=""),"",SUM(CX111,CY111)))</f>
        <v/>
      </c>
      <c r="DA111" s="69" t="str">
        <f>IF('School Profile'!$D$20="NO","",IF(AND(CW111="",CZ111=""),"",SUM(CW111+CZ111)))</f>
        <v/>
      </c>
      <c r="DB111" s="68" t="str">
        <f>IF('School Profile'!$D$20="NO","",IF('Marks Entry'!AW111="","",'Marks Entry'!AW111))</f>
        <v/>
      </c>
      <c r="DC111" s="68" t="str">
        <f>IF('School Profile'!$D$20="NO","",IF('Marks Entry'!AX111="","",'Marks Entry'!AX111))</f>
        <v/>
      </c>
      <c r="DD111" s="515" t="str">
        <f>IF('School Profile'!$D$20="NO","",IF(AND(DB111="",DC111=""),"",SUM(DB111,DC111)))</f>
        <v/>
      </c>
      <c r="DE111" s="96" t="str">
        <f>IF('School Profile'!$D$20="NO","",IF(AND(DA111="",DD111=""),"",SUM(DA111,DD111)))</f>
        <v/>
      </c>
      <c r="DF111" s="532">
        <f t="shared" si="219"/>
        <v>0</v>
      </c>
      <c r="DG111" s="65">
        <f t="shared" si="220"/>
        <v>0</v>
      </c>
      <c r="DH111" s="66" t="str">
        <f t="shared" si="221"/>
        <v/>
      </c>
      <c r="DI111" s="65" t="str">
        <f t="shared" si="222"/>
        <v/>
      </c>
      <c r="DJ111" s="65" t="str">
        <f t="shared" si="223"/>
        <v/>
      </c>
      <c r="DK111" s="65" t="str">
        <f t="shared" si="224"/>
        <v/>
      </c>
      <c r="DL111" s="97" t="str">
        <f t="shared" si="264"/>
        <v/>
      </c>
      <c r="DM111" s="97" t="str">
        <f t="shared" si="265"/>
        <v/>
      </c>
      <c r="DN111" s="97" t="str">
        <f t="shared" si="266"/>
        <v/>
      </c>
      <c r="DO111" s="97" t="str">
        <f t="shared" si="267"/>
        <v/>
      </c>
      <c r="DP111" s="97" t="str">
        <f t="shared" si="268"/>
        <v/>
      </c>
      <c r="DQ111" s="97" t="str">
        <f t="shared" si="269"/>
        <v/>
      </c>
      <c r="DR111" s="97" t="str">
        <f t="shared" si="270"/>
        <v/>
      </c>
      <c r="DS111" s="98">
        <f t="shared" si="271"/>
        <v>0</v>
      </c>
      <c r="DT111" s="98">
        <f t="shared" si="272"/>
        <v>0</v>
      </c>
      <c r="DU111" s="98">
        <f t="shared" si="273"/>
        <v>0</v>
      </c>
      <c r="DV111" s="98">
        <f t="shared" si="274"/>
        <v>0</v>
      </c>
      <c r="DW111" s="98">
        <f t="shared" si="275"/>
        <v>0</v>
      </c>
      <c r="DX111" s="98" t="str">
        <f t="shared" si="276"/>
        <v/>
      </c>
      <c r="DY111" s="99" t="str">
        <f t="shared" si="277"/>
        <v/>
      </c>
      <c r="DZ111" s="74" t="str">
        <f>IF('Marks Entry'!AY111="","",'Marks Entry'!AY111)</f>
        <v/>
      </c>
      <c r="EA111" s="74" t="str">
        <f>IF('Marks Entry'!AZ111="","",'Marks Entry'!AZ111)</f>
        <v/>
      </c>
      <c r="EB111" s="74" t="str">
        <f>IF('Marks Entry'!BA111="","",'Marks Entry'!BA111)</f>
        <v/>
      </c>
      <c r="EC111" s="527" t="str">
        <f t="shared" si="225"/>
        <v/>
      </c>
      <c r="ED111" s="74" t="str">
        <f>IF('Marks Entry'!BB111="","",'Marks Entry'!BB111)</f>
        <v/>
      </c>
      <c r="EE111" s="528" t="str">
        <f t="shared" si="226"/>
        <v/>
      </c>
      <c r="EF111" s="74" t="str">
        <f>IF('Marks Entry'!BC111="","",'Marks Entry'!BC111)</f>
        <v/>
      </c>
      <c r="EG111" s="530" t="str">
        <f t="shared" si="227"/>
        <v/>
      </c>
      <c r="EH111" s="368" t="str">
        <f t="shared" si="278"/>
        <v/>
      </c>
      <c r="EI111" s="65">
        <f t="shared" si="279"/>
        <v>0</v>
      </c>
      <c r="EJ111" s="65">
        <f t="shared" si="280"/>
        <v>0</v>
      </c>
      <c r="EK111" s="66" t="str">
        <f t="shared" si="281"/>
        <v/>
      </c>
      <c r="EL111" s="74" t="str">
        <f>IF('Marks Entry'!BD111="","",'Marks Entry'!BD111)</f>
        <v/>
      </c>
      <c r="EM111" s="74" t="str">
        <f>IF('Marks Entry'!BE111="","",'Marks Entry'!BE111)</f>
        <v/>
      </c>
      <c r="EN111" s="74" t="str">
        <f>IF('Marks Entry'!BF111="","",'Marks Entry'!BF111)</f>
        <v/>
      </c>
      <c r="EO111" s="527" t="str">
        <f t="shared" si="228"/>
        <v/>
      </c>
      <c r="EP111" s="74" t="str">
        <f>IF('Marks Entry'!BG111="","",'Marks Entry'!BG111)</f>
        <v/>
      </c>
      <c r="EQ111" s="74" t="str">
        <f>IF('Marks Entry'!BH111="","",'Marks Entry'!BH111)</f>
        <v/>
      </c>
      <c r="ER111" s="528" t="str">
        <f t="shared" si="229"/>
        <v/>
      </c>
      <c r="ES111" s="529" t="str">
        <f t="shared" si="230"/>
        <v/>
      </c>
      <c r="ET111" s="74" t="str">
        <f>IF('Marks Entry'!BI111="","",'Marks Entry'!BI111)</f>
        <v/>
      </c>
      <c r="EU111" s="74" t="str">
        <f>IF('Marks Entry'!BJ111="","",'Marks Entry'!BJ111)</f>
        <v/>
      </c>
      <c r="EV111" s="528" t="str">
        <f t="shared" si="231"/>
        <v/>
      </c>
      <c r="EW111" s="530" t="str">
        <f t="shared" si="232"/>
        <v/>
      </c>
      <c r="EX111" s="368" t="str">
        <f t="shared" si="282"/>
        <v/>
      </c>
      <c r="EY111" s="65">
        <f t="shared" si="283"/>
        <v>0</v>
      </c>
      <c r="EZ111" s="65">
        <f t="shared" si="284"/>
        <v>0</v>
      </c>
      <c r="FA111" s="66" t="str">
        <f t="shared" si="285"/>
        <v/>
      </c>
      <c r="FB111" s="74" t="str">
        <f>IF('Marks Entry'!BK111="","",'Marks Entry'!BK111)</f>
        <v/>
      </c>
      <c r="FC111" s="74" t="str">
        <f>IF('Marks Entry'!BL111="","",'Marks Entry'!BL111)</f>
        <v/>
      </c>
      <c r="FD111" s="74" t="str">
        <f>IF('Marks Entry'!BM111="","",'Marks Entry'!BM111)</f>
        <v/>
      </c>
      <c r="FE111" s="74" t="str">
        <f>IF('Marks Entry'!BN111="","",'Marks Entry'!BN111)</f>
        <v/>
      </c>
      <c r="FF111" s="74" t="str">
        <f>IF('Marks Entry'!BO111="","",'Marks Entry'!BO111)</f>
        <v/>
      </c>
      <c r="FG111" s="74" t="str">
        <f>IF('Marks Entry'!BP111="","",'Marks Entry'!BP111)</f>
        <v/>
      </c>
      <c r="FH111" s="527" t="str">
        <f t="shared" si="233"/>
        <v/>
      </c>
      <c r="FI111" s="74" t="str">
        <f>IF('Marks Entry'!BQ111="","",'Marks Entry'!BQ111)</f>
        <v/>
      </c>
      <c r="FJ111" s="74" t="str">
        <f>IF('Marks Entry'!BR111="","",'Marks Entry'!BR111)</f>
        <v/>
      </c>
      <c r="FK111" s="528" t="str">
        <f t="shared" si="234"/>
        <v/>
      </c>
      <c r="FL111" s="529" t="str">
        <f t="shared" si="235"/>
        <v/>
      </c>
      <c r="FM111" s="74" t="str">
        <f>IF('Marks Entry'!BS111="","",'Marks Entry'!BS111)</f>
        <v/>
      </c>
      <c r="FN111" s="74" t="str">
        <f>IF('Marks Entry'!BT111="","",'Marks Entry'!BT111)</f>
        <v/>
      </c>
      <c r="FO111" s="528" t="str">
        <f t="shared" si="236"/>
        <v/>
      </c>
      <c r="FP111" s="530" t="str">
        <f t="shared" si="237"/>
        <v/>
      </c>
      <c r="FQ111" s="368" t="str">
        <f t="shared" si="286"/>
        <v/>
      </c>
      <c r="FR111" s="65">
        <f t="shared" si="287"/>
        <v>0</v>
      </c>
      <c r="FS111" s="65">
        <f t="shared" si="288"/>
        <v>0</v>
      </c>
      <c r="FT111" s="66" t="str">
        <f t="shared" si="289"/>
        <v/>
      </c>
      <c r="FU111" s="74" t="str">
        <f>IF('Marks Entry'!BU111="","",'Marks Entry'!BU111)</f>
        <v/>
      </c>
      <c r="FV111" s="74" t="str">
        <f>IF('Marks Entry'!BV111="","",'Marks Entry'!BV111)</f>
        <v/>
      </c>
      <c r="FW111" s="74" t="str">
        <f>IF('Marks Entry'!BW111="","",'Marks Entry'!BW111)</f>
        <v/>
      </c>
      <c r="FX111" s="75" t="str">
        <f t="shared" si="238"/>
        <v/>
      </c>
      <c r="FY111" s="368" t="str">
        <f t="shared" si="290"/>
        <v/>
      </c>
      <c r="FZ111" s="65">
        <f t="shared" si="291"/>
        <v>0</v>
      </c>
      <c r="GA111" s="66">
        <f t="shared" si="292"/>
        <v>0</v>
      </c>
      <c r="GB111" s="66" t="str">
        <f t="shared" si="293"/>
        <v/>
      </c>
      <c r="GC111" s="74" t="str">
        <f>IF('Marks Entry'!BX111="","",'Marks Entry'!BX111)</f>
        <v/>
      </c>
      <c r="GD111" s="74" t="str">
        <f>IF('Marks Entry'!BY111="","",'Marks Entry'!BY111)</f>
        <v/>
      </c>
      <c r="GE111" s="74" t="str">
        <f>IF('Marks Entry'!BZ111="","",'Marks Entry'!BZ111)</f>
        <v/>
      </c>
      <c r="GF111" s="75" t="str">
        <f t="shared" si="294"/>
        <v/>
      </c>
      <c r="GG111" s="368" t="str">
        <f t="shared" si="295"/>
        <v/>
      </c>
      <c r="GH111" s="65">
        <f t="shared" si="296"/>
        <v>0</v>
      </c>
      <c r="GI111" s="66">
        <f t="shared" si="297"/>
        <v>0</v>
      </c>
      <c r="GJ111" s="66" t="str">
        <f t="shared" si="298"/>
        <v/>
      </c>
      <c r="GK111" s="100" t="str">
        <f>IF(AND(F111="",B111=""),"",IF('Student DATA Entry'!M108="","",'Student DATA Entry'!M108))</f>
        <v/>
      </c>
      <c r="GL111" s="101" t="str">
        <f>IF(AND(B111="",F111=""),"",IF('Student DATA Entry'!N108="","",'Student DATA Entry'!N108))</f>
        <v/>
      </c>
      <c r="GM111" s="581" t="str">
        <f t="shared" si="299"/>
        <v/>
      </c>
      <c r="GN111" s="94" t="str">
        <f t="shared" si="300"/>
        <v/>
      </c>
      <c r="GO111" s="94" t="str">
        <f t="shared" si="301"/>
        <v/>
      </c>
      <c r="GP111" s="102" t="str">
        <f t="shared" si="330"/>
        <v/>
      </c>
      <c r="GQ111" s="94" t="str">
        <f t="shared" si="302"/>
        <v/>
      </c>
      <c r="GR111" s="103" t="str">
        <f t="shared" si="303"/>
        <v/>
      </c>
      <c r="GS111" s="102" t="str">
        <f t="shared" si="331"/>
        <v/>
      </c>
      <c r="GT111" s="104" t="str">
        <f t="shared" si="304"/>
        <v/>
      </c>
      <c r="GU111" s="94" t="str">
        <f>IF('Marks Entry'!V111=1,GT111,"")</f>
        <v/>
      </c>
      <c r="GV111" s="94" t="str">
        <f>IF('Marks Entry'!V111=2,GT111,"")</f>
        <v/>
      </c>
      <c r="GW111" s="94" t="str">
        <f>IF('Marks Entry'!V111=3,GT111,"")</f>
        <v/>
      </c>
      <c r="GX111" s="94" t="str">
        <f>IF('Marks Entry'!V111=4,GT111,"")</f>
        <v/>
      </c>
      <c r="GY111" s="94" t="str">
        <f>IF('Marks Entry'!V111=5,GT111,"")</f>
        <v/>
      </c>
      <c r="GZ111" s="94" t="str">
        <f t="shared" si="305"/>
        <v/>
      </c>
      <c r="HA111" s="105" t="str">
        <f t="shared" si="332"/>
        <v/>
      </c>
      <c r="HB111" s="94" t="str">
        <f t="shared" si="306"/>
        <v/>
      </c>
      <c r="HC111" s="94" t="str">
        <f t="shared" si="307"/>
        <v/>
      </c>
      <c r="HD111" s="105" t="str">
        <f t="shared" si="333"/>
        <v/>
      </c>
      <c r="HE111" s="94" t="str">
        <f t="shared" si="308"/>
        <v/>
      </c>
      <c r="HF111" s="94" t="str">
        <f t="shared" si="309"/>
        <v/>
      </c>
      <c r="HG111" s="105" t="str">
        <f t="shared" si="334"/>
        <v/>
      </c>
      <c r="HH111" s="94" t="str">
        <f t="shared" si="310"/>
        <v/>
      </c>
      <c r="HI111" s="94" t="str">
        <f t="shared" si="311"/>
        <v/>
      </c>
      <c r="HJ111" s="105" t="str">
        <f t="shared" si="335"/>
        <v/>
      </c>
      <c r="HK111" s="94" t="str">
        <f t="shared" si="312"/>
        <v/>
      </c>
      <c r="HL111" s="94" t="str">
        <f t="shared" si="313"/>
        <v/>
      </c>
      <c r="HM111" s="105" t="str">
        <f t="shared" si="336"/>
        <v/>
      </c>
      <c r="HN111" s="367" t="str">
        <f t="shared" si="314"/>
        <v xml:space="preserve">      </v>
      </c>
      <c r="HO111" s="418" t="str">
        <f t="shared" si="337"/>
        <v xml:space="preserve">      </v>
      </c>
      <c r="HP111" s="367" t="str">
        <f t="shared" si="315"/>
        <v xml:space="preserve">      </v>
      </c>
      <c r="HQ111" s="107" t="str">
        <f t="shared" si="316"/>
        <v xml:space="preserve">      </v>
      </c>
      <c r="HR111" s="366" t="str">
        <f t="shared" si="317"/>
        <v xml:space="preserve">      </v>
      </c>
      <c r="HS111" s="544" t="str">
        <f t="shared" si="338"/>
        <v/>
      </c>
      <c r="HT111" s="542" t="str">
        <f t="shared" si="318"/>
        <v/>
      </c>
      <c r="HU111" s="541" t="str">
        <f t="shared" si="319"/>
        <v/>
      </c>
      <c r="HV111" s="540" t="str">
        <f t="shared" si="320"/>
        <v/>
      </c>
      <c r="HW111" s="537" t="str">
        <f t="shared" si="321"/>
        <v/>
      </c>
      <c r="HX111" s="539" t="str">
        <f t="shared" si="322"/>
        <v/>
      </c>
      <c r="HY111" s="553" t="str">
        <f>IFERROR(IF(OR(HS111="SUPPLEMENTARY",HS111="RE-EXAM"),'Supp. Result Entry'!AQ109,""),"")</f>
        <v/>
      </c>
      <c r="HZ111" s="538" t="str">
        <f t="shared" si="323"/>
        <v/>
      </c>
      <c r="IA111" s="415" t="str">
        <f t="shared" si="324"/>
        <v/>
      </c>
      <c r="IB111" s="415" t="str">
        <f>IF(AND(HZ111="",IA111=""),"",IF(OR(HS111="SUPPLEMENTARY",HS111="RE-EXAM"),'Supp. Result Entry'!AQ109,HS111))</f>
        <v/>
      </c>
      <c r="IC111" s="87"/>
      <c r="IS111" s="109" t="str">
        <f>IF('Supp. Result Entry'!T109="","",'Supp. Result Entry'!$T$4)</f>
        <v/>
      </c>
      <c r="IT111" s="110" t="str">
        <f>IF('Supp. Result Entry'!W109="","",'Supp. Result Entry'!$W$4)</f>
        <v/>
      </c>
      <c r="IU111" s="110" t="str">
        <f>IF('Supp. Result Entry'!Z109="","",'Supp. Result Entry'!$Z$4)</f>
        <v/>
      </c>
      <c r="IV111" s="110" t="str">
        <f>IF('Supp. Result Entry'!AC109="","",'Supp. Result Entry'!$AC$4)</f>
        <v/>
      </c>
      <c r="IW111" s="110" t="str">
        <f>IF('Supp. Result Entry'!AF109="","",'Supp. Result Entry'!$AF$4)</f>
        <v/>
      </c>
      <c r="IX111" s="110" t="str">
        <f>IF('Supp. Result Entry'!AI109="","",'Supp. Result Entry'!$AI$4)</f>
        <v/>
      </c>
      <c r="IY111" s="110" t="str">
        <f>IF('Supp. Result Entry'!AI109="","",'Supp. Result Entry'!$AL$4)</f>
        <v/>
      </c>
      <c r="IZ111" s="110" t="str">
        <f>IF('Supp. Result Entry'!U109="","",'Supp. Result Entry'!U109)</f>
        <v/>
      </c>
      <c r="JA111" s="110" t="str">
        <f>IF('Supp. Result Entry'!X109="","",'Supp. Result Entry'!X109)</f>
        <v/>
      </c>
      <c r="JB111" s="110" t="str">
        <f>IF('Supp. Result Entry'!AA109="","",'Supp. Result Entry'!AA109)</f>
        <v/>
      </c>
      <c r="JC111" s="110" t="str">
        <f>IF('Supp. Result Entry'!AD109="","",'Supp. Result Entry'!AD109)</f>
        <v/>
      </c>
      <c r="JD111" s="110" t="str">
        <f>IF('Supp. Result Entry'!AG109="","",'Supp. Result Entry'!AG109)</f>
        <v/>
      </c>
      <c r="JE111" s="110" t="str">
        <f>IF('Supp. Result Entry'!AJ109="","",'Supp. Result Entry'!AJ109)</f>
        <v/>
      </c>
      <c r="JF111" s="110" t="str">
        <f>IF('Supp. Result Entry'!AM109="","",'Supp. Result Entry'!AM109)</f>
        <v/>
      </c>
      <c r="JG111" s="110" t="str">
        <f>IF('Supp. Result Entry'!V109="","",'Supp. Result Entry'!V109)</f>
        <v/>
      </c>
      <c r="JH111" s="110" t="str">
        <f>IF('Supp. Result Entry'!Y109="","",'Supp. Result Entry'!Y109)</f>
        <v/>
      </c>
      <c r="JI111" s="110" t="str">
        <f>IF('Supp. Result Entry'!AB109="","",'Supp. Result Entry'!AB109)</f>
        <v/>
      </c>
      <c r="JJ111" s="110" t="str">
        <f>IF('Supp. Result Entry'!AE109="","",'Supp. Result Entry'!AE109)</f>
        <v/>
      </c>
      <c r="JK111" s="110" t="str">
        <f>IF('Supp. Result Entry'!AH109="","",'Supp. Result Entry'!AH109)</f>
        <v/>
      </c>
      <c r="JL111" s="110" t="str">
        <f>IF('Supp. Result Entry'!AK109="","",'Supp. Result Entry'!AK109)</f>
        <v/>
      </c>
      <c r="JM111" s="110" t="str">
        <f>IF('Supp. Result Entry'!AN109="","",'Supp. Result Entry'!AN109)</f>
        <v/>
      </c>
      <c r="JN111" s="110">
        <f>COUNTIF('Supp. Result Entry'!K109:Q109,"S")</f>
        <v>0</v>
      </c>
      <c r="JO111" s="110">
        <f t="shared" si="248"/>
        <v>0</v>
      </c>
      <c r="JP111" s="110">
        <f t="shared" si="325"/>
        <v>0</v>
      </c>
      <c r="JQ111" s="110" t="str">
        <f t="shared" si="249"/>
        <v/>
      </c>
      <c r="JR111" s="110" t="str">
        <f t="shared" si="250"/>
        <v/>
      </c>
      <c r="JS111" s="110" t="str">
        <f t="shared" si="251"/>
        <v/>
      </c>
      <c r="JT111" s="110" t="str">
        <f t="shared" si="252"/>
        <v/>
      </c>
      <c r="JU111" s="110" t="str">
        <f t="shared" si="253"/>
        <v/>
      </c>
      <c r="JV111" s="110" t="str">
        <f t="shared" si="254"/>
        <v/>
      </c>
      <c r="JW111" s="110" t="str">
        <f t="shared" si="255"/>
        <v/>
      </c>
      <c r="JX111" s="110" t="str">
        <f t="shared" si="326"/>
        <v/>
      </c>
      <c r="JY111" s="110" t="str">
        <f t="shared" si="327"/>
        <v/>
      </c>
      <c r="JZ111" s="110" t="str">
        <f t="shared" si="256"/>
        <v/>
      </c>
      <c r="KA111" s="108" t="str">
        <f t="shared" si="328"/>
        <v/>
      </c>
    </row>
    <row r="112" spans="1:287" s="108" customFormat="1" ht="21.95" customHeight="1">
      <c r="A112" s="89">
        <v>106</v>
      </c>
      <c r="B112" s="90" t="str">
        <f>IF('Marks Entry'!B112="","",'Marks Entry'!B112)</f>
        <v/>
      </c>
      <c r="C112" s="94" t="str">
        <f>IF('Marks Entry'!D112="","",'Marks Entry'!D112)</f>
        <v/>
      </c>
      <c r="D112" s="91" t="str">
        <f>IF('Marks Entry'!E112="","",'Marks Entry'!E112)</f>
        <v/>
      </c>
      <c r="E112" s="92" t="str">
        <f>IF('Marks Entry'!F112="","",'Marks Entry'!F112)</f>
        <v/>
      </c>
      <c r="F112" s="93" t="str">
        <f>IF('Marks Entry'!G112="","",'Marks Entry'!G112)</f>
        <v/>
      </c>
      <c r="G112" s="93" t="str">
        <f>IF('Marks Entry'!H112="","",'Marks Entry'!H112)</f>
        <v/>
      </c>
      <c r="H112" s="93" t="str">
        <f>IF('Marks Entry'!I112="","",'Marks Entry'!I112)</f>
        <v/>
      </c>
      <c r="I112" s="94" t="str">
        <f>IF('Marks Entry'!J112="","",'Marks Entry'!J112)</f>
        <v/>
      </c>
      <c r="J112" s="95" t="str">
        <f>IF('Marks Entry'!K112="","",'Marks Entry'!K112)</f>
        <v/>
      </c>
      <c r="K112" s="68" t="str">
        <f>IF('Marks Entry'!L112="","",'Marks Entry'!L112)</f>
        <v/>
      </c>
      <c r="L112" s="68" t="str">
        <f>IF('Marks Entry'!M112="","",'Marks Entry'!M112)</f>
        <v/>
      </c>
      <c r="M112" s="68" t="str">
        <f>IF('Marks Entry'!N112="","",'Marks Entry'!N112)</f>
        <v/>
      </c>
      <c r="N112" s="514" t="str">
        <f t="shared" si="257"/>
        <v/>
      </c>
      <c r="O112" s="68" t="str">
        <f>IF('Marks Entry'!O112="","",'Marks Entry'!O112)</f>
        <v/>
      </c>
      <c r="P112" s="515" t="str">
        <f t="shared" si="258"/>
        <v/>
      </c>
      <c r="Q112" s="68" t="str">
        <f>IF('Marks Entry'!P112="","",'Marks Entry'!P112)</f>
        <v/>
      </c>
      <c r="R112" s="96" t="str">
        <f t="shared" si="259"/>
        <v/>
      </c>
      <c r="S112" s="65">
        <f t="shared" si="260"/>
        <v>0</v>
      </c>
      <c r="T112" s="65">
        <f t="shared" si="261"/>
        <v>0</v>
      </c>
      <c r="U112" s="66" t="str">
        <f t="shared" si="171"/>
        <v/>
      </c>
      <c r="V112" s="65" t="str">
        <f t="shared" si="172"/>
        <v/>
      </c>
      <c r="W112" s="65" t="str">
        <f t="shared" si="262"/>
        <v/>
      </c>
      <c r="X112" s="65" t="str">
        <f t="shared" si="173"/>
        <v/>
      </c>
      <c r="Y112" s="68" t="str">
        <f>IF('Marks Entry'!Q112="","",'Marks Entry'!Q112)</f>
        <v/>
      </c>
      <c r="Z112" s="68" t="str">
        <f>IF('Marks Entry'!R112="","",'Marks Entry'!R112)</f>
        <v/>
      </c>
      <c r="AA112" s="68" t="str">
        <f>IF('Marks Entry'!S112="","",'Marks Entry'!S112)</f>
        <v/>
      </c>
      <c r="AB112" s="514" t="str">
        <f t="shared" si="174"/>
        <v/>
      </c>
      <c r="AC112" s="68" t="str">
        <f>IF('Marks Entry'!T112="","",'Marks Entry'!T112)</f>
        <v/>
      </c>
      <c r="AD112" s="515" t="str">
        <f t="shared" si="175"/>
        <v/>
      </c>
      <c r="AE112" s="68" t="str">
        <f>IF('Marks Entry'!U112="","",'Marks Entry'!U112)</f>
        <v/>
      </c>
      <c r="AF112" s="96" t="str">
        <f t="shared" si="176"/>
        <v/>
      </c>
      <c r="AG112" s="65">
        <f t="shared" si="177"/>
        <v>0</v>
      </c>
      <c r="AH112" s="65">
        <f t="shared" si="178"/>
        <v>0</v>
      </c>
      <c r="AI112" s="66" t="str">
        <f t="shared" si="179"/>
        <v/>
      </c>
      <c r="AJ112" s="65" t="str">
        <f t="shared" si="180"/>
        <v/>
      </c>
      <c r="AK112" s="65" t="str">
        <f t="shared" si="181"/>
        <v/>
      </c>
      <c r="AL112" s="65" t="str">
        <f t="shared" si="182"/>
        <v/>
      </c>
      <c r="AM112" s="524" t="str">
        <f>IF('Marks Entry'!V112="","",IF('Marks Entry'!V112=1,'School Profile'!$I$9,IF('Marks Entry'!V112=2,'School Profile'!$I$10,IF('Marks Entry'!V112=3,'School Profile'!$I$11,IF('Marks Entry'!V112=4,'School Profile'!$I$12,IF('Marks Entry'!V112=5,'School Profile'!$I$13,IF('Marks Entry'!V112=6,'School Profile'!$I$14,"")))))))</f>
        <v/>
      </c>
      <c r="AN112" s="68" t="str">
        <f>IF('Marks Entry'!W112="","",'Marks Entry'!W112)</f>
        <v/>
      </c>
      <c r="AO112" s="68" t="str">
        <f>IF('Marks Entry'!X112="","",'Marks Entry'!X112)</f>
        <v/>
      </c>
      <c r="AP112" s="68" t="str">
        <f>IF('Marks Entry'!Y112="","",'Marks Entry'!Y112)</f>
        <v/>
      </c>
      <c r="AQ112" s="514" t="str">
        <f t="shared" si="183"/>
        <v/>
      </c>
      <c r="AR112" s="68" t="str">
        <f>IF('Marks Entry'!Z112="","",'Marks Entry'!Z112)</f>
        <v/>
      </c>
      <c r="AS112" s="515" t="str">
        <f t="shared" si="184"/>
        <v/>
      </c>
      <c r="AT112" s="68" t="str">
        <f>IF('Marks Entry'!AA112="","",'Marks Entry'!AA112)</f>
        <v/>
      </c>
      <c r="AU112" s="96" t="str">
        <f t="shared" si="185"/>
        <v/>
      </c>
      <c r="AV112" s="65">
        <f t="shared" si="186"/>
        <v>0</v>
      </c>
      <c r="AW112" s="65">
        <f t="shared" si="187"/>
        <v>0</v>
      </c>
      <c r="AX112" s="66" t="str">
        <f t="shared" si="188"/>
        <v/>
      </c>
      <c r="AY112" s="65" t="str">
        <f t="shared" si="189"/>
        <v/>
      </c>
      <c r="AZ112" s="65" t="str">
        <f t="shared" si="190"/>
        <v/>
      </c>
      <c r="BA112" s="65" t="str">
        <f t="shared" si="191"/>
        <v/>
      </c>
      <c r="BB112" s="68" t="str">
        <f>IF('Marks Entry'!AB112="","",'Marks Entry'!AB112)</f>
        <v/>
      </c>
      <c r="BC112" s="68" t="str">
        <f>IF('Marks Entry'!AC112="","",'Marks Entry'!AC112)</f>
        <v/>
      </c>
      <c r="BD112" s="68" t="str">
        <f>IF('Marks Entry'!AD112="","",'Marks Entry'!AD112)</f>
        <v/>
      </c>
      <c r="BE112" s="514" t="str">
        <f t="shared" si="192"/>
        <v/>
      </c>
      <c r="BF112" s="68" t="str">
        <f>IF('Marks Entry'!AE112="","",'Marks Entry'!AE112)</f>
        <v/>
      </c>
      <c r="BG112" s="515" t="str">
        <f t="shared" si="193"/>
        <v/>
      </c>
      <c r="BH112" s="68" t="str">
        <f>IF('Marks Entry'!AF112="","",'Marks Entry'!AF112)</f>
        <v/>
      </c>
      <c r="BI112" s="96" t="str">
        <f t="shared" si="194"/>
        <v/>
      </c>
      <c r="BJ112" s="65">
        <f t="shared" si="195"/>
        <v>0</v>
      </c>
      <c r="BK112" s="65">
        <f t="shared" si="263"/>
        <v>0</v>
      </c>
      <c r="BL112" s="66" t="str">
        <f t="shared" si="196"/>
        <v/>
      </c>
      <c r="BM112" s="65" t="str">
        <f t="shared" si="197"/>
        <v/>
      </c>
      <c r="BN112" s="65" t="str">
        <f t="shared" si="198"/>
        <v/>
      </c>
      <c r="BO112" s="65" t="str">
        <f t="shared" si="199"/>
        <v/>
      </c>
      <c r="BP112" s="68" t="str">
        <f>IF('Marks Entry'!AG112="","",'Marks Entry'!AG112)</f>
        <v/>
      </c>
      <c r="BQ112" s="68" t="str">
        <f>IF('Marks Entry'!AH112="","",'Marks Entry'!AH112)</f>
        <v/>
      </c>
      <c r="BR112" s="68" t="str">
        <f>IF('Marks Entry'!AI112="","",'Marks Entry'!AI112)</f>
        <v/>
      </c>
      <c r="BS112" s="514" t="str">
        <f t="shared" si="200"/>
        <v/>
      </c>
      <c r="BT112" s="68" t="str">
        <f>IF('Marks Entry'!AJ112="","",'Marks Entry'!AJ112)</f>
        <v/>
      </c>
      <c r="BU112" s="515" t="str">
        <f t="shared" si="201"/>
        <v/>
      </c>
      <c r="BV112" s="68" t="str">
        <f>IF('Marks Entry'!AK112="","",'Marks Entry'!AK112)</f>
        <v/>
      </c>
      <c r="BW112" s="96" t="str">
        <f t="shared" si="202"/>
        <v/>
      </c>
      <c r="BX112" s="65">
        <f t="shared" si="203"/>
        <v>0</v>
      </c>
      <c r="BY112" s="65">
        <f t="shared" si="204"/>
        <v>0</v>
      </c>
      <c r="BZ112" s="66" t="str">
        <f t="shared" si="205"/>
        <v/>
      </c>
      <c r="CA112" s="65" t="str">
        <f t="shared" si="206"/>
        <v/>
      </c>
      <c r="CB112" s="65" t="str">
        <f t="shared" si="207"/>
        <v/>
      </c>
      <c r="CC112" s="65" t="str">
        <f t="shared" si="208"/>
        <v/>
      </c>
      <c r="CD112" s="66">
        <f t="shared" si="329"/>
        <v>0</v>
      </c>
      <c r="CE112" s="68" t="str">
        <f>IF('Marks Entry'!AL112="","",'Marks Entry'!AL112)</f>
        <v/>
      </c>
      <c r="CF112" s="68" t="str">
        <f>IF('Marks Entry'!AM112="","",'Marks Entry'!AM112)</f>
        <v/>
      </c>
      <c r="CG112" s="68" t="str">
        <f>IF('Marks Entry'!AN112="","",'Marks Entry'!AN112)</f>
        <v/>
      </c>
      <c r="CH112" s="514" t="str">
        <f t="shared" si="210"/>
        <v/>
      </c>
      <c r="CI112" s="68" t="str">
        <f>IF('Marks Entry'!AO112="","",'Marks Entry'!AO112)</f>
        <v/>
      </c>
      <c r="CJ112" s="515" t="str">
        <f t="shared" si="211"/>
        <v/>
      </c>
      <c r="CK112" s="68" t="str">
        <f>IF('Marks Entry'!AP112="","",'Marks Entry'!AP112)</f>
        <v/>
      </c>
      <c r="CL112" s="96" t="str">
        <f t="shared" si="212"/>
        <v/>
      </c>
      <c r="CM112" s="65">
        <f t="shared" si="213"/>
        <v>0</v>
      </c>
      <c r="CN112" s="65">
        <f t="shared" si="214"/>
        <v>0</v>
      </c>
      <c r="CO112" s="66" t="str">
        <f t="shared" si="215"/>
        <v/>
      </c>
      <c r="CP112" s="65" t="str">
        <f t="shared" si="216"/>
        <v/>
      </c>
      <c r="CQ112" s="65" t="str">
        <f t="shared" si="217"/>
        <v/>
      </c>
      <c r="CR112" s="65" t="str">
        <f t="shared" si="218"/>
        <v/>
      </c>
      <c r="CS112" s="616" t="str">
        <f>IF('School Profile'!$D$20="NO","",IF('Marks Entry'!AQ112="","",IF('Marks Entry'!AQ112=1,'School Profile'!$I$29,IF('Marks Entry'!AQ112=2,'School Profile'!$I$30,IF('Marks Entry'!AQ112=3,'School Profile'!$I$31,IF('Marks Entry'!AQ112=4,'School Profile'!$I$32,IF('Marks Entry'!AQ112=5,'School Profile'!$I$33,IF('Marks Entry'!AQ112=6,'School Profile'!$I$34,IF('Marks Entry'!AQ112=7,'School Profile'!$I$35,IF('Marks Entry'!AQ112=8,'School Profile'!$I$36,IF('Marks Entry'!AQ112=9,'School Profile'!$I$37,IF('Marks Entry'!AQ112=10,'School Profile'!$I$38,IF('Marks Entry'!AQ112=11,'School Profile'!$I$39,"")))))))))))))</f>
        <v/>
      </c>
      <c r="CT112" s="68" t="str">
        <f>IF('School Profile'!$D$20="NO","",IF('Marks Entry'!AR112="","",'Marks Entry'!AR112))</f>
        <v/>
      </c>
      <c r="CU112" s="68" t="str">
        <f>IF('School Profile'!$D$20="NO","",IF('Marks Entry'!AS112="","",'Marks Entry'!AS112))</f>
        <v/>
      </c>
      <c r="CV112" s="68" t="str">
        <f>IF('School Profile'!$D$20="NO","",IF('Marks Entry'!AT112="","",'Marks Entry'!AT112))</f>
        <v/>
      </c>
      <c r="CW112" s="514" t="str">
        <f>IF('School Profile'!$D$20="NO","",IF(AND(CT112="",CU112="",CV112=""),"",SUM(CT112:CV112)))</f>
        <v/>
      </c>
      <c r="CX112" s="68" t="str">
        <f>IF('School Profile'!$D$20="NO","",IF('Marks Entry'!AU112="","",'Marks Entry'!AU112))</f>
        <v/>
      </c>
      <c r="CY112" s="68" t="str">
        <f>IF('School Profile'!$D$20="NO","",IF('Marks Entry'!AV112="","",'Marks Entry'!AV112))</f>
        <v/>
      </c>
      <c r="CZ112" s="515" t="str">
        <f>IF('School Profile'!$D$20="NO","",IF(AND(CX112="",CY112=""),"",SUM(CX112,CY112)))</f>
        <v/>
      </c>
      <c r="DA112" s="69" t="str">
        <f>IF('School Profile'!$D$20="NO","",IF(AND(CW112="",CZ112=""),"",SUM(CW112+CZ112)))</f>
        <v/>
      </c>
      <c r="DB112" s="68" t="str">
        <f>IF('School Profile'!$D$20="NO","",IF('Marks Entry'!AW112="","",'Marks Entry'!AW112))</f>
        <v/>
      </c>
      <c r="DC112" s="68" t="str">
        <f>IF('School Profile'!$D$20="NO","",IF('Marks Entry'!AX112="","",'Marks Entry'!AX112))</f>
        <v/>
      </c>
      <c r="DD112" s="515" t="str">
        <f>IF('School Profile'!$D$20="NO","",IF(AND(DB112="",DC112=""),"",SUM(DB112,DC112)))</f>
        <v/>
      </c>
      <c r="DE112" s="96" t="str">
        <f>IF('School Profile'!$D$20="NO","",IF(AND(DA112="",DD112=""),"",SUM(DA112,DD112)))</f>
        <v/>
      </c>
      <c r="DF112" s="532">
        <f t="shared" si="219"/>
        <v>0</v>
      </c>
      <c r="DG112" s="65">
        <f t="shared" si="220"/>
        <v>0</v>
      </c>
      <c r="DH112" s="66" t="str">
        <f t="shared" si="221"/>
        <v/>
      </c>
      <c r="DI112" s="65" t="str">
        <f t="shared" si="222"/>
        <v/>
      </c>
      <c r="DJ112" s="65" t="str">
        <f t="shared" si="223"/>
        <v/>
      </c>
      <c r="DK112" s="65" t="str">
        <f t="shared" si="224"/>
        <v/>
      </c>
      <c r="DL112" s="97" t="str">
        <f t="shared" si="264"/>
        <v/>
      </c>
      <c r="DM112" s="97" t="str">
        <f t="shared" si="265"/>
        <v/>
      </c>
      <c r="DN112" s="97" t="str">
        <f t="shared" si="266"/>
        <v/>
      </c>
      <c r="DO112" s="97" t="str">
        <f t="shared" si="267"/>
        <v/>
      </c>
      <c r="DP112" s="97" t="str">
        <f t="shared" si="268"/>
        <v/>
      </c>
      <c r="DQ112" s="97" t="str">
        <f t="shared" si="269"/>
        <v/>
      </c>
      <c r="DR112" s="97" t="str">
        <f t="shared" si="270"/>
        <v/>
      </c>
      <c r="DS112" s="98">
        <f t="shared" si="271"/>
        <v>0</v>
      </c>
      <c r="DT112" s="98">
        <f t="shared" si="272"/>
        <v>0</v>
      </c>
      <c r="DU112" s="98">
        <f t="shared" si="273"/>
        <v>0</v>
      </c>
      <c r="DV112" s="98">
        <f t="shared" si="274"/>
        <v>0</v>
      </c>
      <c r="DW112" s="98">
        <f t="shared" si="275"/>
        <v>0</v>
      </c>
      <c r="DX112" s="98" t="str">
        <f t="shared" si="276"/>
        <v/>
      </c>
      <c r="DY112" s="99" t="str">
        <f t="shared" si="277"/>
        <v/>
      </c>
      <c r="DZ112" s="74" t="str">
        <f>IF('Marks Entry'!AY112="","",'Marks Entry'!AY112)</f>
        <v/>
      </c>
      <c r="EA112" s="74" t="str">
        <f>IF('Marks Entry'!AZ112="","",'Marks Entry'!AZ112)</f>
        <v/>
      </c>
      <c r="EB112" s="74" t="str">
        <f>IF('Marks Entry'!BA112="","",'Marks Entry'!BA112)</f>
        <v/>
      </c>
      <c r="EC112" s="527" t="str">
        <f t="shared" si="225"/>
        <v/>
      </c>
      <c r="ED112" s="74" t="str">
        <f>IF('Marks Entry'!BB112="","",'Marks Entry'!BB112)</f>
        <v/>
      </c>
      <c r="EE112" s="528" t="str">
        <f t="shared" si="226"/>
        <v/>
      </c>
      <c r="EF112" s="74" t="str">
        <f>IF('Marks Entry'!BC112="","",'Marks Entry'!BC112)</f>
        <v/>
      </c>
      <c r="EG112" s="530" t="str">
        <f t="shared" si="227"/>
        <v/>
      </c>
      <c r="EH112" s="368" t="str">
        <f t="shared" si="278"/>
        <v/>
      </c>
      <c r="EI112" s="65">
        <f t="shared" si="279"/>
        <v>0</v>
      </c>
      <c r="EJ112" s="65">
        <f t="shared" si="280"/>
        <v>0</v>
      </c>
      <c r="EK112" s="66" t="str">
        <f t="shared" si="281"/>
        <v/>
      </c>
      <c r="EL112" s="74" t="str">
        <f>IF('Marks Entry'!BD112="","",'Marks Entry'!BD112)</f>
        <v/>
      </c>
      <c r="EM112" s="74" t="str">
        <f>IF('Marks Entry'!BE112="","",'Marks Entry'!BE112)</f>
        <v/>
      </c>
      <c r="EN112" s="74" t="str">
        <f>IF('Marks Entry'!BF112="","",'Marks Entry'!BF112)</f>
        <v/>
      </c>
      <c r="EO112" s="527" t="str">
        <f t="shared" si="228"/>
        <v/>
      </c>
      <c r="EP112" s="74" t="str">
        <f>IF('Marks Entry'!BG112="","",'Marks Entry'!BG112)</f>
        <v/>
      </c>
      <c r="EQ112" s="74" t="str">
        <f>IF('Marks Entry'!BH112="","",'Marks Entry'!BH112)</f>
        <v/>
      </c>
      <c r="ER112" s="528" t="str">
        <f t="shared" si="229"/>
        <v/>
      </c>
      <c r="ES112" s="529" t="str">
        <f t="shared" si="230"/>
        <v/>
      </c>
      <c r="ET112" s="74" t="str">
        <f>IF('Marks Entry'!BI112="","",'Marks Entry'!BI112)</f>
        <v/>
      </c>
      <c r="EU112" s="74" t="str">
        <f>IF('Marks Entry'!BJ112="","",'Marks Entry'!BJ112)</f>
        <v/>
      </c>
      <c r="EV112" s="528" t="str">
        <f t="shared" si="231"/>
        <v/>
      </c>
      <c r="EW112" s="530" t="str">
        <f t="shared" si="232"/>
        <v/>
      </c>
      <c r="EX112" s="368" t="str">
        <f t="shared" si="282"/>
        <v/>
      </c>
      <c r="EY112" s="65">
        <f t="shared" si="283"/>
        <v>0</v>
      </c>
      <c r="EZ112" s="65">
        <f t="shared" si="284"/>
        <v>0</v>
      </c>
      <c r="FA112" s="66" t="str">
        <f t="shared" si="285"/>
        <v/>
      </c>
      <c r="FB112" s="74" t="str">
        <f>IF('Marks Entry'!BK112="","",'Marks Entry'!BK112)</f>
        <v/>
      </c>
      <c r="FC112" s="74" t="str">
        <f>IF('Marks Entry'!BL112="","",'Marks Entry'!BL112)</f>
        <v/>
      </c>
      <c r="FD112" s="74" t="str">
        <f>IF('Marks Entry'!BM112="","",'Marks Entry'!BM112)</f>
        <v/>
      </c>
      <c r="FE112" s="74" t="str">
        <f>IF('Marks Entry'!BN112="","",'Marks Entry'!BN112)</f>
        <v/>
      </c>
      <c r="FF112" s="74" t="str">
        <f>IF('Marks Entry'!BO112="","",'Marks Entry'!BO112)</f>
        <v/>
      </c>
      <c r="FG112" s="74" t="str">
        <f>IF('Marks Entry'!BP112="","",'Marks Entry'!BP112)</f>
        <v/>
      </c>
      <c r="FH112" s="527" t="str">
        <f t="shared" si="233"/>
        <v/>
      </c>
      <c r="FI112" s="74" t="str">
        <f>IF('Marks Entry'!BQ112="","",'Marks Entry'!BQ112)</f>
        <v/>
      </c>
      <c r="FJ112" s="74" t="str">
        <f>IF('Marks Entry'!BR112="","",'Marks Entry'!BR112)</f>
        <v/>
      </c>
      <c r="FK112" s="528" t="str">
        <f t="shared" si="234"/>
        <v/>
      </c>
      <c r="FL112" s="529" t="str">
        <f t="shared" si="235"/>
        <v/>
      </c>
      <c r="FM112" s="74" t="str">
        <f>IF('Marks Entry'!BS112="","",'Marks Entry'!BS112)</f>
        <v/>
      </c>
      <c r="FN112" s="74" t="str">
        <f>IF('Marks Entry'!BT112="","",'Marks Entry'!BT112)</f>
        <v/>
      </c>
      <c r="FO112" s="528" t="str">
        <f t="shared" si="236"/>
        <v/>
      </c>
      <c r="FP112" s="530" t="str">
        <f t="shared" si="237"/>
        <v/>
      </c>
      <c r="FQ112" s="368" t="str">
        <f t="shared" si="286"/>
        <v/>
      </c>
      <c r="FR112" s="65">
        <f t="shared" si="287"/>
        <v>0</v>
      </c>
      <c r="FS112" s="65">
        <f t="shared" si="288"/>
        <v>0</v>
      </c>
      <c r="FT112" s="66" t="str">
        <f t="shared" si="289"/>
        <v/>
      </c>
      <c r="FU112" s="74" t="str">
        <f>IF('Marks Entry'!BU112="","",'Marks Entry'!BU112)</f>
        <v/>
      </c>
      <c r="FV112" s="74" t="str">
        <f>IF('Marks Entry'!BV112="","",'Marks Entry'!BV112)</f>
        <v/>
      </c>
      <c r="FW112" s="74" t="str">
        <f>IF('Marks Entry'!BW112="","",'Marks Entry'!BW112)</f>
        <v/>
      </c>
      <c r="FX112" s="75" t="str">
        <f t="shared" si="238"/>
        <v/>
      </c>
      <c r="FY112" s="368" t="str">
        <f t="shared" si="290"/>
        <v/>
      </c>
      <c r="FZ112" s="65">
        <f t="shared" si="291"/>
        <v>0</v>
      </c>
      <c r="GA112" s="66">
        <f t="shared" si="292"/>
        <v>0</v>
      </c>
      <c r="GB112" s="66" t="str">
        <f t="shared" si="293"/>
        <v/>
      </c>
      <c r="GC112" s="74" t="str">
        <f>IF('Marks Entry'!BX112="","",'Marks Entry'!BX112)</f>
        <v/>
      </c>
      <c r="GD112" s="74" t="str">
        <f>IF('Marks Entry'!BY112="","",'Marks Entry'!BY112)</f>
        <v/>
      </c>
      <c r="GE112" s="74" t="str">
        <f>IF('Marks Entry'!BZ112="","",'Marks Entry'!BZ112)</f>
        <v/>
      </c>
      <c r="GF112" s="75" t="str">
        <f t="shared" si="294"/>
        <v/>
      </c>
      <c r="GG112" s="368" t="str">
        <f t="shared" si="295"/>
        <v/>
      </c>
      <c r="GH112" s="65">
        <f t="shared" si="296"/>
        <v>0</v>
      </c>
      <c r="GI112" s="66">
        <f t="shared" si="297"/>
        <v>0</v>
      </c>
      <c r="GJ112" s="66" t="str">
        <f t="shared" si="298"/>
        <v/>
      </c>
      <c r="GK112" s="100" t="str">
        <f>IF(AND(F112="",B112=""),"",IF('Student DATA Entry'!M109="","",'Student DATA Entry'!M109))</f>
        <v/>
      </c>
      <c r="GL112" s="101" t="str">
        <f>IF(AND(B112="",F112=""),"",IF('Student DATA Entry'!N109="","",'Student DATA Entry'!N109))</f>
        <v/>
      </c>
      <c r="GM112" s="581" t="str">
        <f t="shared" si="299"/>
        <v/>
      </c>
      <c r="GN112" s="94" t="str">
        <f t="shared" si="300"/>
        <v/>
      </c>
      <c r="GO112" s="94" t="str">
        <f t="shared" si="301"/>
        <v/>
      </c>
      <c r="GP112" s="102" t="str">
        <f t="shared" si="330"/>
        <v/>
      </c>
      <c r="GQ112" s="94" t="str">
        <f t="shared" si="302"/>
        <v/>
      </c>
      <c r="GR112" s="103" t="str">
        <f t="shared" si="303"/>
        <v/>
      </c>
      <c r="GS112" s="102" t="str">
        <f t="shared" si="331"/>
        <v/>
      </c>
      <c r="GT112" s="104" t="str">
        <f t="shared" si="304"/>
        <v/>
      </c>
      <c r="GU112" s="94" t="str">
        <f>IF('Marks Entry'!V112=1,GT112,"")</f>
        <v/>
      </c>
      <c r="GV112" s="94" t="str">
        <f>IF('Marks Entry'!V112=2,GT112,"")</f>
        <v/>
      </c>
      <c r="GW112" s="94" t="str">
        <f>IF('Marks Entry'!V112=3,GT112,"")</f>
        <v/>
      </c>
      <c r="GX112" s="94" t="str">
        <f>IF('Marks Entry'!V112=4,GT112,"")</f>
        <v/>
      </c>
      <c r="GY112" s="94" t="str">
        <f>IF('Marks Entry'!V112=5,GT112,"")</f>
        <v/>
      </c>
      <c r="GZ112" s="94" t="str">
        <f t="shared" si="305"/>
        <v/>
      </c>
      <c r="HA112" s="105" t="str">
        <f t="shared" si="332"/>
        <v/>
      </c>
      <c r="HB112" s="94" t="str">
        <f t="shared" si="306"/>
        <v/>
      </c>
      <c r="HC112" s="94" t="str">
        <f t="shared" si="307"/>
        <v/>
      </c>
      <c r="HD112" s="105" t="str">
        <f t="shared" si="333"/>
        <v/>
      </c>
      <c r="HE112" s="94" t="str">
        <f t="shared" si="308"/>
        <v/>
      </c>
      <c r="HF112" s="94" t="str">
        <f t="shared" si="309"/>
        <v/>
      </c>
      <c r="HG112" s="105" t="str">
        <f t="shared" si="334"/>
        <v/>
      </c>
      <c r="HH112" s="94" t="str">
        <f t="shared" si="310"/>
        <v/>
      </c>
      <c r="HI112" s="94" t="str">
        <f t="shared" si="311"/>
        <v/>
      </c>
      <c r="HJ112" s="105" t="str">
        <f t="shared" si="335"/>
        <v/>
      </c>
      <c r="HK112" s="94" t="str">
        <f t="shared" si="312"/>
        <v/>
      </c>
      <c r="HL112" s="94" t="str">
        <f t="shared" si="313"/>
        <v/>
      </c>
      <c r="HM112" s="105" t="str">
        <f t="shared" si="336"/>
        <v/>
      </c>
      <c r="HN112" s="367" t="str">
        <f t="shared" si="314"/>
        <v xml:space="preserve">      </v>
      </c>
      <c r="HO112" s="418" t="str">
        <f t="shared" si="337"/>
        <v xml:space="preserve">      </v>
      </c>
      <c r="HP112" s="367" t="str">
        <f t="shared" si="315"/>
        <v xml:space="preserve">      </v>
      </c>
      <c r="HQ112" s="107" t="str">
        <f t="shared" si="316"/>
        <v xml:space="preserve">      </v>
      </c>
      <c r="HR112" s="366" t="str">
        <f t="shared" si="317"/>
        <v xml:space="preserve">      </v>
      </c>
      <c r="HS112" s="544" t="str">
        <f t="shared" si="338"/>
        <v/>
      </c>
      <c r="HT112" s="542" t="str">
        <f t="shared" si="318"/>
        <v/>
      </c>
      <c r="HU112" s="541" t="str">
        <f t="shared" si="319"/>
        <v/>
      </c>
      <c r="HV112" s="540" t="str">
        <f t="shared" si="320"/>
        <v/>
      </c>
      <c r="HW112" s="537" t="str">
        <f t="shared" si="321"/>
        <v/>
      </c>
      <c r="HX112" s="539" t="str">
        <f t="shared" si="322"/>
        <v/>
      </c>
      <c r="HY112" s="553" t="str">
        <f>IFERROR(IF(OR(HS112="SUPPLEMENTARY",HS112="RE-EXAM"),'Supp. Result Entry'!AQ110,""),"")</f>
        <v/>
      </c>
      <c r="HZ112" s="538" t="str">
        <f t="shared" si="323"/>
        <v/>
      </c>
      <c r="IA112" s="415" t="str">
        <f t="shared" si="324"/>
        <v/>
      </c>
      <c r="IB112" s="415" t="str">
        <f>IF(AND(HZ112="",IA112=""),"",IF(OR(HS112="SUPPLEMENTARY",HS112="RE-EXAM"),'Supp. Result Entry'!AQ110,HS112))</f>
        <v/>
      </c>
      <c r="IC112" s="87"/>
      <c r="IS112" s="109" t="str">
        <f>IF('Supp. Result Entry'!T110="","",'Supp. Result Entry'!$T$4)</f>
        <v/>
      </c>
      <c r="IT112" s="110" t="str">
        <f>IF('Supp. Result Entry'!W110="","",'Supp. Result Entry'!$W$4)</f>
        <v/>
      </c>
      <c r="IU112" s="110" t="str">
        <f>IF('Supp. Result Entry'!Z110="","",'Supp. Result Entry'!$Z$4)</f>
        <v/>
      </c>
      <c r="IV112" s="110" t="str">
        <f>IF('Supp. Result Entry'!AC110="","",'Supp. Result Entry'!$AC$4)</f>
        <v/>
      </c>
      <c r="IW112" s="110" t="str">
        <f>IF('Supp. Result Entry'!AF110="","",'Supp. Result Entry'!$AF$4)</f>
        <v/>
      </c>
      <c r="IX112" s="110" t="str">
        <f>IF('Supp. Result Entry'!AI110="","",'Supp. Result Entry'!$AI$4)</f>
        <v/>
      </c>
      <c r="IY112" s="110" t="str">
        <f>IF('Supp. Result Entry'!AI110="","",'Supp. Result Entry'!$AL$4)</f>
        <v/>
      </c>
      <c r="IZ112" s="110" t="str">
        <f>IF('Supp. Result Entry'!U110="","",'Supp. Result Entry'!U110)</f>
        <v/>
      </c>
      <c r="JA112" s="110" t="str">
        <f>IF('Supp. Result Entry'!X110="","",'Supp. Result Entry'!X110)</f>
        <v/>
      </c>
      <c r="JB112" s="110" t="str">
        <f>IF('Supp. Result Entry'!AA110="","",'Supp. Result Entry'!AA110)</f>
        <v/>
      </c>
      <c r="JC112" s="110" t="str">
        <f>IF('Supp. Result Entry'!AD110="","",'Supp. Result Entry'!AD110)</f>
        <v/>
      </c>
      <c r="JD112" s="110" t="str">
        <f>IF('Supp. Result Entry'!AG110="","",'Supp. Result Entry'!AG110)</f>
        <v/>
      </c>
      <c r="JE112" s="110" t="str">
        <f>IF('Supp. Result Entry'!AJ110="","",'Supp. Result Entry'!AJ110)</f>
        <v/>
      </c>
      <c r="JF112" s="110" t="str">
        <f>IF('Supp. Result Entry'!AM110="","",'Supp. Result Entry'!AM110)</f>
        <v/>
      </c>
      <c r="JG112" s="110" t="str">
        <f>IF('Supp. Result Entry'!V110="","",'Supp. Result Entry'!V110)</f>
        <v/>
      </c>
      <c r="JH112" s="110" t="str">
        <f>IF('Supp. Result Entry'!Y110="","",'Supp. Result Entry'!Y110)</f>
        <v/>
      </c>
      <c r="JI112" s="110" t="str">
        <f>IF('Supp. Result Entry'!AB110="","",'Supp. Result Entry'!AB110)</f>
        <v/>
      </c>
      <c r="JJ112" s="110" t="str">
        <f>IF('Supp. Result Entry'!AE110="","",'Supp. Result Entry'!AE110)</f>
        <v/>
      </c>
      <c r="JK112" s="110" t="str">
        <f>IF('Supp. Result Entry'!AH110="","",'Supp. Result Entry'!AH110)</f>
        <v/>
      </c>
      <c r="JL112" s="110" t="str">
        <f>IF('Supp. Result Entry'!AK110="","",'Supp. Result Entry'!AK110)</f>
        <v/>
      </c>
      <c r="JM112" s="110" t="str">
        <f>IF('Supp. Result Entry'!AN110="","",'Supp. Result Entry'!AN110)</f>
        <v/>
      </c>
      <c r="JN112" s="110">
        <f>COUNTIF('Supp. Result Entry'!K110:Q110,"S")</f>
        <v>0</v>
      </c>
      <c r="JO112" s="110">
        <f t="shared" si="248"/>
        <v>0</v>
      </c>
      <c r="JP112" s="110">
        <f t="shared" si="325"/>
        <v>0</v>
      </c>
      <c r="JQ112" s="110" t="str">
        <f t="shared" si="249"/>
        <v/>
      </c>
      <c r="JR112" s="110" t="str">
        <f t="shared" si="250"/>
        <v/>
      </c>
      <c r="JS112" s="110" t="str">
        <f t="shared" si="251"/>
        <v/>
      </c>
      <c r="JT112" s="110" t="str">
        <f t="shared" si="252"/>
        <v/>
      </c>
      <c r="JU112" s="110" t="str">
        <f t="shared" si="253"/>
        <v/>
      </c>
      <c r="JV112" s="110" t="str">
        <f t="shared" si="254"/>
        <v/>
      </c>
      <c r="JW112" s="110" t="str">
        <f t="shared" si="255"/>
        <v/>
      </c>
      <c r="JX112" s="110" t="str">
        <f t="shared" si="326"/>
        <v/>
      </c>
      <c r="JY112" s="110" t="str">
        <f t="shared" si="327"/>
        <v/>
      </c>
      <c r="JZ112" s="110" t="str">
        <f t="shared" si="256"/>
        <v/>
      </c>
      <c r="KA112" s="108" t="str">
        <f t="shared" si="328"/>
        <v/>
      </c>
    </row>
    <row r="113" spans="1:287" s="108" customFormat="1" ht="21.95" customHeight="1">
      <c r="A113" s="89">
        <v>107</v>
      </c>
      <c r="B113" s="90" t="str">
        <f>IF('Marks Entry'!B113="","",'Marks Entry'!B113)</f>
        <v/>
      </c>
      <c r="C113" s="94" t="str">
        <f>IF('Marks Entry'!D113="","",'Marks Entry'!D113)</f>
        <v/>
      </c>
      <c r="D113" s="91" t="str">
        <f>IF('Marks Entry'!E113="","",'Marks Entry'!E113)</f>
        <v/>
      </c>
      <c r="E113" s="92" t="str">
        <f>IF('Marks Entry'!F113="","",'Marks Entry'!F113)</f>
        <v/>
      </c>
      <c r="F113" s="93" t="str">
        <f>IF('Marks Entry'!G113="","",'Marks Entry'!G113)</f>
        <v/>
      </c>
      <c r="G113" s="93" t="str">
        <f>IF('Marks Entry'!H113="","",'Marks Entry'!H113)</f>
        <v/>
      </c>
      <c r="H113" s="93" t="str">
        <f>IF('Marks Entry'!I113="","",'Marks Entry'!I113)</f>
        <v/>
      </c>
      <c r="I113" s="94" t="str">
        <f>IF('Marks Entry'!J113="","",'Marks Entry'!J113)</f>
        <v/>
      </c>
      <c r="J113" s="95" t="str">
        <f>IF('Marks Entry'!K113="","",'Marks Entry'!K113)</f>
        <v/>
      </c>
      <c r="K113" s="68" t="str">
        <f>IF('Marks Entry'!L113="","",'Marks Entry'!L113)</f>
        <v/>
      </c>
      <c r="L113" s="68" t="str">
        <f>IF('Marks Entry'!M113="","",'Marks Entry'!M113)</f>
        <v/>
      </c>
      <c r="M113" s="68" t="str">
        <f>IF('Marks Entry'!N113="","",'Marks Entry'!N113)</f>
        <v/>
      </c>
      <c r="N113" s="514" t="str">
        <f t="shared" si="257"/>
        <v/>
      </c>
      <c r="O113" s="68" t="str">
        <f>IF('Marks Entry'!O113="","",'Marks Entry'!O113)</f>
        <v/>
      </c>
      <c r="P113" s="515" t="str">
        <f t="shared" si="258"/>
        <v/>
      </c>
      <c r="Q113" s="68" t="str">
        <f>IF('Marks Entry'!P113="","",'Marks Entry'!P113)</f>
        <v/>
      </c>
      <c r="R113" s="96" t="str">
        <f t="shared" si="259"/>
        <v/>
      </c>
      <c r="S113" s="65">
        <f t="shared" si="260"/>
        <v>0</v>
      </c>
      <c r="T113" s="65">
        <f t="shared" si="261"/>
        <v>0</v>
      </c>
      <c r="U113" s="66" t="str">
        <f t="shared" si="171"/>
        <v/>
      </c>
      <c r="V113" s="65" t="str">
        <f t="shared" si="172"/>
        <v/>
      </c>
      <c r="W113" s="65" t="str">
        <f t="shared" si="262"/>
        <v/>
      </c>
      <c r="X113" s="65" t="str">
        <f t="shared" si="173"/>
        <v/>
      </c>
      <c r="Y113" s="68" t="str">
        <f>IF('Marks Entry'!Q113="","",'Marks Entry'!Q113)</f>
        <v/>
      </c>
      <c r="Z113" s="68" t="str">
        <f>IF('Marks Entry'!R113="","",'Marks Entry'!R113)</f>
        <v/>
      </c>
      <c r="AA113" s="68" t="str">
        <f>IF('Marks Entry'!S113="","",'Marks Entry'!S113)</f>
        <v/>
      </c>
      <c r="AB113" s="514" t="str">
        <f t="shared" si="174"/>
        <v/>
      </c>
      <c r="AC113" s="68" t="str">
        <f>IF('Marks Entry'!T113="","",'Marks Entry'!T113)</f>
        <v/>
      </c>
      <c r="AD113" s="515" t="str">
        <f t="shared" si="175"/>
        <v/>
      </c>
      <c r="AE113" s="68" t="str">
        <f>IF('Marks Entry'!U113="","",'Marks Entry'!U113)</f>
        <v/>
      </c>
      <c r="AF113" s="96" t="str">
        <f t="shared" si="176"/>
        <v/>
      </c>
      <c r="AG113" s="65">
        <f t="shared" si="177"/>
        <v>0</v>
      </c>
      <c r="AH113" s="65">
        <f t="shared" si="178"/>
        <v>0</v>
      </c>
      <c r="AI113" s="66" t="str">
        <f t="shared" si="179"/>
        <v/>
      </c>
      <c r="AJ113" s="65" t="str">
        <f t="shared" si="180"/>
        <v/>
      </c>
      <c r="AK113" s="65" t="str">
        <f t="shared" si="181"/>
        <v/>
      </c>
      <c r="AL113" s="65" t="str">
        <f t="shared" si="182"/>
        <v/>
      </c>
      <c r="AM113" s="524" t="str">
        <f>IF('Marks Entry'!V113="","",IF('Marks Entry'!V113=1,'School Profile'!$I$9,IF('Marks Entry'!V113=2,'School Profile'!$I$10,IF('Marks Entry'!V113=3,'School Profile'!$I$11,IF('Marks Entry'!V113=4,'School Profile'!$I$12,IF('Marks Entry'!V113=5,'School Profile'!$I$13,IF('Marks Entry'!V113=6,'School Profile'!$I$14,"")))))))</f>
        <v/>
      </c>
      <c r="AN113" s="68" t="str">
        <f>IF('Marks Entry'!W113="","",'Marks Entry'!W113)</f>
        <v/>
      </c>
      <c r="AO113" s="68" t="str">
        <f>IF('Marks Entry'!X113="","",'Marks Entry'!X113)</f>
        <v/>
      </c>
      <c r="AP113" s="68" t="str">
        <f>IF('Marks Entry'!Y113="","",'Marks Entry'!Y113)</f>
        <v/>
      </c>
      <c r="AQ113" s="514" t="str">
        <f t="shared" si="183"/>
        <v/>
      </c>
      <c r="AR113" s="68" t="str">
        <f>IF('Marks Entry'!Z113="","",'Marks Entry'!Z113)</f>
        <v/>
      </c>
      <c r="AS113" s="515" t="str">
        <f t="shared" si="184"/>
        <v/>
      </c>
      <c r="AT113" s="68" t="str">
        <f>IF('Marks Entry'!AA113="","",'Marks Entry'!AA113)</f>
        <v/>
      </c>
      <c r="AU113" s="96" t="str">
        <f t="shared" si="185"/>
        <v/>
      </c>
      <c r="AV113" s="65">
        <f t="shared" si="186"/>
        <v>0</v>
      </c>
      <c r="AW113" s="65">
        <f t="shared" si="187"/>
        <v>0</v>
      </c>
      <c r="AX113" s="66" t="str">
        <f t="shared" si="188"/>
        <v/>
      </c>
      <c r="AY113" s="65" t="str">
        <f t="shared" si="189"/>
        <v/>
      </c>
      <c r="AZ113" s="65" t="str">
        <f t="shared" si="190"/>
        <v/>
      </c>
      <c r="BA113" s="65" t="str">
        <f t="shared" si="191"/>
        <v/>
      </c>
      <c r="BB113" s="68" t="str">
        <f>IF('Marks Entry'!AB113="","",'Marks Entry'!AB113)</f>
        <v/>
      </c>
      <c r="BC113" s="68" t="str">
        <f>IF('Marks Entry'!AC113="","",'Marks Entry'!AC113)</f>
        <v/>
      </c>
      <c r="BD113" s="68" t="str">
        <f>IF('Marks Entry'!AD113="","",'Marks Entry'!AD113)</f>
        <v/>
      </c>
      <c r="BE113" s="514" t="str">
        <f t="shared" si="192"/>
        <v/>
      </c>
      <c r="BF113" s="68" t="str">
        <f>IF('Marks Entry'!AE113="","",'Marks Entry'!AE113)</f>
        <v/>
      </c>
      <c r="BG113" s="515" t="str">
        <f t="shared" si="193"/>
        <v/>
      </c>
      <c r="BH113" s="68" t="str">
        <f>IF('Marks Entry'!AF113="","",'Marks Entry'!AF113)</f>
        <v/>
      </c>
      <c r="BI113" s="96" t="str">
        <f t="shared" si="194"/>
        <v/>
      </c>
      <c r="BJ113" s="65">
        <f t="shared" si="195"/>
        <v>0</v>
      </c>
      <c r="BK113" s="65">
        <f t="shared" si="263"/>
        <v>0</v>
      </c>
      <c r="BL113" s="66" t="str">
        <f t="shared" si="196"/>
        <v/>
      </c>
      <c r="BM113" s="65" t="str">
        <f t="shared" si="197"/>
        <v/>
      </c>
      <c r="BN113" s="65" t="str">
        <f t="shared" si="198"/>
        <v/>
      </c>
      <c r="BO113" s="65" t="str">
        <f t="shared" si="199"/>
        <v/>
      </c>
      <c r="BP113" s="68" t="str">
        <f>IF('Marks Entry'!AG113="","",'Marks Entry'!AG113)</f>
        <v/>
      </c>
      <c r="BQ113" s="68" t="str">
        <f>IF('Marks Entry'!AH113="","",'Marks Entry'!AH113)</f>
        <v/>
      </c>
      <c r="BR113" s="68" t="str">
        <f>IF('Marks Entry'!AI113="","",'Marks Entry'!AI113)</f>
        <v/>
      </c>
      <c r="BS113" s="514" t="str">
        <f t="shared" si="200"/>
        <v/>
      </c>
      <c r="BT113" s="68" t="str">
        <f>IF('Marks Entry'!AJ113="","",'Marks Entry'!AJ113)</f>
        <v/>
      </c>
      <c r="BU113" s="515" t="str">
        <f t="shared" si="201"/>
        <v/>
      </c>
      <c r="BV113" s="68" t="str">
        <f>IF('Marks Entry'!AK113="","",'Marks Entry'!AK113)</f>
        <v/>
      </c>
      <c r="BW113" s="96" t="str">
        <f t="shared" si="202"/>
        <v/>
      </c>
      <c r="BX113" s="65">
        <f t="shared" si="203"/>
        <v>0</v>
      </c>
      <c r="BY113" s="65">
        <f t="shared" si="204"/>
        <v>0</v>
      </c>
      <c r="BZ113" s="66" t="str">
        <f t="shared" si="205"/>
        <v/>
      </c>
      <c r="CA113" s="65" t="str">
        <f t="shared" si="206"/>
        <v/>
      </c>
      <c r="CB113" s="65" t="str">
        <f t="shared" si="207"/>
        <v/>
      </c>
      <c r="CC113" s="65" t="str">
        <f t="shared" si="208"/>
        <v/>
      </c>
      <c r="CD113" s="66">
        <f t="shared" si="329"/>
        <v>0</v>
      </c>
      <c r="CE113" s="68" t="str">
        <f>IF('Marks Entry'!AL113="","",'Marks Entry'!AL113)</f>
        <v/>
      </c>
      <c r="CF113" s="68" t="str">
        <f>IF('Marks Entry'!AM113="","",'Marks Entry'!AM113)</f>
        <v/>
      </c>
      <c r="CG113" s="68" t="str">
        <f>IF('Marks Entry'!AN113="","",'Marks Entry'!AN113)</f>
        <v/>
      </c>
      <c r="CH113" s="514" t="str">
        <f t="shared" si="210"/>
        <v/>
      </c>
      <c r="CI113" s="68" t="str">
        <f>IF('Marks Entry'!AO113="","",'Marks Entry'!AO113)</f>
        <v/>
      </c>
      <c r="CJ113" s="515" t="str">
        <f t="shared" si="211"/>
        <v/>
      </c>
      <c r="CK113" s="68" t="str">
        <f>IF('Marks Entry'!AP113="","",'Marks Entry'!AP113)</f>
        <v/>
      </c>
      <c r="CL113" s="96" t="str">
        <f t="shared" si="212"/>
        <v/>
      </c>
      <c r="CM113" s="65">
        <f t="shared" si="213"/>
        <v>0</v>
      </c>
      <c r="CN113" s="65">
        <f t="shared" si="214"/>
        <v>0</v>
      </c>
      <c r="CO113" s="66" t="str">
        <f t="shared" si="215"/>
        <v/>
      </c>
      <c r="CP113" s="65" t="str">
        <f t="shared" si="216"/>
        <v/>
      </c>
      <c r="CQ113" s="65" t="str">
        <f t="shared" si="217"/>
        <v/>
      </c>
      <c r="CR113" s="65" t="str">
        <f t="shared" si="218"/>
        <v/>
      </c>
      <c r="CS113" s="616" t="str">
        <f>IF('School Profile'!$D$20="NO","",IF('Marks Entry'!AQ113="","",IF('Marks Entry'!AQ113=1,'School Profile'!$I$29,IF('Marks Entry'!AQ113=2,'School Profile'!$I$30,IF('Marks Entry'!AQ113=3,'School Profile'!$I$31,IF('Marks Entry'!AQ113=4,'School Profile'!$I$32,IF('Marks Entry'!AQ113=5,'School Profile'!$I$33,IF('Marks Entry'!AQ113=6,'School Profile'!$I$34,IF('Marks Entry'!AQ113=7,'School Profile'!$I$35,IF('Marks Entry'!AQ113=8,'School Profile'!$I$36,IF('Marks Entry'!AQ113=9,'School Profile'!$I$37,IF('Marks Entry'!AQ113=10,'School Profile'!$I$38,IF('Marks Entry'!AQ113=11,'School Profile'!$I$39,"")))))))))))))</f>
        <v/>
      </c>
      <c r="CT113" s="68" t="str">
        <f>IF('School Profile'!$D$20="NO","",IF('Marks Entry'!AR113="","",'Marks Entry'!AR113))</f>
        <v/>
      </c>
      <c r="CU113" s="68" t="str">
        <f>IF('School Profile'!$D$20="NO","",IF('Marks Entry'!AS113="","",'Marks Entry'!AS113))</f>
        <v/>
      </c>
      <c r="CV113" s="68" t="str">
        <f>IF('School Profile'!$D$20="NO","",IF('Marks Entry'!AT113="","",'Marks Entry'!AT113))</f>
        <v/>
      </c>
      <c r="CW113" s="514" t="str">
        <f>IF('School Profile'!$D$20="NO","",IF(AND(CT113="",CU113="",CV113=""),"",SUM(CT113:CV113)))</f>
        <v/>
      </c>
      <c r="CX113" s="68" t="str">
        <f>IF('School Profile'!$D$20="NO","",IF('Marks Entry'!AU113="","",'Marks Entry'!AU113))</f>
        <v/>
      </c>
      <c r="CY113" s="68" t="str">
        <f>IF('School Profile'!$D$20="NO","",IF('Marks Entry'!AV113="","",'Marks Entry'!AV113))</f>
        <v/>
      </c>
      <c r="CZ113" s="515" t="str">
        <f>IF('School Profile'!$D$20="NO","",IF(AND(CX113="",CY113=""),"",SUM(CX113,CY113)))</f>
        <v/>
      </c>
      <c r="DA113" s="69" t="str">
        <f>IF('School Profile'!$D$20="NO","",IF(AND(CW113="",CZ113=""),"",SUM(CW113+CZ113)))</f>
        <v/>
      </c>
      <c r="DB113" s="68" t="str">
        <f>IF('School Profile'!$D$20="NO","",IF('Marks Entry'!AW113="","",'Marks Entry'!AW113))</f>
        <v/>
      </c>
      <c r="DC113" s="68" t="str">
        <f>IF('School Profile'!$D$20="NO","",IF('Marks Entry'!AX113="","",'Marks Entry'!AX113))</f>
        <v/>
      </c>
      <c r="DD113" s="515" t="str">
        <f>IF('School Profile'!$D$20="NO","",IF(AND(DB113="",DC113=""),"",SUM(DB113,DC113)))</f>
        <v/>
      </c>
      <c r="DE113" s="96" t="str">
        <f>IF('School Profile'!$D$20="NO","",IF(AND(DA113="",DD113=""),"",SUM(DA113,DD113)))</f>
        <v/>
      </c>
      <c r="DF113" s="532">
        <f t="shared" si="219"/>
        <v>0</v>
      </c>
      <c r="DG113" s="65">
        <f t="shared" si="220"/>
        <v>0</v>
      </c>
      <c r="DH113" s="66" t="str">
        <f t="shared" si="221"/>
        <v/>
      </c>
      <c r="DI113" s="65" t="str">
        <f t="shared" si="222"/>
        <v/>
      </c>
      <c r="DJ113" s="65" t="str">
        <f t="shared" si="223"/>
        <v/>
      </c>
      <c r="DK113" s="65" t="str">
        <f t="shared" si="224"/>
        <v/>
      </c>
      <c r="DL113" s="97" t="str">
        <f t="shared" si="264"/>
        <v/>
      </c>
      <c r="DM113" s="97" t="str">
        <f t="shared" si="265"/>
        <v/>
      </c>
      <c r="DN113" s="97" t="str">
        <f t="shared" si="266"/>
        <v/>
      </c>
      <c r="DO113" s="97" t="str">
        <f t="shared" si="267"/>
        <v/>
      </c>
      <c r="DP113" s="97" t="str">
        <f t="shared" si="268"/>
        <v/>
      </c>
      <c r="DQ113" s="97" t="str">
        <f t="shared" si="269"/>
        <v/>
      </c>
      <c r="DR113" s="97" t="str">
        <f t="shared" si="270"/>
        <v/>
      </c>
      <c r="DS113" s="98">
        <f t="shared" si="271"/>
        <v>0</v>
      </c>
      <c r="DT113" s="98">
        <f t="shared" si="272"/>
        <v>0</v>
      </c>
      <c r="DU113" s="98">
        <f t="shared" si="273"/>
        <v>0</v>
      </c>
      <c r="DV113" s="98">
        <f t="shared" si="274"/>
        <v>0</v>
      </c>
      <c r="DW113" s="98">
        <f t="shared" si="275"/>
        <v>0</v>
      </c>
      <c r="DX113" s="98" t="str">
        <f t="shared" si="276"/>
        <v/>
      </c>
      <c r="DY113" s="99" t="str">
        <f t="shared" si="277"/>
        <v/>
      </c>
      <c r="DZ113" s="74" t="str">
        <f>IF('Marks Entry'!AY113="","",'Marks Entry'!AY113)</f>
        <v/>
      </c>
      <c r="EA113" s="74" t="str">
        <f>IF('Marks Entry'!AZ113="","",'Marks Entry'!AZ113)</f>
        <v/>
      </c>
      <c r="EB113" s="74" t="str">
        <f>IF('Marks Entry'!BA113="","",'Marks Entry'!BA113)</f>
        <v/>
      </c>
      <c r="EC113" s="527" t="str">
        <f t="shared" si="225"/>
        <v/>
      </c>
      <c r="ED113" s="74" t="str">
        <f>IF('Marks Entry'!BB113="","",'Marks Entry'!BB113)</f>
        <v/>
      </c>
      <c r="EE113" s="528" t="str">
        <f t="shared" si="226"/>
        <v/>
      </c>
      <c r="EF113" s="74" t="str">
        <f>IF('Marks Entry'!BC113="","",'Marks Entry'!BC113)</f>
        <v/>
      </c>
      <c r="EG113" s="530" t="str">
        <f t="shared" si="227"/>
        <v/>
      </c>
      <c r="EH113" s="368" t="str">
        <f t="shared" si="278"/>
        <v/>
      </c>
      <c r="EI113" s="65">
        <f t="shared" si="279"/>
        <v>0</v>
      </c>
      <c r="EJ113" s="65">
        <f t="shared" si="280"/>
        <v>0</v>
      </c>
      <c r="EK113" s="66" t="str">
        <f t="shared" si="281"/>
        <v/>
      </c>
      <c r="EL113" s="74" t="str">
        <f>IF('Marks Entry'!BD113="","",'Marks Entry'!BD113)</f>
        <v/>
      </c>
      <c r="EM113" s="74" t="str">
        <f>IF('Marks Entry'!BE113="","",'Marks Entry'!BE113)</f>
        <v/>
      </c>
      <c r="EN113" s="74" t="str">
        <f>IF('Marks Entry'!BF113="","",'Marks Entry'!BF113)</f>
        <v/>
      </c>
      <c r="EO113" s="527" t="str">
        <f t="shared" si="228"/>
        <v/>
      </c>
      <c r="EP113" s="74" t="str">
        <f>IF('Marks Entry'!BG113="","",'Marks Entry'!BG113)</f>
        <v/>
      </c>
      <c r="EQ113" s="74" t="str">
        <f>IF('Marks Entry'!BH113="","",'Marks Entry'!BH113)</f>
        <v/>
      </c>
      <c r="ER113" s="528" t="str">
        <f t="shared" si="229"/>
        <v/>
      </c>
      <c r="ES113" s="529" t="str">
        <f t="shared" si="230"/>
        <v/>
      </c>
      <c r="ET113" s="74" t="str">
        <f>IF('Marks Entry'!BI113="","",'Marks Entry'!BI113)</f>
        <v/>
      </c>
      <c r="EU113" s="74" t="str">
        <f>IF('Marks Entry'!BJ113="","",'Marks Entry'!BJ113)</f>
        <v/>
      </c>
      <c r="EV113" s="528" t="str">
        <f t="shared" si="231"/>
        <v/>
      </c>
      <c r="EW113" s="530" t="str">
        <f t="shared" si="232"/>
        <v/>
      </c>
      <c r="EX113" s="368" t="str">
        <f t="shared" si="282"/>
        <v/>
      </c>
      <c r="EY113" s="65">
        <f t="shared" si="283"/>
        <v>0</v>
      </c>
      <c r="EZ113" s="65">
        <f t="shared" si="284"/>
        <v>0</v>
      </c>
      <c r="FA113" s="66" t="str">
        <f t="shared" si="285"/>
        <v/>
      </c>
      <c r="FB113" s="74" t="str">
        <f>IF('Marks Entry'!BK113="","",'Marks Entry'!BK113)</f>
        <v/>
      </c>
      <c r="FC113" s="74" t="str">
        <f>IF('Marks Entry'!BL113="","",'Marks Entry'!BL113)</f>
        <v/>
      </c>
      <c r="FD113" s="74" t="str">
        <f>IF('Marks Entry'!BM113="","",'Marks Entry'!BM113)</f>
        <v/>
      </c>
      <c r="FE113" s="74" t="str">
        <f>IF('Marks Entry'!BN113="","",'Marks Entry'!BN113)</f>
        <v/>
      </c>
      <c r="FF113" s="74" t="str">
        <f>IF('Marks Entry'!BO113="","",'Marks Entry'!BO113)</f>
        <v/>
      </c>
      <c r="FG113" s="74" t="str">
        <f>IF('Marks Entry'!BP113="","",'Marks Entry'!BP113)</f>
        <v/>
      </c>
      <c r="FH113" s="527" t="str">
        <f t="shared" si="233"/>
        <v/>
      </c>
      <c r="FI113" s="74" t="str">
        <f>IF('Marks Entry'!BQ113="","",'Marks Entry'!BQ113)</f>
        <v/>
      </c>
      <c r="FJ113" s="74" t="str">
        <f>IF('Marks Entry'!BR113="","",'Marks Entry'!BR113)</f>
        <v/>
      </c>
      <c r="FK113" s="528" t="str">
        <f t="shared" si="234"/>
        <v/>
      </c>
      <c r="FL113" s="529" t="str">
        <f t="shared" si="235"/>
        <v/>
      </c>
      <c r="FM113" s="74" t="str">
        <f>IF('Marks Entry'!BS113="","",'Marks Entry'!BS113)</f>
        <v/>
      </c>
      <c r="FN113" s="74" t="str">
        <f>IF('Marks Entry'!BT113="","",'Marks Entry'!BT113)</f>
        <v/>
      </c>
      <c r="FO113" s="528" t="str">
        <f t="shared" si="236"/>
        <v/>
      </c>
      <c r="FP113" s="530" t="str">
        <f t="shared" si="237"/>
        <v/>
      </c>
      <c r="FQ113" s="368" t="str">
        <f t="shared" si="286"/>
        <v/>
      </c>
      <c r="FR113" s="65">
        <f t="shared" si="287"/>
        <v>0</v>
      </c>
      <c r="FS113" s="65">
        <f t="shared" si="288"/>
        <v>0</v>
      </c>
      <c r="FT113" s="66" t="str">
        <f t="shared" si="289"/>
        <v/>
      </c>
      <c r="FU113" s="74" t="str">
        <f>IF('Marks Entry'!BU113="","",'Marks Entry'!BU113)</f>
        <v/>
      </c>
      <c r="FV113" s="74" t="str">
        <f>IF('Marks Entry'!BV113="","",'Marks Entry'!BV113)</f>
        <v/>
      </c>
      <c r="FW113" s="74" t="str">
        <f>IF('Marks Entry'!BW113="","",'Marks Entry'!BW113)</f>
        <v/>
      </c>
      <c r="FX113" s="75" t="str">
        <f t="shared" si="238"/>
        <v/>
      </c>
      <c r="FY113" s="368" t="str">
        <f t="shared" si="290"/>
        <v/>
      </c>
      <c r="FZ113" s="65">
        <f t="shared" si="291"/>
        <v>0</v>
      </c>
      <c r="GA113" s="66">
        <f t="shared" si="292"/>
        <v>0</v>
      </c>
      <c r="GB113" s="66" t="str">
        <f t="shared" si="293"/>
        <v/>
      </c>
      <c r="GC113" s="74" t="str">
        <f>IF('Marks Entry'!BX113="","",'Marks Entry'!BX113)</f>
        <v/>
      </c>
      <c r="GD113" s="74" t="str">
        <f>IF('Marks Entry'!BY113="","",'Marks Entry'!BY113)</f>
        <v/>
      </c>
      <c r="GE113" s="74" t="str">
        <f>IF('Marks Entry'!BZ113="","",'Marks Entry'!BZ113)</f>
        <v/>
      </c>
      <c r="GF113" s="75" t="str">
        <f t="shared" si="294"/>
        <v/>
      </c>
      <c r="GG113" s="368" t="str">
        <f t="shared" si="295"/>
        <v/>
      </c>
      <c r="GH113" s="65">
        <f t="shared" si="296"/>
        <v>0</v>
      </c>
      <c r="GI113" s="66">
        <f t="shared" si="297"/>
        <v>0</v>
      </c>
      <c r="GJ113" s="66" t="str">
        <f t="shared" si="298"/>
        <v/>
      </c>
      <c r="GK113" s="100" t="str">
        <f>IF(AND(F113="",B113=""),"",IF('Student DATA Entry'!M110="","",'Student DATA Entry'!M110))</f>
        <v/>
      </c>
      <c r="GL113" s="101" t="str">
        <f>IF(AND(B113="",F113=""),"",IF('Student DATA Entry'!N110="","",'Student DATA Entry'!N110))</f>
        <v/>
      </c>
      <c r="GM113" s="581" t="str">
        <f t="shared" si="299"/>
        <v/>
      </c>
      <c r="GN113" s="94" t="str">
        <f t="shared" si="300"/>
        <v/>
      </c>
      <c r="GO113" s="94" t="str">
        <f t="shared" si="301"/>
        <v/>
      </c>
      <c r="GP113" s="102" t="str">
        <f t="shared" si="330"/>
        <v/>
      </c>
      <c r="GQ113" s="94" t="str">
        <f t="shared" si="302"/>
        <v/>
      </c>
      <c r="GR113" s="103" t="str">
        <f t="shared" si="303"/>
        <v/>
      </c>
      <c r="GS113" s="102" t="str">
        <f t="shared" si="331"/>
        <v/>
      </c>
      <c r="GT113" s="104" t="str">
        <f t="shared" si="304"/>
        <v/>
      </c>
      <c r="GU113" s="94" t="str">
        <f>IF('Marks Entry'!V113=1,GT113,"")</f>
        <v/>
      </c>
      <c r="GV113" s="94" t="str">
        <f>IF('Marks Entry'!V113=2,GT113,"")</f>
        <v/>
      </c>
      <c r="GW113" s="94" t="str">
        <f>IF('Marks Entry'!V113=3,GT113,"")</f>
        <v/>
      </c>
      <c r="GX113" s="94" t="str">
        <f>IF('Marks Entry'!V113=4,GT113,"")</f>
        <v/>
      </c>
      <c r="GY113" s="94" t="str">
        <f>IF('Marks Entry'!V113=5,GT113,"")</f>
        <v/>
      </c>
      <c r="GZ113" s="94" t="str">
        <f t="shared" si="305"/>
        <v/>
      </c>
      <c r="HA113" s="105" t="str">
        <f t="shared" si="332"/>
        <v/>
      </c>
      <c r="HB113" s="94" t="str">
        <f t="shared" si="306"/>
        <v/>
      </c>
      <c r="HC113" s="94" t="str">
        <f t="shared" si="307"/>
        <v/>
      </c>
      <c r="HD113" s="105" t="str">
        <f t="shared" si="333"/>
        <v/>
      </c>
      <c r="HE113" s="94" t="str">
        <f t="shared" si="308"/>
        <v/>
      </c>
      <c r="HF113" s="94" t="str">
        <f t="shared" si="309"/>
        <v/>
      </c>
      <c r="HG113" s="105" t="str">
        <f t="shared" si="334"/>
        <v/>
      </c>
      <c r="HH113" s="94" t="str">
        <f t="shared" si="310"/>
        <v/>
      </c>
      <c r="HI113" s="94" t="str">
        <f t="shared" si="311"/>
        <v/>
      </c>
      <c r="HJ113" s="105" t="str">
        <f t="shared" si="335"/>
        <v/>
      </c>
      <c r="HK113" s="94" t="str">
        <f t="shared" si="312"/>
        <v/>
      </c>
      <c r="HL113" s="94" t="str">
        <f t="shared" si="313"/>
        <v/>
      </c>
      <c r="HM113" s="105" t="str">
        <f t="shared" si="336"/>
        <v/>
      </c>
      <c r="HN113" s="367" t="str">
        <f t="shared" si="314"/>
        <v xml:space="preserve">      </v>
      </c>
      <c r="HO113" s="418" t="str">
        <f t="shared" si="337"/>
        <v xml:space="preserve">      </v>
      </c>
      <c r="HP113" s="367" t="str">
        <f t="shared" si="315"/>
        <v xml:space="preserve">      </v>
      </c>
      <c r="HQ113" s="107" t="str">
        <f t="shared" si="316"/>
        <v xml:space="preserve">      </v>
      </c>
      <c r="HR113" s="366" t="str">
        <f t="shared" si="317"/>
        <v xml:space="preserve">      </v>
      </c>
      <c r="HS113" s="544" t="str">
        <f t="shared" si="338"/>
        <v/>
      </c>
      <c r="HT113" s="542" t="str">
        <f t="shared" si="318"/>
        <v/>
      </c>
      <c r="HU113" s="541" t="str">
        <f t="shared" si="319"/>
        <v/>
      </c>
      <c r="HV113" s="540" t="str">
        <f t="shared" si="320"/>
        <v/>
      </c>
      <c r="HW113" s="537" t="str">
        <f t="shared" si="321"/>
        <v/>
      </c>
      <c r="HX113" s="539" t="str">
        <f t="shared" si="322"/>
        <v/>
      </c>
      <c r="HY113" s="553" t="str">
        <f>IFERROR(IF(OR(HS113="SUPPLEMENTARY",HS113="RE-EXAM"),'Supp. Result Entry'!AQ111,""),"")</f>
        <v/>
      </c>
      <c r="HZ113" s="538" t="str">
        <f t="shared" si="323"/>
        <v/>
      </c>
      <c r="IA113" s="415" t="str">
        <f t="shared" si="324"/>
        <v/>
      </c>
      <c r="IB113" s="415" t="str">
        <f>IF(AND(HZ113="",IA113=""),"",IF(OR(HS113="SUPPLEMENTARY",HS113="RE-EXAM"),'Supp. Result Entry'!AQ111,HS113))</f>
        <v/>
      </c>
      <c r="IC113" s="87"/>
      <c r="IS113" s="109" t="str">
        <f>IF('Supp. Result Entry'!T111="","",'Supp. Result Entry'!$T$4)</f>
        <v/>
      </c>
      <c r="IT113" s="110" t="str">
        <f>IF('Supp. Result Entry'!W111="","",'Supp. Result Entry'!$W$4)</f>
        <v/>
      </c>
      <c r="IU113" s="110" t="str">
        <f>IF('Supp. Result Entry'!Z111="","",'Supp. Result Entry'!$Z$4)</f>
        <v/>
      </c>
      <c r="IV113" s="110" t="str">
        <f>IF('Supp. Result Entry'!AC111="","",'Supp. Result Entry'!$AC$4)</f>
        <v/>
      </c>
      <c r="IW113" s="110" t="str">
        <f>IF('Supp. Result Entry'!AF111="","",'Supp. Result Entry'!$AF$4)</f>
        <v/>
      </c>
      <c r="IX113" s="110" t="str">
        <f>IF('Supp. Result Entry'!AI111="","",'Supp. Result Entry'!$AI$4)</f>
        <v/>
      </c>
      <c r="IY113" s="110" t="str">
        <f>IF('Supp. Result Entry'!AI111="","",'Supp. Result Entry'!$AL$4)</f>
        <v/>
      </c>
      <c r="IZ113" s="110" t="str">
        <f>IF('Supp. Result Entry'!U111="","",'Supp. Result Entry'!U111)</f>
        <v/>
      </c>
      <c r="JA113" s="110" t="str">
        <f>IF('Supp. Result Entry'!X111="","",'Supp. Result Entry'!X111)</f>
        <v/>
      </c>
      <c r="JB113" s="110" t="str">
        <f>IF('Supp. Result Entry'!AA111="","",'Supp. Result Entry'!AA111)</f>
        <v/>
      </c>
      <c r="JC113" s="110" t="str">
        <f>IF('Supp. Result Entry'!AD111="","",'Supp. Result Entry'!AD111)</f>
        <v/>
      </c>
      <c r="JD113" s="110" t="str">
        <f>IF('Supp. Result Entry'!AG111="","",'Supp. Result Entry'!AG111)</f>
        <v/>
      </c>
      <c r="JE113" s="110" t="str">
        <f>IF('Supp. Result Entry'!AJ111="","",'Supp. Result Entry'!AJ111)</f>
        <v/>
      </c>
      <c r="JF113" s="110" t="str">
        <f>IF('Supp. Result Entry'!AM111="","",'Supp. Result Entry'!AM111)</f>
        <v/>
      </c>
      <c r="JG113" s="110" t="str">
        <f>IF('Supp. Result Entry'!V111="","",'Supp. Result Entry'!V111)</f>
        <v/>
      </c>
      <c r="JH113" s="110" t="str">
        <f>IF('Supp. Result Entry'!Y111="","",'Supp. Result Entry'!Y111)</f>
        <v/>
      </c>
      <c r="JI113" s="110" t="str">
        <f>IF('Supp. Result Entry'!AB111="","",'Supp. Result Entry'!AB111)</f>
        <v/>
      </c>
      <c r="JJ113" s="110" t="str">
        <f>IF('Supp. Result Entry'!AE111="","",'Supp. Result Entry'!AE111)</f>
        <v/>
      </c>
      <c r="JK113" s="110" t="str">
        <f>IF('Supp. Result Entry'!AH111="","",'Supp. Result Entry'!AH111)</f>
        <v/>
      </c>
      <c r="JL113" s="110" t="str">
        <f>IF('Supp. Result Entry'!AK111="","",'Supp. Result Entry'!AK111)</f>
        <v/>
      </c>
      <c r="JM113" s="110" t="str">
        <f>IF('Supp. Result Entry'!AN111="","",'Supp. Result Entry'!AN111)</f>
        <v/>
      </c>
      <c r="JN113" s="110">
        <f>COUNTIF('Supp. Result Entry'!K111:Q111,"S")</f>
        <v>0</v>
      </c>
      <c r="JO113" s="110">
        <f t="shared" si="248"/>
        <v>0</v>
      </c>
      <c r="JP113" s="110">
        <f t="shared" si="325"/>
        <v>0</v>
      </c>
      <c r="JQ113" s="110" t="str">
        <f t="shared" si="249"/>
        <v/>
      </c>
      <c r="JR113" s="110" t="str">
        <f t="shared" si="250"/>
        <v/>
      </c>
      <c r="JS113" s="110" t="str">
        <f t="shared" si="251"/>
        <v/>
      </c>
      <c r="JT113" s="110" t="str">
        <f t="shared" si="252"/>
        <v/>
      </c>
      <c r="JU113" s="110" t="str">
        <f t="shared" si="253"/>
        <v/>
      </c>
      <c r="JV113" s="110" t="str">
        <f t="shared" si="254"/>
        <v/>
      </c>
      <c r="JW113" s="110" t="str">
        <f t="shared" si="255"/>
        <v/>
      </c>
      <c r="JX113" s="110" t="str">
        <f t="shared" si="326"/>
        <v/>
      </c>
      <c r="JY113" s="110" t="str">
        <f t="shared" si="327"/>
        <v/>
      </c>
      <c r="JZ113" s="110" t="str">
        <f t="shared" si="256"/>
        <v/>
      </c>
      <c r="KA113" s="108" t="str">
        <f t="shared" si="328"/>
        <v/>
      </c>
    </row>
    <row r="114" spans="1:287" s="108" customFormat="1" ht="21.95" customHeight="1">
      <c r="A114" s="89">
        <v>108</v>
      </c>
      <c r="B114" s="90" t="str">
        <f>IF('Marks Entry'!B114="","",'Marks Entry'!B114)</f>
        <v/>
      </c>
      <c r="C114" s="94" t="str">
        <f>IF('Marks Entry'!D114="","",'Marks Entry'!D114)</f>
        <v/>
      </c>
      <c r="D114" s="91" t="str">
        <f>IF('Marks Entry'!E114="","",'Marks Entry'!E114)</f>
        <v/>
      </c>
      <c r="E114" s="92" t="str">
        <f>IF('Marks Entry'!F114="","",'Marks Entry'!F114)</f>
        <v/>
      </c>
      <c r="F114" s="93" t="str">
        <f>IF('Marks Entry'!G114="","",'Marks Entry'!G114)</f>
        <v/>
      </c>
      <c r="G114" s="93" t="str">
        <f>IF('Marks Entry'!H114="","",'Marks Entry'!H114)</f>
        <v/>
      </c>
      <c r="H114" s="93" t="str">
        <f>IF('Marks Entry'!I114="","",'Marks Entry'!I114)</f>
        <v/>
      </c>
      <c r="I114" s="94" t="str">
        <f>IF('Marks Entry'!J114="","",'Marks Entry'!J114)</f>
        <v/>
      </c>
      <c r="J114" s="95" t="str">
        <f>IF('Marks Entry'!K114="","",'Marks Entry'!K114)</f>
        <v/>
      </c>
      <c r="K114" s="68" t="str">
        <f>IF('Marks Entry'!L114="","",'Marks Entry'!L114)</f>
        <v/>
      </c>
      <c r="L114" s="68" t="str">
        <f>IF('Marks Entry'!M114="","",'Marks Entry'!M114)</f>
        <v/>
      </c>
      <c r="M114" s="68" t="str">
        <f>IF('Marks Entry'!N114="","",'Marks Entry'!N114)</f>
        <v/>
      </c>
      <c r="N114" s="514" t="str">
        <f t="shared" si="257"/>
        <v/>
      </c>
      <c r="O114" s="68" t="str">
        <f>IF('Marks Entry'!O114="","",'Marks Entry'!O114)</f>
        <v/>
      </c>
      <c r="P114" s="515" t="str">
        <f t="shared" si="258"/>
        <v/>
      </c>
      <c r="Q114" s="68" t="str">
        <f>IF('Marks Entry'!P114="","",'Marks Entry'!P114)</f>
        <v/>
      </c>
      <c r="R114" s="96" t="str">
        <f t="shared" si="259"/>
        <v/>
      </c>
      <c r="S114" s="65">
        <f t="shared" si="260"/>
        <v>0</v>
      </c>
      <c r="T114" s="65">
        <f t="shared" si="261"/>
        <v>0</v>
      </c>
      <c r="U114" s="66" t="str">
        <f t="shared" si="171"/>
        <v/>
      </c>
      <c r="V114" s="65" t="str">
        <f t="shared" si="172"/>
        <v/>
      </c>
      <c r="W114" s="65" t="str">
        <f t="shared" si="262"/>
        <v/>
      </c>
      <c r="X114" s="65" t="str">
        <f t="shared" si="173"/>
        <v/>
      </c>
      <c r="Y114" s="68" t="str">
        <f>IF('Marks Entry'!Q114="","",'Marks Entry'!Q114)</f>
        <v/>
      </c>
      <c r="Z114" s="68" t="str">
        <f>IF('Marks Entry'!R114="","",'Marks Entry'!R114)</f>
        <v/>
      </c>
      <c r="AA114" s="68" t="str">
        <f>IF('Marks Entry'!S114="","",'Marks Entry'!S114)</f>
        <v/>
      </c>
      <c r="AB114" s="514" t="str">
        <f t="shared" si="174"/>
        <v/>
      </c>
      <c r="AC114" s="68" t="str">
        <f>IF('Marks Entry'!T114="","",'Marks Entry'!T114)</f>
        <v/>
      </c>
      <c r="AD114" s="515" t="str">
        <f t="shared" si="175"/>
        <v/>
      </c>
      <c r="AE114" s="68" t="str">
        <f>IF('Marks Entry'!U114="","",'Marks Entry'!U114)</f>
        <v/>
      </c>
      <c r="AF114" s="96" t="str">
        <f t="shared" si="176"/>
        <v/>
      </c>
      <c r="AG114" s="65">
        <f t="shared" si="177"/>
        <v>0</v>
      </c>
      <c r="AH114" s="65">
        <f t="shared" si="178"/>
        <v>0</v>
      </c>
      <c r="AI114" s="66" t="str">
        <f t="shared" si="179"/>
        <v/>
      </c>
      <c r="AJ114" s="65" t="str">
        <f t="shared" si="180"/>
        <v/>
      </c>
      <c r="AK114" s="65" t="str">
        <f t="shared" si="181"/>
        <v/>
      </c>
      <c r="AL114" s="65" t="str">
        <f t="shared" si="182"/>
        <v/>
      </c>
      <c r="AM114" s="524" t="str">
        <f>IF('Marks Entry'!V114="","",IF('Marks Entry'!V114=1,'School Profile'!$I$9,IF('Marks Entry'!V114=2,'School Profile'!$I$10,IF('Marks Entry'!V114=3,'School Profile'!$I$11,IF('Marks Entry'!V114=4,'School Profile'!$I$12,IF('Marks Entry'!V114=5,'School Profile'!$I$13,IF('Marks Entry'!V114=6,'School Profile'!$I$14,"")))))))</f>
        <v/>
      </c>
      <c r="AN114" s="68" t="str">
        <f>IF('Marks Entry'!W114="","",'Marks Entry'!W114)</f>
        <v/>
      </c>
      <c r="AO114" s="68" t="str">
        <f>IF('Marks Entry'!X114="","",'Marks Entry'!X114)</f>
        <v/>
      </c>
      <c r="AP114" s="68" t="str">
        <f>IF('Marks Entry'!Y114="","",'Marks Entry'!Y114)</f>
        <v/>
      </c>
      <c r="AQ114" s="514" t="str">
        <f t="shared" si="183"/>
        <v/>
      </c>
      <c r="AR114" s="68" t="str">
        <f>IF('Marks Entry'!Z114="","",'Marks Entry'!Z114)</f>
        <v/>
      </c>
      <c r="AS114" s="515" t="str">
        <f t="shared" si="184"/>
        <v/>
      </c>
      <c r="AT114" s="68" t="str">
        <f>IF('Marks Entry'!AA114="","",'Marks Entry'!AA114)</f>
        <v/>
      </c>
      <c r="AU114" s="96" t="str">
        <f t="shared" si="185"/>
        <v/>
      </c>
      <c r="AV114" s="65">
        <f t="shared" si="186"/>
        <v>0</v>
      </c>
      <c r="AW114" s="65">
        <f t="shared" si="187"/>
        <v>0</v>
      </c>
      <c r="AX114" s="66" t="str">
        <f t="shared" si="188"/>
        <v/>
      </c>
      <c r="AY114" s="65" t="str">
        <f t="shared" si="189"/>
        <v/>
      </c>
      <c r="AZ114" s="65" t="str">
        <f t="shared" si="190"/>
        <v/>
      </c>
      <c r="BA114" s="65" t="str">
        <f t="shared" si="191"/>
        <v/>
      </c>
      <c r="BB114" s="68" t="str">
        <f>IF('Marks Entry'!AB114="","",'Marks Entry'!AB114)</f>
        <v/>
      </c>
      <c r="BC114" s="68" t="str">
        <f>IF('Marks Entry'!AC114="","",'Marks Entry'!AC114)</f>
        <v/>
      </c>
      <c r="BD114" s="68" t="str">
        <f>IF('Marks Entry'!AD114="","",'Marks Entry'!AD114)</f>
        <v/>
      </c>
      <c r="BE114" s="514" t="str">
        <f t="shared" si="192"/>
        <v/>
      </c>
      <c r="BF114" s="68" t="str">
        <f>IF('Marks Entry'!AE114="","",'Marks Entry'!AE114)</f>
        <v/>
      </c>
      <c r="BG114" s="515" t="str">
        <f t="shared" si="193"/>
        <v/>
      </c>
      <c r="BH114" s="68" t="str">
        <f>IF('Marks Entry'!AF114="","",'Marks Entry'!AF114)</f>
        <v/>
      </c>
      <c r="BI114" s="96" t="str">
        <f t="shared" si="194"/>
        <v/>
      </c>
      <c r="BJ114" s="65">
        <f t="shared" si="195"/>
        <v>0</v>
      </c>
      <c r="BK114" s="65">
        <f t="shared" si="263"/>
        <v>0</v>
      </c>
      <c r="BL114" s="66" t="str">
        <f t="shared" si="196"/>
        <v/>
      </c>
      <c r="BM114" s="65" t="str">
        <f t="shared" si="197"/>
        <v/>
      </c>
      <c r="BN114" s="65" t="str">
        <f t="shared" si="198"/>
        <v/>
      </c>
      <c r="BO114" s="65" t="str">
        <f t="shared" si="199"/>
        <v/>
      </c>
      <c r="BP114" s="68" t="str">
        <f>IF('Marks Entry'!AG114="","",'Marks Entry'!AG114)</f>
        <v/>
      </c>
      <c r="BQ114" s="68" t="str">
        <f>IF('Marks Entry'!AH114="","",'Marks Entry'!AH114)</f>
        <v/>
      </c>
      <c r="BR114" s="68" t="str">
        <f>IF('Marks Entry'!AI114="","",'Marks Entry'!AI114)</f>
        <v/>
      </c>
      <c r="BS114" s="514" t="str">
        <f t="shared" si="200"/>
        <v/>
      </c>
      <c r="BT114" s="68" t="str">
        <f>IF('Marks Entry'!AJ114="","",'Marks Entry'!AJ114)</f>
        <v/>
      </c>
      <c r="BU114" s="515" t="str">
        <f t="shared" si="201"/>
        <v/>
      </c>
      <c r="BV114" s="68" t="str">
        <f>IF('Marks Entry'!AK114="","",'Marks Entry'!AK114)</f>
        <v/>
      </c>
      <c r="BW114" s="96" t="str">
        <f t="shared" si="202"/>
        <v/>
      </c>
      <c r="BX114" s="65">
        <f t="shared" si="203"/>
        <v>0</v>
      </c>
      <c r="BY114" s="65">
        <f t="shared" si="204"/>
        <v>0</v>
      </c>
      <c r="BZ114" s="66" t="str">
        <f t="shared" si="205"/>
        <v/>
      </c>
      <c r="CA114" s="65" t="str">
        <f t="shared" si="206"/>
        <v/>
      </c>
      <c r="CB114" s="65" t="str">
        <f t="shared" si="207"/>
        <v/>
      </c>
      <c r="CC114" s="65" t="str">
        <f t="shared" si="208"/>
        <v/>
      </c>
      <c r="CD114" s="66">
        <f t="shared" si="329"/>
        <v>0</v>
      </c>
      <c r="CE114" s="68" t="str">
        <f>IF('Marks Entry'!AL114="","",'Marks Entry'!AL114)</f>
        <v/>
      </c>
      <c r="CF114" s="68" t="str">
        <f>IF('Marks Entry'!AM114="","",'Marks Entry'!AM114)</f>
        <v/>
      </c>
      <c r="CG114" s="68" t="str">
        <f>IF('Marks Entry'!AN114="","",'Marks Entry'!AN114)</f>
        <v/>
      </c>
      <c r="CH114" s="514" t="str">
        <f t="shared" si="210"/>
        <v/>
      </c>
      <c r="CI114" s="68" t="str">
        <f>IF('Marks Entry'!AO114="","",'Marks Entry'!AO114)</f>
        <v/>
      </c>
      <c r="CJ114" s="515" t="str">
        <f t="shared" si="211"/>
        <v/>
      </c>
      <c r="CK114" s="68" t="str">
        <f>IF('Marks Entry'!AP114="","",'Marks Entry'!AP114)</f>
        <v/>
      </c>
      <c r="CL114" s="96" t="str">
        <f t="shared" si="212"/>
        <v/>
      </c>
      <c r="CM114" s="65">
        <f t="shared" si="213"/>
        <v>0</v>
      </c>
      <c r="CN114" s="65">
        <f t="shared" si="214"/>
        <v>0</v>
      </c>
      <c r="CO114" s="66" t="str">
        <f t="shared" si="215"/>
        <v/>
      </c>
      <c r="CP114" s="65" t="str">
        <f t="shared" si="216"/>
        <v/>
      </c>
      <c r="CQ114" s="65" t="str">
        <f t="shared" si="217"/>
        <v/>
      </c>
      <c r="CR114" s="65" t="str">
        <f t="shared" si="218"/>
        <v/>
      </c>
      <c r="CS114" s="616" t="str">
        <f>IF('School Profile'!$D$20="NO","",IF('Marks Entry'!AQ114="","",IF('Marks Entry'!AQ114=1,'School Profile'!$I$29,IF('Marks Entry'!AQ114=2,'School Profile'!$I$30,IF('Marks Entry'!AQ114=3,'School Profile'!$I$31,IF('Marks Entry'!AQ114=4,'School Profile'!$I$32,IF('Marks Entry'!AQ114=5,'School Profile'!$I$33,IF('Marks Entry'!AQ114=6,'School Profile'!$I$34,IF('Marks Entry'!AQ114=7,'School Profile'!$I$35,IF('Marks Entry'!AQ114=8,'School Profile'!$I$36,IF('Marks Entry'!AQ114=9,'School Profile'!$I$37,IF('Marks Entry'!AQ114=10,'School Profile'!$I$38,IF('Marks Entry'!AQ114=11,'School Profile'!$I$39,"")))))))))))))</f>
        <v/>
      </c>
      <c r="CT114" s="68" t="str">
        <f>IF('School Profile'!$D$20="NO","",IF('Marks Entry'!AR114="","",'Marks Entry'!AR114))</f>
        <v/>
      </c>
      <c r="CU114" s="68" t="str">
        <f>IF('School Profile'!$D$20="NO","",IF('Marks Entry'!AS114="","",'Marks Entry'!AS114))</f>
        <v/>
      </c>
      <c r="CV114" s="68" t="str">
        <f>IF('School Profile'!$D$20="NO","",IF('Marks Entry'!AT114="","",'Marks Entry'!AT114))</f>
        <v/>
      </c>
      <c r="CW114" s="514" t="str">
        <f>IF('School Profile'!$D$20="NO","",IF(AND(CT114="",CU114="",CV114=""),"",SUM(CT114:CV114)))</f>
        <v/>
      </c>
      <c r="CX114" s="68" t="str">
        <f>IF('School Profile'!$D$20="NO","",IF('Marks Entry'!AU114="","",'Marks Entry'!AU114))</f>
        <v/>
      </c>
      <c r="CY114" s="68" t="str">
        <f>IF('School Profile'!$D$20="NO","",IF('Marks Entry'!AV114="","",'Marks Entry'!AV114))</f>
        <v/>
      </c>
      <c r="CZ114" s="515" t="str">
        <f>IF('School Profile'!$D$20="NO","",IF(AND(CX114="",CY114=""),"",SUM(CX114,CY114)))</f>
        <v/>
      </c>
      <c r="DA114" s="69" t="str">
        <f>IF('School Profile'!$D$20="NO","",IF(AND(CW114="",CZ114=""),"",SUM(CW114+CZ114)))</f>
        <v/>
      </c>
      <c r="DB114" s="68" t="str">
        <f>IF('School Profile'!$D$20="NO","",IF('Marks Entry'!AW114="","",'Marks Entry'!AW114))</f>
        <v/>
      </c>
      <c r="DC114" s="68" t="str">
        <f>IF('School Profile'!$D$20="NO","",IF('Marks Entry'!AX114="","",'Marks Entry'!AX114))</f>
        <v/>
      </c>
      <c r="DD114" s="515" t="str">
        <f>IF('School Profile'!$D$20="NO","",IF(AND(DB114="",DC114=""),"",SUM(DB114,DC114)))</f>
        <v/>
      </c>
      <c r="DE114" s="96" t="str">
        <f>IF('School Profile'!$D$20="NO","",IF(AND(DA114="",DD114=""),"",SUM(DA114,DD114)))</f>
        <v/>
      </c>
      <c r="DF114" s="532">
        <f t="shared" si="219"/>
        <v>0</v>
      </c>
      <c r="DG114" s="65">
        <f t="shared" si="220"/>
        <v>0</v>
      </c>
      <c r="DH114" s="66" t="str">
        <f t="shared" si="221"/>
        <v/>
      </c>
      <c r="DI114" s="65" t="str">
        <f t="shared" si="222"/>
        <v/>
      </c>
      <c r="DJ114" s="65" t="str">
        <f t="shared" si="223"/>
        <v/>
      </c>
      <c r="DK114" s="65" t="str">
        <f t="shared" si="224"/>
        <v/>
      </c>
      <c r="DL114" s="97" t="str">
        <f t="shared" si="264"/>
        <v/>
      </c>
      <c r="DM114" s="97" t="str">
        <f t="shared" si="265"/>
        <v/>
      </c>
      <c r="DN114" s="97" t="str">
        <f t="shared" si="266"/>
        <v/>
      </c>
      <c r="DO114" s="97" t="str">
        <f t="shared" si="267"/>
        <v/>
      </c>
      <c r="DP114" s="97" t="str">
        <f t="shared" si="268"/>
        <v/>
      </c>
      <c r="DQ114" s="97" t="str">
        <f t="shared" si="269"/>
        <v/>
      </c>
      <c r="DR114" s="97" t="str">
        <f t="shared" si="270"/>
        <v/>
      </c>
      <c r="DS114" s="98">
        <f t="shared" si="271"/>
        <v>0</v>
      </c>
      <c r="DT114" s="98">
        <f t="shared" si="272"/>
        <v>0</v>
      </c>
      <c r="DU114" s="98">
        <f t="shared" si="273"/>
        <v>0</v>
      </c>
      <c r="DV114" s="98">
        <f t="shared" si="274"/>
        <v>0</v>
      </c>
      <c r="DW114" s="98">
        <f t="shared" si="275"/>
        <v>0</v>
      </c>
      <c r="DX114" s="98" t="str">
        <f t="shared" si="276"/>
        <v/>
      </c>
      <c r="DY114" s="99" t="str">
        <f t="shared" si="277"/>
        <v/>
      </c>
      <c r="DZ114" s="74" t="str">
        <f>IF('Marks Entry'!AY114="","",'Marks Entry'!AY114)</f>
        <v/>
      </c>
      <c r="EA114" s="74" t="str">
        <f>IF('Marks Entry'!AZ114="","",'Marks Entry'!AZ114)</f>
        <v/>
      </c>
      <c r="EB114" s="74" t="str">
        <f>IF('Marks Entry'!BA114="","",'Marks Entry'!BA114)</f>
        <v/>
      </c>
      <c r="EC114" s="527" t="str">
        <f t="shared" si="225"/>
        <v/>
      </c>
      <c r="ED114" s="74" t="str">
        <f>IF('Marks Entry'!BB114="","",'Marks Entry'!BB114)</f>
        <v/>
      </c>
      <c r="EE114" s="528" t="str">
        <f t="shared" si="226"/>
        <v/>
      </c>
      <c r="EF114" s="74" t="str">
        <f>IF('Marks Entry'!BC114="","",'Marks Entry'!BC114)</f>
        <v/>
      </c>
      <c r="EG114" s="530" t="str">
        <f t="shared" si="227"/>
        <v/>
      </c>
      <c r="EH114" s="368" t="str">
        <f t="shared" si="278"/>
        <v/>
      </c>
      <c r="EI114" s="65">
        <f t="shared" si="279"/>
        <v>0</v>
      </c>
      <c r="EJ114" s="65">
        <f t="shared" si="280"/>
        <v>0</v>
      </c>
      <c r="EK114" s="66" t="str">
        <f t="shared" si="281"/>
        <v/>
      </c>
      <c r="EL114" s="74" t="str">
        <f>IF('Marks Entry'!BD114="","",'Marks Entry'!BD114)</f>
        <v/>
      </c>
      <c r="EM114" s="74" t="str">
        <f>IF('Marks Entry'!BE114="","",'Marks Entry'!BE114)</f>
        <v/>
      </c>
      <c r="EN114" s="74" t="str">
        <f>IF('Marks Entry'!BF114="","",'Marks Entry'!BF114)</f>
        <v/>
      </c>
      <c r="EO114" s="527" t="str">
        <f t="shared" si="228"/>
        <v/>
      </c>
      <c r="EP114" s="74" t="str">
        <f>IF('Marks Entry'!BG114="","",'Marks Entry'!BG114)</f>
        <v/>
      </c>
      <c r="EQ114" s="74" t="str">
        <f>IF('Marks Entry'!BH114="","",'Marks Entry'!BH114)</f>
        <v/>
      </c>
      <c r="ER114" s="528" t="str">
        <f t="shared" si="229"/>
        <v/>
      </c>
      <c r="ES114" s="529" t="str">
        <f t="shared" si="230"/>
        <v/>
      </c>
      <c r="ET114" s="74" t="str">
        <f>IF('Marks Entry'!BI114="","",'Marks Entry'!BI114)</f>
        <v/>
      </c>
      <c r="EU114" s="74" t="str">
        <f>IF('Marks Entry'!BJ114="","",'Marks Entry'!BJ114)</f>
        <v/>
      </c>
      <c r="EV114" s="528" t="str">
        <f t="shared" si="231"/>
        <v/>
      </c>
      <c r="EW114" s="530" t="str">
        <f t="shared" si="232"/>
        <v/>
      </c>
      <c r="EX114" s="368" t="str">
        <f t="shared" si="282"/>
        <v/>
      </c>
      <c r="EY114" s="65">
        <f t="shared" si="283"/>
        <v>0</v>
      </c>
      <c r="EZ114" s="65">
        <f t="shared" si="284"/>
        <v>0</v>
      </c>
      <c r="FA114" s="66" t="str">
        <f t="shared" si="285"/>
        <v/>
      </c>
      <c r="FB114" s="74" t="str">
        <f>IF('Marks Entry'!BK114="","",'Marks Entry'!BK114)</f>
        <v/>
      </c>
      <c r="FC114" s="74" t="str">
        <f>IF('Marks Entry'!BL114="","",'Marks Entry'!BL114)</f>
        <v/>
      </c>
      <c r="FD114" s="74" t="str">
        <f>IF('Marks Entry'!BM114="","",'Marks Entry'!BM114)</f>
        <v/>
      </c>
      <c r="FE114" s="74" t="str">
        <f>IF('Marks Entry'!BN114="","",'Marks Entry'!BN114)</f>
        <v/>
      </c>
      <c r="FF114" s="74" t="str">
        <f>IF('Marks Entry'!BO114="","",'Marks Entry'!BO114)</f>
        <v/>
      </c>
      <c r="FG114" s="74" t="str">
        <f>IF('Marks Entry'!BP114="","",'Marks Entry'!BP114)</f>
        <v/>
      </c>
      <c r="FH114" s="527" t="str">
        <f t="shared" si="233"/>
        <v/>
      </c>
      <c r="FI114" s="74" t="str">
        <f>IF('Marks Entry'!BQ114="","",'Marks Entry'!BQ114)</f>
        <v/>
      </c>
      <c r="FJ114" s="74" t="str">
        <f>IF('Marks Entry'!BR114="","",'Marks Entry'!BR114)</f>
        <v/>
      </c>
      <c r="FK114" s="528" t="str">
        <f t="shared" si="234"/>
        <v/>
      </c>
      <c r="FL114" s="529" t="str">
        <f t="shared" si="235"/>
        <v/>
      </c>
      <c r="FM114" s="74" t="str">
        <f>IF('Marks Entry'!BS114="","",'Marks Entry'!BS114)</f>
        <v/>
      </c>
      <c r="FN114" s="74" t="str">
        <f>IF('Marks Entry'!BT114="","",'Marks Entry'!BT114)</f>
        <v/>
      </c>
      <c r="FO114" s="528" t="str">
        <f t="shared" si="236"/>
        <v/>
      </c>
      <c r="FP114" s="530" t="str">
        <f t="shared" si="237"/>
        <v/>
      </c>
      <c r="FQ114" s="368" t="str">
        <f t="shared" si="286"/>
        <v/>
      </c>
      <c r="FR114" s="65">
        <f t="shared" si="287"/>
        <v>0</v>
      </c>
      <c r="FS114" s="65">
        <f t="shared" si="288"/>
        <v>0</v>
      </c>
      <c r="FT114" s="66" t="str">
        <f t="shared" si="289"/>
        <v/>
      </c>
      <c r="FU114" s="74" t="str">
        <f>IF('Marks Entry'!BU114="","",'Marks Entry'!BU114)</f>
        <v/>
      </c>
      <c r="FV114" s="74" t="str">
        <f>IF('Marks Entry'!BV114="","",'Marks Entry'!BV114)</f>
        <v/>
      </c>
      <c r="FW114" s="74" t="str">
        <f>IF('Marks Entry'!BW114="","",'Marks Entry'!BW114)</f>
        <v/>
      </c>
      <c r="FX114" s="75" t="str">
        <f t="shared" si="238"/>
        <v/>
      </c>
      <c r="FY114" s="368" t="str">
        <f t="shared" si="290"/>
        <v/>
      </c>
      <c r="FZ114" s="65">
        <f t="shared" si="291"/>
        <v>0</v>
      </c>
      <c r="GA114" s="66">
        <f t="shared" si="292"/>
        <v>0</v>
      </c>
      <c r="GB114" s="66" t="str">
        <f t="shared" si="293"/>
        <v/>
      </c>
      <c r="GC114" s="74" t="str">
        <f>IF('Marks Entry'!BX114="","",'Marks Entry'!BX114)</f>
        <v/>
      </c>
      <c r="GD114" s="74" t="str">
        <f>IF('Marks Entry'!BY114="","",'Marks Entry'!BY114)</f>
        <v/>
      </c>
      <c r="GE114" s="74" t="str">
        <f>IF('Marks Entry'!BZ114="","",'Marks Entry'!BZ114)</f>
        <v/>
      </c>
      <c r="GF114" s="75" t="str">
        <f t="shared" si="294"/>
        <v/>
      </c>
      <c r="GG114" s="368" t="str">
        <f t="shared" si="295"/>
        <v/>
      </c>
      <c r="GH114" s="65">
        <f t="shared" si="296"/>
        <v>0</v>
      </c>
      <c r="GI114" s="66">
        <f t="shared" si="297"/>
        <v>0</v>
      </c>
      <c r="GJ114" s="66" t="str">
        <f t="shared" si="298"/>
        <v/>
      </c>
      <c r="GK114" s="100" t="str">
        <f>IF(AND(F114="",B114=""),"",IF('Student DATA Entry'!M111="","",'Student DATA Entry'!M111))</f>
        <v/>
      </c>
      <c r="GL114" s="101" t="str">
        <f>IF(AND(B114="",F114=""),"",IF('Student DATA Entry'!N111="","",'Student DATA Entry'!N111))</f>
        <v/>
      </c>
      <c r="GM114" s="581" t="str">
        <f t="shared" si="299"/>
        <v/>
      </c>
      <c r="GN114" s="94" t="str">
        <f t="shared" si="300"/>
        <v/>
      </c>
      <c r="GO114" s="94" t="str">
        <f t="shared" si="301"/>
        <v/>
      </c>
      <c r="GP114" s="102" t="str">
        <f t="shared" si="330"/>
        <v/>
      </c>
      <c r="GQ114" s="94" t="str">
        <f t="shared" si="302"/>
        <v/>
      </c>
      <c r="GR114" s="103" t="str">
        <f t="shared" si="303"/>
        <v/>
      </c>
      <c r="GS114" s="102" t="str">
        <f t="shared" si="331"/>
        <v/>
      </c>
      <c r="GT114" s="104" t="str">
        <f t="shared" si="304"/>
        <v/>
      </c>
      <c r="GU114" s="94" t="str">
        <f>IF('Marks Entry'!V114=1,GT114,"")</f>
        <v/>
      </c>
      <c r="GV114" s="94" t="str">
        <f>IF('Marks Entry'!V114=2,GT114,"")</f>
        <v/>
      </c>
      <c r="GW114" s="94" t="str">
        <f>IF('Marks Entry'!V114=3,GT114,"")</f>
        <v/>
      </c>
      <c r="GX114" s="94" t="str">
        <f>IF('Marks Entry'!V114=4,GT114,"")</f>
        <v/>
      </c>
      <c r="GY114" s="94" t="str">
        <f>IF('Marks Entry'!V114=5,GT114,"")</f>
        <v/>
      </c>
      <c r="GZ114" s="94" t="str">
        <f t="shared" si="305"/>
        <v/>
      </c>
      <c r="HA114" s="105" t="str">
        <f t="shared" si="332"/>
        <v/>
      </c>
      <c r="HB114" s="94" t="str">
        <f t="shared" si="306"/>
        <v/>
      </c>
      <c r="HC114" s="94" t="str">
        <f t="shared" si="307"/>
        <v/>
      </c>
      <c r="HD114" s="105" t="str">
        <f t="shared" si="333"/>
        <v/>
      </c>
      <c r="HE114" s="94" t="str">
        <f t="shared" si="308"/>
        <v/>
      </c>
      <c r="HF114" s="94" t="str">
        <f t="shared" si="309"/>
        <v/>
      </c>
      <c r="HG114" s="105" t="str">
        <f t="shared" si="334"/>
        <v/>
      </c>
      <c r="HH114" s="94" t="str">
        <f t="shared" si="310"/>
        <v/>
      </c>
      <c r="HI114" s="94" t="str">
        <f t="shared" si="311"/>
        <v/>
      </c>
      <c r="HJ114" s="105" t="str">
        <f t="shared" si="335"/>
        <v/>
      </c>
      <c r="HK114" s="94" t="str">
        <f t="shared" si="312"/>
        <v/>
      </c>
      <c r="HL114" s="94" t="str">
        <f t="shared" si="313"/>
        <v/>
      </c>
      <c r="HM114" s="105" t="str">
        <f t="shared" si="336"/>
        <v/>
      </c>
      <c r="HN114" s="367" t="str">
        <f t="shared" si="314"/>
        <v xml:space="preserve">      </v>
      </c>
      <c r="HO114" s="418" t="str">
        <f t="shared" si="337"/>
        <v xml:space="preserve">      </v>
      </c>
      <c r="HP114" s="367" t="str">
        <f t="shared" si="315"/>
        <v xml:space="preserve">      </v>
      </c>
      <c r="HQ114" s="107" t="str">
        <f t="shared" si="316"/>
        <v xml:space="preserve">      </v>
      </c>
      <c r="HR114" s="366" t="str">
        <f t="shared" si="317"/>
        <v xml:space="preserve">      </v>
      </c>
      <c r="HS114" s="544" t="str">
        <f t="shared" si="338"/>
        <v/>
      </c>
      <c r="HT114" s="542" t="str">
        <f t="shared" si="318"/>
        <v/>
      </c>
      <c r="HU114" s="541" t="str">
        <f t="shared" si="319"/>
        <v/>
      </c>
      <c r="HV114" s="540" t="str">
        <f t="shared" si="320"/>
        <v/>
      </c>
      <c r="HW114" s="537" t="str">
        <f t="shared" si="321"/>
        <v/>
      </c>
      <c r="HX114" s="539" t="str">
        <f t="shared" si="322"/>
        <v/>
      </c>
      <c r="HY114" s="553" t="str">
        <f>IFERROR(IF(OR(HS114="SUPPLEMENTARY",HS114="RE-EXAM"),'Supp. Result Entry'!AQ112,""),"")</f>
        <v/>
      </c>
      <c r="HZ114" s="538" t="str">
        <f t="shared" si="323"/>
        <v/>
      </c>
      <c r="IA114" s="415" t="str">
        <f t="shared" si="324"/>
        <v/>
      </c>
      <c r="IB114" s="415" t="str">
        <f>IF(AND(HZ114="",IA114=""),"",IF(OR(HS114="SUPPLEMENTARY",HS114="RE-EXAM"),'Supp. Result Entry'!AQ112,HS114))</f>
        <v/>
      </c>
      <c r="IC114" s="87"/>
      <c r="IS114" s="109" t="str">
        <f>IF('Supp. Result Entry'!T112="","",'Supp. Result Entry'!$T$4)</f>
        <v/>
      </c>
      <c r="IT114" s="110" t="str">
        <f>IF('Supp. Result Entry'!W112="","",'Supp. Result Entry'!$W$4)</f>
        <v/>
      </c>
      <c r="IU114" s="110" t="str">
        <f>IF('Supp. Result Entry'!Z112="","",'Supp. Result Entry'!$Z$4)</f>
        <v/>
      </c>
      <c r="IV114" s="110" t="str">
        <f>IF('Supp. Result Entry'!AC112="","",'Supp. Result Entry'!$AC$4)</f>
        <v/>
      </c>
      <c r="IW114" s="110" t="str">
        <f>IF('Supp. Result Entry'!AF112="","",'Supp. Result Entry'!$AF$4)</f>
        <v/>
      </c>
      <c r="IX114" s="110" t="str">
        <f>IF('Supp. Result Entry'!AI112="","",'Supp. Result Entry'!$AI$4)</f>
        <v/>
      </c>
      <c r="IY114" s="110" t="str">
        <f>IF('Supp. Result Entry'!AI112="","",'Supp. Result Entry'!$AL$4)</f>
        <v/>
      </c>
      <c r="IZ114" s="110" t="str">
        <f>IF('Supp. Result Entry'!U112="","",'Supp. Result Entry'!U112)</f>
        <v/>
      </c>
      <c r="JA114" s="110" t="str">
        <f>IF('Supp. Result Entry'!X112="","",'Supp. Result Entry'!X112)</f>
        <v/>
      </c>
      <c r="JB114" s="110" t="str">
        <f>IF('Supp. Result Entry'!AA112="","",'Supp. Result Entry'!AA112)</f>
        <v/>
      </c>
      <c r="JC114" s="110" t="str">
        <f>IF('Supp. Result Entry'!AD112="","",'Supp. Result Entry'!AD112)</f>
        <v/>
      </c>
      <c r="JD114" s="110" t="str">
        <f>IF('Supp. Result Entry'!AG112="","",'Supp. Result Entry'!AG112)</f>
        <v/>
      </c>
      <c r="JE114" s="110" t="str">
        <f>IF('Supp. Result Entry'!AJ112="","",'Supp. Result Entry'!AJ112)</f>
        <v/>
      </c>
      <c r="JF114" s="110" t="str">
        <f>IF('Supp. Result Entry'!AM112="","",'Supp. Result Entry'!AM112)</f>
        <v/>
      </c>
      <c r="JG114" s="110" t="str">
        <f>IF('Supp. Result Entry'!V112="","",'Supp. Result Entry'!V112)</f>
        <v/>
      </c>
      <c r="JH114" s="110" t="str">
        <f>IF('Supp. Result Entry'!Y112="","",'Supp. Result Entry'!Y112)</f>
        <v/>
      </c>
      <c r="JI114" s="110" t="str">
        <f>IF('Supp. Result Entry'!AB112="","",'Supp. Result Entry'!AB112)</f>
        <v/>
      </c>
      <c r="JJ114" s="110" t="str">
        <f>IF('Supp. Result Entry'!AE112="","",'Supp. Result Entry'!AE112)</f>
        <v/>
      </c>
      <c r="JK114" s="110" t="str">
        <f>IF('Supp. Result Entry'!AH112="","",'Supp. Result Entry'!AH112)</f>
        <v/>
      </c>
      <c r="JL114" s="110" t="str">
        <f>IF('Supp. Result Entry'!AK112="","",'Supp. Result Entry'!AK112)</f>
        <v/>
      </c>
      <c r="JM114" s="110" t="str">
        <f>IF('Supp. Result Entry'!AN112="","",'Supp. Result Entry'!AN112)</f>
        <v/>
      </c>
      <c r="JN114" s="110">
        <f>COUNTIF('Supp. Result Entry'!K112:Q112,"S")</f>
        <v>0</v>
      </c>
      <c r="JO114" s="110">
        <f t="shared" si="248"/>
        <v>0</v>
      </c>
      <c r="JP114" s="110">
        <f t="shared" si="325"/>
        <v>0</v>
      </c>
      <c r="JQ114" s="110" t="str">
        <f t="shared" si="249"/>
        <v/>
      </c>
      <c r="JR114" s="110" t="str">
        <f t="shared" si="250"/>
        <v/>
      </c>
      <c r="JS114" s="110" t="str">
        <f t="shared" si="251"/>
        <v/>
      </c>
      <c r="JT114" s="110" t="str">
        <f t="shared" si="252"/>
        <v/>
      </c>
      <c r="JU114" s="110" t="str">
        <f t="shared" si="253"/>
        <v/>
      </c>
      <c r="JV114" s="110" t="str">
        <f t="shared" si="254"/>
        <v/>
      </c>
      <c r="JW114" s="110" t="str">
        <f t="shared" si="255"/>
        <v/>
      </c>
      <c r="JX114" s="110" t="str">
        <f t="shared" si="326"/>
        <v/>
      </c>
      <c r="JY114" s="110" t="str">
        <f t="shared" si="327"/>
        <v/>
      </c>
      <c r="JZ114" s="110" t="str">
        <f t="shared" si="256"/>
        <v/>
      </c>
      <c r="KA114" s="108" t="str">
        <f t="shared" si="328"/>
        <v/>
      </c>
    </row>
    <row r="115" spans="1:287" s="108" customFormat="1" ht="21.95" customHeight="1">
      <c r="A115" s="89">
        <v>109</v>
      </c>
      <c r="B115" s="90" t="str">
        <f>IF('Marks Entry'!B115="","",'Marks Entry'!B115)</f>
        <v/>
      </c>
      <c r="C115" s="94" t="str">
        <f>IF('Marks Entry'!D115="","",'Marks Entry'!D115)</f>
        <v/>
      </c>
      <c r="D115" s="91" t="str">
        <f>IF('Marks Entry'!E115="","",'Marks Entry'!E115)</f>
        <v/>
      </c>
      <c r="E115" s="92" t="str">
        <f>IF('Marks Entry'!F115="","",'Marks Entry'!F115)</f>
        <v/>
      </c>
      <c r="F115" s="93" t="str">
        <f>IF('Marks Entry'!G115="","",'Marks Entry'!G115)</f>
        <v/>
      </c>
      <c r="G115" s="93" t="str">
        <f>IF('Marks Entry'!H115="","",'Marks Entry'!H115)</f>
        <v/>
      </c>
      <c r="H115" s="93" t="str">
        <f>IF('Marks Entry'!I115="","",'Marks Entry'!I115)</f>
        <v/>
      </c>
      <c r="I115" s="94" t="str">
        <f>IF('Marks Entry'!J115="","",'Marks Entry'!J115)</f>
        <v/>
      </c>
      <c r="J115" s="95" t="str">
        <f>IF('Marks Entry'!K115="","",'Marks Entry'!K115)</f>
        <v/>
      </c>
      <c r="K115" s="68" t="str">
        <f>IF('Marks Entry'!L115="","",'Marks Entry'!L115)</f>
        <v/>
      </c>
      <c r="L115" s="68" t="str">
        <f>IF('Marks Entry'!M115="","",'Marks Entry'!M115)</f>
        <v/>
      </c>
      <c r="M115" s="68" t="str">
        <f>IF('Marks Entry'!N115="","",'Marks Entry'!N115)</f>
        <v/>
      </c>
      <c r="N115" s="514" t="str">
        <f t="shared" si="257"/>
        <v/>
      </c>
      <c r="O115" s="68" t="str">
        <f>IF('Marks Entry'!O115="","",'Marks Entry'!O115)</f>
        <v/>
      </c>
      <c r="P115" s="515" t="str">
        <f t="shared" si="258"/>
        <v/>
      </c>
      <c r="Q115" s="68" t="str">
        <f>IF('Marks Entry'!P115="","",'Marks Entry'!P115)</f>
        <v/>
      </c>
      <c r="R115" s="96" t="str">
        <f t="shared" si="259"/>
        <v/>
      </c>
      <c r="S115" s="65">
        <f t="shared" si="260"/>
        <v>0</v>
      </c>
      <c r="T115" s="65">
        <f t="shared" si="261"/>
        <v>0</v>
      </c>
      <c r="U115" s="66" t="str">
        <f t="shared" si="171"/>
        <v/>
      </c>
      <c r="V115" s="65" t="str">
        <f t="shared" si="172"/>
        <v/>
      </c>
      <c r="W115" s="65" t="str">
        <f t="shared" si="262"/>
        <v/>
      </c>
      <c r="X115" s="65" t="str">
        <f t="shared" si="173"/>
        <v/>
      </c>
      <c r="Y115" s="68" t="str">
        <f>IF('Marks Entry'!Q115="","",'Marks Entry'!Q115)</f>
        <v/>
      </c>
      <c r="Z115" s="68" t="str">
        <f>IF('Marks Entry'!R115="","",'Marks Entry'!R115)</f>
        <v/>
      </c>
      <c r="AA115" s="68" t="str">
        <f>IF('Marks Entry'!S115="","",'Marks Entry'!S115)</f>
        <v/>
      </c>
      <c r="AB115" s="514" t="str">
        <f t="shared" si="174"/>
        <v/>
      </c>
      <c r="AC115" s="68" t="str">
        <f>IF('Marks Entry'!T115="","",'Marks Entry'!T115)</f>
        <v/>
      </c>
      <c r="AD115" s="515" t="str">
        <f t="shared" si="175"/>
        <v/>
      </c>
      <c r="AE115" s="68" t="str">
        <f>IF('Marks Entry'!U115="","",'Marks Entry'!U115)</f>
        <v/>
      </c>
      <c r="AF115" s="96" t="str">
        <f t="shared" si="176"/>
        <v/>
      </c>
      <c r="AG115" s="65">
        <f t="shared" si="177"/>
        <v>0</v>
      </c>
      <c r="AH115" s="65">
        <f t="shared" si="178"/>
        <v>0</v>
      </c>
      <c r="AI115" s="66" t="str">
        <f t="shared" si="179"/>
        <v/>
      </c>
      <c r="AJ115" s="65" t="str">
        <f t="shared" si="180"/>
        <v/>
      </c>
      <c r="AK115" s="65" t="str">
        <f t="shared" si="181"/>
        <v/>
      </c>
      <c r="AL115" s="65" t="str">
        <f t="shared" si="182"/>
        <v/>
      </c>
      <c r="AM115" s="524" t="str">
        <f>IF('Marks Entry'!V115="","",IF('Marks Entry'!V115=1,'School Profile'!$I$9,IF('Marks Entry'!V115=2,'School Profile'!$I$10,IF('Marks Entry'!V115=3,'School Profile'!$I$11,IF('Marks Entry'!V115=4,'School Profile'!$I$12,IF('Marks Entry'!V115=5,'School Profile'!$I$13,IF('Marks Entry'!V115=6,'School Profile'!$I$14,"")))))))</f>
        <v/>
      </c>
      <c r="AN115" s="68" t="str">
        <f>IF('Marks Entry'!W115="","",'Marks Entry'!W115)</f>
        <v/>
      </c>
      <c r="AO115" s="68" t="str">
        <f>IF('Marks Entry'!X115="","",'Marks Entry'!X115)</f>
        <v/>
      </c>
      <c r="AP115" s="68" t="str">
        <f>IF('Marks Entry'!Y115="","",'Marks Entry'!Y115)</f>
        <v/>
      </c>
      <c r="AQ115" s="514" t="str">
        <f t="shared" si="183"/>
        <v/>
      </c>
      <c r="AR115" s="68" t="str">
        <f>IF('Marks Entry'!Z115="","",'Marks Entry'!Z115)</f>
        <v/>
      </c>
      <c r="AS115" s="515" t="str">
        <f t="shared" si="184"/>
        <v/>
      </c>
      <c r="AT115" s="68" t="str">
        <f>IF('Marks Entry'!AA115="","",'Marks Entry'!AA115)</f>
        <v/>
      </c>
      <c r="AU115" s="96" t="str">
        <f t="shared" si="185"/>
        <v/>
      </c>
      <c r="AV115" s="65">
        <f t="shared" si="186"/>
        <v>0</v>
      </c>
      <c r="AW115" s="65">
        <f t="shared" si="187"/>
        <v>0</v>
      </c>
      <c r="AX115" s="66" t="str">
        <f t="shared" si="188"/>
        <v/>
      </c>
      <c r="AY115" s="65" t="str">
        <f t="shared" si="189"/>
        <v/>
      </c>
      <c r="AZ115" s="65" t="str">
        <f t="shared" si="190"/>
        <v/>
      </c>
      <c r="BA115" s="65" t="str">
        <f t="shared" si="191"/>
        <v/>
      </c>
      <c r="BB115" s="68" t="str">
        <f>IF('Marks Entry'!AB115="","",'Marks Entry'!AB115)</f>
        <v/>
      </c>
      <c r="BC115" s="68" t="str">
        <f>IF('Marks Entry'!AC115="","",'Marks Entry'!AC115)</f>
        <v/>
      </c>
      <c r="BD115" s="68" t="str">
        <f>IF('Marks Entry'!AD115="","",'Marks Entry'!AD115)</f>
        <v/>
      </c>
      <c r="BE115" s="514" t="str">
        <f t="shared" si="192"/>
        <v/>
      </c>
      <c r="BF115" s="68" t="str">
        <f>IF('Marks Entry'!AE115="","",'Marks Entry'!AE115)</f>
        <v/>
      </c>
      <c r="BG115" s="515" t="str">
        <f t="shared" si="193"/>
        <v/>
      </c>
      <c r="BH115" s="68" t="str">
        <f>IF('Marks Entry'!AF115="","",'Marks Entry'!AF115)</f>
        <v/>
      </c>
      <c r="BI115" s="96" t="str">
        <f t="shared" si="194"/>
        <v/>
      </c>
      <c r="BJ115" s="65">
        <f t="shared" si="195"/>
        <v>0</v>
      </c>
      <c r="BK115" s="65">
        <f t="shared" si="263"/>
        <v>0</v>
      </c>
      <c r="BL115" s="66" t="str">
        <f t="shared" si="196"/>
        <v/>
      </c>
      <c r="BM115" s="65" t="str">
        <f t="shared" si="197"/>
        <v/>
      </c>
      <c r="BN115" s="65" t="str">
        <f t="shared" si="198"/>
        <v/>
      </c>
      <c r="BO115" s="65" t="str">
        <f t="shared" si="199"/>
        <v/>
      </c>
      <c r="BP115" s="68" t="str">
        <f>IF('Marks Entry'!AG115="","",'Marks Entry'!AG115)</f>
        <v/>
      </c>
      <c r="BQ115" s="68" t="str">
        <f>IF('Marks Entry'!AH115="","",'Marks Entry'!AH115)</f>
        <v/>
      </c>
      <c r="BR115" s="68" t="str">
        <f>IF('Marks Entry'!AI115="","",'Marks Entry'!AI115)</f>
        <v/>
      </c>
      <c r="BS115" s="514" t="str">
        <f t="shared" si="200"/>
        <v/>
      </c>
      <c r="BT115" s="68" t="str">
        <f>IF('Marks Entry'!AJ115="","",'Marks Entry'!AJ115)</f>
        <v/>
      </c>
      <c r="BU115" s="515" t="str">
        <f t="shared" si="201"/>
        <v/>
      </c>
      <c r="BV115" s="68" t="str">
        <f>IF('Marks Entry'!AK115="","",'Marks Entry'!AK115)</f>
        <v/>
      </c>
      <c r="BW115" s="96" t="str">
        <f t="shared" si="202"/>
        <v/>
      </c>
      <c r="BX115" s="65">
        <f t="shared" si="203"/>
        <v>0</v>
      </c>
      <c r="BY115" s="65">
        <f t="shared" si="204"/>
        <v>0</v>
      </c>
      <c r="BZ115" s="66" t="str">
        <f t="shared" si="205"/>
        <v/>
      </c>
      <c r="CA115" s="65" t="str">
        <f t="shared" si="206"/>
        <v/>
      </c>
      <c r="CB115" s="65" t="str">
        <f t="shared" si="207"/>
        <v/>
      </c>
      <c r="CC115" s="65" t="str">
        <f t="shared" si="208"/>
        <v/>
      </c>
      <c r="CD115" s="66">
        <f t="shared" si="329"/>
        <v>0</v>
      </c>
      <c r="CE115" s="68" t="str">
        <f>IF('Marks Entry'!AL115="","",'Marks Entry'!AL115)</f>
        <v/>
      </c>
      <c r="CF115" s="68" t="str">
        <f>IF('Marks Entry'!AM115="","",'Marks Entry'!AM115)</f>
        <v/>
      </c>
      <c r="CG115" s="68" t="str">
        <f>IF('Marks Entry'!AN115="","",'Marks Entry'!AN115)</f>
        <v/>
      </c>
      <c r="CH115" s="514" t="str">
        <f t="shared" si="210"/>
        <v/>
      </c>
      <c r="CI115" s="68" t="str">
        <f>IF('Marks Entry'!AO115="","",'Marks Entry'!AO115)</f>
        <v/>
      </c>
      <c r="CJ115" s="515" t="str">
        <f t="shared" si="211"/>
        <v/>
      </c>
      <c r="CK115" s="68" t="str">
        <f>IF('Marks Entry'!AP115="","",'Marks Entry'!AP115)</f>
        <v/>
      </c>
      <c r="CL115" s="96" t="str">
        <f t="shared" si="212"/>
        <v/>
      </c>
      <c r="CM115" s="65">
        <f t="shared" si="213"/>
        <v>0</v>
      </c>
      <c r="CN115" s="65">
        <f t="shared" si="214"/>
        <v>0</v>
      </c>
      <c r="CO115" s="66" t="str">
        <f t="shared" si="215"/>
        <v/>
      </c>
      <c r="CP115" s="65" t="str">
        <f t="shared" si="216"/>
        <v/>
      </c>
      <c r="CQ115" s="65" t="str">
        <f t="shared" si="217"/>
        <v/>
      </c>
      <c r="CR115" s="65" t="str">
        <f t="shared" si="218"/>
        <v/>
      </c>
      <c r="CS115" s="616" t="str">
        <f>IF('School Profile'!$D$20="NO","",IF('Marks Entry'!AQ115="","",IF('Marks Entry'!AQ115=1,'School Profile'!$I$29,IF('Marks Entry'!AQ115=2,'School Profile'!$I$30,IF('Marks Entry'!AQ115=3,'School Profile'!$I$31,IF('Marks Entry'!AQ115=4,'School Profile'!$I$32,IF('Marks Entry'!AQ115=5,'School Profile'!$I$33,IF('Marks Entry'!AQ115=6,'School Profile'!$I$34,IF('Marks Entry'!AQ115=7,'School Profile'!$I$35,IF('Marks Entry'!AQ115=8,'School Profile'!$I$36,IF('Marks Entry'!AQ115=9,'School Profile'!$I$37,IF('Marks Entry'!AQ115=10,'School Profile'!$I$38,IF('Marks Entry'!AQ115=11,'School Profile'!$I$39,"")))))))))))))</f>
        <v/>
      </c>
      <c r="CT115" s="68" t="str">
        <f>IF('School Profile'!$D$20="NO","",IF('Marks Entry'!AR115="","",'Marks Entry'!AR115))</f>
        <v/>
      </c>
      <c r="CU115" s="68" t="str">
        <f>IF('School Profile'!$D$20="NO","",IF('Marks Entry'!AS115="","",'Marks Entry'!AS115))</f>
        <v/>
      </c>
      <c r="CV115" s="68" t="str">
        <f>IF('School Profile'!$D$20="NO","",IF('Marks Entry'!AT115="","",'Marks Entry'!AT115))</f>
        <v/>
      </c>
      <c r="CW115" s="514" t="str">
        <f>IF('School Profile'!$D$20="NO","",IF(AND(CT115="",CU115="",CV115=""),"",SUM(CT115:CV115)))</f>
        <v/>
      </c>
      <c r="CX115" s="68" t="str">
        <f>IF('School Profile'!$D$20="NO","",IF('Marks Entry'!AU115="","",'Marks Entry'!AU115))</f>
        <v/>
      </c>
      <c r="CY115" s="68" t="str">
        <f>IF('School Profile'!$D$20="NO","",IF('Marks Entry'!AV115="","",'Marks Entry'!AV115))</f>
        <v/>
      </c>
      <c r="CZ115" s="515" t="str">
        <f>IF('School Profile'!$D$20="NO","",IF(AND(CX115="",CY115=""),"",SUM(CX115,CY115)))</f>
        <v/>
      </c>
      <c r="DA115" s="69" t="str">
        <f>IF('School Profile'!$D$20="NO","",IF(AND(CW115="",CZ115=""),"",SUM(CW115+CZ115)))</f>
        <v/>
      </c>
      <c r="DB115" s="68" t="str">
        <f>IF('School Profile'!$D$20="NO","",IF('Marks Entry'!AW115="","",'Marks Entry'!AW115))</f>
        <v/>
      </c>
      <c r="DC115" s="68" t="str">
        <f>IF('School Profile'!$D$20="NO","",IF('Marks Entry'!AX115="","",'Marks Entry'!AX115))</f>
        <v/>
      </c>
      <c r="DD115" s="515" t="str">
        <f>IF('School Profile'!$D$20="NO","",IF(AND(DB115="",DC115=""),"",SUM(DB115,DC115)))</f>
        <v/>
      </c>
      <c r="DE115" s="96" t="str">
        <f>IF('School Profile'!$D$20="NO","",IF(AND(DA115="",DD115=""),"",SUM(DA115,DD115)))</f>
        <v/>
      </c>
      <c r="DF115" s="532">
        <f t="shared" si="219"/>
        <v>0</v>
      </c>
      <c r="DG115" s="65">
        <f t="shared" si="220"/>
        <v>0</v>
      </c>
      <c r="DH115" s="66" t="str">
        <f t="shared" si="221"/>
        <v/>
      </c>
      <c r="DI115" s="65" t="str">
        <f t="shared" si="222"/>
        <v/>
      </c>
      <c r="DJ115" s="65" t="str">
        <f t="shared" si="223"/>
        <v/>
      </c>
      <c r="DK115" s="65" t="str">
        <f t="shared" si="224"/>
        <v/>
      </c>
      <c r="DL115" s="97" t="str">
        <f t="shared" si="264"/>
        <v/>
      </c>
      <c r="DM115" s="97" t="str">
        <f t="shared" si="265"/>
        <v/>
      </c>
      <c r="DN115" s="97" t="str">
        <f t="shared" si="266"/>
        <v/>
      </c>
      <c r="DO115" s="97" t="str">
        <f t="shared" si="267"/>
        <v/>
      </c>
      <c r="DP115" s="97" t="str">
        <f t="shared" si="268"/>
        <v/>
      </c>
      <c r="DQ115" s="97" t="str">
        <f t="shared" si="269"/>
        <v/>
      </c>
      <c r="DR115" s="97" t="str">
        <f t="shared" si="270"/>
        <v/>
      </c>
      <c r="DS115" s="98">
        <f t="shared" si="271"/>
        <v>0</v>
      </c>
      <c r="DT115" s="98">
        <f t="shared" si="272"/>
        <v>0</v>
      </c>
      <c r="DU115" s="98">
        <f t="shared" si="273"/>
        <v>0</v>
      </c>
      <c r="DV115" s="98">
        <f t="shared" si="274"/>
        <v>0</v>
      </c>
      <c r="DW115" s="98">
        <f t="shared" si="275"/>
        <v>0</v>
      </c>
      <c r="DX115" s="98" t="str">
        <f t="shared" si="276"/>
        <v/>
      </c>
      <c r="DY115" s="99" t="str">
        <f t="shared" si="277"/>
        <v/>
      </c>
      <c r="DZ115" s="74" t="str">
        <f>IF('Marks Entry'!AY115="","",'Marks Entry'!AY115)</f>
        <v/>
      </c>
      <c r="EA115" s="74" t="str">
        <f>IF('Marks Entry'!AZ115="","",'Marks Entry'!AZ115)</f>
        <v/>
      </c>
      <c r="EB115" s="74" t="str">
        <f>IF('Marks Entry'!BA115="","",'Marks Entry'!BA115)</f>
        <v/>
      </c>
      <c r="EC115" s="527" t="str">
        <f t="shared" si="225"/>
        <v/>
      </c>
      <c r="ED115" s="74" t="str">
        <f>IF('Marks Entry'!BB115="","",'Marks Entry'!BB115)</f>
        <v/>
      </c>
      <c r="EE115" s="528" t="str">
        <f t="shared" si="226"/>
        <v/>
      </c>
      <c r="EF115" s="74" t="str">
        <f>IF('Marks Entry'!BC115="","",'Marks Entry'!BC115)</f>
        <v/>
      </c>
      <c r="EG115" s="530" t="str">
        <f t="shared" si="227"/>
        <v/>
      </c>
      <c r="EH115" s="368" t="str">
        <f t="shared" si="278"/>
        <v/>
      </c>
      <c r="EI115" s="65">
        <f t="shared" si="279"/>
        <v>0</v>
      </c>
      <c r="EJ115" s="65">
        <f t="shared" si="280"/>
        <v>0</v>
      </c>
      <c r="EK115" s="66" t="str">
        <f t="shared" si="281"/>
        <v/>
      </c>
      <c r="EL115" s="74" t="str">
        <f>IF('Marks Entry'!BD115="","",'Marks Entry'!BD115)</f>
        <v/>
      </c>
      <c r="EM115" s="74" t="str">
        <f>IF('Marks Entry'!BE115="","",'Marks Entry'!BE115)</f>
        <v/>
      </c>
      <c r="EN115" s="74" t="str">
        <f>IF('Marks Entry'!BF115="","",'Marks Entry'!BF115)</f>
        <v/>
      </c>
      <c r="EO115" s="527" t="str">
        <f t="shared" si="228"/>
        <v/>
      </c>
      <c r="EP115" s="74" t="str">
        <f>IF('Marks Entry'!BG115="","",'Marks Entry'!BG115)</f>
        <v/>
      </c>
      <c r="EQ115" s="74" t="str">
        <f>IF('Marks Entry'!BH115="","",'Marks Entry'!BH115)</f>
        <v/>
      </c>
      <c r="ER115" s="528" t="str">
        <f t="shared" si="229"/>
        <v/>
      </c>
      <c r="ES115" s="529" t="str">
        <f t="shared" si="230"/>
        <v/>
      </c>
      <c r="ET115" s="74" t="str">
        <f>IF('Marks Entry'!BI115="","",'Marks Entry'!BI115)</f>
        <v/>
      </c>
      <c r="EU115" s="74" t="str">
        <f>IF('Marks Entry'!BJ115="","",'Marks Entry'!BJ115)</f>
        <v/>
      </c>
      <c r="EV115" s="528" t="str">
        <f t="shared" si="231"/>
        <v/>
      </c>
      <c r="EW115" s="530" t="str">
        <f t="shared" si="232"/>
        <v/>
      </c>
      <c r="EX115" s="368" t="str">
        <f t="shared" si="282"/>
        <v/>
      </c>
      <c r="EY115" s="65">
        <f t="shared" si="283"/>
        <v>0</v>
      </c>
      <c r="EZ115" s="65">
        <f t="shared" si="284"/>
        <v>0</v>
      </c>
      <c r="FA115" s="66" t="str">
        <f t="shared" si="285"/>
        <v/>
      </c>
      <c r="FB115" s="74" t="str">
        <f>IF('Marks Entry'!BK115="","",'Marks Entry'!BK115)</f>
        <v/>
      </c>
      <c r="FC115" s="74" t="str">
        <f>IF('Marks Entry'!BL115="","",'Marks Entry'!BL115)</f>
        <v/>
      </c>
      <c r="FD115" s="74" t="str">
        <f>IF('Marks Entry'!BM115="","",'Marks Entry'!BM115)</f>
        <v/>
      </c>
      <c r="FE115" s="74" t="str">
        <f>IF('Marks Entry'!BN115="","",'Marks Entry'!BN115)</f>
        <v/>
      </c>
      <c r="FF115" s="74" t="str">
        <f>IF('Marks Entry'!BO115="","",'Marks Entry'!BO115)</f>
        <v/>
      </c>
      <c r="FG115" s="74" t="str">
        <f>IF('Marks Entry'!BP115="","",'Marks Entry'!BP115)</f>
        <v/>
      </c>
      <c r="FH115" s="527" t="str">
        <f t="shared" si="233"/>
        <v/>
      </c>
      <c r="FI115" s="74" t="str">
        <f>IF('Marks Entry'!BQ115="","",'Marks Entry'!BQ115)</f>
        <v/>
      </c>
      <c r="FJ115" s="74" t="str">
        <f>IF('Marks Entry'!BR115="","",'Marks Entry'!BR115)</f>
        <v/>
      </c>
      <c r="FK115" s="528" t="str">
        <f t="shared" si="234"/>
        <v/>
      </c>
      <c r="FL115" s="529" t="str">
        <f t="shared" si="235"/>
        <v/>
      </c>
      <c r="FM115" s="74" t="str">
        <f>IF('Marks Entry'!BS115="","",'Marks Entry'!BS115)</f>
        <v/>
      </c>
      <c r="FN115" s="74" t="str">
        <f>IF('Marks Entry'!BT115="","",'Marks Entry'!BT115)</f>
        <v/>
      </c>
      <c r="FO115" s="528" t="str">
        <f t="shared" si="236"/>
        <v/>
      </c>
      <c r="FP115" s="530" t="str">
        <f t="shared" si="237"/>
        <v/>
      </c>
      <c r="FQ115" s="368" t="str">
        <f t="shared" si="286"/>
        <v/>
      </c>
      <c r="FR115" s="65">
        <f t="shared" si="287"/>
        <v>0</v>
      </c>
      <c r="FS115" s="65">
        <f t="shared" si="288"/>
        <v>0</v>
      </c>
      <c r="FT115" s="66" t="str">
        <f t="shared" si="289"/>
        <v/>
      </c>
      <c r="FU115" s="74" t="str">
        <f>IF('Marks Entry'!BU115="","",'Marks Entry'!BU115)</f>
        <v/>
      </c>
      <c r="FV115" s="74" t="str">
        <f>IF('Marks Entry'!BV115="","",'Marks Entry'!BV115)</f>
        <v/>
      </c>
      <c r="FW115" s="74" t="str">
        <f>IF('Marks Entry'!BW115="","",'Marks Entry'!BW115)</f>
        <v/>
      </c>
      <c r="FX115" s="75" t="str">
        <f t="shared" si="238"/>
        <v/>
      </c>
      <c r="FY115" s="368" t="str">
        <f t="shared" si="290"/>
        <v/>
      </c>
      <c r="FZ115" s="65">
        <f t="shared" si="291"/>
        <v>0</v>
      </c>
      <c r="GA115" s="66">
        <f t="shared" si="292"/>
        <v>0</v>
      </c>
      <c r="GB115" s="66" t="str">
        <f t="shared" si="293"/>
        <v/>
      </c>
      <c r="GC115" s="74" t="str">
        <f>IF('Marks Entry'!BX115="","",'Marks Entry'!BX115)</f>
        <v/>
      </c>
      <c r="GD115" s="74" t="str">
        <f>IF('Marks Entry'!BY115="","",'Marks Entry'!BY115)</f>
        <v/>
      </c>
      <c r="GE115" s="74" t="str">
        <f>IF('Marks Entry'!BZ115="","",'Marks Entry'!BZ115)</f>
        <v/>
      </c>
      <c r="GF115" s="75" t="str">
        <f t="shared" si="294"/>
        <v/>
      </c>
      <c r="GG115" s="368" t="str">
        <f t="shared" si="295"/>
        <v/>
      </c>
      <c r="GH115" s="65">
        <f t="shared" si="296"/>
        <v>0</v>
      </c>
      <c r="GI115" s="66">
        <f t="shared" si="297"/>
        <v>0</v>
      </c>
      <c r="GJ115" s="66" t="str">
        <f t="shared" si="298"/>
        <v/>
      </c>
      <c r="GK115" s="100" t="str">
        <f>IF(AND(F115="",B115=""),"",IF('Student DATA Entry'!M112="","",'Student DATA Entry'!M112))</f>
        <v/>
      </c>
      <c r="GL115" s="101" t="str">
        <f>IF(AND(B115="",F115=""),"",IF('Student DATA Entry'!N112="","",'Student DATA Entry'!N112))</f>
        <v/>
      </c>
      <c r="GM115" s="581" t="str">
        <f t="shared" si="299"/>
        <v/>
      </c>
      <c r="GN115" s="94" t="str">
        <f t="shared" si="300"/>
        <v/>
      </c>
      <c r="GO115" s="94" t="str">
        <f t="shared" si="301"/>
        <v/>
      </c>
      <c r="GP115" s="102" t="str">
        <f t="shared" si="330"/>
        <v/>
      </c>
      <c r="GQ115" s="94" t="str">
        <f t="shared" si="302"/>
        <v/>
      </c>
      <c r="GR115" s="103" t="str">
        <f t="shared" si="303"/>
        <v/>
      </c>
      <c r="GS115" s="102" t="str">
        <f t="shared" si="331"/>
        <v/>
      </c>
      <c r="GT115" s="104" t="str">
        <f t="shared" si="304"/>
        <v/>
      </c>
      <c r="GU115" s="94" t="str">
        <f>IF('Marks Entry'!V115=1,GT115,"")</f>
        <v/>
      </c>
      <c r="GV115" s="94" t="str">
        <f>IF('Marks Entry'!V115=2,GT115,"")</f>
        <v/>
      </c>
      <c r="GW115" s="94" t="str">
        <f>IF('Marks Entry'!V115=3,GT115,"")</f>
        <v/>
      </c>
      <c r="GX115" s="94" t="str">
        <f>IF('Marks Entry'!V115=4,GT115,"")</f>
        <v/>
      </c>
      <c r="GY115" s="94" t="str">
        <f>IF('Marks Entry'!V115=5,GT115,"")</f>
        <v/>
      </c>
      <c r="GZ115" s="94" t="str">
        <f t="shared" si="305"/>
        <v/>
      </c>
      <c r="HA115" s="105" t="str">
        <f t="shared" si="332"/>
        <v/>
      </c>
      <c r="HB115" s="94" t="str">
        <f t="shared" si="306"/>
        <v/>
      </c>
      <c r="HC115" s="94" t="str">
        <f t="shared" si="307"/>
        <v/>
      </c>
      <c r="HD115" s="105" t="str">
        <f t="shared" si="333"/>
        <v/>
      </c>
      <c r="HE115" s="94" t="str">
        <f t="shared" si="308"/>
        <v/>
      </c>
      <c r="HF115" s="94" t="str">
        <f t="shared" si="309"/>
        <v/>
      </c>
      <c r="HG115" s="105" t="str">
        <f t="shared" si="334"/>
        <v/>
      </c>
      <c r="HH115" s="94" t="str">
        <f t="shared" si="310"/>
        <v/>
      </c>
      <c r="HI115" s="94" t="str">
        <f t="shared" si="311"/>
        <v/>
      </c>
      <c r="HJ115" s="105" t="str">
        <f t="shared" si="335"/>
        <v/>
      </c>
      <c r="HK115" s="94" t="str">
        <f t="shared" si="312"/>
        <v/>
      </c>
      <c r="HL115" s="94" t="str">
        <f t="shared" si="313"/>
        <v/>
      </c>
      <c r="HM115" s="105" t="str">
        <f t="shared" si="336"/>
        <v/>
      </c>
      <c r="HN115" s="367" t="str">
        <f t="shared" si="314"/>
        <v xml:space="preserve">      </v>
      </c>
      <c r="HO115" s="418" t="str">
        <f t="shared" si="337"/>
        <v xml:space="preserve">      </v>
      </c>
      <c r="HP115" s="367" t="str">
        <f t="shared" si="315"/>
        <v xml:space="preserve">      </v>
      </c>
      <c r="HQ115" s="107" t="str">
        <f t="shared" si="316"/>
        <v xml:space="preserve">      </v>
      </c>
      <c r="HR115" s="366" t="str">
        <f t="shared" si="317"/>
        <v xml:space="preserve">      </v>
      </c>
      <c r="HS115" s="544" t="str">
        <f t="shared" si="338"/>
        <v/>
      </c>
      <c r="HT115" s="542" t="str">
        <f t="shared" si="318"/>
        <v/>
      </c>
      <c r="HU115" s="541" t="str">
        <f t="shared" si="319"/>
        <v/>
      </c>
      <c r="HV115" s="540" t="str">
        <f t="shared" si="320"/>
        <v/>
      </c>
      <c r="HW115" s="537" t="str">
        <f t="shared" si="321"/>
        <v/>
      </c>
      <c r="HX115" s="539" t="str">
        <f t="shared" si="322"/>
        <v/>
      </c>
      <c r="HY115" s="553" t="str">
        <f>IFERROR(IF(OR(HS115="SUPPLEMENTARY",HS115="RE-EXAM"),'Supp. Result Entry'!AQ113,""),"")</f>
        <v/>
      </c>
      <c r="HZ115" s="538" t="str">
        <f t="shared" si="323"/>
        <v/>
      </c>
      <c r="IA115" s="415" t="str">
        <f t="shared" si="324"/>
        <v/>
      </c>
      <c r="IB115" s="415" t="str">
        <f>IF(AND(HZ115="",IA115=""),"",IF(OR(HS115="SUPPLEMENTARY",HS115="RE-EXAM"),'Supp. Result Entry'!AQ113,HS115))</f>
        <v/>
      </c>
      <c r="IC115" s="87"/>
      <c r="IS115" s="109" t="str">
        <f>IF('Supp. Result Entry'!T113="","",'Supp. Result Entry'!$T$4)</f>
        <v/>
      </c>
      <c r="IT115" s="110" t="str">
        <f>IF('Supp. Result Entry'!W113="","",'Supp. Result Entry'!$W$4)</f>
        <v/>
      </c>
      <c r="IU115" s="110" t="str">
        <f>IF('Supp. Result Entry'!Z113="","",'Supp. Result Entry'!$Z$4)</f>
        <v/>
      </c>
      <c r="IV115" s="110" t="str">
        <f>IF('Supp. Result Entry'!AC113="","",'Supp. Result Entry'!$AC$4)</f>
        <v/>
      </c>
      <c r="IW115" s="110" t="str">
        <f>IF('Supp. Result Entry'!AF113="","",'Supp. Result Entry'!$AF$4)</f>
        <v/>
      </c>
      <c r="IX115" s="110" t="str">
        <f>IF('Supp. Result Entry'!AI113="","",'Supp. Result Entry'!$AI$4)</f>
        <v/>
      </c>
      <c r="IY115" s="110" t="str">
        <f>IF('Supp. Result Entry'!AI113="","",'Supp. Result Entry'!$AL$4)</f>
        <v/>
      </c>
      <c r="IZ115" s="110" t="str">
        <f>IF('Supp. Result Entry'!U113="","",'Supp. Result Entry'!U113)</f>
        <v/>
      </c>
      <c r="JA115" s="110" t="str">
        <f>IF('Supp. Result Entry'!X113="","",'Supp. Result Entry'!X113)</f>
        <v/>
      </c>
      <c r="JB115" s="110" t="str">
        <f>IF('Supp. Result Entry'!AA113="","",'Supp. Result Entry'!AA113)</f>
        <v/>
      </c>
      <c r="JC115" s="110" t="str">
        <f>IF('Supp. Result Entry'!AD113="","",'Supp. Result Entry'!AD113)</f>
        <v/>
      </c>
      <c r="JD115" s="110" t="str">
        <f>IF('Supp. Result Entry'!AG113="","",'Supp. Result Entry'!AG113)</f>
        <v/>
      </c>
      <c r="JE115" s="110" t="str">
        <f>IF('Supp. Result Entry'!AJ113="","",'Supp. Result Entry'!AJ113)</f>
        <v/>
      </c>
      <c r="JF115" s="110" t="str">
        <f>IF('Supp. Result Entry'!AM113="","",'Supp. Result Entry'!AM113)</f>
        <v/>
      </c>
      <c r="JG115" s="110" t="str">
        <f>IF('Supp. Result Entry'!V113="","",'Supp. Result Entry'!V113)</f>
        <v/>
      </c>
      <c r="JH115" s="110" t="str">
        <f>IF('Supp. Result Entry'!Y113="","",'Supp. Result Entry'!Y113)</f>
        <v/>
      </c>
      <c r="JI115" s="110" t="str">
        <f>IF('Supp. Result Entry'!AB113="","",'Supp. Result Entry'!AB113)</f>
        <v/>
      </c>
      <c r="JJ115" s="110" t="str">
        <f>IF('Supp. Result Entry'!AE113="","",'Supp. Result Entry'!AE113)</f>
        <v/>
      </c>
      <c r="JK115" s="110" t="str">
        <f>IF('Supp. Result Entry'!AH113="","",'Supp. Result Entry'!AH113)</f>
        <v/>
      </c>
      <c r="JL115" s="110" t="str">
        <f>IF('Supp. Result Entry'!AK113="","",'Supp. Result Entry'!AK113)</f>
        <v/>
      </c>
      <c r="JM115" s="110" t="str">
        <f>IF('Supp. Result Entry'!AN113="","",'Supp. Result Entry'!AN113)</f>
        <v/>
      </c>
      <c r="JN115" s="110">
        <f>COUNTIF('Supp. Result Entry'!K113:Q113,"S")</f>
        <v>0</v>
      </c>
      <c r="JO115" s="110">
        <f t="shared" si="248"/>
        <v>0</v>
      </c>
      <c r="JP115" s="110">
        <f t="shared" si="325"/>
        <v>0</v>
      </c>
      <c r="JQ115" s="110" t="str">
        <f t="shared" si="249"/>
        <v/>
      </c>
      <c r="JR115" s="110" t="str">
        <f t="shared" si="250"/>
        <v/>
      </c>
      <c r="JS115" s="110" t="str">
        <f t="shared" si="251"/>
        <v/>
      </c>
      <c r="JT115" s="110" t="str">
        <f t="shared" si="252"/>
        <v/>
      </c>
      <c r="JU115" s="110" t="str">
        <f t="shared" si="253"/>
        <v/>
      </c>
      <c r="JV115" s="110" t="str">
        <f t="shared" si="254"/>
        <v/>
      </c>
      <c r="JW115" s="110" t="str">
        <f t="shared" si="255"/>
        <v/>
      </c>
      <c r="JX115" s="110" t="str">
        <f t="shared" si="326"/>
        <v/>
      </c>
      <c r="JY115" s="110" t="str">
        <f t="shared" si="327"/>
        <v/>
      </c>
      <c r="JZ115" s="110" t="str">
        <f t="shared" si="256"/>
        <v/>
      </c>
      <c r="KA115" s="108" t="str">
        <f t="shared" si="328"/>
        <v/>
      </c>
    </row>
    <row r="116" spans="1:287" s="108" customFormat="1" ht="21.95" customHeight="1">
      <c r="A116" s="89">
        <v>110</v>
      </c>
      <c r="B116" s="90" t="str">
        <f>IF('Marks Entry'!B116="","",'Marks Entry'!B116)</f>
        <v/>
      </c>
      <c r="C116" s="94" t="str">
        <f>IF('Marks Entry'!D116="","",'Marks Entry'!D116)</f>
        <v/>
      </c>
      <c r="D116" s="91" t="str">
        <f>IF('Marks Entry'!E116="","",'Marks Entry'!E116)</f>
        <v/>
      </c>
      <c r="E116" s="92" t="str">
        <f>IF('Marks Entry'!F116="","",'Marks Entry'!F116)</f>
        <v/>
      </c>
      <c r="F116" s="93" t="str">
        <f>IF('Marks Entry'!G116="","",'Marks Entry'!G116)</f>
        <v/>
      </c>
      <c r="G116" s="93" t="str">
        <f>IF('Marks Entry'!H116="","",'Marks Entry'!H116)</f>
        <v/>
      </c>
      <c r="H116" s="93" t="str">
        <f>IF('Marks Entry'!I116="","",'Marks Entry'!I116)</f>
        <v/>
      </c>
      <c r="I116" s="94" t="str">
        <f>IF('Marks Entry'!J116="","",'Marks Entry'!J116)</f>
        <v/>
      </c>
      <c r="J116" s="95" t="str">
        <f>IF('Marks Entry'!K116="","",'Marks Entry'!K116)</f>
        <v/>
      </c>
      <c r="K116" s="68" t="str">
        <f>IF('Marks Entry'!L116="","",'Marks Entry'!L116)</f>
        <v/>
      </c>
      <c r="L116" s="68" t="str">
        <f>IF('Marks Entry'!M116="","",'Marks Entry'!M116)</f>
        <v/>
      </c>
      <c r="M116" s="68" t="str">
        <f>IF('Marks Entry'!N116="","",'Marks Entry'!N116)</f>
        <v/>
      </c>
      <c r="N116" s="514" t="str">
        <f t="shared" si="257"/>
        <v/>
      </c>
      <c r="O116" s="68" t="str">
        <f>IF('Marks Entry'!O116="","",'Marks Entry'!O116)</f>
        <v/>
      </c>
      <c r="P116" s="515" t="str">
        <f t="shared" si="258"/>
        <v/>
      </c>
      <c r="Q116" s="68" t="str">
        <f>IF('Marks Entry'!P116="","",'Marks Entry'!P116)</f>
        <v/>
      </c>
      <c r="R116" s="96" t="str">
        <f t="shared" si="259"/>
        <v/>
      </c>
      <c r="S116" s="65">
        <f t="shared" si="260"/>
        <v>0</v>
      </c>
      <c r="T116" s="65">
        <f t="shared" si="261"/>
        <v>0</v>
      </c>
      <c r="U116" s="66" t="str">
        <f t="shared" si="171"/>
        <v/>
      </c>
      <c r="V116" s="65" t="str">
        <f t="shared" si="172"/>
        <v/>
      </c>
      <c r="W116" s="65" t="str">
        <f t="shared" si="262"/>
        <v/>
      </c>
      <c r="X116" s="65" t="str">
        <f t="shared" si="173"/>
        <v/>
      </c>
      <c r="Y116" s="68" t="str">
        <f>IF('Marks Entry'!Q116="","",'Marks Entry'!Q116)</f>
        <v/>
      </c>
      <c r="Z116" s="68" t="str">
        <f>IF('Marks Entry'!R116="","",'Marks Entry'!R116)</f>
        <v/>
      </c>
      <c r="AA116" s="68" t="str">
        <f>IF('Marks Entry'!S116="","",'Marks Entry'!S116)</f>
        <v/>
      </c>
      <c r="AB116" s="514" t="str">
        <f t="shared" si="174"/>
        <v/>
      </c>
      <c r="AC116" s="68" t="str">
        <f>IF('Marks Entry'!T116="","",'Marks Entry'!T116)</f>
        <v/>
      </c>
      <c r="AD116" s="515" t="str">
        <f t="shared" si="175"/>
        <v/>
      </c>
      <c r="AE116" s="68" t="str">
        <f>IF('Marks Entry'!U116="","",'Marks Entry'!U116)</f>
        <v/>
      </c>
      <c r="AF116" s="96" t="str">
        <f t="shared" si="176"/>
        <v/>
      </c>
      <c r="AG116" s="65">
        <f t="shared" si="177"/>
        <v>0</v>
      </c>
      <c r="AH116" s="65">
        <f t="shared" si="178"/>
        <v>0</v>
      </c>
      <c r="AI116" s="66" t="str">
        <f t="shared" si="179"/>
        <v/>
      </c>
      <c r="AJ116" s="65" t="str">
        <f t="shared" si="180"/>
        <v/>
      </c>
      <c r="AK116" s="65" t="str">
        <f t="shared" si="181"/>
        <v/>
      </c>
      <c r="AL116" s="65" t="str">
        <f t="shared" si="182"/>
        <v/>
      </c>
      <c r="AM116" s="524" t="str">
        <f>IF('Marks Entry'!V116="","",IF('Marks Entry'!V116=1,'School Profile'!$I$9,IF('Marks Entry'!V116=2,'School Profile'!$I$10,IF('Marks Entry'!V116=3,'School Profile'!$I$11,IF('Marks Entry'!V116=4,'School Profile'!$I$12,IF('Marks Entry'!V116=5,'School Profile'!$I$13,IF('Marks Entry'!V116=6,'School Profile'!$I$14,"")))))))</f>
        <v/>
      </c>
      <c r="AN116" s="68" t="str">
        <f>IF('Marks Entry'!W116="","",'Marks Entry'!W116)</f>
        <v/>
      </c>
      <c r="AO116" s="68" t="str">
        <f>IF('Marks Entry'!X116="","",'Marks Entry'!X116)</f>
        <v/>
      </c>
      <c r="AP116" s="68" t="str">
        <f>IF('Marks Entry'!Y116="","",'Marks Entry'!Y116)</f>
        <v/>
      </c>
      <c r="AQ116" s="514" t="str">
        <f t="shared" si="183"/>
        <v/>
      </c>
      <c r="AR116" s="68" t="str">
        <f>IF('Marks Entry'!Z116="","",'Marks Entry'!Z116)</f>
        <v/>
      </c>
      <c r="AS116" s="515" t="str">
        <f t="shared" si="184"/>
        <v/>
      </c>
      <c r="AT116" s="68" t="str">
        <f>IF('Marks Entry'!AA116="","",'Marks Entry'!AA116)</f>
        <v/>
      </c>
      <c r="AU116" s="96" t="str">
        <f t="shared" si="185"/>
        <v/>
      </c>
      <c r="AV116" s="65">
        <f t="shared" si="186"/>
        <v>0</v>
      </c>
      <c r="AW116" s="65">
        <f t="shared" si="187"/>
        <v>0</v>
      </c>
      <c r="AX116" s="66" t="str">
        <f t="shared" si="188"/>
        <v/>
      </c>
      <c r="AY116" s="65" t="str">
        <f t="shared" si="189"/>
        <v/>
      </c>
      <c r="AZ116" s="65" t="str">
        <f t="shared" si="190"/>
        <v/>
      </c>
      <c r="BA116" s="65" t="str">
        <f t="shared" si="191"/>
        <v/>
      </c>
      <c r="BB116" s="68" t="str">
        <f>IF('Marks Entry'!AB116="","",'Marks Entry'!AB116)</f>
        <v/>
      </c>
      <c r="BC116" s="68" t="str">
        <f>IF('Marks Entry'!AC116="","",'Marks Entry'!AC116)</f>
        <v/>
      </c>
      <c r="BD116" s="68" t="str">
        <f>IF('Marks Entry'!AD116="","",'Marks Entry'!AD116)</f>
        <v/>
      </c>
      <c r="BE116" s="514" t="str">
        <f t="shared" si="192"/>
        <v/>
      </c>
      <c r="BF116" s="68" t="str">
        <f>IF('Marks Entry'!AE116="","",'Marks Entry'!AE116)</f>
        <v/>
      </c>
      <c r="BG116" s="515" t="str">
        <f t="shared" si="193"/>
        <v/>
      </c>
      <c r="BH116" s="68" t="str">
        <f>IF('Marks Entry'!AF116="","",'Marks Entry'!AF116)</f>
        <v/>
      </c>
      <c r="BI116" s="96" t="str">
        <f t="shared" si="194"/>
        <v/>
      </c>
      <c r="BJ116" s="65">
        <f t="shared" si="195"/>
        <v>0</v>
      </c>
      <c r="BK116" s="65">
        <f t="shared" si="263"/>
        <v>0</v>
      </c>
      <c r="BL116" s="66" t="str">
        <f t="shared" si="196"/>
        <v/>
      </c>
      <c r="BM116" s="65" t="str">
        <f t="shared" si="197"/>
        <v/>
      </c>
      <c r="BN116" s="65" t="str">
        <f t="shared" si="198"/>
        <v/>
      </c>
      <c r="BO116" s="65" t="str">
        <f t="shared" si="199"/>
        <v/>
      </c>
      <c r="BP116" s="68" t="str">
        <f>IF('Marks Entry'!AG116="","",'Marks Entry'!AG116)</f>
        <v/>
      </c>
      <c r="BQ116" s="68" t="str">
        <f>IF('Marks Entry'!AH116="","",'Marks Entry'!AH116)</f>
        <v/>
      </c>
      <c r="BR116" s="68" t="str">
        <f>IF('Marks Entry'!AI116="","",'Marks Entry'!AI116)</f>
        <v/>
      </c>
      <c r="BS116" s="514" t="str">
        <f t="shared" si="200"/>
        <v/>
      </c>
      <c r="BT116" s="68" t="str">
        <f>IF('Marks Entry'!AJ116="","",'Marks Entry'!AJ116)</f>
        <v/>
      </c>
      <c r="BU116" s="515" t="str">
        <f t="shared" si="201"/>
        <v/>
      </c>
      <c r="BV116" s="68" t="str">
        <f>IF('Marks Entry'!AK116="","",'Marks Entry'!AK116)</f>
        <v/>
      </c>
      <c r="BW116" s="96" t="str">
        <f t="shared" si="202"/>
        <v/>
      </c>
      <c r="BX116" s="65">
        <f t="shared" si="203"/>
        <v>0</v>
      </c>
      <c r="BY116" s="65">
        <f t="shared" si="204"/>
        <v>0</v>
      </c>
      <c r="BZ116" s="66" t="str">
        <f t="shared" si="205"/>
        <v/>
      </c>
      <c r="CA116" s="65" t="str">
        <f t="shared" si="206"/>
        <v/>
      </c>
      <c r="CB116" s="65" t="str">
        <f t="shared" si="207"/>
        <v/>
      </c>
      <c r="CC116" s="65" t="str">
        <f t="shared" si="208"/>
        <v/>
      </c>
      <c r="CD116" s="66">
        <f t="shared" si="329"/>
        <v>0</v>
      </c>
      <c r="CE116" s="68" t="str">
        <f>IF('Marks Entry'!AL116="","",'Marks Entry'!AL116)</f>
        <v/>
      </c>
      <c r="CF116" s="68" t="str">
        <f>IF('Marks Entry'!AM116="","",'Marks Entry'!AM116)</f>
        <v/>
      </c>
      <c r="CG116" s="68" t="str">
        <f>IF('Marks Entry'!AN116="","",'Marks Entry'!AN116)</f>
        <v/>
      </c>
      <c r="CH116" s="514" t="str">
        <f t="shared" si="210"/>
        <v/>
      </c>
      <c r="CI116" s="68" t="str">
        <f>IF('Marks Entry'!AO116="","",'Marks Entry'!AO116)</f>
        <v/>
      </c>
      <c r="CJ116" s="515" t="str">
        <f t="shared" si="211"/>
        <v/>
      </c>
      <c r="CK116" s="68" t="str">
        <f>IF('Marks Entry'!AP116="","",'Marks Entry'!AP116)</f>
        <v/>
      </c>
      <c r="CL116" s="96" t="str">
        <f t="shared" si="212"/>
        <v/>
      </c>
      <c r="CM116" s="65">
        <f t="shared" si="213"/>
        <v>0</v>
      </c>
      <c r="CN116" s="65">
        <f t="shared" si="214"/>
        <v>0</v>
      </c>
      <c r="CO116" s="66" t="str">
        <f t="shared" si="215"/>
        <v/>
      </c>
      <c r="CP116" s="65" t="str">
        <f t="shared" si="216"/>
        <v/>
      </c>
      <c r="CQ116" s="65" t="str">
        <f t="shared" si="217"/>
        <v/>
      </c>
      <c r="CR116" s="65" t="str">
        <f t="shared" si="218"/>
        <v/>
      </c>
      <c r="CS116" s="616" t="str">
        <f>IF('School Profile'!$D$20="NO","",IF('Marks Entry'!AQ116="","",IF('Marks Entry'!AQ116=1,'School Profile'!$I$29,IF('Marks Entry'!AQ116=2,'School Profile'!$I$30,IF('Marks Entry'!AQ116=3,'School Profile'!$I$31,IF('Marks Entry'!AQ116=4,'School Profile'!$I$32,IF('Marks Entry'!AQ116=5,'School Profile'!$I$33,IF('Marks Entry'!AQ116=6,'School Profile'!$I$34,IF('Marks Entry'!AQ116=7,'School Profile'!$I$35,IF('Marks Entry'!AQ116=8,'School Profile'!$I$36,IF('Marks Entry'!AQ116=9,'School Profile'!$I$37,IF('Marks Entry'!AQ116=10,'School Profile'!$I$38,IF('Marks Entry'!AQ116=11,'School Profile'!$I$39,"")))))))))))))</f>
        <v/>
      </c>
      <c r="CT116" s="68" t="str">
        <f>IF('School Profile'!$D$20="NO","",IF('Marks Entry'!AR116="","",'Marks Entry'!AR116))</f>
        <v/>
      </c>
      <c r="CU116" s="68" t="str">
        <f>IF('School Profile'!$D$20="NO","",IF('Marks Entry'!AS116="","",'Marks Entry'!AS116))</f>
        <v/>
      </c>
      <c r="CV116" s="68" t="str">
        <f>IF('School Profile'!$D$20="NO","",IF('Marks Entry'!AT116="","",'Marks Entry'!AT116))</f>
        <v/>
      </c>
      <c r="CW116" s="514" t="str">
        <f>IF('School Profile'!$D$20="NO","",IF(AND(CT116="",CU116="",CV116=""),"",SUM(CT116:CV116)))</f>
        <v/>
      </c>
      <c r="CX116" s="68" t="str">
        <f>IF('School Profile'!$D$20="NO","",IF('Marks Entry'!AU116="","",'Marks Entry'!AU116))</f>
        <v/>
      </c>
      <c r="CY116" s="68" t="str">
        <f>IF('School Profile'!$D$20="NO","",IF('Marks Entry'!AV116="","",'Marks Entry'!AV116))</f>
        <v/>
      </c>
      <c r="CZ116" s="515" t="str">
        <f>IF('School Profile'!$D$20="NO","",IF(AND(CX116="",CY116=""),"",SUM(CX116,CY116)))</f>
        <v/>
      </c>
      <c r="DA116" s="69" t="str">
        <f>IF('School Profile'!$D$20="NO","",IF(AND(CW116="",CZ116=""),"",SUM(CW116+CZ116)))</f>
        <v/>
      </c>
      <c r="DB116" s="68" t="str">
        <f>IF('School Profile'!$D$20="NO","",IF('Marks Entry'!AW116="","",'Marks Entry'!AW116))</f>
        <v/>
      </c>
      <c r="DC116" s="68" t="str">
        <f>IF('School Profile'!$D$20="NO","",IF('Marks Entry'!AX116="","",'Marks Entry'!AX116))</f>
        <v/>
      </c>
      <c r="DD116" s="515" t="str">
        <f>IF('School Profile'!$D$20="NO","",IF(AND(DB116="",DC116=""),"",SUM(DB116,DC116)))</f>
        <v/>
      </c>
      <c r="DE116" s="96" t="str">
        <f>IF('School Profile'!$D$20="NO","",IF(AND(DA116="",DD116=""),"",SUM(DA116,DD116)))</f>
        <v/>
      </c>
      <c r="DF116" s="532">
        <f t="shared" si="219"/>
        <v>0</v>
      </c>
      <c r="DG116" s="65">
        <f t="shared" si="220"/>
        <v>0</v>
      </c>
      <c r="DH116" s="66" t="str">
        <f t="shared" si="221"/>
        <v/>
      </c>
      <c r="DI116" s="65" t="str">
        <f t="shared" si="222"/>
        <v/>
      </c>
      <c r="DJ116" s="65" t="str">
        <f t="shared" si="223"/>
        <v/>
      </c>
      <c r="DK116" s="65" t="str">
        <f t="shared" si="224"/>
        <v/>
      </c>
      <c r="DL116" s="97" t="str">
        <f t="shared" si="264"/>
        <v/>
      </c>
      <c r="DM116" s="97" t="str">
        <f t="shared" si="265"/>
        <v/>
      </c>
      <c r="DN116" s="97" t="str">
        <f t="shared" si="266"/>
        <v/>
      </c>
      <c r="DO116" s="97" t="str">
        <f t="shared" si="267"/>
        <v/>
      </c>
      <c r="DP116" s="97" t="str">
        <f t="shared" si="268"/>
        <v/>
      </c>
      <c r="DQ116" s="97" t="str">
        <f t="shared" si="269"/>
        <v/>
      </c>
      <c r="DR116" s="97" t="str">
        <f t="shared" si="270"/>
        <v/>
      </c>
      <c r="DS116" s="98">
        <f t="shared" si="271"/>
        <v>0</v>
      </c>
      <c r="DT116" s="98">
        <f t="shared" si="272"/>
        <v>0</v>
      </c>
      <c r="DU116" s="98">
        <f t="shared" si="273"/>
        <v>0</v>
      </c>
      <c r="DV116" s="98">
        <f t="shared" si="274"/>
        <v>0</v>
      </c>
      <c r="DW116" s="98">
        <f t="shared" si="275"/>
        <v>0</v>
      </c>
      <c r="DX116" s="98" t="str">
        <f t="shared" si="276"/>
        <v/>
      </c>
      <c r="DY116" s="99" t="str">
        <f t="shared" si="277"/>
        <v/>
      </c>
      <c r="DZ116" s="74" t="str">
        <f>IF('Marks Entry'!AY116="","",'Marks Entry'!AY116)</f>
        <v/>
      </c>
      <c r="EA116" s="74" t="str">
        <f>IF('Marks Entry'!AZ116="","",'Marks Entry'!AZ116)</f>
        <v/>
      </c>
      <c r="EB116" s="74" t="str">
        <f>IF('Marks Entry'!BA116="","",'Marks Entry'!BA116)</f>
        <v/>
      </c>
      <c r="EC116" s="527" t="str">
        <f t="shared" si="225"/>
        <v/>
      </c>
      <c r="ED116" s="74" t="str">
        <f>IF('Marks Entry'!BB116="","",'Marks Entry'!BB116)</f>
        <v/>
      </c>
      <c r="EE116" s="528" t="str">
        <f t="shared" si="226"/>
        <v/>
      </c>
      <c r="EF116" s="74" t="str">
        <f>IF('Marks Entry'!BC116="","",'Marks Entry'!BC116)</f>
        <v/>
      </c>
      <c r="EG116" s="530" t="str">
        <f t="shared" si="227"/>
        <v/>
      </c>
      <c r="EH116" s="368" t="str">
        <f t="shared" si="278"/>
        <v/>
      </c>
      <c r="EI116" s="65">
        <f t="shared" si="279"/>
        <v>0</v>
      </c>
      <c r="EJ116" s="65">
        <f t="shared" si="280"/>
        <v>0</v>
      </c>
      <c r="EK116" s="66" t="str">
        <f t="shared" si="281"/>
        <v/>
      </c>
      <c r="EL116" s="74" t="str">
        <f>IF('Marks Entry'!BD116="","",'Marks Entry'!BD116)</f>
        <v/>
      </c>
      <c r="EM116" s="74" t="str">
        <f>IF('Marks Entry'!BE116="","",'Marks Entry'!BE116)</f>
        <v/>
      </c>
      <c r="EN116" s="74" t="str">
        <f>IF('Marks Entry'!BF116="","",'Marks Entry'!BF116)</f>
        <v/>
      </c>
      <c r="EO116" s="527" t="str">
        <f t="shared" si="228"/>
        <v/>
      </c>
      <c r="EP116" s="74" t="str">
        <f>IF('Marks Entry'!BG116="","",'Marks Entry'!BG116)</f>
        <v/>
      </c>
      <c r="EQ116" s="74" t="str">
        <f>IF('Marks Entry'!BH116="","",'Marks Entry'!BH116)</f>
        <v/>
      </c>
      <c r="ER116" s="528" t="str">
        <f t="shared" si="229"/>
        <v/>
      </c>
      <c r="ES116" s="529" t="str">
        <f t="shared" si="230"/>
        <v/>
      </c>
      <c r="ET116" s="74" t="str">
        <f>IF('Marks Entry'!BI116="","",'Marks Entry'!BI116)</f>
        <v/>
      </c>
      <c r="EU116" s="74" t="str">
        <f>IF('Marks Entry'!BJ116="","",'Marks Entry'!BJ116)</f>
        <v/>
      </c>
      <c r="EV116" s="528" t="str">
        <f t="shared" si="231"/>
        <v/>
      </c>
      <c r="EW116" s="530" t="str">
        <f t="shared" si="232"/>
        <v/>
      </c>
      <c r="EX116" s="368" t="str">
        <f t="shared" si="282"/>
        <v/>
      </c>
      <c r="EY116" s="65">
        <f t="shared" si="283"/>
        <v>0</v>
      </c>
      <c r="EZ116" s="65">
        <f t="shared" si="284"/>
        <v>0</v>
      </c>
      <c r="FA116" s="66" t="str">
        <f t="shared" si="285"/>
        <v/>
      </c>
      <c r="FB116" s="74" t="str">
        <f>IF('Marks Entry'!BK116="","",'Marks Entry'!BK116)</f>
        <v/>
      </c>
      <c r="FC116" s="74" t="str">
        <f>IF('Marks Entry'!BL116="","",'Marks Entry'!BL116)</f>
        <v/>
      </c>
      <c r="FD116" s="74" t="str">
        <f>IF('Marks Entry'!BM116="","",'Marks Entry'!BM116)</f>
        <v/>
      </c>
      <c r="FE116" s="74" t="str">
        <f>IF('Marks Entry'!BN116="","",'Marks Entry'!BN116)</f>
        <v/>
      </c>
      <c r="FF116" s="74" t="str">
        <f>IF('Marks Entry'!BO116="","",'Marks Entry'!BO116)</f>
        <v/>
      </c>
      <c r="FG116" s="74" t="str">
        <f>IF('Marks Entry'!BP116="","",'Marks Entry'!BP116)</f>
        <v/>
      </c>
      <c r="FH116" s="527" t="str">
        <f t="shared" si="233"/>
        <v/>
      </c>
      <c r="FI116" s="74" t="str">
        <f>IF('Marks Entry'!BQ116="","",'Marks Entry'!BQ116)</f>
        <v/>
      </c>
      <c r="FJ116" s="74" t="str">
        <f>IF('Marks Entry'!BR116="","",'Marks Entry'!BR116)</f>
        <v/>
      </c>
      <c r="FK116" s="528" t="str">
        <f t="shared" si="234"/>
        <v/>
      </c>
      <c r="FL116" s="529" t="str">
        <f t="shared" si="235"/>
        <v/>
      </c>
      <c r="FM116" s="74" t="str">
        <f>IF('Marks Entry'!BS116="","",'Marks Entry'!BS116)</f>
        <v/>
      </c>
      <c r="FN116" s="74" t="str">
        <f>IF('Marks Entry'!BT116="","",'Marks Entry'!BT116)</f>
        <v/>
      </c>
      <c r="FO116" s="528" t="str">
        <f t="shared" si="236"/>
        <v/>
      </c>
      <c r="FP116" s="530" t="str">
        <f t="shared" si="237"/>
        <v/>
      </c>
      <c r="FQ116" s="368" t="str">
        <f t="shared" si="286"/>
        <v/>
      </c>
      <c r="FR116" s="65">
        <f t="shared" si="287"/>
        <v>0</v>
      </c>
      <c r="FS116" s="65">
        <f t="shared" si="288"/>
        <v>0</v>
      </c>
      <c r="FT116" s="66" t="str">
        <f t="shared" si="289"/>
        <v/>
      </c>
      <c r="FU116" s="74" t="str">
        <f>IF('Marks Entry'!BU116="","",'Marks Entry'!BU116)</f>
        <v/>
      </c>
      <c r="FV116" s="74" t="str">
        <f>IF('Marks Entry'!BV116="","",'Marks Entry'!BV116)</f>
        <v/>
      </c>
      <c r="FW116" s="74" t="str">
        <f>IF('Marks Entry'!BW116="","",'Marks Entry'!BW116)</f>
        <v/>
      </c>
      <c r="FX116" s="75" t="str">
        <f t="shared" si="238"/>
        <v/>
      </c>
      <c r="FY116" s="368" t="str">
        <f t="shared" si="290"/>
        <v/>
      </c>
      <c r="FZ116" s="65">
        <f t="shared" si="291"/>
        <v>0</v>
      </c>
      <c r="GA116" s="66">
        <f t="shared" si="292"/>
        <v>0</v>
      </c>
      <c r="GB116" s="66" t="str">
        <f t="shared" si="293"/>
        <v/>
      </c>
      <c r="GC116" s="74" t="str">
        <f>IF('Marks Entry'!BX116="","",'Marks Entry'!BX116)</f>
        <v/>
      </c>
      <c r="GD116" s="74" t="str">
        <f>IF('Marks Entry'!BY116="","",'Marks Entry'!BY116)</f>
        <v/>
      </c>
      <c r="GE116" s="74" t="str">
        <f>IF('Marks Entry'!BZ116="","",'Marks Entry'!BZ116)</f>
        <v/>
      </c>
      <c r="GF116" s="75" t="str">
        <f t="shared" si="294"/>
        <v/>
      </c>
      <c r="GG116" s="368" t="str">
        <f t="shared" si="295"/>
        <v/>
      </c>
      <c r="GH116" s="65">
        <f t="shared" si="296"/>
        <v>0</v>
      </c>
      <c r="GI116" s="66">
        <f t="shared" si="297"/>
        <v>0</v>
      </c>
      <c r="GJ116" s="66" t="str">
        <f t="shared" si="298"/>
        <v/>
      </c>
      <c r="GK116" s="100" t="str">
        <f>IF(AND(F116="",B116=""),"",IF('Student DATA Entry'!M113="","",'Student DATA Entry'!M113))</f>
        <v/>
      </c>
      <c r="GL116" s="101" t="str">
        <f>IF(AND(B116="",F116=""),"",IF('Student DATA Entry'!N113="","",'Student DATA Entry'!N113))</f>
        <v/>
      </c>
      <c r="GM116" s="581" t="str">
        <f t="shared" si="299"/>
        <v/>
      </c>
      <c r="GN116" s="94" t="str">
        <f t="shared" si="300"/>
        <v/>
      </c>
      <c r="GO116" s="94" t="str">
        <f t="shared" si="301"/>
        <v/>
      </c>
      <c r="GP116" s="102" t="str">
        <f t="shared" si="330"/>
        <v/>
      </c>
      <c r="GQ116" s="94" t="str">
        <f t="shared" si="302"/>
        <v/>
      </c>
      <c r="GR116" s="103" t="str">
        <f t="shared" si="303"/>
        <v/>
      </c>
      <c r="GS116" s="102" t="str">
        <f t="shared" si="331"/>
        <v/>
      </c>
      <c r="GT116" s="104" t="str">
        <f t="shared" si="304"/>
        <v/>
      </c>
      <c r="GU116" s="94" t="str">
        <f>IF('Marks Entry'!V116=1,GT116,"")</f>
        <v/>
      </c>
      <c r="GV116" s="94" t="str">
        <f>IF('Marks Entry'!V116=2,GT116,"")</f>
        <v/>
      </c>
      <c r="GW116" s="94" t="str">
        <f>IF('Marks Entry'!V116=3,GT116,"")</f>
        <v/>
      </c>
      <c r="GX116" s="94" t="str">
        <f>IF('Marks Entry'!V116=4,GT116,"")</f>
        <v/>
      </c>
      <c r="GY116" s="94" t="str">
        <f>IF('Marks Entry'!V116=5,GT116,"")</f>
        <v/>
      </c>
      <c r="GZ116" s="94" t="str">
        <f t="shared" si="305"/>
        <v/>
      </c>
      <c r="HA116" s="105" t="str">
        <f t="shared" si="332"/>
        <v/>
      </c>
      <c r="HB116" s="94" t="str">
        <f t="shared" si="306"/>
        <v/>
      </c>
      <c r="HC116" s="94" t="str">
        <f t="shared" si="307"/>
        <v/>
      </c>
      <c r="HD116" s="105" t="str">
        <f t="shared" si="333"/>
        <v/>
      </c>
      <c r="HE116" s="94" t="str">
        <f t="shared" si="308"/>
        <v/>
      </c>
      <c r="HF116" s="94" t="str">
        <f t="shared" si="309"/>
        <v/>
      </c>
      <c r="HG116" s="105" t="str">
        <f t="shared" si="334"/>
        <v/>
      </c>
      <c r="HH116" s="94" t="str">
        <f t="shared" si="310"/>
        <v/>
      </c>
      <c r="HI116" s="94" t="str">
        <f t="shared" si="311"/>
        <v/>
      </c>
      <c r="HJ116" s="105" t="str">
        <f t="shared" si="335"/>
        <v/>
      </c>
      <c r="HK116" s="94" t="str">
        <f t="shared" si="312"/>
        <v/>
      </c>
      <c r="HL116" s="94" t="str">
        <f t="shared" si="313"/>
        <v/>
      </c>
      <c r="HM116" s="105" t="str">
        <f t="shared" si="336"/>
        <v/>
      </c>
      <c r="HN116" s="367" t="str">
        <f t="shared" si="314"/>
        <v xml:space="preserve">      </v>
      </c>
      <c r="HO116" s="418" t="str">
        <f t="shared" si="337"/>
        <v xml:space="preserve">      </v>
      </c>
      <c r="HP116" s="367" t="str">
        <f t="shared" si="315"/>
        <v xml:space="preserve">      </v>
      </c>
      <c r="HQ116" s="107" t="str">
        <f t="shared" si="316"/>
        <v xml:space="preserve">      </v>
      </c>
      <c r="HR116" s="366" t="str">
        <f t="shared" si="317"/>
        <v xml:space="preserve">      </v>
      </c>
      <c r="HS116" s="544" t="str">
        <f t="shared" si="338"/>
        <v/>
      </c>
      <c r="HT116" s="542" t="str">
        <f t="shared" si="318"/>
        <v/>
      </c>
      <c r="HU116" s="541" t="str">
        <f t="shared" si="319"/>
        <v/>
      </c>
      <c r="HV116" s="540" t="str">
        <f t="shared" si="320"/>
        <v/>
      </c>
      <c r="HW116" s="537" t="str">
        <f t="shared" si="321"/>
        <v/>
      </c>
      <c r="HX116" s="539" t="str">
        <f t="shared" si="322"/>
        <v/>
      </c>
      <c r="HY116" s="553" t="str">
        <f>IFERROR(IF(OR(HS116="SUPPLEMENTARY",HS116="RE-EXAM"),'Supp. Result Entry'!AQ114,""),"")</f>
        <v/>
      </c>
      <c r="HZ116" s="538" t="str">
        <f t="shared" si="323"/>
        <v/>
      </c>
      <c r="IA116" s="415" t="str">
        <f t="shared" si="324"/>
        <v/>
      </c>
      <c r="IB116" s="415" t="str">
        <f>IF(AND(HZ116="",IA116=""),"",IF(OR(HS116="SUPPLEMENTARY",HS116="RE-EXAM"),'Supp. Result Entry'!AQ114,HS116))</f>
        <v/>
      </c>
      <c r="IC116" s="87"/>
      <c r="IS116" s="109" t="str">
        <f>IF('Supp. Result Entry'!T114="","",'Supp. Result Entry'!$T$4)</f>
        <v/>
      </c>
      <c r="IT116" s="110" t="str">
        <f>IF('Supp. Result Entry'!W114="","",'Supp. Result Entry'!$W$4)</f>
        <v/>
      </c>
      <c r="IU116" s="110" t="str">
        <f>IF('Supp. Result Entry'!Z114="","",'Supp. Result Entry'!$Z$4)</f>
        <v/>
      </c>
      <c r="IV116" s="110" t="str">
        <f>IF('Supp. Result Entry'!AC114="","",'Supp. Result Entry'!$AC$4)</f>
        <v/>
      </c>
      <c r="IW116" s="110" t="str">
        <f>IF('Supp. Result Entry'!AF114="","",'Supp. Result Entry'!$AF$4)</f>
        <v/>
      </c>
      <c r="IX116" s="110" t="str">
        <f>IF('Supp. Result Entry'!AI114="","",'Supp. Result Entry'!$AI$4)</f>
        <v/>
      </c>
      <c r="IY116" s="110" t="str">
        <f>IF('Supp. Result Entry'!AI114="","",'Supp. Result Entry'!$AL$4)</f>
        <v/>
      </c>
      <c r="IZ116" s="110" t="str">
        <f>IF('Supp. Result Entry'!U114="","",'Supp. Result Entry'!U114)</f>
        <v/>
      </c>
      <c r="JA116" s="110" t="str">
        <f>IF('Supp. Result Entry'!X114="","",'Supp. Result Entry'!X114)</f>
        <v/>
      </c>
      <c r="JB116" s="110" t="str">
        <f>IF('Supp. Result Entry'!AA114="","",'Supp. Result Entry'!AA114)</f>
        <v/>
      </c>
      <c r="JC116" s="110" t="str">
        <f>IF('Supp. Result Entry'!AD114="","",'Supp. Result Entry'!AD114)</f>
        <v/>
      </c>
      <c r="JD116" s="110" t="str">
        <f>IF('Supp. Result Entry'!AG114="","",'Supp. Result Entry'!AG114)</f>
        <v/>
      </c>
      <c r="JE116" s="110" t="str">
        <f>IF('Supp. Result Entry'!AJ114="","",'Supp. Result Entry'!AJ114)</f>
        <v/>
      </c>
      <c r="JF116" s="110" t="str">
        <f>IF('Supp. Result Entry'!AM114="","",'Supp. Result Entry'!AM114)</f>
        <v/>
      </c>
      <c r="JG116" s="110" t="str">
        <f>IF('Supp. Result Entry'!V114="","",'Supp. Result Entry'!V114)</f>
        <v/>
      </c>
      <c r="JH116" s="110" t="str">
        <f>IF('Supp. Result Entry'!Y114="","",'Supp. Result Entry'!Y114)</f>
        <v/>
      </c>
      <c r="JI116" s="110" t="str">
        <f>IF('Supp. Result Entry'!AB114="","",'Supp. Result Entry'!AB114)</f>
        <v/>
      </c>
      <c r="JJ116" s="110" t="str">
        <f>IF('Supp. Result Entry'!AE114="","",'Supp. Result Entry'!AE114)</f>
        <v/>
      </c>
      <c r="JK116" s="110" t="str">
        <f>IF('Supp. Result Entry'!AH114="","",'Supp. Result Entry'!AH114)</f>
        <v/>
      </c>
      <c r="JL116" s="110" t="str">
        <f>IF('Supp. Result Entry'!AK114="","",'Supp. Result Entry'!AK114)</f>
        <v/>
      </c>
      <c r="JM116" s="110" t="str">
        <f>IF('Supp. Result Entry'!AN114="","",'Supp. Result Entry'!AN114)</f>
        <v/>
      </c>
      <c r="JN116" s="110">
        <f>COUNTIF('Supp. Result Entry'!K114:Q114,"S")</f>
        <v>0</v>
      </c>
      <c r="JO116" s="110">
        <f t="shared" si="248"/>
        <v>0</v>
      </c>
      <c r="JP116" s="110">
        <f t="shared" si="325"/>
        <v>0</v>
      </c>
      <c r="JQ116" s="110" t="str">
        <f t="shared" si="249"/>
        <v/>
      </c>
      <c r="JR116" s="110" t="str">
        <f t="shared" si="250"/>
        <v/>
      </c>
      <c r="JS116" s="110" t="str">
        <f t="shared" si="251"/>
        <v/>
      </c>
      <c r="JT116" s="110" t="str">
        <f t="shared" si="252"/>
        <v/>
      </c>
      <c r="JU116" s="110" t="str">
        <f t="shared" si="253"/>
        <v/>
      </c>
      <c r="JV116" s="110" t="str">
        <f t="shared" si="254"/>
        <v/>
      </c>
      <c r="JW116" s="110" t="str">
        <f t="shared" si="255"/>
        <v/>
      </c>
      <c r="JX116" s="110" t="str">
        <f t="shared" si="326"/>
        <v/>
      </c>
      <c r="JY116" s="110" t="str">
        <f t="shared" si="327"/>
        <v/>
      </c>
      <c r="JZ116" s="110" t="str">
        <f t="shared" si="256"/>
        <v/>
      </c>
      <c r="KA116" s="108" t="str">
        <f t="shared" si="328"/>
        <v/>
      </c>
    </row>
    <row r="117" spans="1:287" s="108" customFormat="1" ht="21.95" customHeight="1">
      <c r="A117" s="89">
        <v>111</v>
      </c>
      <c r="B117" s="90" t="str">
        <f>IF('Marks Entry'!B117="","",'Marks Entry'!B117)</f>
        <v/>
      </c>
      <c r="C117" s="94" t="str">
        <f>IF('Marks Entry'!D117="","",'Marks Entry'!D117)</f>
        <v/>
      </c>
      <c r="D117" s="91" t="str">
        <f>IF('Marks Entry'!E117="","",'Marks Entry'!E117)</f>
        <v/>
      </c>
      <c r="E117" s="92" t="str">
        <f>IF('Marks Entry'!F117="","",'Marks Entry'!F117)</f>
        <v/>
      </c>
      <c r="F117" s="93" t="str">
        <f>IF('Marks Entry'!G117="","",'Marks Entry'!G117)</f>
        <v/>
      </c>
      <c r="G117" s="93" t="str">
        <f>IF('Marks Entry'!H117="","",'Marks Entry'!H117)</f>
        <v/>
      </c>
      <c r="H117" s="93" t="str">
        <f>IF('Marks Entry'!I117="","",'Marks Entry'!I117)</f>
        <v/>
      </c>
      <c r="I117" s="94" t="str">
        <f>IF('Marks Entry'!J117="","",'Marks Entry'!J117)</f>
        <v/>
      </c>
      <c r="J117" s="95" t="str">
        <f>IF('Marks Entry'!K117="","",'Marks Entry'!K117)</f>
        <v/>
      </c>
      <c r="K117" s="68" t="str">
        <f>IF('Marks Entry'!L117="","",'Marks Entry'!L117)</f>
        <v/>
      </c>
      <c r="L117" s="68" t="str">
        <f>IF('Marks Entry'!M117="","",'Marks Entry'!M117)</f>
        <v/>
      </c>
      <c r="M117" s="68" t="str">
        <f>IF('Marks Entry'!N117="","",'Marks Entry'!N117)</f>
        <v/>
      </c>
      <c r="N117" s="514" t="str">
        <f t="shared" si="257"/>
        <v/>
      </c>
      <c r="O117" s="68" t="str">
        <f>IF('Marks Entry'!O117="","",'Marks Entry'!O117)</f>
        <v/>
      </c>
      <c r="P117" s="515" t="str">
        <f t="shared" si="258"/>
        <v/>
      </c>
      <c r="Q117" s="68" t="str">
        <f>IF('Marks Entry'!P117="","",'Marks Entry'!P117)</f>
        <v/>
      </c>
      <c r="R117" s="96" t="str">
        <f t="shared" si="259"/>
        <v/>
      </c>
      <c r="S117" s="65">
        <f t="shared" si="260"/>
        <v>0</v>
      </c>
      <c r="T117" s="65">
        <f t="shared" si="261"/>
        <v>0</v>
      </c>
      <c r="U117" s="66" t="str">
        <f t="shared" si="171"/>
        <v/>
      </c>
      <c r="V117" s="65" t="str">
        <f t="shared" si="172"/>
        <v/>
      </c>
      <c r="W117" s="65" t="str">
        <f t="shared" si="262"/>
        <v/>
      </c>
      <c r="X117" s="65" t="str">
        <f t="shared" si="173"/>
        <v/>
      </c>
      <c r="Y117" s="68" t="str">
        <f>IF('Marks Entry'!Q117="","",'Marks Entry'!Q117)</f>
        <v/>
      </c>
      <c r="Z117" s="68" t="str">
        <f>IF('Marks Entry'!R117="","",'Marks Entry'!R117)</f>
        <v/>
      </c>
      <c r="AA117" s="68" t="str">
        <f>IF('Marks Entry'!S117="","",'Marks Entry'!S117)</f>
        <v/>
      </c>
      <c r="AB117" s="514" t="str">
        <f t="shared" si="174"/>
        <v/>
      </c>
      <c r="AC117" s="68" t="str">
        <f>IF('Marks Entry'!T117="","",'Marks Entry'!T117)</f>
        <v/>
      </c>
      <c r="AD117" s="515" t="str">
        <f t="shared" si="175"/>
        <v/>
      </c>
      <c r="AE117" s="68" t="str">
        <f>IF('Marks Entry'!U117="","",'Marks Entry'!U117)</f>
        <v/>
      </c>
      <c r="AF117" s="96" t="str">
        <f t="shared" si="176"/>
        <v/>
      </c>
      <c r="AG117" s="65">
        <f t="shared" si="177"/>
        <v>0</v>
      </c>
      <c r="AH117" s="65">
        <f t="shared" si="178"/>
        <v>0</v>
      </c>
      <c r="AI117" s="66" t="str">
        <f t="shared" si="179"/>
        <v/>
      </c>
      <c r="AJ117" s="65" t="str">
        <f t="shared" si="180"/>
        <v/>
      </c>
      <c r="AK117" s="65" t="str">
        <f t="shared" si="181"/>
        <v/>
      </c>
      <c r="AL117" s="65" t="str">
        <f t="shared" si="182"/>
        <v/>
      </c>
      <c r="AM117" s="524" t="str">
        <f>IF('Marks Entry'!V117="","",IF('Marks Entry'!V117=1,'School Profile'!$I$9,IF('Marks Entry'!V117=2,'School Profile'!$I$10,IF('Marks Entry'!V117=3,'School Profile'!$I$11,IF('Marks Entry'!V117=4,'School Profile'!$I$12,IF('Marks Entry'!V117=5,'School Profile'!$I$13,IF('Marks Entry'!V117=6,'School Profile'!$I$14,"")))))))</f>
        <v/>
      </c>
      <c r="AN117" s="68" t="str">
        <f>IF('Marks Entry'!W117="","",'Marks Entry'!W117)</f>
        <v/>
      </c>
      <c r="AO117" s="68" t="str">
        <f>IF('Marks Entry'!X117="","",'Marks Entry'!X117)</f>
        <v/>
      </c>
      <c r="AP117" s="68" t="str">
        <f>IF('Marks Entry'!Y117="","",'Marks Entry'!Y117)</f>
        <v/>
      </c>
      <c r="AQ117" s="514" t="str">
        <f t="shared" si="183"/>
        <v/>
      </c>
      <c r="AR117" s="68" t="str">
        <f>IF('Marks Entry'!Z117="","",'Marks Entry'!Z117)</f>
        <v/>
      </c>
      <c r="AS117" s="515" t="str">
        <f t="shared" si="184"/>
        <v/>
      </c>
      <c r="AT117" s="68" t="str">
        <f>IF('Marks Entry'!AA117="","",'Marks Entry'!AA117)</f>
        <v/>
      </c>
      <c r="AU117" s="96" t="str">
        <f t="shared" si="185"/>
        <v/>
      </c>
      <c r="AV117" s="65">
        <f t="shared" si="186"/>
        <v>0</v>
      </c>
      <c r="AW117" s="65">
        <f t="shared" si="187"/>
        <v>0</v>
      </c>
      <c r="AX117" s="66" t="str">
        <f t="shared" si="188"/>
        <v/>
      </c>
      <c r="AY117" s="65" t="str">
        <f t="shared" si="189"/>
        <v/>
      </c>
      <c r="AZ117" s="65" t="str">
        <f t="shared" si="190"/>
        <v/>
      </c>
      <c r="BA117" s="65" t="str">
        <f t="shared" si="191"/>
        <v/>
      </c>
      <c r="BB117" s="68" t="str">
        <f>IF('Marks Entry'!AB117="","",'Marks Entry'!AB117)</f>
        <v/>
      </c>
      <c r="BC117" s="68" t="str">
        <f>IF('Marks Entry'!AC117="","",'Marks Entry'!AC117)</f>
        <v/>
      </c>
      <c r="BD117" s="68" t="str">
        <f>IF('Marks Entry'!AD117="","",'Marks Entry'!AD117)</f>
        <v/>
      </c>
      <c r="BE117" s="514" t="str">
        <f t="shared" si="192"/>
        <v/>
      </c>
      <c r="BF117" s="68" t="str">
        <f>IF('Marks Entry'!AE117="","",'Marks Entry'!AE117)</f>
        <v/>
      </c>
      <c r="BG117" s="515" t="str">
        <f t="shared" si="193"/>
        <v/>
      </c>
      <c r="BH117" s="68" t="str">
        <f>IF('Marks Entry'!AF117="","",'Marks Entry'!AF117)</f>
        <v/>
      </c>
      <c r="BI117" s="96" t="str">
        <f t="shared" si="194"/>
        <v/>
      </c>
      <c r="BJ117" s="65">
        <f t="shared" si="195"/>
        <v>0</v>
      </c>
      <c r="BK117" s="65">
        <f t="shared" si="263"/>
        <v>0</v>
      </c>
      <c r="BL117" s="66" t="str">
        <f t="shared" si="196"/>
        <v/>
      </c>
      <c r="BM117" s="65" t="str">
        <f t="shared" si="197"/>
        <v/>
      </c>
      <c r="BN117" s="65" t="str">
        <f t="shared" si="198"/>
        <v/>
      </c>
      <c r="BO117" s="65" t="str">
        <f t="shared" si="199"/>
        <v/>
      </c>
      <c r="BP117" s="68" t="str">
        <f>IF('Marks Entry'!AG117="","",'Marks Entry'!AG117)</f>
        <v/>
      </c>
      <c r="BQ117" s="68" t="str">
        <f>IF('Marks Entry'!AH117="","",'Marks Entry'!AH117)</f>
        <v/>
      </c>
      <c r="BR117" s="68" t="str">
        <f>IF('Marks Entry'!AI117="","",'Marks Entry'!AI117)</f>
        <v/>
      </c>
      <c r="BS117" s="514" t="str">
        <f t="shared" si="200"/>
        <v/>
      </c>
      <c r="BT117" s="68" t="str">
        <f>IF('Marks Entry'!AJ117="","",'Marks Entry'!AJ117)</f>
        <v/>
      </c>
      <c r="BU117" s="515" t="str">
        <f t="shared" si="201"/>
        <v/>
      </c>
      <c r="BV117" s="68" t="str">
        <f>IF('Marks Entry'!AK117="","",'Marks Entry'!AK117)</f>
        <v/>
      </c>
      <c r="BW117" s="96" t="str">
        <f t="shared" si="202"/>
        <v/>
      </c>
      <c r="BX117" s="65">
        <f t="shared" si="203"/>
        <v>0</v>
      </c>
      <c r="BY117" s="65">
        <f t="shared" si="204"/>
        <v>0</v>
      </c>
      <c r="BZ117" s="66" t="str">
        <f t="shared" si="205"/>
        <v/>
      </c>
      <c r="CA117" s="65" t="str">
        <f t="shared" si="206"/>
        <v/>
      </c>
      <c r="CB117" s="65" t="str">
        <f t="shared" si="207"/>
        <v/>
      </c>
      <c r="CC117" s="65" t="str">
        <f t="shared" si="208"/>
        <v/>
      </c>
      <c r="CD117" s="66">
        <f t="shared" si="329"/>
        <v>0</v>
      </c>
      <c r="CE117" s="68" t="str">
        <f>IF('Marks Entry'!AL117="","",'Marks Entry'!AL117)</f>
        <v/>
      </c>
      <c r="CF117" s="68" t="str">
        <f>IF('Marks Entry'!AM117="","",'Marks Entry'!AM117)</f>
        <v/>
      </c>
      <c r="CG117" s="68" t="str">
        <f>IF('Marks Entry'!AN117="","",'Marks Entry'!AN117)</f>
        <v/>
      </c>
      <c r="CH117" s="514" t="str">
        <f t="shared" si="210"/>
        <v/>
      </c>
      <c r="CI117" s="68" t="str">
        <f>IF('Marks Entry'!AO117="","",'Marks Entry'!AO117)</f>
        <v/>
      </c>
      <c r="CJ117" s="515" t="str">
        <f t="shared" si="211"/>
        <v/>
      </c>
      <c r="CK117" s="68" t="str">
        <f>IF('Marks Entry'!AP117="","",'Marks Entry'!AP117)</f>
        <v/>
      </c>
      <c r="CL117" s="96" t="str">
        <f t="shared" si="212"/>
        <v/>
      </c>
      <c r="CM117" s="65">
        <f t="shared" si="213"/>
        <v>0</v>
      </c>
      <c r="CN117" s="65">
        <f t="shared" si="214"/>
        <v>0</v>
      </c>
      <c r="CO117" s="66" t="str">
        <f t="shared" si="215"/>
        <v/>
      </c>
      <c r="CP117" s="65" t="str">
        <f t="shared" si="216"/>
        <v/>
      </c>
      <c r="CQ117" s="65" t="str">
        <f t="shared" si="217"/>
        <v/>
      </c>
      <c r="CR117" s="65" t="str">
        <f t="shared" si="218"/>
        <v/>
      </c>
      <c r="CS117" s="616" t="str">
        <f>IF('School Profile'!$D$20="NO","",IF('Marks Entry'!AQ117="","",IF('Marks Entry'!AQ117=1,'School Profile'!$I$29,IF('Marks Entry'!AQ117=2,'School Profile'!$I$30,IF('Marks Entry'!AQ117=3,'School Profile'!$I$31,IF('Marks Entry'!AQ117=4,'School Profile'!$I$32,IF('Marks Entry'!AQ117=5,'School Profile'!$I$33,IF('Marks Entry'!AQ117=6,'School Profile'!$I$34,IF('Marks Entry'!AQ117=7,'School Profile'!$I$35,IF('Marks Entry'!AQ117=8,'School Profile'!$I$36,IF('Marks Entry'!AQ117=9,'School Profile'!$I$37,IF('Marks Entry'!AQ117=10,'School Profile'!$I$38,IF('Marks Entry'!AQ117=11,'School Profile'!$I$39,"")))))))))))))</f>
        <v/>
      </c>
      <c r="CT117" s="68" t="str">
        <f>IF('School Profile'!$D$20="NO","",IF('Marks Entry'!AR117="","",'Marks Entry'!AR117))</f>
        <v/>
      </c>
      <c r="CU117" s="68" t="str">
        <f>IF('School Profile'!$D$20="NO","",IF('Marks Entry'!AS117="","",'Marks Entry'!AS117))</f>
        <v/>
      </c>
      <c r="CV117" s="68" t="str">
        <f>IF('School Profile'!$D$20="NO","",IF('Marks Entry'!AT117="","",'Marks Entry'!AT117))</f>
        <v/>
      </c>
      <c r="CW117" s="514" t="str">
        <f>IF('School Profile'!$D$20="NO","",IF(AND(CT117="",CU117="",CV117=""),"",SUM(CT117:CV117)))</f>
        <v/>
      </c>
      <c r="CX117" s="68" t="str">
        <f>IF('School Profile'!$D$20="NO","",IF('Marks Entry'!AU117="","",'Marks Entry'!AU117))</f>
        <v/>
      </c>
      <c r="CY117" s="68" t="str">
        <f>IF('School Profile'!$D$20="NO","",IF('Marks Entry'!AV117="","",'Marks Entry'!AV117))</f>
        <v/>
      </c>
      <c r="CZ117" s="515" t="str">
        <f>IF('School Profile'!$D$20="NO","",IF(AND(CX117="",CY117=""),"",SUM(CX117,CY117)))</f>
        <v/>
      </c>
      <c r="DA117" s="69" t="str">
        <f>IF('School Profile'!$D$20="NO","",IF(AND(CW117="",CZ117=""),"",SUM(CW117+CZ117)))</f>
        <v/>
      </c>
      <c r="DB117" s="68" t="str">
        <f>IF('School Profile'!$D$20="NO","",IF('Marks Entry'!AW117="","",'Marks Entry'!AW117))</f>
        <v/>
      </c>
      <c r="DC117" s="68" t="str">
        <f>IF('School Profile'!$D$20="NO","",IF('Marks Entry'!AX117="","",'Marks Entry'!AX117))</f>
        <v/>
      </c>
      <c r="DD117" s="515" t="str">
        <f>IF('School Profile'!$D$20="NO","",IF(AND(DB117="",DC117=""),"",SUM(DB117,DC117)))</f>
        <v/>
      </c>
      <c r="DE117" s="96" t="str">
        <f>IF('School Profile'!$D$20="NO","",IF(AND(DA117="",DD117=""),"",SUM(DA117,DD117)))</f>
        <v/>
      </c>
      <c r="DF117" s="532">
        <f t="shared" si="219"/>
        <v>0</v>
      </c>
      <c r="DG117" s="65">
        <f t="shared" si="220"/>
        <v>0</v>
      </c>
      <c r="DH117" s="66" t="str">
        <f t="shared" si="221"/>
        <v/>
      </c>
      <c r="DI117" s="65" t="str">
        <f t="shared" si="222"/>
        <v/>
      </c>
      <c r="DJ117" s="65" t="str">
        <f t="shared" si="223"/>
        <v/>
      </c>
      <c r="DK117" s="65" t="str">
        <f t="shared" si="224"/>
        <v/>
      </c>
      <c r="DL117" s="97" t="str">
        <f t="shared" si="264"/>
        <v/>
      </c>
      <c r="DM117" s="97" t="str">
        <f t="shared" si="265"/>
        <v/>
      </c>
      <c r="DN117" s="97" t="str">
        <f t="shared" si="266"/>
        <v/>
      </c>
      <c r="DO117" s="97" t="str">
        <f t="shared" si="267"/>
        <v/>
      </c>
      <c r="DP117" s="97" t="str">
        <f t="shared" si="268"/>
        <v/>
      </c>
      <c r="DQ117" s="97" t="str">
        <f t="shared" si="269"/>
        <v/>
      </c>
      <c r="DR117" s="97" t="str">
        <f t="shared" si="270"/>
        <v/>
      </c>
      <c r="DS117" s="98">
        <f t="shared" si="271"/>
        <v>0</v>
      </c>
      <c r="DT117" s="98">
        <f t="shared" si="272"/>
        <v>0</v>
      </c>
      <c r="DU117" s="98">
        <f t="shared" si="273"/>
        <v>0</v>
      </c>
      <c r="DV117" s="98">
        <f t="shared" si="274"/>
        <v>0</v>
      </c>
      <c r="DW117" s="98">
        <f t="shared" si="275"/>
        <v>0</v>
      </c>
      <c r="DX117" s="98" t="str">
        <f t="shared" si="276"/>
        <v/>
      </c>
      <c r="DY117" s="99" t="str">
        <f t="shared" si="277"/>
        <v/>
      </c>
      <c r="DZ117" s="74" t="str">
        <f>IF('Marks Entry'!AY117="","",'Marks Entry'!AY117)</f>
        <v/>
      </c>
      <c r="EA117" s="74" t="str">
        <f>IF('Marks Entry'!AZ117="","",'Marks Entry'!AZ117)</f>
        <v/>
      </c>
      <c r="EB117" s="74" t="str">
        <f>IF('Marks Entry'!BA117="","",'Marks Entry'!BA117)</f>
        <v/>
      </c>
      <c r="EC117" s="527" t="str">
        <f t="shared" si="225"/>
        <v/>
      </c>
      <c r="ED117" s="74" t="str">
        <f>IF('Marks Entry'!BB117="","",'Marks Entry'!BB117)</f>
        <v/>
      </c>
      <c r="EE117" s="528" t="str">
        <f t="shared" si="226"/>
        <v/>
      </c>
      <c r="EF117" s="74" t="str">
        <f>IF('Marks Entry'!BC117="","",'Marks Entry'!BC117)</f>
        <v/>
      </c>
      <c r="EG117" s="530" t="str">
        <f t="shared" si="227"/>
        <v/>
      </c>
      <c r="EH117" s="368" t="str">
        <f t="shared" si="278"/>
        <v/>
      </c>
      <c r="EI117" s="65">
        <f t="shared" si="279"/>
        <v>0</v>
      </c>
      <c r="EJ117" s="65">
        <f t="shared" si="280"/>
        <v>0</v>
      </c>
      <c r="EK117" s="66" t="str">
        <f t="shared" si="281"/>
        <v/>
      </c>
      <c r="EL117" s="74" t="str">
        <f>IF('Marks Entry'!BD117="","",'Marks Entry'!BD117)</f>
        <v/>
      </c>
      <c r="EM117" s="74" t="str">
        <f>IF('Marks Entry'!BE117="","",'Marks Entry'!BE117)</f>
        <v/>
      </c>
      <c r="EN117" s="74" t="str">
        <f>IF('Marks Entry'!BF117="","",'Marks Entry'!BF117)</f>
        <v/>
      </c>
      <c r="EO117" s="527" t="str">
        <f t="shared" si="228"/>
        <v/>
      </c>
      <c r="EP117" s="74" t="str">
        <f>IF('Marks Entry'!BG117="","",'Marks Entry'!BG117)</f>
        <v/>
      </c>
      <c r="EQ117" s="74" t="str">
        <f>IF('Marks Entry'!BH117="","",'Marks Entry'!BH117)</f>
        <v/>
      </c>
      <c r="ER117" s="528" t="str">
        <f t="shared" si="229"/>
        <v/>
      </c>
      <c r="ES117" s="529" t="str">
        <f t="shared" si="230"/>
        <v/>
      </c>
      <c r="ET117" s="74" t="str">
        <f>IF('Marks Entry'!BI117="","",'Marks Entry'!BI117)</f>
        <v/>
      </c>
      <c r="EU117" s="74" t="str">
        <f>IF('Marks Entry'!BJ117="","",'Marks Entry'!BJ117)</f>
        <v/>
      </c>
      <c r="EV117" s="528" t="str">
        <f t="shared" si="231"/>
        <v/>
      </c>
      <c r="EW117" s="530" t="str">
        <f t="shared" si="232"/>
        <v/>
      </c>
      <c r="EX117" s="368" t="str">
        <f t="shared" si="282"/>
        <v/>
      </c>
      <c r="EY117" s="65">
        <f t="shared" si="283"/>
        <v>0</v>
      </c>
      <c r="EZ117" s="65">
        <f t="shared" si="284"/>
        <v>0</v>
      </c>
      <c r="FA117" s="66" t="str">
        <f t="shared" si="285"/>
        <v/>
      </c>
      <c r="FB117" s="74" t="str">
        <f>IF('Marks Entry'!BK117="","",'Marks Entry'!BK117)</f>
        <v/>
      </c>
      <c r="FC117" s="74" t="str">
        <f>IF('Marks Entry'!BL117="","",'Marks Entry'!BL117)</f>
        <v/>
      </c>
      <c r="FD117" s="74" t="str">
        <f>IF('Marks Entry'!BM117="","",'Marks Entry'!BM117)</f>
        <v/>
      </c>
      <c r="FE117" s="74" t="str">
        <f>IF('Marks Entry'!BN117="","",'Marks Entry'!BN117)</f>
        <v/>
      </c>
      <c r="FF117" s="74" t="str">
        <f>IF('Marks Entry'!BO117="","",'Marks Entry'!BO117)</f>
        <v/>
      </c>
      <c r="FG117" s="74" t="str">
        <f>IF('Marks Entry'!BP117="","",'Marks Entry'!BP117)</f>
        <v/>
      </c>
      <c r="FH117" s="527" t="str">
        <f t="shared" si="233"/>
        <v/>
      </c>
      <c r="FI117" s="74" t="str">
        <f>IF('Marks Entry'!BQ117="","",'Marks Entry'!BQ117)</f>
        <v/>
      </c>
      <c r="FJ117" s="74" t="str">
        <f>IF('Marks Entry'!BR117="","",'Marks Entry'!BR117)</f>
        <v/>
      </c>
      <c r="FK117" s="528" t="str">
        <f t="shared" si="234"/>
        <v/>
      </c>
      <c r="FL117" s="529" t="str">
        <f t="shared" si="235"/>
        <v/>
      </c>
      <c r="FM117" s="74" t="str">
        <f>IF('Marks Entry'!BS117="","",'Marks Entry'!BS117)</f>
        <v/>
      </c>
      <c r="FN117" s="74" t="str">
        <f>IF('Marks Entry'!BT117="","",'Marks Entry'!BT117)</f>
        <v/>
      </c>
      <c r="FO117" s="528" t="str">
        <f t="shared" si="236"/>
        <v/>
      </c>
      <c r="FP117" s="530" t="str">
        <f t="shared" si="237"/>
        <v/>
      </c>
      <c r="FQ117" s="368" t="str">
        <f t="shared" si="286"/>
        <v/>
      </c>
      <c r="FR117" s="65">
        <f t="shared" si="287"/>
        <v>0</v>
      </c>
      <c r="FS117" s="65">
        <f t="shared" si="288"/>
        <v>0</v>
      </c>
      <c r="FT117" s="66" t="str">
        <f t="shared" si="289"/>
        <v/>
      </c>
      <c r="FU117" s="74" t="str">
        <f>IF('Marks Entry'!BU117="","",'Marks Entry'!BU117)</f>
        <v/>
      </c>
      <c r="FV117" s="74" t="str">
        <f>IF('Marks Entry'!BV117="","",'Marks Entry'!BV117)</f>
        <v/>
      </c>
      <c r="FW117" s="74" t="str">
        <f>IF('Marks Entry'!BW117="","",'Marks Entry'!BW117)</f>
        <v/>
      </c>
      <c r="FX117" s="75" t="str">
        <f t="shared" si="238"/>
        <v/>
      </c>
      <c r="FY117" s="368" t="str">
        <f t="shared" si="290"/>
        <v/>
      </c>
      <c r="FZ117" s="65">
        <f t="shared" si="291"/>
        <v>0</v>
      </c>
      <c r="GA117" s="66">
        <f t="shared" si="292"/>
        <v>0</v>
      </c>
      <c r="GB117" s="66" t="str">
        <f t="shared" si="293"/>
        <v/>
      </c>
      <c r="GC117" s="74" t="str">
        <f>IF('Marks Entry'!BX117="","",'Marks Entry'!BX117)</f>
        <v/>
      </c>
      <c r="GD117" s="74" t="str">
        <f>IF('Marks Entry'!BY117="","",'Marks Entry'!BY117)</f>
        <v/>
      </c>
      <c r="GE117" s="74" t="str">
        <f>IF('Marks Entry'!BZ117="","",'Marks Entry'!BZ117)</f>
        <v/>
      </c>
      <c r="GF117" s="75" t="str">
        <f t="shared" si="294"/>
        <v/>
      </c>
      <c r="GG117" s="368" t="str">
        <f t="shared" si="295"/>
        <v/>
      </c>
      <c r="GH117" s="65">
        <f t="shared" si="296"/>
        <v>0</v>
      </c>
      <c r="GI117" s="66">
        <f t="shared" si="297"/>
        <v>0</v>
      </c>
      <c r="GJ117" s="66" t="str">
        <f t="shared" si="298"/>
        <v/>
      </c>
      <c r="GK117" s="100" t="str">
        <f>IF(AND(F117="",B117=""),"",IF('Student DATA Entry'!M114="","",'Student DATA Entry'!M114))</f>
        <v/>
      </c>
      <c r="GL117" s="101" t="str">
        <f>IF(AND(B117="",F117=""),"",IF('Student DATA Entry'!N114="","",'Student DATA Entry'!N114))</f>
        <v/>
      </c>
      <c r="GM117" s="581" t="str">
        <f t="shared" si="299"/>
        <v/>
      </c>
      <c r="GN117" s="94" t="str">
        <f t="shared" si="300"/>
        <v/>
      </c>
      <c r="GO117" s="94" t="str">
        <f t="shared" si="301"/>
        <v/>
      </c>
      <c r="GP117" s="102" t="str">
        <f t="shared" si="330"/>
        <v/>
      </c>
      <c r="GQ117" s="94" t="str">
        <f t="shared" si="302"/>
        <v/>
      </c>
      <c r="GR117" s="103" t="str">
        <f t="shared" si="303"/>
        <v/>
      </c>
      <c r="GS117" s="102" t="str">
        <f t="shared" si="331"/>
        <v/>
      </c>
      <c r="GT117" s="104" t="str">
        <f t="shared" si="304"/>
        <v/>
      </c>
      <c r="GU117" s="94" t="str">
        <f>IF('Marks Entry'!V117=1,GT117,"")</f>
        <v/>
      </c>
      <c r="GV117" s="94" t="str">
        <f>IF('Marks Entry'!V117=2,GT117,"")</f>
        <v/>
      </c>
      <c r="GW117" s="94" t="str">
        <f>IF('Marks Entry'!V117=3,GT117,"")</f>
        <v/>
      </c>
      <c r="GX117" s="94" t="str">
        <f>IF('Marks Entry'!V117=4,GT117,"")</f>
        <v/>
      </c>
      <c r="GY117" s="94" t="str">
        <f>IF('Marks Entry'!V117=5,GT117,"")</f>
        <v/>
      </c>
      <c r="GZ117" s="94" t="str">
        <f t="shared" si="305"/>
        <v/>
      </c>
      <c r="HA117" s="105" t="str">
        <f t="shared" si="332"/>
        <v/>
      </c>
      <c r="HB117" s="94" t="str">
        <f t="shared" si="306"/>
        <v/>
      </c>
      <c r="HC117" s="94" t="str">
        <f t="shared" si="307"/>
        <v/>
      </c>
      <c r="HD117" s="105" t="str">
        <f t="shared" si="333"/>
        <v/>
      </c>
      <c r="HE117" s="94" t="str">
        <f t="shared" si="308"/>
        <v/>
      </c>
      <c r="HF117" s="94" t="str">
        <f t="shared" si="309"/>
        <v/>
      </c>
      <c r="HG117" s="105" t="str">
        <f t="shared" si="334"/>
        <v/>
      </c>
      <c r="HH117" s="94" t="str">
        <f t="shared" si="310"/>
        <v/>
      </c>
      <c r="HI117" s="94" t="str">
        <f t="shared" si="311"/>
        <v/>
      </c>
      <c r="HJ117" s="105" t="str">
        <f t="shared" si="335"/>
        <v/>
      </c>
      <c r="HK117" s="94" t="str">
        <f t="shared" si="312"/>
        <v/>
      </c>
      <c r="HL117" s="94" t="str">
        <f t="shared" si="313"/>
        <v/>
      </c>
      <c r="HM117" s="105" t="str">
        <f t="shared" si="336"/>
        <v/>
      </c>
      <c r="HN117" s="367" t="str">
        <f t="shared" si="314"/>
        <v xml:space="preserve">      </v>
      </c>
      <c r="HO117" s="418" t="str">
        <f t="shared" si="337"/>
        <v xml:space="preserve">      </v>
      </c>
      <c r="HP117" s="367" t="str">
        <f t="shared" si="315"/>
        <v xml:space="preserve">      </v>
      </c>
      <c r="HQ117" s="107" t="str">
        <f t="shared" si="316"/>
        <v xml:space="preserve">      </v>
      </c>
      <c r="HR117" s="366" t="str">
        <f t="shared" si="317"/>
        <v xml:space="preserve">      </v>
      </c>
      <c r="HS117" s="544" t="str">
        <f t="shared" si="338"/>
        <v/>
      </c>
      <c r="HT117" s="542" t="str">
        <f t="shared" si="318"/>
        <v/>
      </c>
      <c r="HU117" s="541" t="str">
        <f t="shared" si="319"/>
        <v/>
      </c>
      <c r="HV117" s="540" t="str">
        <f t="shared" si="320"/>
        <v/>
      </c>
      <c r="HW117" s="537" t="str">
        <f t="shared" si="321"/>
        <v/>
      </c>
      <c r="HX117" s="539" t="str">
        <f t="shared" si="322"/>
        <v/>
      </c>
      <c r="HY117" s="553" t="str">
        <f>IFERROR(IF(OR(HS117="SUPPLEMENTARY",HS117="RE-EXAM"),'Supp. Result Entry'!AQ115,""),"")</f>
        <v/>
      </c>
      <c r="HZ117" s="538" t="str">
        <f t="shared" si="323"/>
        <v/>
      </c>
      <c r="IA117" s="415" t="str">
        <f t="shared" si="324"/>
        <v/>
      </c>
      <c r="IB117" s="415" t="str">
        <f>IF(AND(HZ117="",IA117=""),"",IF(OR(HS117="SUPPLEMENTARY",HS117="RE-EXAM"),'Supp. Result Entry'!AQ115,HS117))</f>
        <v/>
      </c>
      <c r="IC117" s="87"/>
      <c r="IS117" s="109" t="str">
        <f>IF('Supp. Result Entry'!T115="","",'Supp. Result Entry'!$T$4)</f>
        <v/>
      </c>
      <c r="IT117" s="110" t="str">
        <f>IF('Supp. Result Entry'!W115="","",'Supp. Result Entry'!$W$4)</f>
        <v/>
      </c>
      <c r="IU117" s="110" t="str">
        <f>IF('Supp. Result Entry'!Z115="","",'Supp. Result Entry'!$Z$4)</f>
        <v/>
      </c>
      <c r="IV117" s="110" t="str">
        <f>IF('Supp. Result Entry'!AC115="","",'Supp. Result Entry'!$AC$4)</f>
        <v/>
      </c>
      <c r="IW117" s="110" t="str">
        <f>IF('Supp. Result Entry'!AF115="","",'Supp. Result Entry'!$AF$4)</f>
        <v/>
      </c>
      <c r="IX117" s="110" t="str">
        <f>IF('Supp. Result Entry'!AI115="","",'Supp. Result Entry'!$AI$4)</f>
        <v/>
      </c>
      <c r="IY117" s="110" t="str">
        <f>IF('Supp. Result Entry'!AI115="","",'Supp. Result Entry'!$AL$4)</f>
        <v/>
      </c>
      <c r="IZ117" s="110" t="str">
        <f>IF('Supp. Result Entry'!U115="","",'Supp. Result Entry'!U115)</f>
        <v/>
      </c>
      <c r="JA117" s="110" t="str">
        <f>IF('Supp. Result Entry'!X115="","",'Supp. Result Entry'!X115)</f>
        <v/>
      </c>
      <c r="JB117" s="110" t="str">
        <f>IF('Supp. Result Entry'!AA115="","",'Supp. Result Entry'!AA115)</f>
        <v/>
      </c>
      <c r="JC117" s="110" t="str">
        <f>IF('Supp. Result Entry'!AD115="","",'Supp. Result Entry'!AD115)</f>
        <v/>
      </c>
      <c r="JD117" s="110" t="str">
        <f>IF('Supp. Result Entry'!AG115="","",'Supp. Result Entry'!AG115)</f>
        <v/>
      </c>
      <c r="JE117" s="110" t="str">
        <f>IF('Supp. Result Entry'!AJ115="","",'Supp. Result Entry'!AJ115)</f>
        <v/>
      </c>
      <c r="JF117" s="110" t="str">
        <f>IF('Supp. Result Entry'!AM115="","",'Supp. Result Entry'!AM115)</f>
        <v/>
      </c>
      <c r="JG117" s="110" t="str">
        <f>IF('Supp. Result Entry'!V115="","",'Supp. Result Entry'!V115)</f>
        <v/>
      </c>
      <c r="JH117" s="110" t="str">
        <f>IF('Supp. Result Entry'!Y115="","",'Supp. Result Entry'!Y115)</f>
        <v/>
      </c>
      <c r="JI117" s="110" t="str">
        <f>IF('Supp. Result Entry'!AB115="","",'Supp. Result Entry'!AB115)</f>
        <v/>
      </c>
      <c r="JJ117" s="110" t="str">
        <f>IF('Supp. Result Entry'!AE115="","",'Supp. Result Entry'!AE115)</f>
        <v/>
      </c>
      <c r="JK117" s="110" t="str">
        <f>IF('Supp. Result Entry'!AH115="","",'Supp. Result Entry'!AH115)</f>
        <v/>
      </c>
      <c r="JL117" s="110" t="str">
        <f>IF('Supp. Result Entry'!AK115="","",'Supp. Result Entry'!AK115)</f>
        <v/>
      </c>
      <c r="JM117" s="110" t="str">
        <f>IF('Supp. Result Entry'!AN115="","",'Supp. Result Entry'!AN115)</f>
        <v/>
      </c>
      <c r="JN117" s="110">
        <f>COUNTIF('Supp. Result Entry'!K115:Q115,"S")</f>
        <v>0</v>
      </c>
      <c r="JO117" s="110">
        <f t="shared" si="248"/>
        <v>0</v>
      </c>
      <c r="JP117" s="110">
        <f t="shared" si="325"/>
        <v>0</v>
      </c>
      <c r="JQ117" s="110" t="str">
        <f t="shared" si="249"/>
        <v/>
      </c>
      <c r="JR117" s="110" t="str">
        <f t="shared" si="250"/>
        <v/>
      </c>
      <c r="JS117" s="110" t="str">
        <f t="shared" si="251"/>
        <v/>
      </c>
      <c r="JT117" s="110" t="str">
        <f t="shared" si="252"/>
        <v/>
      </c>
      <c r="JU117" s="110" t="str">
        <f t="shared" si="253"/>
        <v/>
      </c>
      <c r="JV117" s="110" t="str">
        <f t="shared" si="254"/>
        <v/>
      </c>
      <c r="JW117" s="110" t="str">
        <f t="shared" si="255"/>
        <v/>
      </c>
      <c r="JX117" s="110" t="str">
        <f t="shared" si="326"/>
        <v/>
      </c>
      <c r="JY117" s="110" t="str">
        <f t="shared" si="327"/>
        <v/>
      </c>
      <c r="JZ117" s="110" t="str">
        <f t="shared" si="256"/>
        <v/>
      </c>
      <c r="KA117" s="108" t="str">
        <f t="shared" si="328"/>
        <v/>
      </c>
    </row>
    <row r="118" spans="1:287" s="108" customFormat="1" ht="21.95" customHeight="1">
      <c r="A118" s="89">
        <v>112</v>
      </c>
      <c r="B118" s="90" t="str">
        <f>IF('Marks Entry'!B118="","",'Marks Entry'!B118)</f>
        <v/>
      </c>
      <c r="C118" s="94" t="str">
        <f>IF('Marks Entry'!D118="","",'Marks Entry'!D118)</f>
        <v/>
      </c>
      <c r="D118" s="91" t="str">
        <f>IF('Marks Entry'!E118="","",'Marks Entry'!E118)</f>
        <v/>
      </c>
      <c r="E118" s="92" t="str">
        <f>IF('Marks Entry'!F118="","",'Marks Entry'!F118)</f>
        <v/>
      </c>
      <c r="F118" s="93" t="str">
        <f>IF('Marks Entry'!G118="","",'Marks Entry'!G118)</f>
        <v/>
      </c>
      <c r="G118" s="93" t="str">
        <f>IF('Marks Entry'!H118="","",'Marks Entry'!H118)</f>
        <v/>
      </c>
      <c r="H118" s="93" t="str">
        <f>IF('Marks Entry'!I118="","",'Marks Entry'!I118)</f>
        <v/>
      </c>
      <c r="I118" s="94" t="str">
        <f>IF('Marks Entry'!J118="","",'Marks Entry'!J118)</f>
        <v/>
      </c>
      <c r="J118" s="95" t="str">
        <f>IF('Marks Entry'!K118="","",'Marks Entry'!K118)</f>
        <v/>
      </c>
      <c r="K118" s="68" t="str">
        <f>IF('Marks Entry'!L118="","",'Marks Entry'!L118)</f>
        <v/>
      </c>
      <c r="L118" s="68" t="str">
        <f>IF('Marks Entry'!M118="","",'Marks Entry'!M118)</f>
        <v/>
      </c>
      <c r="M118" s="68" t="str">
        <f>IF('Marks Entry'!N118="","",'Marks Entry'!N118)</f>
        <v/>
      </c>
      <c r="N118" s="514" t="str">
        <f t="shared" si="257"/>
        <v/>
      </c>
      <c r="O118" s="68" t="str">
        <f>IF('Marks Entry'!O118="","",'Marks Entry'!O118)</f>
        <v/>
      </c>
      <c r="P118" s="515" t="str">
        <f t="shared" si="258"/>
        <v/>
      </c>
      <c r="Q118" s="68" t="str">
        <f>IF('Marks Entry'!P118="","",'Marks Entry'!P118)</f>
        <v/>
      </c>
      <c r="R118" s="96" t="str">
        <f t="shared" si="259"/>
        <v/>
      </c>
      <c r="S118" s="65">
        <f t="shared" si="260"/>
        <v>0</v>
      </c>
      <c r="T118" s="65">
        <f t="shared" si="261"/>
        <v>0</v>
      </c>
      <c r="U118" s="66" t="str">
        <f t="shared" si="171"/>
        <v/>
      </c>
      <c r="V118" s="65" t="str">
        <f t="shared" si="172"/>
        <v/>
      </c>
      <c r="W118" s="65" t="str">
        <f t="shared" si="262"/>
        <v/>
      </c>
      <c r="X118" s="65" t="str">
        <f t="shared" si="173"/>
        <v/>
      </c>
      <c r="Y118" s="68" t="str">
        <f>IF('Marks Entry'!Q118="","",'Marks Entry'!Q118)</f>
        <v/>
      </c>
      <c r="Z118" s="68" t="str">
        <f>IF('Marks Entry'!R118="","",'Marks Entry'!R118)</f>
        <v/>
      </c>
      <c r="AA118" s="68" t="str">
        <f>IF('Marks Entry'!S118="","",'Marks Entry'!S118)</f>
        <v/>
      </c>
      <c r="AB118" s="514" t="str">
        <f t="shared" si="174"/>
        <v/>
      </c>
      <c r="AC118" s="68" t="str">
        <f>IF('Marks Entry'!T118="","",'Marks Entry'!T118)</f>
        <v/>
      </c>
      <c r="AD118" s="515" t="str">
        <f t="shared" si="175"/>
        <v/>
      </c>
      <c r="AE118" s="68" t="str">
        <f>IF('Marks Entry'!U118="","",'Marks Entry'!U118)</f>
        <v/>
      </c>
      <c r="AF118" s="96" t="str">
        <f t="shared" si="176"/>
        <v/>
      </c>
      <c r="AG118" s="65">
        <f t="shared" si="177"/>
        <v>0</v>
      </c>
      <c r="AH118" s="65">
        <f t="shared" si="178"/>
        <v>0</v>
      </c>
      <c r="AI118" s="66" t="str">
        <f t="shared" si="179"/>
        <v/>
      </c>
      <c r="AJ118" s="65" t="str">
        <f t="shared" si="180"/>
        <v/>
      </c>
      <c r="AK118" s="65" t="str">
        <f t="shared" si="181"/>
        <v/>
      </c>
      <c r="AL118" s="65" t="str">
        <f t="shared" si="182"/>
        <v/>
      </c>
      <c r="AM118" s="524" t="str">
        <f>IF('Marks Entry'!V118="","",IF('Marks Entry'!V118=1,'School Profile'!$I$9,IF('Marks Entry'!V118=2,'School Profile'!$I$10,IF('Marks Entry'!V118=3,'School Profile'!$I$11,IF('Marks Entry'!V118=4,'School Profile'!$I$12,IF('Marks Entry'!V118=5,'School Profile'!$I$13,IF('Marks Entry'!V118=6,'School Profile'!$I$14,"")))))))</f>
        <v/>
      </c>
      <c r="AN118" s="68" t="str">
        <f>IF('Marks Entry'!W118="","",'Marks Entry'!W118)</f>
        <v/>
      </c>
      <c r="AO118" s="68" t="str">
        <f>IF('Marks Entry'!X118="","",'Marks Entry'!X118)</f>
        <v/>
      </c>
      <c r="AP118" s="68" t="str">
        <f>IF('Marks Entry'!Y118="","",'Marks Entry'!Y118)</f>
        <v/>
      </c>
      <c r="AQ118" s="514" t="str">
        <f t="shared" si="183"/>
        <v/>
      </c>
      <c r="AR118" s="68" t="str">
        <f>IF('Marks Entry'!Z118="","",'Marks Entry'!Z118)</f>
        <v/>
      </c>
      <c r="AS118" s="515" t="str">
        <f t="shared" si="184"/>
        <v/>
      </c>
      <c r="AT118" s="68" t="str">
        <f>IF('Marks Entry'!AA118="","",'Marks Entry'!AA118)</f>
        <v/>
      </c>
      <c r="AU118" s="96" t="str">
        <f t="shared" si="185"/>
        <v/>
      </c>
      <c r="AV118" s="65">
        <f t="shared" si="186"/>
        <v>0</v>
      </c>
      <c r="AW118" s="65">
        <f t="shared" si="187"/>
        <v>0</v>
      </c>
      <c r="AX118" s="66" t="str">
        <f t="shared" si="188"/>
        <v/>
      </c>
      <c r="AY118" s="65" t="str">
        <f t="shared" si="189"/>
        <v/>
      </c>
      <c r="AZ118" s="65" t="str">
        <f t="shared" si="190"/>
        <v/>
      </c>
      <c r="BA118" s="65" t="str">
        <f t="shared" si="191"/>
        <v/>
      </c>
      <c r="BB118" s="68" t="str">
        <f>IF('Marks Entry'!AB118="","",'Marks Entry'!AB118)</f>
        <v/>
      </c>
      <c r="BC118" s="68" t="str">
        <f>IF('Marks Entry'!AC118="","",'Marks Entry'!AC118)</f>
        <v/>
      </c>
      <c r="BD118" s="68" t="str">
        <f>IF('Marks Entry'!AD118="","",'Marks Entry'!AD118)</f>
        <v/>
      </c>
      <c r="BE118" s="514" t="str">
        <f t="shared" si="192"/>
        <v/>
      </c>
      <c r="BF118" s="68" t="str">
        <f>IF('Marks Entry'!AE118="","",'Marks Entry'!AE118)</f>
        <v/>
      </c>
      <c r="BG118" s="515" t="str">
        <f t="shared" si="193"/>
        <v/>
      </c>
      <c r="BH118" s="68" t="str">
        <f>IF('Marks Entry'!AF118="","",'Marks Entry'!AF118)</f>
        <v/>
      </c>
      <c r="BI118" s="96" t="str">
        <f t="shared" si="194"/>
        <v/>
      </c>
      <c r="BJ118" s="65">
        <f t="shared" si="195"/>
        <v>0</v>
      </c>
      <c r="BK118" s="65">
        <f t="shared" si="263"/>
        <v>0</v>
      </c>
      <c r="BL118" s="66" t="str">
        <f t="shared" si="196"/>
        <v/>
      </c>
      <c r="BM118" s="65" t="str">
        <f t="shared" si="197"/>
        <v/>
      </c>
      <c r="BN118" s="65" t="str">
        <f t="shared" si="198"/>
        <v/>
      </c>
      <c r="BO118" s="65" t="str">
        <f t="shared" si="199"/>
        <v/>
      </c>
      <c r="BP118" s="68" t="str">
        <f>IF('Marks Entry'!AG118="","",'Marks Entry'!AG118)</f>
        <v/>
      </c>
      <c r="BQ118" s="68" t="str">
        <f>IF('Marks Entry'!AH118="","",'Marks Entry'!AH118)</f>
        <v/>
      </c>
      <c r="BR118" s="68" t="str">
        <f>IF('Marks Entry'!AI118="","",'Marks Entry'!AI118)</f>
        <v/>
      </c>
      <c r="BS118" s="514" t="str">
        <f t="shared" si="200"/>
        <v/>
      </c>
      <c r="BT118" s="68" t="str">
        <f>IF('Marks Entry'!AJ118="","",'Marks Entry'!AJ118)</f>
        <v/>
      </c>
      <c r="BU118" s="515" t="str">
        <f t="shared" si="201"/>
        <v/>
      </c>
      <c r="BV118" s="68" t="str">
        <f>IF('Marks Entry'!AK118="","",'Marks Entry'!AK118)</f>
        <v/>
      </c>
      <c r="BW118" s="96" t="str">
        <f t="shared" si="202"/>
        <v/>
      </c>
      <c r="BX118" s="65">
        <f t="shared" si="203"/>
        <v>0</v>
      </c>
      <c r="BY118" s="65">
        <f t="shared" si="204"/>
        <v>0</v>
      </c>
      <c r="BZ118" s="66" t="str">
        <f t="shared" si="205"/>
        <v/>
      </c>
      <c r="CA118" s="65" t="str">
        <f t="shared" si="206"/>
        <v/>
      </c>
      <c r="CB118" s="65" t="str">
        <f t="shared" si="207"/>
        <v/>
      </c>
      <c r="CC118" s="65" t="str">
        <f t="shared" si="208"/>
        <v/>
      </c>
      <c r="CD118" s="66">
        <f t="shared" si="329"/>
        <v>0</v>
      </c>
      <c r="CE118" s="68" t="str">
        <f>IF('Marks Entry'!AL118="","",'Marks Entry'!AL118)</f>
        <v/>
      </c>
      <c r="CF118" s="68" t="str">
        <f>IF('Marks Entry'!AM118="","",'Marks Entry'!AM118)</f>
        <v/>
      </c>
      <c r="CG118" s="68" t="str">
        <f>IF('Marks Entry'!AN118="","",'Marks Entry'!AN118)</f>
        <v/>
      </c>
      <c r="CH118" s="514" t="str">
        <f t="shared" si="210"/>
        <v/>
      </c>
      <c r="CI118" s="68" t="str">
        <f>IF('Marks Entry'!AO118="","",'Marks Entry'!AO118)</f>
        <v/>
      </c>
      <c r="CJ118" s="515" t="str">
        <f t="shared" si="211"/>
        <v/>
      </c>
      <c r="CK118" s="68" t="str">
        <f>IF('Marks Entry'!AP118="","",'Marks Entry'!AP118)</f>
        <v/>
      </c>
      <c r="CL118" s="96" t="str">
        <f t="shared" si="212"/>
        <v/>
      </c>
      <c r="CM118" s="65">
        <f t="shared" si="213"/>
        <v>0</v>
      </c>
      <c r="CN118" s="65">
        <f t="shared" si="214"/>
        <v>0</v>
      </c>
      <c r="CO118" s="66" t="str">
        <f t="shared" si="215"/>
        <v/>
      </c>
      <c r="CP118" s="65" t="str">
        <f t="shared" si="216"/>
        <v/>
      </c>
      <c r="CQ118" s="65" t="str">
        <f t="shared" si="217"/>
        <v/>
      </c>
      <c r="CR118" s="65" t="str">
        <f t="shared" si="218"/>
        <v/>
      </c>
      <c r="CS118" s="616" t="str">
        <f>IF('School Profile'!$D$20="NO","",IF('Marks Entry'!AQ118="","",IF('Marks Entry'!AQ118=1,'School Profile'!$I$29,IF('Marks Entry'!AQ118=2,'School Profile'!$I$30,IF('Marks Entry'!AQ118=3,'School Profile'!$I$31,IF('Marks Entry'!AQ118=4,'School Profile'!$I$32,IF('Marks Entry'!AQ118=5,'School Profile'!$I$33,IF('Marks Entry'!AQ118=6,'School Profile'!$I$34,IF('Marks Entry'!AQ118=7,'School Profile'!$I$35,IF('Marks Entry'!AQ118=8,'School Profile'!$I$36,IF('Marks Entry'!AQ118=9,'School Profile'!$I$37,IF('Marks Entry'!AQ118=10,'School Profile'!$I$38,IF('Marks Entry'!AQ118=11,'School Profile'!$I$39,"")))))))))))))</f>
        <v/>
      </c>
      <c r="CT118" s="68" t="str">
        <f>IF('School Profile'!$D$20="NO","",IF('Marks Entry'!AR118="","",'Marks Entry'!AR118))</f>
        <v/>
      </c>
      <c r="CU118" s="68" t="str">
        <f>IF('School Profile'!$D$20="NO","",IF('Marks Entry'!AS118="","",'Marks Entry'!AS118))</f>
        <v/>
      </c>
      <c r="CV118" s="68" t="str">
        <f>IF('School Profile'!$D$20="NO","",IF('Marks Entry'!AT118="","",'Marks Entry'!AT118))</f>
        <v/>
      </c>
      <c r="CW118" s="514" t="str">
        <f>IF('School Profile'!$D$20="NO","",IF(AND(CT118="",CU118="",CV118=""),"",SUM(CT118:CV118)))</f>
        <v/>
      </c>
      <c r="CX118" s="68" t="str">
        <f>IF('School Profile'!$D$20="NO","",IF('Marks Entry'!AU118="","",'Marks Entry'!AU118))</f>
        <v/>
      </c>
      <c r="CY118" s="68" t="str">
        <f>IF('School Profile'!$D$20="NO","",IF('Marks Entry'!AV118="","",'Marks Entry'!AV118))</f>
        <v/>
      </c>
      <c r="CZ118" s="515" t="str">
        <f>IF('School Profile'!$D$20="NO","",IF(AND(CX118="",CY118=""),"",SUM(CX118,CY118)))</f>
        <v/>
      </c>
      <c r="DA118" s="69" t="str">
        <f>IF('School Profile'!$D$20="NO","",IF(AND(CW118="",CZ118=""),"",SUM(CW118+CZ118)))</f>
        <v/>
      </c>
      <c r="DB118" s="68" t="str">
        <f>IF('School Profile'!$D$20="NO","",IF('Marks Entry'!AW118="","",'Marks Entry'!AW118))</f>
        <v/>
      </c>
      <c r="DC118" s="68" t="str">
        <f>IF('School Profile'!$D$20="NO","",IF('Marks Entry'!AX118="","",'Marks Entry'!AX118))</f>
        <v/>
      </c>
      <c r="DD118" s="515" t="str">
        <f>IF('School Profile'!$D$20="NO","",IF(AND(DB118="",DC118=""),"",SUM(DB118,DC118)))</f>
        <v/>
      </c>
      <c r="DE118" s="96" t="str">
        <f>IF('School Profile'!$D$20="NO","",IF(AND(DA118="",DD118=""),"",SUM(DA118,DD118)))</f>
        <v/>
      </c>
      <c r="DF118" s="532">
        <f t="shared" si="219"/>
        <v>0</v>
      </c>
      <c r="DG118" s="65">
        <f t="shared" si="220"/>
        <v>0</v>
      </c>
      <c r="DH118" s="66" t="str">
        <f t="shared" si="221"/>
        <v/>
      </c>
      <c r="DI118" s="65" t="str">
        <f t="shared" si="222"/>
        <v/>
      </c>
      <c r="DJ118" s="65" t="str">
        <f t="shared" si="223"/>
        <v/>
      </c>
      <c r="DK118" s="65" t="str">
        <f t="shared" si="224"/>
        <v/>
      </c>
      <c r="DL118" s="97" t="str">
        <f t="shared" si="264"/>
        <v/>
      </c>
      <c r="DM118" s="97" t="str">
        <f t="shared" si="265"/>
        <v/>
      </c>
      <c r="DN118" s="97" t="str">
        <f t="shared" si="266"/>
        <v/>
      </c>
      <c r="DO118" s="97" t="str">
        <f t="shared" si="267"/>
        <v/>
      </c>
      <c r="DP118" s="97" t="str">
        <f t="shared" si="268"/>
        <v/>
      </c>
      <c r="DQ118" s="97" t="str">
        <f t="shared" si="269"/>
        <v/>
      </c>
      <c r="DR118" s="97" t="str">
        <f t="shared" si="270"/>
        <v/>
      </c>
      <c r="DS118" s="98">
        <f t="shared" si="271"/>
        <v>0</v>
      </c>
      <c r="DT118" s="98">
        <f t="shared" si="272"/>
        <v>0</v>
      </c>
      <c r="DU118" s="98">
        <f t="shared" si="273"/>
        <v>0</v>
      </c>
      <c r="DV118" s="98">
        <f t="shared" si="274"/>
        <v>0</v>
      </c>
      <c r="DW118" s="98">
        <f t="shared" si="275"/>
        <v>0</v>
      </c>
      <c r="DX118" s="98" t="str">
        <f t="shared" si="276"/>
        <v/>
      </c>
      <c r="DY118" s="99" t="str">
        <f t="shared" si="277"/>
        <v/>
      </c>
      <c r="DZ118" s="74" t="str">
        <f>IF('Marks Entry'!AY118="","",'Marks Entry'!AY118)</f>
        <v/>
      </c>
      <c r="EA118" s="74" t="str">
        <f>IF('Marks Entry'!AZ118="","",'Marks Entry'!AZ118)</f>
        <v/>
      </c>
      <c r="EB118" s="74" t="str">
        <f>IF('Marks Entry'!BA118="","",'Marks Entry'!BA118)</f>
        <v/>
      </c>
      <c r="EC118" s="527" t="str">
        <f t="shared" si="225"/>
        <v/>
      </c>
      <c r="ED118" s="74" t="str">
        <f>IF('Marks Entry'!BB118="","",'Marks Entry'!BB118)</f>
        <v/>
      </c>
      <c r="EE118" s="528" t="str">
        <f t="shared" si="226"/>
        <v/>
      </c>
      <c r="EF118" s="74" t="str">
        <f>IF('Marks Entry'!BC118="","",'Marks Entry'!BC118)</f>
        <v/>
      </c>
      <c r="EG118" s="530" t="str">
        <f t="shared" si="227"/>
        <v/>
      </c>
      <c r="EH118" s="368" t="str">
        <f t="shared" si="278"/>
        <v/>
      </c>
      <c r="EI118" s="65">
        <f t="shared" si="279"/>
        <v>0</v>
      </c>
      <c r="EJ118" s="65">
        <f t="shared" si="280"/>
        <v>0</v>
      </c>
      <c r="EK118" s="66" t="str">
        <f t="shared" si="281"/>
        <v/>
      </c>
      <c r="EL118" s="74" t="str">
        <f>IF('Marks Entry'!BD118="","",'Marks Entry'!BD118)</f>
        <v/>
      </c>
      <c r="EM118" s="74" t="str">
        <f>IF('Marks Entry'!BE118="","",'Marks Entry'!BE118)</f>
        <v/>
      </c>
      <c r="EN118" s="74" t="str">
        <f>IF('Marks Entry'!BF118="","",'Marks Entry'!BF118)</f>
        <v/>
      </c>
      <c r="EO118" s="527" t="str">
        <f t="shared" si="228"/>
        <v/>
      </c>
      <c r="EP118" s="74" t="str">
        <f>IF('Marks Entry'!BG118="","",'Marks Entry'!BG118)</f>
        <v/>
      </c>
      <c r="EQ118" s="74" t="str">
        <f>IF('Marks Entry'!BH118="","",'Marks Entry'!BH118)</f>
        <v/>
      </c>
      <c r="ER118" s="528" t="str">
        <f t="shared" si="229"/>
        <v/>
      </c>
      <c r="ES118" s="529" t="str">
        <f t="shared" si="230"/>
        <v/>
      </c>
      <c r="ET118" s="74" t="str">
        <f>IF('Marks Entry'!BI118="","",'Marks Entry'!BI118)</f>
        <v/>
      </c>
      <c r="EU118" s="74" t="str">
        <f>IF('Marks Entry'!BJ118="","",'Marks Entry'!BJ118)</f>
        <v/>
      </c>
      <c r="EV118" s="528" t="str">
        <f t="shared" si="231"/>
        <v/>
      </c>
      <c r="EW118" s="530" t="str">
        <f t="shared" si="232"/>
        <v/>
      </c>
      <c r="EX118" s="368" t="str">
        <f t="shared" si="282"/>
        <v/>
      </c>
      <c r="EY118" s="65">
        <f t="shared" si="283"/>
        <v>0</v>
      </c>
      <c r="EZ118" s="65">
        <f t="shared" si="284"/>
        <v>0</v>
      </c>
      <c r="FA118" s="66" t="str">
        <f t="shared" si="285"/>
        <v/>
      </c>
      <c r="FB118" s="74" t="str">
        <f>IF('Marks Entry'!BK118="","",'Marks Entry'!BK118)</f>
        <v/>
      </c>
      <c r="FC118" s="74" t="str">
        <f>IF('Marks Entry'!BL118="","",'Marks Entry'!BL118)</f>
        <v/>
      </c>
      <c r="FD118" s="74" t="str">
        <f>IF('Marks Entry'!BM118="","",'Marks Entry'!BM118)</f>
        <v/>
      </c>
      <c r="FE118" s="74" t="str">
        <f>IF('Marks Entry'!BN118="","",'Marks Entry'!BN118)</f>
        <v/>
      </c>
      <c r="FF118" s="74" t="str">
        <f>IF('Marks Entry'!BO118="","",'Marks Entry'!BO118)</f>
        <v/>
      </c>
      <c r="FG118" s="74" t="str">
        <f>IF('Marks Entry'!BP118="","",'Marks Entry'!BP118)</f>
        <v/>
      </c>
      <c r="FH118" s="527" t="str">
        <f t="shared" si="233"/>
        <v/>
      </c>
      <c r="FI118" s="74" t="str">
        <f>IF('Marks Entry'!BQ118="","",'Marks Entry'!BQ118)</f>
        <v/>
      </c>
      <c r="FJ118" s="74" t="str">
        <f>IF('Marks Entry'!BR118="","",'Marks Entry'!BR118)</f>
        <v/>
      </c>
      <c r="FK118" s="528" t="str">
        <f t="shared" si="234"/>
        <v/>
      </c>
      <c r="FL118" s="529" t="str">
        <f t="shared" si="235"/>
        <v/>
      </c>
      <c r="FM118" s="74" t="str">
        <f>IF('Marks Entry'!BS118="","",'Marks Entry'!BS118)</f>
        <v/>
      </c>
      <c r="FN118" s="74" t="str">
        <f>IF('Marks Entry'!BT118="","",'Marks Entry'!BT118)</f>
        <v/>
      </c>
      <c r="FO118" s="528" t="str">
        <f t="shared" si="236"/>
        <v/>
      </c>
      <c r="FP118" s="530" t="str">
        <f t="shared" si="237"/>
        <v/>
      </c>
      <c r="FQ118" s="368" t="str">
        <f t="shared" si="286"/>
        <v/>
      </c>
      <c r="FR118" s="65">
        <f t="shared" si="287"/>
        <v>0</v>
      </c>
      <c r="FS118" s="65">
        <f t="shared" si="288"/>
        <v>0</v>
      </c>
      <c r="FT118" s="66" t="str">
        <f t="shared" si="289"/>
        <v/>
      </c>
      <c r="FU118" s="74" t="str">
        <f>IF('Marks Entry'!BU118="","",'Marks Entry'!BU118)</f>
        <v/>
      </c>
      <c r="FV118" s="74" t="str">
        <f>IF('Marks Entry'!BV118="","",'Marks Entry'!BV118)</f>
        <v/>
      </c>
      <c r="FW118" s="74" t="str">
        <f>IF('Marks Entry'!BW118="","",'Marks Entry'!BW118)</f>
        <v/>
      </c>
      <c r="FX118" s="75" t="str">
        <f t="shared" si="238"/>
        <v/>
      </c>
      <c r="FY118" s="368" t="str">
        <f t="shared" si="290"/>
        <v/>
      </c>
      <c r="FZ118" s="65">
        <f t="shared" si="291"/>
        <v>0</v>
      </c>
      <c r="GA118" s="66">
        <f t="shared" si="292"/>
        <v>0</v>
      </c>
      <c r="GB118" s="66" t="str">
        <f t="shared" si="293"/>
        <v/>
      </c>
      <c r="GC118" s="74" t="str">
        <f>IF('Marks Entry'!BX118="","",'Marks Entry'!BX118)</f>
        <v/>
      </c>
      <c r="GD118" s="74" t="str">
        <f>IF('Marks Entry'!BY118="","",'Marks Entry'!BY118)</f>
        <v/>
      </c>
      <c r="GE118" s="74" t="str">
        <f>IF('Marks Entry'!BZ118="","",'Marks Entry'!BZ118)</f>
        <v/>
      </c>
      <c r="GF118" s="75" t="str">
        <f t="shared" si="294"/>
        <v/>
      </c>
      <c r="GG118" s="368" t="str">
        <f t="shared" si="295"/>
        <v/>
      </c>
      <c r="GH118" s="65">
        <f t="shared" si="296"/>
        <v>0</v>
      </c>
      <c r="GI118" s="66">
        <f t="shared" si="297"/>
        <v>0</v>
      </c>
      <c r="GJ118" s="66" t="str">
        <f t="shared" si="298"/>
        <v/>
      </c>
      <c r="GK118" s="100" t="str">
        <f>IF(AND(F118="",B118=""),"",IF('Student DATA Entry'!M115="","",'Student DATA Entry'!M115))</f>
        <v/>
      </c>
      <c r="GL118" s="101" t="str">
        <f>IF(AND(B118="",F118=""),"",IF('Student DATA Entry'!N115="","",'Student DATA Entry'!N115))</f>
        <v/>
      </c>
      <c r="GM118" s="581" t="str">
        <f t="shared" si="299"/>
        <v/>
      </c>
      <c r="GN118" s="94" t="str">
        <f t="shared" si="300"/>
        <v/>
      </c>
      <c r="GO118" s="94" t="str">
        <f t="shared" si="301"/>
        <v/>
      </c>
      <c r="GP118" s="102" t="str">
        <f t="shared" si="330"/>
        <v/>
      </c>
      <c r="GQ118" s="94" t="str">
        <f t="shared" si="302"/>
        <v/>
      </c>
      <c r="GR118" s="103" t="str">
        <f t="shared" si="303"/>
        <v/>
      </c>
      <c r="GS118" s="102" t="str">
        <f t="shared" si="331"/>
        <v/>
      </c>
      <c r="GT118" s="104" t="str">
        <f t="shared" si="304"/>
        <v/>
      </c>
      <c r="GU118" s="94" t="str">
        <f>IF('Marks Entry'!V118=1,GT118,"")</f>
        <v/>
      </c>
      <c r="GV118" s="94" t="str">
        <f>IF('Marks Entry'!V118=2,GT118,"")</f>
        <v/>
      </c>
      <c r="GW118" s="94" t="str">
        <f>IF('Marks Entry'!V118=3,GT118,"")</f>
        <v/>
      </c>
      <c r="GX118" s="94" t="str">
        <f>IF('Marks Entry'!V118=4,GT118,"")</f>
        <v/>
      </c>
      <c r="GY118" s="94" t="str">
        <f>IF('Marks Entry'!V118=5,GT118,"")</f>
        <v/>
      </c>
      <c r="GZ118" s="94" t="str">
        <f t="shared" si="305"/>
        <v/>
      </c>
      <c r="HA118" s="105" t="str">
        <f t="shared" si="332"/>
        <v/>
      </c>
      <c r="HB118" s="94" t="str">
        <f t="shared" si="306"/>
        <v/>
      </c>
      <c r="HC118" s="94" t="str">
        <f t="shared" si="307"/>
        <v/>
      </c>
      <c r="HD118" s="105" t="str">
        <f t="shared" si="333"/>
        <v/>
      </c>
      <c r="HE118" s="94" t="str">
        <f t="shared" si="308"/>
        <v/>
      </c>
      <c r="HF118" s="94" t="str">
        <f t="shared" si="309"/>
        <v/>
      </c>
      <c r="HG118" s="105" t="str">
        <f t="shared" si="334"/>
        <v/>
      </c>
      <c r="HH118" s="94" t="str">
        <f t="shared" si="310"/>
        <v/>
      </c>
      <c r="HI118" s="94" t="str">
        <f t="shared" si="311"/>
        <v/>
      </c>
      <c r="HJ118" s="105" t="str">
        <f t="shared" si="335"/>
        <v/>
      </c>
      <c r="HK118" s="94" t="str">
        <f t="shared" si="312"/>
        <v/>
      </c>
      <c r="HL118" s="94" t="str">
        <f t="shared" si="313"/>
        <v/>
      </c>
      <c r="HM118" s="105" t="str">
        <f t="shared" si="336"/>
        <v/>
      </c>
      <c r="HN118" s="367" t="str">
        <f t="shared" si="314"/>
        <v xml:space="preserve">      </v>
      </c>
      <c r="HO118" s="418" t="str">
        <f t="shared" si="337"/>
        <v xml:space="preserve">      </v>
      </c>
      <c r="HP118" s="367" t="str">
        <f t="shared" si="315"/>
        <v xml:space="preserve">      </v>
      </c>
      <c r="HQ118" s="107" t="str">
        <f t="shared" si="316"/>
        <v xml:space="preserve">      </v>
      </c>
      <c r="HR118" s="366" t="str">
        <f t="shared" si="317"/>
        <v xml:space="preserve">      </v>
      </c>
      <c r="HS118" s="544" t="str">
        <f t="shared" si="338"/>
        <v/>
      </c>
      <c r="HT118" s="542" t="str">
        <f t="shared" si="318"/>
        <v/>
      </c>
      <c r="HU118" s="541" t="str">
        <f t="shared" si="319"/>
        <v/>
      </c>
      <c r="HV118" s="540" t="str">
        <f t="shared" si="320"/>
        <v/>
      </c>
      <c r="HW118" s="537" t="str">
        <f t="shared" si="321"/>
        <v/>
      </c>
      <c r="HX118" s="539" t="str">
        <f t="shared" si="322"/>
        <v/>
      </c>
      <c r="HY118" s="553" t="str">
        <f>IFERROR(IF(OR(HS118="SUPPLEMENTARY",HS118="RE-EXAM"),'Supp. Result Entry'!AQ116,""),"")</f>
        <v/>
      </c>
      <c r="HZ118" s="538" t="str">
        <f t="shared" si="323"/>
        <v/>
      </c>
      <c r="IA118" s="415" t="str">
        <f t="shared" si="324"/>
        <v/>
      </c>
      <c r="IB118" s="415" t="str">
        <f>IF(AND(HZ118="",IA118=""),"",IF(OR(HS118="SUPPLEMENTARY",HS118="RE-EXAM"),'Supp. Result Entry'!AQ116,HS118))</f>
        <v/>
      </c>
      <c r="IC118" s="87"/>
      <c r="IS118" s="109" t="str">
        <f>IF('Supp. Result Entry'!T116="","",'Supp. Result Entry'!$T$4)</f>
        <v/>
      </c>
      <c r="IT118" s="110" t="str">
        <f>IF('Supp. Result Entry'!W116="","",'Supp. Result Entry'!$W$4)</f>
        <v/>
      </c>
      <c r="IU118" s="110" t="str">
        <f>IF('Supp. Result Entry'!Z116="","",'Supp. Result Entry'!$Z$4)</f>
        <v/>
      </c>
      <c r="IV118" s="110" t="str">
        <f>IF('Supp. Result Entry'!AC116="","",'Supp. Result Entry'!$AC$4)</f>
        <v/>
      </c>
      <c r="IW118" s="110" t="str">
        <f>IF('Supp. Result Entry'!AF116="","",'Supp. Result Entry'!$AF$4)</f>
        <v/>
      </c>
      <c r="IX118" s="110" t="str">
        <f>IF('Supp. Result Entry'!AI116="","",'Supp. Result Entry'!$AI$4)</f>
        <v/>
      </c>
      <c r="IY118" s="110" t="str">
        <f>IF('Supp. Result Entry'!AI116="","",'Supp. Result Entry'!$AL$4)</f>
        <v/>
      </c>
      <c r="IZ118" s="110" t="str">
        <f>IF('Supp. Result Entry'!U116="","",'Supp. Result Entry'!U116)</f>
        <v/>
      </c>
      <c r="JA118" s="110" t="str">
        <f>IF('Supp. Result Entry'!X116="","",'Supp. Result Entry'!X116)</f>
        <v/>
      </c>
      <c r="JB118" s="110" t="str">
        <f>IF('Supp. Result Entry'!AA116="","",'Supp. Result Entry'!AA116)</f>
        <v/>
      </c>
      <c r="JC118" s="110" t="str">
        <f>IF('Supp. Result Entry'!AD116="","",'Supp. Result Entry'!AD116)</f>
        <v/>
      </c>
      <c r="JD118" s="110" t="str">
        <f>IF('Supp. Result Entry'!AG116="","",'Supp. Result Entry'!AG116)</f>
        <v/>
      </c>
      <c r="JE118" s="110" t="str">
        <f>IF('Supp. Result Entry'!AJ116="","",'Supp. Result Entry'!AJ116)</f>
        <v/>
      </c>
      <c r="JF118" s="110" t="str">
        <f>IF('Supp. Result Entry'!AM116="","",'Supp. Result Entry'!AM116)</f>
        <v/>
      </c>
      <c r="JG118" s="110" t="str">
        <f>IF('Supp. Result Entry'!V116="","",'Supp. Result Entry'!V116)</f>
        <v/>
      </c>
      <c r="JH118" s="110" t="str">
        <f>IF('Supp. Result Entry'!Y116="","",'Supp. Result Entry'!Y116)</f>
        <v/>
      </c>
      <c r="JI118" s="110" t="str">
        <f>IF('Supp. Result Entry'!AB116="","",'Supp. Result Entry'!AB116)</f>
        <v/>
      </c>
      <c r="JJ118" s="110" t="str">
        <f>IF('Supp. Result Entry'!AE116="","",'Supp. Result Entry'!AE116)</f>
        <v/>
      </c>
      <c r="JK118" s="110" t="str">
        <f>IF('Supp. Result Entry'!AH116="","",'Supp. Result Entry'!AH116)</f>
        <v/>
      </c>
      <c r="JL118" s="110" t="str">
        <f>IF('Supp. Result Entry'!AK116="","",'Supp. Result Entry'!AK116)</f>
        <v/>
      </c>
      <c r="JM118" s="110" t="str">
        <f>IF('Supp. Result Entry'!AN116="","",'Supp. Result Entry'!AN116)</f>
        <v/>
      </c>
      <c r="JN118" s="110">
        <f>COUNTIF('Supp. Result Entry'!K116:Q116,"S")</f>
        <v>0</v>
      </c>
      <c r="JO118" s="110">
        <f t="shared" si="248"/>
        <v>0</v>
      </c>
      <c r="JP118" s="110">
        <f t="shared" si="325"/>
        <v>0</v>
      </c>
      <c r="JQ118" s="110" t="str">
        <f t="shared" si="249"/>
        <v/>
      </c>
      <c r="JR118" s="110" t="str">
        <f t="shared" si="250"/>
        <v/>
      </c>
      <c r="JS118" s="110" t="str">
        <f t="shared" si="251"/>
        <v/>
      </c>
      <c r="JT118" s="110" t="str">
        <f t="shared" si="252"/>
        <v/>
      </c>
      <c r="JU118" s="110" t="str">
        <f t="shared" si="253"/>
        <v/>
      </c>
      <c r="JV118" s="110" t="str">
        <f t="shared" si="254"/>
        <v/>
      </c>
      <c r="JW118" s="110" t="str">
        <f t="shared" si="255"/>
        <v/>
      </c>
      <c r="JX118" s="110" t="str">
        <f t="shared" si="326"/>
        <v/>
      </c>
      <c r="JY118" s="110" t="str">
        <f t="shared" si="327"/>
        <v/>
      </c>
      <c r="JZ118" s="110" t="str">
        <f t="shared" si="256"/>
        <v/>
      </c>
      <c r="KA118" s="108" t="str">
        <f t="shared" si="328"/>
        <v/>
      </c>
    </row>
    <row r="119" spans="1:287" s="108" customFormat="1" ht="21.95" customHeight="1">
      <c r="A119" s="89">
        <v>113</v>
      </c>
      <c r="B119" s="90" t="str">
        <f>IF('Marks Entry'!B119="","",'Marks Entry'!B119)</f>
        <v/>
      </c>
      <c r="C119" s="94" t="str">
        <f>IF('Marks Entry'!D119="","",'Marks Entry'!D119)</f>
        <v/>
      </c>
      <c r="D119" s="91" t="str">
        <f>IF('Marks Entry'!E119="","",'Marks Entry'!E119)</f>
        <v/>
      </c>
      <c r="E119" s="92" t="str">
        <f>IF('Marks Entry'!F119="","",'Marks Entry'!F119)</f>
        <v/>
      </c>
      <c r="F119" s="93" t="str">
        <f>IF('Marks Entry'!G119="","",'Marks Entry'!G119)</f>
        <v/>
      </c>
      <c r="G119" s="93" t="str">
        <f>IF('Marks Entry'!H119="","",'Marks Entry'!H119)</f>
        <v/>
      </c>
      <c r="H119" s="93" t="str">
        <f>IF('Marks Entry'!I119="","",'Marks Entry'!I119)</f>
        <v/>
      </c>
      <c r="I119" s="94" t="str">
        <f>IF('Marks Entry'!J119="","",'Marks Entry'!J119)</f>
        <v/>
      </c>
      <c r="J119" s="95" t="str">
        <f>IF('Marks Entry'!K119="","",'Marks Entry'!K119)</f>
        <v/>
      </c>
      <c r="K119" s="68" t="str">
        <f>IF('Marks Entry'!L119="","",'Marks Entry'!L119)</f>
        <v/>
      </c>
      <c r="L119" s="68" t="str">
        <f>IF('Marks Entry'!M119="","",'Marks Entry'!M119)</f>
        <v/>
      </c>
      <c r="M119" s="68" t="str">
        <f>IF('Marks Entry'!N119="","",'Marks Entry'!N119)</f>
        <v/>
      </c>
      <c r="N119" s="514" t="str">
        <f t="shared" si="257"/>
        <v/>
      </c>
      <c r="O119" s="68" t="str">
        <f>IF('Marks Entry'!O119="","",'Marks Entry'!O119)</f>
        <v/>
      </c>
      <c r="P119" s="515" t="str">
        <f t="shared" si="258"/>
        <v/>
      </c>
      <c r="Q119" s="68" t="str">
        <f>IF('Marks Entry'!P119="","",'Marks Entry'!P119)</f>
        <v/>
      </c>
      <c r="R119" s="96" t="str">
        <f t="shared" si="259"/>
        <v/>
      </c>
      <c r="S119" s="65">
        <f t="shared" si="260"/>
        <v>0</v>
      </c>
      <c r="T119" s="65">
        <f t="shared" si="261"/>
        <v>0</v>
      </c>
      <c r="U119" s="66" t="str">
        <f t="shared" si="171"/>
        <v/>
      </c>
      <c r="V119" s="65" t="str">
        <f t="shared" si="172"/>
        <v/>
      </c>
      <c r="W119" s="65" t="str">
        <f t="shared" si="262"/>
        <v/>
      </c>
      <c r="X119" s="65" t="str">
        <f t="shared" si="173"/>
        <v/>
      </c>
      <c r="Y119" s="68" t="str">
        <f>IF('Marks Entry'!Q119="","",'Marks Entry'!Q119)</f>
        <v/>
      </c>
      <c r="Z119" s="68" t="str">
        <f>IF('Marks Entry'!R119="","",'Marks Entry'!R119)</f>
        <v/>
      </c>
      <c r="AA119" s="68" t="str">
        <f>IF('Marks Entry'!S119="","",'Marks Entry'!S119)</f>
        <v/>
      </c>
      <c r="AB119" s="514" t="str">
        <f t="shared" si="174"/>
        <v/>
      </c>
      <c r="AC119" s="68" t="str">
        <f>IF('Marks Entry'!T119="","",'Marks Entry'!T119)</f>
        <v/>
      </c>
      <c r="AD119" s="515" t="str">
        <f t="shared" si="175"/>
        <v/>
      </c>
      <c r="AE119" s="68" t="str">
        <f>IF('Marks Entry'!U119="","",'Marks Entry'!U119)</f>
        <v/>
      </c>
      <c r="AF119" s="96" t="str">
        <f t="shared" si="176"/>
        <v/>
      </c>
      <c r="AG119" s="65">
        <f t="shared" si="177"/>
        <v>0</v>
      </c>
      <c r="AH119" s="65">
        <f t="shared" si="178"/>
        <v>0</v>
      </c>
      <c r="AI119" s="66" t="str">
        <f t="shared" si="179"/>
        <v/>
      </c>
      <c r="AJ119" s="65" t="str">
        <f t="shared" si="180"/>
        <v/>
      </c>
      <c r="AK119" s="65" t="str">
        <f t="shared" si="181"/>
        <v/>
      </c>
      <c r="AL119" s="65" t="str">
        <f t="shared" si="182"/>
        <v/>
      </c>
      <c r="AM119" s="524" t="str">
        <f>IF('Marks Entry'!V119="","",IF('Marks Entry'!V119=1,'School Profile'!$I$9,IF('Marks Entry'!V119=2,'School Profile'!$I$10,IF('Marks Entry'!V119=3,'School Profile'!$I$11,IF('Marks Entry'!V119=4,'School Profile'!$I$12,IF('Marks Entry'!V119=5,'School Profile'!$I$13,IF('Marks Entry'!V119=6,'School Profile'!$I$14,"")))))))</f>
        <v/>
      </c>
      <c r="AN119" s="68" t="str">
        <f>IF('Marks Entry'!W119="","",'Marks Entry'!W119)</f>
        <v/>
      </c>
      <c r="AO119" s="68" t="str">
        <f>IF('Marks Entry'!X119="","",'Marks Entry'!X119)</f>
        <v/>
      </c>
      <c r="AP119" s="68" t="str">
        <f>IF('Marks Entry'!Y119="","",'Marks Entry'!Y119)</f>
        <v/>
      </c>
      <c r="AQ119" s="514" t="str">
        <f t="shared" si="183"/>
        <v/>
      </c>
      <c r="AR119" s="68" t="str">
        <f>IF('Marks Entry'!Z119="","",'Marks Entry'!Z119)</f>
        <v/>
      </c>
      <c r="AS119" s="515" t="str">
        <f t="shared" si="184"/>
        <v/>
      </c>
      <c r="AT119" s="68" t="str">
        <f>IF('Marks Entry'!AA119="","",'Marks Entry'!AA119)</f>
        <v/>
      </c>
      <c r="AU119" s="96" t="str">
        <f t="shared" si="185"/>
        <v/>
      </c>
      <c r="AV119" s="65">
        <f t="shared" si="186"/>
        <v>0</v>
      </c>
      <c r="AW119" s="65">
        <f t="shared" si="187"/>
        <v>0</v>
      </c>
      <c r="AX119" s="66" t="str">
        <f t="shared" si="188"/>
        <v/>
      </c>
      <c r="AY119" s="65" t="str">
        <f t="shared" si="189"/>
        <v/>
      </c>
      <c r="AZ119" s="65" t="str">
        <f t="shared" si="190"/>
        <v/>
      </c>
      <c r="BA119" s="65" t="str">
        <f t="shared" si="191"/>
        <v/>
      </c>
      <c r="BB119" s="68" t="str">
        <f>IF('Marks Entry'!AB119="","",'Marks Entry'!AB119)</f>
        <v/>
      </c>
      <c r="BC119" s="68" t="str">
        <f>IF('Marks Entry'!AC119="","",'Marks Entry'!AC119)</f>
        <v/>
      </c>
      <c r="BD119" s="68" t="str">
        <f>IF('Marks Entry'!AD119="","",'Marks Entry'!AD119)</f>
        <v/>
      </c>
      <c r="BE119" s="514" t="str">
        <f t="shared" si="192"/>
        <v/>
      </c>
      <c r="BF119" s="68" t="str">
        <f>IF('Marks Entry'!AE119="","",'Marks Entry'!AE119)</f>
        <v/>
      </c>
      <c r="BG119" s="515" t="str">
        <f t="shared" si="193"/>
        <v/>
      </c>
      <c r="BH119" s="68" t="str">
        <f>IF('Marks Entry'!AF119="","",'Marks Entry'!AF119)</f>
        <v/>
      </c>
      <c r="BI119" s="96" t="str">
        <f t="shared" si="194"/>
        <v/>
      </c>
      <c r="BJ119" s="65">
        <f t="shared" si="195"/>
        <v>0</v>
      </c>
      <c r="BK119" s="65">
        <f t="shared" si="263"/>
        <v>0</v>
      </c>
      <c r="BL119" s="66" t="str">
        <f t="shared" si="196"/>
        <v/>
      </c>
      <c r="BM119" s="65" t="str">
        <f t="shared" si="197"/>
        <v/>
      </c>
      <c r="BN119" s="65" t="str">
        <f t="shared" si="198"/>
        <v/>
      </c>
      <c r="BO119" s="65" t="str">
        <f t="shared" si="199"/>
        <v/>
      </c>
      <c r="BP119" s="68" t="str">
        <f>IF('Marks Entry'!AG119="","",'Marks Entry'!AG119)</f>
        <v/>
      </c>
      <c r="BQ119" s="68" t="str">
        <f>IF('Marks Entry'!AH119="","",'Marks Entry'!AH119)</f>
        <v/>
      </c>
      <c r="BR119" s="68" t="str">
        <f>IF('Marks Entry'!AI119="","",'Marks Entry'!AI119)</f>
        <v/>
      </c>
      <c r="BS119" s="514" t="str">
        <f t="shared" si="200"/>
        <v/>
      </c>
      <c r="BT119" s="68" t="str">
        <f>IF('Marks Entry'!AJ119="","",'Marks Entry'!AJ119)</f>
        <v/>
      </c>
      <c r="BU119" s="515" t="str">
        <f t="shared" si="201"/>
        <v/>
      </c>
      <c r="BV119" s="68" t="str">
        <f>IF('Marks Entry'!AK119="","",'Marks Entry'!AK119)</f>
        <v/>
      </c>
      <c r="BW119" s="96" t="str">
        <f t="shared" si="202"/>
        <v/>
      </c>
      <c r="BX119" s="65">
        <f t="shared" si="203"/>
        <v>0</v>
      </c>
      <c r="BY119" s="65">
        <f t="shared" si="204"/>
        <v>0</v>
      </c>
      <c r="BZ119" s="66" t="str">
        <f t="shared" si="205"/>
        <v/>
      </c>
      <c r="CA119" s="65" t="str">
        <f t="shared" si="206"/>
        <v/>
      </c>
      <c r="CB119" s="65" t="str">
        <f t="shared" si="207"/>
        <v/>
      </c>
      <c r="CC119" s="65" t="str">
        <f t="shared" si="208"/>
        <v/>
      </c>
      <c r="CD119" s="66">
        <f t="shared" si="329"/>
        <v>0</v>
      </c>
      <c r="CE119" s="68" t="str">
        <f>IF('Marks Entry'!AL119="","",'Marks Entry'!AL119)</f>
        <v/>
      </c>
      <c r="CF119" s="68" t="str">
        <f>IF('Marks Entry'!AM119="","",'Marks Entry'!AM119)</f>
        <v/>
      </c>
      <c r="CG119" s="68" t="str">
        <f>IF('Marks Entry'!AN119="","",'Marks Entry'!AN119)</f>
        <v/>
      </c>
      <c r="CH119" s="514" t="str">
        <f t="shared" si="210"/>
        <v/>
      </c>
      <c r="CI119" s="68" t="str">
        <f>IF('Marks Entry'!AO119="","",'Marks Entry'!AO119)</f>
        <v/>
      </c>
      <c r="CJ119" s="515" t="str">
        <f t="shared" si="211"/>
        <v/>
      </c>
      <c r="CK119" s="68" t="str">
        <f>IF('Marks Entry'!AP119="","",'Marks Entry'!AP119)</f>
        <v/>
      </c>
      <c r="CL119" s="96" t="str">
        <f t="shared" si="212"/>
        <v/>
      </c>
      <c r="CM119" s="65">
        <f t="shared" si="213"/>
        <v>0</v>
      </c>
      <c r="CN119" s="65">
        <f t="shared" si="214"/>
        <v>0</v>
      </c>
      <c r="CO119" s="66" t="str">
        <f t="shared" si="215"/>
        <v/>
      </c>
      <c r="CP119" s="65" t="str">
        <f t="shared" si="216"/>
        <v/>
      </c>
      <c r="CQ119" s="65" t="str">
        <f t="shared" si="217"/>
        <v/>
      </c>
      <c r="CR119" s="65" t="str">
        <f t="shared" si="218"/>
        <v/>
      </c>
      <c r="CS119" s="616" t="str">
        <f>IF('School Profile'!$D$20="NO","",IF('Marks Entry'!AQ119="","",IF('Marks Entry'!AQ119=1,'School Profile'!$I$29,IF('Marks Entry'!AQ119=2,'School Profile'!$I$30,IF('Marks Entry'!AQ119=3,'School Profile'!$I$31,IF('Marks Entry'!AQ119=4,'School Profile'!$I$32,IF('Marks Entry'!AQ119=5,'School Profile'!$I$33,IF('Marks Entry'!AQ119=6,'School Profile'!$I$34,IF('Marks Entry'!AQ119=7,'School Profile'!$I$35,IF('Marks Entry'!AQ119=8,'School Profile'!$I$36,IF('Marks Entry'!AQ119=9,'School Profile'!$I$37,IF('Marks Entry'!AQ119=10,'School Profile'!$I$38,IF('Marks Entry'!AQ119=11,'School Profile'!$I$39,"")))))))))))))</f>
        <v/>
      </c>
      <c r="CT119" s="68" t="str">
        <f>IF('School Profile'!$D$20="NO","",IF('Marks Entry'!AR119="","",'Marks Entry'!AR119))</f>
        <v/>
      </c>
      <c r="CU119" s="68" t="str">
        <f>IF('School Profile'!$D$20="NO","",IF('Marks Entry'!AS119="","",'Marks Entry'!AS119))</f>
        <v/>
      </c>
      <c r="CV119" s="68" t="str">
        <f>IF('School Profile'!$D$20="NO","",IF('Marks Entry'!AT119="","",'Marks Entry'!AT119))</f>
        <v/>
      </c>
      <c r="CW119" s="514" t="str">
        <f>IF('School Profile'!$D$20="NO","",IF(AND(CT119="",CU119="",CV119=""),"",SUM(CT119:CV119)))</f>
        <v/>
      </c>
      <c r="CX119" s="68" t="str">
        <f>IF('School Profile'!$D$20="NO","",IF('Marks Entry'!AU119="","",'Marks Entry'!AU119))</f>
        <v/>
      </c>
      <c r="CY119" s="68" t="str">
        <f>IF('School Profile'!$D$20="NO","",IF('Marks Entry'!AV119="","",'Marks Entry'!AV119))</f>
        <v/>
      </c>
      <c r="CZ119" s="515" t="str">
        <f>IF('School Profile'!$D$20="NO","",IF(AND(CX119="",CY119=""),"",SUM(CX119,CY119)))</f>
        <v/>
      </c>
      <c r="DA119" s="69" t="str">
        <f>IF('School Profile'!$D$20="NO","",IF(AND(CW119="",CZ119=""),"",SUM(CW119+CZ119)))</f>
        <v/>
      </c>
      <c r="DB119" s="68" t="str">
        <f>IF('School Profile'!$D$20="NO","",IF('Marks Entry'!AW119="","",'Marks Entry'!AW119))</f>
        <v/>
      </c>
      <c r="DC119" s="68" t="str">
        <f>IF('School Profile'!$D$20="NO","",IF('Marks Entry'!AX119="","",'Marks Entry'!AX119))</f>
        <v/>
      </c>
      <c r="DD119" s="515" t="str">
        <f>IF('School Profile'!$D$20="NO","",IF(AND(DB119="",DC119=""),"",SUM(DB119,DC119)))</f>
        <v/>
      </c>
      <c r="DE119" s="96" t="str">
        <f>IF('School Profile'!$D$20="NO","",IF(AND(DA119="",DD119=""),"",SUM(DA119,DD119)))</f>
        <v/>
      </c>
      <c r="DF119" s="532">
        <f t="shared" si="219"/>
        <v>0</v>
      </c>
      <c r="DG119" s="65">
        <f t="shared" si="220"/>
        <v>0</v>
      </c>
      <c r="DH119" s="66" t="str">
        <f t="shared" si="221"/>
        <v/>
      </c>
      <c r="DI119" s="65" t="str">
        <f t="shared" si="222"/>
        <v/>
      </c>
      <c r="DJ119" s="65" t="str">
        <f t="shared" si="223"/>
        <v/>
      </c>
      <c r="DK119" s="65" t="str">
        <f t="shared" si="224"/>
        <v/>
      </c>
      <c r="DL119" s="97" t="str">
        <f t="shared" si="264"/>
        <v/>
      </c>
      <c r="DM119" s="97" t="str">
        <f t="shared" si="265"/>
        <v/>
      </c>
      <c r="DN119" s="97" t="str">
        <f t="shared" si="266"/>
        <v/>
      </c>
      <c r="DO119" s="97" t="str">
        <f t="shared" si="267"/>
        <v/>
      </c>
      <c r="DP119" s="97" t="str">
        <f t="shared" si="268"/>
        <v/>
      </c>
      <c r="DQ119" s="97" t="str">
        <f t="shared" si="269"/>
        <v/>
      </c>
      <c r="DR119" s="97" t="str">
        <f t="shared" si="270"/>
        <v/>
      </c>
      <c r="DS119" s="98">
        <f t="shared" si="271"/>
        <v>0</v>
      </c>
      <c r="DT119" s="98">
        <f t="shared" si="272"/>
        <v>0</v>
      </c>
      <c r="DU119" s="98">
        <f t="shared" si="273"/>
        <v>0</v>
      </c>
      <c r="DV119" s="98">
        <f t="shared" si="274"/>
        <v>0</v>
      </c>
      <c r="DW119" s="98">
        <f t="shared" si="275"/>
        <v>0</v>
      </c>
      <c r="DX119" s="98" t="str">
        <f t="shared" si="276"/>
        <v/>
      </c>
      <c r="DY119" s="99" t="str">
        <f t="shared" si="277"/>
        <v/>
      </c>
      <c r="DZ119" s="74" t="str">
        <f>IF('Marks Entry'!AY119="","",'Marks Entry'!AY119)</f>
        <v/>
      </c>
      <c r="EA119" s="74" t="str">
        <f>IF('Marks Entry'!AZ119="","",'Marks Entry'!AZ119)</f>
        <v/>
      </c>
      <c r="EB119" s="74" t="str">
        <f>IF('Marks Entry'!BA119="","",'Marks Entry'!BA119)</f>
        <v/>
      </c>
      <c r="EC119" s="527" t="str">
        <f t="shared" si="225"/>
        <v/>
      </c>
      <c r="ED119" s="74" t="str">
        <f>IF('Marks Entry'!BB119="","",'Marks Entry'!BB119)</f>
        <v/>
      </c>
      <c r="EE119" s="528" t="str">
        <f t="shared" si="226"/>
        <v/>
      </c>
      <c r="EF119" s="74" t="str">
        <f>IF('Marks Entry'!BC119="","",'Marks Entry'!BC119)</f>
        <v/>
      </c>
      <c r="EG119" s="530" t="str">
        <f t="shared" si="227"/>
        <v/>
      </c>
      <c r="EH119" s="368" t="str">
        <f t="shared" si="278"/>
        <v/>
      </c>
      <c r="EI119" s="65">
        <f t="shared" si="279"/>
        <v>0</v>
      </c>
      <c r="EJ119" s="65">
        <f t="shared" si="280"/>
        <v>0</v>
      </c>
      <c r="EK119" s="66" t="str">
        <f t="shared" si="281"/>
        <v/>
      </c>
      <c r="EL119" s="74" t="str">
        <f>IF('Marks Entry'!BD119="","",'Marks Entry'!BD119)</f>
        <v/>
      </c>
      <c r="EM119" s="74" t="str">
        <f>IF('Marks Entry'!BE119="","",'Marks Entry'!BE119)</f>
        <v/>
      </c>
      <c r="EN119" s="74" t="str">
        <f>IF('Marks Entry'!BF119="","",'Marks Entry'!BF119)</f>
        <v/>
      </c>
      <c r="EO119" s="527" t="str">
        <f t="shared" si="228"/>
        <v/>
      </c>
      <c r="EP119" s="74" t="str">
        <f>IF('Marks Entry'!BG119="","",'Marks Entry'!BG119)</f>
        <v/>
      </c>
      <c r="EQ119" s="74" t="str">
        <f>IF('Marks Entry'!BH119="","",'Marks Entry'!BH119)</f>
        <v/>
      </c>
      <c r="ER119" s="528" t="str">
        <f t="shared" si="229"/>
        <v/>
      </c>
      <c r="ES119" s="529" t="str">
        <f t="shared" si="230"/>
        <v/>
      </c>
      <c r="ET119" s="74" t="str">
        <f>IF('Marks Entry'!BI119="","",'Marks Entry'!BI119)</f>
        <v/>
      </c>
      <c r="EU119" s="74" t="str">
        <f>IF('Marks Entry'!BJ119="","",'Marks Entry'!BJ119)</f>
        <v/>
      </c>
      <c r="EV119" s="528" t="str">
        <f t="shared" si="231"/>
        <v/>
      </c>
      <c r="EW119" s="530" t="str">
        <f t="shared" si="232"/>
        <v/>
      </c>
      <c r="EX119" s="368" t="str">
        <f t="shared" si="282"/>
        <v/>
      </c>
      <c r="EY119" s="65">
        <f t="shared" si="283"/>
        <v>0</v>
      </c>
      <c r="EZ119" s="65">
        <f t="shared" si="284"/>
        <v>0</v>
      </c>
      <c r="FA119" s="66" t="str">
        <f t="shared" si="285"/>
        <v/>
      </c>
      <c r="FB119" s="74" t="str">
        <f>IF('Marks Entry'!BK119="","",'Marks Entry'!BK119)</f>
        <v/>
      </c>
      <c r="FC119" s="74" t="str">
        <f>IF('Marks Entry'!BL119="","",'Marks Entry'!BL119)</f>
        <v/>
      </c>
      <c r="FD119" s="74" t="str">
        <f>IF('Marks Entry'!BM119="","",'Marks Entry'!BM119)</f>
        <v/>
      </c>
      <c r="FE119" s="74" t="str">
        <f>IF('Marks Entry'!BN119="","",'Marks Entry'!BN119)</f>
        <v/>
      </c>
      <c r="FF119" s="74" t="str">
        <f>IF('Marks Entry'!BO119="","",'Marks Entry'!BO119)</f>
        <v/>
      </c>
      <c r="FG119" s="74" t="str">
        <f>IF('Marks Entry'!BP119="","",'Marks Entry'!BP119)</f>
        <v/>
      </c>
      <c r="FH119" s="527" t="str">
        <f t="shared" si="233"/>
        <v/>
      </c>
      <c r="FI119" s="74" t="str">
        <f>IF('Marks Entry'!BQ119="","",'Marks Entry'!BQ119)</f>
        <v/>
      </c>
      <c r="FJ119" s="74" t="str">
        <f>IF('Marks Entry'!BR119="","",'Marks Entry'!BR119)</f>
        <v/>
      </c>
      <c r="FK119" s="528" t="str">
        <f t="shared" si="234"/>
        <v/>
      </c>
      <c r="FL119" s="529" t="str">
        <f t="shared" si="235"/>
        <v/>
      </c>
      <c r="FM119" s="74" t="str">
        <f>IF('Marks Entry'!BS119="","",'Marks Entry'!BS119)</f>
        <v/>
      </c>
      <c r="FN119" s="74" t="str">
        <f>IF('Marks Entry'!BT119="","",'Marks Entry'!BT119)</f>
        <v/>
      </c>
      <c r="FO119" s="528" t="str">
        <f t="shared" si="236"/>
        <v/>
      </c>
      <c r="FP119" s="530" t="str">
        <f t="shared" si="237"/>
        <v/>
      </c>
      <c r="FQ119" s="368" t="str">
        <f t="shared" si="286"/>
        <v/>
      </c>
      <c r="FR119" s="65">
        <f t="shared" si="287"/>
        <v>0</v>
      </c>
      <c r="FS119" s="65">
        <f t="shared" si="288"/>
        <v>0</v>
      </c>
      <c r="FT119" s="66" t="str">
        <f t="shared" si="289"/>
        <v/>
      </c>
      <c r="FU119" s="74" t="str">
        <f>IF('Marks Entry'!BU119="","",'Marks Entry'!BU119)</f>
        <v/>
      </c>
      <c r="FV119" s="74" t="str">
        <f>IF('Marks Entry'!BV119="","",'Marks Entry'!BV119)</f>
        <v/>
      </c>
      <c r="FW119" s="74" t="str">
        <f>IF('Marks Entry'!BW119="","",'Marks Entry'!BW119)</f>
        <v/>
      </c>
      <c r="FX119" s="75" t="str">
        <f t="shared" si="238"/>
        <v/>
      </c>
      <c r="FY119" s="368" t="str">
        <f t="shared" si="290"/>
        <v/>
      </c>
      <c r="FZ119" s="65">
        <f t="shared" si="291"/>
        <v>0</v>
      </c>
      <c r="GA119" s="66">
        <f t="shared" si="292"/>
        <v>0</v>
      </c>
      <c r="GB119" s="66" t="str">
        <f t="shared" si="293"/>
        <v/>
      </c>
      <c r="GC119" s="74" t="str">
        <f>IF('Marks Entry'!BX119="","",'Marks Entry'!BX119)</f>
        <v/>
      </c>
      <c r="GD119" s="74" t="str">
        <f>IF('Marks Entry'!BY119="","",'Marks Entry'!BY119)</f>
        <v/>
      </c>
      <c r="GE119" s="74" t="str">
        <f>IF('Marks Entry'!BZ119="","",'Marks Entry'!BZ119)</f>
        <v/>
      </c>
      <c r="GF119" s="75" t="str">
        <f t="shared" si="294"/>
        <v/>
      </c>
      <c r="GG119" s="368" t="str">
        <f t="shared" si="295"/>
        <v/>
      </c>
      <c r="GH119" s="65">
        <f t="shared" si="296"/>
        <v>0</v>
      </c>
      <c r="GI119" s="66">
        <f t="shared" si="297"/>
        <v>0</v>
      </c>
      <c r="GJ119" s="66" t="str">
        <f t="shared" si="298"/>
        <v/>
      </c>
      <c r="GK119" s="100" t="str">
        <f>IF(AND(F119="",B119=""),"",IF('Student DATA Entry'!M116="","",'Student DATA Entry'!M116))</f>
        <v/>
      </c>
      <c r="GL119" s="101" t="str">
        <f>IF(AND(B119="",F119=""),"",IF('Student DATA Entry'!N116="","",'Student DATA Entry'!N116))</f>
        <v/>
      </c>
      <c r="GM119" s="581" t="str">
        <f t="shared" si="299"/>
        <v/>
      </c>
      <c r="GN119" s="94" t="str">
        <f t="shared" si="300"/>
        <v/>
      </c>
      <c r="GO119" s="94" t="str">
        <f t="shared" si="301"/>
        <v/>
      </c>
      <c r="GP119" s="102" t="str">
        <f t="shared" si="330"/>
        <v/>
      </c>
      <c r="GQ119" s="94" t="str">
        <f t="shared" si="302"/>
        <v/>
      </c>
      <c r="GR119" s="103" t="str">
        <f t="shared" si="303"/>
        <v/>
      </c>
      <c r="GS119" s="102" t="str">
        <f t="shared" si="331"/>
        <v/>
      </c>
      <c r="GT119" s="104" t="str">
        <f t="shared" si="304"/>
        <v/>
      </c>
      <c r="GU119" s="94" t="str">
        <f>IF('Marks Entry'!V119=1,GT119,"")</f>
        <v/>
      </c>
      <c r="GV119" s="94" t="str">
        <f>IF('Marks Entry'!V119=2,GT119,"")</f>
        <v/>
      </c>
      <c r="GW119" s="94" t="str">
        <f>IF('Marks Entry'!V119=3,GT119,"")</f>
        <v/>
      </c>
      <c r="GX119" s="94" t="str">
        <f>IF('Marks Entry'!V119=4,GT119,"")</f>
        <v/>
      </c>
      <c r="GY119" s="94" t="str">
        <f>IF('Marks Entry'!V119=5,GT119,"")</f>
        <v/>
      </c>
      <c r="GZ119" s="94" t="str">
        <f t="shared" si="305"/>
        <v/>
      </c>
      <c r="HA119" s="105" t="str">
        <f t="shared" si="332"/>
        <v/>
      </c>
      <c r="HB119" s="94" t="str">
        <f t="shared" si="306"/>
        <v/>
      </c>
      <c r="HC119" s="94" t="str">
        <f t="shared" si="307"/>
        <v/>
      </c>
      <c r="HD119" s="105" t="str">
        <f t="shared" si="333"/>
        <v/>
      </c>
      <c r="HE119" s="94" t="str">
        <f t="shared" si="308"/>
        <v/>
      </c>
      <c r="HF119" s="94" t="str">
        <f t="shared" si="309"/>
        <v/>
      </c>
      <c r="HG119" s="105" t="str">
        <f t="shared" si="334"/>
        <v/>
      </c>
      <c r="HH119" s="94" t="str">
        <f t="shared" si="310"/>
        <v/>
      </c>
      <c r="HI119" s="94" t="str">
        <f t="shared" si="311"/>
        <v/>
      </c>
      <c r="HJ119" s="105" t="str">
        <f t="shared" si="335"/>
        <v/>
      </c>
      <c r="HK119" s="94" t="str">
        <f t="shared" si="312"/>
        <v/>
      </c>
      <c r="HL119" s="94" t="str">
        <f t="shared" si="313"/>
        <v/>
      </c>
      <c r="HM119" s="105" t="str">
        <f t="shared" si="336"/>
        <v/>
      </c>
      <c r="HN119" s="367" t="str">
        <f t="shared" si="314"/>
        <v xml:space="preserve">      </v>
      </c>
      <c r="HO119" s="418" t="str">
        <f t="shared" si="337"/>
        <v xml:space="preserve">      </v>
      </c>
      <c r="HP119" s="367" t="str">
        <f t="shared" si="315"/>
        <v xml:space="preserve">      </v>
      </c>
      <c r="HQ119" s="107" t="str">
        <f t="shared" si="316"/>
        <v xml:space="preserve">      </v>
      </c>
      <c r="HR119" s="366" t="str">
        <f t="shared" si="317"/>
        <v xml:space="preserve">      </v>
      </c>
      <c r="HS119" s="544" t="str">
        <f t="shared" si="338"/>
        <v/>
      </c>
      <c r="HT119" s="542" t="str">
        <f t="shared" si="318"/>
        <v/>
      </c>
      <c r="HU119" s="541" t="str">
        <f t="shared" si="319"/>
        <v/>
      </c>
      <c r="HV119" s="540" t="str">
        <f t="shared" si="320"/>
        <v/>
      </c>
      <c r="HW119" s="537" t="str">
        <f t="shared" si="321"/>
        <v/>
      </c>
      <c r="HX119" s="539" t="str">
        <f t="shared" si="322"/>
        <v/>
      </c>
      <c r="HY119" s="553" t="str">
        <f>IFERROR(IF(OR(HS119="SUPPLEMENTARY",HS119="RE-EXAM"),'Supp. Result Entry'!AQ117,""),"")</f>
        <v/>
      </c>
      <c r="HZ119" s="538" t="str">
        <f t="shared" si="323"/>
        <v/>
      </c>
      <c r="IA119" s="415" t="str">
        <f t="shared" si="324"/>
        <v/>
      </c>
      <c r="IB119" s="415" t="str">
        <f>IF(AND(HZ119="",IA119=""),"",IF(OR(HS119="SUPPLEMENTARY",HS119="RE-EXAM"),'Supp. Result Entry'!AQ117,HS119))</f>
        <v/>
      </c>
      <c r="IC119" s="87"/>
      <c r="IS119" s="109" t="str">
        <f>IF('Supp. Result Entry'!T117="","",'Supp. Result Entry'!$T$4)</f>
        <v/>
      </c>
      <c r="IT119" s="110" t="str">
        <f>IF('Supp. Result Entry'!W117="","",'Supp. Result Entry'!$W$4)</f>
        <v/>
      </c>
      <c r="IU119" s="110" t="str">
        <f>IF('Supp. Result Entry'!Z117="","",'Supp. Result Entry'!$Z$4)</f>
        <v/>
      </c>
      <c r="IV119" s="110" t="str">
        <f>IF('Supp. Result Entry'!AC117="","",'Supp. Result Entry'!$AC$4)</f>
        <v/>
      </c>
      <c r="IW119" s="110" t="str">
        <f>IF('Supp. Result Entry'!AF117="","",'Supp. Result Entry'!$AF$4)</f>
        <v/>
      </c>
      <c r="IX119" s="110" t="str">
        <f>IF('Supp. Result Entry'!AI117="","",'Supp. Result Entry'!$AI$4)</f>
        <v/>
      </c>
      <c r="IY119" s="110" t="str">
        <f>IF('Supp. Result Entry'!AI117="","",'Supp. Result Entry'!$AL$4)</f>
        <v/>
      </c>
      <c r="IZ119" s="110" t="str">
        <f>IF('Supp. Result Entry'!U117="","",'Supp. Result Entry'!U117)</f>
        <v/>
      </c>
      <c r="JA119" s="110" t="str">
        <f>IF('Supp. Result Entry'!X117="","",'Supp. Result Entry'!X117)</f>
        <v/>
      </c>
      <c r="JB119" s="110" t="str">
        <f>IF('Supp. Result Entry'!AA117="","",'Supp. Result Entry'!AA117)</f>
        <v/>
      </c>
      <c r="JC119" s="110" t="str">
        <f>IF('Supp. Result Entry'!AD117="","",'Supp. Result Entry'!AD117)</f>
        <v/>
      </c>
      <c r="JD119" s="110" t="str">
        <f>IF('Supp. Result Entry'!AG117="","",'Supp. Result Entry'!AG117)</f>
        <v/>
      </c>
      <c r="JE119" s="110" t="str">
        <f>IF('Supp. Result Entry'!AJ117="","",'Supp. Result Entry'!AJ117)</f>
        <v/>
      </c>
      <c r="JF119" s="110" t="str">
        <f>IF('Supp. Result Entry'!AM117="","",'Supp. Result Entry'!AM117)</f>
        <v/>
      </c>
      <c r="JG119" s="110" t="str">
        <f>IF('Supp. Result Entry'!V117="","",'Supp. Result Entry'!V117)</f>
        <v/>
      </c>
      <c r="JH119" s="110" t="str">
        <f>IF('Supp. Result Entry'!Y117="","",'Supp. Result Entry'!Y117)</f>
        <v/>
      </c>
      <c r="JI119" s="110" t="str">
        <f>IF('Supp. Result Entry'!AB117="","",'Supp. Result Entry'!AB117)</f>
        <v/>
      </c>
      <c r="JJ119" s="110" t="str">
        <f>IF('Supp. Result Entry'!AE117="","",'Supp. Result Entry'!AE117)</f>
        <v/>
      </c>
      <c r="JK119" s="110" t="str">
        <f>IF('Supp. Result Entry'!AH117="","",'Supp. Result Entry'!AH117)</f>
        <v/>
      </c>
      <c r="JL119" s="110" t="str">
        <f>IF('Supp. Result Entry'!AK117="","",'Supp. Result Entry'!AK117)</f>
        <v/>
      </c>
      <c r="JM119" s="110" t="str">
        <f>IF('Supp. Result Entry'!AN117="","",'Supp. Result Entry'!AN117)</f>
        <v/>
      </c>
      <c r="JN119" s="110">
        <f>COUNTIF('Supp. Result Entry'!K117:Q117,"S")</f>
        <v>0</v>
      </c>
      <c r="JO119" s="110">
        <f t="shared" si="248"/>
        <v>0</v>
      </c>
      <c r="JP119" s="110">
        <f t="shared" si="325"/>
        <v>0</v>
      </c>
      <c r="JQ119" s="110" t="str">
        <f t="shared" si="249"/>
        <v/>
      </c>
      <c r="JR119" s="110" t="str">
        <f t="shared" si="250"/>
        <v/>
      </c>
      <c r="JS119" s="110" t="str">
        <f t="shared" si="251"/>
        <v/>
      </c>
      <c r="JT119" s="110" t="str">
        <f t="shared" si="252"/>
        <v/>
      </c>
      <c r="JU119" s="110" t="str">
        <f t="shared" si="253"/>
        <v/>
      </c>
      <c r="JV119" s="110" t="str">
        <f t="shared" si="254"/>
        <v/>
      </c>
      <c r="JW119" s="110" t="str">
        <f t="shared" si="255"/>
        <v/>
      </c>
      <c r="JX119" s="110" t="str">
        <f t="shared" si="326"/>
        <v/>
      </c>
      <c r="JY119" s="110" t="str">
        <f t="shared" si="327"/>
        <v/>
      </c>
      <c r="JZ119" s="110" t="str">
        <f t="shared" si="256"/>
        <v/>
      </c>
      <c r="KA119" s="108" t="str">
        <f t="shared" si="328"/>
        <v/>
      </c>
    </row>
    <row r="120" spans="1:287" s="108" customFormat="1" ht="21.95" customHeight="1">
      <c r="A120" s="89">
        <v>114</v>
      </c>
      <c r="B120" s="90" t="str">
        <f>IF('Marks Entry'!B120="","",'Marks Entry'!B120)</f>
        <v/>
      </c>
      <c r="C120" s="94" t="str">
        <f>IF('Marks Entry'!D120="","",'Marks Entry'!D120)</f>
        <v/>
      </c>
      <c r="D120" s="91" t="str">
        <f>IF('Marks Entry'!E120="","",'Marks Entry'!E120)</f>
        <v/>
      </c>
      <c r="E120" s="92" t="str">
        <f>IF('Marks Entry'!F120="","",'Marks Entry'!F120)</f>
        <v/>
      </c>
      <c r="F120" s="93" t="str">
        <f>IF('Marks Entry'!G120="","",'Marks Entry'!G120)</f>
        <v/>
      </c>
      <c r="G120" s="93" t="str">
        <f>IF('Marks Entry'!H120="","",'Marks Entry'!H120)</f>
        <v/>
      </c>
      <c r="H120" s="93" t="str">
        <f>IF('Marks Entry'!I120="","",'Marks Entry'!I120)</f>
        <v/>
      </c>
      <c r="I120" s="94" t="str">
        <f>IF('Marks Entry'!J120="","",'Marks Entry'!J120)</f>
        <v/>
      </c>
      <c r="J120" s="95" t="str">
        <f>IF('Marks Entry'!K120="","",'Marks Entry'!K120)</f>
        <v/>
      </c>
      <c r="K120" s="68" t="str">
        <f>IF('Marks Entry'!L120="","",'Marks Entry'!L120)</f>
        <v/>
      </c>
      <c r="L120" s="68" t="str">
        <f>IF('Marks Entry'!M120="","",'Marks Entry'!M120)</f>
        <v/>
      </c>
      <c r="M120" s="68" t="str">
        <f>IF('Marks Entry'!N120="","",'Marks Entry'!N120)</f>
        <v/>
      </c>
      <c r="N120" s="514" t="str">
        <f t="shared" si="257"/>
        <v/>
      </c>
      <c r="O120" s="68" t="str">
        <f>IF('Marks Entry'!O120="","",'Marks Entry'!O120)</f>
        <v/>
      </c>
      <c r="P120" s="515" t="str">
        <f t="shared" si="258"/>
        <v/>
      </c>
      <c r="Q120" s="68" t="str">
        <f>IF('Marks Entry'!P120="","",'Marks Entry'!P120)</f>
        <v/>
      </c>
      <c r="R120" s="96" t="str">
        <f t="shared" si="259"/>
        <v/>
      </c>
      <c r="S120" s="65">
        <f t="shared" si="260"/>
        <v>0</v>
      </c>
      <c r="T120" s="65">
        <f t="shared" si="261"/>
        <v>0</v>
      </c>
      <c r="U120" s="66" t="str">
        <f t="shared" si="171"/>
        <v/>
      </c>
      <c r="V120" s="65" t="str">
        <f t="shared" si="172"/>
        <v/>
      </c>
      <c r="W120" s="65" t="str">
        <f t="shared" si="262"/>
        <v/>
      </c>
      <c r="X120" s="65" t="str">
        <f t="shared" si="173"/>
        <v/>
      </c>
      <c r="Y120" s="68" t="str">
        <f>IF('Marks Entry'!Q120="","",'Marks Entry'!Q120)</f>
        <v/>
      </c>
      <c r="Z120" s="68" t="str">
        <f>IF('Marks Entry'!R120="","",'Marks Entry'!R120)</f>
        <v/>
      </c>
      <c r="AA120" s="68" t="str">
        <f>IF('Marks Entry'!S120="","",'Marks Entry'!S120)</f>
        <v/>
      </c>
      <c r="AB120" s="514" t="str">
        <f t="shared" si="174"/>
        <v/>
      </c>
      <c r="AC120" s="68" t="str">
        <f>IF('Marks Entry'!T120="","",'Marks Entry'!T120)</f>
        <v/>
      </c>
      <c r="AD120" s="515" t="str">
        <f t="shared" si="175"/>
        <v/>
      </c>
      <c r="AE120" s="68" t="str">
        <f>IF('Marks Entry'!U120="","",'Marks Entry'!U120)</f>
        <v/>
      </c>
      <c r="AF120" s="96" t="str">
        <f t="shared" si="176"/>
        <v/>
      </c>
      <c r="AG120" s="65">
        <f t="shared" si="177"/>
        <v>0</v>
      </c>
      <c r="AH120" s="65">
        <f t="shared" si="178"/>
        <v>0</v>
      </c>
      <c r="AI120" s="66" t="str">
        <f t="shared" si="179"/>
        <v/>
      </c>
      <c r="AJ120" s="65" t="str">
        <f t="shared" si="180"/>
        <v/>
      </c>
      <c r="AK120" s="65" t="str">
        <f t="shared" si="181"/>
        <v/>
      </c>
      <c r="AL120" s="65" t="str">
        <f t="shared" si="182"/>
        <v/>
      </c>
      <c r="AM120" s="524" t="str">
        <f>IF('Marks Entry'!V120="","",IF('Marks Entry'!V120=1,'School Profile'!$I$9,IF('Marks Entry'!V120=2,'School Profile'!$I$10,IF('Marks Entry'!V120=3,'School Profile'!$I$11,IF('Marks Entry'!V120=4,'School Profile'!$I$12,IF('Marks Entry'!V120=5,'School Profile'!$I$13,IF('Marks Entry'!V120=6,'School Profile'!$I$14,"")))))))</f>
        <v/>
      </c>
      <c r="AN120" s="68" t="str">
        <f>IF('Marks Entry'!W120="","",'Marks Entry'!W120)</f>
        <v/>
      </c>
      <c r="AO120" s="68" t="str">
        <f>IF('Marks Entry'!X120="","",'Marks Entry'!X120)</f>
        <v/>
      </c>
      <c r="AP120" s="68" t="str">
        <f>IF('Marks Entry'!Y120="","",'Marks Entry'!Y120)</f>
        <v/>
      </c>
      <c r="AQ120" s="514" t="str">
        <f t="shared" si="183"/>
        <v/>
      </c>
      <c r="AR120" s="68" t="str">
        <f>IF('Marks Entry'!Z120="","",'Marks Entry'!Z120)</f>
        <v/>
      </c>
      <c r="AS120" s="515" t="str">
        <f t="shared" si="184"/>
        <v/>
      </c>
      <c r="AT120" s="68" t="str">
        <f>IF('Marks Entry'!AA120="","",'Marks Entry'!AA120)</f>
        <v/>
      </c>
      <c r="AU120" s="96" t="str">
        <f t="shared" si="185"/>
        <v/>
      </c>
      <c r="AV120" s="65">
        <f t="shared" si="186"/>
        <v>0</v>
      </c>
      <c r="AW120" s="65">
        <f t="shared" si="187"/>
        <v>0</v>
      </c>
      <c r="AX120" s="66" t="str">
        <f t="shared" si="188"/>
        <v/>
      </c>
      <c r="AY120" s="65" t="str">
        <f t="shared" si="189"/>
        <v/>
      </c>
      <c r="AZ120" s="65" t="str">
        <f t="shared" si="190"/>
        <v/>
      </c>
      <c r="BA120" s="65" t="str">
        <f t="shared" si="191"/>
        <v/>
      </c>
      <c r="BB120" s="68" t="str">
        <f>IF('Marks Entry'!AB120="","",'Marks Entry'!AB120)</f>
        <v/>
      </c>
      <c r="BC120" s="68" t="str">
        <f>IF('Marks Entry'!AC120="","",'Marks Entry'!AC120)</f>
        <v/>
      </c>
      <c r="BD120" s="68" t="str">
        <f>IF('Marks Entry'!AD120="","",'Marks Entry'!AD120)</f>
        <v/>
      </c>
      <c r="BE120" s="514" t="str">
        <f t="shared" si="192"/>
        <v/>
      </c>
      <c r="BF120" s="68" t="str">
        <f>IF('Marks Entry'!AE120="","",'Marks Entry'!AE120)</f>
        <v/>
      </c>
      <c r="BG120" s="515" t="str">
        <f t="shared" si="193"/>
        <v/>
      </c>
      <c r="BH120" s="68" t="str">
        <f>IF('Marks Entry'!AF120="","",'Marks Entry'!AF120)</f>
        <v/>
      </c>
      <c r="BI120" s="96" t="str">
        <f t="shared" si="194"/>
        <v/>
      </c>
      <c r="BJ120" s="65">
        <f t="shared" si="195"/>
        <v>0</v>
      </c>
      <c r="BK120" s="65">
        <f t="shared" si="263"/>
        <v>0</v>
      </c>
      <c r="BL120" s="66" t="str">
        <f t="shared" si="196"/>
        <v/>
      </c>
      <c r="BM120" s="65" t="str">
        <f t="shared" si="197"/>
        <v/>
      </c>
      <c r="BN120" s="65" t="str">
        <f t="shared" si="198"/>
        <v/>
      </c>
      <c r="BO120" s="65" t="str">
        <f t="shared" si="199"/>
        <v/>
      </c>
      <c r="BP120" s="68" t="str">
        <f>IF('Marks Entry'!AG120="","",'Marks Entry'!AG120)</f>
        <v/>
      </c>
      <c r="BQ120" s="68" t="str">
        <f>IF('Marks Entry'!AH120="","",'Marks Entry'!AH120)</f>
        <v/>
      </c>
      <c r="BR120" s="68" t="str">
        <f>IF('Marks Entry'!AI120="","",'Marks Entry'!AI120)</f>
        <v/>
      </c>
      <c r="BS120" s="514" t="str">
        <f t="shared" si="200"/>
        <v/>
      </c>
      <c r="BT120" s="68" t="str">
        <f>IF('Marks Entry'!AJ120="","",'Marks Entry'!AJ120)</f>
        <v/>
      </c>
      <c r="BU120" s="515" t="str">
        <f t="shared" si="201"/>
        <v/>
      </c>
      <c r="BV120" s="68" t="str">
        <f>IF('Marks Entry'!AK120="","",'Marks Entry'!AK120)</f>
        <v/>
      </c>
      <c r="BW120" s="96" t="str">
        <f t="shared" si="202"/>
        <v/>
      </c>
      <c r="BX120" s="65">
        <f t="shared" si="203"/>
        <v>0</v>
      </c>
      <c r="BY120" s="65">
        <f t="shared" si="204"/>
        <v>0</v>
      </c>
      <c r="BZ120" s="66" t="str">
        <f t="shared" si="205"/>
        <v/>
      </c>
      <c r="CA120" s="65" t="str">
        <f t="shared" si="206"/>
        <v/>
      </c>
      <c r="CB120" s="65" t="str">
        <f t="shared" si="207"/>
        <v/>
      </c>
      <c r="CC120" s="65" t="str">
        <f t="shared" si="208"/>
        <v/>
      </c>
      <c r="CD120" s="66">
        <f t="shared" si="329"/>
        <v>0</v>
      </c>
      <c r="CE120" s="68" t="str">
        <f>IF('Marks Entry'!AL120="","",'Marks Entry'!AL120)</f>
        <v/>
      </c>
      <c r="CF120" s="68" t="str">
        <f>IF('Marks Entry'!AM120="","",'Marks Entry'!AM120)</f>
        <v/>
      </c>
      <c r="CG120" s="68" t="str">
        <f>IF('Marks Entry'!AN120="","",'Marks Entry'!AN120)</f>
        <v/>
      </c>
      <c r="CH120" s="514" t="str">
        <f t="shared" si="210"/>
        <v/>
      </c>
      <c r="CI120" s="68" t="str">
        <f>IF('Marks Entry'!AO120="","",'Marks Entry'!AO120)</f>
        <v/>
      </c>
      <c r="CJ120" s="515" t="str">
        <f t="shared" si="211"/>
        <v/>
      </c>
      <c r="CK120" s="68" t="str">
        <f>IF('Marks Entry'!AP120="","",'Marks Entry'!AP120)</f>
        <v/>
      </c>
      <c r="CL120" s="96" t="str">
        <f t="shared" si="212"/>
        <v/>
      </c>
      <c r="CM120" s="65">
        <f t="shared" si="213"/>
        <v>0</v>
      </c>
      <c r="CN120" s="65">
        <f t="shared" si="214"/>
        <v>0</v>
      </c>
      <c r="CO120" s="66" t="str">
        <f t="shared" si="215"/>
        <v/>
      </c>
      <c r="CP120" s="65" t="str">
        <f t="shared" si="216"/>
        <v/>
      </c>
      <c r="CQ120" s="65" t="str">
        <f t="shared" si="217"/>
        <v/>
      </c>
      <c r="CR120" s="65" t="str">
        <f t="shared" si="218"/>
        <v/>
      </c>
      <c r="CS120" s="616" t="str">
        <f>IF('School Profile'!$D$20="NO","",IF('Marks Entry'!AQ120="","",IF('Marks Entry'!AQ120=1,'School Profile'!$I$29,IF('Marks Entry'!AQ120=2,'School Profile'!$I$30,IF('Marks Entry'!AQ120=3,'School Profile'!$I$31,IF('Marks Entry'!AQ120=4,'School Profile'!$I$32,IF('Marks Entry'!AQ120=5,'School Profile'!$I$33,IF('Marks Entry'!AQ120=6,'School Profile'!$I$34,IF('Marks Entry'!AQ120=7,'School Profile'!$I$35,IF('Marks Entry'!AQ120=8,'School Profile'!$I$36,IF('Marks Entry'!AQ120=9,'School Profile'!$I$37,IF('Marks Entry'!AQ120=10,'School Profile'!$I$38,IF('Marks Entry'!AQ120=11,'School Profile'!$I$39,"")))))))))))))</f>
        <v/>
      </c>
      <c r="CT120" s="68" t="str">
        <f>IF('School Profile'!$D$20="NO","",IF('Marks Entry'!AR120="","",'Marks Entry'!AR120))</f>
        <v/>
      </c>
      <c r="CU120" s="68" t="str">
        <f>IF('School Profile'!$D$20="NO","",IF('Marks Entry'!AS120="","",'Marks Entry'!AS120))</f>
        <v/>
      </c>
      <c r="CV120" s="68" t="str">
        <f>IF('School Profile'!$D$20="NO","",IF('Marks Entry'!AT120="","",'Marks Entry'!AT120))</f>
        <v/>
      </c>
      <c r="CW120" s="514" t="str">
        <f>IF('School Profile'!$D$20="NO","",IF(AND(CT120="",CU120="",CV120=""),"",SUM(CT120:CV120)))</f>
        <v/>
      </c>
      <c r="CX120" s="68" t="str">
        <f>IF('School Profile'!$D$20="NO","",IF('Marks Entry'!AU120="","",'Marks Entry'!AU120))</f>
        <v/>
      </c>
      <c r="CY120" s="68" t="str">
        <f>IF('School Profile'!$D$20="NO","",IF('Marks Entry'!AV120="","",'Marks Entry'!AV120))</f>
        <v/>
      </c>
      <c r="CZ120" s="515" t="str">
        <f>IF('School Profile'!$D$20="NO","",IF(AND(CX120="",CY120=""),"",SUM(CX120,CY120)))</f>
        <v/>
      </c>
      <c r="DA120" s="69" t="str">
        <f>IF('School Profile'!$D$20="NO","",IF(AND(CW120="",CZ120=""),"",SUM(CW120+CZ120)))</f>
        <v/>
      </c>
      <c r="DB120" s="68" t="str">
        <f>IF('School Profile'!$D$20="NO","",IF('Marks Entry'!AW120="","",'Marks Entry'!AW120))</f>
        <v/>
      </c>
      <c r="DC120" s="68" t="str">
        <f>IF('School Profile'!$D$20="NO","",IF('Marks Entry'!AX120="","",'Marks Entry'!AX120))</f>
        <v/>
      </c>
      <c r="DD120" s="515" t="str">
        <f>IF('School Profile'!$D$20="NO","",IF(AND(DB120="",DC120=""),"",SUM(DB120,DC120)))</f>
        <v/>
      </c>
      <c r="DE120" s="96" t="str">
        <f>IF('School Profile'!$D$20="NO","",IF(AND(DA120="",DD120=""),"",SUM(DA120,DD120)))</f>
        <v/>
      </c>
      <c r="DF120" s="532">
        <f t="shared" si="219"/>
        <v>0</v>
      </c>
      <c r="DG120" s="65">
        <f t="shared" si="220"/>
        <v>0</v>
      </c>
      <c r="DH120" s="66" t="str">
        <f t="shared" si="221"/>
        <v/>
      </c>
      <c r="DI120" s="65" t="str">
        <f t="shared" si="222"/>
        <v/>
      </c>
      <c r="DJ120" s="65" t="str">
        <f t="shared" si="223"/>
        <v/>
      </c>
      <c r="DK120" s="65" t="str">
        <f t="shared" si="224"/>
        <v/>
      </c>
      <c r="DL120" s="97" t="str">
        <f t="shared" si="264"/>
        <v/>
      </c>
      <c r="DM120" s="97" t="str">
        <f t="shared" si="265"/>
        <v/>
      </c>
      <c r="DN120" s="97" t="str">
        <f t="shared" si="266"/>
        <v/>
      </c>
      <c r="DO120" s="97" t="str">
        <f t="shared" si="267"/>
        <v/>
      </c>
      <c r="DP120" s="97" t="str">
        <f t="shared" si="268"/>
        <v/>
      </c>
      <c r="DQ120" s="97" t="str">
        <f t="shared" si="269"/>
        <v/>
      </c>
      <c r="DR120" s="97" t="str">
        <f t="shared" si="270"/>
        <v/>
      </c>
      <c r="DS120" s="98">
        <f t="shared" si="271"/>
        <v>0</v>
      </c>
      <c r="DT120" s="98">
        <f t="shared" si="272"/>
        <v>0</v>
      </c>
      <c r="DU120" s="98">
        <f t="shared" si="273"/>
        <v>0</v>
      </c>
      <c r="DV120" s="98">
        <f t="shared" si="274"/>
        <v>0</v>
      </c>
      <c r="DW120" s="98">
        <f t="shared" si="275"/>
        <v>0</v>
      </c>
      <c r="DX120" s="98" t="str">
        <f t="shared" si="276"/>
        <v/>
      </c>
      <c r="DY120" s="99" t="str">
        <f t="shared" si="277"/>
        <v/>
      </c>
      <c r="DZ120" s="74" t="str">
        <f>IF('Marks Entry'!AY120="","",'Marks Entry'!AY120)</f>
        <v/>
      </c>
      <c r="EA120" s="74" t="str">
        <f>IF('Marks Entry'!AZ120="","",'Marks Entry'!AZ120)</f>
        <v/>
      </c>
      <c r="EB120" s="74" t="str">
        <f>IF('Marks Entry'!BA120="","",'Marks Entry'!BA120)</f>
        <v/>
      </c>
      <c r="EC120" s="527" t="str">
        <f t="shared" si="225"/>
        <v/>
      </c>
      <c r="ED120" s="74" t="str">
        <f>IF('Marks Entry'!BB120="","",'Marks Entry'!BB120)</f>
        <v/>
      </c>
      <c r="EE120" s="528" t="str">
        <f t="shared" si="226"/>
        <v/>
      </c>
      <c r="EF120" s="74" t="str">
        <f>IF('Marks Entry'!BC120="","",'Marks Entry'!BC120)</f>
        <v/>
      </c>
      <c r="EG120" s="530" t="str">
        <f t="shared" si="227"/>
        <v/>
      </c>
      <c r="EH120" s="368" t="str">
        <f t="shared" si="278"/>
        <v/>
      </c>
      <c r="EI120" s="65">
        <f t="shared" si="279"/>
        <v>0</v>
      </c>
      <c r="EJ120" s="65">
        <f t="shared" si="280"/>
        <v>0</v>
      </c>
      <c r="EK120" s="66" t="str">
        <f t="shared" si="281"/>
        <v/>
      </c>
      <c r="EL120" s="74" t="str">
        <f>IF('Marks Entry'!BD120="","",'Marks Entry'!BD120)</f>
        <v/>
      </c>
      <c r="EM120" s="74" t="str">
        <f>IF('Marks Entry'!BE120="","",'Marks Entry'!BE120)</f>
        <v/>
      </c>
      <c r="EN120" s="74" t="str">
        <f>IF('Marks Entry'!BF120="","",'Marks Entry'!BF120)</f>
        <v/>
      </c>
      <c r="EO120" s="527" t="str">
        <f t="shared" si="228"/>
        <v/>
      </c>
      <c r="EP120" s="74" t="str">
        <f>IF('Marks Entry'!BG120="","",'Marks Entry'!BG120)</f>
        <v/>
      </c>
      <c r="EQ120" s="74" t="str">
        <f>IF('Marks Entry'!BH120="","",'Marks Entry'!BH120)</f>
        <v/>
      </c>
      <c r="ER120" s="528" t="str">
        <f t="shared" si="229"/>
        <v/>
      </c>
      <c r="ES120" s="529" t="str">
        <f t="shared" si="230"/>
        <v/>
      </c>
      <c r="ET120" s="74" t="str">
        <f>IF('Marks Entry'!BI120="","",'Marks Entry'!BI120)</f>
        <v/>
      </c>
      <c r="EU120" s="74" t="str">
        <f>IF('Marks Entry'!BJ120="","",'Marks Entry'!BJ120)</f>
        <v/>
      </c>
      <c r="EV120" s="528" t="str">
        <f t="shared" si="231"/>
        <v/>
      </c>
      <c r="EW120" s="530" t="str">
        <f t="shared" si="232"/>
        <v/>
      </c>
      <c r="EX120" s="368" t="str">
        <f t="shared" si="282"/>
        <v/>
      </c>
      <c r="EY120" s="65">
        <f t="shared" si="283"/>
        <v>0</v>
      </c>
      <c r="EZ120" s="65">
        <f t="shared" si="284"/>
        <v>0</v>
      </c>
      <c r="FA120" s="66" t="str">
        <f t="shared" si="285"/>
        <v/>
      </c>
      <c r="FB120" s="74" t="str">
        <f>IF('Marks Entry'!BK120="","",'Marks Entry'!BK120)</f>
        <v/>
      </c>
      <c r="FC120" s="74" t="str">
        <f>IF('Marks Entry'!BL120="","",'Marks Entry'!BL120)</f>
        <v/>
      </c>
      <c r="FD120" s="74" t="str">
        <f>IF('Marks Entry'!BM120="","",'Marks Entry'!BM120)</f>
        <v/>
      </c>
      <c r="FE120" s="74" t="str">
        <f>IF('Marks Entry'!BN120="","",'Marks Entry'!BN120)</f>
        <v/>
      </c>
      <c r="FF120" s="74" t="str">
        <f>IF('Marks Entry'!BO120="","",'Marks Entry'!BO120)</f>
        <v/>
      </c>
      <c r="FG120" s="74" t="str">
        <f>IF('Marks Entry'!BP120="","",'Marks Entry'!BP120)</f>
        <v/>
      </c>
      <c r="FH120" s="527" t="str">
        <f t="shared" si="233"/>
        <v/>
      </c>
      <c r="FI120" s="74" t="str">
        <f>IF('Marks Entry'!BQ120="","",'Marks Entry'!BQ120)</f>
        <v/>
      </c>
      <c r="FJ120" s="74" t="str">
        <f>IF('Marks Entry'!BR120="","",'Marks Entry'!BR120)</f>
        <v/>
      </c>
      <c r="FK120" s="528" t="str">
        <f t="shared" si="234"/>
        <v/>
      </c>
      <c r="FL120" s="529" t="str">
        <f t="shared" si="235"/>
        <v/>
      </c>
      <c r="FM120" s="74" t="str">
        <f>IF('Marks Entry'!BS120="","",'Marks Entry'!BS120)</f>
        <v/>
      </c>
      <c r="FN120" s="74" t="str">
        <f>IF('Marks Entry'!BT120="","",'Marks Entry'!BT120)</f>
        <v/>
      </c>
      <c r="FO120" s="528" t="str">
        <f t="shared" si="236"/>
        <v/>
      </c>
      <c r="FP120" s="530" t="str">
        <f t="shared" si="237"/>
        <v/>
      </c>
      <c r="FQ120" s="368" t="str">
        <f t="shared" si="286"/>
        <v/>
      </c>
      <c r="FR120" s="65">
        <f t="shared" si="287"/>
        <v>0</v>
      </c>
      <c r="FS120" s="65">
        <f t="shared" si="288"/>
        <v>0</v>
      </c>
      <c r="FT120" s="66" t="str">
        <f t="shared" si="289"/>
        <v/>
      </c>
      <c r="FU120" s="74" t="str">
        <f>IF('Marks Entry'!BU120="","",'Marks Entry'!BU120)</f>
        <v/>
      </c>
      <c r="FV120" s="74" t="str">
        <f>IF('Marks Entry'!BV120="","",'Marks Entry'!BV120)</f>
        <v/>
      </c>
      <c r="FW120" s="74" t="str">
        <f>IF('Marks Entry'!BW120="","",'Marks Entry'!BW120)</f>
        <v/>
      </c>
      <c r="FX120" s="75" t="str">
        <f t="shared" si="238"/>
        <v/>
      </c>
      <c r="FY120" s="368" t="str">
        <f t="shared" si="290"/>
        <v/>
      </c>
      <c r="FZ120" s="65">
        <f t="shared" si="291"/>
        <v>0</v>
      </c>
      <c r="GA120" s="66">
        <f t="shared" si="292"/>
        <v>0</v>
      </c>
      <c r="GB120" s="66" t="str">
        <f t="shared" si="293"/>
        <v/>
      </c>
      <c r="GC120" s="74" t="str">
        <f>IF('Marks Entry'!BX120="","",'Marks Entry'!BX120)</f>
        <v/>
      </c>
      <c r="GD120" s="74" t="str">
        <f>IF('Marks Entry'!BY120="","",'Marks Entry'!BY120)</f>
        <v/>
      </c>
      <c r="GE120" s="74" t="str">
        <f>IF('Marks Entry'!BZ120="","",'Marks Entry'!BZ120)</f>
        <v/>
      </c>
      <c r="GF120" s="75" t="str">
        <f t="shared" si="294"/>
        <v/>
      </c>
      <c r="GG120" s="368" t="str">
        <f t="shared" si="295"/>
        <v/>
      </c>
      <c r="GH120" s="65">
        <f t="shared" si="296"/>
        <v>0</v>
      </c>
      <c r="GI120" s="66">
        <f t="shared" si="297"/>
        <v>0</v>
      </c>
      <c r="GJ120" s="66" t="str">
        <f t="shared" si="298"/>
        <v/>
      </c>
      <c r="GK120" s="100" t="str">
        <f>IF(AND(F120="",B120=""),"",IF('Student DATA Entry'!M117="","",'Student DATA Entry'!M117))</f>
        <v/>
      </c>
      <c r="GL120" s="101" t="str">
        <f>IF(AND(B120="",F120=""),"",IF('Student DATA Entry'!N117="","",'Student DATA Entry'!N117))</f>
        <v/>
      </c>
      <c r="GM120" s="581" t="str">
        <f t="shared" si="299"/>
        <v/>
      </c>
      <c r="GN120" s="94" t="str">
        <f t="shared" si="300"/>
        <v/>
      </c>
      <c r="GO120" s="94" t="str">
        <f t="shared" si="301"/>
        <v/>
      </c>
      <c r="GP120" s="102" t="str">
        <f t="shared" si="330"/>
        <v/>
      </c>
      <c r="GQ120" s="94" t="str">
        <f t="shared" si="302"/>
        <v/>
      </c>
      <c r="GR120" s="103" t="str">
        <f t="shared" si="303"/>
        <v/>
      </c>
      <c r="GS120" s="102" t="str">
        <f t="shared" si="331"/>
        <v/>
      </c>
      <c r="GT120" s="104" t="str">
        <f t="shared" si="304"/>
        <v/>
      </c>
      <c r="GU120" s="94" t="str">
        <f>IF('Marks Entry'!V120=1,GT120,"")</f>
        <v/>
      </c>
      <c r="GV120" s="94" t="str">
        <f>IF('Marks Entry'!V120=2,GT120,"")</f>
        <v/>
      </c>
      <c r="GW120" s="94" t="str">
        <f>IF('Marks Entry'!V120=3,GT120,"")</f>
        <v/>
      </c>
      <c r="GX120" s="94" t="str">
        <f>IF('Marks Entry'!V120=4,GT120,"")</f>
        <v/>
      </c>
      <c r="GY120" s="94" t="str">
        <f>IF('Marks Entry'!V120=5,GT120,"")</f>
        <v/>
      </c>
      <c r="GZ120" s="94" t="str">
        <f t="shared" si="305"/>
        <v/>
      </c>
      <c r="HA120" s="105" t="str">
        <f t="shared" si="332"/>
        <v/>
      </c>
      <c r="HB120" s="94" t="str">
        <f t="shared" si="306"/>
        <v/>
      </c>
      <c r="HC120" s="94" t="str">
        <f t="shared" si="307"/>
        <v/>
      </c>
      <c r="HD120" s="105" t="str">
        <f t="shared" si="333"/>
        <v/>
      </c>
      <c r="HE120" s="94" t="str">
        <f t="shared" si="308"/>
        <v/>
      </c>
      <c r="HF120" s="94" t="str">
        <f t="shared" si="309"/>
        <v/>
      </c>
      <c r="HG120" s="105" t="str">
        <f t="shared" si="334"/>
        <v/>
      </c>
      <c r="HH120" s="94" t="str">
        <f t="shared" si="310"/>
        <v/>
      </c>
      <c r="HI120" s="94" t="str">
        <f t="shared" si="311"/>
        <v/>
      </c>
      <c r="HJ120" s="105" t="str">
        <f t="shared" si="335"/>
        <v/>
      </c>
      <c r="HK120" s="94" t="str">
        <f t="shared" si="312"/>
        <v/>
      </c>
      <c r="HL120" s="94" t="str">
        <f t="shared" si="313"/>
        <v/>
      </c>
      <c r="HM120" s="105" t="str">
        <f t="shared" si="336"/>
        <v/>
      </c>
      <c r="HN120" s="367" t="str">
        <f t="shared" si="314"/>
        <v xml:space="preserve">      </v>
      </c>
      <c r="HO120" s="418" t="str">
        <f t="shared" si="337"/>
        <v xml:space="preserve">      </v>
      </c>
      <c r="HP120" s="367" t="str">
        <f t="shared" si="315"/>
        <v xml:space="preserve">      </v>
      </c>
      <c r="HQ120" s="107" t="str">
        <f t="shared" si="316"/>
        <v xml:space="preserve">      </v>
      </c>
      <c r="HR120" s="366" t="str">
        <f t="shared" si="317"/>
        <v xml:space="preserve">      </v>
      </c>
      <c r="HS120" s="544" t="str">
        <f t="shared" si="338"/>
        <v/>
      </c>
      <c r="HT120" s="542" t="str">
        <f t="shared" si="318"/>
        <v/>
      </c>
      <c r="HU120" s="541" t="str">
        <f t="shared" si="319"/>
        <v/>
      </c>
      <c r="HV120" s="540" t="str">
        <f t="shared" si="320"/>
        <v/>
      </c>
      <c r="HW120" s="537" t="str">
        <f t="shared" si="321"/>
        <v/>
      </c>
      <c r="HX120" s="539" t="str">
        <f t="shared" si="322"/>
        <v/>
      </c>
      <c r="HY120" s="553" t="str">
        <f>IFERROR(IF(OR(HS120="SUPPLEMENTARY",HS120="RE-EXAM"),'Supp. Result Entry'!AQ118,""),"")</f>
        <v/>
      </c>
      <c r="HZ120" s="538" t="str">
        <f t="shared" si="323"/>
        <v/>
      </c>
      <c r="IA120" s="415" t="str">
        <f t="shared" si="324"/>
        <v/>
      </c>
      <c r="IB120" s="415" t="str">
        <f>IF(AND(HZ120="",IA120=""),"",IF(OR(HS120="SUPPLEMENTARY",HS120="RE-EXAM"),'Supp. Result Entry'!AQ118,HS120))</f>
        <v/>
      </c>
      <c r="IC120" s="87"/>
      <c r="IS120" s="109" t="str">
        <f>IF('Supp. Result Entry'!T118="","",'Supp. Result Entry'!$T$4)</f>
        <v/>
      </c>
      <c r="IT120" s="110" t="str">
        <f>IF('Supp. Result Entry'!W118="","",'Supp. Result Entry'!$W$4)</f>
        <v/>
      </c>
      <c r="IU120" s="110" t="str">
        <f>IF('Supp. Result Entry'!Z118="","",'Supp. Result Entry'!$Z$4)</f>
        <v/>
      </c>
      <c r="IV120" s="110" t="str">
        <f>IF('Supp. Result Entry'!AC118="","",'Supp. Result Entry'!$AC$4)</f>
        <v/>
      </c>
      <c r="IW120" s="110" t="str">
        <f>IF('Supp. Result Entry'!AF118="","",'Supp. Result Entry'!$AF$4)</f>
        <v/>
      </c>
      <c r="IX120" s="110" t="str">
        <f>IF('Supp. Result Entry'!AI118="","",'Supp. Result Entry'!$AI$4)</f>
        <v/>
      </c>
      <c r="IY120" s="110" t="str">
        <f>IF('Supp. Result Entry'!AI118="","",'Supp. Result Entry'!$AL$4)</f>
        <v/>
      </c>
      <c r="IZ120" s="110" t="str">
        <f>IF('Supp. Result Entry'!U118="","",'Supp. Result Entry'!U118)</f>
        <v/>
      </c>
      <c r="JA120" s="110" t="str">
        <f>IF('Supp. Result Entry'!X118="","",'Supp. Result Entry'!X118)</f>
        <v/>
      </c>
      <c r="JB120" s="110" t="str">
        <f>IF('Supp. Result Entry'!AA118="","",'Supp. Result Entry'!AA118)</f>
        <v/>
      </c>
      <c r="JC120" s="110" t="str">
        <f>IF('Supp. Result Entry'!AD118="","",'Supp. Result Entry'!AD118)</f>
        <v/>
      </c>
      <c r="JD120" s="110" t="str">
        <f>IF('Supp. Result Entry'!AG118="","",'Supp. Result Entry'!AG118)</f>
        <v/>
      </c>
      <c r="JE120" s="110" t="str">
        <f>IF('Supp. Result Entry'!AJ118="","",'Supp. Result Entry'!AJ118)</f>
        <v/>
      </c>
      <c r="JF120" s="110" t="str">
        <f>IF('Supp. Result Entry'!AM118="","",'Supp. Result Entry'!AM118)</f>
        <v/>
      </c>
      <c r="JG120" s="110" t="str">
        <f>IF('Supp. Result Entry'!V118="","",'Supp. Result Entry'!V118)</f>
        <v/>
      </c>
      <c r="JH120" s="110" t="str">
        <f>IF('Supp. Result Entry'!Y118="","",'Supp. Result Entry'!Y118)</f>
        <v/>
      </c>
      <c r="JI120" s="110" t="str">
        <f>IF('Supp. Result Entry'!AB118="","",'Supp. Result Entry'!AB118)</f>
        <v/>
      </c>
      <c r="JJ120" s="110" t="str">
        <f>IF('Supp. Result Entry'!AE118="","",'Supp. Result Entry'!AE118)</f>
        <v/>
      </c>
      <c r="JK120" s="110" t="str">
        <f>IF('Supp. Result Entry'!AH118="","",'Supp. Result Entry'!AH118)</f>
        <v/>
      </c>
      <c r="JL120" s="110" t="str">
        <f>IF('Supp. Result Entry'!AK118="","",'Supp. Result Entry'!AK118)</f>
        <v/>
      </c>
      <c r="JM120" s="110" t="str">
        <f>IF('Supp. Result Entry'!AN118="","",'Supp. Result Entry'!AN118)</f>
        <v/>
      </c>
      <c r="JN120" s="110">
        <f>COUNTIF('Supp. Result Entry'!K118:Q118,"S")</f>
        <v>0</v>
      </c>
      <c r="JO120" s="110">
        <f t="shared" si="248"/>
        <v>0</v>
      </c>
      <c r="JP120" s="110">
        <f t="shared" si="325"/>
        <v>0</v>
      </c>
      <c r="JQ120" s="110" t="str">
        <f t="shared" si="249"/>
        <v/>
      </c>
      <c r="JR120" s="110" t="str">
        <f t="shared" si="250"/>
        <v/>
      </c>
      <c r="JS120" s="110" t="str">
        <f t="shared" si="251"/>
        <v/>
      </c>
      <c r="JT120" s="110" t="str">
        <f t="shared" si="252"/>
        <v/>
      </c>
      <c r="JU120" s="110" t="str">
        <f t="shared" si="253"/>
        <v/>
      </c>
      <c r="JV120" s="110" t="str">
        <f t="shared" si="254"/>
        <v/>
      </c>
      <c r="JW120" s="110" t="str">
        <f t="shared" si="255"/>
        <v/>
      </c>
      <c r="JX120" s="110" t="str">
        <f t="shared" si="326"/>
        <v/>
      </c>
      <c r="JY120" s="110" t="str">
        <f t="shared" si="327"/>
        <v/>
      </c>
      <c r="JZ120" s="110" t="str">
        <f t="shared" si="256"/>
        <v/>
      </c>
      <c r="KA120" s="108" t="str">
        <f t="shared" si="328"/>
        <v/>
      </c>
    </row>
    <row r="121" spans="1:287" s="108" customFormat="1" ht="21.95" customHeight="1">
      <c r="A121" s="89">
        <v>115</v>
      </c>
      <c r="B121" s="90" t="str">
        <f>IF('Marks Entry'!B121="","",'Marks Entry'!B121)</f>
        <v/>
      </c>
      <c r="C121" s="94" t="str">
        <f>IF('Marks Entry'!D121="","",'Marks Entry'!D121)</f>
        <v/>
      </c>
      <c r="D121" s="91" t="str">
        <f>IF('Marks Entry'!E121="","",'Marks Entry'!E121)</f>
        <v/>
      </c>
      <c r="E121" s="92" t="str">
        <f>IF('Marks Entry'!F121="","",'Marks Entry'!F121)</f>
        <v/>
      </c>
      <c r="F121" s="93" t="str">
        <f>IF('Marks Entry'!G121="","",'Marks Entry'!G121)</f>
        <v/>
      </c>
      <c r="G121" s="93" t="str">
        <f>IF('Marks Entry'!H121="","",'Marks Entry'!H121)</f>
        <v/>
      </c>
      <c r="H121" s="93" t="str">
        <f>IF('Marks Entry'!I121="","",'Marks Entry'!I121)</f>
        <v/>
      </c>
      <c r="I121" s="94" t="str">
        <f>IF('Marks Entry'!J121="","",'Marks Entry'!J121)</f>
        <v/>
      </c>
      <c r="J121" s="95" t="str">
        <f>IF('Marks Entry'!K121="","",'Marks Entry'!K121)</f>
        <v/>
      </c>
      <c r="K121" s="68" t="str">
        <f>IF('Marks Entry'!L121="","",'Marks Entry'!L121)</f>
        <v/>
      </c>
      <c r="L121" s="68" t="str">
        <f>IF('Marks Entry'!M121="","",'Marks Entry'!M121)</f>
        <v/>
      </c>
      <c r="M121" s="68" t="str">
        <f>IF('Marks Entry'!N121="","",'Marks Entry'!N121)</f>
        <v/>
      </c>
      <c r="N121" s="514" t="str">
        <f t="shared" si="257"/>
        <v/>
      </c>
      <c r="O121" s="68" t="str">
        <f>IF('Marks Entry'!O121="","",'Marks Entry'!O121)</f>
        <v/>
      </c>
      <c r="P121" s="515" t="str">
        <f t="shared" si="258"/>
        <v/>
      </c>
      <c r="Q121" s="68" t="str">
        <f>IF('Marks Entry'!P121="","",'Marks Entry'!P121)</f>
        <v/>
      </c>
      <c r="R121" s="96" t="str">
        <f t="shared" si="259"/>
        <v/>
      </c>
      <c r="S121" s="65">
        <f t="shared" si="260"/>
        <v>0</v>
      </c>
      <c r="T121" s="65">
        <f t="shared" si="261"/>
        <v>0</v>
      </c>
      <c r="U121" s="66" t="str">
        <f t="shared" si="171"/>
        <v/>
      </c>
      <c r="V121" s="65" t="str">
        <f t="shared" si="172"/>
        <v/>
      </c>
      <c r="W121" s="65" t="str">
        <f t="shared" si="262"/>
        <v/>
      </c>
      <c r="X121" s="65" t="str">
        <f t="shared" si="173"/>
        <v/>
      </c>
      <c r="Y121" s="68" t="str">
        <f>IF('Marks Entry'!Q121="","",'Marks Entry'!Q121)</f>
        <v/>
      </c>
      <c r="Z121" s="68" t="str">
        <f>IF('Marks Entry'!R121="","",'Marks Entry'!R121)</f>
        <v/>
      </c>
      <c r="AA121" s="68" t="str">
        <f>IF('Marks Entry'!S121="","",'Marks Entry'!S121)</f>
        <v/>
      </c>
      <c r="AB121" s="514" t="str">
        <f t="shared" si="174"/>
        <v/>
      </c>
      <c r="AC121" s="68" t="str">
        <f>IF('Marks Entry'!T121="","",'Marks Entry'!T121)</f>
        <v/>
      </c>
      <c r="AD121" s="515" t="str">
        <f t="shared" si="175"/>
        <v/>
      </c>
      <c r="AE121" s="68" t="str">
        <f>IF('Marks Entry'!U121="","",'Marks Entry'!U121)</f>
        <v/>
      </c>
      <c r="AF121" s="96" t="str">
        <f t="shared" si="176"/>
        <v/>
      </c>
      <c r="AG121" s="65">
        <f t="shared" si="177"/>
        <v>0</v>
      </c>
      <c r="AH121" s="65">
        <f t="shared" si="178"/>
        <v>0</v>
      </c>
      <c r="AI121" s="66" t="str">
        <f t="shared" si="179"/>
        <v/>
      </c>
      <c r="AJ121" s="65" t="str">
        <f t="shared" si="180"/>
        <v/>
      </c>
      <c r="AK121" s="65" t="str">
        <f t="shared" si="181"/>
        <v/>
      </c>
      <c r="AL121" s="65" t="str">
        <f t="shared" si="182"/>
        <v/>
      </c>
      <c r="AM121" s="524" t="str">
        <f>IF('Marks Entry'!V121="","",IF('Marks Entry'!V121=1,'School Profile'!$I$9,IF('Marks Entry'!V121=2,'School Profile'!$I$10,IF('Marks Entry'!V121=3,'School Profile'!$I$11,IF('Marks Entry'!V121=4,'School Profile'!$I$12,IF('Marks Entry'!V121=5,'School Profile'!$I$13,IF('Marks Entry'!V121=6,'School Profile'!$I$14,"")))))))</f>
        <v/>
      </c>
      <c r="AN121" s="68" t="str">
        <f>IF('Marks Entry'!W121="","",'Marks Entry'!W121)</f>
        <v/>
      </c>
      <c r="AO121" s="68" t="str">
        <f>IF('Marks Entry'!X121="","",'Marks Entry'!X121)</f>
        <v/>
      </c>
      <c r="AP121" s="68" t="str">
        <f>IF('Marks Entry'!Y121="","",'Marks Entry'!Y121)</f>
        <v/>
      </c>
      <c r="AQ121" s="514" t="str">
        <f t="shared" si="183"/>
        <v/>
      </c>
      <c r="AR121" s="68" t="str">
        <f>IF('Marks Entry'!Z121="","",'Marks Entry'!Z121)</f>
        <v/>
      </c>
      <c r="AS121" s="515" t="str">
        <f t="shared" si="184"/>
        <v/>
      </c>
      <c r="AT121" s="68" t="str">
        <f>IF('Marks Entry'!AA121="","",'Marks Entry'!AA121)</f>
        <v/>
      </c>
      <c r="AU121" s="96" t="str">
        <f t="shared" si="185"/>
        <v/>
      </c>
      <c r="AV121" s="65">
        <f t="shared" si="186"/>
        <v>0</v>
      </c>
      <c r="AW121" s="65">
        <f t="shared" si="187"/>
        <v>0</v>
      </c>
      <c r="AX121" s="66" t="str">
        <f t="shared" si="188"/>
        <v/>
      </c>
      <c r="AY121" s="65" t="str">
        <f t="shared" si="189"/>
        <v/>
      </c>
      <c r="AZ121" s="65" t="str">
        <f t="shared" si="190"/>
        <v/>
      </c>
      <c r="BA121" s="65" t="str">
        <f t="shared" si="191"/>
        <v/>
      </c>
      <c r="BB121" s="68" t="str">
        <f>IF('Marks Entry'!AB121="","",'Marks Entry'!AB121)</f>
        <v/>
      </c>
      <c r="BC121" s="68" t="str">
        <f>IF('Marks Entry'!AC121="","",'Marks Entry'!AC121)</f>
        <v/>
      </c>
      <c r="BD121" s="68" t="str">
        <f>IF('Marks Entry'!AD121="","",'Marks Entry'!AD121)</f>
        <v/>
      </c>
      <c r="BE121" s="514" t="str">
        <f t="shared" si="192"/>
        <v/>
      </c>
      <c r="BF121" s="68" t="str">
        <f>IF('Marks Entry'!AE121="","",'Marks Entry'!AE121)</f>
        <v/>
      </c>
      <c r="BG121" s="515" t="str">
        <f t="shared" si="193"/>
        <v/>
      </c>
      <c r="BH121" s="68" t="str">
        <f>IF('Marks Entry'!AF121="","",'Marks Entry'!AF121)</f>
        <v/>
      </c>
      <c r="BI121" s="96" t="str">
        <f t="shared" si="194"/>
        <v/>
      </c>
      <c r="BJ121" s="65">
        <f t="shared" si="195"/>
        <v>0</v>
      </c>
      <c r="BK121" s="65">
        <f t="shared" si="263"/>
        <v>0</v>
      </c>
      <c r="BL121" s="66" t="str">
        <f t="shared" si="196"/>
        <v/>
      </c>
      <c r="BM121" s="65" t="str">
        <f t="shared" si="197"/>
        <v/>
      </c>
      <c r="BN121" s="65" t="str">
        <f t="shared" si="198"/>
        <v/>
      </c>
      <c r="BO121" s="65" t="str">
        <f t="shared" si="199"/>
        <v/>
      </c>
      <c r="BP121" s="68" t="str">
        <f>IF('Marks Entry'!AG121="","",'Marks Entry'!AG121)</f>
        <v/>
      </c>
      <c r="BQ121" s="68" t="str">
        <f>IF('Marks Entry'!AH121="","",'Marks Entry'!AH121)</f>
        <v/>
      </c>
      <c r="BR121" s="68" t="str">
        <f>IF('Marks Entry'!AI121="","",'Marks Entry'!AI121)</f>
        <v/>
      </c>
      <c r="BS121" s="514" t="str">
        <f t="shared" si="200"/>
        <v/>
      </c>
      <c r="BT121" s="68" t="str">
        <f>IF('Marks Entry'!AJ121="","",'Marks Entry'!AJ121)</f>
        <v/>
      </c>
      <c r="BU121" s="515" t="str">
        <f t="shared" si="201"/>
        <v/>
      </c>
      <c r="BV121" s="68" t="str">
        <f>IF('Marks Entry'!AK121="","",'Marks Entry'!AK121)</f>
        <v/>
      </c>
      <c r="BW121" s="96" t="str">
        <f t="shared" si="202"/>
        <v/>
      </c>
      <c r="BX121" s="65">
        <f t="shared" si="203"/>
        <v>0</v>
      </c>
      <c r="BY121" s="65">
        <f t="shared" si="204"/>
        <v>0</v>
      </c>
      <c r="BZ121" s="66" t="str">
        <f t="shared" si="205"/>
        <v/>
      </c>
      <c r="CA121" s="65" t="str">
        <f t="shared" si="206"/>
        <v/>
      </c>
      <c r="CB121" s="65" t="str">
        <f t="shared" si="207"/>
        <v/>
      </c>
      <c r="CC121" s="65" t="str">
        <f t="shared" si="208"/>
        <v/>
      </c>
      <c r="CD121" s="66">
        <f t="shared" si="329"/>
        <v>0</v>
      </c>
      <c r="CE121" s="68" t="str">
        <f>IF('Marks Entry'!AL121="","",'Marks Entry'!AL121)</f>
        <v/>
      </c>
      <c r="CF121" s="68" t="str">
        <f>IF('Marks Entry'!AM121="","",'Marks Entry'!AM121)</f>
        <v/>
      </c>
      <c r="CG121" s="68" t="str">
        <f>IF('Marks Entry'!AN121="","",'Marks Entry'!AN121)</f>
        <v/>
      </c>
      <c r="CH121" s="514" t="str">
        <f t="shared" si="210"/>
        <v/>
      </c>
      <c r="CI121" s="68" t="str">
        <f>IF('Marks Entry'!AO121="","",'Marks Entry'!AO121)</f>
        <v/>
      </c>
      <c r="CJ121" s="515" t="str">
        <f t="shared" si="211"/>
        <v/>
      </c>
      <c r="CK121" s="68" t="str">
        <f>IF('Marks Entry'!AP121="","",'Marks Entry'!AP121)</f>
        <v/>
      </c>
      <c r="CL121" s="96" t="str">
        <f t="shared" si="212"/>
        <v/>
      </c>
      <c r="CM121" s="65">
        <f t="shared" si="213"/>
        <v>0</v>
      </c>
      <c r="CN121" s="65">
        <f t="shared" si="214"/>
        <v>0</v>
      </c>
      <c r="CO121" s="66" t="str">
        <f t="shared" si="215"/>
        <v/>
      </c>
      <c r="CP121" s="65" t="str">
        <f t="shared" si="216"/>
        <v/>
      </c>
      <c r="CQ121" s="65" t="str">
        <f t="shared" si="217"/>
        <v/>
      </c>
      <c r="CR121" s="65" t="str">
        <f t="shared" si="218"/>
        <v/>
      </c>
      <c r="CS121" s="616" t="str">
        <f>IF('School Profile'!$D$20="NO","",IF('Marks Entry'!AQ121="","",IF('Marks Entry'!AQ121=1,'School Profile'!$I$29,IF('Marks Entry'!AQ121=2,'School Profile'!$I$30,IF('Marks Entry'!AQ121=3,'School Profile'!$I$31,IF('Marks Entry'!AQ121=4,'School Profile'!$I$32,IF('Marks Entry'!AQ121=5,'School Profile'!$I$33,IF('Marks Entry'!AQ121=6,'School Profile'!$I$34,IF('Marks Entry'!AQ121=7,'School Profile'!$I$35,IF('Marks Entry'!AQ121=8,'School Profile'!$I$36,IF('Marks Entry'!AQ121=9,'School Profile'!$I$37,IF('Marks Entry'!AQ121=10,'School Profile'!$I$38,IF('Marks Entry'!AQ121=11,'School Profile'!$I$39,"")))))))))))))</f>
        <v/>
      </c>
      <c r="CT121" s="68" t="str">
        <f>IF('School Profile'!$D$20="NO","",IF('Marks Entry'!AR121="","",'Marks Entry'!AR121))</f>
        <v/>
      </c>
      <c r="CU121" s="68" t="str">
        <f>IF('School Profile'!$D$20="NO","",IF('Marks Entry'!AS121="","",'Marks Entry'!AS121))</f>
        <v/>
      </c>
      <c r="CV121" s="68" t="str">
        <f>IF('School Profile'!$D$20="NO","",IF('Marks Entry'!AT121="","",'Marks Entry'!AT121))</f>
        <v/>
      </c>
      <c r="CW121" s="514" t="str">
        <f>IF('School Profile'!$D$20="NO","",IF(AND(CT121="",CU121="",CV121=""),"",SUM(CT121:CV121)))</f>
        <v/>
      </c>
      <c r="CX121" s="68" t="str">
        <f>IF('School Profile'!$D$20="NO","",IF('Marks Entry'!AU121="","",'Marks Entry'!AU121))</f>
        <v/>
      </c>
      <c r="CY121" s="68" t="str">
        <f>IF('School Profile'!$D$20="NO","",IF('Marks Entry'!AV121="","",'Marks Entry'!AV121))</f>
        <v/>
      </c>
      <c r="CZ121" s="515" t="str">
        <f>IF('School Profile'!$D$20="NO","",IF(AND(CX121="",CY121=""),"",SUM(CX121,CY121)))</f>
        <v/>
      </c>
      <c r="DA121" s="69" t="str">
        <f>IF('School Profile'!$D$20="NO","",IF(AND(CW121="",CZ121=""),"",SUM(CW121+CZ121)))</f>
        <v/>
      </c>
      <c r="DB121" s="68" t="str">
        <f>IF('School Profile'!$D$20="NO","",IF('Marks Entry'!AW121="","",'Marks Entry'!AW121))</f>
        <v/>
      </c>
      <c r="DC121" s="68" t="str">
        <f>IF('School Profile'!$D$20="NO","",IF('Marks Entry'!AX121="","",'Marks Entry'!AX121))</f>
        <v/>
      </c>
      <c r="DD121" s="515" t="str">
        <f>IF('School Profile'!$D$20="NO","",IF(AND(DB121="",DC121=""),"",SUM(DB121,DC121)))</f>
        <v/>
      </c>
      <c r="DE121" s="96" t="str">
        <f>IF('School Profile'!$D$20="NO","",IF(AND(DA121="",DD121=""),"",SUM(DA121,DD121)))</f>
        <v/>
      </c>
      <c r="DF121" s="532">
        <f t="shared" si="219"/>
        <v>0</v>
      </c>
      <c r="DG121" s="65">
        <f t="shared" si="220"/>
        <v>0</v>
      </c>
      <c r="DH121" s="66" t="str">
        <f t="shared" si="221"/>
        <v/>
      </c>
      <c r="DI121" s="65" t="str">
        <f t="shared" si="222"/>
        <v/>
      </c>
      <c r="DJ121" s="65" t="str">
        <f t="shared" si="223"/>
        <v/>
      </c>
      <c r="DK121" s="65" t="str">
        <f t="shared" si="224"/>
        <v/>
      </c>
      <c r="DL121" s="97" t="str">
        <f t="shared" si="264"/>
        <v/>
      </c>
      <c r="DM121" s="97" t="str">
        <f t="shared" si="265"/>
        <v/>
      </c>
      <c r="DN121" s="97" t="str">
        <f t="shared" si="266"/>
        <v/>
      </c>
      <c r="DO121" s="97" t="str">
        <f t="shared" si="267"/>
        <v/>
      </c>
      <c r="DP121" s="97" t="str">
        <f t="shared" si="268"/>
        <v/>
      </c>
      <c r="DQ121" s="97" t="str">
        <f t="shared" si="269"/>
        <v/>
      </c>
      <c r="DR121" s="97" t="str">
        <f t="shared" si="270"/>
        <v/>
      </c>
      <c r="DS121" s="98">
        <f t="shared" si="271"/>
        <v>0</v>
      </c>
      <c r="DT121" s="98">
        <f t="shared" si="272"/>
        <v>0</v>
      </c>
      <c r="DU121" s="98">
        <f t="shared" si="273"/>
        <v>0</v>
      </c>
      <c r="DV121" s="98">
        <f t="shared" si="274"/>
        <v>0</v>
      </c>
      <c r="DW121" s="98">
        <f t="shared" si="275"/>
        <v>0</v>
      </c>
      <c r="DX121" s="98" t="str">
        <f t="shared" si="276"/>
        <v/>
      </c>
      <c r="DY121" s="99" t="str">
        <f t="shared" si="277"/>
        <v/>
      </c>
      <c r="DZ121" s="74" t="str">
        <f>IF('Marks Entry'!AY121="","",'Marks Entry'!AY121)</f>
        <v/>
      </c>
      <c r="EA121" s="74" t="str">
        <f>IF('Marks Entry'!AZ121="","",'Marks Entry'!AZ121)</f>
        <v/>
      </c>
      <c r="EB121" s="74" t="str">
        <f>IF('Marks Entry'!BA121="","",'Marks Entry'!BA121)</f>
        <v/>
      </c>
      <c r="EC121" s="527" t="str">
        <f t="shared" si="225"/>
        <v/>
      </c>
      <c r="ED121" s="74" t="str">
        <f>IF('Marks Entry'!BB121="","",'Marks Entry'!BB121)</f>
        <v/>
      </c>
      <c r="EE121" s="528" t="str">
        <f t="shared" si="226"/>
        <v/>
      </c>
      <c r="EF121" s="74" t="str">
        <f>IF('Marks Entry'!BC121="","",'Marks Entry'!BC121)</f>
        <v/>
      </c>
      <c r="EG121" s="530" t="str">
        <f t="shared" si="227"/>
        <v/>
      </c>
      <c r="EH121" s="368" t="str">
        <f t="shared" si="278"/>
        <v/>
      </c>
      <c r="EI121" s="65">
        <f t="shared" si="279"/>
        <v>0</v>
      </c>
      <c r="EJ121" s="65">
        <f t="shared" si="280"/>
        <v>0</v>
      </c>
      <c r="EK121" s="66" t="str">
        <f t="shared" si="281"/>
        <v/>
      </c>
      <c r="EL121" s="74" t="str">
        <f>IF('Marks Entry'!BD121="","",'Marks Entry'!BD121)</f>
        <v/>
      </c>
      <c r="EM121" s="74" t="str">
        <f>IF('Marks Entry'!BE121="","",'Marks Entry'!BE121)</f>
        <v/>
      </c>
      <c r="EN121" s="74" t="str">
        <f>IF('Marks Entry'!BF121="","",'Marks Entry'!BF121)</f>
        <v/>
      </c>
      <c r="EO121" s="527" t="str">
        <f t="shared" si="228"/>
        <v/>
      </c>
      <c r="EP121" s="74" t="str">
        <f>IF('Marks Entry'!BG121="","",'Marks Entry'!BG121)</f>
        <v/>
      </c>
      <c r="EQ121" s="74" t="str">
        <f>IF('Marks Entry'!BH121="","",'Marks Entry'!BH121)</f>
        <v/>
      </c>
      <c r="ER121" s="528" t="str">
        <f t="shared" si="229"/>
        <v/>
      </c>
      <c r="ES121" s="529" t="str">
        <f t="shared" si="230"/>
        <v/>
      </c>
      <c r="ET121" s="74" t="str">
        <f>IF('Marks Entry'!BI121="","",'Marks Entry'!BI121)</f>
        <v/>
      </c>
      <c r="EU121" s="74" t="str">
        <f>IF('Marks Entry'!BJ121="","",'Marks Entry'!BJ121)</f>
        <v/>
      </c>
      <c r="EV121" s="528" t="str">
        <f t="shared" si="231"/>
        <v/>
      </c>
      <c r="EW121" s="530" t="str">
        <f t="shared" si="232"/>
        <v/>
      </c>
      <c r="EX121" s="368" t="str">
        <f t="shared" si="282"/>
        <v/>
      </c>
      <c r="EY121" s="65">
        <f t="shared" si="283"/>
        <v>0</v>
      </c>
      <c r="EZ121" s="65">
        <f t="shared" si="284"/>
        <v>0</v>
      </c>
      <c r="FA121" s="66" t="str">
        <f t="shared" si="285"/>
        <v/>
      </c>
      <c r="FB121" s="74" t="str">
        <f>IF('Marks Entry'!BK121="","",'Marks Entry'!BK121)</f>
        <v/>
      </c>
      <c r="FC121" s="74" t="str">
        <f>IF('Marks Entry'!BL121="","",'Marks Entry'!BL121)</f>
        <v/>
      </c>
      <c r="FD121" s="74" t="str">
        <f>IF('Marks Entry'!BM121="","",'Marks Entry'!BM121)</f>
        <v/>
      </c>
      <c r="FE121" s="74" t="str">
        <f>IF('Marks Entry'!BN121="","",'Marks Entry'!BN121)</f>
        <v/>
      </c>
      <c r="FF121" s="74" t="str">
        <f>IF('Marks Entry'!BO121="","",'Marks Entry'!BO121)</f>
        <v/>
      </c>
      <c r="FG121" s="74" t="str">
        <f>IF('Marks Entry'!BP121="","",'Marks Entry'!BP121)</f>
        <v/>
      </c>
      <c r="FH121" s="527" t="str">
        <f t="shared" si="233"/>
        <v/>
      </c>
      <c r="FI121" s="74" t="str">
        <f>IF('Marks Entry'!BQ121="","",'Marks Entry'!BQ121)</f>
        <v/>
      </c>
      <c r="FJ121" s="74" t="str">
        <f>IF('Marks Entry'!BR121="","",'Marks Entry'!BR121)</f>
        <v/>
      </c>
      <c r="FK121" s="528" t="str">
        <f t="shared" si="234"/>
        <v/>
      </c>
      <c r="FL121" s="529" t="str">
        <f t="shared" si="235"/>
        <v/>
      </c>
      <c r="FM121" s="74" t="str">
        <f>IF('Marks Entry'!BS121="","",'Marks Entry'!BS121)</f>
        <v/>
      </c>
      <c r="FN121" s="74" t="str">
        <f>IF('Marks Entry'!BT121="","",'Marks Entry'!BT121)</f>
        <v/>
      </c>
      <c r="FO121" s="528" t="str">
        <f t="shared" si="236"/>
        <v/>
      </c>
      <c r="FP121" s="530" t="str">
        <f t="shared" si="237"/>
        <v/>
      </c>
      <c r="FQ121" s="368" t="str">
        <f t="shared" si="286"/>
        <v/>
      </c>
      <c r="FR121" s="65">
        <f t="shared" si="287"/>
        <v>0</v>
      </c>
      <c r="FS121" s="65">
        <f t="shared" si="288"/>
        <v>0</v>
      </c>
      <c r="FT121" s="66" t="str">
        <f t="shared" si="289"/>
        <v/>
      </c>
      <c r="FU121" s="74" t="str">
        <f>IF('Marks Entry'!BU121="","",'Marks Entry'!BU121)</f>
        <v/>
      </c>
      <c r="FV121" s="74" t="str">
        <f>IF('Marks Entry'!BV121="","",'Marks Entry'!BV121)</f>
        <v/>
      </c>
      <c r="FW121" s="74" t="str">
        <f>IF('Marks Entry'!BW121="","",'Marks Entry'!BW121)</f>
        <v/>
      </c>
      <c r="FX121" s="75" t="str">
        <f t="shared" si="238"/>
        <v/>
      </c>
      <c r="FY121" s="368" t="str">
        <f t="shared" si="290"/>
        <v/>
      </c>
      <c r="FZ121" s="65">
        <f t="shared" si="291"/>
        <v>0</v>
      </c>
      <c r="GA121" s="66">
        <f t="shared" si="292"/>
        <v>0</v>
      </c>
      <c r="GB121" s="66" t="str">
        <f t="shared" si="293"/>
        <v/>
      </c>
      <c r="GC121" s="74" t="str">
        <f>IF('Marks Entry'!BX121="","",'Marks Entry'!BX121)</f>
        <v/>
      </c>
      <c r="GD121" s="74" t="str">
        <f>IF('Marks Entry'!BY121="","",'Marks Entry'!BY121)</f>
        <v/>
      </c>
      <c r="GE121" s="74" t="str">
        <f>IF('Marks Entry'!BZ121="","",'Marks Entry'!BZ121)</f>
        <v/>
      </c>
      <c r="GF121" s="75" t="str">
        <f t="shared" si="294"/>
        <v/>
      </c>
      <c r="GG121" s="368" t="str">
        <f t="shared" si="295"/>
        <v/>
      </c>
      <c r="GH121" s="65">
        <f t="shared" si="296"/>
        <v>0</v>
      </c>
      <c r="GI121" s="66">
        <f t="shared" si="297"/>
        <v>0</v>
      </c>
      <c r="GJ121" s="66" t="str">
        <f t="shared" si="298"/>
        <v/>
      </c>
      <c r="GK121" s="100" t="str">
        <f>IF(AND(F121="",B121=""),"",IF('Student DATA Entry'!M118="","",'Student DATA Entry'!M118))</f>
        <v/>
      </c>
      <c r="GL121" s="101" t="str">
        <f>IF(AND(B121="",F121=""),"",IF('Student DATA Entry'!N118="","",'Student DATA Entry'!N118))</f>
        <v/>
      </c>
      <c r="GM121" s="581" t="str">
        <f t="shared" si="299"/>
        <v/>
      </c>
      <c r="GN121" s="94" t="str">
        <f t="shared" si="300"/>
        <v/>
      </c>
      <c r="GO121" s="94" t="str">
        <f t="shared" si="301"/>
        <v/>
      </c>
      <c r="GP121" s="102" t="str">
        <f t="shared" si="330"/>
        <v/>
      </c>
      <c r="GQ121" s="94" t="str">
        <f t="shared" si="302"/>
        <v/>
      </c>
      <c r="GR121" s="103" t="str">
        <f t="shared" si="303"/>
        <v/>
      </c>
      <c r="GS121" s="102" t="str">
        <f t="shared" si="331"/>
        <v/>
      </c>
      <c r="GT121" s="104" t="str">
        <f t="shared" si="304"/>
        <v/>
      </c>
      <c r="GU121" s="94" t="str">
        <f>IF('Marks Entry'!V121=1,GT121,"")</f>
        <v/>
      </c>
      <c r="GV121" s="94" t="str">
        <f>IF('Marks Entry'!V121=2,GT121,"")</f>
        <v/>
      </c>
      <c r="GW121" s="94" t="str">
        <f>IF('Marks Entry'!V121=3,GT121,"")</f>
        <v/>
      </c>
      <c r="GX121" s="94" t="str">
        <f>IF('Marks Entry'!V121=4,GT121,"")</f>
        <v/>
      </c>
      <c r="GY121" s="94" t="str">
        <f>IF('Marks Entry'!V121=5,GT121,"")</f>
        <v/>
      </c>
      <c r="GZ121" s="94" t="str">
        <f t="shared" si="305"/>
        <v/>
      </c>
      <c r="HA121" s="105" t="str">
        <f t="shared" si="332"/>
        <v/>
      </c>
      <c r="HB121" s="94" t="str">
        <f t="shared" si="306"/>
        <v/>
      </c>
      <c r="HC121" s="94" t="str">
        <f t="shared" si="307"/>
        <v/>
      </c>
      <c r="HD121" s="105" t="str">
        <f t="shared" si="333"/>
        <v/>
      </c>
      <c r="HE121" s="94" t="str">
        <f t="shared" si="308"/>
        <v/>
      </c>
      <c r="HF121" s="94" t="str">
        <f t="shared" si="309"/>
        <v/>
      </c>
      <c r="HG121" s="105" t="str">
        <f t="shared" si="334"/>
        <v/>
      </c>
      <c r="HH121" s="94" t="str">
        <f t="shared" si="310"/>
        <v/>
      </c>
      <c r="HI121" s="94" t="str">
        <f t="shared" si="311"/>
        <v/>
      </c>
      <c r="HJ121" s="105" t="str">
        <f t="shared" si="335"/>
        <v/>
      </c>
      <c r="HK121" s="94" t="str">
        <f t="shared" si="312"/>
        <v/>
      </c>
      <c r="HL121" s="94" t="str">
        <f t="shared" si="313"/>
        <v/>
      </c>
      <c r="HM121" s="105" t="str">
        <f t="shared" si="336"/>
        <v/>
      </c>
      <c r="HN121" s="367" t="str">
        <f t="shared" si="314"/>
        <v xml:space="preserve">      </v>
      </c>
      <c r="HO121" s="418" t="str">
        <f t="shared" si="337"/>
        <v xml:space="preserve">      </v>
      </c>
      <c r="HP121" s="367" t="str">
        <f t="shared" si="315"/>
        <v xml:space="preserve">      </v>
      </c>
      <c r="HQ121" s="107" t="str">
        <f t="shared" si="316"/>
        <v xml:space="preserve">      </v>
      </c>
      <c r="HR121" s="366" t="str">
        <f t="shared" si="317"/>
        <v xml:space="preserve">      </v>
      </c>
      <c r="HS121" s="544" t="str">
        <f t="shared" si="338"/>
        <v/>
      </c>
      <c r="HT121" s="542" t="str">
        <f t="shared" si="318"/>
        <v/>
      </c>
      <c r="HU121" s="541" t="str">
        <f t="shared" si="319"/>
        <v/>
      </c>
      <c r="HV121" s="540" t="str">
        <f t="shared" si="320"/>
        <v/>
      </c>
      <c r="HW121" s="537" t="str">
        <f t="shared" si="321"/>
        <v/>
      </c>
      <c r="HX121" s="539" t="str">
        <f t="shared" si="322"/>
        <v/>
      </c>
      <c r="HY121" s="553" t="str">
        <f>IFERROR(IF(OR(HS121="SUPPLEMENTARY",HS121="RE-EXAM"),'Supp. Result Entry'!AQ119,""),"")</f>
        <v/>
      </c>
      <c r="HZ121" s="538" t="str">
        <f t="shared" si="323"/>
        <v/>
      </c>
      <c r="IA121" s="415" t="str">
        <f t="shared" si="324"/>
        <v/>
      </c>
      <c r="IB121" s="415" t="str">
        <f>IF(AND(HZ121="",IA121=""),"",IF(OR(HS121="SUPPLEMENTARY",HS121="RE-EXAM"),'Supp. Result Entry'!AQ119,HS121))</f>
        <v/>
      </c>
      <c r="IC121" s="87"/>
      <c r="IS121" s="109" t="str">
        <f>IF('Supp. Result Entry'!T119="","",'Supp. Result Entry'!$T$4)</f>
        <v/>
      </c>
      <c r="IT121" s="110" t="str">
        <f>IF('Supp. Result Entry'!W119="","",'Supp. Result Entry'!$W$4)</f>
        <v/>
      </c>
      <c r="IU121" s="110" t="str">
        <f>IF('Supp. Result Entry'!Z119="","",'Supp. Result Entry'!$Z$4)</f>
        <v/>
      </c>
      <c r="IV121" s="110" t="str">
        <f>IF('Supp. Result Entry'!AC119="","",'Supp. Result Entry'!$AC$4)</f>
        <v/>
      </c>
      <c r="IW121" s="110" t="str">
        <f>IF('Supp. Result Entry'!AF119="","",'Supp. Result Entry'!$AF$4)</f>
        <v/>
      </c>
      <c r="IX121" s="110" t="str">
        <f>IF('Supp. Result Entry'!AI119="","",'Supp. Result Entry'!$AI$4)</f>
        <v/>
      </c>
      <c r="IY121" s="110" t="str">
        <f>IF('Supp. Result Entry'!AI119="","",'Supp. Result Entry'!$AL$4)</f>
        <v/>
      </c>
      <c r="IZ121" s="110" t="str">
        <f>IF('Supp. Result Entry'!U119="","",'Supp. Result Entry'!U119)</f>
        <v/>
      </c>
      <c r="JA121" s="110" t="str">
        <f>IF('Supp. Result Entry'!X119="","",'Supp. Result Entry'!X119)</f>
        <v/>
      </c>
      <c r="JB121" s="110" t="str">
        <f>IF('Supp. Result Entry'!AA119="","",'Supp. Result Entry'!AA119)</f>
        <v/>
      </c>
      <c r="JC121" s="110" t="str">
        <f>IF('Supp. Result Entry'!AD119="","",'Supp. Result Entry'!AD119)</f>
        <v/>
      </c>
      <c r="JD121" s="110" t="str">
        <f>IF('Supp. Result Entry'!AG119="","",'Supp. Result Entry'!AG119)</f>
        <v/>
      </c>
      <c r="JE121" s="110" t="str">
        <f>IF('Supp. Result Entry'!AJ119="","",'Supp. Result Entry'!AJ119)</f>
        <v/>
      </c>
      <c r="JF121" s="110" t="str">
        <f>IF('Supp. Result Entry'!AM119="","",'Supp. Result Entry'!AM119)</f>
        <v/>
      </c>
      <c r="JG121" s="110" t="str">
        <f>IF('Supp. Result Entry'!V119="","",'Supp. Result Entry'!V119)</f>
        <v/>
      </c>
      <c r="JH121" s="110" t="str">
        <f>IF('Supp. Result Entry'!Y119="","",'Supp. Result Entry'!Y119)</f>
        <v/>
      </c>
      <c r="JI121" s="110" t="str">
        <f>IF('Supp. Result Entry'!AB119="","",'Supp. Result Entry'!AB119)</f>
        <v/>
      </c>
      <c r="JJ121" s="110" t="str">
        <f>IF('Supp. Result Entry'!AE119="","",'Supp. Result Entry'!AE119)</f>
        <v/>
      </c>
      <c r="JK121" s="110" t="str">
        <f>IF('Supp. Result Entry'!AH119="","",'Supp. Result Entry'!AH119)</f>
        <v/>
      </c>
      <c r="JL121" s="110" t="str">
        <f>IF('Supp. Result Entry'!AK119="","",'Supp. Result Entry'!AK119)</f>
        <v/>
      </c>
      <c r="JM121" s="110" t="str">
        <f>IF('Supp. Result Entry'!AN119="","",'Supp. Result Entry'!AN119)</f>
        <v/>
      </c>
      <c r="JN121" s="110">
        <f>COUNTIF('Supp. Result Entry'!K119:Q119,"S")</f>
        <v>0</v>
      </c>
      <c r="JO121" s="110">
        <f t="shared" si="248"/>
        <v>0</v>
      </c>
      <c r="JP121" s="110">
        <f t="shared" si="325"/>
        <v>0</v>
      </c>
      <c r="JQ121" s="110" t="str">
        <f t="shared" si="249"/>
        <v/>
      </c>
      <c r="JR121" s="110" t="str">
        <f t="shared" si="250"/>
        <v/>
      </c>
      <c r="JS121" s="110" t="str">
        <f t="shared" si="251"/>
        <v/>
      </c>
      <c r="JT121" s="110" t="str">
        <f t="shared" si="252"/>
        <v/>
      </c>
      <c r="JU121" s="110" t="str">
        <f t="shared" si="253"/>
        <v/>
      </c>
      <c r="JV121" s="110" t="str">
        <f t="shared" si="254"/>
        <v/>
      </c>
      <c r="JW121" s="110" t="str">
        <f t="shared" si="255"/>
        <v/>
      </c>
      <c r="JX121" s="110" t="str">
        <f t="shared" si="326"/>
        <v/>
      </c>
      <c r="JY121" s="110" t="str">
        <f t="shared" si="327"/>
        <v/>
      </c>
      <c r="JZ121" s="110" t="str">
        <f t="shared" si="256"/>
        <v/>
      </c>
      <c r="KA121" s="108" t="str">
        <f t="shared" si="328"/>
        <v/>
      </c>
    </row>
    <row r="122" spans="1:287" s="108" customFormat="1" ht="21.95" customHeight="1">
      <c r="A122" s="89">
        <v>116</v>
      </c>
      <c r="B122" s="90" t="str">
        <f>IF('Marks Entry'!B122="","",'Marks Entry'!B122)</f>
        <v/>
      </c>
      <c r="C122" s="94" t="str">
        <f>IF('Marks Entry'!D122="","",'Marks Entry'!D122)</f>
        <v/>
      </c>
      <c r="D122" s="91" t="str">
        <f>IF('Marks Entry'!E122="","",'Marks Entry'!E122)</f>
        <v/>
      </c>
      <c r="E122" s="92" t="str">
        <f>IF('Marks Entry'!F122="","",'Marks Entry'!F122)</f>
        <v/>
      </c>
      <c r="F122" s="93" t="str">
        <f>IF('Marks Entry'!G122="","",'Marks Entry'!G122)</f>
        <v/>
      </c>
      <c r="G122" s="93" t="str">
        <f>IF('Marks Entry'!H122="","",'Marks Entry'!H122)</f>
        <v/>
      </c>
      <c r="H122" s="93" t="str">
        <f>IF('Marks Entry'!I122="","",'Marks Entry'!I122)</f>
        <v/>
      </c>
      <c r="I122" s="94" t="str">
        <f>IF('Marks Entry'!J122="","",'Marks Entry'!J122)</f>
        <v/>
      </c>
      <c r="J122" s="95" t="str">
        <f>IF('Marks Entry'!K122="","",'Marks Entry'!K122)</f>
        <v/>
      </c>
      <c r="K122" s="68" t="str">
        <f>IF('Marks Entry'!L122="","",'Marks Entry'!L122)</f>
        <v/>
      </c>
      <c r="L122" s="68" t="str">
        <f>IF('Marks Entry'!M122="","",'Marks Entry'!M122)</f>
        <v/>
      </c>
      <c r="M122" s="68" t="str">
        <f>IF('Marks Entry'!N122="","",'Marks Entry'!N122)</f>
        <v/>
      </c>
      <c r="N122" s="514" t="str">
        <f t="shared" si="257"/>
        <v/>
      </c>
      <c r="O122" s="68" t="str">
        <f>IF('Marks Entry'!O122="","",'Marks Entry'!O122)</f>
        <v/>
      </c>
      <c r="P122" s="515" t="str">
        <f t="shared" si="258"/>
        <v/>
      </c>
      <c r="Q122" s="68" t="str">
        <f>IF('Marks Entry'!P122="","",'Marks Entry'!P122)</f>
        <v/>
      </c>
      <c r="R122" s="96" t="str">
        <f t="shared" si="259"/>
        <v/>
      </c>
      <c r="S122" s="65">
        <f t="shared" si="260"/>
        <v>0</v>
      </c>
      <c r="T122" s="65">
        <f t="shared" si="261"/>
        <v>0</v>
      </c>
      <c r="U122" s="66" t="str">
        <f t="shared" si="171"/>
        <v/>
      </c>
      <c r="V122" s="65" t="str">
        <f t="shared" si="172"/>
        <v/>
      </c>
      <c r="W122" s="65" t="str">
        <f t="shared" si="262"/>
        <v/>
      </c>
      <c r="X122" s="65" t="str">
        <f t="shared" si="173"/>
        <v/>
      </c>
      <c r="Y122" s="68" t="str">
        <f>IF('Marks Entry'!Q122="","",'Marks Entry'!Q122)</f>
        <v/>
      </c>
      <c r="Z122" s="68" t="str">
        <f>IF('Marks Entry'!R122="","",'Marks Entry'!R122)</f>
        <v/>
      </c>
      <c r="AA122" s="68" t="str">
        <f>IF('Marks Entry'!S122="","",'Marks Entry'!S122)</f>
        <v/>
      </c>
      <c r="AB122" s="514" t="str">
        <f t="shared" si="174"/>
        <v/>
      </c>
      <c r="AC122" s="68" t="str">
        <f>IF('Marks Entry'!T122="","",'Marks Entry'!T122)</f>
        <v/>
      </c>
      <c r="AD122" s="515" t="str">
        <f t="shared" si="175"/>
        <v/>
      </c>
      <c r="AE122" s="68" t="str">
        <f>IF('Marks Entry'!U122="","",'Marks Entry'!U122)</f>
        <v/>
      </c>
      <c r="AF122" s="96" t="str">
        <f t="shared" si="176"/>
        <v/>
      </c>
      <c r="AG122" s="65">
        <f t="shared" si="177"/>
        <v>0</v>
      </c>
      <c r="AH122" s="65">
        <f t="shared" si="178"/>
        <v>0</v>
      </c>
      <c r="AI122" s="66" t="str">
        <f t="shared" si="179"/>
        <v/>
      </c>
      <c r="AJ122" s="65" t="str">
        <f t="shared" si="180"/>
        <v/>
      </c>
      <c r="AK122" s="65" t="str">
        <f t="shared" si="181"/>
        <v/>
      </c>
      <c r="AL122" s="65" t="str">
        <f t="shared" si="182"/>
        <v/>
      </c>
      <c r="AM122" s="524" t="str">
        <f>IF('Marks Entry'!V122="","",IF('Marks Entry'!V122=1,'School Profile'!$I$9,IF('Marks Entry'!V122=2,'School Profile'!$I$10,IF('Marks Entry'!V122=3,'School Profile'!$I$11,IF('Marks Entry'!V122=4,'School Profile'!$I$12,IF('Marks Entry'!V122=5,'School Profile'!$I$13,IF('Marks Entry'!V122=6,'School Profile'!$I$14,"")))))))</f>
        <v/>
      </c>
      <c r="AN122" s="68" t="str">
        <f>IF('Marks Entry'!W122="","",'Marks Entry'!W122)</f>
        <v/>
      </c>
      <c r="AO122" s="68" t="str">
        <f>IF('Marks Entry'!X122="","",'Marks Entry'!X122)</f>
        <v/>
      </c>
      <c r="AP122" s="68" t="str">
        <f>IF('Marks Entry'!Y122="","",'Marks Entry'!Y122)</f>
        <v/>
      </c>
      <c r="AQ122" s="514" t="str">
        <f t="shared" si="183"/>
        <v/>
      </c>
      <c r="AR122" s="68" t="str">
        <f>IF('Marks Entry'!Z122="","",'Marks Entry'!Z122)</f>
        <v/>
      </c>
      <c r="AS122" s="515" t="str">
        <f t="shared" si="184"/>
        <v/>
      </c>
      <c r="AT122" s="68" t="str">
        <f>IF('Marks Entry'!AA122="","",'Marks Entry'!AA122)</f>
        <v/>
      </c>
      <c r="AU122" s="96" t="str">
        <f t="shared" si="185"/>
        <v/>
      </c>
      <c r="AV122" s="65">
        <f t="shared" si="186"/>
        <v>0</v>
      </c>
      <c r="AW122" s="65">
        <f t="shared" si="187"/>
        <v>0</v>
      </c>
      <c r="AX122" s="66" t="str">
        <f t="shared" si="188"/>
        <v/>
      </c>
      <c r="AY122" s="65" t="str">
        <f t="shared" si="189"/>
        <v/>
      </c>
      <c r="AZ122" s="65" t="str">
        <f t="shared" si="190"/>
        <v/>
      </c>
      <c r="BA122" s="65" t="str">
        <f t="shared" si="191"/>
        <v/>
      </c>
      <c r="BB122" s="68" t="str">
        <f>IF('Marks Entry'!AB122="","",'Marks Entry'!AB122)</f>
        <v/>
      </c>
      <c r="BC122" s="68" t="str">
        <f>IF('Marks Entry'!AC122="","",'Marks Entry'!AC122)</f>
        <v/>
      </c>
      <c r="BD122" s="68" t="str">
        <f>IF('Marks Entry'!AD122="","",'Marks Entry'!AD122)</f>
        <v/>
      </c>
      <c r="BE122" s="514" t="str">
        <f t="shared" si="192"/>
        <v/>
      </c>
      <c r="BF122" s="68" t="str">
        <f>IF('Marks Entry'!AE122="","",'Marks Entry'!AE122)</f>
        <v/>
      </c>
      <c r="BG122" s="515" t="str">
        <f t="shared" si="193"/>
        <v/>
      </c>
      <c r="BH122" s="68" t="str">
        <f>IF('Marks Entry'!AF122="","",'Marks Entry'!AF122)</f>
        <v/>
      </c>
      <c r="BI122" s="96" t="str">
        <f t="shared" si="194"/>
        <v/>
      </c>
      <c r="BJ122" s="65">
        <f t="shared" si="195"/>
        <v>0</v>
      </c>
      <c r="BK122" s="65">
        <f t="shared" si="263"/>
        <v>0</v>
      </c>
      <c r="BL122" s="66" t="str">
        <f t="shared" si="196"/>
        <v/>
      </c>
      <c r="BM122" s="65" t="str">
        <f t="shared" si="197"/>
        <v/>
      </c>
      <c r="BN122" s="65" t="str">
        <f t="shared" si="198"/>
        <v/>
      </c>
      <c r="BO122" s="65" t="str">
        <f t="shared" si="199"/>
        <v/>
      </c>
      <c r="BP122" s="68" t="str">
        <f>IF('Marks Entry'!AG122="","",'Marks Entry'!AG122)</f>
        <v/>
      </c>
      <c r="BQ122" s="68" t="str">
        <f>IF('Marks Entry'!AH122="","",'Marks Entry'!AH122)</f>
        <v/>
      </c>
      <c r="BR122" s="68" t="str">
        <f>IF('Marks Entry'!AI122="","",'Marks Entry'!AI122)</f>
        <v/>
      </c>
      <c r="BS122" s="514" t="str">
        <f t="shared" si="200"/>
        <v/>
      </c>
      <c r="BT122" s="68" t="str">
        <f>IF('Marks Entry'!AJ122="","",'Marks Entry'!AJ122)</f>
        <v/>
      </c>
      <c r="BU122" s="515" t="str">
        <f t="shared" si="201"/>
        <v/>
      </c>
      <c r="BV122" s="68" t="str">
        <f>IF('Marks Entry'!AK122="","",'Marks Entry'!AK122)</f>
        <v/>
      </c>
      <c r="BW122" s="96" t="str">
        <f t="shared" si="202"/>
        <v/>
      </c>
      <c r="BX122" s="65">
        <f t="shared" si="203"/>
        <v>0</v>
      </c>
      <c r="BY122" s="65">
        <f t="shared" si="204"/>
        <v>0</v>
      </c>
      <c r="BZ122" s="66" t="str">
        <f t="shared" si="205"/>
        <v/>
      </c>
      <c r="CA122" s="65" t="str">
        <f t="shared" si="206"/>
        <v/>
      </c>
      <c r="CB122" s="65" t="str">
        <f t="shared" si="207"/>
        <v/>
      </c>
      <c r="CC122" s="65" t="str">
        <f t="shared" si="208"/>
        <v/>
      </c>
      <c r="CD122" s="66">
        <f t="shared" si="329"/>
        <v>0</v>
      </c>
      <c r="CE122" s="68" t="str">
        <f>IF('Marks Entry'!AL122="","",'Marks Entry'!AL122)</f>
        <v/>
      </c>
      <c r="CF122" s="68" t="str">
        <f>IF('Marks Entry'!AM122="","",'Marks Entry'!AM122)</f>
        <v/>
      </c>
      <c r="CG122" s="68" t="str">
        <f>IF('Marks Entry'!AN122="","",'Marks Entry'!AN122)</f>
        <v/>
      </c>
      <c r="CH122" s="514" t="str">
        <f t="shared" si="210"/>
        <v/>
      </c>
      <c r="CI122" s="68" t="str">
        <f>IF('Marks Entry'!AO122="","",'Marks Entry'!AO122)</f>
        <v/>
      </c>
      <c r="CJ122" s="515" t="str">
        <f t="shared" si="211"/>
        <v/>
      </c>
      <c r="CK122" s="68" t="str">
        <f>IF('Marks Entry'!AP122="","",'Marks Entry'!AP122)</f>
        <v/>
      </c>
      <c r="CL122" s="96" t="str">
        <f t="shared" si="212"/>
        <v/>
      </c>
      <c r="CM122" s="65">
        <f t="shared" si="213"/>
        <v>0</v>
      </c>
      <c r="CN122" s="65">
        <f t="shared" si="214"/>
        <v>0</v>
      </c>
      <c r="CO122" s="66" t="str">
        <f t="shared" si="215"/>
        <v/>
      </c>
      <c r="CP122" s="65" t="str">
        <f t="shared" si="216"/>
        <v/>
      </c>
      <c r="CQ122" s="65" t="str">
        <f t="shared" si="217"/>
        <v/>
      </c>
      <c r="CR122" s="65" t="str">
        <f t="shared" si="218"/>
        <v/>
      </c>
      <c r="CS122" s="616" t="str">
        <f>IF('School Profile'!$D$20="NO","",IF('Marks Entry'!AQ122="","",IF('Marks Entry'!AQ122=1,'School Profile'!$I$29,IF('Marks Entry'!AQ122=2,'School Profile'!$I$30,IF('Marks Entry'!AQ122=3,'School Profile'!$I$31,IF('Marks Entry'!AQ122=4,'School Profile'!$I$32,IF('Marks Entry'!AQ122=5,'School Profile'!$I$33,IF('Marks Entry'!AQ122=6,'School Profile'!$I$34,IF('Marks Entry'!AQ122=7,'School Profile'!$I$35,IF('Marks Entry'!AQ122=8,'School Profile'!$I$36,IF('Marks Entry'!AQ122=9,'School Profile'!$I$37,IF('Marks Entry'!AQ122=10,'School Profile'!$I$38,IF('Marks Entry'!AQ122=11,'School Profile'!$I$39,"")))))))))))))</f>
        <v/>
      </c>
      <c r="CT122" s="68" t="str">
        <f>IF('School Profile'!$D$20="NO","",IF('Marks Entry'!AR122="","",'Marks Entry'!AR122))</f>
        <v/>
      </c>
      <c r="CU122" s="68" t="str">
        <f>IF('School Profile'!$D$20="NO","",IF('Marks Entry'!AS122="","",'Marks Entry'!AS122))</f>
        <v/>
      </c>
      <c r="CV122" s="68" t="str">
        <f>IF('School Profile'!$D$20="NO","",IF('Marks Entry'!AT122="","",'Marks Entry'!AT122))</f>
        <v/>
      </c>
      <c r="CW122" s="514" t="str">
        <f>IF('School Profile'!$D$20="NO","",IF(AND(CT122="",CU122="",CV122=""),"",SUM(CT122:CV122)))</f>
        <v/>
      </c>
      <c r="CX122" s="68" t="str">
        <f>IF('School Profile'!$D$20="NO","",IF('Marks Entry'!AU122="","",'Marks Entry'!AU122))</f>
        <v/>
      </c>
      <c r="CY122" s="68" t="str">
        <f>IF('School Profile'!$D$20="NO","",IF('Marks Entry'!AV122="","",'Marks Entry'!AV122))</f>
        <v/>
      </c>
      <c r="CZ122" s="515" t="str">
        <f>IF('School Profile'!$D$20="NO","",IF(AND(CX122="",CY122=""),"",SUM(CX122,CY122)))</f>
        <v/>
      </c>
      <c r="DA122" s="69" t="str">
        <f>IF('School Profile'!$D$20="NO","",IF(AND(CW122="",CZ122=""),"",SUM(CW122+CZ122)))</f>
        <v/>
      </c>
      <c r="DB122" s="68" t="str">
        <f>IF('School Profile'!$D$20="NO","",IF('Marks Entry'!AW122="","",'Marks Entry'!AW122))</f>
        <v/>
      </c>
      <c r="DC122" s="68" t="str">
        <f>IF('School Profile'!$D$20="NO","",IF('Marks Entry'!AX122="","",'Marks Entry'!AX122))</f>
        <v/>
      </c>
      <c r="DD122" s="515" t="str">
        <f>IF('School Profile'!$D$20="NO","",IF(AND(DB122="",DC122=""),"",SUM(DB122,DC122)))</f>
        <v/>
      </c>
      <c r="DE122" s="96" t="str">
        <f>IF('School Profile'!$D$20="NO","",IF(AND(DA122="",DD122=""),"",SUM(DA122,DD122)))</f>
        <v/>
      </c>
      <c r="DF122" s="532">
        <f t="shared" si="219"/>
        <v>0</v>
      </c>
      <c r="DG122" s="65">
        <f t="shared" si="220"/>
        <v>0</v>
      </c>
      <c r="DH122" s="66" t="str">
        <f t="shared" si="221"/>
        <v/>
      </c>
      <c r="DI122" s="65" t="str">
        <f t="shared" si="222"/>
        <v/>
      </c>
      <c r="DJ122" s="65" t="str">
        <f t="shared" si="223"/>
        <v/>
      </c>
      <c r="DK122" s="65" t="str">
        <f t="shared" si="224"/>
        <v/>
      </c>
      <c r="DL122" s="97" t="str">
        <f t="shared" si="264"/>
        <v/>
      </c>
      <c r="DM122" s="97" t="str">
        <f t="shared" si="265"/>
        <v/>
      </c>
      <c r="DN122" s="97" t="str">
        <f t="shared" si="266"/>
        <v/>
      </c>
      <c r="DO122" s="97" t="str">
        <f t="shared" si="267"/>
        <v/>
      </c>
      <c r="DP122" s="97" t="str">
        <f t="shared" si="268"/>
        <v/>
      </c>
      <c r="DQ122" s="97" t="str">
        <f t="shared" si="269"/>
        <v/>
      </c>
      <c r="DR122" s="97" t="str">
        <f t="shared" si="270"/>
        <v/>
      </c>
      <c r="DS122" s="98">
        <f t="shared" si="271"/>
        <v>0</v>
      </c>
      <c r="DT122" s="98">
        <f t="shared" si="272"/>
        <v>0</v>
      </c>
      <c r="DU122" s="98">
        <f t="shared" si="273"/>
        <v>0</v>
      </c>
      <c r="DV122" s="98">
        <f t="shared" si="274"/>
        <v>0</v>
      </c>
      <c r="DW122" s="98">
        <f t="shared" si="275"/>
        <v>0</v>
      </c>
      <c r="DX122" s="98" t="str">
        <f t="shared" si="276"/>
        <v/>
      </c>
      <c r="DY122" s="99" t="str">
        <f t="shared" si="277"/>
        <v/>
      </c>
      <c r="DZ122" s="74" t="str">
        <f>IF('Marks Entry'!AY122="","",'Marks Entry'!AY122)</f>
        <v/>
      </c>
      <c r="EA122" s="74" t="str">
        <f>IF('Marks Entry'!AZ122="","",'Marks Entry'!AZ122)</f>
        <v/>
      </c>
      <c r="EB122" s="74" t="str">
        <f>IF('Marks Entry'!BA122="","",'Marks Entry'!BA122)</f>
        <v/>
      </c>
      <c r="EC122" s="527" t="str">
        <f t="shared" si="225"/>
        <v/>
      </c>
      <c r="ED122" s="74" t="str">
        <f>IF('Marks Entry'!BB122="","",'Marks Entry'!BB122)</f>
        <v/>
      </c>
      <c r="EE122" s="528" t="str">
        <f t="shared" si="226"/>
        <v/>
      </c>
      <c r="EF122" s="74" t="str">
        <f>IF('Marks Entry'!BC122="","",'Marks Entry'!BC122)</f>
        <v/>
      </c>
      <c r="EG122" s="530" t="str">
        <f t="shared" si="227"/>
        <v/>
      </c>
      <c r="EH122" s="368" t="str">
        <f t="shared" si="278"/>
        <v/>
      </c>
      <c r="EI122" s="65">
        <f t="shared" si="279"/>
        <v>0</v>
      </c>
      <c r="EJ122" s="65">
        <f t="shared" si="280"/>
        <v>0</v>
      </c>
      <c r="EK122" s="66" t="str">
        <f t="shared" si="281"/>
        <v/>
      </c>
      <c r="EL122" s="74" t="str">
        <f>IF('Marks Entry'!BD122="","",'Marks Entry'!BD122)</f>
        <v/>
      </c>
      <c r="EM122" s="74" t="str">
        <f>IF('Marks Entry'!BE122="","",'Marks Entry'!BE122)</f>
        <v/>
      </c>
      <c r="EN122" s="74" t="str">
        <f>IF('Marks Entry'!BF122="","",'Marks Entry'!BF122)</f>
        <v/>
      </c>
      <c r="EO122" s="527" t="str">
        <f t="shared" si="228"/>
        <v/>
      </c>
      <c r="EP122" s="74" t="str">
        <f>IF('Marks Entry'!BG122="","",'Marks Entry'!BG122)</f>
        <v/>
      </c>
      <c r="EQ122" s="74" t="str">
        <f>IF('Marks Entry'!BH122="","",'Marks Entry'!BH122)</f>
        <v/>
      </c>
      <c r="ER122" s="528" t="str">
        <f t="shared" si="229"/>
        <v/>
      </c>
      <c r="ES122" s="529" t="str">
        <f t="shared" si="230"/>
        <v/>
      </c>
      <c r="ET122" s="74" t="str">
        <f>IF('Marks Entry'!BI122="","",'Marks Entry'!BI122)</f>
        <v/>
      </c>
      <c r="EU122" s="74" t="str">
        <f>IF('Marks Entry'!BJ122="","",'Marks Entry'!BJ122)</f>
        <v/>
      </c>
      <c r="EV122" s="528" t="str">
        <f t="shared" si="231"/>
        <v/>
      </c>
      <c r="EW122" s="530" t="str">
        <f t="shared" si="232"/>
        <v/>
      </c>
      <c r="EX122" s="368" t="str">
        <f t="shared" si="282"/>
        <v/>
      </c>
      <c r="EY122" s="65">
        <f t="shared" si="283"/>
        <v>0</v>
      </c>
      <c r="EZ122" s="65">
        <f t="shared" si="284"/>
        <v>0</v>
      </c>
      <c r="FA122" s="66" t="str">
        <f t="shared" si="285"/>
        <v/>
      </c>
      <c r="FB122" s="74" t="str">
        <f>IF('Marks Entry'!BK122="","",'Marks Entry'!BK122)</f>
        <v/>
      </c>
      <c r="FC122" s="74" t="str">
        <f>IF('Marks Entry'!BL122="","",'Marks Entry'!BL122)</f>
        <v/>
      </c>
      <c r="FD122" s="74" t="str">
        <f>IF('Marks Entry'!BM122="","",'Marks Entry'!BM122)</f>
        <v/>
      </c>
      <c r="FE122" s="74" t="str">
        <f>IF('Marks Entry'!BN122="","",'Marks Entry'!BN122)</f>
        <v/>
      </c>
      <c r="FF122" s="74" t="str">
        <f>IF('Marks Entry'!BO122="","",'Marks Entry'!BO122)</f>
        <v/>
      </c>
      <c r="FG122" s="74" t="str">
        <f>IF('Marks Entry'!BP122="","",'Marks Entry'!BP122)</f>
        <v/>
      </c>
      <c r="FH122" s="527" t="str">
        <f t="shared" si="233"/>
        <v/>
      </c>
      <c r="FI122" s="74" t="str">
        <f>IF('Marks Entry'!BQ122="","",'Marks Entry'!BQ122)</f>
        <v/>
      </c>
      <c r="FJ122" s="74" t="str">
        <f>IF('Marks Entry'!BR122="","",'Marks Entry'!BR122)</f>
        <v/>
      </c>
      <c r="FK122" s="528" t="str">
        <f t="shared" si="234"/>
        <v/>
      </c>
      <c r="FL122" s="529" t="str">
        <f t="shared" si="235"/>
        <v/>
      </c>
      <c r="FM122" s="74" t="str">
        <f>IF('Marks Entry'!BS122="","",'Marks Entry'!BS122)</f>
        <v/>
      </c>
      <c r="FN122" s="74" t="str">
        <f>IF('Marks Entry'!BT122="","",'Marks Entry'!BT122)</f>
        <v/>
      </c>
      <c r="FO122" s="528" t="str">
        <f t="shared" si="236"/>
        <v/>
      </c>
      <c r="FP122" s="530" t="str">
        <f t="shared" si="237"/>
        <v/>
      </c>
      <c r="FQ122" s="368" t="str">
        <f t="shared" si="286"/>
        <v/>
      </c>
      <c r="FR122" s="65">
        <f t="shared" si="287"/>
        <v>0</v>
      </c>
      <c r="FS122" s="65">
        <f t="shared" si="288"/>
        <v>0</v>
      </c>
      <c r="FT122" s="66" t="str">
        <f t="shared" si="289"/>
        <v/>
      </c>
      <c r="FU122" s="74" t="str">
        <f>IF('Marks Entry'!BU122="","",'Marks Entry'!BU122)</f>
        <v/>
      </c>
      <c r="FV122" s="74" t="str">
        <f>IF('Marks Entry'!BV122="","",'Marks Entry'!BV122)</f>
        <v/>
      </c>
      <c r="FW122" s="74" t="str">
        <f>IF('Marks Entry'!BW122="","",'Marks Entry'!BW122)</f>
        <v/>
      </c>
      <c r="FX122" s="75" t="str">
        <f t="shared" si="238"/>
        <v/>
      </c>
      <c r="FY122" s="368" t="str">
        <f t="shared" si="290"/>
        <v/>
      </c>
      <c r="FZ122" s="65">
        <f t="shared" si="291"/>
        <v>0</v>
      </c>
      <c r="GA122" s="66">
        <f t="shared" si="292"/>
        <v>0</v>
      </c>
      <c r="GB122" s="66" t="str">
        <f t="shared" si="293"/>
        <v/>
      </c>
      <c r="GC122" s="74" t="str">
        <f>IF('Marks Entry'!BX122="","",'Marks Entry'!BX122)</f>
        <v/>
      </c>
      <c r="GD122" s="74" t="str">
        <f>IF('Marks Entry'!BY122="","",'Marks Entry'!BY122)</f>
        <v/>
      </c>
      <c r="GE122" s="74" t="str">
        <f>IF('Marks Entry'!BZ122="","",'Marks Entry'!BZ122)</f>
        <v/>
      </c>
      <c r="GF122" s="75" t="str">
        <f t="shared" si="294"/>
        <v/>
      </c>
      <c r="GG122" s="368" t="str">
        <f t="shared" si="295"/>
        <v/>
      </c>
      <c r="GH122" s="65">
        <f t="shared" si="296"/>
        <v>0</v>
      </c>
      <c r="GI122" s="66">
        <f t="shared" si="297"/>
        <v>0</v>
      </c>
      <c r="GJ122" s="66" t="str">
        <f t="shared" si="298"/>
        <v/>
      </c>
      <c r="GK122" s="100" t="str">
        <f>IF(AND(F122="",B122=""),"",IF('Student DATA Entry'!M119="","",'Student DATA Entry'!M119))</f>
        <v/>
      </c>
      <c r="GL122" s="101" t="str">
        <f>IF(AND(B122="",F122=""),"",IF('Student DATA Entry'!N119="","",'Student DATA Entry'!N119))</f>
        <v/>
      </c>
      <c r="GM122" s="581" t="str">
        <f t="shared" si="299"/>
        <v/>
      </c>
      <c r="GN122" s="94" t="str">
        <f t="shared" si="300"/>
        <v/>
      </c>
      <c r="GO122" s="94" t="str">
        <f t="shared" si="301"/>
        <v/>
      </c>
      <c r="GP122" s="102" t="str">
        <f t="shared" si="330"/>
        <v/>
      </c>
      <c r="GQ122" s="94" t="str">
        <f t="shared" si="302"/>
        <v/>
      </c>
      <c r="GR122" s="103" t="str">
        <f t="shared" si="303"/>
        <v/>
      </c>
      <c r="GS122" s="102" t="str">
        <f t="shared" si="331"/>
        <v/>
      </c>
      <c r="GT122" s="104" t="str">
        <f t="shared" si="304"/>
        <v/>
      </c>
      <c r="GU122" s="94" t="str">
        <f>IF('Marks Entry'!V122=1,GT122,"")</f>
        <v/>
      </c>
      <c r="GV122" s="94" t="str">
        <f>IF('Marks Entry'!V122=2,GT122,"")</f>
        <v/>
      </c>
      <c r="GW122" s="94" t="str">
        <f>IF('Marks Entry'!V122=3,GT122,"")</f>
        <v/>
      </c>
      <c r="GX122" s="94" t="str">
        <f>IF('Marks Entry'!V122=4,GT122,"")</f>
        <v/>
      </c>
      <c r="GY122" s="94" t="str">
        <f>IF('Marks Entry'!V122=5,GT122,"")</f>
        <v/>
      </c>
      <c r="GZ122" s="94" t="str">
        <f t="shared" si="305"/>
        <v/>
      </c>
      <c r="HA122" s="105" t="str">
        <f t="shared" si="332"/>
        <v/>
      </c>
      <c r="HB122" s="94" t="str">
        <f t="shared" si="306"/>
        <v/>
      </c>
      <c r="HC122" s="94" t="str">
        <f t="shared" si="307"/>
        <v/>
      </c>
      <c r="HD122" s="105" t="str">
        <f t="shared" si="333"/>
        <v/>
      </c>
      <c r="HE122" s="94" t="str">
        <f t="shared" si="308"/>
        <v/>
      </c>
      <c r="HF122" s="94" t="str">
        <f t="shared" si="309"/>
        <v/>
      </c>
      <c r="HG122" s="105" t="str">
        <f t="shared" si="334"/>
        <v/>
      </c>
      <c r="HH122" s="94" t="str">
        <f t="shared" si="310"/>
        <v/>
      </c>
      <c r="HI122" s="94" t="str">
        <f t="shared" si="311"/>
        <v/>
      </c>
      <c r="HJ122" s="105" t="str">
        <f t="shared" si="335"/>
        <v/>
      </c>
      <c r="HK122" s="94" t="str">
        <f t="shared" si="312"/>
        <v/>
      </c>
      <c r="HL122" s="94" t="str">
        <f t="shared" si="313"/>
        <v/>
      </c>
      <c r="HM122" s="105" t="str">
        <f t="shared" si="336"/>
        <v/>
      </c>
      <c r="HN122" s="367" t="str">
        <f t="shared" si="314"/>
        <v xml:space="preserve">      </v>
      </c>
      <c r="HO122" s="418" t="str">
        <f t="shared" si="337"/>
        <v xml:space="preserve">      </v>
      </c>
      <c r="HP122" s="367" t="str">
        <f t="shared" si="315"/>
        <v xml:space="preserve">      </v>
      </c>
      <c r="HQ122" s="107" t="str">
        <f t="shared" si="316"/>
        <v xml:space="preserve">      </v>
      </c>
      <c r="HR122" s="366" t="str">
        <f t="shared" si="317"/>
        <v xml:space="preserve">      </v>
      </c>
      <c r="HS122" s="544" t="str">
        <f t="shared" si="338"/>
        <v/>
      </c>
      <c r="HT122" s="542" t="str">
        <f t="shared" si="318"/>
        <v/>
      </c>
      <c r="HU122" s="541" t="str">
        <f t="shared" si="319"/>
        <v/>
      </c>
      <c r="HV122" s="540" t="str">
        <f t="shared" si="320"/>
        <v/>
      </c>
      <c r="HW122" s="537" t="str">
        <f t="shared" si="321"/>
        <v/>
      </c>
      <c r="HX122" s="539" t="str">
        <f t="shared" si="322"/>
        <v/>
      </c>
      <c r="HY122" s="553" t="str">
        <f>IFERROR(IF(OR(HS122="SUPPLEMENTARY",HS122="RE-EXAM"),'Supp. Result Entry'!AQ120,""),"")</f>
        <v/>
      </c>
      <c r="HZ122" s="538" t="str">
        <f t="shared" si="323"/>
        <v/>
      </c>
      <c r="IA122" s="415" t="str">
        <f t="shared" si="324"/>
        <v/>
      </c>
      <c r="IB122" s="415" t="str">
        <f>IF(AND(HZ122="",IA122=""),"",IF(OR(HS122="SUPPLEMENTARY",HS122="RE-EXAM"),'Supp. Result Entry'!AQ120,HS122))</f>
        <v/>
      </c>
      <c r="IC122" s="87"/>
      <c r="IS122" s="109" t="str">
        <f>IF('Supp. Result Entry'!T120="","",'Supp. Result Entry'!$T$4)</f>
        <v/>
      </c>
      <c r="IT122" s="110" t="str">
        <f>IF('Supp. Result Entry'!W120="","",'Supp. Result Entry'!$W$4)</f>
        <v/>
      </c>
      <c r="IU122" s="110" t="str">
        <f>IF('Supp. Result Entry'!Z120="","",'Supp. Result Entry'!$Z$4)</f>
        <v/>
      </c>
      <c r="IV122" s="110" t="str">
        <f>IF('Supp. Result Entry'!AC120="","",'Supp. Result Entry'!$AC$4)</f>
        <v/>
      </c>
      <c r="IW122" s="110" t="str">
        <f>IF('Supp. Result Entry'!AF120="","",'Supp. Result Entry'!$AF$4)</f>
        <v/>
      </c>
      <c r="IX122" s="110" t="str">
        <f>IF('Supp. Result Entry'!AI120="","",'Supp. Result Entry'!$AI$4)</f>
        <v/>
      </c>
      <c r="IY122" s="110" t="str">
        <f>IF('Supp. Result Entry'!AI120="","",'Supp. Result Entry'!$AL$4)</f>
        <v/>
      </c>
      <c r="IZ122" s="110" t="str">
        <f>IF('Supp. Result Entry'!U120="","",'Supp. Result Entry'!U120)</f>
        <v/>
      </c>
      <c r="JA122" s="110" t="str">
        <f>IF('Supp. Result Entry'!X120="","",'Supp. Result Entry'!X120)</f>
        <v/>
      </c>
      <c r="JB122" s="110" t="str">
        <f>IF('Supp. Result Entry'!AA120="","",'Supp. Result Entry'!AA120)</f>
        <v/>
      </c>
      <c r="JC122" s="110" t="str">
        <f>IF('Supp. Result Entry'!AD120="","",'Supp. Result Entry'!AD120)</f>
        <v/>
      </c>
      <c r="JD122" s="110" t="str">
        <f>IF('Supp. Result Entry'!AG120="","",'Supp. Result Entry'!AG120)</f>
        <v/>
      </c>
      <c r="JE122" s="110" t="str">
        <f>IF('Supp. Result Entry'!AJ120="","",'Supp. Result Entry'!AJ120)</f>
        <v/>
      </c>
      <c r="JF122" s="110" t="str">
        <f>IF('Supp. Result Entry'!AM120="","",'Supp. Result Entry'!AM120)</f>
        <v/>
      </c>
      <c r="JG122" s="110" t="str">
        <f>IF('Supp. Result Entry'!V120="","",'Supp. Result Entry'!V120)</f>
        <v/>
      </c>
      <c r="JH122" s="110" t="str">
        <f>IF('Supp. Result Entry'!Y120="","",'Supp. Result Entry'!Y120)</f>
        <v/>
      </c>
      <c r="JI122" s="110" t="str">
        <f>IF('Supp. Result Entry'!AB120="","",'Supp. Result Entry'!AB120)</f>
        <v/>
      </c>
      <c r="JJ122" s="110" t="str">
        <f>IF('Supp. Result Entry'!AE120="","",'Supp. Result Entry'!AE120)</f>
        <v/>
      </c>
      <c r="JK122" s="110" t="str">
        <f>IF('Supp. Result Entry'!AH120="","",'Supp. Result Entry'!AH120)</f>
        <v/>
      </c>
      <c r="JL122" s="110" t="str">
        <f>IF('Supp. Result Entry'!AK120="","",'Supp. Result Entry'!AK120)</f>
        <v/>
      </c>
      <c r="JM122" s="110" t="str">
        <f>IF('Supp. Result Entry'!AN120="","",'Supp. Result Entry'!AN120)</f>
        <v/>
      </c>
      <c r="JN122" s="110">
        <f>COUNTIF('Supp. Result Entry'!K120:Q120,"S")</f>
        <v>0</v>
      </c>
      <c r="JO122" s="110">
        <f t="shared" si="248"/>
        <v>0</v>
      </c>
      <c r="JP122" s="110">
        <f t="shared" si="325"/>
        <v>0</v>
      </c>
      <c r="JQ122" s="110" t="str">
        <f t="shared" si="249"/>
        <v/>
      </c>
      <c r="JR122" s="110" t="str">
        <f t="shared" si="250"/>
        <v/>
      </c>
      <c r="JS122" s="110" t="str">
        <f t="shared" si="251"/>
        <v/>
      </c>
      <c r="JT122" s="110" t="str">
        <f t="shared" si="252"/>
        <v/>
      </c>
      <c r="JU122" s="110" t="str">
        <f t="shared" si="253"/>
        <v/>
      </c>
      <c r="JV122" s="110" t="str">
        <f t="shared" si="254"/>
        <v/>
      </c>
      <c r="JW122" s="110" t="str">
        <f t="shared" si="255"/>
        <v/>
      </c>
      <c r="JX122" s="110" t="str">
        <f t="shared" si="326"/>
        <v/>
      </c>
      <c r="JY122" s="110" t="str">
        <f t="shared" si="327"/>
        <v/>
      </c>
      <c r="JZ122" s="110" t="str">
        <f t="shared" si="256"/>
        <v/>
      </c>
      <c r="KA122" s="108" t="str">
        <f t="shared" si="328"/>
        <v/>
      </c>
    </row>
    <row r="123" spans="1:287" s="108" customFormat="1" ht="21.95" customHeight="1">
      <c r="A123" s="89">
        <v>117</v>
      </c>
      <c r="B123" s="90" t="str">
        <f>IF('Marks Entry'!B123="","",'Marks Entry'!B123)</f>
        <v/>
      </c>
      <c r="C123" s="94" t="str">
        <f>IF('Marks Entry'!D123="","",'Marks Entry'!D123)</f>
        <v/>
      </c>
      <c r="D123" s="91" t="str">
        <f>IF('Marks Entry'!E123="","",'Marks Entry'!E123)</f>
        <v/>
      </c>
      <c r="E123" s="92" t="str">
        <f>IF('Marks Entry'!F123="","",'Marks Entry'!F123)</f>
        <v/>
      </c>
      <c r="F123" s="93" t="str">
        <f>IF('Marks Entry'!G123="","",'Marks Entry'!G123)</f>
        <v/>
      </c>
      <c r="G123" s="93" t="str">
        <f>IF('Marks Entry'!H123="","",'Marks Entry'!H123)</f>
        <v/>
      </c>
      <c r="H123" s="93" t="str">
        <f>IF('Marks Entry'!I123="","",'Marks Entry'!I123)</f>
        <v/>
      </c>
      <c r="I123" s="94" t="str">
        <f>IF('Marks Entry'!J123="","",'Marks Entry'!J123)</f>
        <v/>
      </c>
      <c r="J123" s="95" t="str">
        <f>IF('Marks Entry'!K123="","",'Marks Entry'!K123)</f>
        <v/>
      </c>
      <c r="K123" s="68" t="str">
        <f>IF('Marks Entry'!L123="","",'Marks Entry'!L123)</f>
        <v/>
      </c>
      <c r="L123" s="68" t="str">
        <f>IF('Marks Entry'!M123="","",'Marks Entry'!M123)</f>
        <v/>
      </c>
      <c r="M123" s="68" t="str">
        <f>IF('Marks Entry'!N123="","",'Marks Entry'!N123)</f>
        <v/>
      </c>
      <c r="N123" s="514" t="str">
        <f t="shared" si="257"/>
        <v/>
      </c>
      <c r="O123" s="68" t="str">
        <f>IF('Marks Entry'!O123="","",'Marks Entry'!O123)</f>
        <v/>
      </c>
      <c r="P123" s="515" t="str">
        <f t="shared" si="258"/>
        <v/>
      </c>
      <c r="Q123" s="68" t="str">
        <f>IF('Marks Entry'!P123="","",'Marks Entry'!P123)</f>
        <v/>
      </c>
      <c r="R123" s="96" t="str">
        <f t="shared" si="259"/>
        <v/>
      </c>
      <c r="S123" s="65">
        <f t="shared" si="260"/>
        <v>0</v>
      </c>
      <c r="T123" s="65">
        <f t="shared" si="261"/>
        <v>0</v>
      </c>
      <c r="U123" s="66" t="str">
        <f t="shared" si="171"/>
        <v/>
      </c>
      <c r="V123" s="65" t="str">
        <f t="shared" si="172"/>
        <v/>
      </c>
      <c r="W123" s="65" t="str">
        <f t="shared" si="262"/>
        <v/>
      </c>
      <c r="X123" s="65" t="str">
        <f t="shared" si="173"/>
        <v/>
      </c>
      <c r="Y123" s="68" t="str">
        <f>IF('Marks Entry'!Q123="","",'Marks Entry'!Q123)</f>
        <v/>
      </c>
      <c r="Z123" s="68" t="str">
        <f>IF('Marks Entry'!R123="","",'Marks Entry'!R123)</f>
        <v/>
      </c>
      <c r="AA123" s="68" t="str">
        <f>IF('Marks Entry'!S123="","",'Marks Entry'!S123)</f>
        <v/>
      </c>
      <c r="AB123" s="514" t="str">
        <f t="shared" si="174"/>
        <v/>
      </c>
      <c r="AC123" s="68" t="str">
        <f>IF('Marks Entry'!T123="","",'Marks Entry'!T123)</f>
        <v/>
      </c>
      <c r="AD123" s="515" t="str">
        <f t="shared" si="175"/>
        <v/>
      </c>
      <c r="AE123" s="68" t="str">
        <f>IF('Marks Entry'!U123="","",'Marks Entry'!U123)</f>
        <v/>
      </c>
      <c r="AF123" s="96" t="str">
        <f t="shared" si="176"/>
        <v/>
      </c>
      <c r="AG123" s="65">
        <f t="shared" si="177"/>
        <v>0</v>
      </c>
      <c r="AH123" s="65">
        <f t="shared" si="178"/>
        <v>0</v>
      </c>
      <c r="AI123" s="66" t="str">
        <f t="shared" si="179"/>
        <v/>
      </c>
      <c r="AJ123" s="65" t="str">
        <f t="shared" si="180"/>
        <v/>
      </c>
      <c r="AK123" s="65" t="str">
        <f t="shared" si="181"/>
        <v/>
      </c>
      <c r="AL123" s="65" t="str">
        <f t="shared" si="182"/>
        <v/>
      </c>
      <c r="AM123" s="524" t="str">
        <f>IF('Marks Entry'!V123="","",IF('Marks Entry'!V123=1,'School Profile'!$I$9,IF('Marks Entry'!V123=2,'School Profile'!$I$10,IF('Marks Entry'!V123=3,'School Profile'!$I$11,IF('Marks Entry'!V123=4,'School Profile'!$I$12,IF('Marks Entry'!V123=5,'School Profile'!$I$13,IF('Marks Entry'!V123=6,'School Profile'!$I$14,"")))))))</f>
        <v/>
      </c>
      <c r="AN123" s="68" t="str">
        <f>IF('Marks Entry'!W123="","",'Marks Entry'!W123)</f>
        <v/>
      </c>
      <c r="AO123" s="68" t="str">
        <f>IF('Marks Entry'!X123="","",'Marks Entry'!X123)</f>
        <v/>
      </c>
      <c r="AP123" s="68" t="str">
        <f>IF('Marks Entry'!Y123="","",'Marks Entry'!Y123)</f>
        <v/>
      </c>
      <c r="AQ123" s="514" t="str">
        <f t="shared" si="183"/>
        <v/>
      </c>
      <c r="AR123" s="68" t="str">
        <f>IF('Marks Entry'!Z123="","",'Marks Entry'!Z123)</f>
        <v/>
      </c>
      <c r="AS123" s="515" t="str">
        <f t="shared" si="184"/>
        <v/>
      </c>
      <c r="AT123" s="68" t="str">
        <f>IF('Marks Entry'!AA123="","",'Marks Entry'!AA123)</f>
        <v/>
      </c>
      <c r="AU123" s="96" t="str">
        <f t="shared" si="185"/>
        <v/>
      </c>
      <c r="AV123" s="65">
        <f t="shared" si="186"/>
        <v>0</v>
      </c>
      <c r="AW123" s="65">
        <f t="shared" si="187"/>
        <v>0</v>
      </c>
      <c r="AX123" s="66" t="str">
        <f t="shared" si="188"/>
        <v/>
      </c>
      <c r="AY123" s="65" t="str">
        <f t="shared" si="189"/>
        <v/>
      </c>
      <c r="AZ123" s="65" t="str">
        <f t="shared" si="190"/>
        <v/>
      </c>
      <c r="BA123" s="65" t="str">
        <f t="shared" si="191"/>
        <v/>
      </c>
      <c r="BB123" s="68" t="str">
        <f>IF('Marks Entry'!AB123="","",'Marks Entry'!AB123)</f>
        <v/>
      </c>
      <c r="BC123" s="68" t="str">
        <f>IF('Marks Entry'!AC123="","",'Marks Entry'!AC123)</f>
        <v/>
      </c>
      <c r="BD123" s="68" t="str">
        <f>IF('Marks Entry'!AD123="","",'Marks Entry'!AD123)</f>
        <v/>
      </c>
      <c r="BE123" s="514" t="str">
        <f t="shared" si="192"/>
        <v/>
      </c>
      <c r="BF123" s="68" t="str">
        <f>IF('Marks Entry'!AE123="","",'Marks Entry'!AE123)</f>
        <v/>
      </c>
      <c r="BG123" s="515" t="str">
        <f t="shared" si="193"/>
        <v/>
      </c>
      <c r="BH123" s="68" t="str">
        <f>IF('Marks Entry'!AF123="","",'Marks Entry'!AF123)</f>
        <v/>
      </c>
      <c r="BI123" s="96" t="str">
        <f t="shared" si="194"/>
        <v/>
      </c>
      <c r="BJ123" s="65">
        <f t="shared" si="195"/>
        <v>0</v>
      </c>
      <c r="BK123" s="65">
        <f t="shared" si="263"/>
        <v>0</v>
      </c>
      <c r="BL123" s="66" t="str">
        <f t="shared" si="196"/>
        <v/>
      </c>
      <c r="BM123" s="65" t="str">
        <f t="shared" si="197"/>
        <v/>
      </c>
      <c r="BN123" s="65" t="str">
        <f t="shared" si="198"/>
        <v/>
      </c>
      <c r="BO123" s="65" t="str">
        <f t="shared" si="199"/>
        <v/>
      </c>
      <c r="BP123" s="68" t="str">
        <f>IF('Marks Entry'!AG123="","",'Marks Entry'!AG123)</f>
        <v/>
      </c>
      <c r="BQ123" s="68" t="str">
        <f>IF('Marks Entry'!AH123="","",'Marks Entry'!AH123)</f>
        <v/>
      </c>
      <c r="BR123" s="68" t="str">
        <f>IF('Marks Entry'!AI123="","",'Marks Entry'!AI123)</f>
        <v/>
      </c>
      <c r="BS123" s="514" t="str">
        <f t="shared" si="200"/>
        <v/>
      </c>
      <c r="BT123" s="68" t="str">
        <f>IF('Marks Entry'!AJ123="","",'Marks Entry'!AJ123)</f>
        <v/>
      </c>
      <c r="BU123" s="515" t="str">
        <f t="shared" si="201"/>
        <v/>
      </c>
      <c r="BV123" s="68" t="str">
        <f>IF('Marks Entry'!AK123="","",'Marks Entry'!AK123)</f>
        <v/>
      </c>
      <c r="BW123" s="96" t="str">
        <f t="shared" si="202"/>
        <v/>
      </c>
      <c r="BX123" s="65">
        <f t="shared" si="203"/>
        <v>0</v>
      </c>
      <c r="BY123" s="65">
        <f t="shared" si="204"/>
        <v>0</v>
      </c>
      <c r="BZ123" s="66" t="str">
        <f t="shared" si="205"/>
        <v/>
      </c>
      <c r="CA123" s="65" t="str">
        <f t="shared" si="206"/>
        <v/>
      </c>
      <c r="CB123" s="65" t="str">
        <f t="shared" si="207"/>
        <v/>
      </c>
      <c r="CC123" s="65" t="str">
        <f t="shared" si="208"/>
        <v/>
      </c>
      <c r="CD123" s="66">
        <f t="shared" si="329"/>
        <v>0</v>
      </c>
      <c r="CE123" s="68" t="str">
        <f>IF('Marks Entry'!AL123="","",'Marks Entry'!AL123)</f>
        <v/>
      </c>
      <c r="CF123" s="68" t="str">
        <f>IF('Marks Entry'!AM123="","",'Marks Entry'!AM123)</f>
        <v/>
      </c>
      <c r="CG123" s="68" t="str">
        <f>IF('Marks Entry'!AN123="","",'Marks Entry'!AN123)</f>
        <v/>
      </c>
      <c r="CH123" s="514" t="str">
        <f t="shared" si="210"/>
        <v/>
      </c>
      <c r="CI123" s="68" t="str">
        <f>IF('Marks Entry'!AO123="","",'Marks Entry'!AO123)</f>
        <v/>
      </c>
      <c r="CJ123" s="515" t="str">
        <f t="shared" si="211"/>
        <v/>
      </c>
      <c r="CK123" s="68" t="str">
        <f>IF('Marks Entry'!AP123="","",'Marks Entry'!AP123)</f>
        <v/>
      </c>
      <c r="CL123" s="96" t="str">
        <f t="shared" si="212"/>
        <v/>
      </c>
      <c r="CM123" s="65">
        <f t="shared" si="213"/>
        <v>0</v>
      </c>
      <c r="CN123" s="65">
        <f t="shared" si="214"/>
        <v>0</v>
      </c>
      <c r="CO123" s="66" t="str">
        <f t="shared" si="215"/>
        <v/>
      </c>
      <c r="CP123" s="65" t="str">
        <f t="shared" si="216"/>
        <v/>
      </c>
      <c r="CQ123" s="65" t="str">
        <f t="shared" si="217"/>
        <v/>
      </c>
      <c r="CR123" s="65" t="str">
        <f t="shared" si="218"/>
        <v/>
      </c>
      <c r="CS123" s="616" t="str">
        <f>IF('School Profile'!$D$20="NO","",IF('Marks Entry'!AQ123="","",IF('Marks Entry'!AQ123=1,'School Profile'!$I$29,IF('Marks Entry'!AQ123=2,'School Profile'!$I$30,IF('Marks Entry'!AQ123=3,'School Profile'!$I$31,IF('Marks Entry'!AQ123=4,'School Profile'!$I$32,IF('Marks Entry'!AQ123=5,'School Profile'!$I$33,IF('Marks Entry'!AQ123=6,'School Profile'!$I$34,IF('Marks Entry'!AQ123=7,'School Profile'!$I$35,IF('Marks Entry'!AQ123=8,'School Profile'!$I$36,IF('Marks Entry'!AQ123=9,'School Profile'!$I$37,IF('Marks Entry'!AQ123=10,'School Profile'!$I$38,IF('Marks Entry'!AQ123=11,'School Profile'!$I$39,"")))))))))))))</f>
        <v/>
      </c>
      <c r="CT123" s="68" t="str">
        <f>IF('School Profile'!$D$20="NO","",IF('Marks Entry'!AR123="","",'Marks Entry'!AR123))</f>
        <v/>
      </c>
      <c r="CU123" s="68" t="str">
        <f>IF('School Profile'!$D$20="NO","",IF('Marks Entry'!AS123="","",'Marks Entry'!AS123))</f>
        <v/>
      </c>
      <c r="CV123" s="68" t="str">
        <f>IF('School Profile'!$D$20="NO","",IF('Marks Entry'!AT123="","",'Marks Entry'!AT123))</f>
        <v/>
      </c>
      <c r="CW123" s="514" t="str">
        <f>IF('School Profile'!$D$20="NO","",IF(AND(CT123="",CU123="",CV123=""),"",SUM(CT123:CV123)))</f>
        <v/>
      </c>
      <c r="CX123" s="68" t="str">
        <f>IF('School Profile'!$D$20="NO","",IF('Marks Entry'!AU123="","",'Marks Entry'!AU123))</f>
        <v/>
      </c>
      <c r="CY123" s="68" t="str">
        <f>IF('School Profile'!$D$20="NO","",IF('Marks Entry'!AV123="","",'Marks Entry'!AV123))</f>
        <v/>
      </c>
      <c r="CZ123" s="515" t="str">
        <f>IF('School Profile'!$D$20="NO","",IF(AND(CX123="",CY123=""),"",SUM(CX123,CY123)))</f>
        <v/>
      </c>
      <c r="DA123" s="69" t="str">
        <f>IF('School Profile'!$D$20="NO","",IF(AND(CW123="",CZ123=""),"",SUM(CW123+CZ123)))</f>
        <v/>
      </c>
      <c r="DB123" s="68" t="str">
        <f>IF('School Profile'!$D$20="NO","",IF('Marks Entry'!AW123="","",'Marks Entry'!AW123))</f>
        <v/>
      </c>
      <c r="DC123" s="68" t="str">
        <f>IF('School Profile'!$D$20="NO","",IF('Marks Entry'!AX123="","",'Marks Entry'!AX123))</f>
        <v/>
      </c>
      <c r="DD123" s="515" t="str">
        <f>IF('School Profile'!$D$20="NO","",IF(AND(DB123="",DC123=""),"",SUM(DB123,DC123)))</f>
        <v/>
      </c>
      <c r="DE123" s="96" t="str">
        <f>IF('School Profile'!$D$20="NO","",IF(AND(DA123="",DD123=""),"",SUM(DA123,DD123)))</f>
        <v/>
      </c>
      <c r="DF123" s="532">
        <f t="shared" si="219"/>
        <v>0</v>
      </c>
      <c r="DG123" s="65">
        <f t="shared" si="220"/>
        <v>0</v>
      </c>
      <c r="DH123" s="66" t="str">
        <f t="shared" si="221"/>
        <v/>
      </c>
      <c r="DI123" s="65" t="str">
        <f t="shared" si="222"/>
        <v/>
      </c>
      <c r="DJ123" s="65" t="str">
        <f t="shared" si="223"/>
        <v/>
      </c>
      <c r="DK123" s="65" t="str">
        <f t="shared" si="224"/>
        <v/>
      </c>
      <c r="DL123" s="97" t="str">
        <f t="shared" si="264"/>
        <v/>
      </c>
      <c r="DM123" s="97" t="str">
        <f t="shared" si="265"/>
        <v/>
      </c>
      <c r="DN123" s="97" t="str">
        <f t="shared" si="266"/>
        <v/>
      </c>
      <c r="DO123" s="97" t="str">
        <f t="shared" si="267"/>
        <v/>
      </c>
      <c r="DP123" s="97" t="str">
        <f t="shared" si="268"/>
        <v/>
      </c>
      <c r="DQ123" s="97" t="str">
        <f t="shared" si="269"/>
        <v/>
      </c>
      <c r="DR123" s="97" t="str">
        <f t="shared" si="270"/>
        <v/>
      </c>
      <c r="DS123" s="98">
        <f t="shared" si="271"/>
        <v>0</v>
      </c>
      <c r="DT123" s="98">
        <f t="shared" si="272"/>
        <v>0</v>
      </c>
      <c r="DU123" s="98">
        <f t="shared" si="273"/>
        <v>0</v>
      </c>
      <c r="DV123" s="98">
        <f t="shared" si="274"/>
        <v>0</v>
      </c>
      <c r="DW123" s="98">
        <f t="shared" si="275"/>
        <v>0</v>
      </c>
      <c r="DX123" s="98" t="str">
        <f t="shared" si="276"/>
        <v/>
      </c>
      <c r="DY123" s="99" t="str">
        <f t="shared" si="277"/>
        <v/>
      </c>
      <c r="DZ123" s="74" t="str">
        <f>IF('Marks Entry'!AY123="","",'Marks Entry'!AY123)</f>
        <v/>
      </c>
      <c r="EA123" s="74" t="str">
        <f>IF('Marks Entry'!AZ123="","",'Marks Entry'!AZ123)</f>
        <v/>
      </c>
      <c r="EB123" s="74" t="str">
        <f>IF('Marks Entry'!BA123="","",'Marks Entry'!BA123)</f>
        <v/>
      </c>
      <c r="EC123" s="527" t="str">
        <f t="shared" si="225"/>
        <v/>
      </c>
      <c r="ED123" s="74" t="str">
        <f>IF('Marks Entry'!BB123="","",'Marks Entry'!BB123)</f>
        <v/>
      </c>
      <c r="EE123" s="528" t="str">
        <f t="shared" si="226"/>
        <v/>
      </c>
      <c r="EF123" s="74" t="str">
        <f>IF('Marks Entry'!BC123="","",'Marks Entry'!BC123)</f>
        <v/>
      </c>
      <c r="EG123" s="530" t="str">
        <f t="shared" si="227"/>
        <v/>
      </c>
      <c r="EH123" s="368" t="str">
        <f t="shared" si="278"/>
        <v/>
      </c>
      <c r="EI123" s="65">
        <f t="shared" si="279"/>
        <v>0</v>
      </c>
      <c r="EJ123" s="65">
        <f t="shared" si="280"/>
        <v>0</v>
      </c>
      <c r="EK123" s="66" t="str">
        <f t="shared" si="281"/>
        <v/>
      </c>
      <c r="EL123" s="74" t="str">
        <f>IF('Marks Entry'!BD123="","",'Marks Entry'!BD123)</f>
        <v/>
      </c>
      <c r="EM123" s="74" t="str">
        <f>IF('Marks Entry'!BE123="","",'Marks Entry'!BE123)</f>
        <v/>
      </c>
      <c r="EN123" s="74" t="str">
        <f>IF('Marks Entry'!BF123="","",'Marks Entry'!BF123)</f>
        <v/>
      </c>
      <c r="EO123" s="527" t="str">
        <f t="shared" si="228"/>
        <v/>
      </c>
      <c r="EP123" s="74" t="str">
        <f>IF('Marks Entry'!BG123="","",'Marks Entry'!BG123)</f>
        <v/>
      </c>
      <c r="EQ123" s="74" t="str">
        <f>IF('Marks Entry'!BH123="","",'Marks Entry'!BH123)</f>
        <v/>
      </c>
      <c r="ER123" s="528" t="str">
        <f t="shared" si="229"/>
        <v/>
      </c>
      <c r="ES123" s="529" t="str">
        <f t="shared" si="230"/>
        <v/>
      </c>
      <c r="ET123" s="74" t="str">
        <f>IF('Marks Entry'!BI123="","",'Marks Entry'!BI123)</f>
        <v/>
      </c>
      <c r="EU123" s="74" t="str">
        <f>IF('Marks Entry'!BJ123="","",'Marks Entry'!BJ123)</f>
        <v/>
      </c>
      <c r="EV123" s="528" t="str">
        <f t="shared" si="231"/>
        <v/>
      </c>
      <c r="EW123" s="530" t="str">
        <f t="shared" si="232"/>
        <v/>
      </c>
      <c r="EX123" s="368" t="str">
        <f t="shared" si="282"/>
        <v/>
      </c>
      <c r="EY123" s="65">
        <f t="shared" si="283"/>
        <v>0</v>
      </c>
      <c r="EZ123" s="65">
        <f t="shared" si="284"/>
        <v>0</v>
      </c>
      <c r="FA123" s="66" t="str">
        <f t="shared" si="285"/>
        <v/>
      </c>
      <c r="FB123" s="74" t="str">
        <f>IF('Marks Entry'!BK123="","",'Marks Entry'!BK123)</f>
        <v/>
      </c>
      <c r="FC123" s="74" t="str">
        <f>IF('Marks Entry'!BL123="","",'Marks Entry'!BL123)</f>
        <v/>
      </c>
      <c r="FD123" s="74" t="str">
        <f>IF('Marks Entry'!BM123="","",'Marks Entry'!BM123)</f>
        <v/>
      </c>
      <c r="FE123" s="74" t="str">
        <f>IF('Marks Entry'!BN123="","",'Marks Entry'!BN123)</f>
        <v/>
      </c>
      <c r="FF123" s="74" t="str">
        <f>IF('Marks Entry'!BO123="","",'Marks Entry'!BO123)</f>
        <v/>
      </c>
      <c r="FG123" s="74" t="str">
        <f>IF('Marks Entry'!BP123="","",'Marks Entry'!BP123)</f>
        <v/>
      </c>
      <c r="FH123" s="527" t="str">
        <f t="shared" si="233"/>
        <v/>
      </c>
      <c r="FI123" s="74" t="str">
        <f>IF('Marks Entry'!BQ123="","",'Marks Entry'!BQ123)</f>
        <v/>
      </c>
      <c r="FJ123" s="74" t="str">
        <f>IF('Marks Entry'!BR123="","",'Marks Entry'!BR123)</f>
        <v/>
      </c>
      <c r="FK123" s="528" t="str">
        <f t="shared" si="234"/>
        <v/>
      </c>
      <c r="FL123" s="529" t="str">
        <f t="shared" si="235"/>
        <v/>
      </c>
      <c r="FM123" s="74" t="str">
        <f>IF('Marks Entry'!BS123="","",'Marks Entry'!BS123)</f>
        <v/>
      </c>
      <c r="FN123" s="74" t="str">
        <f>IF('Marks Entry'!BT123="","",'Marks Entry'!BT123)</f>
        <v/>
      </c>
      <c r="FO123" s="528" t="str">
        <f t="shared" si="236"/>
        <v/>
      </c>
      <c r="FP123" s="530" t="str">
        <f t="shared" si="237"/>
        <v/>
      </c>
      <c r="FQ123" s="368" t="str">
        <f t="shared" si="286"/>
        <v/>
      </c>
      <c r="FR123" s="65">
        <f t="shared" si="287"/>
        <v>0</v>
      </c>
      <c r="FS123" s="65">
        <f t="shared" si="288"/>
        <v>0</v>
      </c>
      <c r="FT123" s="66" t="str">
        <f t="shared" si="289"/>
        <v/>
      </c>
      <c r="FU123" s="74" t="str">
        <f>IF('Marks Entry'!BU123="","",'Marks Entry'!BU123)</f>
        <v/>
      </c>
      <c r="FV123" s="74" t="str">
        <f>IF('Marks Entry'!BV123="","",'Marks Entry'!BV123)</f>
        <v/>
      </c>
      <c r="FW123" s="74" t="str">
        <f>IF('Marks Entry'!BW123="","",'Marks Entry'!BW123)</f>
        <v/>
      </c>
      <c r="FX123" s="75" t="str">
        <f t="shared" si="238"/>
        <v/>
      </c>
      <c r="FY123" s="368" t="str">
        <f t="shared" si="290"/>
        <v/>
      </c>
      <c r="FZ123" s="65">
        <f t="shared" si="291"/>
        <v>0</v>
      </c>
      <c r="GA123" s="66">
        <f t="shared" si="292"/>
        <v>0</v>
      </c>
      <c r="GB123" s="66" t="str">
        <f t="shared" si="293"/>
        <v/>
      </c>
      <c r="GC123" s="74" t="str">
        <f>IF('Marks Entry'!BX123="","",'Marks Entry'!BX123)</f>
        <v/>
      </c>
      <c r="GD123" s="74" t="str">
        <f>IF('Marks Entry'!BY123="","",'Marks Entry'!BY123)</f>
        <v/>
      </c>
      <c r="GE123" s="74" t="str">
        <f>IF('Marks Entry'!BZ123="","",'Marks Entry'!BZ123)</f>
        <v/>
      </c>
      <c r="GF123" s="75" t="str">
        <f t="shared" si="294"/>
        <v/>
      </c>
      <c r="GG123" s="368" t="str">
        <f t="shared" si="295"/>
        <v/>
      </c>
      <c r="GH123" s="65">
        <f t="shared" si="296"/>
        <v>0</v>
      </c>
      <c r="GI123" s="66">
        <f t="shared" si="297"/>
        <v>0</v>
      </c>
      <c r="GJ123" s="66" t="str">
        <f t="shared" si="298"/>
        <v/>
      </c>
      <c r="GK123" s="100" t="str">
        <f>IF(AND(F123="",B123=""),"",IF('Student DATA Entry'!M120="","",'Student DATA Entry'!M120))</f>
        <v/>
      </c>
      <c r="GL123" s="101" t="str">
        <f>IF(AND(B123="",F123=""),"",IF('Student DATA Entry'!N120="","",'Student DATA Entry'!N120))</f>
        <v/>
      </c>
      <c r="GM123" s="581" t="str">
        <f t="shared" si="299"/>
        <v/>
      </c>
      <c r="GN123" s="94" t="str">
        <f t="shared" si="300"/>
        <v/>
      </c>
      <c r="GO123" s="94" t="str">
        <f t="shared" si="301"/>
        <v/>
      </c>
      <c r="GP123" s="102" t="str">
        <f t="shared" si="330"/>
        <v/>
      </c>
      <c r="GQ123" s="94" t="str">
        <f t="shared" si="302"/>
        <v/>
      </c>
      <c r="GR123" s="103" t="str">
        <f t="shared" si="303"/>
        <v/>
      </c>
      <c r="GS123" s="102" t="str">
        <f t="shared" si="331"/>
        <v/>
      </c>
      <c r="GT123" s="104" t="str">
        <f t="shared" si="304"/>
        <v/>
      </c>
      <c r="GU123" s="94" t="str">
        <f>IF('Marks Entry'!V123=1,GT123,"")</f>
        <v/>
      </c>
      <c r="GV123" s="94" t="str">
        <f>IF('Marks Entry'!V123=2,GT123,"")</f>
        <v/>
      </c>
      <c r="GW123" s="94" t="str">
        <f>IF('Marks Entry'!V123=3,GT123,"")</f>
        <v/>
      </c>
      <c r="GX123" s="94" t="str">
        <f>IF('Marks Entry'!V123=4,GT123,"")</f>
        <v/>
      </c>
      <c r="GY123" s="94" t="str">
        <f>IF('Marks Entry'!V123=5,GT123,"")</f>
        <v/>
      </c>
      <c r="GZ123" s="94" t="str">
        <f t="shared" si="305"/>
        <v/>
      </c>
      <c r="HA123" s="105" t="str">
        <f t="shared" si="332"/>
        <v/>
      </c>
      <c r="HB123" s="94" t="str">
        <f t="shared" si="306"/>
        <v/>
      </c>
      <c r="HC123" s="94" t="str">
        <f t="shared" si="307"/>
        <v/>
      </c>
      <c r="HD123" s="105" t="str">
        <f t="shared" si="333"/>
        <v/>
      </c>
      <c r="HE123" s="94" t="str">
        <f t="shared" si="308"/>
        <v/>
      </c>
      <c r="HF123" s="94" t="str">
        <f t="shared" si="309"/>
        <v/>
      </c>
      <c r="HG123" s="105" t="str">
        <f t="shared" si="334"/>
        <v/>
      </c>
      <c r="HH123" s="94" t="str">
        <f t="shared" si="310"/>
        <v/>
      </c>
      <c r="HI123" s="94" t="str">
        <f t="shared" si="311"/>
        <v/>
      </c>
      <c r="HJ123" s="105" t="str">
        <f t="shared" si="335"/>
        <v/>
      </c>
      <c r="HK123" s="94" t="str">
        <f t="shared" si="312"/>
        <v/>
      </c>
      <c r="HL123" s="94" t="str">
        <f t="shared" si="313"/>
        <v/>
      </c>
      <c r="HM123" s="105" t="str">
        <f t="shared" si="336"/>
        <v/>
      </c>
      <c r="HN123" s="367" t="str">
        <f t="shared" si="314"/>
        <v xml:space="preserve">      </v>
      </c>
      <c r="HO123" s="418" t="str">
        <f t="shared" si="337"/>
        <v xml:space="preserve">      </v>
      </c>
      <c r="HP123" s="367" t="str">
        <f t="shared" si="315"/>
        <v xml:space="preserve">      </v>
      </c>
      <c r="HQ123" s="107" t="str">
        <f t="shared" si="316"/>
        <v xml:space="preserve">      </v>
      </c>
      <c r="HR123" s="366" t="str">
        <f t="shared" si="317"/>
        <v xml:space="preserve">      </v>
      </c>
      <c r="HS123" s="544" t="str">
        <f t="shared" si="338"/>
        <v/>
      </c>
      <c r="HT123" s="542" t="str">
        <f t="shared" si="318"/>
        <v/>
      </c>
      <c r="HU123" s="541" t="str">
        <f t="shared" si="319"/>
        <v/>
      </c>
      <c r="HV123" s="540" t="str">
        <f t="shared" si="320"/>
        <v/>
      </c>
      <c r="HW123" s="537" t="str">
        <f t="shared" si="321"/>
        <v/>
      </c>
      <c r="HX123" s="539" t="str">
        <f t="shared" si="322"/>
        <v/>
      </c>
      <c r="HY123" s="553" t="str">
        <f>IFERROR(IF(OR(HS123="SUPPLEMENTARY",HS123="RE-EXAM"),'Supp. Result Entry'!AQ121,""),"")</f>
        <v/>
      </c>
      <c r="HZ123" s="538" t="str">
        <f t="shared" si="323"/>
        <v/>
      </c>
      <c r="IA123" s="415" t="str">
        <f t="shared" si="324"/>
        <v/>
      </c>
      <c r="IB123" s="415" t="str">
        <f>IF(AND(HZ123="",IA123=""),"",IF(OR(HS123="SUPPLEMENTARY",HS123="RE-EXAM"),'Supp. Result Entry'!AQ121,HS123))</f>
        <v/>
      </c>
      <c r="IC123" s="87"/>
      <c r="IS123" s="109" t="str">
        <f>IF('Supp. Result Entry'!T121="","",'Supp. Result Entry'!$T$4)</f>
        <v/>
      </c>
      <c r="IT123" s="110" t="str">
        <f>IF('Supp. Result Entry'!W121="","",'Supp. Result Entry'!$W$4)</f>
        <v/>
      </c>
      <c r="IU123" s="110" t="str">
        <f>IF('Supp. Result Entry'!Z121="","",'Supp. Result Entry'!$Z$4)</f>
        <v/>
      </c>
      <c r="IV123" s="110" t="str">
        <f>IF('Supp. Result Entry'!AC121="","",'Supp. Result Entry'!$AC$4)</f>
        <v/>
      </c>
      <c r="IW123" s="110" t="str">
        <f>IF('Supp. Result Entry'!AF121="","",'Supp. Result Entry'!$AF$4)</f>
        <v/>
      </c>
      <c r="IX123" s="110" t="str">
        <f>IF('Supp. Result Entry'!AI121="","",'Supp. Result Entry'!$AI$4)</f>
        <v/>
      </c>
      <c r="IY123" s="110" t="str">
        <f>IF('Supp. Result Entry'!AI121="","",'Supp. Result Entry'!$AL$4)</f>
        <v/>
      </c>
      <c r="IZ123" s="110" t="str">
        <f>IF('Supp. Result Entry'!U121="","",'Supp. Result Entry'!U121)</f>
        <v/>
      </c>
      <c r="JA123" s="110" t="str">
        <f>IF('Supp. Result Entry'!X121="","",'Supp. Result Entry'!X121)</f>
        <v/>
      </c>
      <c r="JB123" s="110" t="str">
        <f>IF('Supp. Result Entry'!AA121="","",'Supp. Result Entry'!AA121)</f>
        <v/>
      </c>
      <c r="JC123" s="110" t="str">
        <f>IF('Supp. Result Entry'!AD121="","",'Supp. Result Entry'!AD121)</f>
        <v/>
      </c>
      <c r="JD123" s="110" t="str">
        <f>IF('Supp. Result Entry'!AG121="","",'Supp. Result Entry'!AG121)</f>
        <v/>
      </c>
      <c r="JE123" s="110" t="str">
        <f>IF('Supp. Result Entry'!AJ121="","",'Supp. Result Entry'!AJ121)</f>
        <v/>
      </c>
      <c r="JF123" s="110" t="str">
        <f>IF('Supp. Result Entry'!AM121="","",'Supp. Result Entry'!AM121)</f>
        <v/>
      </c>
      <c r="JG123" s="110" t="str">
        <f>IF('Supp. Result Entry'!V121="","",'Supp. Result Entry'!V121)</f>
        <v/>
      </c>
      <c r="JH123" s="110" t="str">
        <f>IF('Supp. Result Entry'!Y121="","",'Supp. Result Entry'!Y121)</f>
        <v/>
      </c>
      <c r="JI123" s="110" t="str">
        <f>IF('Supp. Result Entry'!AB121="","",'Supp. Result Entry'!AB121)</f>
        <v/>
      </c>
      <c r="JJ123" s="110" t="str">
        <f>IF('Supp. Result Entry'!AE121="","",'Supp. Result Entry'!AE121)</f>
        <v/>
      </c>
      <c r="JK123" s="110" t="str">
        <f>IF('Supp. Result Entry'!AH121="","",'Supp. Result Entry'!AH121)</f>
        <v/>
      </c>
      <c r="JL123" s="110" t="str">
        <f>IF('Supp. Result Entry'!AK121="","",'Supp. Result Entry'!AK121)</f>
        <v/>
      </c>
      <c r="JM123" s="110" t="str">
        <f>IF('Supp. Result Entry'!AN121="","",'Supp. Result Entry'!AN121)</f>
        <v/>
      </c>
      <c r="JN123" s="110">
        <f>COUNTIF('Supp. Result Entry'!K121:Q121,"S")</f>
        <v>0</v>
      </c>
      <c r="JO123" s="110">
        <f t="shared" si="248"/>
        <v>0</v>
      </c>
      <c r="JP123" s="110">
        <f t="shared" si="325"/>
        <v>0</v>
      </c>
      <c r="JQ123" s="110" t="str">
        <f t="shared" si="249"/>
        <v/>
      </c>
      <c r="JR123" s="110" t="str">
        <f t="shared" si="250"/>
        <v/>
      </c>
      <c r="JS123" s="110" t="str">
        <f t="shared" si="251"/>
        <v/>
      </c>
      <c r="JT123" s="110" t="str">
        <f t="shared" si="252"/>
        <v/>
      </c>
      <c r="JU123" s="110" t="str">
        <f t="shared" si="253"/>
        <v/>
      </c>
      <c r="JV123" s="110" t="str">
        <f t="shared" si="254"/>
        <v/>
      </c>
      <c r="JW123" s="110" t="str">
        <f t="shared" si="255"/>
        <v/>
      </c>
      <c r="JX123" s="110" t="str">
        <f t="shared" si="326"/>
        <v/>
      </c>
      <c r="JY123" s="110" t="str">
        <f t="shared" si="327"/>
        <v/>
      </c>
      <c r="JZ123" s="110" t="str">
        <f t="shared" si="256"/>
        <v/>
      </c>
      <c r="KA123" s="108" t="str">
        <f t="shared" si="328"/>
        <v/>
      </c>
    </row>
    <row r="124" spans="1:287" s="108" customFormat="1" ht="21.95" customHeight="1">
      <c r="A124" s="89">
        <v>118</v>
      </c>
      <c r="B124" s="90" t="str">
        <f>IF('Marks Entry'!B124="","",'Marks Entry'!B124)</f>
        <v/>
      </c>
      <c r="C124" s="94" t="str">
        <f>IF('Marks Entry'!D124="","",'Marks Entry'!D124)</f>
        <v/>
      </c>
      <c r="D124" s="91" t="str">
        <f>IF('Marks Entry'!E124="","",'Marks Entry'!E124)</f>
        <v/>
      </c>
      <c r="E124" s="92" t="str">
        <f>IF('Marks Entry'!F124="","",'Marks Entry'!F124)</f>
        <v/>
      </c>
      <c r="F124" s="93" t="str">
        <f>IF('Marks Entry'!G124="","",'Marks Entry'!G124)</f>
        <v/>
      </c>
      <c r="G124" s="93" t="str">
        <f>IF('Marks Entry'!H124="","",'Marks Entry'!H124)</f>
        <v/>
      </c>
      <c r="H124" s="93" t="str">
        <f>IF('Marks Entry'!I124="","",'Marks Entry'!I124)</f>
        <v/>
      </c>
      <c r="I124" s="94" t="str">
        <f>IF('Marks Entry'!J124="","",'Marks Entry'!J124)</f>
        <v/>
      </c>
      <c r="J124" s="95" t="str">
        <f>IF('Marks Entry'!K124="","",'Marks Entry'!K124)</f>
        <v/>
      </c>
      <c r="K124" s="68" t="str">
        <f>IF('Marks Entry'!L124="","",'Marks Entry'!L124)</f>
        <v/>
      </c>
      <c r="L124" s="68" t="str">
        <f>IF('Marks Entry'!M124="","",'Marks Entry'!M124)</f>
        <v/>
      </c>
      <c r="M124" s="68" t="str">
        <f>IF('Marks Entry'!N124="","",'Marks Entry'!N124)</f>
        <v/>
      </c>
      <c r="N124" s="514" t="str">
        <f t="shared" si="257"/>
        <v/>
      </c>
      <c r="O124" s="68" t="str">
        <f>IF('Marks Entry'!O124="","",'Marks Entry'!O124)</f>
        <v/>
      </c>
      <c r="P124" s="515" t="str">
        <f t="shared" si="258"/>
        <v/>
      </c>
      <c r="Q124" s="68" t="str">
        <f>IF('Marks Entry'!P124="","",'Marks Entry'!P124)</f>
        <v/>
      </c>
      <c r="R124" s="96" t="str">
        <f t="shared" si="259"/>
        <v/>
      </c>
      <c r="S124" s="65">
        <f t="shared" si="260"/>
        <v>0</v>
      </c>
      <c r="T124" s="65">
        <f t="shared" si="261"/>
        <v>0</v>
      </c>
      <c r="U124" s="66" t="str">
        <f t="shared" si="171"/>
        <v/>
      </c>
      <c r="V124" s="65" t="str">
        <f t="shared" si="172"/>
        <v/>
      </c>
      <c r="W124" s="65" t="str">
        <f t="shared" si="262"/>
        <v/>
      </c>
      <c r="X124" s="65" t="str">
        <f t="shared" si="173"/>
        <v/>
      </c>
      <c r="Y124" s="68" t="str">
        <f>IF('Marks Entry'!Q124="","",'Marks Entry'!Q124)</f>
        <v/>
      </c>
      <c r="Z124" s="68" t="str">
        <f>IF('Marks Entry'!R124="","",'Marks Entry'!R124)</f>
        <v/>
      </c>
      <c r="AA124" s="68" t="str">
        <f>IF('Marks Entry'!S124="","",'Marks Entry'!S124)</f>
        <v/>
      </c>
      <c r="AB124" s="514" t="str">
        <f t="shared" si="174"/>
        <v/>
      </c>
      <c r="AC124" s="68" t="str">
        <f>IF('Marks Entry'!T124="","",'Marks Entry'!T124)</f>
        <v/>
      </c>
      <c r="AD124" s="515" t="str">
        <f t="shared" si="175"/>
        <v/>
      </c>
      <c r="AE124" s="68" t="str">
        <f>IF('Marks Entry'!U124="","",'Marks Entry'!U124)</f>
        <v/>
      </c>
      <c r="AF124" s="96" t="str">
        <f t="shared" si="176"/>
        <v/>
      </c>
      <c r="AG124" s="65">
        <f t="shared" si="177"/>
        <v>0</v>
      </c>
      <c r="AH124" s="65">
        <f t="shared" si="178"/>
        <v>0</v>
      </c>
      <c r="AI124" s="66" t="str">
        <f t="shared" si="179"/>
        <v/>
      </c>
      <c r="AJ124" s="65" t="str">
        <f t="shared" si="180"/>
        <v/>
      </c>
      <c r="AK124" s="65" t="str">
        <f t="shared" si="181"/>
        <v/>
      </c>
      <c r="AL124" s="65" t="str">
        <f t="shared" si="182"/>
        <v/>
      </c>
      <c r="AM124" s="524" t="str">
        <f>IF('Marks Entry'!V124="","",IF('Marks Entry'!V124=1,'School Profile'!$I$9,IF('Marks Entry'!V124=2,'School Profile'!$I$10,IF('Marks Entry'!V124=3,'School Profile'!$I$11,IF('Marks Entry'!V124=4,'School Profile'!$I$12,IF('Marks Entry'!V124=5,'School Profile'!$I$13,IF('Marks Entry'!V124=6,'School Profile'!$I$14,"")))))))</f>
        <v/>
      </c>
      <c r="AN124" s="68" t="str">
        <f>IF('Marks Entry'!W124="","",'Marks Entry'!W124)</f>
        <v/>
      </c>
      <c r="AO124" s="68" t="str">
        <f>IF('Marks Entry'!X124="","",'Marks Entry'!X124)</f>
        <v/>
      </c>
      <c r="AP124" s="68" t="str">
        <f>IF('Marks Entry'!Y124="","",'Marks Entry'!Y124)</f>
        <v/>
      </c>
      <c r="AQ124" s="514" t="str">
        <f t="shared" si="183"/>
        <v/>
      </c>
      <c r="AR124" s="68" t="str">
        <f>IF('Marks Entry'!Z124="","",'Marks Entry'!Z124)</f>
        <v/>
      </c>
      <c r="AS124" s="515" t="str">
        <f t="shared" si="184"/>
        <v/>
      </c>
      <c r="AT124" s="68" t="str">
        <f>IF('Marks Entry'!AA124="","",'Marks Entry'!AA124)</f>
        <v/>
      </c>
      <c r="AU124" s="96" t="str">
        <f t="shared" si="185"/>
        <v/>
      </c>
      <c r="AV124" s="65">
        <f t="shared" si="186"/>
        <v>0</v>
      </c>
      <c r="AW124" s="65">
        <f t="shared" si="187"/>
        <v>0</v>
      </c>
      <c r="AX124" s="66" t="str">
        <f t="shared" si="188"/>
        <v/>
      </c>
      <c r="AY124" s="65" t="str">
        <f t="shared" si="189"/>
        <v/>
      </c>
      <c r="AZ124" s="65" t="str">
        <f t="shared" si="190"/>
        <v/>
      </c>
      <c r="BA124" s="65" t="str">
        <f t="shared" si="191"/>
        <v/>
      </c>
      <c r="BB124" s="68" t="str">
        <f>IF('Marks Entry'!AB124="","",'Marks Entry'!AB124)</f>
        <v/>
      </c>
      <c r="BC124" s="68" t="str">
        <f>IF('Marks Entry'!AC124="","",'Marks Entry'!AC124)</f>
        <v/>
      </c>
      <c r="BD124" s="68" t="str">
        <f>IF('Marks Entry'!AD124="","",'Marks Entry'!AD124)</f>
        <v/>
      </c>
      <c r="BE124" s="514" t="str">
        <f t="shared" si="192"/>
        <v/>
      </c>
      <c r="BF124" s="68" t="str">
        <f>IF('Marks Entry'!AE124="","",'Marks Entry'!AE124)</f>
        <v/>
      </c>
      <c r="BG124" s="515" t="str">
        <f t="shared" si="193"/>
        <v/>
      </c>
      <c r="BH124" s="68" t="str">
        <f>IF('Marks Entry'!AF124="","",'Marks Entry'!AF124)</f>
        <v/>
      </c>
      <c r="BI124" s="96" t="str">
        <f t="shared" si="194"/>
        <v/>
      </c>
      <c r="BJ124" s="65">
        <f t="shared" si="195"/>
        <v>0</v>
      </c>
      <c r="BK124" s="65">
        <f t="shared" si="263"/>
        <v>0</v>
      </c>
      <c r="BL124" s="66" t="str">
        <f t="shared" si="196"/>
        <v/>
      </c>
      <c r="BM124" s="65" t="str">
        <f t="shared" si="197"/>
        <v/>
      </c>
      <c r="BN124" s="65" t="str">
        <f t="shared" si="198"/>
        <v/>
      </c>
      <c r="BO124" s="65" t="str">
        <f t="shared" si="199"/>
        <v/>
      </c>
      <c r="BP124" s="68" t="str">
        <f>IF('Marks Entry'!AG124="","",'Marks Entry'!AG124)</f>
        <v/>
      </c>
      <c r="BQ124" s="68" t="str">
        <f>IF('Marks Entry'!AH124="","",'Marks Entry'!AH124)</f>
        <v/>
      </c>
      <c r="BR124" s="68" t="str">
        <f>IF('Marks Entry'!AI124="","",'Marks Entry'!AI124)</f>
        <v/>
      </c>
      <c r="BS124" s="514" t="str">
        <f t="shared" si="200"/>
        <v/>
      </c>
      <c r="BT124" s="68" t="str">
        <f>IF('Marks Entry'!AJ124="","",'Marks Entry'!AJ124)</f>
        <v/>
      </c>
      <c r="BU124" s="515" t="str">
        <f t="shared" si="201"/>
        <v/>
      </c>
      <c r="BV124" s="68" t="str">
        <f>IF('Marks Entry'!AK124="","",'Marks Entry'!AK124)</f>
        <v/>
      </c>
      <c r="BW124" s="96" t="str">
        <f t="shared" si="202"/>
        <v/>
      </c>
      <c r="BX124" s="65">
        <f t="shared" si="203"/>
        <v>0</v>
      </c>
      <c r="BY124" s="65">
        <f t="shared" si="204"/>
        <v>0</v>
      </c>
      <c r="BZ124" s="66" t="str">
        <f t="shared" si="205"/>
        <v/>
      </c>
      <c r="CA124" s="65" t="str">
        <f t="shared" si="206"/>
        <v/>
      </c>
      <c r="CB124" s="65" t="str">
        <f t="shared" si="207"/>
        <v/>
      </c>
      <c r="CC124" s="65" t="str">
        <f t="shared" si="208"/>
        <v/>
      </c>
      <c r="CD124" s="66">
        <f t="shared" si="329"/>
        <v>0</v>
      </c>
      <c r="CE124" s="68" t="str">
        <f>IF('Marks Entry'!AL124="","",'Marks Entry'!AL124)</f>
        <v/>
      </c>
      <c r="CF124" s="68" t="str">
        <f>IF('Marks Entry'!AM124="","",'Marks Entry'!AM124)</f>
        <v/>
      </c>
      <c r="CG124" s="68" t="str">
        <f>IF('Marks Entry'!AN124="","",'Marks Entry'!AN124)</f>
        <v/>
      </c>
      <c r="CH124" s="514" t="str">
        <f t="shared" si="210"/>
        <v/>
      </c>
      <c r="CI124" s="68" t="str">
        <f>IF('Marks Entry'!AO124="","",'Marks Entry'!AO124)</f>
        <v/>
      </c>
      <c r="CJ124" s="515" t="str">
        <f t="shared" si="211"/>
        <v/>
      </c>
      <c r="CK124" s="68" t="str">
        <f>IF('Marks Entry'!AP124="","",'Marks Entry'!AP124)</f>
        <v/>
      </c>
      <c r="CL124" s="96" t="str">
        <f t="shared" si="212"/>
        <v/>
      </c>
      <c r="CM124" s="65">
        <f t="shared" si="213"/>
        <v>0</v>
      </c>
      <c r="CN124" s="65">
        <f t="shared" si="214"/>
        <v>0</v>
      </c>
      <c r="CO124" s="66" t="str">
        <f t="shared" si="215"/>
        <v/>
      </c>
      <c r="CP124" s="65" t="str">
        <f t="shared" si="216"/>
        <v/>
      </c>
      <c r="CQ124" s="65" t="str">
        <f t="shared" si="217"/>
        <v/>
      </c>
      <c r="CR124" s="65" t="str">
        <f t="shared" si="218"/>
        <v/>
      </c>
      <c r="CS124" s="616" t="str">
        <f>IF('School Profile'!$D$20="NO","",IF('Marks Entry'!AQ124="","",IF('Marks Entry'!AQ124=1,'School Profile'!$I$29,IF('Marks Entry'!AQ124=2,'School Profile'!$I$30,IF('Marks Entry'!AQ124=3,'School Profile'!$I$31,IF('Marks Entry'!AQ124=4,'School Profile'!$I$32,IF('Marks Entry'!AQ124=5,'School Profile'!$I$33,IF('Marks Entry'!AQ124=6,'School Profile'!$I$34,IF('Marks Entry'!AQ124=7,'School Profile'!$I$35,IF('Marks Entry'!AQ124=8,'School Profile'!$I$36,IF('Marks Entry'!AQ124=9,'School Profile'!$I$37,IF('Marks Entry'!AQ124=10,'School Profile'!$I$38,IF('Marks Entry'!AQ124=11,'School Profile'!$I$39,"")))))))))))))</f>
        <v/>
      </c>
      <c r="CT124" s="68" t="str">
        <f>IF('School Profile'!$D$20="NO","",IF('Marks Entry'!AR124="","",'Marks Entry'!AR124))</f>
        <v/>
      </c>
      <c r="CU124" s="68" t="str">
        <f>IF('School Profile'!$D$20="NO","",IF('Marks Entry'!AS124="","",'Marks Entry'!AS124))</f>
        <v/>
      </c>
      <c r="CV124" s="68" t="str">
        <f>IF('School Profile'!$D$20="NO","",IF('Marks Entry'!AT124="","",'Marks Entry'!AT124))</f>
        <v/>
      </c>
      <c r="CW124" s="514" t="str">
        <f>IF('School Profile'!$D$20="NO","",IF(AND(CT124="",CU124="",CV124=""),"",SUM(CT124:CV124)))</f>
        <v/>
      </c>
      <c r="CX124" s="68" t="str">
        <f>IF('School Profile'!$D$20="NO","",IF('Marks Entry'!AU124="","",'Marks Entry'!AU124))</f>
        <v/>
      </c>
      <c r="CY124" s="68" t="str">
        <f>IF('School Profile'!$D$20="NO","",IF('Marks Entry'!AV124="","",'Marks Entry'!AV124))</f>
        <v/>
      </c>
      <c r="CZ124" s="515" t="str">
        <f>IF('School Profile'!$D$20="NO","",IF(AND(CX124="",CY124=""),"",SUM(CX124,CY124)))</f>
        <v/>
      </c>
      <c r="DA124" s="69" t="str">
        <f>IF('School Profile'!$D$20="NO","",IF(AND(CW124="",CZ124=""),"",SUM(CW124+CZ124)))</f>
        <v/>
      </c>
      <c r="DB124" s="68" t="str">
        <f>IF('School Profile'!$D$20="NO","",IF('Marks Entry'!AW124="","",'Marks Entry'!AW124))</f>
        <v/>
      </c>
      <c r="DC124" s="68" t="str">
        <f>IF('School Profile'!$D$20="NO","",IF('Marks Entry'!AX124="","",'Marks Entry'!AX124))</f>
        <v/>
      </c>
      <c r="DD124" s="515" t="str">
        <f>IF('School Profile'!$D$20="NO","",IF(AND(DB124="",DC124=""),"",SUM(DB124,DC124)))</f>
        <v/>
      </c>
      <c r="DE124" s="96" t="str">
        <f>IF('School Profile'!$D$20="NO","",IF(AND(DA124="",DD124=""),"",SUM(DA124,DD124)))</f>
        <v/>
      </c>
      <c r="DF124" s="532">
        <f t="shared" si="219"/>
        <v>0</v>
      </c>
      <c r="DG124" s="65">
        <f t="shared" si="220"/>
        <v>0</v>
      </c>
      <c r="DH124" s="66" t="str">
        <f t="shared" si="221"/>
        <v/>
      </c>
      <c r="DI124" s="65" t="str">
        <f t="shared" si="222"/>
        <v/>
      </c>
      <c r="DJ124" s="65" t="str">
        <f t="shared" si="223"/>
        <v/>
      </c>
      <c r="DK124" s="65" t="str">
        <f t="shared" si="224"/>
        <v/>
      </c>
      <c r="DL124" s="97" t="str">
        <f t="shared" si="264"/>
        <v/>
      </c>
      <c r="DM124" s="97" t="str">
        <f t="shared" si="265"/>
        <v/>
      </c>
      <c r="DN124" s="97" t="str">
        <f t="shared" si="266"/>
        <v/>
      </c>
      <c r="DO124" s="97" t="str">
        <f t="shared" si="267"/>
        <v/>
      </c>
      <c r="DP124" s="97" t="str">
        <f t="shared" si="268"/>
        <v/>
      </c>
      <c r="DQ124" s="97" t="str">
        <f t="shared" si="269"/>
        <v/>
      </c>
      <c r="DR124" s="97" t="str">
        <f t="shared" si="270"/>
        <v/>
      </c>
      <c r="DS124" s="98">
        <f t="shared" si="271"/>
        <v>0</v>
      </c>
      <c r="DT124" s="98">
        <f t="shared" si="272"/>
        <v>0</v>
      </c>
      <c r="DU124" s="98">
        <f t="shared" si="273"/>
        <v>0</v>
      </c>
      <c r="DV124" s="98">
        <f t="shared" si="274"/>
        <v>0</v>
      </c>
      <c r="DW124" s="98">
        <f t="shared" si="275"/>
        <v>0</v>
      </c>
      <c r="DX124" s="98" t="str">
        <f t="shared" si="276"/>
        <v/>
      </c>
      <c r="DY124" s="99" t="str">
        <f t="shared" si="277"/>
        <v/>
      </c>
      <c r="DZ124" s="74" t="str">
        <f>IF('Marks Entry'!AY124="","",'Marks Entry'!AY124)</f>
        <v/>
      </c>
      <c r="EA124" s="74" t="str">
        <f>IF('Marks Entry'!AZ124="","",'Marks Entry'!AZ124)</f>
        <v/>
      </c>
      <c r="EB124" s="74" t="str">
        <f>IF('Marks Entry'!BA124="","",'Marks Entry'!BA124)</f>
        <v/>
      </c>
      <c r="EC124" s="527" t="str">
        <f t="shared" si="225"/>
        <v/>
      </c>
      <c r="ED124" s="74" t="str">
        <f>IF('Marks Entry'!BB124="","",'Marks Entry'!BB124)</f>
        <v/>
      </c>
      <c r="EE124" s="528" t="str">
        <f t="shared" si="226"/>
        <v/>
      </c>
      <c r="EF124" s="74" t="str">
        <f>IF('Marks Entry'!BC124="","",'Marks Entry'!BC124)</f>
        <v/>
      </c>
      <c r="EG124" s="530" t="str">
        <f t="shared" si="227"/>
        <v/>
      </c>
      <c r="EH124" s="368" t="str">
        <f t="shared" si="278"/>
        <v/>
      </c>
      <c r="EI124" s="65">
        <f t="shared" si="279"/>
        <v>0</v>
      </c>
      <c r="EJ124" s="65">
        <f t="shared" si="280"/>
        <v>0</v>
      </c>
      <c r="EK124" s="66" t="str">
        <f t="shared" si="281"/>
        <v/>
      </c>
      <c r="EL124" s="74" t="str">
        <f>IF('Marks Entry'!BD124="","",'Marks Entry'!BD124)</f>
        <v/>
      </c>
      <c r="EM124" s="74" t="str">
        <f>IF('Marks Entry'!BE124="","",'Marks Entry'!BE124)</f>
        <v/>
      </c>
      <c r="EN124" s="74" t="str">
        <f>IF('Marks Entry'!BF124="","",'Marks Entry'!BF124)</f>
        <v/>
      </c>
      <c r="EO124" s="527" t="str">
        <f t="shared" si="228"/>
        <v/>
      </c>
      <c r="EP124" s="74" t="str">
        <f>IF('Marks Entry'!BG124="","",'Marks Entry'!BG124)</f>
        <v/>
      </c>
      <c r="EQ124" s="74" t="str">
        <f>IF('Marks Entry'!BH124="","",'Marks Entry'!BH124)</f>
        <v/>
      </c>
      <c r="ER124" s="528" t="str">
        <f t="shared" si="229"/>
        <v/>
      </c>
      <c r="ES124" s="529" t="str">
        <f t="shared" si="230"/>
        <v/>
      </c>
      <c r="ET124" s="74" t="str">
        <f>IF('Marks Entry'!BI124="","",'Marks Entry'!BI124)</f>
        <v/>
      </c>
      <c r="EU124" s="74" t="str">
        <f>IF('Marks Entry'!BJ124="","",'Marks Entry'!BJ124)</f>
        <v/>
      </c>
      <c r="EV124" s="528" t="str">
        <f t="shared" si="231"/>
        <v/>
      </c>
      <c r="EW124" s="530" t="str">
        <f t="shared" si="232"/>
        <v/>
      </c>
      <c r="EX124" s="368" t="str">
        <f t="shared" si="282"/>
        <v/>
      </c>
      <c r="EY124" s="65">
        <f t="shared" si="283"/>
        <v>0</v>
      </c>
      <c r="EZ124" s="65">
        <f t="shared" si="284"/>
        <v>0</v>
      </c>
      <c r="FA124" s="66" t="str">
        <f t="shared" si="285"/>
        <v/>
      </c>
      <c r="FB124" s="74" t="str">
        <f>IF('Marks Entry'!BK124="","",'Marks Entry'!BK124)</f>
        <v/>
      </c>
      <c r="FC124" s="74" t="str">
        <f>IF('Marks Entry'!BL124="","",'Marks Entry'!BL124)</f>
        <v/>
      </c>
      <c r="FD124" s="74" t="str">
        <f>IF('Marks Entry'!BM124="","",'Marks Entry'!BM124)</f>
        <v/>
      </c>
      <c r="FE124" s="74" t="str">
        <f>IF('Marks Entry'!BN124="","",'Marks Entry'!BN124)</f>
        <v/>
      </c>
      <c r="FF124" s="74" t="str">
        <f>IF('Marks Entry'!BO124="","",'Marks Entry'!BO124)</f>
        <v/>
      </c>
      <c r="FG124" s="74" t="str">
        <f>IF('Marks Entry'!BP124="","",'Marks Entry'!BP124)</f>
        <v/>
      </c>
      <c r="FH124" s="527" t="str">
        <f t="shared" si="233"/>
        <v/>
      </c>
      <c r="FI124" s="74" t="str">
        <f>IF('Marks Entry'!BQ124="","",'Marks Entry'!BQ124)</f>
        <v/>
      </c>
      <c r="FJ124" s="74" t="str">
        <f>IF('Marks Entry'!BR124="","",'Marks Entry'!BR124)</f>
        <v/>
      </c>
      <c r="FK124" s="528" t="str">
        <f t="shared" si="234"/>
        <v/>
      </c>
      <c r="FL124" s="529" t="str">
        <f t="shared" si="235"/>
        <v/>
      </c>
      <c r="FM124" s="74" t="str">
        <f>IF('Marks Entry'!BS124="","",'Marks Entry'!BS124)</f>
        <v/>
      </c>
      <c r="FN124" s="74" t="str">
        <f>IF('Marks Entry'!BT124="","",'Marks Entry'!BT124)</f>
        <v/>
      </c>
      <c r="FO124" s="528" t="str">
        <f t="shared" si="236"/>
        <v/>
      </c>
      <c r="FP124" s="530" t="str">
        <f t="shared" si="237"/>
        <v/>
      </c>
      <c r="FQ124" s="368" t="str">
        <f t="shared" si="286"/>
        <v/>
      </c>
      <c r="FR124" s="65">
        <f t="shared" si="287"/>
        <v>0</v>
      </c>
      <c r="FS124" s="65">
        <f t="shared" si="288"/>
        <v>0</v>
      </c>
      <c r="FT124" s="66" t="str">
        <f t="shared" si="289"/>
        <v/>
      </c>
      <c r="FU124" s="74" t="str">
        <f>IF('Marks Entry'!BU124="","",'Marks Entry'!BU124)</f>
        <v/>
      </c>
      <c r="FV124" s="74" t="str">
        <f>IF('Marks Entry'!BV124="","",'Marks Entry'!BV124)</f>
        <v/>
      </c>
      <c r="FW124" s="74" t="str">
        <f>IF('Marks Entry'!BW124="","",'Marks Entry'!BW124)</f>
        <v/>
      </c>
      <c r="FX124" s="75" t="str">
        <f t="shared" si="238"/>
        <v/>
      </c>
      <c r="FY124" s="368" t="str">
        <f t="shared" si="290"/>
        <v/>
      </c>
      <c r="FZ124" s="65">
        <f t="shared" si="291"/>
        <v>0</v>
      </c>
      <c r="GA124" s="66">
        <f t="shared" si="292"/>
        <v>0</v>
      </c>
      <c r="GB124" s="66" t="str">
        <f t="shared" si="293"/>
        <v/>
      </c>
      <c r="GC124" s="74" t="str">
        <f>IF('Marks Entry'!BX124="","",'Marks Entry'!BX124)</f>
        <v/>
      </c>
      <c r="GD124" s="74" t="str">
        <f>IF('Marks Entry'!BY124="","",'Marks Entry'!BY124)</f>
        <v/>
      </c>
      <c r="GE124" s="74" t="str">
        <f>IF('Marks Entry'!BZ124="","",'Marks Entry'!BZ124)</f>
        <v/>
      </c>
      <c r="GF124" s="75" t="str">
        <f t="shared" si="294"/>
        <v/>
      </c>
      <c r="GG124" s="368" t="str">
        <f t="shared" si="295"/>
        <v/>
      </c>
      <c r="GH124" s="65">
        <f t="shared" si="296"/>
        <v>0</v>
      </c>
      <c r="GI124" s="66">
        <f t="shared" si="297"/>
        <v>0</v>
      </c>
      <c r="GJ124" s="66" t="str">
        <f t="shared" si="298"/>
        <v/>
      </c>
      <c r="GK124" s="100" t="str">
        <f>IF(AND(F124="",B124=""),"",IF('Student DATA Entry'!M121="","",'Student DATA Entry'!M121))</f>
        <v/>
      </c>
      <c r="GL124" s="101" t="str">
        <f>IF(AND(B124="",F124=""),"",IF('Student DATA Entry'!N121="","",'Student DATA Entry'!N121))</f>
        <v/>
      </c>
      <c r="GM124" s="581" t="str">
        <f t="shared" si="299"/>
        <v/>
      </c>
      <c r="GN124" s="94" t="str">
        <f t="shared" si="300"/>
        <v/>
      </c>
      <c r="GO124" s="94" t="str">
        <f t="shared" si="301"/>
        <v/>
      </c>
      <c r="GP124" s="102" t="str">
        <f t="shared" si="330"/>
        <v/>
      </c>
      <c r="GQ124" s="94" t="str">
        <f t="shared" si="302"/>
        <v/>
      </c>
      <c r="GR124" s="103" t="str">
        <f t="shared" si="303"/>
        <v/>
      </c>
      <c r="GS124" s="102" t="str">
        <f t="shared" si="331"/>
        <v/>
      </c>
      <c r="GT124" s="104" t="str">
        <f t="shared" si="304"/>
        <v/>
      </c>
      <c r="GU124" s="94" t="str">
        <f>IF('Marks Entry'!V124=1,GT124,"")</f>
        <v/>
      </c>
      <c r="GV124" s="94" t="str">
        <f>IF('Marks Entry'!V124=2,GT124,"")</f>
        <v/>
      </c>
      <c r="GW124" s="94" t="str">
        <f>IF('Marks Entry'!V124=3,GT124,"")</f>
        <v/>
      </c>
      <c r="GX124" s="94" t="str">
        <f>IF('Marks Entry'!V124=4,GT124,"")</f>
        <v/>
      </c>
      <c r="GY124" s="94" t="str">
        <f>IF('Marks Entry'!V124=5,GT124,"")</f>
        <v/>
      </c>
      <c r="GZ124" s="94" t="str">
        <f t="shared" si="305"/>
        <v/>
      </c>
      <c r="HA124" s="105" t="str">
        <f t="shared" si="332"/>
        <v/>
      </c>
      <c r="HB124" s="94" t="str">
        <f t="shared" si="306"/>
        <v/>
      </c>
      <c r="HC124" s="94" t="str">
        <f t="shared" si="307"/>
        <v/>
      </c>
      <c r="HD124" s="105" t="str">
        <f t="shared" si="333"/>
        <v/>
      </c>
      <c r="HE124" s="94" t="str">
        <f t="shared" si="308"/>
        <v/>
      </c>
      <c r="HF124" s="94" t="str">
        <f t="shared" si="309"/>
        <v/>
      </c>
      <c r="HG124" s="105" t="str">
        <f t="shared" si="334"/>
        <v/>
      </c>
      <c r="HH124" s="94" t="str">
        <f t="shared" si="310"/>
        <v/>
      </c>
      <c r="HI124" s="94" t="str">
        <f t="shared" si="311"/>
        <v/>
      </c>
      <c r="HJ124" s="105" t="str">
        <f t="shared" si="335"/>
        <v/>
      </c>
      <c r="HK124" s="94" t="str">
        <f t="shared" si="312"/>
        <v/>
      </c>
      <c r="HL124" s="94" t="str">
        <f t="shared" si="313"/>
        <v/>
      </c>
      <c r="HM124" s="105" t="str">
        <f t="shared" si="336"/>
        <v/>
      </c>
      <c r="HN124" s="367" t="str">
        <f t="shared" si="314"/>
        <v xml:space="preserve">      </v>
      </c>
      <c r="HO124" s="418" t="str">
        <f t="shared" si="337"/>
        <v xml:space="preserve">      </v>
      </c>
      <c r="HP124" s="367" t="str">
        <f t="shared" si="315"/>
        <v xml:space="preserve">      </v>
      </c>
      <c r="HQ124" s="107" t="str">
        <f t="shared" si="316"/>
        <v xml:space="preserve">      </v>
      </c>
      <c r="HR124" s="366" t="str">
        <f t="shared" si="317"/>
        <v xml:space="preserve">      </v>
      </c>
      <c r="HS124" s="544" t="str">
        <f t="shared" si="338"/>
        <v/>
      </c>
      <c r="HT124" s="542" t="str">
        <f t="shared" si="318"/>
        <v/>
      </c>
      <c r="HU124" s="541" t="str">
        <f t="shared" si="319"/>
        <v/>
      </c>
      <c r="HV124" s="540" t="str">
        <f t="shared" si="320"/>
        <v/>
      </c>
      <c r="HW124" s="537" t="str">
        <f t="shared" si="321"/>
        <v/>
      </c>
      <c r="HX124" s="539" t="str">
        <f t="shared" si="322"/>
        <v/>
      </c>
      <c r="HY124" s="553" t="str">
        <f>IFERROR(IF(OR(HS124="SUPPLEMENTARY",HS124="RE-EXAM"),'Supp. Result Entry'!AQ122,""),"")</f>
        <v/>
      </c>
      <c r="HZ124" s="538" t="str">
        <f t="shared" si="323"/>
        <v/>
      </c>
      <c r="IA124" s="415" t="str">
        <f t="shared" si="324"/>
        <v/>
      </c>
      <c r="IB124" s="415" t="str">
        <f>IF(AND(HZ124="",IA124=""),"",IF(OR(HS124="SUPPLEMENTARY",HS124="RE-EXAM"),'Supp. Result Entry'!AQ122,HS124))</f>
        <v/>
      </c>
      <c r="IC124" s="87"/>
      <c r="IS124" s="109" t="str">
        <f>IF('Supp. Result Entry'!T122="","",'Supp. Result Entry'!$T$4)</f>
        <v/>
      </c>
      <c r="IT124" s="110" t="str">
        <f>IF('Supp. Result Entry'!W122="","",'Supp. Result Entry'!$W$4)</f>
        <v/>
      </c>
      <c r="IU124" s="110" t="str">
        <f>IF('Supp. Result Entry'!Z122="","",'Supp. Result Entry'!$Z$4)</f>
        <v/>
      </c>
      <c r="IV124" s="110" t="str">
        <f>IF('Supp. Result Entry'!AC122="","",'Supp. Result Entry'!$AC$4)</f>
        <v/>
      </c>
      <c r="IW124" s="110" t="str">
        <f>IF('Supp. Result Entry'!AF122="","",'Supp. Result Entry'!$AF$4)</f>
        <v/>
      </c>
      <c r="IX124" s="110" t="str">
        <f>IF('Supp. Result Entry'!AI122="","",'Supp. Result Entry'!$AI$4)</f>
        <v/>
      </c>
      <c r="IY124" s="110" t="str">
        <f>IF('Supp. Result Entry'!AI122="","",'Supp. Result Entry'!$AL$4)</f>
        <v/>
      </c>
      <c r="IZ124" s="110" t="str">
        <f>IF('Supp. Result Entry'!U122="","",'Supp. Result Entry'!U122)</f>
        <v/>
      </c>
      <c r="JA124" s="110" t="str">
        <f>IF('Supp. Result Entry'!X122="","",'Supp. Result Entry'!X122)</f>
        <v/>
      </c>
      <c r="JB124" s="110" t="str">
        <f>IF('Supp. Result Entry'!AA122="","",'Supp. Result Entry'!AA122)</f>
        <v/>
      </c>
      <c r="JC124" s="110" t="str">
        <f>IF('Supp. Result Entry'!AD122="","",'Supp. Result Entry'!AD122)</f>
        <v/>
      </c>
      <c r="JD124" s="110" t="str">
        <f>IF('Supp. Result Entry'!AG122="","",'Supp. Result Entry'!AG122)</f>
        <v/>
      </c>
      <c r="JE124" s="110" t="str">
        <f>IF('Supp. Result Entry'!AJ122="","",'Supp. Result Entry'!AJ122)</f>
        <v/>
      </c>
      <c r="JF124" s="110" t="str">
        <f>IF('Supp. Result Entry'!AM122="","",'Supp. Result Entry'!AM122)</f>
        <v/>
      </c>
      <c r="JG124" s="110" t="str">
        <f>IF('Supp. Result Entry'!V122="","",'Supp. Result Entry'!V122)</f>
        <v/>
      </c>
      <c r="JH124" s="110" t="str">
        <f>IF('Supp. Result Entry'!Y122="","",'Supp. Result Entry'!Y122)</f>
        <v/>
      </c>
      <c r="JI124" s="110" t="str">
        <f>IF('Supp. Result Entry'!AB122="","",'Supp. Result Entry'!AB122)</f>
        <v/>
      </c>
      <c r="JJ124" s="110" t="str">
        <f>IF('Supp. Result Entry'!AE122="","",'Supp. Result Entry'!AE122)</f>
        <v/>
      </c>
      <c r="JK124" s="110" t="str">
        <f>IF('Supp. Result Entry'!AH122="","",'Supp. Result Entry'!AH122)</f>
        <v/>
      </c>
      <c r="JL124" s="110" t="str">
        <f>IF('Supp. Result Entry'!AK122="","",'Supp. Result Entry'!AK122)</f>
        <v/>
      </c>
      <c r="JM124" s="110" t="str">
        <f>IF('Supp. Result Entry'!AN122="","",'Supp. Result Entry'!AN122)</f>
        <v/>
      </c>
      <c r="JN124" s="110">
        <f>COUNTIF('Supp. Result Entry'!K122:Q122,"S")</f>
        <v>0</v>
      </c>
      <c r="JO124" s="110">
        <f t="shared" si="248"/>
        <v>0</v>
      </c>
      <c r="JP124" s="110">
        <f t="shared" si="325"/>
        <v>0</v>
      </c>
      <c r="JQ124" s="110" t="str">
        <f t="shared" si="249"/>
        <v/>
      </c>
      <c r="JR124" s="110" t="str">
        <f t="shared" si="250"/>
        <v/>
      </c>
      <c r="JS124" s="110" t="str">
        <f t="shared" si="251"/>
        <v/>
      </c>
      <c r="JT124" s="110" t="str">
        <f t="shared" si="252"/>
        <v/>
      </c>
      <c r="JU124" s="110" t="str">
        <f t="shared" si="253"/>
        <v/>
      </c>
      <c r="JV124" s="110" t="str">
        <f t="shared" si="254"/>
        <v/>
      </c>
      <c r="JW124" s="110" t="str">
        <f t="shared" si="255"/>
        <v/>
      </c>
      <c r="JX124" s="110" t="str">
        <f t="shared" si="326"/>
        <v/>
      </c>
      <c r="JY124" s="110" t="str">
        <f t="shared" si="327"/>
        <v/>
      </c>
      <c r="JZ124" s="110" t="str">
        <f t="shared" si="256"/>
        <v/>
      </c>
      <c r="KA124" s="108" t="str">
        <f t="shared" si="328"/>
        <v/>
      </c>
    </row>
    <row r="125" spans="1:287" s="108" customFormat="1" ht="21.95" customHeight="1">
      <c r="A125" s="89">
        <v>119</v>
      </c>
      <c r="B125" s="90" t="str">
        <f>IF('Marks Entry'!B125="","",'Marks Entry'!B125)</f>
        <v/>
      </c>
      <c r="C125" s="94" t="str">
        <f>IF('Marks Entry'!D125="","",'Marks Entry'!D125)</f>
        <v/>
      </c>
      <c r="D125" s="91" t="str">
        <f>IF('Marks Entry'!E125="","",'Marks Entry'!E125)</f>
        <v/>
      </c>
      <c r="E125" s="92" t="str">
        <f>IF('Marks Entry'!F125="","",'Marks Entry'!F125)</f>
        <v/>
      </c>
      <c r="F125" s="93" t="str">
        <f>IF('Marks Entry'!G125="","",'Marks Entry'!G125)</f>
        <v/>
      </c>
      <c r="G125" s="93" t="str">
        <f>IF('Marks Entry'!H125="","",'Marks Entry'!H125)</f>
        <v/>
      </c>
      <c r="H125" s="93" t="str">
        <f>IF('Marks Entry'!I125="","",'Marks Entry'!I125)</f>
        <v/>
      </c>
      <c r="I125" s="94" t="str">
        <f>IF('Marks Entry'!J125="","",'Marks Entry'!J125)</f>
        <v/>
      </c>
      <c r="J125" s="95" t="str">
        <f>IF('Marks Entry'!K125="","",'Marks Entry'!K125)</f>
        <v/>
      </c>
      <c r="K125" s="68" t="str">
        <f>IF('Marks Entry'!L125="","",'Marks Entry'!L125)</f>
        <v/>
      </c>
      <c r="L125" s="68" t="str">
        <f>IF('Marks Entry'!M125="","",'Marks Entry'!M125)</f>
        <v/>
      </c>
      <c r="M125" s="68" t="str">
        <f>IF('Marks Entry'!N125="","",'Marks Entry'!N125)</f>
        <v/>
      </c>
      <c r="N125" s="514" t="str">
        <f t="shared" si="257"/>
        <v/>
      </c>
      <c r="O125" s="68" t="str">
        <f>IF('Marks Entry'!O125="","",'Marks Entry'!O125)</f>
        <v/>
      </c>
      <c r="P125" s="515" t="str">
        <f t="shared" si="258"/>
        <v/>
      </c>
      <c r="Q125" s="68" t="str">
        <f>IF('Marks Entry'!P125="","",'Marks Entry'!P125)</f>
        <v/>
      </c>
      <c r="R125" s="96" t="str">
        <f t="shared" si="259"/>
        <v/>
      </c>
      <c r="S125" s="65">
        <f t="shared" si="260"/>
        <v>0</v>
      </c>
      <c r="T125" s="65">
        <f t="shared" si="261"/>
        <v>0</v>
      </c>
      <c r="U125" s="66" t="str">
        <f t="shared" si="171"/>
        <v/>
      </c>
      <c r="V125" s="65" t="str">
        <f t="shared" si="172"/>
        <v/>
      </c>
      <c r="W125" s="65" t="str">
        <f t="shared" si="262"/>
        <v/>
      </c>
      <c r="X125" s="65" t="str">
        <f t="shared" si="173"/>
        <v/>
      </c>
      <c r="Y125" s="68" t="str">
        <f>IF('Marks Entry'!Q125="","",'Marks Entry'!Q125)</f>
        <v/>
      </c>
      <c r="Z125" s="68" t="str">
        <f>IF('Marks Entry'!R125="","",'Marks Entry'!R125)</f>
        <v/>
      </c>
      <c r="AA125" s="68" t="str">
        <f>IF('Marks Entry'!S125="","",'Marks Entry'!S125)</f>
        <v/>
      </c>
      <c r="AB125" s="514" t="str">
        <f t="shared" si="174"/>
        <v/>
      </c>
      <c r="AC125" s="68" t="str">
        <f>IF('Marks Entry'!T125="","",'Marks Entry'!T125)</f>
        <v/>
      </c>
      <c r="AD125" s="515" t="str">
        <f t="shared" si="175"/>
        <v/>
      </c>
      <c r="AE125" s="68" t="str">
        <f>IF('Marks Entry'!U125="","",'Marks Entry'!U125)</f>
        <v/>
      </c>
      <c r="AF125" s="96" t="str">
        <f t="shared" si="176"/>
        <v/>
      </c>
      <c r="AG125" s="65">
        <f t="shared" si="177"/>
        <v>0</v>
      </c>
      <c r="AH125" s="65">
        <f t="shared" si="178"/>
        <v>0</v>
      </c>
      <c r="AI125" s="66" t="str">
        <f t="shared" si="179"/>
        <v/>
      </c>
      <c r="AJ125" s="65" t="str">
        <f t="shared" si="180"/>
        <v/>
      </c>
      <c r="AK125" s="65" t="str">
        <f t="shared" si="181"/>
        <v/>
      </c>
      <c r="AL125" s="65" t="str">
        <f t="shared" si="182"/>
        <v/>
      </c>
      <c r="AM125" s="524" t="str">
        <f>IF('Marks Entry'!V125="","",IF('Marks Entry'!V125=1,'School Profile'!$I$9,IF('Marks Entry'!V125=2,'School Profile'!$I$10,IF('Marks Entry'!V125=3,'School Profile'!$I$11,IF('Marks Entry'!V125=4,'School Profile'!$I$12,IF('Marks Entry'!V125=5,'School Profile'!$I$13,IF('Marks Entry'!V125=6,'School Profile'!$I$14,"")))))))</f>
        <v/>
      </c>
      <c r="AN125" s="68" t="str">
        <f>IF('Marks Entry'!W125="","",'Marks Entry'!W125)</f>
        <v/>
      </c>
      <c r="AO125" s="68" t="str">
        <f>IF('Marks Entry'!X125="","",'Marks Entry'!X125)</f>
        <v/>
      </c>
      <c r="AP125" s="68" t="str">
        <f>IF('Marks Entry'!Y125="","",'Marks Entry'!Y125)</f>
        <v/>
      </c>
      <c r="AQ125" s="514" t="str">
        <f t="shared" si="183"/>
        <v/>
      </c>
      <c r="AR125" s="68" t="str">
        <f>IF('Marks Entry'!Z125="","",'Marks Entry'!Z125)</f>
        <v/>
      </c>
      <c r="AS125" s="515" t="str">
        <f t="shared" si="184"/>
        <v/>
      </c>
      <c r="AT125" s="68" t="str">
        <f>IF('Marks Entry'!AA125="","",'Marks Entry'!AA125)</f>
        <v/>
      </c>
      <c r="AU125" s="96" t="str">
        <f t="shared" si="185"/>
        <v/>
      </c>
      <c r="AV125" s="65">
        <f t="shared" si="186"/>
        <v>0</v>
      </c>
      <c r="AW125" s="65">
        <f t="shared" si="187"/>
        <v>0</v>
      </c>
      <c r="AX125" s="66" t="str">
        <f t="shared" si="188"/>
        <v/>
      </c>
      <c r="AY125" s="65" t="str">
        <f t="shared" si="189"/>
        <v/>
      </c>
      <c r="AZ125" s="65" t="str">
        <f t="shared" si="190"/>
        <v/>
      </c>
      <c r="BA125" s="65" t="str">
        <f t="shared" si="191"/>
        <v/>
      </c>
      <c r="BB125" s="68" t="str">
        <f>IF('Marks Entry'!AB125="","",'Marks Entry'!AB125)</f>
        <v/>
      </c>
      <c r="BC125" s="68" t="str">
        <f>IF('Marks Entry'!AC125="","",'Marks Entry'!AC125)</f>
        <v/>
      </c>
      <c r="BD125" s="68" t="str">
        <f>IF('Marks Entry'!AD125="","",'Marks Entry'!AD125)</f>
        <v/>
      </c>
      <c r="BE125" s="514" t="str">
        <f t="shared" si="192"/>
        <v/>
      </c>
      <c r="BF125" s="68" t="str">
        <f>IF('Marks Entry'!AE125="","",'Marks Entry'!AE125)</f>
        <v/>
      </c>
      <c r="BG125" s="515" t="str">
        <f t="shared" si="193"/>
        <v/>
      </c>
      <c r="BH125" s="68" t="str">
        <f>IF('Marks Entry'!AF125="","",'Marks Entry'!AF125)</f>
        <v/>
      </c>
      <c r="BI125" s="96" t="str">
        <f t="shared" si="194"/>
        <v/>
      </c>
      <c r="BJ125" s="65">
        <f t="shared" si="195"/>
        <v>0</v>
      </c>
      <c r="BK125" s="65">
        <f t="shared" si="263"/>
        <v>0</v>
      </c>
      <c r="BL125" s="66" t="str">
        <f t="shared" si="196"/>
        <v/>
      </c>
      <c r="BM125" s="65" t="str">
        <f t="shared" si="197"/>
        <v/>
      </c>
      <c r="BN125" s="65" t="str">
        <f t="shared" si="198"/>
        <v/>
      </c>
      <c r="BO125" s="65" t="str">
        <f t="shared" si="199"/>
        <v/>
      </c>
      <c r="BP125" s="68" t="str">
        <f>IF('Marks Entry'!AG125="","",'Marks Entry'!AG125)</f>
        <v/>
      </c>
      <c r="BQ125" s="68" t="str">
        <f>IF('Marks Entry'!AH125="","",'Marks Entry'!AH125)</f>
        <v/>
      </c>
      <c r="BR125" s="68" t="str">
        <f>IF('Marks Entry'!AI125="","",'Marks Entry'!AI125)</f>
        <v/>
      </c>
      <c r="BS125" s="514" t="str">
        <f t="shared" si="200"/>
        <v/>
      </c>
      <c r="BT125" s="68" t="str">
        <f>IF('Marks Entry'!AJ125="","",'Marks Entry'!AJ125)</f>
        <v/>
      </c>
      <c r="BU125" s="515" t="str">
        <f t="shared" si="201"/>
        <v/>
      </c>
      <c r="BV125" s="68" t="str">
        <f>IF('Marks Entry'!AK125="","",'Marks Entry'!AK125)</f>
        <v/>
      </c>
      <c r="BW125" s="96" t="str">
        <f t="shared" si="202"/>
        <v/>
      </c>
      <c r="BX125" s="65">
        <f t="shared" si="203"/>
        <v>0</v>
      </c>
      <c r="BY125" s="65">
        <f t="shared" si="204"/>
        <v>0</v>
      </c>
      <c r="BZ125" s="66" t="str">
        <f t="shared" si="205"/>
        <v/>
      </c>
      <c r="CA125" s="65" t="str">
        <f t="shared" si="206"/>
        <v/>
      </c>
      <c r="CB125" s="65" t="str">
        <f t="shared" si="207"/>
        <v/>
      </c>
      <c r="CC125" s="65" t="str">
        <f t="shared" si="208"/>
        <v/>
      </c>
      <c r="CD125" s="66">
        <f t="shared" si="329"/>
        <v>0</v>
      </c>
      <c r="CE125" s="68" t="str">
        <f>IF('Marks Entry'!AL125="","",'Marks Entry'!AL125)</f>
        <v/>
      </c>
      <c r="CF125" s="68" t="str">
        <f>IF('Marks Entry'!AM125="","",'Marks Entry'!AM125)</f>
        <v/>
      </c>
      <c r="CG125" s="68" t="str">
        <f>IF('Marks Entry'!AN125="","",'Marks Entry'!AN125)</f>
        <v/>
      </c>
      <c r="CH125" s="514" t="str">
        <f t="shared" si="210"/>
        <v/>
      </c>
      <c r="CI125" s="68" t="str">
        <f>IF('Marks Entry'!AO125="","",'Marks Entry'!AO125)</f>
        <v/>
      </c>
      <c r="CJ125" s="515" t="str">
        <f t="shared" si="211"/>
        <v/>
      </c>
      <c r="CK125" s="68" t="str">
        <f>IF('Marks Entry'!AP125="","",'Marks Entry'!AP125)</f>
        <v/>
      </c>
      <c r="CL125" s="96" t="str">
        <f t="shared" si="212"/>
        <v/>
      </c>
      <c r="CM125" s="65">
        <f t="shared" si="213"/>
        <v>0</v>
      </c>
      <c r="CN125" s="65">
        <f t="shared" si="214"/>
        <v>0</v>
      </c>
      <c r="CO125" s="66" t="str">
        <f t="shared" si="215"/>
        <v/>
      </c>
      <c r="CP125" s="65" t="str">
        <f t="shared" si="216"/>
        <v/>
      </c>
      <c r="CQ125" s="65" t="str">
        <f t="shared" si="217"/>
        <v/>
      </c>
      <c r="CR125" s="65" t="str">
        <f t="shared" si="218"/>
        <v/>
      </c>
      <c r="CS125" s="616" t="str">
        <f>IF('School Profile'!$D$20="NO","",IF('Marks Entry'!AQ125="","",IF('Marks Entry'!AQ125=1,'School Profile'!$I$29,IF('Marks Entry'!AQ125=2,'School Profile'!$I$30,IF('Marks Entry'!AQ125=3,'School Profile'!$I$31,IF('Marks Entry'!AQ125=4,'School Profile'!$I$32,IF('Marks Entry'!AQ125=5,'School Profile'!$I$33,IF('Marks Entry'!AQ125=6,'School Profile'!$I$34,IF('Marks Entry'!AQ125=7,'School Profile'!$I$35,IF('Marks Entry'!AQ125=8,'School Profile'!$I$36,IF('Marks Entry'!AQ125=9,'School Profile'!$I$37,IF('Marks Entry'!AQ125=10,'School Profile'!$I$38,IF('Marks Entry'!AQ125=11,'School Profile'!$I$39,"")))))))))))))</f>
        <v/>
      </c>
      <c r="CT125" s="68" t="str">
        <f>IF('School Profile'!$D$20="NO","",IF('Marks Entry'!AR125="","",'Marks Entry'!AR125))</f>
        <v/>
      </c>
      <c r="CU125" s="68" t="str">
        <f>IF('School Profile'!$D$20="NO","",IF('Marks Entry'!AS125="","",'Marks Entry'!AS125))</f>
        <v/>
      </c>
      <c r="CV125" s="68" t="str">
        <f>IF('School Profile'!$D$20="NO","",IF('Marks Entry'!AT125="","",'Marks Entry'!AT125))</f>
        <v/>
      </c>
      <c r="CW125" s="514" t="str">
        <f>IF('School Profile'!$D$20="NO","",IF(AND(CT125="",CU125="",CV125=""),"",SUM(CT125:CV125)))</f>
        <v/>
      </c>
      <c r="CX125" s="68" t="str">
        <f>IF('School Profile'!$D$20="NO","",IF('Marks Entry'!AU125="","",'Marks Entry'!AU125))</f>
        <v/>
      </c>
      <c r="CY125" s="68" t="str">
        <f>IF('School Profile'!$D$20="NO","",IF('Marks Entry'!AV125="","",'Marks Entry'!AV125))</f>
        <v/>
      </c>
      <c r="CZ125" s="515" t="str">
        <f>IF('School Profile'!$D$20="NO","",IF(AND(CX125="",CY125=""),"",SUM(CX125,CY125)))</f>
        <v/>
      </c>
      <c r="DA125" s="69" t="str">
        <f>IF('School Profile'!$D$20="NO","",IF(AND(CW125="",CZ125=""),"",SUM(CW125+CZ125)))</f>
        <v/>
      </c>
      <c r="DB125" s="68" t="str">
        <f>IF('School Profile'!$D$20="NO","",IF('Marks Entry'!AW125="","",'Marks Entry'!AW125))</f>
        <v/>
      </c>
      <c r="DC125" s="68" t="str">
        <f>IF('School Profile'!$D$20="NO","",IF('Marks Entry'!AX125="","",'Marks Entry'!AX125))</f>
        <v/>
      </c>
      <c r="DD125" s="515" t="str">
        <f>IF('School Profile'!$D$20="NO","",IF(AND(DB125="",DC125=""),"",SUM(DB125,DC125)))</f>
        <v/>
      </c>
      <c r="DE125" s="96" t="str">
        <f>IF('School Profile'!$D$20="NO","",IF(AND(DA125="",DD125=""),"",SUM(DA125,DD125)))</f>
        <v/>
      </c>
      <c r="DF125" s="532">
        <f t="shared" si="219"/>
        <v>0</v>
      </c>
      <c r="DG125" s="65">
        <f t="shared" si="220"/>
        <v>0</v>
      </c>
      <c r="DH125" s="66" t="str">
        <f t="shared" si="221"/>
        <v/>
      </c>
      <c r="DI125" s="65" t="str">
        <f t="shared" si="222"/>
        <v/>
      </c>
      <c r="DJ125" s="65" t="str">
        <f t="shared" si="223"/>
        <v/>
      </c>
      <c r="DK125" s="65" t="str">
        <f t="shared" si="224"/>
        <v/>
      </c>
      <c r="DL125" s="97" t="str">
        <f t="shared" si="264"/>
        <v/>
      </c>
      <c r="DM125" s="97" t="str">
        <f t="shared" si="265"/>
        <v/>
      </c>
      <c r="DN125" s="97" t="str">
        <f t="shared" si="266"/>
        <v/>
      </c>
      <c r="DO125" s="97" t="str">
        <f t="shared" si="267"/>
        <v/>
      </c>
      <c r="DP125" s="97" t="str">
        <f t="shared" si="268"/>
        <v/>
      </c>
      <c r="DQ125" s="97" t="str">
        <f t="shared" si="269"/>
        <v/>
      </c>
      <c r="DR125" s="97" t="str">
        <f t="shared" si="270"/>
        <v/>
      </c>
      <c r="DS125" s="98">
        <f t="shared" si="271"/>
        <v>0</v>
      </c>
      <c r="DT125" s="98">
        <f t="shared" si="272"/>
        <v>0</v>
      </c>
      <c r="DU125" s="98">
        <f t="shared" si="273"/>
        <v>0</v>
      </c>
      <c r="DV125" s="98">
        <f t="shared" si="274"/>
        <v>0</v>
      </c>
      <c r="DW125" s="98">
        <f t="shared" si="275"/>
        <v>0</v>
      </c>
      <c r="DX125" s="98" t="str">
        <f t="shared" si="276"/>
        <v/>
      </c>
      <c r="DY125" s="99" t="str">
        <f t="shared" si="277"/>
        <v/>
      </c>
      <c r="DZ125" s="74" t="str">
        <f>IF('Marks Entry'!AY125="","",'Marks Entry'!AY125)</f>
        <v/>
      </c>
      <c r="EA125" s="74" t="str">
        <f>IF('Marks Entry'!AZ125="","",'Marks Entry'!AZ125)</f>
        <v/>
      </c>
      <c r="EB125" s="74" t="str">
        <f>IF('Marks Entry'!BA125="","",'Marks Entry'!BA125)</f>
        <v/>
      </c>
      <c r="EC125" s="527" t="str">
        <f t="shared" si="225"/>
        <v/>
      </c>
      <c r="ED125" s="74" t="str">
        <f>IF('Marks Entry'!BB125="","",'Marks Entry'!BB125)</f>
        <v/>
      </c>
      <c r="EE125" s="528" t="str">
        <f t="shared" si="226"/>
        <v/>
      </c>
      <c r="EF125" s="74" t="str">
        <f>IF('Marks Entry'!BC125="","",'Marks Entry'!BC125)</f>
        <v/>
      </c>
      <c r="EG125" s="530" t="str">
        <f t="shared" si="227"/>
        <v/>
      </c>
      <c r="EH125" s="368" t="str">
        <f t="shared" si="278"/>
        <v/>
      </c>
      <c r="EI125" s="65">
        <f t="shared" si="279"/>
        <v>0</v>
      </c>
      <c r="EJ125" s="65">
        <f t="shared" si="280"/>
        <v>0</v>
      </c>
      <c r="EK125" s="66" t="str">
        <f t="shared" si="281"/>
        <v/>
      </c>
      <c r="EL125" s="74" t="str">
        <f>IF('Marks Entry'!BD125="","",'Marks Entry'!BD125)</f>
        <v/>
      </c>
      <c r="EM125" s="74" t="str">
        <f>IF('Marks Entry'!BE125="","",'Marks Entry'!BE125)</f>
        <v/>
      </c>
      <c r="EN125" s="74" t="str">
        <f>IF('Marks Entry'!BF125="","",'Marks Entry'!BF125)</f>
        <v/>
      </c>
      <c r="EO125" s="527" t="str">
        <f t="shared" si="228"/>
        <v/>
      </c>
      <c r="EP125" s="74" t="str">
        <f>IF('Marks Entry'!BG125="","",'Marks Entry'!BG125)</f>
        <v/>
      </c>
      <c r="EQ125" s="74" t="str">
        <f>IF('Marks Entry'!BH125="","",'Marks Entry'!BH125)</f>
        <v/>
      </c>
      <c r="ER125" s="528" t="str">
        <f t="shared" si="229"/>
        <v/>
      </c>
      <c r="ES125" s="529" t="str">
        <f t="shared" si="230"/>
        <v/>
      </c>
      <c r="ET125" s="74" t="str">
        <f>IF('Marks Entry'!BI125="","",'Marks Entry'!BI125)</f>
        <v/>
      </c>
      <c r="EU125" s="74" t="str">
        <f>IF('Marks Entry'!BJ125="","",'Marks Entry'!BJ125)</f>
        <v/>
      </c>
      <c r="EV125" s="528" t="str">
        <f t="shared" si="231"/>
        <v/>
      </c>
      <c r="EW125" s="530" t="str">
        <f t="shared" si="232"/>
        <v/>
      </c>
      <c r="EX125" s="368" t="str">
        <f t="shared" si="282"/>
        <v/>
      </c>
      <c r="EY125" s="65">
        <f t="shared" si="283"/>
        <v>0</v>
      </c>
      <c r="EZ125" s="65">
        <f t="shared" si="284"/>
        <v>0</v>
      </c>
      <c r="FA125" s="66" t="str">
        <f t="shared" si="285"/>
        <v/>
      </c>
      <c r="FB125" s="74" t="str">
        <f>IF('Marks Entry'!BK125="","",'Marks Entry'!BK125)</f>
        <v/>
      </c>
      <c r="FC125" s="74" t="str">
        <f>IF('Marks Entry'!BL125="","",'Marks Entry'!BL125)</f>
        <v/>
      </c>
      <c r="FD125" s="74" t="str">
        <f>IF('Marks Entry'!BM125="","",'Marks Entry'!BM125)</f>
        <v/>
      </c>
      <c r="FE125" s="74" t="str">
        <f>IF('Marks Entry'!BN125="","",'Marks Entry'!BN125)</f>
        <v/>
      </c>
      <c r="FF125" s="74" t="str">
        <f>IF('Marks Entry'!BO125="","",'Marks Entry'!BO125)</f>
        <v/>
      </c>
      <c r="FG125" s="74" t="str">
        <f>IF('Marks Entry'!BP125="","",'Marks Entry'!BP125)</f>
        <v/>
      </c>
      <c r="FH125" s="527" t="str">
        <f t="shared" si="233"/>
        <v/>
      </c>
      <c r="FI125" s="74" t="str">
        <f>IF('Marks Entry'!BQ125="","",'Marks Entry'!BQ125)</f>
        <v/>
      </c>
      <c r="FJ125" s="74" t="str">
        <f>IF('Marks Entry'!BR125="","",'Marks Entry'!BR125)</f>
        <v/>
      </c>
      <c r="FK125" s="528" t="str">
        <f t="shared" si="234"/>
        <v/>
      </c>
      <c r="FL125" s="529" t="str">
        <f t="shared" si="235"/>
        <v/>
      </c>
      <c r="FM125" s="74" t="str">
        <f>IF('Marks Entry'!BS125="","",'Marks Entry'!BS125)</f>
        <v/>
      </c>
      <c r="FN125" s="74" t="str">
        <f>IF('Marks Entry'!BT125="","",'Marks Entry'!BT125)</f>
        <v/>
      </c>
      <c r="FO125" s="528" t="str">
        <f t="shared" si="236"/>
        <v/>
      </c>
      <c r="FP125" s="530" t="str">
        <f t="shared" si="237"/>
        <v/>
      </c>
      <c r="FQ125" s="368" t="str">
        <f t="shared" si="286"/>
        <v/>
      </c>
      <c r="FR125" s="65">
        <f t="shared" si="287"/>
        <v>0</v>
      </c>
      <c r="FS125" s="65">
        <f t="shared" si="288"/>
        <v>0</v>
      </c>
      <c r="FT125" s="66" t="str">
        <f t="shared" si="289"/>
        <v/>
      </c>
      <c r="FU125" s="74" t="str">
        <f>IF('Marks Entry'!BU125="","",'Marks Entry'!BU125)</f>
        <v/>
      </c>
      <c r="FV125" s="74" t="str">
        <f>IF('Marks Entry'!BV125="","",'Marks Entry'!BV125)</f>
        <v/>
      </c>
      <c r="FW125" s="74" t="str">
        <f>IF('Marks Entry'!BW125="","",'Marks Entry'!BW125)</f>
        <v/>
      </c>
      <c r="FX125" s="75" t="str">
        <f t="shared" si="238"/>
        <v/>
      </c>
      <c r="FY125" s="368" t="str">
        <f t="shared" si="290"/>
        <v/>
      </c>
      <c r="FZ125" s="65">
        <f t="shared" si="291"/>
        <v>0</v>
      </c>
      <c r="GA125" s="66">
        <f t="shared" si="292"/>
        <v>0</v>
      </c>
      <c r="GB125" s="66" t="str">
        <f t="shared" si="293"/>
        <v/>
      </c>
      <c r="GC125" s="74" t="str">
        <f>IF('Marks Entry'!BX125="","",'Marks Entry'!BX125)</f>
        <v/>
      </c>
      <c r="GD125" s="74" t="str">
        <f>IF('Marks Entry'!BY125="","",'Marks Entry'!BY125)</f>
        <v/>
      </c>
      <c r="GE125" s="74" t="str">
        <f>IF('Marks Entry'!BZ125="","",'Marks Entry'!BZ125)</f>
        <v/>
      </c>
      <c r="GF125" s="75" t="str">
        <f t="shared" si="294"/>
        <v/>
      </c>
      <c r="GG125" s="368" t="str">
        <f t="shared" si="295"/>
        <v/>
      </c>
      <c r="GH125" s="65">
        <f t="shared" si="296"/>
        <v>0</v>
      </c>
      <c r="GI125" s="66">
        <f t="shared" si="297"/>
        <v>0</v>
      </c>
      <c r="GJ125" s="66" t="str">
        <f t="shared" si="298"/>
        <v/>
      </c>
      <c r="GK125" s="100" t="str">
        <f>IF(AND(F125="",B125=""),"",IF('Student DATA Entry'!M122="","",'Student DATA Entry'!M122))</f>
        <v/>
      </c>
      <c r="GL125" s="101" t="str">
        <f>IF(AND(B125="",F125=""),"",IF('Student DATA Entry'!N122="","",'Student DATA Entry'!N122))</f>
        <v/>
      </c>
      <c r="GM125" s="581" t="str">
        <f t="shared" si="299"/>
        <v/>
      </c>
      <c r="GN125" s="94" t="str">
        <f t="shared" si="300"/>
        <v/>
      </c>
      <c r="GO125" s="94" t="str">
        <f t="shared" si="301"/>
        <v/>
      </c>
      <c r="GP125" s="102" t="str">
        <f t="shared" si="330"/>
        <v/>
      </c>
      <c r="GQ125" s="94" t="str">
        <f t="shared" si="302"/>
        <v/>
      </c>
      <c r="GR125" s="103" t="str">
        <f t="shared" si="303"/>
        <v/>
      </c>
      <c r="GS125" s="102" t="str">
        <f t="shared" si="331"/>
        <v/>
      </c>
      <c r="GT125" s="104" t="str">
        <f t="shared" si="304"/>
        <v/>
      </c>
      <c r="GU125" s="94" t="str">
        <f>IF('Marks Entry'!V125=1,GT125,"")</f>
        <v/>
      </c>
      <c r="GV125" s="94" t="str">
        <f>IF('Marks Entry'!V125=2,GT125,"")</f>
        <v/>
      </c>
      <c r="GW125" s="94" t="str">
        <f>IF('Marks Entry'!V125=3,GT125,"")</f>
        <v/>
      </c>
      <c r="GX125" s="94" t="str">
        <f>IF('Marks Entry'!V125=4,GT125,"")</f>
        <v/>
      </c>
      <c r="GY125" s="94" t="str">
        <f>IF('Marks Entry'!V125=5,GT125,"")</f>
        <v/>
      </c>
      <c r="GZ125" s="94" t="str">
        <f t="shared" si="305"/>
        <v/>
      </c>
      <c r="HA125" s="105" t="str">
        <f t="shared" si="332"/>
        <v/>
      </c>
      <c r="HB125" s="94" t="str">
        <f t="shared" si="306"/>
        <v/>
      </c>
      <c r="HC125" s="94" t="str">
        <f t="shared" si="307"/>
        <v/>
      </c>
      <c r="HD125" s="105" t="str">
        <f t="shared" si="333"/>
        <v/>
      </c>
      <c r="HE125" s="94" t="str">
        <f t="shared" si="308"/>
        <v/>
      </c>
      <c r="HF125" s="94" t="str">
        <f t="shared" si="309"/>
        <v/>
      </c>
      <c r="HG125" s="105" t="str">
        <f t="shared" si="334"/>
        <v/>
      </c>
      <c r="HH125" s="94" t="str">
        <f t="shared" si="310"/>
        <v/>
      </c>
      <c r="HI125" s="94" t="str">
        <f t="shared" si="311"/>
        <v/>
      </c>
      <c r="HJ125" s="105" t="str">
        <f t="shared" si="335"/>
        <v/>
      </c>
      <c r="HK125" s="94" t="str">
        <f t="shared" si="312"/>
        <v/>
      </c>
      <c r="HL125" s="94" t="str">
        <f t="shared" si="313"/>
        <v/>
      </c>
      <c r="HM125" s="105" t="str">
        <f t="shared" si="336"/>
        <v/>
      </c>
      <c r="HN125" s="367" t="str">
        <f t="shared" si="314"/>
        <v xml:space="preserve">      </v>
      </c>
      <c r="HO125" s="418" t="str">
        <f t="shared" si="337"/>
        <v xml:space="preserve">      </v>
      </c>
      <c r="HP125" s="367" t="str">
        <f t="shared" si="315"/>
        <v xml:space="preserve">      </v>
      </c>
      <c r="HQ125" s="107" t="str">
        <f t="shared" si="316"/>
        <v xml:space="preserve">      </v>
      </c>
      <c r="HR125" s="366" t="str">
        <f t="shared" si="317"/>
        <v xml:space="preserve">      </v>
      </c>
      <c r="HS125" s="544" t="str">
        <f t="shared" si="338"/>
        <v/>
      </c>
      <c r="HT125" s="542" t="str">
        <f t="shared" si="318"/>
        <v/>
      </c>
      <c r="HU125" s="541" t="str">
        <f t="shared" si="319"/>
        <v/>
      </c>
      <c r="HV125" s="540" t="str">
        <f t="shared" si="320"/>
        <v/>
      </c>
      <c r="HW125" s="537" t="str">
        <f t="shared" si="321"/>
        <v/>
      </c>
      <c r="HX125" s="539" t="str">
        <f t="shared" si="322"/>
        <v/>
      </c>
      <c r="HY125" s="553" t="str">
        <f>IFERROR(IF(OR(HS125="SUPPLEMENTARY",HS125="RE-EXAM"),'Supp. Result Entry'!AQ123,""),"")</f>
        <v/>
      </c>
      <c r="HZ125" s="538" t="str">
        <f t="shared" si="323"/>
        <v/>
      </c>
      <c r="IA125" s="415" t="str">
        <f t="shared" si="324"/>
        <v/>
      </c>
      <c r="IB125" s="415" t="str">
        <f>IF(AND(HZ125="",IA125=""),"",IF(OR(HS125="SUPPLEMENTARY",HS125="RE-EXAM"),'Supp. Result Entry'!AQ123,HS125))</f>
        <v/>
      </c>
      <c r="IC125" s="87"/>
      <c r="IS125" s="109" t="str">
        <f>IF('Supp. Result Entry'!T123="","",'Supp. Result Entry'!$T$4)</f>
        <v/>
      </c>
      <c r="IT125" s="110" t="str">
        <f>IF('Supp. Result Entry'!W123="","",'Supp. Result Entry'!$W$4)</f>
        <v/>
      </c>
      <c r="IU125" s="110" t="str">
        <f>IF('Supp. Result Entry'!Z123="","",'Supp. Result Entry'!$Z$4)</f>
        <v/>
      </c>
      <c r="IV125" s="110" t="str">
        <f>IF('Supp. Result Entry'!AC123="","",'Supp. Result Entry'!$AC$4)</f>
        <v/>
      </c>
      <c r="IW125" s="110" t="str">
        <f>IF('Supp. Result Entry'!AF123="","",'Supp. Result Entry'!$AF$4)</f>
        <v/>
      </c>
      <c r="IX125" s="110" t="str">
        <f>IF('Supp. Result Entry'!AI123="","",'Supp. Result Entry'!$AI$4)</f>
        <v/>
      </c>
      <c r="IY125" s="110" t="str">
        <f>IF('Supp. Result Entry'!AI123="","",'Supp. Result Entry'!$AL$4)</f>
        <v/>
      </c>
      <c r="IZ125" s="110" t="str">
        <f>IF('Supp. Result Entry'!U123="","",'Supp. Result Entry'!U123)</f>
        <v/>
      </c>
      <c r="JA125" s="110" t="str">
        <f>IF('Supp. Result Entry'!X123="","",'Supp. Result Entry'!X123)</f>
        <v/>
      </c>
      <c r="JB125" s="110" t="str">
        <f>IF('Supp. Result Entry'!AA123="","",'Supp. Result Entry'!AA123)</f>
        <v/>
      </c>
      <c r="JC125" s="110" t="str">
        <f>IF('Supp. Result Entry'!AD123="","",'Supp. Result Entry'!AD123)</f>
        <v/>
      </c>
      <c r="JD125" s="110" t="str">
        <f>IF('Supp. Result Entry'!AG123="","",'Supp. Result Entry'!AG123)</f>
        <v/>
      </c>
      <c r="JE125" s="110" t="str">
        <f>IF('Supp. Result Entry'!AJ123="","",'Supp. Result Entry'!AJ123)</f>
        <v/>
      </c>
      <c r="JF125" s="110" t="str">
        <f>IF('Supp. Result Entry'!AM123="","",'Supp. Result Entry'!AM123)</f>
        <v/>
      </c>
      <c r="JG125" s="110" t="str">
        <f>IF('Supp. Result Entry'!V123="","",'Supp. Result Entry'!V123)</f>
        <v/>
      </c>
      <c r="JH125" s="110" t="str">
        <f>IF('Supp. Result Entry'!Y123="","",'Supp. Result Entry'!Y123)</f>
        <v/>
      </c>
      <c r="JI125" s="110" t="str">
        <f>IF('Supp. Result Entry'!AB123="","",'Supp. Result Entry'!AB123)</f>
        <v/>
      </c>
      <c r="JJ125" s="110" t="str">
        <f>IF('Supp. Result Entry'!AE123="","",'Supp. Result Entry'!AE123)</f>
        <v/>
      </c>
      <c r="JK125" s="110" t="str">
        <f>IF('Supp. Result Entry'!AH123="","",'Supp. Result Entry'!AH123)</f>
        <v/>
      </c>
      <c r="JL125" s="110" t="str">
        <f>IF('Supp. Result Entry'!AK123="","",'Supp. Result Entry'!AK123)</f>
        <v/>
      </c>
      <c r="JM125" s="110" t="str">
        <f>IF('Supp. Result Entry'!AN123="","",'Supp. Result Entry'!AN123)</f>
        <v/>
      </c>
      <c r="JN125" s="110">
        <f>COUNTIF('Supp. Result Entry'!K123:Q123,"S")</f>
        <v>0</v>
      </c>
      <c r="JO125" s="110">
        <f t="shared" si="248"/>
        <v>0</v>
      </c>
      <c r="JP125" s="110">
        <f t="shared" si="325"/>
        <v>0</v>
      </c>
      <c r="JQ125" s="110" t="str">
        <f t="shared" si="249"/>
        <v/>
      </c>
      <c r="JR125" s="110" t="str">
        <f t="shared" si="250"/>
        <v/>
      </c>
      <c r="JS125" s="110" t="str">
        <f t="shared" si="251"/>
        <v/>
      </c>
      <c r="JT125" s="110" t="str">
        <f t="shared" si="252"/>
        <v/>
      </c>
      <c r="JU125" s="110" t="str">
        <f t="shared" si="253"/>
        <v/>
      </c>
      <c r="JV125" s="110" t="str">
        <f t="shared" si="254"/>
        <v/>
      </c>
      <c r="JW125" s="110" t="str">
        <f t="shared" si="255"/>
        <v/>
      </c>
      <c r="JX125" s="110" t="str">
        <f t="shared" si="326"/>
        <v/>
      </c>
      <c r="JY125" s="110" t="str">
        <f t="shared" si="327"/>
        <v/>
      </c>
      <c r="JZ125" s="110" t="str">
        <f t="shared" si="256"/>
        <v/>
      </c>
      <c r="KA125" s="108" t="str">
        <f t="shared" si="328"/>
        <v/>
      </c>
    </row>
    <row r="126" spans="1:287" s="108" customFormat="1" ht="21.95" customHeight="1">
      <c r="A126" s="89">
        <v>120</v>
      </c>
      <c r="B126" s="90" t="str">
        <f>IF('Marks Entry'!B126="","",'Marks Entry'!B126)</f>
        <v/>
      </c>
      <c r="C126" s="94" t="str">
        <f>IF('Marks Entry'!D126="","",'Marks Entry'!D126)</f>
        <v/>
      </c>
      <c r="D126" s="91" t="str">
        <f>IF('Marks Entry'!E126="","",'Marks Entry'!E126)</f>
        <v/>
      </c>
      <c r="E126" s="92" t="str">
        <f>IF('Marks Entry'!F126="","",'Marks Entry'!F126)</f>
        <v/>
      </c>
      <c r="F126" s="93" t="str">
        <f>IF('Marks Entry'!G126="","",'Marks Entry'!G126)</f>
        <v/>
      </c>
      <c r="G126" s="93" t="str">
        <f>IF('Marks Entry'!H126="","",'Marks Entry'!H126)</f>
        <v/>
      </c>
      <c r="H126" s="93" t="str">
        <f>IF('Marks Entry'!I126="","",'Marks Entry'!I126)</f>
        <v/>
      </c>
      <c r="I126" s="94" t="str">
        <f>IF('Marks Entry'!J126="","",'Marks Entry'!J126)</f>
        <v/>
      </c>
      <c r="J126" s="95" t="str">
        <f>IF('Marks Entry'!K126="","",'Marks Entry'!K126)</f>
        <v/>
      </c>
      <c r="K126" s="68" t="str">
        <f>IF('Marks Entry'!L126="","",'Marks Entry'!L126)</f>
        <v/>
      </c>
      <c r="L126" s="68" t="str">
        <f>IF('Marks Entry'!M126="","",'Marks Entry'!M126)</f>
        <v/>
      </c>
      <c r="M126" s="68" t="str">
        <f>IF('Marks Entry'!N126="","",'Marks Entry'!N126)</f>
        <v/>
      </c>
      <c r="N126" s="514" t="str">
        <f t="shared" si="257"/>
        <v/>
      </c>
      <c r="O126" s="68" t="str">
        <f>IF('Marks Entry'!O126="","",'Marks Entry'!O126)</f>
        <v/>
      </c>
      <c r="P126" s="515" t="str">
        <f t="shared" si="258"/>
        <v/>
      </c>
      <c r="Q126" s="68" t="str">
        <f>IF('Marks Entry'!P126="","",'Marks Entry'!P126)</f>
        <v/>
      </c>
      <c r="R126" s="96" t="str">
        <f t="shared" si="259"/>
        <v/>
      </c>
      <c r="S126" s="65">
        <f t="shared" si="260"/>
        <v>0</v>
      </c>
      <c r="T126" s="65">
        <f t="shared" si="261"/>
        <v>0</v>
      </c>
      <c r="U126" s="66" t="str">
        <f t="shared" si="171"/>
        <v/>
      </c>
      <c r="V126" s="65" t="str">
        <f t="shared" si="172"/>
        <v/>
      </c>
      <c r="W126" s="65" t="str">
        <f t="shared" si="262"/>
        <v/>
      </c>
      <c r="X126" s="65" t="str">
        <f t="shared" si="173"/>
        <v/>
      </c>
      <c r="Y126" s="68" t="str">
        <f>IF('Marks Entry'!Q126="","",'Marks Entry'!Q126)</f>
        <v/>
      </c>
      <c r="Z126" s="68" t="str">
        <f>IF('Marks Entry'!R126="","",'Marks Entry'!R126)</f>
        <v/>
      </c>
      <c r="AA126" s="68" t="str">
        <f>IF('Marks Entry'!S126="","",'Marks Entry'!S126)</f>
        <v/>
      </c>
      <c r="AB126" s="514" t="str">
        <f t="shared" si="174"/>
        <v/>
      </c>
      <c r="AC126" s="68" t="str">
        <f>IF('Marks Entry'!T126="","",'Marks Entry'!T126)</f>
        <v/>
      </c>
      <c r="AD126" s="515" t="str">
        <f t="shared" si="175"/>
        <v/>
      </c>
      <c r="AE126" s="68" t="str">
        <f>IF('Marks Entry'!U126="","",'Marks Entry'!U126)</f>
        <v/>
      </c>
      <c r="AF126" s="96" t="str">
        <f t="shared" si="176"/>
        <v/>
      </c>
      <c r="AG126" s="65">
        <f t="shared" si="177"/>
        <v>0</v>
      </c>
      <c r="AH126" s="65">
        <f t="shared" si="178"/>
        <v>0</v>
      </c>
      <c r="AI126" s="66" t="str">
        <f t="shared" si="179"/>
        <v/>
      </c>
      <c r="AJ126" s="65" t="str">
        <f t="shared" si="180"/>
        <v/>
      </c>
      <c r="AK126" s="65" t="str">
        <f t="shared" si="181"/>
        <v/>
      </c>
      <c r="AL126" s="65" t="str">
        <f t="shared" si="182"/>
        <v/>
      </c>
      <c r="AM126" s="524" t="str">
        <f>IF('Marks Entry'!V126="","",IF('Marks Entry'!V126=1,'School Profile'!$I$9,IF('Marks Entry'!V126=2,'School Profile'!$I$10,IF('Marks Entry'!V126=3,'School Profile'!$I$11,IF('Marks Entry'!V126=4,'School Profile'!$I$12,IF('Marks Entry'!V126=5,'School Profile'!$I$13,IF('Marks Entry'!V126=6,'School Profile'!$I$14,"")))))))</f>
        <v/>
      </c>
      <c r="AN126" s="68" t="str">
        <f>IF('Marks Entry'!W126="","",'Marks Entry'!W126)</f>
        <v/>
      </c>
      <c r="AO126" s="68" t="str">
        <f>IF('Marks Entry'!X126="","",'Marks Entry'!X126)</f>
        <v/>
      </c>
      <c r="AP126" s="68" t="str">
        <f>IF('Marks Entry'!Y126="","",'Marks Entry'!Y126)</f>
        <v/>
      </c>
      <c r="AQ126" s="514" t="str">
        <f t="shared" si="183"/>
        <v/>
      </c>
      <c r="AR126" s="68" t="str">
        <f>IF('Marks Entry'!Z126="","",'Marks Entry'!Z126)</f>
        <v/>
      </c>
      <c r="AS126" s="515" t="str">
        <f t="shared" si="184"/>
        <v/>
      </c>
      <c r="AT126" s="68" t="str">
        <f>IF('Marks Entry'!AA126="","",'Marks Entry'!AA126)</f>
        <v/>
      </c>
      <c r="AU126" s="96" t="str">
        <f t="shared" si="185"/>
        <v/>
      </c>
      <c r="AV126" s="65">
        <f t="shared" si="186"/>
        <v>0</v>
      </c>
      <c r="AW126" s="65">
        <f t="shared" si="187"/>
        <v>0</v>
      </c>
      <c r="AX126" s="66" t="str">
        <f t="shared" si="188"/>
        <v/>
      </c>
      <c r="AY126" s="65" t="str">
        <f t="shared" si="189"/>
        <v/>
      </c>
      <c r="AZ126" s="65" t="str">
        <f t="shared" si="190"/>
        <v/>
      </c>
      <c r="BA126" s="65" t="str">
        <f t="shared" si="191"/>
        <v/>
      </c>
      <c r="BB126" s="68" t="str">
        <f>IF('Marks Entry'!AB126="","",'Marks Entry'!AB126)</f>
        <v/>
      </c>
      <c r="BC126" s="68" t="str">
        <f>IF('Marks Entry'!AC126="","",'Marks Entry'!AC126)</f>
        <v/>
      </c>
      <c r="BD126" s="68" t="str">
        <f>IF('Marks Entry'!AD126="","",'Marks Entry'!AD126)</f>
        <v/>
      </c>
      <c r="BE126" s="514" t="str">
        <f t="shared" si="192"/>
        <v/>
      </c>
      <c r="BF126" s="68" t="str">
        <f>IF('Marks Entry'!AE126="","",'Marks Entry'!AE126)</f>
        <v/>
      </c>
      <c r="BG126" s="515" t="str">
        <f t="shared" si="193"/>
        <v/>
      </c>
      <c r="BH126" s="68" t="str">
        <f>IF('Marks Entry'!AF126="","",'Marks Entry'!AF126)</f>
        <v/>
      </c>
      <c r="BI126" s="96" t="str">
        <f t="shared" si="194"/>
        <v/>
      </c>
      <c r="BJ126" s="65">
        <f t="shared" si="195"/>
        <v>0</v>
      </c>
      <c r="BK126" s="65">
        <f t="shared" si="263"/>
        <v>0</v>
      </c>
      <c r="BL126" s="66" t="str">
        <f t="shared" si="196"/>
        <v/>
      </c>
      <c r="BM126" s="65" t="str">
        <f t="shared" si="197"/>
        <v/>
      </c>
      <c r="BN126" s="65" t="str">
        <f t="shared" si="198"/>
        <v/>
      </c>
      <c r="BO126" s="65" t="str">
        <f t="shared" si="199"/>
        <v/>
      </c>
      <c r="BP126" s="68" t="str">
        <f>IF('Marks Entry'!AG126="","",'Marks Entry'!AG126)</f>
        <v/>
      </c>
      <c r="BQ126" s="68" t="str">
        <f>IF('Marks Entry'!AH126="","",'Marks Entry'!AH126)</f>
        <v/>
      </c>
      <c r="BR126" s="68" t="str">
        <f>IF('Marks Entry'!AI126="","",'Marks Entry'!AI126)</f>
        <v/>
      </c>
      <c r="BS126" s="514" t="str">
        <f t="shared" si="200"/>
        <v/>
      </c>
      <c r="BT126" s="68" t="str">
        <f>IF('Marks Entry'!AJ126="","",'Marks Entry'!AJ126)</f>
        <v/>
      </c>
      <c r="BU126" s="515" t="str">
        <f t="shared" si="201"/>
        <v/>
      </c>
      <c r="BV126" s="68" t="str">
        <f>IF('Marks Entry'!AK126="","",'Marks Entry'!AK126)</f>
        <v/>
      </c>
      <c r="BW126" s="96" t="str">
        <f t="shared" si="202"/>
        <v/>
      </c>
      <c r="BX126" s="65">
        <f t="shared" si="203"/>
        <v>0</v>
      </c>
      <c r="BY126" s="65">
        <f t="shared" si="204"/>
        <v>0</v>
      </c>
      <c r="BZ126" s="66" t="str">
        <f t="shared" si="205"/>
        <v/>
      </c>
      <c r="CA126" s="65" t="str">
        <f t="shared" si="206"/>
        <v/>
      </c>
      <c r="CB126" s="65" t="str">
        <f t="shared" si="207"/>
        <v/>
      </c>
      <c r="CC126" s="65" t="str">
        <f t="shared" si="208"/>
        <v/>
      </c>
      <c r="CD126" s="66">
        <f t="shared" si="329"/>
        <v>0</v>
      </c>
      <c r="CE126" s="68" t="str">
        <f>IF('Marks Entry'!AL126="","",'Marks Entry'!AL126)</f>
        <v/>
      </c>
      <c r="CF126" s="68" t="str">
        <f>IF('Marks Entry'!AM126="","",'Marks Entry'!AM126)</f>
        <v/>
      </c>
      <c r="CG126" s="68" t="str">
        <f>IF('Marks Entry'!AN126="","",'Marks Entry'!AN126)</f>
        <v/>
      </c>
      <c r="CH126" s="514" t="str">
        <f t="shared" si="210"/>
        <v/>
      </c>
      <c r="CI126" s="68" t="str">
        <f>IF('Marks Entry'!AO126="","",'Marks Entry'!AO126)</f>
        <v/>
      </c>
      <c r="CJ126" s="515" t="str">
        <f t="shared" si="211"/>
        <v/>
      </c>
      <c r="CK126" s="68" t="str">
        <f>IF('Marks Entry'!AP126="","",'Marks Entry'!AP126)</f>
        <v/>
      </c>
      <c r="CL126" s="96" t="str">
        <f t="shared" si="212"/>
        <v/>
      </c>
      <c r="CM126" s="65">
        <f t="shared" si="213"/>
        <v>0</v>
      </c>
      <c r="CN126" s="65">
        <f t="shared" si="214"/>
        <v>0</v>
      </c>
      <c r="CO126" s="66" t="str">
        <f t="shared" si="215"/>
        <v/>
      </c>
      <c r="CP126" s="65" t="str">
        <f t="shared" si="216"/>
        <v/>
      </c>
      <c r="CQ126" s="65" t="str">
        <f t="shared" si="217"/>
        <v/>
      </c>
      <c r="CR126" s="65" t="str">
        <f t="shared" si="218"/>
        <v/>
      </c>
      <c r="CS126" s="616" t="str">
        <f>IF('School Profile'!$D$20="NO","",IF('Marks Entry'!AQ126="","",IF('Marks Entry'!AQ126=1,'School Profile'!$I$29,IF('Marks Entry'!AQ126=2,'School Profile'!$I$30,IF('Marks Entry'!AQ126=3,'School Profile'!$I$31,IF('Marks Entry'!AQ126=4,'School Profile'!$I$32,IF('Marks Entry'!AQ126=5,'School Profile'!$I$33,IF('Marks Entry'!AQ126=6,'School Profile'!$I$34,IF('Marks Entry'!AQ126=7,'School Profile'!$I$35,IF('Marks Entry'!AQ126=8,'School Profile'!$I$36,IF('Marks Entry'!AQ126=9,'School Profile'!$I$37,IF('Marks Entry'!AQ126=10,'School Profile'!$I$38,IF('Marks Entry'!AQ126=11,'School Profile'!$I$39,"")))))))))))))</f>
        <v/>
      </c>
      <c r="CT126" s="68" t="str">
        <f>IF('School Profile'!$D$20="NO","",IF('Marks Entry'!AR126="","",'Marks Entry'!AR126))</f>
        <v/>
      </c>
      <c r="CU126" s="68" t="str">
        <f>IF('School Profile'!$D$20="NO","",IF('Marks Entry'!AS126="","",'Marks Entry'!AS126))</f>
        <v/>
      </c>
      <c r="CV126" s="68" t="str">
        <f>IF('School Profile'!$D$20="NO","",IF('Marks Entry'!AT126="","",'Marks Entry'!AT126))</f>
        <v/>
      </c>
      <c r="CW126" s="514" t="str">
        <f>IF('School Profile'!$D$20="NO","",IF(AND(CT126="",CU126="",CV126=""),"",SUM(CT126:CV126)))</f>
        <v/>
      </c>
      <c r="CX126" s="68" t="str">
        <f>IF('School Profile'!$D$20="NO","",IF('Marks Entry'!AU126="","",'Marks Entry'!AU126))</f>
        <v/>
      </c>
      <c r="CY126" s="68" t="str">
        <f>IF('School Profile'!$D$20="NO","",IF('Marks Entry'!AV126="","",'Marks Entry'!AV126))</f>
        <v/>
      </c>
      <c r="CZ126" s="515" t="str">
        <f>IF('School Profile'!$D$20="NO","",IF(AND(CX126="",CY126=""),"",SUM(CX126,CY126)))</f>
        <v/>
      </c>
      <c r="DA126" s="69" t="str">
        <f>IF('School Profile'!$D$20="NO","",IF(AND(CW126="",CZ126=""),"",SUM(CW126+CZ126)))</f>
        <v/>
      </c>
      <c r="DB126" s="68" t="str">
        <f>IF('School Profile'!$D$20="NO","",IF('Marks Entry'!AW126="","",'Marks Entry'!AW126))</f>
        <v/>
      </c>
      <c r="DC126" s="68" t="str">
        <f>IF('School Profile'!$D$20="NO","",IF('Marks Entry'!AX126="","",'Marks Entry'!AX126))</f>
        <v/>
      </c>
      <c r="DD126" s="515" t="str">
        <f>IF('School Profile'!$D$20="NO","",IF(AND(DB126="",DC126=""),"",SUM(DB126,DC126)))</f>
        <v/>
      </c>
      <c r="DE126" s="96" t="str">
        <f>IF('School Profile'!$D$20="NO","",IF(AND(DA126="",DD126=""),"",SUM(DA126,DD126)))</f>
        <v/>
      </c>
      <c r="DF126" s="532">
        <f t="shared" si="219"/>
        <v>0</v>
      </c>
      <c r="DG126" s="65">
        <f t="shared" si="220"/>
        <v>0</v>
      </c>
      <c r="DH126" s="66" t="str">
        <f t="shared" si="221"/>
        <v/>
      </c>
      <c r="DI126" s="65" t="str">
        <f t="shared" si="222"/>
        <v/>
      </c>
      <c r="DJ126" s="65" t="str">
        <f t="shared" si="223"/>
        <v/>
      </c>
      <c r="DK126" s="65" t="str">
        <f t="shared" si="224"/>
        <v/>
      </c>
      <c r="DL126" s="97" t="str">
        <f t="shared" si="264"/>
        <v/>
      </c>
      <c r="DM126" s="97" t="str">
        <f t="shared" si="265"/>
        <v/>
      </c>
      <c r="DN126" s="97" t="str">
        <f t="shared" si="266"/>
        <v/>
      </c>
      <c r="DO126" s="97" t="str">
        <f t="shared" si="267"/>
        <v/>
      </c>
      <c r="DP126" s="97" t="str">
        <f t="shared" si="268"/>
        <v/>
      </c>
      <c r="DQ126" s="97" t="str">
        <f t="shared" si="269"/>
        <v/>
      </c>
      <c r="DR126" s="97" t="str">
        <f t="shared" si="270"/>
        <v/>
      </c>
      <c r="DS126" s="98">
        <f t="shared" si="271"/>
        <v>0</v>
      </c>
      <c r="DT126" s="98">
        <f t="shared" si="272"/>
        <v>0</v>
      </c>
      <c r="DU126" s="98">
        <f t="shared" si="273"/>
        <v>0</v>
      </c>
      <c r="DV126" s="98">
        <f t="shared" si="274"/>
        <v>0</v>
      </c>
      <c r="DW126" s="98">
        <f t="shared" si="275"/>
        <v>0</v>
      </c>
      <c r="DX126" s="98" t="str">
        <f t="shared" si="276"/>
        <v/>
      </c>
      <c r="DY126" s="99" t="str">
        <f t="shared" si="277"/>
        <v/>
      </c>
      <c r="DZ126" s="74" t="str">
        <f>IF('Marks Entry'!AY126="","",'Marks Entry'!AY126)</f>
        <v/>
      </c>
      <c r="EA126" s="74" t="str">
        <f>IF('Marks Entry'!AZ126="","",'Marks Entry'!AZ126)</f>
        <v/>
      </c>
      <c r="EB126" s="74" t="str">
        <f>IF('Marks Entry'!BA126="","",'Marks Entry'!BA126)</f>
        <v/>
      </c>
      <c r="EC126" s="527" t="str">
        <f t="shared" si="225"/>
        <v/>
      </c>
      <c r="ED126" s="74" t="str">
        <f>IF('Marks Entry'!BB126="","",'Marks Entry'!BB126)</f>
        <v/>
      </c>
      <c r="EE126" s="528" t="str">
        <f t="shared" si="226"/>
        <v/>
      </c>
      <c r="EF126" s="74" t="str">
        <f>IF('Marks Entry'!BC126="","",'Marks Entry'!BC126)</f>
        <v/>
      </c>
      <c r="EG126" s="530" t="str">
        <f t="shared" si="227"/>
        <v/>
      </c>
      <c r="EH126" s="368" t="str">
        <f t="shared" si="278"/>
        <v/>
      </c>
      <c r="EI126" s="65">
        <f t="shared" si="279"/>
        <v>0</v>
      </c>
      <c r="EJ126" s="65">
        <f t="shared" si="280"/>
        <v>0</v>
      </c>
      <c r="EK126" s="66" t="str">
        <f t="shared" si="281"/>
        <v/>
      </c>
      <c r="EL126" s="74" t="str">
        <f>IF('Marks Entry'!BD126="","",'Marks Entry'!BD126)</f>
        <v/>
      </c>
      <c r="EM126" s="74" t="str">
        <f>IF('Marks Entry'!BE126="","",'Marks Entry'!BE126)</f>
        <v/>
      </c>
      <c r="EN126" s="74" t="str">
        <f>IF('Marks Entry'!BF126="","",'Marks Entry'!BF126)</f>
        <v/>
      </c>
      <c r="EO126" s="527" t="str">
        <f t="shared" si="228"/>
        <v/>
      </c>
      <c r="EP126" s="74" t="str">
        <f>IF('Marks Entry'!BG126="","",'Marks Entry'!BG126)</f>
        <v/>
      </c>
      <c r="EQ126" s="74" t="str">
        <f>IF('Marks Entry'!BH126="","",'Marks Entry'!BH126)</f>
        <v/>
      </c>
      <c r="ER126" s="528" t="str">
        <f t="shared" si="229"/>
        <v/>
      </c>
      <c r="ES126" s="529" t="str">
        <f t="shared" si="230"/>
        <v/>
      </c>
      <c r="ET126" s="74" t="str">
        <f>IF('Marks Entry'!BI126="","",'Marks Entry'!BI126)</f>
        <v/>
      </c>
      <c r="EU126" s="74" t="str">
        <f>IF('Marks Entry'!BJ126="","",'Marks Entry'!BJ126)</f>
        <v/>
      </c>
      <c r="EV126" s="528" t="str">
        <f t="shared" si="231"/>
        <v/>
      </c>
      <c r="EW126" s="530" t="str">
        <f t="shared" si="232"/>
        <v/>
      </c>
      <c r="EX126" s="368" t="str">
        <f t="shared" si="282"/>
        <v/>
      </c>
      <c r="EY126" s="65">
        <f t="shared" si="283"/>
        <v>0</v>
      </c>
      <c r="EZ126" s="65">
        <f t="shared" si="284"/>
        <v>0</v>
      </c>
      <c r="FA126" s="66" t="str">
        <f t="shared" si="285"/>
        <v/>
      </c>
      <c r="FB126" s="74" t="str">
        <f>IF('Marks Entry'!BK126="","",'Marks Entry'!BK126)</f>
        <v/>
      </c>
      <c r="FC126" s="74" t="str">
        <f>IF('Marks Entry'!BL126="","",'Marks Entry'!BL126)</f>
        <v/>
      </c>
      <c r="FD126" s="74" t="str">
        <f>IF('Marks Entry'!BM126="","",'Marks Entry'!BM126)</f>
        <v/>
      </c>
      <c r="FE126" s="74" t="str">
        <f>IF('Marks Entry'!BN126="","",'Marks Entry'!BN126)</f>
        <v/>
      </c>
      <c r="FF126" s="74" t="str">
        <f>IF('Marks Entry'!BO126="","",'Marks Entry'!BO126)</f>
        <v/>
      </c>
      <c r="FG126" s="74" t="str">
        <f>IF('Marks Entry'!BP126="","",'Marks Entry'!BP126)</f>
        <v/>
      </c>
      <c r="FH126" s="527" t="str">
        <f t="shared" si="233"/>
        <v/>
      </c>
      <c r="FI126" s="74" t="str">
        <f>IF('Marks Entry'!BQ126="","",'Marks Entry'!BQ126)</f>
        <v/>
      </c>
      <c r="FJ126" s="74" t="str">
        <f>IF('Marks Entry'!BR126="","",'Marks Entry'!BR126)</f>
        <v/>
      </c>
      <c r="FK126" s="528" t="str">
        <f t="shared" si="234"/>
        <v/>
      </c>
      <c r="FL126" s="529" t="str">
        <f t="shared" si="235"/>
        <v/>
      </c>
      <c r="FM126" s="74" t="str">
        <f>IF('Marks Entry'!BS126="","",'Marks Entry'!BS126)</f>
        <v/>
      </c>
      <c r="FN126" s="74" t="str">
        <f>IF('Marks Entry'!BT126="","",'Marks Entry'!BT126)</f>
        <v/>
      </c>
      <c r="FO126" s="528" t="str">
        <f t="shared" si="236"/>
        <v/>
      </c>
      <c r="FP126" s="530" t="str">
        <f t="shared" si="237"/>
        <v/>
      </c>
      <c r="FQ126" s="368" t="str">
        <f t="shared" si="286"/>
        <v/>
      </c>
      <c r="FR126" s="65">
        <f t="shared" si="287"/>
        <v>0</v>
      </c>
      <c r="FS126" s="65">
        <f t="shared" si="288"/>
        <v>0</v>
      </c>
      <c r="FT126" s="66" t="str">
        <f t="shared" si="289"/>
        <v/>
      </c>
      <c r="FU126" s="74" t="str">
        <f>IF('Marks Entry'!BU126="","",'Marks Entry'!BU126)</f>
        <v/>
      </c>
      <c r="FV126" s="74" t="str">
        <f>IF('Marks Entry'!BV126="","",'Marks Entry'!BV126)</f>
        <v/>
      </c>
      <c r="FW126" s="74" t="str">
        <f>IF('Marks Entry'!BW126="","",'Marks Entry'!BW126)</f>
        <v/>
      </c>
      <c r="FX126" s="75" t="str">
        <f t="shared" si="238"/>
        <v/>
      </c>
      <c r="FY126" s="368" t="str">
        <f t="shared" si="290"/>
        <v/>
      </c>
      <c r="FZ126" s="65">
        <f t="shared" si="291"/>
        <v>0</v>
      </c>
      <c r="GA126" s="66">
        <f t="shared" si="292"/>
        <v>0</v>
      </c>
      <c r="GB126" s="66" t="str">
        <f t="shared" si="293"/>
        <v/>
      </c>
      <c r="GC126" s="74" t="str">
        <f>IF('Marks Entry'!BX126="","",'Marks Entry'!BX126)</f>
        <v/>
      </c>
      <c r="GD126" s="74" t="str">
        <f>IF('Marks Entry'!BY126="","",'Marks Entry'!BY126)</f>
        <v/>
      </c>
      <c r="GE126" s="74" t="str">
        <f>IF('Marks Entry'!BZ126="","",'Marks Entry'!BZ126)</f>
        <v/>
      </c>
      <c r="GF126" s="75" t="str">
        <f t="shared" si="294"/>
        <v/>
      </c>
      <c r="GG126" s="368" t="str">
        <f t="shared" si="295"/>
        <v/>
      </c>
      <c r="GH126" s="65">
        <f t="shared" si="296"/>
        <v>0</v>
      </c>
      <c r="GI126" s="66">
        <f t="shared" si="297"/>
        <v>0</v>
      </c>
      <c r="GJ126" s="66" t="str">
        <f t="shared" si="298"/>
        <v/>
      </c>
      <c r="GK126" s="100" t="str">
        <f>IF(AND(F126="",B126=""),"",IF('Student DATA Entry'!M123="","",'Student DATA Entry'!M123))</f>
        <v/>
      </c>
      <c r="GL126" s="101" t="str">
        <f>IF(AND(B126="",F126=""),"",IF('Student DATA Entry'!N123="","",'Student DATA Entry'!N123))</f>
        <v/>
      </c>
      <c r="GM126" s="581" t="str">
        <f t="shared" si="299"/>
        <v/>
      </c>
      <c r="GN126" s="94" t="str">
        <f t="shared" si="300"/>
        <v/>
      </c>
      <c r="GO126" s="94" t="str">
        <f t="shared" si="301"/>
        <v/>
      </c>
      <c r="GP126" s="102" t="str">
        <f t="shared" si="330"/>
        <v/>
      </c>
      <c r="GQ126" s="94" t="str">
        <f t="shared" si="302"/>
        <v/>
      </c>
      <c r="GR126" s="103" t="str">
        <f t="shared" si="303"/>
        <v/>
      </c>
      <c r="GS126" s="102" t="str">
        <f t="shared" si="331"/>
        <v/>
      </c>
      <c r="GT126" s="104" t="str">
        <f t="shared" si="304"/>
        <v/>
      </c>
      <c r="GU126" s="94" t="str">
        <f>IF('Marks Entry'!V126=1,GT126,"")</f>
        <v/>
      </c>
      <c r="GV126" s="94" t="str">
        <f>IF('Marks Entry'!V126=2,GT126,"")</f>
        <v/>
      </c>
      <c r="GW126" s="94" t="str">
        <f>IF('Marks Entry'!V126=3,GT126,"")</f>
        <v/>
      </c>
      <c r="GX126" s="94" t="str">
        <f>IF('Marks Entry'!V126=4,GT126,"")</f>
        <v/>
      </c>
      <c r="GY126" s="94" t="str">
        <f>IF('Marks Entry'!V126=5,GT126,"")</f>
        <v/>
      </c>
      <c r="GZ126" s="94" t="str">
        <f t="shared" si="305"/>
        <v/>
      </c>
      <c r="HA126" s="105" t="str">
        <f t="shared" si="332"/>
        <v/>
      </c>
      <c r="HB126" s="94" t="str">
        <f t="shared" si="306"/>
        <v/>
      </c>
      <c r="HC126" s="94" t="str">
        <f t="shared" si="307"/>
        <v/>
      </c>
      <c r="HD126" s="105" t="str">
        <f t="shared" si="333"/>
        <v/>
      </c>
      <c r="HE126" s="94" t="str">
        <f t="shared" si="308"/>
        <v/>
      </c>
      <c r="HF126" s="94" t="str">
        <f t="shared" si="309"/>
        <v/>
      </c>
      <c r="HG126" s="105" t="str">
        <f t="shared" si="334"/>
        <v/>
      </c>
      <c r="HH126" s="94" t="str">
        <f t="shared" si="310"/>
        <v/>
      </c>
      <c r="HI126" s="94" t="str">
        <f t="shared" si="311"/>
        <v/>
      </c>
      <c r="HJ126" s="105" t="str">
        <f t="shared" si="335"/>
        <v/>
      </c>
      <c r="HK126" s="94" t="str">
        <f t="shared" si="312"/>
        <v/>
      </c>
      <c r="HL126" s="94" t="str">
        <f t="shared" si="313"/>
        <v/>
      </c>
      <c r="HM126" s="105" t="str">
        <f t="shared" si="336"/>
        <v/>
      </c>
      <c r="HN126" s="367" t="str">
        <f t="shared" si="314"/>
        <v xml:space="preserve">      </v>
      </c>
      <c r="HO126" s="418" t="str">
        <f t="shared" si="337"/>
        <v xml:space="preserve">      </v>
      </c>
      <c r="HP126" s="367" t="str">
        <f t="shared" si="315"/>
        <v xml:space="preserve">      </v>
      </c>
      <c r="HQ126" s="107" t="str">
        <f t="shared" si="316"/>
        <v xml:space="preserve">      </v>
      </c>
      <c r="HR126" s="366" t="str">
        <f t="shared" si="317"/>
        <v xml:space="preserve">      </v>
      </c>
      <c r="HS126" s="544" t="str">
        <f t="shared" si="338"/>
        <v/>
      </c>
      <c r="HT126" s="542" t="str">
        <f t="shared" si="318"/>
        <v/>
      </c>
      <c r="HU126" s="541" t="str">
        <f t="shared" si="319"/>
        <v/>
      </c>
      <c r="HV126" s="540" t="str">
        <f t="shared" si="320"/>
        <v/>
      </c>
      <c r="HW126" s="537" t="str">
        <f t="shared" si="321"/>
        <v/>
      </c>
      <c r="HX126" s="539" t="str">
        <f t="shared" si="322"/>
        <v/>
      </c>
      <c r="HY126" s="553" t="str">
        <f>IFERROR(IF(OR(HS126="SUPPLEMENTARY",HS126="RE-EXAM"),'Supp. Result Entry'!AQ124,""),"")</f>
        <v/>
      </c>
      <c r="HZ126" s="538" t="str">
        <f t="shared" si="323"/>
        <v/>
      </c>
      <c r="IA126" s="415" t="str">
        <f t="shared" si="324"/>
        <v/>
      </c>
      <c r="IB126" s="415" t="str">
        <f>IF(AND(HZ126="",IA126=""),"",IF(OR(HS126="SUPPLEMENTARY",HS126="RE-EXAM"),'Supp. Result Entry'!AQ124,HS126))</f>
        <v/>
      </c>
      <c r="IC126" s="87"/>
      <c r="IS126" s="109" t="str">
        <f>IF('Supp. Result Entry'!T124="","",'Supp. Result Entry'!$T$4)</f>
        <v/>
      </c>
      <c r="IT126" s="110" t="str">
        <f>IF('Supp. Result Entry'!W124="","",'Supp. Result Entry'!$W$4)</f>
        <v/>
      </c>
      <c r="IU126" s="110" t="str">
        <f>IF('Supp. Result Entry'!Z124="","",'Supp. Result Entry'!$Z$4)</f>
        <v/>
      </c>
      <c r="IV126" s="110" t="str">
        <f>IF('Supp. Result Entry'!AC124="","",'Supp. Result Entry'!$AC$4)</f>
        <v/>
      </c>
      <c r="IW126" s="110" t="str">
        <f>IF('Supp. Result Entry'!AF124="","",'Supp. Result Entry'!$AF$4)</f>
        <v/>
      </c>
      <c r="IX126" s="110" t="str">
        <f>IF('Supp. Result Entry'!AI124="","",'Supp. Result Entry'!$AI$4)</f>
        <v/>
      </c>
      <c r="IY126" s="110" t="str">
        <f>IF('Supp. Result Entry'!AI124="","",'Supp. Result Entry'!$AL$4)</f>
        <v/>
      </c>
      <c r="IZ126" s="110" t="str">
        <f>IF('Supp. Result Entry'!U124="","",'Supp. Result Entry'!U124)</f>
        <v/>
      </c>
      <c r="JA126" s="110" t="str">
        <f>IF('Supp. Result Entry'!X124="","",'Supp. Result Entry'!X124)</f>
        <v/>
      </c>
      <c r="JB126" s="110" t="str">
        <f>IF('Supp. Result Entry'!AA124="","",'Supp. Result Entry'!AA124)</f>
        <v/>
      </c>
      <c r="JC126" s="110" t="str">
        <f>IF('Supp. Result Entry'!AD124="","",'Supp. Result Entry'!AD124)</f>
        <v/>
      </c>
      <c r="JD126" s="110" t="str">
        <f>IF('Supp. Result Entry'!AG124="","",'Supp. Result Entry'!AG124)</f>
        <v/>
      </c>
      <c r="JE126" s="110" t="str">
        <f>IF('Supp. Result Entry'!AJ124="","",'Supp. Result Entry'!AJ124)</f>
        <v/>
      </c>
      <c r="JF126" s="110" t="str">
        <f>IF('Supp. Result Entry'!AM124="","",'Supp. Result Entry'!AM124)</f>
        <v/>
      </c>
      <c r="JG126" s="110" t="str">
        <f>IF('Supp. Result Entry'!V124="","",'Supp. Result Entry'!V124)</f>
        <v/>
      </c>
      <c r="JH126" s="110" t="str">
        <f>IF('Supp. Result Entry'!Y124="","",'Supp. Result Entry'!Y124)</f>
        <v/>
      </c>
      <c r="JI126" s="110" t="str">
        <f>IF('Supp. Result Entry'!AB124="","",'Supp. Result Entry'!AB124)</f>
        <v/>
      </c>
      <c r="JJ126" s="110" t="str">
        <f>IF('Supp. Result Entry'!AE124="","",'Supp. Result Entry'!AE124)</f>
        <v/>
      </c>
      <c r="JK126" s="110" t="str">
        <f>IF('Supp. Result Entry'!AH124="","",'Supp. Result Entry'!AH124)</f>
        <v/>
      </c>
      <c r="JL126" s="110" t="str">
        <f>IF('Supp. Result Entry'!AK124="","",'Supp. Result Entry'!AK124)</f>
        <v/>
      </c>
      <c r="JM126" s="110" t="str">
        <f>IF('Supp. Result Entry'!AN124="","",'Supp. Result Entry'!AN124)</f>
        <v/>
      </c>
      <c r="JN126" s="110">
        <f>COUNTIF('Supp. Result Entry'!K124:Q124,"S")</f>
        <v>0</v>
      </c>
      <c r="JO126" s="110">
        <f t="shared" si="248"/>
        <v>0</v>
      </c>
      <c r="JP126" s="110">
        <f t="shared" si="325"/>
        <v>0</v>
      </c>
      <c r="JQ126" s="110" t="str">
        <f t="shared" si="249"/>
        <v/>
      </c>
      <c r="JR126" s="110" t="str">
        <f t="shared" si="250"/>
        <v/>
      </c>
      <c r="JS126" s="110" t="str">
        <f t="shared" si="251"/>
        <v/>
      </c>
      <c r="JT126" s="110" t="str">
        <f t="shared" si="252"/>
        <v/>
      </c>
      <c r="JU126" s="110" t="str">
        <f t="shared" si="253"/>
        <v/>
      </c>
      <c r="JV126" s="110" t="str">
        <f t="shared" si="254"/>
        <v/>
      </c>
      <c r="JW126" s="110" t="str">
        <f t="shared" si="255"/>
        <v/>
      </c>
      <c r="JX126" s="110" t="str">
        <f t="shared" si="326"/>
        <v/>
      </c>
      <c r="JY126" s="110" t="str">
        <f t="shared" si="327"/>
        <v/>
      </c>
      <c r="JZ126" s="110" t="str">
        <f t="shared" si="256"/>
        <v/>
      </c>
      <c r="KA126" s="108" t="str">
        <f t="shared" si="328"/>
        <v/>
      </c>
    </row>
    <row r="127" spans="1:287" s="108" customFormat="1" ht="21.95" customHeight="1">
      <c r="A127" s="89">
        <v>121</v>
      </c>
      <c r="B127" s="90" t="str">
        <f>IF('Marks Entry'!B127="","",'Marks Entry'!B127)</f>
        <v/>
      </c>
      <c r="C127" s="94" t="str">
        <f>IF('Marks Entry'!D127="","",'Marks Entry'!D127)</f>
        <v/>
      </c>
      <c r="D127" s="91" t="str">
        <f>IF('Marks Entry'!E127="","",'Marks Entry'!E127)</f>
        <v/>
      </c>
      <c r="E127" s="92" t="str">
        <f>IF('Marks Entry'!F127="","",'Marks Entry'!F127)</f>
        <v/>
      </c>
      <c r="F127" s="93" t="str">
        <f>IF('Marks Entry'!G127="","",'Marks Entry'!G127)</f>
        <v/>
      </c>
      <c r="G127" s="93" t="str">
        <f>IF('Marks Entry'!H127="","",'Marks Entry'!H127)</f>
        <v/>
      </c>
      <c r="H127" s="93" t="str">
        <f>IF('Marks Entry'!I127="","",'Marks Entry'!I127)</f>
        <v/>
      </c>
      <c r="I127" s="94" t="str">
        <f>IF('Marks Entry'!J127="","",'Marks Entry'!J127)</f>
        <v/>
      </c>
      <c r="J127" s="95" t="str">
        <f>IF('Marks Entry'!K127="","",'Marks Entry'!K127)</f>
        <v/>
      </c>
      <c r="K127" s="68" t="str">
        <f>IF('Marks Entry'!L127="","",'Marks Entry'!L127)</f>
        <v/>
      </c>
      <c r="L127" s="68" t="str">
        <f>IF('Marks Entry'!M127="","",'Marks Entry'!M127)</f>
        <v/>
      </c>
      <c r="M127" s="68" t="str">
        <f>IF('Marks Entry'!N127="","",'Marks Entry'!N127)</f>
        <v/>
      </c>
      <c r="N127" s="514" t="str">
        <f t="shared" si="257"/>
        <v/>
      </c>
      <c r="O127" s="68" t="str">
        <f>IF('Marks Entry'!O127="","",'Marks Entry'!O127)</f>
        <v/>
      </c>
      <c r="P127" s="515" t="str">
        <f t="shared" si="258"/>
        <v/>
      </c>
      <c r="Q127" s="68" t="str">
        <f>IF('Marks Entry'!P127="","",'Marks Entry'!P127)</f>
        <v/>
      </c>
      <c r="R127" s="96" t="str">
        <f t="shared" si="259"/>
        <v/>
      </c>
      <c r="S127" s="65">
        <f t="shared" si="260"/>
        <v>0</v>
      </c>
      <c r="T127" s="65">
        <f t="shared" si="261"/>
        <v>0</v>
      </c>
      <c r="U127" s="66" t="str">
        <f t="shared" si="171"/>
        <v/>
      </c>
      <c r="V127" s="65" t="str">
        <f t="shared" si="172"/>
        <v/>
      </c>
      <c r="W127" s="65" t="str">
        <f t="shared" si="262"/>
        <v/>
      </c>
      <c r="X127" s="65" t="str">
        <f t="shared" si="173"/>
        <v/>
      </c>
      <c r="Y127" s="68" t="str">
        <f>IF('Marks Entry'!Q127="","",'Marks Entry'!Q127)</f>
        <v/>
      </c>
      <c r="Z127" s="68" t="str">
        <f>IF('Marks Entry'!R127="","",'Marks Entry'!R127)</f>
        <v/>
      </c>
      <c r="AA127" s="68" t="str">
        <f>IF('Marks Entry'!S127="","",'Marks Entry'!S127)</f>
        <v/>
      </c>
      <c r="AB127" s="514" t="str">
        <f t="shared" si="174"/>
        <v/>
      </c>
      <c r="AC127" s="68" t="str">
        <f>IF('Marks Entry'!T127="","",'Marks Entry'!T127)</f>
        <v/>
      </c>
      <c r="AD127" s="515" t="str">
        <f t="shared" si="175"/>
        <v/>
      </c>
      <c r="AE127" s="68" t="str">
        <f>IF('Marks Entry'!U127="","",'Marks Entry'!U127)</f>
        <v/>
      </c>
      <c r="AF127" s="96" t="str">
        <f t="shared" si="176"/>
        <v/>
      </c>
      <c r="AG127" s="65">
        <f t="shared" si="177"/>
        <v>0</v>
      </c>
      <c r="AH127" s="65">
        <f t="shared" si="178"/>
        <v>0</v>
      </c>
      <c r="AI127" s="66" t="str">
        <f t="shared" si="179"/>
        <v/>
      </c>
      <c r="AJ127" s="65" t="str">
        <f t="shared" si="180"/>
        <v/>
      </c>
      <c r="AK127" s="65" t="str">
        <f t="shared" si="181"/>
        <v/>
      </c>
      <c r="AL127" s="65" t="str">
        <f t="shared" si="182"/>
        <v/>
      </c>
      <c r="AM127" s="524" t="str">
        <f>IF('Marks Entry'!V127="","",IF('Marks Entry'!V127=1,'School Profile'!$I$9,IF('Marks Entry'!V127=2,'School Profile'!$I$10,IF('Marks Entry'!V127=3,'School Profile'!$I$11,IF('Marks Entry'!V127=4,'School Profile'!$I$12,IF('Marks Entry'!V127=5,'School Profile'!$I$13,IF('Marks Entry'!V127=6,'School Profile'!$I$14,"")))))))</f>
        <v/>
      </c>
      <c r="AN127" s="68" t="str">
        <f>IF('Marks Entry'!W127="","",'Marks Entry'!W127)</f>
        <v/>
      </c>
      <c r="AO127" s="68" t="str">
        <f>IF('Marks Entry'!X127="","",'Marks Entry'!X127)</f>
        <v/>
      </c>
      <c r="AP127" s="68" t="str">
        <f>IF('Marks Entry'!Y127="","",'Marks Entry'!Y127)</f>
        <v/>
      </c>
      <c r="AQ127" s="514" t="str">
        <f t="shared" si="183"/>
        <v/>
      </c>
      <c r="AR127" s="68" t="str">
        <f>IF('Marks Entry'!Z127="","",'Marks Entry'!Z127)</f>
        <v/>
      </c>
      <c r="AS127" s="515" t="str">
        <f t="shared" si="184"/>
        <v/>
      </c>
      <c r="AT127" s="68" t="str">
        <f>IF('Marks Entry'!AA127="","",'Marks Entry'!AA127)</f>
        <v/>
      </c>
      <c r="AU127" s="96" t="str">
        <f t="shared" si="185"/>
        <v/>
      </c>
      <c r="AV127" s="65">
        <f t="shared" si="186"/>
        <v>0</v>
      </c>
      <c r="AW127" s="65">
        <f t="shared" si="187"/>
        <v>0</v>
      </c>
      <c r="AX127" s="66" t="str">
        <f t="shared" si="188"/>
        <v/>
      </c>
      <c r="AY127" s="65" t="str">
        <f t="shared" si="189"/>
        <v/>
      </c>
      <c r="AZ127" s="65" t="str">
        <f t="shared" si="190"/>
        <v/>
      </c>
      <c r="BA127" s="65" t="str">
        <f t="shared" si="191"/>
        <v/>
      </c>
      <c r="BB127" s="68" t="str">
        <f>IF('Marks Entry'!AB127="","",'Marks Entry'!AB127)</f>
        <v/>
      </c>
      <c r="BC127" s="68" t="str">
        <f>IF('Marks Entry'!AC127="","",'Marks Entry'!AC127)</f>
        <v/>
      </c>
      <c r="BD127" s="68" t="str">
        <f>IF('Marks Entry'!AD127="","",'Marks Entry'!AD127)</f>
        <v/>
      </c>
      <c r="BE127" s="514" t="str">
        <f t="shared" si="192"/>
        <v/>
      </c>
      <c r="BF127" s="68" t="str">
        <f>IF('Marks Entry'!AE127="","",'Marks Entry'!AE127)</f>
        <v/>
      </c>
      <c r="BG127" s="515" t="str">
        <f t="shared" si="193"/>
        <v/>
      </c>
      <c r="BH127" s="68" t="str">
        <f>IF('Marks Entry'!AF127="","",'Marks Entry'!AF127)</f>
        <v/>
      </c>
      <c r="BI127" s="96" t="str">
        <f t="shared" si="194"/>
        <v/>
      </c>
      <c r="BJ127" s="65">
        <f t="shared" si="195"/>
        <v>0</v>
      </c>
      <c r="BK127" s="65">
        <f t="shared" si="263"/>
        <v>0</v>
      </c>
      <c r="BL127" s="66" t="str">
        <f t="shared" si="196"/>
        <v/>
      </c>
      <c r="BM127" s="65" t="str">
        <f t="shared" si="197"/>
        <v/>
      </c>
      <c r="BN127" s="65" t="str">
        <f t="shared" si="198"/>
        <v/>
      </c>
      <c r="BO127" s="65" t="str">
        <f t="shared" si="199"/>
        <v/>
      </c>
      <c r="BP127" s="68" t="str">
        <f>IF('Marks Entry'!AG127="","",'Marks Entry'!AG127)</f>
        <v/>
      </c>
      <c r="BQ127" s="68" t="str">
        <f>IF('Marks Entry'!AH127="","",'Marks Entry'!AH127)</f>
        <v/>
      </c>
      <c r="BR127" s="68" t="str">
        <f>IF('Marks Entry'!AI127="","",'Marks Entry'!AI127)</f>
        <v/>
      </c>
      <c r="BS127" s="514" t="str">
        <f t="shared" si="200"/>
        <v/>
      </c>
      <c r="BT127" s="68" t="str">
        <f>IF('Marks Entry'!AJ127="","",'Marks Entry'!AJ127)</f>
        <v/>
      </c>
      <c r="BU127" s="515" t="str">
        <f t="shared" si="201"/>
        <v/>
      </c>
      <c r="BV127" s="68" t="str">
        <f>IF('Marks Entry'!AK127="","",'Marks Entry'!AK127)</f>
        <v/>
      </c>
      <c r="BW127" s="96" t="str">
        <f t="shared" si="202"/>
        <v/>
      </c>
      <c r="BX127" s="65">
        <f t="shared" si="203"/>
        <v>0</v>
      </c>
      <c r="BY127" s="65">
        <f t="shared" si="204"/>
        <v>0</v>
      </c>
      <c r="BZ127" s="66" t="str">
        <f t="shared" si="205"/>
        <v/>
      </c>
      <c r="CA127" s="65" t="str">
        <f t="shared" si="206"/>
        <v/>
      </c>
      <c r="CB127" s="65" t="str">
        <f t="shared" si="207"/>
        <v/>
      </c>
      <c r="CC127" s="65" t="str">
        <f t="shared" si="208"/>
        <v/>
      </c>
      <c r="CD127" s="66">
        <f t="shared" si="329"/>
        <v>0</v>
      </c>
      <c r="CE127" s="68" t="str">
        <f>IF('Marks Entry'!AL127="","",'Marks Entry'!AL127)</f>
        <v/>
      </c>
      <c r="CF127" s="68" t="str">
        <f>IF('Marks Entry'!AM127="","",'Marks Entry'!AM127)</f>
        <v/>
      </c>
      <c r="CG127" s="68" t="str">
        <f>IF('Marks Entry'!AN127="","",'Marks Entry'!AN127)</f>
        <v/>
      </c>
      <c r="CH127" s="514" t="str">
        <f t="shared" si="210"/>
        <v/>
      </c>
      <c r="CI127" s="68" t="str">
        <f>IF('Marks Entry'!AO127="","",'Marks Entry'!AO127)</f>
        <v/>
      </c>
      <c r="CJ127" s="515" t="str">
        <f t="shared" si="211"/>
        <v/>
      </c>
      <c r="CK127" s="68" t="str">
        <f>IF('Marks Entry'!AP127="","",'Marks Entry'!AP127)</f>
        <v/>
      </c>
      <c r="CL127" s="96" t="str">
        <f t="shared" si="212"/>
        <v/>
      </c>
      <c r="CM127" s="65">
        <f t="shared" si="213"/>
        <v>0</v>
      </c>
      <c r="CN127" s="65">
        <f t="shared" si="214"/>
        <v>0</v>
      </c>
      <c r="CO127" s="66" t="str">
        <f t="shared" si="215"/>
        <v/>
      </c>
      <c r="CP127" s="65" t="str">
        <f t="shared" si="216"/>
        <v/>
      </c>
      <c r="CQ127" s="65" t="str">
        <f t="shared" si="217"/>
        <v/>
      </c>
      <c r="CR127" s="65" t="str">
        <f t="shared" si="218"/>
        <v/>
      </c>
      <c r="CS127" s="616" t="str">
        <f>IF('School Profile'!$D$20="NO","",IF('Marks Entry'!AQ127="","",IF('Marks Entry'!AQ127=1,'School Profile'!$I$29,IF('Marks Entry'!AQ127=2,'School Profile'!$I$30,IF('Marks Entry'!AQ127=3,'School Profile'!$I$31,IF('Marks Entry'!AQ127=4,'School Profile'!$I$32,IF('Marks Entry'!AQ127=5,'School Profile'!$I$33,IF('Marks Entry'!AQ127=6,'School Profile'!$I$34,IF('Marks Entry'!AQ127=7,'School Profile'!$I$35,IF('Marks Entry'!AQ127=8,'School Profile'!$I$36,IF('Marks Entry'!AQ127=9,'School Profile'!$I$37,IF('Marks Entry'!AQ127=10,'School Profile'!$I$38,IF('Marks Entry'!AQ127=11,'School Profile'!$I$39,"")))))))))))))</f>
        <v/>
      </c>
      <c r="CT127" s="68" t="str">
        <f>IF('School Profile'!$D$20="NO","",IF('Marks Entry'!AR127="","",'Marks Entry'!AR127))</f>
        <v/>
      </c>
      <c r="CU127" s="68" t="str">
        <f>IF('School Profile'!$D$20="NO","",IF('Marks Entry'!AS127="","",'Marks Entry'!AS127))</f>
        <v/>
      </c>
      <c r="CV127" s="68" t="str">
        <f>IF('School Profile'!$D$20="NO","",IF('Marks Entry'!AT127="","",'Marks Entry'!AT127))</f>
        <v/>
      </c>
      <c r="CW127" s="514" t="str">
        <f>IF('School Profile'!$D$20="NO","",IF(AND(CT127="",CU127="",CV127=""),"",SUM(CT127:CV127)))</f>
        <v/>
      </c>
      <c r="CX127" s="68" t="str">
        <f>IF('School Profile'!$D$20="NO","",IF('Marks Entry'!AU127="","",'Marks Entry'!AU127))</f>
        <v/>
      </c>
      <c r="CY127" s="68" t="str">
        <f>IF('School Profile'!$D$20="NO","",IF('Marks Entry'!AV127="","",'Marks Entry'!AV127))</f>
        <v/>
      </c>
      <c r="CZ127" s="515" t="str">
        <f>IF('School Profile'!$D$20="NO","",IF(AND(CX127="",CY127=""),"",SUM(CX127,CY127)))</f>
        <v/>
      </c>
      <c r="DA127" s="69" t="str">
        <f>IF('School Profile'!$D$20="NO","",IF(AND(CW127="",CZ127=""),"",SUM(CW127+CZ127)))</f>
        <v/>
      </c>
      <c r="DB127" s="68" t="str">
        <f>IF('School Profile'!$D$20="NO","",IF('Marks Entry'!AW127="","",'Marks Entry'!AW127))</f>
        <v/>
      </c>
      <c r="DC127" s="68" t="str">
        <f>IF('School Profile'!$D$20="NO","",IF('Marks Entry'!AX127="","",'Marks Entry'!AX127))</f>
        <v/>
      </c>
      <c r="DD127" s="515" t="str">
        <f>IF('School Profile'!$D$20="NO","",IF(AND(DB127="",DC127=""),"",SUM(DB127,DC127)))</f>
        <v/>
      </c>
      <c r="DE127" s="96" t="str">
        <f>IF('School Profile'!$D$20="NO","",IF(AND(DA127="",DD127=""),"",SUM(DA127,DD127)))</f>
        <v/>
      </c>
      <c r="DF127" s="532">
        <f t="shared" si="219"/>
        <v>0</v>
      </c>
      <c r="DG127" s="65">
        <f t="shared" si="220"/>
        <v>0</v>
      </c>
      <c r="DH127" s="66" t="str">
        <f t="shared" si="221"/>
        <v/>
      </c>
      <c r="DI127" s="65" t="str">
        <f t="shared" si="222"/>
        <v/>
      </c>
      <c r="DJ127" s="65" t="str">
        <f t="shared" si="223"/>
        <v/>
      </c>
      <c r="DK127" s="65" t="str">
        <f t="shared" si="224"/>
        <v/>
      </c>
      <c r="DL127" s="97" t="str">
        <f t="shared" si="264"/>
        <v/>
      </c>
      <c r="DM127" s="97" t="str">
        <f t="shared" si="265"/>
        <v/>
      </c>
      <c r="DN127" s="97" t="str">
        <f t="shared" si="266"/>
        <v/>
      </c>
      <c r="DO127" s="97" t="str">
        <f t="shared" si="267"/>
        <v/>
      </c>
      <c r="DP127" s="97" t="str">
        <f t="shared" si="268"/>
        <v/>
      </c>
      <c r="DQ127" s="97" t="str">
        <f t="shared" si="269"/>
        <v/>
      </c>
      <c r="DR127" s="97" t="str">
        <f t="shared" si="270"/>
        <v/>
      </c>
      <c r="DS127" s="98">
        <f t="shared" si="271"/>
        <v>0</v>
      </c>
      <c r="DT127" s="98">
        <f t="shared" si="272"/>
        <v>0</v>
      </c>
      <c r="DU127" s="98">
        <f t="shared" si="273"/>
        <v>0</v>
      </c>
      <c r="DV127" s="98">
        <f t="shared" si="274"/>
        <v>0</v>
      </c>
      <c r="DW127" s="98">
        <f t="shared" si="275"/>
        <v>0</v>
      </c>
      <c r="DX127" s="98" t="str">
        <f t="shared" si="276"/>
        <v/>
      </c>
      <c r="DY127" s="99" t="str">
        <f t="shared" si="277"/>
        <v/>
      </c>
      <c r="DZ127" s="74" t="str">
        <f>IF('Marks Entry'!AY127="","",'Marks Entry'!AY127)</f>
        <v/>
      </c>
      <c r="EA127" s="74" t="str">
        <f>IF('Marks Entry'!AZ127="","",'Marks Entry'!AZ127)</f>
        <v/>
      </c>
      <c r="EB127" s="74" t="str">
        <f>IF('Marks Entry'!BA127="","",'Marks Entry'!BA127)</f>
        <v/>
      </c>
      <c r="EC127" s="527" t="str">
        <f t="shared" si="225"/>
        <v/>
      </c>
      <c r="ED127" s="74" t="str">
        <f>IF('Marks Entry'!BB127="","",'Marks Entry'!BB127)</f>
        <v/>
      </c>
      <c r="EE127" s="528" t="str">
        <f t="shared" si="226"/>
        <v/>
      </c>
      <c r="EF127" s="74" t="str">
        <f>IF('Marks Entry'!BC127="","",'Marks Entry'!BC127)</f>
        <v/>
      </c>
      <c r="EG127" s="530" t="str">
        <f t="shared" si="227"/>
        <v/>
      </c>
      <c r="EH127" s="368" t="str">
        <f t="shared" si="278"/>
        <v/>
      </c>
      <c r="EI127" s="65">
        <f t="shared" si="279"/>
        <v>0</v>
      </c>
      <c r="EJ127" s="65">
        <f t="shared" si="280"/>
        <v>0</v>
      </c>
      <c r="EK127" s="66" t="str">
        <f t="shared" si="281"/>
        <v/>
      </c>
      <c r="EL127" s="74" t="str">
        <f>IF('Marks Entry'!BD127="","",'Marks Entry'!BD127)</f>
        <v/>
      </c>
      <c r="EM127" s="74" t="str">
        <f>IF('Marks Entry'!BE127="","",'Marks Entry'!BE127)</f>
        <v/>
      </c>
      <c r="EN127" s="74" t="str">
        <f>IF('Marks Entry'!BF127="","",'Marks Entry'!BF127)</f>
        <v/>
      </c>
      <c r="EO127" s="527" t="str">
        <f t="shared" si="228"/>
        <v/>
      </c>
      <c r="EP127" s="74" t="str">
        <f>IF('Marks Entry'!BG127="","",'Marks Entry'!BG127)</f>
        <v/>
      </c>
      <c r="EQ127" s="74" t="str">
        <f>IF('Marks Entry'!BH127="","",'Marks Entry'!BH127)</f>
        <v/>
      </c>
      <c r="ER127" s="528" t="str">
        <f t="shared" si="229"/>
        <v/>
      </c>
      <c r="ES127" s="529" t="str">
        <f t="shared" si="230"/>
        <v/>
      </c>
      <c r="ET127" s="74" t="str">
        <f>IF('Marks Entry'!BI127="","",'Marks Entry'!BI127)</f>
        <v/>
      </c>
      <c r="EU127" s="74" t="str">
        <f>IF('Marks Entry'!BJ127="","",'Marks Entry'!BJ127)</f>
        <v/>
      </c>
      <c r="EV127" s="528" t="str">
        <f t="shared" si="231"/>
        <v/>
      </c>
      <c r="EW127" s="530" t="str">
        <f t="shared" si="232"/>
        <v/>
      </c>
      <c r="EX127" s="368" t="str">
        <f t="shared" si="282"/>
        <v/>
      </c>
      <c r="EY127" s="65">
        <f t="shared" si="283"/>
        <v>0</v>
      </c>
      <c r="EZ127" s="65">
        <f t="shared" si="284"/>
        <v>0</v>
      </c>
      <c r="FA127" s="66" t="str">
        <f t="shared" si="285"/>
        <v/>
      </c>
      <c r="FB127" s="74" t="str">
        <f>IF('Marks Entry'!BK127="","",'Marks Entry'!BK127)</f>
        <v/>
      </c>
      <c r="FC127" s="74" t="str">
        <f>IF('Marks Entry'!BL127="","",'Marks Entry'!BL127)</f>
        <v/>
      </c>
      <c r="FD127" s="74" t="str">
        <f>IF('Marks Entry'!BM127="","",'Marks Entry'!BM127)</f>
        <v/>
      </c>
      <c r="FE127" s="74" t="str">
        <f>IF('Marks Entry'!BN127="","",'Marks Entry'!BN127)</f>
        <v/>
      </c>
      <c r="FF127" s="74" t="str">
        <f>IF('Marks Entry'!BO127="","",'Marks Entry'!BO127)</f>
        <v/>
      </c>
      <c r="FG127" s="74" t="str">
        <f>IF('Marks Entry'!BP127="","",'Marks Entry'!BP127)</f>
        <v/>
      </c>
      <c r="FH127" s="527" t="str">
        <f t="shared" si="233"/>
        <v/>
      </c>
      <c r="FI127" s="74" t="str">
        <f>IF('Marks Entry'!BQ127="","",'Marks Entry'!BQ127)</f>
        <v/>
      </c>
      <c r="FJ127" s="74" t="str">
        <f>IF('Marks Entry'!BR127="","",'Marks Entry'!BR127)</f>
        <v/>
      </c>
      <c r="FK127" s="528" t="str">
        <f t="shared" si="234"/>
        <v/>
      </c>
      <c r="FL127" s="529" t="str">
        <f t="shared" si="235"/>
        <v/>
      </c>
      <c r="FM127" s="74" t="str">
        <f>IF('Marks Entry'!BS127="","",'Marks Entry'!BS127)</f>
        <v/>
      </c>
      <c r="FN127" s="74" t="str">
        <f>IF('Marks Entry'!BT127="","",'Marks Entry'!BT127)</f>
        <v/>
      </c>
      <c r="FO127" s="528" t="str">
        <f t="shared" si="236"/>
        <v/>
      </c>
      <c r="FP127" s="530" t="str">
        <f t="shared" si="237"/>
        <v/>
      </c>
      <c r="FQ127" s="368" t="str">
        <f t="shared" si="286"/>
        <v/>
      </c>
      <c r="FR127" s="65">
        <f t="shared" si="287"/>
        <v>0</v>
      </c>
      <c r="FS127" s="65">
        <f t="shared" si="288"/>
        <v>0</v>
      </c>
      <c r="FT127" s="66" t="str">
        <f t="shared" si="289"/>
        <v/>
      </c>
      <c r="FU127" s="74" t="str">
        <f>IF('Marks Entry'!BU127="","",'Marks Entry'!BU127)</f>
        <v/>
      </c>
      <c r="FV127" s="74" t="str">
        <f>IF('Marks Entry'!BV127="","",'Marks Entry'!BV127)</f>
        <v/>
      </c>
      <c r="FW127" s="74" t="str">
        <f>IF('Marks Entry'!BW127="","",'Marks Entry'!BW127)</f>
        <v/>
      </c>
      <c r="FX127" s="75" t="str">
        <f t="shared" si="238"/>
        <v/>
      </c>
      <c r="FY127" s="368" t="str">
        <f t="shared" si="290"/>
        <v/>
      </c>
      <c r="FZ127" s="65">
        <f t="shared" si="291"/>
        <v>0</v>
      </c>
      <c r="GA127" s="66">
        <f t="shared" si="292"/>
        <v>0</v>
      </c>
      <c r="GB127" s="66" t="str">
        <f t="shared" si="293"/>
        <v/>
      </c>
      <c r="GC127" s="74" t="str">
        <f>IF('Marks Entry'!BX127="","",'Marks Entry'!BX127)</f>
        <v/>
      </c>
      <c r="GD127" s="74" t="str">
        <f>IF('Marks Entry'!BY127="","",'Marks Entry'!BY127)</f>
        <v/>
      </c>
      <c r="GE127" s="74" t="str">
        <f>IF('Marks Entry'!BZ127="","",'Marks Entry'!BZ127)</f>
        <v/>
      </c>
      <c r="GF127" s="75" t="str">
        <f t="shared" si="294"/>
        <v/>
      </c>
      <c r="GG127" s="368" t="str">
        <f t="shared" si="295"/>
        <v/>
      </c>
      <c r="GH127" s="65">
        <f t="shared" si="296"/>
        <v>0</v>
      </c>
      <c r="GI127" s="66">
        <f t="shared" si="297"/>
        <v>0</v>
      </c>
      <c r="GJ127" s="66" t="str">
        <f t="shared" si="298"/>
        <v/>
      </c>
      <c r="GK127" s="100" t="str">
        <f>IF(AND(F127="",B127=""),"",IF('Student DATA Entry'!M124="","",'Student DATA Entry'!M124))</f>
        <v/>
      </c>
      <c r="GL127" s="101" t="str">
        <f>IF(AND(B127="",F127=""),"",IF('Student DATA Entry'!N124="","",'Student DATA Entry'!N124))</f>
        <v/>
      </c>
      <c r="GM127" s="581" t="str">
        <f t="shared" si="299"/>
        <v/>
      </c>
      <c r="GN127" s="94" t="str">
        <f t="shared" si="300"/>
        <v/>
      </c>
      <c r="GO127" s="94" t="str">
        <f t="shared" si="301"/>
        <v/>
      </c>
      <c r="GP127" s="102" t="str">
        <f t="shared" si="330"/>
        <v/>
      </c>
      <c r="GQ127" s="94" t="str">
        <f t="shared" si="302"/>
        <v/>
      </c>
      <c r="GR127" s="103" t="str">
        <f t="shared" si="303"/>
        <v/>
      </c>
      <c r="GS127" s="102" t="str">
        <f t="shared" si="331"/>
        <v/>
      </c>
      <c r="GT127" s="104" t="str">
        <f t="shared" si="304"/>
        <v/>
      </c>
      <c r="GU127" s="94" t="str">
        <f>IF('Marks Entry'!V127=1,GT127,"")</f>
        <v/>
      </c>
      <c r="GV127" s="94" t="str">
        <f>IF('Marks Entry'!V127=2,GT127,"")</f>
        <v/>
      </c>
      <c r="GW127" s="94" t="str">
        <f>IF('Marks Entry'!V127=3,GT127,"")</f>
        <v/>
      </c>
      <c r="GX127" s="94" t="str">
        <f>IF('Marks Entry'!V127=4,GT127,"")</f>
        <v/>
      </c>
      <c r="GY127" s="94" t="str">
        <f>IF('Marks Entry'!V127=5,GT127,"")</f>
        <v/>
      </c>
      <c r="GZ127" s="94" t="str">
        <f t="shared" si="305"/>
        <v/>
      </c>
      <c r="HA127" s="105" t="str">
        <f t="shared" si="332"/>
        <v/>
      </c>
      <c r="HB127" s="94" t="str">
        <f t="shared" si="306"/>
        <v/>
      </c>
      <c r="HC127" s="94" t="str">
        <f t="shared" si="307"/>
        <v/>
      </c>
      <c r="HD127" s="105" t="str">
        <f t="shared" si="333"/>
        <v/>
      </c>
      <c r="HE127" s="94" t="str">
        <f t="shared" si="308"/>
        <v/>
      </c>
      <c r="HF127" s="94" t="str">
        <f t="shared" si="309"/>
        <v/>
      </c>
      <c r="HG127" s="105" t="str">
        <f t="shared" si="334"/>
        <v/>
      </c>
      <c r="HH127" s="94" t="str">
        <f t="shared" si="310"/>
        <v/>
      </c>
      <c r="HI127" s="94" t="str">
        <f t="shared" si="311"/>
        <v/>
      </c>
      <c r="HJ127" s="105" t="str">
        <f t="shared" si="335"/>
        <v/>
      </c>
      <c r="HK127" s="94" t="str">
        <f t="shared" si="312"/>
        <v/>
      </c>
      <c r="HL127" s="94" t="str">
        <f t="shared" si="313"/>
        <v/>
      </c>
      <c r="HM127" s="105" t="str">
        <f t="shared" si="336"/>
        <v/>
      </c>
      <c r="HN127" s="367" t="str">
        <f t="shared" si="314"/>
        <v xml:space="preserve">      </v>
      </c>
      <c r="HO127" s="418" t="str">
        <f t="shared" si="337"/>
        <v xml:space="preserve">      </v>
      </c>
      <c r="HP127" s="367" t="str">
        <f t="shared" si="315"/>
        <v xml:space="preserve">      </v>
      </c>
      <c r="HQ127" s="107" t="str">
        <f t="shared" si="316"/>
        <v xml:space="preserve">      </v>
      </c>
      <c r="HR127" s="366" t="str">
        <f t="shared" si="317"/>
        <v xml:space="preserve">      </v>
      </c>
      <c r="HS127" s="544" t="str">
        <f t="shared" si="338"/>
        <v/>
      </c>
      <c r="HT127" s="542" t="str">
        <f t="shared" si="318"/>
        <v/>
      </c>
      <c r="HU127" s="541" t="str">
        <f t="shared" si="319"/>
        <v/>
      </c>
      <c r="HV127" s="540" t="str">
        <f t="shared" si="320"/>
        <v/>
      </c>
      <c r="HW127" s="537" t="str">
        <f t="shared" si="321"/>
        <v/>
      </c>
      <c r="HX127" s="539" t="str">
        <f t="shared" si="322"/>
        <v/>
      </c>
      <c r="HY127" s="553" t="str">
        <f>IFERROR(IF(OR(HS127="SUPPLEMENTARY",HS127="RE-EXAM"),'Supp. Result Entry'!AQ125,""),"")</f>
        <v/>
      </c>
      <c r="HZ127" s="538" t="str">
        <f t="shared" si="323"/>
        <v/>
      </c>
      <c r="IA127" s="415" t="str">
        <f t="shared" si="324"/>
        <v/>
      </c>
      <c r="IB127" s="415" t="str">
        <f>IF(AND(HZ127="",IA127=""),"",IF(OR(HS127="SUPPLEMENTARY",HS127="RE-EXAM"),'Supp. Result Entry'!AQ125,HS127))</f>
        <v/>
      </c>
      <c r="IC127" s="87"/>
      <c r="IS127" s="109" t="str">
        <f>IF('Supp. Result Entry'!T125="","",'Supp. Result Entry'!$T$4)</f>
        <v/>
      </c>
      <c r="IT127" s="110" t="str">
        <f>IF('Supp. Result Entry'!W125="","",'Supp. Result Entry'!$W$4)</f>
        <v/>
      </c>
      <c r="IU127" s="110" t="str">
        <f>IF('Supp. Result Entry'!Z125="","",'Supp. Result Entry'!$Z$4)</f>
        <v/>
      </c>
      <c r="IV127" s="110" t="str">
        <f>IF('Supp. Result Entry'!AC125="","",'Supp. Result Entry'!$AC$4)</f>
        <v/>
      </c>
      <c r="IW127" s="110" t="str">
        <f>IF('Supp. Result Entry'!AF125="","",'Supp. Result Entry'!$AF$4)</f>
        <v/>
      </c>
      <c r="IX127" s="110" t="str">
        <f>IF('Supp. Result Entry'!AI125="","",'Supp. Result Entry'!$AI$4)</f>
        <v/>
      </c>
      <c r="IY127" s="110" t="str">
        <f>IF('Supp. Result Entry'!AI125="","",'Supp. Result Entry'!$AL$4)</f>
        <v/>
      </c>
      <c r="IZ127" s="110" t="str">
        <f>IF('Supp. Result Entry'!U125="","",'Supp. Result Entry'!U125)</f>
        <v/>
      </c>
      <c r="JA127" s="110" t="str">
        <f>IF('Supp. Result Entry'!X125="","",'Supp. Result Entry'!X125)</f>
        <v/>
      </c>
      <c r="JB127" s="110" t="str">
        <f>IF('Supp. Result Entry'!AA125="","",'Supp. Result Entry'!AA125)</f>
        <v/>
      </c>
      <c r="JC127" s="110" t="str">
        <f>IF('Supp. Result Entry'!AD125="","",'Supp. Result Entry'!AD125)</f>
        <v/>
      </c>
      <c r="JD127" s="110" t="str">
        <f>IF('Supp. Result Entry'!AG125="","",'Supp. Result Entry'!AG125)</f>
        <v/>
      </c>
      <c r="JE127" s="110" t="str">
        <f>IF('Supp. Result Entry'!AJ125="","",'Supp. Result Entry'!AJ125)</f>
        <v/>
      </c>
      <c r="JF127" s="110" t="str">
        <f>IF('Supp. Result Entry'!AM125="","",'Supp. Result Entry'!AM125)</f>
        <v/>
      </c>
      <c r="JG127" s="110" t="str">
        <f>IF('Supp. Result Entry'!V125="","",'Supp. Result Entry'!V125)</f>
        <v/>
      </c>
      <c r="JH127" s="110" t="str">
        <f>IF('Supp. Result Entry'!Y125="","",'Supp. Result Entry'!Y125)</f>
        <v/>
      </c>
      <c r="JI127" s="110" t="str">
        <f>IF('Supp. Result Entry'!AB125="","",'Supp. Result Entry'!AB125)</f>
        <v/>
      </c>
      <c r="JJ127" s="110" t="str">
        <f>IF('Supp. Result Entry'!AE125="","",'Supp. Result Entry'!AE125)</f>
        <v/>
      </c>
      <c r="JK127" s="110" t="str">
        <f>IF('Supp. Result Entry'!AH125="","",'Supp. Result Entry'!AH125)</f>
        <v/>
      </c>
      <c r="JL127" s="110" t="str">
        <f>IF('Supp. Result Entry'!AK125="","",'Supp. Result Entry'!AK125)</f>
        <v/>
      </c>
      <c r="JM127" s="110" t="str">
        <f>IF('Supp. Result Entry'!AN125="","",'Supp. Result Entry'!AN125)</f>
        <v/>
      </c>
      <c r="JN127" s="110">
        <f>COUNTIF('Supp. Result Entry'!K125:Q125,"S")</f>
        <v>0</v>
      </c>
      <c r="JO127" s="110">
        <f t="shared" si="248"/>
        <v>0</v>
      </c>
      <c r="JP127" s="110">
        <f t="shared" si="325"/>
        <v>0</v>
      </c>
      <c r="JQ127" s="110" t="str">
        <f t="shared" si="249"/>
        <v/>
      </c>
      <c r="JR127" s="110" t="str">
        <f t="shared" si="250"/>
        <v/>
      </c>
      <c r="JS127" s="110" t="str">
        <f t="shared" si="251"/>
        <v/>
      </c>
      <c r="JT127" s="110" t="str">
        <f t="shared" si="252"/>
        <v/>
      </c>
      <c r="JU127" s="110" t="str">
        <f t="shared" si="253"/>
        <v/>
      </c>
      <c r="JV127" s="110" t="str">
        <f t="shared" si="254"/>
        <v/>
      </c>
      <c r="JW127" s="110" t="str">
        <f t="shared" si="255"/>
        <v/>
      </c>
      <c r="JX127" s="110" t="str">
        <f t="shared" si="326"/>
        <v/>
      </c>
      <c r="JY127" s="110" t="str">
        <f t="shared" si="327"/>
        <v/>
      </c>
      <c r="JZ127" s="110" t="str">
        <f t="shared" si="256"/>
        <v/>
      </c>
      <c r="KA127" s="108" t="str">
        <f t="shared" si="328"/>
        <v/>
      </c>
    </row>
    <row r="128" spans="1:287" s="108" customFormat="1" ht="21.95" customHeight="1">
      <c r="A128" s="89">
        <v>122</v>
      </c>
      <c r="B128" s="90" t="str">
        <f>IF('Marks Entry'!B128="","",'Marks Entry'!B128)</f>
        <v/>
      </c>
      <c r="C128" s="94" t="str">
        <f>IF('Marks Entry'!D128="","",'Marks Entry'!D128)</f>
        <v/>
      </c>
      <c r="D128" s="91" t="str">
        <f>IF('Marks Entry'!E128="","",'Marks Entry'!E128)</f>
        <v/>
      </c>
      <c r="E128" s="92" t="str">
        <f>IF('Marks Entry'!F128="","",'Marks Entry'!F128)</f>
        <v/>
      </c>
      <c r="F128" s="93" t="str">
        <f>IF('Marks Entry'!G128="","",'Marks Entry'!G128)</f>
        <v/>
      </c>
      <c r="G128" s="93" t="str">
        <f>IF('Marks Entry'!H128="","",'Marks Entry'!H128)</f>
        <v/>
      </c>
      <c r="H128" s="93" t="str">
        <f>IF('Marks Entry'!I128="","",'Marks Entry'!I128)</f>
        <v/>
      </c>
      <c r="I128" s="94" t="str">
        <f>IF('Marks Entry'!J128="","",'Marks Entry'!J128)</f>
        <v/>
      </c>
      <c r="J128" s="95" t="str">
        <f>IF('Marks Entry'!K128="","",'Marks Entry'!K128)</f>
        <v/>
      </c>
      <c r="K128" s="68" t="str">
        <f>IF('Marks Entry'!L128="","",'Marks Entry'!L128)</f>
        <v/>
      </c>
      <c r="L128" s="68" t="str">
        <f>IF('Marks Entry'!M128="","",'Marks Entry'!M128)</f>
        <v/>
      </c>
      <c r="M128" s="68" t="str">
        <f>IF('Marks Entry'!N128="","",'Marks Entry'!N128)</f>
        <v/>
      </c>
      <c r="N128" s="514" t="str">
        <f t="shared" si="257"/>
        <v/>
      </c>
      <c r="O128" s="68" t="str">
        <f>IF('Marks Entry'!O128="","",'Marks Entry'!O128)</f>
        <v/>
      </c>
      <c r="P128" s="515" t="str">
        <f t="shared" si="258"/>
        <v/>
      </c>
      <c r="Q128" s="68" t="str">
        <f>IF('Marks Entry'!P128="","",'Marks Entry'!P128)</f>
        <v/>
      </c>
      <c r="R128" s="96" t="str">
        <f t="shared" si="259"/>
        <v/>
      </c>
      <c r="S128" s="65">
        <f t="shared" si="260"/>
        <v>0</v>
      </c>
      <c r="T128" s="65">
        <f t="shared" si="261"/>
        <v>0</v>
      </c>
      <c r="U128" s="66" t="str">
        <f t="shared" si="171"/>
        <v/>
      </c>
      <c r="V128" s="65" t="str">
        <f t="shared" si="172"/>
        <v/>
      </c>
      <c r="W128" s="65" t="str">
        <f t="shared" si="262"/>
        <v/>
      </c>
      <c r="X128" s="65" t="str">
        <f t="shared" si="173"/>
        <v/>
      </c>
      <c r="Y128" s="68" t="str">
        <f>IF('Marks Entry'!Q128="","",'Marks Entry'!Q128)</f>
        <v/>
      </c>
      <c r="Z128" s="68" t="str">
        <f>IF('Marks Entry'!R128="","",'Marks Entry'!R128)</f>
        <v/>
      </c>
      <c r="AA128" s="68" t="str">
        <f>IF('Marks Entry'!S128="","",'Marks Entry'!S128)</f>
        <v/>
      </c>
      <c r="AB128" s="514" t="str">
        <f t="shared" si="174"/>
        <v/>
      </c>
      <c r="AC128" s="68" t="str">
        <f>IF('Marks Entry'!T128="","",'Marks Entry'!T128)</f>
        <v/>
      </c>
      <c r="AD128" s="515" t="str">
        <f t="shared" si="175"/>
        <v/>
      </c>
      <c r="AE128" s="68" t="str">
        <f>IF('Marks Entry'!U128="","",'Marks Entry'!U128)</f>
        <v/>
      </c>
      <c r="AF128" s="96" t="str">
        <f t="shared" si="176"/>
        <v/>
      </c>
      <c r="AG128" s="65">
        <f t="shared" si="177"/>
        <v>0</v>
      </c>
      <c r="AH128" s="65">
        <f t="shared" si="178"/>
        <v>0</v>
      </c>
      <c r="AI128" s="66" t="str">
        <f t="shared" si="179"/>
        <v/>
      </c>
      <c r="AJ128" s="65" t="str">
        <f t="shared" si="180"/>
        <v/>
      </c>
      <c r="AK128" s="65" t="str">
        <f t="shared" si="181"/>
        <v/>
      </c>
      <c r="AL128" s="65" t="str">
        <f t="shared" si="182"/>
        <v/>
      </c>
      <c r="AM128" s="524" t="str">
        <f>IF('Marks Entry'!V128="","",IF('Marks Entry'!V128=1,'School Profile'!$I$9,IF('Marks Entry'!V128=2,'School Profile'!$I$10,IF('Marks Entry'!V128=3,'School Profile'!$I$11,IF('Marks Entry'!V128=4,'School Profile'!$I$12,IF('Marks Entry'!V128=5,'School Profile'!$I$13,IF('Marks Entry'!V128=6,'School Profile'!$I$14,"")))))))</f>
        <v/>
      </c>
      <c r="AN128" s="68" t="str">
        <f>IF('Marks Entry'!W128="","",'Marks Entry'!W128)</f>
        <v/>
      </c>
      <c r="AO128" s="68" t="str">
        <f>IF('Marks Entry'!X128="","",'Marks Entry'!X128)</f>
        <v/>
      </c>
      <c r="AP128" s="68" t="str">
        <f>IF('Marks Entry'!Y128="","",'Marks Entry'!Y128)</f>
        <v/>
      </c>
      <c r="AQ128" s="514" t="str">
        <f t="shared" si="183"/>
        <v/>
      </c>
      <c r="AR128" s="68" t="str">
        <f>IF('Marks Entry'!Z128="","",'Marks Entry'!Z128)</f>
        <v/>
      </c>
      <c r="AS128" s="515" t="str">
        <f t="shared" si="184"/>
        <v/>
      </c>
      <c r="AT128" s="68" t="str">
        <f>IF('Marks Entry'!AA128="","",'Marks Entry'!AA128)</f>
        <v/>
      </c>
      <c r="AU128" s="96" t="str">
        <f t="shared" si="185"/>
        <v/>
      </c>
      <c r="AV128" s="65">
        <f t="shared" si="186"/>
        <v>0</v>
      </c>
      <c r="AW128" s="65">
        <f t="shared" si="187"/>
        <v>0</v>
      </c>
      <c r="AX128" s="66" t="str">
        <f t="shared" si="188"/>
        <v/>
      </c>
      <c r="AY128" s="65" t="str">
        <f t="shared" si="189"/>
        <v/>
      </c>
      <c r="AZ128" s="65" t="str">
        <f t="shared" si="190"/>
        <v/>
      </c>
      <c r="BA128" s="65" t="str">
        <f t="shared" si="191"/>
        <v/>
      </c>
      <c r="BB128" s="68" t="str">
        <f>IF('Marks Entry'!AB128="","",'Marks Entry'!AB128)</f>
        <v/>
      </c>
      <c r="BC128" s="68" t="str">
        <f>IF('Marks Entry'!AC128="","",'Marks Entry'!AC128)</f>
        <v/>
      </c>
      <c r="BD128" s="68" t="str">
        <f>IF('Marks Entry'!AD128="","",'Marks Entry'!AD128)</f>
        <v/>
      </c>
      <c r="BE128" s="514" t="str">
        <f t="shared" si="192"/>
        <v/>
      </c>
      <c r="BF128" s="68" t="str">
        <f>IF('Marks Entry'!AE128="","",'Marks Entry'!AE128)</f>
        <v/>
      </c>
      <c r="BG128" s="515" t="str">
        <f t="shared" si="193"/>
        <v/>
      </c>
      <c r="BH128" s="68" t="str">
        <f>IF('Marks Entry'!AF128="","",'Marks Entry'!AF128)</f>
        <v/>
      </c>
      <c r="BI128" s="96" t="str">
        <f t="shared" si="194"/>
        <v/>
      </c>
      <c r="BJ128" s="65">
        <f t="shared" si="195"/>
        <v>0</v>
      </c>
      <c r="BK128" s="65">
        <f t="shared" si="263"/>
        <v>0</v>
      </c>
      <c r="BL128" s="66" t="str">
        <f t="shared" si="196"/>
        <v/>
      </c>
      <c r="BM128" s="65" t="str">
        <f t="shared" si="197"/>
        <v/>
      </c>
      <c r="BN128" s="65" t="str">
        <f t="shared" si="198"/>
        <v/>
      </c>
      <c r="BO128" s="65" t="str">
        <f t="shared" si="199"/>
        <v/>
      </c>
      <c r="BP128" s="68" t="str">
        <f>IF('Marks Entry'!AG128="","",'Marks Entry'!AG128)</f>
        <v/>
      </c>
      <c r="BQ128" s="68" t="str">
        <f>IF('Marks Entry'!AH128="","",'Marks Entry'!AH128)</f>
        <v/>
      </c>
      <c r="BR128" s="68" t="str">
        <f>IF('Marks Entry'!AI128="","",'Marks Entry'!AI128)</f>
        <v/>
      </c>
      <c r="BS128" s="514" t="str">
        <f t="shared" si="200"/>
        <v/>
      </c>
      <c r="BT128" s="68" t="str">
        <f>IF('Marks Entry'!AJ128="","",'Marks Entry'!AJ128)</f>
        <v/>
      </c>
      <c r="BU128" s="515" t="str">
        <f t="shared" si="201"/>
        <v/>
      </c>
      <c r="BV128" s="68" t="str">
        <f>IF('Marks Entry'!AK128="","",'Marks Entry'!AK128)</f>
        <v/>
      </c>
      <c r="BW128" s="96" t="str">
        <f t="shared" si="202"/>
        <v/>
      </c>
      <c r="BX128" s="65">
        <f t="shared" si="203"/>
        <v>0</v>
      </c>
      <c r="BY128" s="65">
        <f t="shared" si="204"/>
        <v>0</v>
      </c>
      <c r="BZ128" s="66" t="str">
        <f t="shared" si="205"/>
        <v/>
      </c>
      <c r="CA128" s="65" t="str">
        <f t="shared" si="206"/>
        <v/>
      </c>
      <c r="CB128" s="65" t="str">
        <f t="shared" si="207"/>
        <v/>
      </c>
      <c r="CC128" s="65" t="str">
        <f t="shared" si="208"/>
        <v/>
      </c>
      <c r="CD128" s="66">
        <f t="shared" si="329"/>
        <v>0</v>
      </c>
      <c r="CE128" s="68" t="str">
        <f>IF('Marks Entry'!AL128="","",'Marks Entry'!AL128)</f>
        <v/>
      </c>
      <c r="CF128" s="68" t="str">
        <f>IF('Marks Entry'!AM128="","",'Marks Entry'!AM128)</f>
        <v/>
      </c>
      <c r="CG128" s="68" t="str">
        <f>IF('Marks Entry'!AN128="","",'Marks Entry'!AN128)</f>
        <v/>
      </c>
      <c r="CH128" s="514" t="str">
        <f t="shared" si="210"/>
        <v/>
      </c>
      <c r="CI128" s="68" t="str">
        <f>IF('Marks Entry'!AO128="","",'Marks Entry'!AO128)</f>
        <v/>
      </c>
      <c r="CJ128" s="515" t="str">
        <f t="shared" si="211"/>
        <v/>
      </c>
      <c r="CK128" s="68" t="str">
        <f>IF('Marks Entry'!AP128="","",'Marks Entry'!AP128)</f>
        <v/>
      </c>
      <c r="CL128" s="96" t="str">
        <f t="shared" si="212"/>
        <v/>
      </c>
      <c r="CM128" s="65">
        <f t="shared" si="213"/>
        <v>0</v>
      </c>
      <c r="CN128" s="65">
        <f t="shared" si="214"/>
        <v>0</v>
      </c>
      <c r="CO128" s="66" t="str">
        <f t="shared" si="215"/>
        <v/>
      </c>
      <c r="CP128" s="65" t="str">
        <f t="shared" si="216"/>
        <v/>
      </c>
      <c r="CQ128" s="65" t="str">
        <f t="shared" si="217"/>
        <v/>
      </c>
      <c r="CR128" s="65" t="str">
        <f t="shared" si="218"/>
        <v/>
      </c>
      <c r="CS128" s="616" t="str">
        <f>IF('School Profile'!$D$20="NO","",IF('Marks Entry'!AQ128="","",IF('Marks Entry'!AQ128=1,'School Profile'!$I$29,IF('Marks Entry'!AQ128=2,'School Profile'!$I$30,IF('Marks Entry'!AQ128=3,'School Profile'!$I$31,IF('Marks Entry'!AQ128=4,'School Profile'!$I$32,IF('Marks Entry'!AQ128=5,'School Profile'!$I$33,IF('Marks Entry'!AQ128=6,'School Profile'!$I$34,IF('Marks Entry'!AQ128=7,'School Profile'!$I$35,IF('Marks Entry'!AQ128=8,'School Profile'!$I$36,IF('Marks Entry'!AQ128=9,'School Profile'!$I$37,IF('Marks Entry'!AQ128=10,'School Profile'!$I$38,IF('Marks Entry'!AQ128=11,'School Profile'!$I$39,"")))))))))))))</f>
        <v/>
      </c>
      <c r="CT128" s="68" t="str">
        <f>IF('School Profile'!$D$20="NO","",IF('Marks Entry'!AR128="","",'Marks Entry'!AR128))</f>
        <v/>
      </c>
      <c r="CU128" s="68" t="str">
        <f>IF('School Profile'!$D$20="NO","",IF('Marks Entry'!AS128="","",'Marks Entry'!AS128))</f>
        <v/>
      </c>
      <c r="CV128" s="68" t="str">
        <f>IF('School Profile'!$D$20="NO","",IF('Marks Entry'!AT128="","",'Marks Entry'!AT128))</f>
        <v/>
      </c>
      <c r="CW128" s="514" t="str">
        <f>IF('School Profile'!$D$20="NO","",IF(AND(CT128="",CU128="",CV128=""),"",SUM(CT128:CV128)))</f>
        <v/>
      </c>
      <c r="CX128" s="68" t="str">
        <f>IF('School Profile'!$D$20="NO","",IF('Marks Entry'!AU128="","",'Marks Entry'!AU128))</f>
        <v/>
      </c>
      <c r="CY128" s="68" t="str">
        <f>IF('School Profile'!$D$20="NO","",IF('Marks Entry'!AV128="","",'Marks Entry'!AV128))</f>
        <v/>
      </c>
      <c r="CZ128" s="515" t="str">
        <f>IF('School Profile'!$D$20="NO","",IF(AND(CX128="",CY128=""),"",SUM(CX128,CY128)))</f>
        <v/>
      </c>
      <c r="DA128" s="69" t="str">
        <f>IF('School Profile'!$D$20="NO","",IF(AND(CW128="",CZ128=""),"",SUM(CW128+CZ128)))</f>
        <v/>
      </c>
      <c r="DB128" s="68" t="str">
        <f>IF('School Profile'!$D$20="NO","",IF('Marks Entry'!AW128="","",'Marks Entry'!AW128))</f>
        <v/>
      </c>
      <c r="DC128" s="68" t="str">
        <f>IF('School Profile'!$D$20="NO","",IF('Marks Entry'!AX128="","",'Marks Entry'!AX128))</f>
        <v/>
      </c>
      <c r="DD128" s="515" t="str">
        <f>IF('School Profile'!$D$20="NO","",IF(AND(DB128="",DC128=""),"",SUM(DB128,DC128)))</f>
        <v/>
      </c>
      <c r="DE128" s="96" t="str">
        <f>IF('School Profile'!$D$20="NO","",IF(AND(DA128="",DD128=""),"",SUM(DA128,DD128)))</f>
        <v/>
      </c>
      <c r="DF128" s="532">
        <f t="shared" si="219"/>
        <v>0</v>
      </c>
      <c r="DG128" s="65">
        <f t="shared" si="220"/>
        <v>0</v>
      </c>
      <c r="DH128" s="66" t="str">
        <f t="shared" si="221"/>
        <v/>
      </c>
      <c r="DI128" s="65" t="str">
        <f t="shared" si="222"/>
        <v/>
      </c>
      <c r="DJ128" s="65" t="str">
        <f t="shared" si="223"/>
        <v/>
      </c>
      <c r="DK128" s="65" t="str">
        <f t="shared" si="224"/>
        <v/>
      </c>
      <c r="DL128" s="97" t="str">
        <f t="shared" si="264"/>
        <v/>
      </c>
      <c r="DM128" s="97" t="str">
        <f t="shared" si="265"/>
        <v/>
      </c>
      <c r="DN128" s="97" t="str">
        <f t="shared" si="266"/>
        <v/>
      </c>
      <c r="DO128" s="97" t="str">
        <f t="shared" si="267"/>
        <v/>
      </c>
      <c r="DP128" s="97" t="str">
        <f t="shared" si="268"/>
        <v/>
      </c>
      <c r="DQ128" s="97" t="str">
        <f t="shared" si="269"/>
        <v/>
      </c>
      <c r="DR128" s="97" t="str">
        <f t="shared" si="270"/>
        <v/>
      </c>
      <c r="DS128" s="98">
        <f t="shared" si="271"/>
        <v>0</v>
      </c>
      <c r="DT128" s="98">
        <f t="shared" si="272"/>
        <v>0</v>
      </c>
      <c r="DU128" s="98">
        <f t="shared" si="273"/>
        <v>0</v>
      </c>
      <c r="DV128" s="98">
        <f t="shared" si="274"/>
        <v>0</v>
      </c>
      <c r="DW128" s="98">
        <f t="shared" si="275"/>
        <v>0</v>
      </c>
      <c r="DX128" s="98" t="str">
        <f t="shared" si="276"/>
        <v/>
      </c>
      <c r="DY128" s="99" t="str">
        <f t="shared" si="277"/>
        <v/>
      </c>
      <c r="DZ128" s="74" t="str">
        <f>IF('Marks Entry'!AY128="","",'Marks Entry'!AY128)</f>
        <v/>
      </c>
      <c r="EA128" s="74" t="str">
        <f>IF('Marks Entry'!AZ128="","",'Marks Entry'!AZ128)</f>
        <v/>
      </c>
      <c r="EB128" s="74" t="str">
        <f>IF('Marks Entry'!BA128="","",'Marks Entry'!BA128)</f>
        <v/>
      </c>
      <c r="EC128" s="527" t="str">
        <f t="shared" si="225"/>
        <v/>
      </c>
      <c r="ED128" s="74" t="str">
        <f>IF('Marks Entry'!BB128="","",'Marks Entry'!BB128)</f>
        <v/>
      </c>
      <c r="EE128" s="528" t="str">
        <f t="shared" si="226"/>
        <v/>
      </c>
      <c r="EF128" s="74" t="str">
        <f>IF('Marks Entry'!BC128="","",'Marks Entry'!BC128)</f>
        <v/>
      </c>
      <c r="EG128" s="530" t="str">
        <f t="shared" si="227"/>
        <v/>
      </c>
      <c r="EH128" s="368" t="str">
        <f t="shared" si="278"/>
        <v/>
      </c>
      <c r="EI128" s="65">
        <f t="shared" si="279"/>
        <v>0</v>
      </c>
      <c r="EJ128" s="65">
        <f t="shared" si="280"/>
        <v>0</v>
      </c>
      <c r="EK128" s="66" t="str">
        <f t="shared" si="281"/>
        <v/>
      </c>
      <c r="EL128" s="74" t="str">
        <f>IF('Marks Entry'!BD128="","",'Marks Entry'!BD128)</f>
        <v/>
      </c>
      <c r="EM128" s="74" t="str">
        <f>IF('Marks Entry'!BE128="","",'Marks Entry'!BE128)</f>
        <v/>
      </c>
      <c r="EN128" s="74" t="str">
        <f>IF('Marks Entry'!BF128="","",'Marks Entry'!BF128)</f>
        <v/>
      </c>
      <c r="EO128" s="527" t="str">
        <f t="shared" si="228"/>
        <v/>
      </c>
      <c r="EP128" s="74" t="str">
        <f>IF('Marks Entry'!BG128="","",'Marks Entry'!BG128)</f>
        <v/>
      </c>
      <c r="EQ128" s="74" t="str">
        <f>IF('Marks Entry'!BH128="","",'Marks Entry'!BH128)</f>
        <v/>
      </c>
      <c r="ER128" s="528" t="str">
        <f t="shared" si="229"/>
        <v/>
      </c>
      <c r="ES128" s="529" t="str">
        <f t="shared" si="230"/>
        <v/>
      </c>
      <c r="ET128" s="74" t="str">
        <f>IF('Marks Entry'!BI128="","",'Marks Entry'!BI128)</f>
        <v/>
      </c>
      <c r="EU128" s="74" t="str">
        <f>IF('Marks Entry'!BJ128="","",'Marks Entry'!BJ128)</f>
        <v/>
      </c>
      <c r="EV128" s="528" t="str">
        <f t="shared" si="231"/>
        <v/>
      </c>
      <c r="EW128" s="530" t="str">
        <f t="shared" si="232"/>
        <v/>
      </c>
      <c r="EX128" s="368" t="str">
        <f t="shared" si="282"/>
        <v/>
      </c>
      <c r="EY128" s="65">
        <f t="shared" si="283"/>
        <v>0</v>
      </c>
      <c r="EZ128" s="65">
        <f t="shared" si="284"/>
        <v>0</v>
      </c>
      <c r="FA128" s="66" t="str">
        <f t="shared" si="285"/>
        <v/>
      </c>
      <c r="FB128" s="74" t="str">
        <f>IF('Marks Entry'!BK128="","",'Marks Entry'!BK128)</f>
        <v/>
      </c>
      <c r="FC128" s="74" t="str">
        <f>IF('Marks Entry'!BL128="","",'Marks Entry'!BL128)</f>
        <v/>
      </c>
      <c r="FD128" s="74" t="str">
        <f>IF('Marks Entry'!BM128="","",'Marks Entry'!BM128)</f>
        <v/>
      </c>
      <c r="FE128" s="74" t="str">
        <f>IF('Marks Entry'!BN128="","",'Marks Entry'!BN128)</f>
        <v/>
      </c>
      <c r="FF128" s="74" t="str">
        <f>IF('Marks Entry'!BO128="","",'Marks Entry'!BO128)</f>
        <v/>
      </c>
      <c r="FG128" s="74" t="str">
        <f>IF('Marks Entry'!BP128="","",'Marks Entry'!BP128)</f>
        <v/>
      </c>
      <c r="FH128" s="527" t="str">
        <f t="shared" si="233"/>
        <v/>
      </c>
      <c r="FI128" s="74" t="str">
        <f>IF('Marks Entry'!BQ128="","",'Marks Entry'!BQ128)</f>
        <v/>
      </c>
      <c r="FJ128" s="74" t="str">
        <f>IF('Marks Entry'!BR128="","",'Marks Entry'!BR128)</f>
        <v/>
      </c>
      <c r="FK128" s="528" t="str">
        <f t="shared" si="234"/>
        <v/>
      </c>
      <c r="FL128" s="529" t="str">
        <f t="shared" si="235"/>
        <v/>
      </c>
      <c r="FM128" s="74" t="str">
        <f>IF('Marks Entry'!BS128="","",'Marks Entry'!BS128)</f>
        <v/>
      </c>
      <c r="FN128" s="74" t="str">
        <f>IF('Marks Entry'!BT128="","",'Marks Entry'!BT128)</f>
        <v/>
      </c>
      <c r="FO128" s="528" t="str">
        <f t="shared" si="236"/>
        <v/>
      </c>
      <c r="FP128" s="530" t="str">
        <f t="shared" si="237"/>
        <v/>
      </c>
      <c r="FQ128" s="368" t="str">
        <f t="shared" si="286"/>
        <v/>
      </c>
      <c r="FR128" s="65">
        <f t="shared" si="287"/>
        <v>0</v>
      </c>
      <c r="FS128" s="65">
        <f t="shared" si="288"/>
        <v>0</v>
      </c>
      <c r="FT128" s="66" t="str">
        <f t="shared" si="289"/>
        <v/>
      </c>
      <c r="FU128" s="74" t="str">
        <f>IF('Marks Entry'!BU128="","",'Marks Entry'!BU128)</f>
        <v/>
      </c>
      <c r="FV128" s="74" t="str">
        <f>IF('Marks Entry'!BV128="","",'Marks Entry'!BV128)</f>
        <v/>
      </c>
      <c r="FW128" s="74" t="str">
        <f>IF('Marks Entry'!BW128="","",'Marks Entry'!BW128)</f>
        <v/>
      </c>
      <c r="FX128" s="75" t="str">
        <f t="shared" si="238"/>
        <v/>
      </c>
      <c r="FY128" s="368" t="str">
        <f t="shared" si="290"/>
        <v/>
      </c>
      <c r="FZ128" s="65">
        <f t="shared" si="291"/>
        <v>0</v>
      </c>
      <c r="GA128" s="66">
        <f t="shared" si="292"/>
        <v>0</v>
      </c>
      <c r="GB128" s="66" t="str">
        <f t="shared" si="293"/>
        <v/>
      </c>
      <c r="GC128" s="74" t="str">
        <f>IF('Marks Entry'!BX128="","",'Marks Entry'!BX128)</f>
        <v/>
      </c>
      <c r="GD128" s="74" t="str">
        <f>IF('Marks Entry'!BY128="","",'Marks Entry'!BY128)</f>
        <v/>
      </c>
      <c r="GE128" s="74" t="str">
        <f>IF('Marks Entry'!BZ128="","",'Marks Entry'!BZ128)</f>
        <v/>
      </c>
      <c r="GF128" s="75" t="str">
        <f t="shared" si="294"/>
        <v/>
      </c>
      <c r="GG128" s="368" t="str">
        <f t="shared" si="295"/>
        <v/>
      </c>
      <c r="GH128" s="65">
        <f t="shared" si="296"/>
        <v>0</v>
      </c>
      <c r="GI128" s="66">
        <f t="shared" si="297"/>
        <v>0</v>
      </c>
      <c r="GJ128" s="66" t="str">
        <f t="shared" si="298"/>
        <v/>
      </c>
      <c r="GK128" s="100" t="str">
        <f>IF(AND(F128="",B128=""),"",IF('Student DATA Entry'!M125="","",'Student DATA Entry'!M125))</f>
        <v/>
      </c>
      <c r="GL128" s="101" t="str">
        <f>IF(AND(B128="",F128=""),"",IF('Student DATA Entry'!N125="","",'Student DATA Entry'!N125))</f>
        <v/>
      </c>
      <c r="GM128" s="581" t="str">
        <f t="shared" si="299"/>
        <v/>
      </c>
      <c r="GN128" s="94" t="str">
        <f t="shared" si="300"/>
        <v/>
      </c>
      <c r="GO128" s="94" t="str">
        <f t="shared" si="301"/>
        <v/>
      </c>
      <c r="GP128" s="102" t="str">
        <f t="shared" si="330"/>
        <v/>
      </c>
      <c r="GQ128" s="94" t="str">
        <f t="shared" si="302"/>
        <v/>
      </c>
      <c r="GR128" s="103" t="str">
        <f t="shared" si="303"/>
        <v/>
      </c>
      <c r="GS128" s="102" t="str">
        <f t="shared" si="331"/>
        <v/>
      </c>
      <c r="GT128" s="104" t="str">
        <f t="shared" si="304"/>
        <v/>
      </c>
      <c r="GU128" s="94" t="str">
        <f>IF('Marks Entry'!V128=1,GT128,"")</f>
        <v/>
      </c>
      <c r="GV128" s="94" t="str">
        <f>IF('Marks Entry'!V128=2,GT128,"")</f>
        <v/>
      </c>
      <c r="GW128" s="94" t="str">
        <f>IF('Marks Entry'!V128=3,GT128,"")</f>
        <v/>
      </c>
      <c r="GX128" s="94" t="str">
        <f>IF('Marks Entry'!V128=4,GT128,"")</f>
        <v/>
      </c>
      <c r="GY128" s="94" t="str">
        <f>IF('Marks Entry'!V128=5,GT128,"")</f>
        <v/>
      </c>
      <c r="GZ128" s="94" t="str">
        <f t="shared" si="305"/>
        <v/>
      </c>
      <c r="HA128" s="105" t="str">
        <f t="shared" si="332"/>
        <v/>
      </c>
      <c r="HB128" s="94" t="str">
        <f t="shared" si="306"/>
        <v/>
      </c>
      <c r="HC128" s="94" t="str">
        <f t="shared" si="307"/>
        <v/>
      </c>
      <c r="HD128" s="105" t="str">
        <f t="shared" si="333"/>
        <v/>
      </c>
      <c r="HE128" s="94" t="str">
        <f t="shared" si="308"/>
        <v/>
      </c>
      <c r="HF128" s="94" t="str">
        <f t="shared" si="309"/>
        <v/>
      </c>
      <c r="HG128" s="105" t="str">
        <f t="shared" si="334"/>
        <v/>
      </c>
      <c r="HH128" s="94" t="str">
        <f t="shared" si="310"/>
        <v/>
      </c>
      <c r="HI128" s="94" t="str">
        <f t="shared" si="311"/>
        <v/>
      </c>
      <c r="HJ128" s="105" t="str">
        <f t="shared" si="335"/>
        <v/>
      </c>
      <c r="HK128" s="94" t="str">
        <f t="shared" si="312"/>
        <v/>
      </c>
      <c r="HL128" s="94" t="str">
        <f t="shared" si="313"/>
        <v/>
      </c>
      <c r="HM128" s="105" t="str">
        <f t="shared" si="336"/>
        <v/>
      </c>
      <c r="HN128" s="367" t="str">
        <f t="shared" si="314"/>
        <v xml:space="preserve">      </v>
      </c>
      <c r="HO128" s="418" t="str">
        <f t="shared" si="337"/>
        <v xml:space="preserve">      </v>
      </c>
      <c r="HP128" s="367" t="str">
        <f t="shared" si="315"/>
        <v xml:space="preserve">      </v>
      </c>
      <c r="HQ128" s="107" t="str">
        <f t="shared" si="316"/>
        <v xml:space="preserve">      </v>
      </c>
      <c r="HR128" s="366" t="str">
        <f t="shared" si="317"/>
        <v xml:space="preserve">      </v>
      </c>
      <c r="HS128" s="544" t="str">
        <f t="shared" si="338"/>
        <v/>
      </c>
      <c r="HT128" s="542" t="str">
        <f t="shared" si="318"/>
        <v/>
      </c>
      <c r="HU128" s="541" t="str">
        <f t="shared" si="319"/>
        <v/>
      </c>
      <c r="HV128" s="540" t="str">
        <f t="shared" si="320"/>
        <v/>
      </c>
      <c r="HW128" s="537" t="str">
        <f t="shared" si="321"/>
        <v/>
      </c>
      <c r="HX128" s="539" t="str">
        <f t="shared" si="322"/>
        <v/>
      </c>
      <c r="HY128" s="553" t="str">
        <f>IFERROR(IF(OR(HS128="SUPPLEMENTARY",HS128="RE-EXAM"),'Supp. Result Entry'!AQ126,""),"")</f>
        <v/>
      </c>
      <c r="HZ128" s="538" t="str">
        <f t="shared" si="323"/>
        <v/>
      </c>
      <c r="IA128" s="415" t="str">
        <f t="shared" si="324"/>
        <v/>
      </c>
      <c r="IB128" s="415" t="str">
        <f>IF(AND(HZ128="",IA128=""),"",IF(OR(HS128="SUPPLEMENTARY",HS128="RE-EXAM"),'Supp. Result Entry'!AQ126,HS128))</f>
        <v/>
      </c>
      <c r="IC128" s="87"/>
      <c r="IS128" s="109" t="str">
        <f>IF('Supp. Result Entry'!T126="","",'Supp. Result Entry'!$T$4)</f>
        <v/>
      </c>
      <c r="IT128" s="110" t="str">
        <f>IF('Supp. Result Entry'!W126="","",'Supp. Result Entry'!$W$4)</f>
        <v/>
      </c>
      <c r="IU128" s="110" t="str">
        <f>IF('Supp. Result Entry'!Z126="","",'Supp. Result Entry'!$Z$4)</f>
        <v/>
      </c>
      <c r="IV128" s="110" t="str">
        <f>IF('Supp. Result Entry'!AC126="","",'Supp. Result Entry'!$AC$4)</f>
        <v/>
      </c>
      <c r="IW128" s="110" t="str">
        <f>IF('Supp. Result Entry'!AF126="","",'Supp. Result Entry'!$AF$4)</f>
        <v/>
      </c>
      <c r="IX128" s="110" t="str">
        <f>IF('Supp. Result Entry'!AI126="","",'Supp. Result Entry'!$AI$4)</f>
        <v/>
      </c>
      <c r="IY128" s="110" t="str">
        <f>IF('Supp. Result Entry'!AI126="","",'Supp. Result Entry'!$AL$4)</f>
        <v/>
      </c>
      <c r="IZ128" s="110" t="str">
        <f>IF('Supp. Result Entry'!U126="","",'Supp. Result Entry'!U126)</f>
        <v/>
      </c>
      <c r="JA128" s="110" t="str">
        <f>IF('Supp. Result Entry'!X126="","",'Supp. Result Entry'!X126)</f>
        <v/>
      </c>
      <c r="JB128" s="110" t="str">
        <f>IF('Supp. Result Entry'!AA126="","",'Supp. Result Entry'!AA126)</f>
        <v/>
      </c>
      <c r="JC128" s="110" t="str">
        <f>IF('Supp. Result Entry'!AD126="","",'Supp. Result Entry'!AD126)</f>
        <v/>
      </c>
      <c r="JD128" s="110" t="str">
        <f>IF('Supp. Result Entry'!AG126="","",'Supp. Result Entry'!AG126)</f>
        <v/>
      </c>
      <c r="JE128" s="110" t="str">
        <f>IF('Supp. Result Entry'!AJ126="","",'Supp. Result Entry'!AJ126)</f>
        <v/>
      </c>
      <c r="JF128" s="110" t="str">
        <f>IF('Supp. Result Entry'!AM126="","",'Supp. Result Entry'!AM126)</f>
        <v/>
      </c>
      <c r="JG128" s="110" t="str">
        <f>IF('Supp. Result Entry'!V126="","",'Supp. Result Entry'!V126)</f>
        <v/>
      </c>
      <c r="JH128" s="110" t="str">
        <f>IF('Supp. Result Entry'!Y126="","",'Supp. Result Entry'!Y126)</f>
        <v/>
      </c>
      <c r="JI128" s="110" t="str">
        <f>IF('Supp. Result Entry'!AB126="","",'Supp. Result Entry'!AB126)</f>
        <v/>
      </c>
      <c r="JJ128" s="110" t="str">
        <f>IF('Supp. Result Entry'!AE126="","",'Supp. Result Entry'!AE126)</f>
        <v/>
      </c>
      <c r="JK128" s="110" t="str">
        <f>IF('Supp. Result Entry'!AH126="","",'Supp. Result Entry'!AH126)</f>
        <v/>
      </c>
      <c r="JL128" s="110" t="str">
        <f>IF('Supp. Result Entry'!AK126="","",'Supp. Result Entry'!AK126)</f>
        <v/>
      </c>
      <c r="JM128" s="110" t="str">
        <f>IF('Supp. Result Entry'!AN126="","",'Supp. Result Entry'!AN126)</f>
        <v/>
      </c>
      <c r="JN128" s="110">
        <f>COUNTIF('Supp. Result Entry'!K126:Q126,"S")</f>
        <v>0</v>
      </c>
      <c r="JO128" s="110">
        <f t="shared" si="248"/>
        <v>0</v>
      </c>
      <c r="JP128" s="110">
        <f t="shared" si="325"/>
        <v>0</v>
      </c>
      <c r="JQ128" s="110" t="str">
        <f t="shared" si="249"/>
        <v/>
      </c>
      <c r="JR128" s="110" t="str">
        <f t="shared" si="250"/>
        <v/>
      </c>
      <c r="JS128" s="110" t="str">
        <f t="shared" si="251"/>
        <v/>
      </c>
      <c r="JT128" s="110" t="str">
        <f t="shared" si="252"/>
        <v/>
      </c>
      <c r="JU128" s="110" t="str">
        <f t="shared" si="253"/>
        <v/>
      </c>
      <c r="JV128" s="110" t="str">
        <f t="shared" si="254"/>
        <v/>
      </c>
      <c r="JW128" s="110" t="str">
        <f t="shared" si="255"/>
        <v/>
      </c>
      <c r="JX128" s="110" t="str">
        <f t="shared" si="326"/>
        <v/>
      </c>
      <c r="JY128" s="110" t="str">
        <f t="shared" si="327"/>
        <v/>
      </c>
      <c r="JZ128" s="110" t="str">
        <f t="shared" si="256"/>
        <v/>
      </c>
      <c r="KA128" s="108" t="str">
        <f t="shared" si="328"/>
        <v/>
      </c>
    </row>
    <row r="129" spans="1:287" s="108" customFormat="1" ht="21.95" customHeight="1">
      <c r="A129" s="89">
        <v>123</v>
      </c>
      <c r="B129" s="90" t="str">
        <f>IF('Marks Entry'!B129="","",'Marks Entry'!B129)</f>
        <v/>
      </c>
      <c r="C129" s="94" t="str">
        <f>IF('Marks Entry'!D129="","",'Marks Entry'!D129)</f>
        <v/>
      </c>
      <c r="D129" s="91" t="str">
        <f>IF('Marks Entry'!E129="","",'Marks Entry'!E129)</f>
        <v/>
      </c>
      <c r="E129" s="92" t="str">
        <f>IF('Marks Entry'!F129="","",'Marks Entry'!F129)</f>
        <v/>
      </c>
      <c r="F129" s="93" t="str">
        <f>IF('Marks Entry'!G129="","",'Marks Entry'!G129)</f>
        <v/>
      </c>
      <c r="G129" s="93" t="str">
        <f>IF('Marks Entry'!H129="","",'Marks Entry'!H129)</f>
        <v/>
      </c>
      <c r="H129" s="93" t="str">
        <f>IF('Marks Entry'!I129="","",'Marks Entry'!I129)</f>
        <v/>
      </c>
      <c r="I129" s="94" t="str">
        <f>IF('Marks Entry'!J129="","",'Marks Entry'!J129)</f>
        <v/>
      </c>
      <c r="J129" s="95" t="str">
        <f>IF('Marks Entry'!K129="","",'Marks Entry'!K129)</f>
        <v/>
      </c>
      <c r="K129" s="68" t="str">
        <f>IF('Marks Entry'!L129="","",'Marks Entry'!L129)</f>
        <v/>
      </c>
      <c r="L129" s="68" t="str">
        <f>IF('Marks Entry'!M129="","",'Marks Entry'!M129)</f>
        <v/>
      </c>
      <c r="M129" s="68" t="str">
        <f>IF('Marks Entry'!N129="","",'Marks Entry'!N129)</f>
        <v/>
      </c>
      <c r="N129" s="514" t="str">
        <f t="shared" si="257"/>
        <v/>
      </c>
      <c r="O129" s="68" t="str">
        <f>IF('Marks Entry'!O129="","",'Marks Entry'!O129)</f>
        <v/>
      </c>
      <c r="P129" s="515" t="str">
        <f t="shared" si="258"/>
        <v/>
      </c>
      <c r="Q129" s="68" t="str">
        <f>IF('Marks Entry'!P129="","",'Marks Entry'!P129)</f>
        <v/>
      </c>
      <c r="R129" s="96" t="str">
        <f t="shared" si="259"/>
        <v/>
      </c>
      <c r="S129" s="65">
        <f t="shared" si="260"/>
        <v>0</v>
      </c>
      <c r="T129" s="65">
        <f t="shared" si="261"/>
        <v>0</v>
      </c>
      <c r="U129" s="66" t="str">
        <f t="shared" si="171"/>
        <v/>
      </c>
      <c r="V129" s="65" t="str">
        <f t="shared" si="172"/>
        <v/>
      </c>
      <c r="W129" s="65" t="str">
        <f t="shared" si="262"/>
        <v/>
      </c>
      <c r="X129" s="65" t="str">
        <f t="shared" si="173"/>
        <v/>
      </c>
      <c r="Y129" s="68" t="str">
        <f>IF('Marks Entry'!Q129="","",'Marks Entry'!Q129)</f>
        <v/>
      </c>
      <c r="Z129" s="68" t="str">
        <f>IF('Marks Entry'!R129="","",'Marks Entry'!R129)</f>
        <v/>
      </c>
      <c r="AA129" s="68" t="str">
        <f>IF('Marks Entry'!S129="","",'Marks Entry'!S129)</f>
        <v/>
      </c>
      <c r="AB129" s="514" t="str">
        <f t="shared" si="174"/>
        <v/>
      </c>
      <c r="AC129" s="68" t="str">
        <f>IF('Marks Entry'!T129="","",'Marks Entry'!T129)</f>
        <v/>
      </c>
      <c r="AD129" s="515" t="str">
        <f t="shared" si="175"/>
        <v/>
      </c>
      <c r="AE129" s="68" t="str">
        <f>IF('Marks Entry'!U129="","",'Marks Entry'!U129)</f>
        <v/>
      </c>
      <c r="AF129" s="96" t="str">
        <f t="shared" si="176"/>
        <v/>
      </c>
      <c r="AG129" s="65">
        <f t="shared" si="177"/>
        <v>0</v>
      </c>
      <c r="AH129" s="65">
        <f t="shared" si="178"/>
        <v>0</v>
      </c>
      <c r="AI129" s="66" t="str">
        <f t="shared" si="179"/>
        <v/>
      </c>
      <c r="AJ129" s="65" t="str">
        <f t="shared" si="180"/>
        <v/>
      </c>
      <c r="AK129" s="65" t="str">
        <f t="shared" si="181"/>
        <v/>
      </c>
      <c r="AL129" s="65" t="str">
        <f t="shared" si="182"/>
        <v/>
      </c>
      <c r="AM129" s="524" t="str">
        <f>IF('Marks Entry'!V129="","",IF('Marks Entry'!V129=1,'School Profile'!$I$9,IF('Marks Entry'!V129=2,'School Profile'!$I$10,IF('Marks Entry'!V129=3,'School Profile'!$I$11,IF('Marks Entry'!V129=4,'School Profile'!$I$12,IF('Marks Entry'!V129=5,'School Profile'!$I$13,IF('Marks Entry'!V129=6,'School Profile'!$I$14,"")))))))</f>
        <v/>
      </c>
      <c r="AN129" s="68" t="str">
        <f>IF('Marks Entry'!W129="","",'Marks Entry'!W129)</f>
        <v/>
      </c>
      <c r="AO129" s="68" t="str">
        <f>IF('Marks Entry'!X129="","",'Marks Entry'!X129)</f>
        <v/>
      </c>
      <c r="AP129" s="68" t="str">
        <f>IF('Marks Entry'!Y129="","",'Marks Entry'!Y129)</f>
        <v/>
      </c>
      <c r="AQ129" s="514" t="str">
        <f t="shared" si="183"/>
        <v/>
      </c>
      <c r="AR129" s="68" t="str">
        <f>IF('Marks Entry'!Z129="","",'Marks Entry'!Z129)</f>
        <v/>
      </c>
      <c r="AS129" s="515" t="str">
        <f t="shared" si="184"/>
        <v/>
      </c>
      <c r="AT129" s="68" t="str">
        <f>IF('Marks Entry'!AA129="","",'Marks Entry'!AA129)</f>
        <v/>
      </c>
      <c r="AU129" s="96" t="str">
        <f t="shared" si="185"/>
        <v/>
      </c>
      <c r="AV129" s="65">
        <f t="shared" si="186"/>
        <v>0</v>
      </c>
      <c r="AW129" s="65">
        <f t="shared" si="187"/>
        <v>0</v>
      </c>
      <c r="AX129" s="66" t="str">
        <f t="shared" si="188"/>
        <v/>
      </c>
      <c r="AY129" s="65" t="str">
        <f t="shared" si="189"/>
        <v/>
      </c>
      <c r="AZ129" s="65" t="str">
        <f t="shared" si="190"/>
        <v/>
      </c>
      <c r="BA129" s="65" t="str">
        <f t="shared" si="191"/>
        <v/>
      </c>
      <c r="BB129" s="68" t="str">
        <f>IF('Marks Entry'!AB129="","",'Marks Entry'!AB129)</f>
        <v/>
      </c>
      <c r="BC129" s="68" t="str">
        <f>IF('Marks Entry'!AC129="","",'Marks Entry'!AC129)</f>
        <v/>
      </c>
      <c r="BD129" s="68" t="str">
        <f>IF('Marks Entry'!AD129="","",'Marks Entry'!AD129)</f>
        <v/>
      </c>
      <c r="BE129" s="514" t="str">
        <f t="shared" si="192"/>
        <v/>
      </c>
      <c r="BF129" s="68" t="str">
        <f>IF('Marks Entry'!AE129="","",'Marks Entry'!AE129)</f>
        <v/>
      </c>
      <c r="BG129" s="515" t="str">
        <f t="shared" si="193"/>
        <v/>
      </c>
      <c r="BH129" s="68" t="str">
        <f>IF('Marks Entry'!AF129="","",'Marks Entry'!AF129)</f>
        <v/>
      </c>
      <c r="BI129" s="96" t="str">
        <f t="shared" si="194"/>
        <v/>
      </c>
      <c r="BJ129" s="65">
        <f t="shared" si="195"/>
        <v>0</v>
      </c>
      <c r="BK129" s="65">
        <f t="shared" si="263"/>
        <v>0</v>
      </c>
      <c r="BL129" s="66" t="str">
        <f t="shared" si="196"/>
        <v/>
      </c>
      <c r="BM129" s="65" t="str">
        <f t="shared" si="197"/>
        <v/>
      </c>
      <c r="BN129" s="65" t="str">
        <f t="shared" si="198"/>
        <v/>
      </c>
      <c r="BO129" s="65" t="str">
        <f t="shared" si="199"/>
        <v/>
      </c>
      <c r="BP129" s="68" t="str">
        <f>IF('Marks Entry'!AG129="","",'Marks Entry'!AG129)</f>
        <v/>
      </c>
      <c r="BQ129" s="68" t="str">
        <f>IF('Marks Entry'!AH129="","",'Marks Entry'!AH129)</f>
        <v/>
      </c>
      <c r="BR129" s="68" t="str">
        <f>IF('Marks Entry'!AI129="","",'Marks Entry'!AI129)</f>
        <v/>
      </c>
      <c r="BS129" s="514" t="str">
        <f t="shared" si="200"/>
        <v/>
      </c>
      <c r="BT129" s="68" t="str">
        <f>IF('Marks Entry'!AJ129="","",'Marks Entry'!AJ129)</f>
        <v/>
      </c>
      <c r="BU129" s="515" t="str">
        <f t="shared" si="201"/>
        <v/>
      </c>
      <c r="BV129" s="68" t="str">
        <f>IF('Marks Entry'!AK129="","",'Marks Entry'!AK129)</f>
        <v/>
      </c>
      <c r="BW129" s="96" t="str">
        <f t="shared" si="202"/>
        <v/>
      </c>
      <c r="BX129" s="65">
        <f t="shared" si="203"/>
        <v>0</v>
      </c>
      <c r="BY129" s="65">
        <f t="shared" si="204"/>
        <v>0</v>
      </c>
      <c r="BZ129" s="66" t="str">
        <f t="shared" si="205"/>
        <v/>
      </c>
      <c r="CA129" s="65" t="str">
        <f t="shared" si="206"/>
        <v/>
      </c>
      <c r="CB129" s="65" t="str">
        <f t="shared" si="207"/>
        <v/>
      </c>
      <c r="CC129" s="65" t="str">
        <f t="shared" si="208"/>
        <v/>
      </c>
      <c r="CD129" s="66">
        <f t="shared" si="329"/>
        <v>0</v>
      </c>
      <c r="CE129" s="68" t="str">
        <f>IF('Marks Entry'!AL129="","",'Marks Entry'!AL129)</f>
        <v/>
      </c>
      <c r="CF129" s="68" t="str">
        <f>IF('Marks Entry'!AM129="","",'Marks Entry'!AM129)</f>
        <v/>
      </c>
      <c r="CG129" s="68" t="str">
        <f>IF('Marks Entry'!AN129="","",'Marks Entry'!AN129)</f>
        <v/>
      </c>
      <c r="CH129" s="514" t="str">
        <f t="shared" si="210"/>
        <v/>
      </c>
      <c r="CI129" s="68" t="str">
        <f>IF('Marks Entry'!AO129="","",'Marks Entry'!AO129)</f>
        <v/>
      </c>
      <c r="CJ129" s="515" t="str">
        <f t="shared" si="211"/>
        <v/>
      </c>
      <c r="CK129" s="68" t="str">
        <f>IF('Marks Entry'!AP129="","",'Marks Entry'!AP129)</f>
        <v/>
      </c>
      <c r="CL129" s="96" t="str">
        <f t="shared" si="212"/>
        <v/>
      </c>
      <c r="CM129" s="65">
        <f t="shared" si="213"/>
        <v>0</v>
      </c>
      <c r="CN129" s="65">
        <f t="shared" si="214"/>
        <v>0</v>
      </c>
      <c r="CO129" s="66" t="str">
        <f t="shared" si="215"/>
        <v/>
      </c>
      <c r="CP129" s="65" t="str">
        <f t="shared" si="216"/>
        <v/>
      </c>
      <c r="CQ129" s="65" t="str">
        <f t="shared" si="217"/>
        <v/>
      </c>
      <c r="CR129" s="65" t="str">
        <f t="shared" si="218"/>
        <v/>
      </c>
      <c r="CS129" s="616" t="str">
        <f>IF('School Profile'!$D$20="NO","",IF('Marks Entry'!AQ129="","",IF('Marks Entry'!AQ129=1,'School Profile'!$I$29,IF('Marks Entry'!AQ129=2,'School Profile'!$I$30,IF('Marks Entry'!AQ129=3,'School Profile'!$I$31,IF('Marks Entry'!AQ129=4,'School Profile'!$I$32,IF('Marks Entry'!AQ129=5,'School Profile'!$I$33,IF('Marks Entry'!AQ129=6,'School Profile'!$I$34,IF('Marks Entry'!AQ129=7,'School Profile'!$I$35,IF('Marks Entry'!AQ129=8,'School Profile'!$I$36,IF('Marks Entry'!AQ129=9,'School Profile'!$I$37,IF('Marks Entry'!AQ129=10,'School Profile'!$I$38,IF('Marks Entry'!AQ129=11,'School Profile'!$I$39,"")))))))))))))</f>
        <v/>
      </c>
      <c r="CT129" s="68" t="str">
        <f>IF('School Profile'!$D$20="NO","",IF('Marks Entry'!AR129="","",'Marks Entry'!AR129))</f>
        <v/>
      </c>
      <c r="CU129" s="68" t="str">
        <f>IF('School Profile'!$D$20="NO","",IF('Marks Entry'!AS129="","",'Marks Entry'!AS129))</f>
        <v/>
      </c>
      <c r="CV129" s="68" t="str">
        <f>IF('School Profile'!$D$20="NO","",IF('Marks Entry'!AT129="","",'Marks Entry'!AT129))</f>
        <v/>
      </c>
      <c r="CW129" s="514" t="str">
        <f>IF('School Profile'!$D$20="NO","",IF(AND(CT129="",CU129="",CV129=""),"",SUM(CT129:CV129)))</f>
        <v/>
      </c>
      <c r="CX129" s="68" t="str">
        <f>IF('School Profile'!$D$20="NO","",IF('Marks Entry'!AU129="","",'Marks Entry'!AU129))</f>
        <v/>
      </c>
      <c r="CY129" s="68" t="str">
        <f>IF('School Profile'!$D$20="NO","",IF('Marks Entry'!AV129="","",'Marks Entry'!AV129))</f>
        <v/>
      </c>
      <c r="CZ129" s="515" t="str">
        <f>IF('School Profile'!$D$20="NO","",IF(AND(CX129="",CY129=""),"",SUM(CX129,CY129)))</f>
        <v/>
      </c>
      <c r="DA129" s="69" t="str">
        <f>IF('School Profile'!$D$20="NO","",IF(AND(CW129="",CZ129=""),"",SUM(CW129+CZ129)))</f>
        <v/>
      </c>
      <c r="DB129" s="68" t="str">
        <f>IF('School Profile'!$D$20="NO","",IF('Marks Entry'!AW129="","",'Marks Entry'!AW129))</f>
        <v/>
      </c>
      <c r="DC129" s="68" t="str">
        <f>IF('School Profile'!$D$20="NO","",IF('Marks Entry'!AX129="","",'Marks Entry'!AX129))</f>
        <v/>
      </c>
      <c r="DD129" s="515" t="str">
        <f>IF('School Profile'!$D$20="NO","",IF(AND(DB129="",DC129=""),"",SUM(DB129,DC129)))</f>
        <v/>
      </c>
      <c r="DE129" s="96" t="str">
        <f>IF('School Profile'!$D$20="NO","",IF(AND(DA129="",DD129=""),"",SUM(DA129,DD129)))</f>
        <v/>
      </c>
      <c r="DF129" s="532">
        <f t="shared" si="219"/>
        <v>0</v>
      </c>
      <c r="DG129" s="65">
        <f t="shared" si="220"/>
        <v>0</v>
      </c>
      <c r="DH129" s="66" t="str">
        <f t="shared" si="221"/>
        <v/>
      </c>
      <c r="DI129" s="65" t="str">
        <f t="shared" si="222"/>
        <v/>
      </c>
      <c r="DJ129" s="65" t="str">
        <f t="shared" si="223"/>
        <v/>
      </c>
      <c r="DK129" s="65" t="str">
        <f t="shared" si="224"/>
        <v/>
      </c>
      <c r="DL129" s="97" t="str">
        <f t="shared" si="264"/>
        <v/>
      </c>
      <c r="DM129" s="97" t="str">
        <f t="shared" si="265"/>
        <v/>
      </c>
      <c r="DN129" s="97" t="str">
        <f t="shared" si="266"/>
        <v/>
      </c>
      <c r="DO129" s="97" t="str">
        <f t="shared" si="267"/>
        <v/>
      </c>
      <c r="DP129" s="97" t="str">
        <f t="shared" si="268"/>
        <v/>
      </c>
      <c r="DQ129" s="97" t="str">
        <f t="shared" si="269"/>
        <v/>
      </c>
      <c r="DR129" s="97" t="str">
        <f t="shared" si="270"/>
        <v/>
      </c>
      <c r="DS129" s="98">
        <f t="shared" si="271"/>
        <v>0</v>
      </c>
      <c r="DT129" s="98">
        <f t="shared" si="272"/>
        <v>0</v>
      </c>
      <c r="DU129" s="98">
        <f t="shared" si="273"/>
        <v>0</v>
      </c>
      <c r="DV129" s="98">
        <f t="shared" si="274"/>
        <v>0</v>
      </c>
      <c r="DW129" s="98">
        <f t="shared" si="275"/>
        <v>0</v>
      </c>
      <c r="DX129" s="98" t="str">
        <f t="shared" si="276"/>
        <v/>
      </c>
      <c r="DY129" s="99" t="str">
        <f t="shared" si="277"/>
        <v/>
      </c>
      <c r="DZ129" s="74" t="str">
        <f>IF('Marks Entry'!AY129="","",'Marks Entry'!AY129)</f>
        <v/>
      </c>
      <c r="EA129" s="74" t="str">
        <f>IF('Marks Entry'!AZ129="","",'Marks Entry'!AZ129)</f>
        <v/>
      </c>
      <c r="EB129" s="74" t="str">
        <f>IF('Marks Entry'!BA129="","",'Marks Entry'!BA129)</f>
        <v/>
      </c>
      <c r="EC129" s="527" t="str">
        <f t="shared" si="225"/>
        <v/>
      </c>
      <c r="ED129" s="74" t="str">
        <f>IF('Marks Entry'!BB129="","",'Marks Entry'!BB129)</f>
        <v/>
      </c>
      <c r="EE129" s="528" t="str">
        <f t="shared" si="226"/>
        <v/>
      </c>
      <c r="EF129" s="74" t="str">
        <f>IF('Marks Entry'!BC129="","",'Marks Entry'!BC129)</f>
        <v/>
      </c>
      <c r="EG129" s="530" t="str">
        <f t="shared" si="227"/>
        <v/>
      </c>
      <c r="EH129" s="368" t="str">
        <f t="shared" si="278"/>
        <v/>
      </c>
      <c r="EI129" s="65">
        <f t="shared" si="279"/>
        <v>0</v>
      </c>
      <c r="EJ129" s="65">
        <f t="shared" si="280"/>
        <v>0</v>
      </c>
      <c r="EK129" s="66" t="str">
        <f t="shared" si="281"/>
        <v/>
      </c>
      <c r="EL129" s="74" t="str">
        <f>IF('Marks Entry'!BD129="","",'Marks Entry'!BD129)</f>
        <v/>
      </c>
      <c r="EM129" s="74" t="str">
        <f>IF('Marks Entry'!BE129="","",'Marks Entry'!BE129)</f>
        <v/>
      </c>
      <c r="EN129" s="74" t="str">
        <f>IF('Marks Entry'!BF129="","",'Marks Entry'!BF129)</f>
        <v/>
      </c>
      <c r="EO129" s="527" t="str">
        <f t="shared" si="228"/>
        <v/>
      </c>
      <c r="EP129" s="74" t="str">
        <f>IF('Marks Entry'!BG129="","",'Marks Entry'!BG129)</f>
        <v/>
      </c>
      <c r="EQ129" s="74" t="str">
        <f>IF('Marks Entry'!BH129="","",'Marks Entry'!BH129)</f>
        <v/>
      </c>
      <c r="ER129" s="528" t="str">
        <f t="shared" si="229"/>
        <v/>
      </c>
      <c r="ES129" s="529" t="str">
        <f t="shared" si="230"/>
        <v/>
      </c>
      <c r="ET129" s="74" t="str">
        <f>IF('Marks Entry'!BI129="","",'Marks Entry'!BI129)</f>
        <v/>
      </c>
      <c r="EU129" s="74" t="str">
        <f>IF('Marks Entry'!BJ129="","",'Marks Entry'!BJ129)</f>
        <v/>
      </c>
      <c r="EV129" s="528" t="str">
        <f t="shared" si="231"/>
        <v/>
      </c>
      <c r="EW129" s="530" t="str">
        <f t="shared" si="232"/>
        <v/>
      </c>
      <c r="EX129" s="368" t="str">
        <f t="shared" si="282"/>
        <v/>
      </c>
      <c r="EY129" s="65">
        <f t="shared" si="283"/>
        <v>0</v>
      </c>
      <c r="EZ129" s="65">
        <f t="shared" si="284"/>
        <v>0</v>
      </c>
      <c r="FA129" s="66" t="str">
        <f t="shared" si="285"/>
        <v/>
      </c>
      <c r="FB129" s="74" t="str">
        <f>IF('Marks Entry'!BK129="","",'Marks Entry'!BK129)</f>
        <v/>
      </c>
      <c r="FC129" s="74" t="str">
        <f>IF('Marks Entry'!BL129="","",'Marks Entry'!BL129)</f>
        <v/>
      </c>
      <c r="FD129" s="74" t="str">
        <f>IF('Marks Entry'!BM129="","",'Marks Entry'!BM129)</f>
        <v/>
      </c>
      <c r="FE129" s="74" t="str">
        <f>IF('Marks Entry'!BN129="","",'Marks Entry'!BN129)</f>
        <v/>
      </c>
      <c r="FF129" s="74" t="str">
        <f>IF('Marks Entry'!BO129="","",'Marks Entry'!BO129)</f>
        <v/>
      </c>
      <c r="FG129" s="74" t="str">
        <f>IF('Marks Entry'!BP129="","",'Marks Entry'!BP129)</f>
        <v/>
      </c>
      <c r="FH129" s="527" t="str">
        <f t="shared" si="233"/>
        <v/>
      </c>
      <c r="FI129" s="74" t="str">
        <f>IF('Marks Entry'!BQ129="","",'Marks Entry'!BQ129)</f>
        <v/>
      </c>
      <c r="FJ129" s="74" t="str">
        <f>IF('Marks Entry'!BR129="","",'Marks Entry'!BR129)</f>
        <v/>
      </c>
      <c r="FK129" s="528" t="str">
        <f t="shared" si="234"/>
        <v/>
      </c>
      <c r="FL129" s="529" t="str">
        <f t="shared" si="235"/>
        <v/>
      </c>
      <c r="FM129" s="74" t="str">
        <f>IF('Marks Entry'!BS129="","",'Marks Entry'!BS129)</f>
        <v/>
      </c>
      <c r="FN129" s="74" t="str">
        <f>IF('Marks Entry'!BT129="","",'Marks Entry'!BT129)</f>
        <v/>
      </c>
      <c r="FO129" s="528" t="str">
        <f t="shared" si="236"/>
        <v/>
      </c>
      <c r="FP129" s="530" t="str">
        <f t="shared" si="237"/>
        <v/>
      </c>
      <c r="FQ129" s="368" t="str">
        <f t="shared" si="286"/>
        <v/>
      </c>
      <c r="FR129" s="65">
        <f t="shared" si="287"/>
        <v>0</v>
      </c>
      <c r="FS129" s="65">
        <f t="shared" si="288"/>
        <v>0</v>
      </c>
      <c r="FT129" s="66" t="str">
        <f t="shared" si="289"/>
        <v/>
      </c>
      <c r="FU129" s="74" t="str">
        <f>IF('Marks Entry'!BU129="","",'Marks Entry'!BU129)</f>
        <v/>
      </c>
      <c r="FV129" s="74" t="str">
        <f>IF('Marks Entry'!BV129="","",'Marks Entry'!BV129)</f>
        <v/>
      </c>
      <c r="FW129" s="74" t="str">
        <f>IF('Marks Entry'!BW129="","",'Marks Entry'!BW129)</f>
        <v/>
      </c>
      <c r="FX129" s="75" t="str">
        <f t="shared" si="238"/>
        <v/>
      </c>
      <c r="FY129" s="368" t="str">
        <f t="shared" si="290"/>
        <v/>
      </c>
      <c r="FZ129" s="65">
        <f t="shared" si="291"/>
        <v>0</v>
      </c>
      <c r="GA129" s="66">
        <f t="shared" si="292"/>
        <v>0</v>
      </c>
      <c r="GB129" s="66" t="str">
        <f t="shared" si="293"/>
        <v/>
      </c>
      <c r="GC129" s="74" t="str">
        <f>IF('Marks Entry'!BX129="","",'Marks Entry'!BX129)</f>
        <v/>
      </c>
      <c r="GD129" s="74" t="str">
        <f>IF('Marks Entry'!BY129="","",'Marks Entry'!BY129)</f>
        <v/>
      </c>
      <c r="GE129" s="74" t="str">
        <f>IF('Marks Entry'!BZ129="","",'Marks Entry'!BZ129)</f>
        <v/>
      </c>
      <c r="GF129" s="75" t="str">
        <f t="shared" si="294"/>
        <v/>
      </c>
      <c r="GG129" s="368" t="str">
        <f t="shared" si="295"/>
        <v/>
      </c>
      <c r="GH129" s="65">
        <f t="shared" si="296"/>
        <v>0</v>
      </c>
      <c r="GI129" s="66">
        <f t="shared" si="297"/>
        <v>0</v>
      </c>
      <c r="GJ129" s="66" t="str">
        <f t="shared" si="298"/>
        <v/>
      </c>
      <c r="GK129" s="100" t="str">
        <f>IF(AND(F129="",B129=""),"",IF('Student DATA Entry'!M126="","",'Student DATA Entry'!M126))</f>
        <v/>
      </c>
      <c r="GL129" s="101" t="str">
        <f>IF(AND(B129="",F129=""),"",IF('Student DATA Entry'!N126="","",'Student DATA Entry'!N126))</f>
        <v/>
      </c>
      <c r="GM129" s="581" t="str">
        <f t="shared" si="299"/>
        <v/>
      </c>
      <c r="GN129" s="94" t="str">
        <f t="shared" si="300"/>
        <v/>
      </c>
      <c r="GO129" s="94" t="str">
        <f t="shared" si="301"/>
        <v/>
      </c>
      <c r="GP129" s="102" t="str">
        <f t="shared" si="330"/>
        <v/>
      </c>
      <c r="GQ129" s="94" t="str">
        <f t="shared" si="302"/>
        <v/>
      </c>
      <c r="GR129" s="103" t="str">
        <f t="shared" si="303"/>
        <v/>
      </c>
      <c r="GS129" s="102" t="str">
        <f t="shared" si="331"/>
        <v/>
      </c>
      <c r="GT129" s="104" t="str">
        <f t="shared" si="304"/>
        <v/>
      </c>
      <c r="GU129" s="94" t="str">
        <f>IF('Marks Entry'!V129=1,GT129,"")</f>
        <v/>
      </c>
      <c r="GV129" s="94" t="str">
        <f>IF('Marks Entry'!V129=2,GT129,"")</f>
        <v/>
      </c>
      <c r="GW129" s="94" t="str">
        <f>IF('Marks Entry'!V129=3,GT129,"")</f>
        <v/>
      </c>
      <c r="GX129" s="94" t="str">
        <f>IF('Marks Entry'!V129=4,GT129,"")</f>
        <v/>
      </c>
      <c r="GY129" s="94" t="str">
        <f>IF('Marks Entry'!V129=5,GT129,"")</f>
        <v/>
      </c>
      <c r="GZ129" s="94" t="str">
        <f t="shared" si="305"/>
        <v/>
      </c>
      <c r="HA129" s="105" t="str">
        <f t="shared" si="332"/>
        <v/>
      </c>
      <c r="HB129" s="94" t="str">
        <f t="shared" si="306"/>
        <v/>
      </c>
      <c r="HC129" s="94" t="str">
        <f t="shared" si="307"/>
        <v/>
      </c>
      <c r="HD129" s="105" t="str">
        <f t="shared" si="333"/>
        <v/>
      </c>
      <c r="HE129" s="94" t="str">
        <f t="shared" si="308"/>
        <v/>
      </c>
      <c r="HF129" s="94" t="str">
        <f t="shared" si="309"/>
        <v/>
      </c>
      <c r="HG129" s="105" t="str">
        <f t="shared" si="334"/>
        <v/>
      </c>
      <c r="HH129" s="94" t="str">
        <f t="shared" si="310"/>
        <v/>
      </c>
      <c r="HI129" s="94" t="str">
        <f t="shared" si="311"/>
        <v/>
      </c>
      <c r="HJ129" s="105" t="str">
        <f t="shared" si="335"/>
        <v/>
      </c>
      <c r="HK129" s="94" t="str">
        <f t="shared" si="312"/>
        <v/>
      </c>
      <c r="HL129" s="94" t="str">
        <f t="shared" si="313"/>
        <v/>
      </c>
      <c r="HM129" s="105" t="str">
        <f t="shared" si="336"/>
        <v/>
      </c>
      <c r="HN129" s="367" t="str">
        <f t="shared" si="314"/>
        <v xml:space="preserve">      </v>
      </c>
      <c r="HO129" s="418" t="str">
        <f t="shared" si="337"/>
        <v xml:space="preserve">      </v>
      </c>
      <c r="HP129" s="367" t="str">
        <f t="shared" si="315"/>
        <v xml:space="preserve">      </v>
      </c>
      <c r="HQ129" s="107" t="str">
        <f t="shared" si="316"/>
        <v xml:space="preserve">      </v>
      </c>
      <c r="HR129" s="366" t="str">
        <f t="shared" si="317"/>
        <v xml:space="preserve">      </v>
      </c>
      <c r="HS129" s="544" t="str">
        <f t="shared" si="338"/>
        <v/>
      </c>
      <c r="HT129" s="542" t="str">
        <f t="shared" si="318"/>
        <v/>
      </c>
      <c r="HU129" s="541" t="str">
        <f t="shared" si="319"/>
        <v/>
      </c>
      <c r="HV129" s="540" t="str">
        <f t="shared" si="320"/>
        <v/>
      </c>
      <c r="HW129" s="537" t="str">
        <f t="shared" si="321"/>
        <v/>
      </c>
      <c r="HX129" s="539" t="str">
        <f t="shared" si="322"/>
        <v/>
      </c>
      <c r="HY129" s="553" t="str">
        <f>IFERROR(IF(OR(HS129="SUPPLEMENTARY",HS129="RE-EXAM"),'Supp. Result Entry'!AQ127,""),"")</f>
        <v/>
      </c>
      <c r="HZ129" s="538" t="str">
        <f t="shared" si="323"/>
        <v/>
      </c>
      <c r="IA129" s="415" t="str">
        <f t="shared" si="324"/>
        <v/>
      </c>
      <c r="IB129" s="415" t="str">
        <f>IF(AND(HZ129="",IA129=""),"",IF(OR(HS129="SUPPLEMENTARY",HS129="RE-EXAM"),'Supp. Result Entry'!AQ127,HS129))</f>
        <v/>
      </c>
      <c r="IC129" s="87"/>
      <c r="IS129" s="109" t="str">
        <f>IF('Supp. Result Entry'!T127="","",'Supp. Result Entry'!$T$4)</f>
        <v/>
      </c>
      <c r="IT129" s="110" t="str">
        <f>IF('Supp. Result Entry'!W127="","",'Supp. Result Entry'!$W$4)</f>
        <v/>
      </c>
      <c r="IU129" s="110" t="str">
        <f>IF('Supp. Result Entry'!Z127="","",'Supp. Result Entry'!$Z$4)</f>
        <v/>
      </c>
      <c r="IV129" s="110" t="str">
        <f>IF('Supp. Result Entry'!AC127="","",'Supp. Result Entry'!$AC$4)</f>
        <v/>
      </c>
      <c r="IW129" s="110" t="str">
        <f>IF('Supp. Result Entry'!AF127="","",'Supp. Result Entry'!$AF$4)</f>
        <v/>
      </c>
      <c r="IX129" s="110" t="str">
        <f>IF('Supp. Result Entry'!AI127="","",'Supp. Result Entry'!$AI$4)</f>
        <v/>
      </c>
      <c r="IY129" s="110" t="str">
        <f>IF('Supp. Result Entry'!AI127="","",'Supp. Result Entry'!$AL$4)</f>
        <v/>
      </c>
      <c r="IZ129" s="110" t="str">
        <f>IF('Supp. Result Entry'!U127="","",'Supp. Result Entry'!U127)</f>
        <v/>
      </c>
      <c r="JA129" s="110" t="str">
        <f>IF('Supp. Result Entry'!X127="","",'Supp. Result Entry'!X127)</f>
        <v/>
      </c>
      <c r="JB129" s="110" t="str">
        <f>IF('Supp. Result Entry'!AA127="","",'Supp. Result Entry'!AA127)</f>
        <v/>
      </c>
      <c r="JC129" s="110" t="str">
        <f>IF('Supp. Result Entry'!AD127="","",'Supp. Result Entry'!AD127)</f>
        <v/>
      </c>
      <c r="JD129" s="110" t="str">
        <f>IF('Supp. Result Entry'!AG127="","",'Supp. Result Entry'!AG127)</f>
        <v/>
      </c>
      <c r="JE129" s="110" t="str">
        <f>IF('Supp. Result Entry'!AJ127="","",'Supp. Result Entry'!AJ127)</f>
        <v/>
      </c>
      <c r="JF129" s="110" t="str">
        <f>IF('Supp. Result Entry'!AM127="","",'Supp. Result Entry'!AM127)</f>
        <v/>
      </c>
      <c r="JG129" s="110" t="str">
        <f>IF('Supp. Result Entry'!V127="","",'Supp. Result Entry'!V127)</f>
        <v/>
      </c>
      <c r="JH129" s="110" t="str">
        <f>IF('Supp. Result Entry'!Y127="","",'Supp. Result Entry'!Y127)</f>
        <v/>
      </c>
      <c r="JI129" s="110" t="str">
        <f>IF('Supp. Result Entry'!AB127="","",'Supp. Result Entry'!AB127)</f>
        <v/>
      </c>
      <c r="JJ129" s="110" t="str">
        <f>IF('Supp. Result Entry'!AE127="","",'Supp. Result Entry'!AE127)</f>
        <v/>
      </c>
      <c r="JK129" s="110" t="str">
        <f>IF('Supp. Result Entry'!AH127="","",'Supp. Result Entry'!AH127)</f>
        <v/>
      </c>
      <c r="JL129" s="110" t="str">
        <f>IF('Supp. Result Entry'!AK127="","",'Supp. Result Entry'!AK127)</f>
        <v/>
      </c>
      <c r="JM129" s="110" t="str">
        <f>IF('Supp. Result Entry'!AN127="","",'Supp. Result Entry'!AN127)</f>
        <v/>
      </c>
      <c r="JN129" s="110">
        <f>COUNTIF('Supp. Result Entry'!K127:Q127,"S")</f>
        <v>0</v>
      </c>
      <c r="JO129" s="110">
        <f t="shared" si="248"/>
        <v>0</v>
      </c>
      <c r="JP129" s="110">
        <f t="shared" si="325"/>
        <v>0</v>
      </c>
      <c r="JQ129" s="110" t="str">
        <f t="shared" si="249"/>
        <v/>
      </c>
      <c r="JR129" s="110" t="str">
        <f t="shared" si="250"/>
        <v/>
      </c>
      <c r="JS129" s="110" t="str">
        <f t="shared" si="251"/>
        <v/>
      </c>
      <c r="JT129" s="110" t="str">
        <f t="shared" si="252"/>
        <v/>
      </c>
      <c r="JU129" s="110" t="str">
        <f t="shared" si="253"/>
        <v/>
      </c>
      <c r="JV129" s="110" t="str">
        <f t="shared" si="254"/>
        <v/>
      </c>
      <c r="JW129" s="110" t="str">
        <f t="shared" si="255"/>
        <v/>
      </c>
      <c r="JX129" s="110" t="str">
        <f t="shared" si="326"/>
        <v/>
      </c>
      <c r="JY129" s="110" t="str">
        <f t="shared" si="327"/>
        <v/>
      </c>
      <c r="JZ129" s="110" t="str">
        <f t="shared" si="256"/>
        <v/>
      </c>
      <c r="KA129" s="108" t="str">
        <f t="shared" si="328"/>
        <v/>
      </c>
    </row>
    <row r="130" spans="1:287" s="108" customFormat="1" ht="21.95" customHeight="1">
      <c r="A130" s="89">
        <v>124</v>
      </c>
      <c r="B130" s="90" t="str">
        <f>IF('Marks Entry'!B130="","",'Marks Entry'!B130)</f>
        <v/>
      </c>
      <c r="C130" s="94" t="str">
        <f>IF('Marks Entry'!D130="","",'Marks Entry'!D130)</f>
        <v/>
      </c>
      <c r="D130" s="91" t="str">
        <f>IF('Marks Entry'!E130="","",'Marks Entry'!E130)</f>
        <v/>
      </c>
      <c r="E130" s="92" t="str">
        <f>IF('Marks Entry'!F130="","",'Marks Entry'!F130)</f>
        <v/>
      </c>
      <c r="F130" s="93" t="str">
        <f>IF('Marks Entry'!G130="","",'Marks Entry'!G130)</f>
        <v/>
      </c>
      <c r="G130" s="93" t="str">
        <f>IF('Marks Entry'!H130="","",'Marks Entry'!H130)</f>
        <v/>
      </c>
      <c r="H130" s="93" t="str">
        <f>IF('Marks Entry'!I130="","",'Marks Entry'!I130)</f>
        <v/>
      </c>
      <c r="I130" s="94" t="str">
        <f>IF('Marks Entry'!J130="","",'Marks Entry'!J130)</f>
        <v/>
      </c>
      <c r="J130" s="95" t="str">
        <f>IF('Marks Entry'!K130="","",'Marks Entry'!K130)</f>
        <v/>
      </c>
      <c r="K130" s="68" t="str">
        <f>IF('Marks Entry'!L130="","",'Marks Entry'!L130)</f>
        <v/>
      </c>
      <c r="L130" s="68" t="str">
        <f>IF('Marks Entry'!M130="","",'Marks Entry'!M130)</f>
        <v/>
      </c>
      <c r="M130" s="68" t="str">
        <f>IF('Marks Entry'!N130="","",'Marks Entry'!N130)</f>
        <v/>
      </c>
      <c r="N130" s="514" t="str">
        <f t="shared" si="257"/>
        <v/>
      </c>
      <c r="O130" s="68" t="str">
        <f>IF('Marks Entry'!O130="","",'Marks Entry'!O130)</f>
        <v/>
      </c>
      <c r="P130" s="515" t="str">
        <f t="shared" si="258"/>
        <v/>
      </c>
      <c r="Q130" s="68" t="str">
        <f>IF('Marks Entry'!P130="","",'Marks Entry'!P130)</f>
        <v/>
      </c>
      <c r="R130" s="96" t="str">
        <f t="shared" si="259"/>
        <v/>
      </c>
      <c r="S130" s="65">
        <f t="shared" si="260"/>
        <v>0</v>
      </c>
      <c r="T130" s="65">
        <f t="shared" si="261"/>
        <v>0</v>
      </c>
      <c r="U130" s="66" t="str">
        <f t="shared" si="171"/>
        <v/>
      </c>
      <c r="V130" s="65" t="str">
        <f t="shared" si="172"/>
        <v/>
      </c>
      <c r="W130" s="65" t="str">
        <f t="shared" si="262"/>
        <v/>
      </c>
      <c r="X130" s="65" t="str">
        <f t="shared" si="173"/>
        <v/>
      </c>
      <c r="Y130" s="68" t="str">
        <f>IF('Marks Entry'!Q130="","",'Marks Entry'!Q130)</f>
        <v/>
      </c>
      <c r="Z130" s="68" t="str">
        <f>IF('Marks Entry'!R130="","",'Marks Entry'!R130)</f>
        <v/>
      </c>
      <c r="AA130" s="68" t="str">
        <f>IF('Marks Entry'!S130="","",'Marks Entry'!S130)</f>
        <v/>
      </c>
      <c r="AB130" s="514" t="str">
        <f t="shared" si="174"/>
        <v/>
      </c>
      <c r="AC130" s="68" t="str">
        <f>IF('Marks Entry'!T130="","",'Marks Entry'!T130)</f>
        <v/>
      </c>
      <c r="AD130" s="515" t="str">
        <f t="shared" si="175"/>
        <v/>
      </c>
      <c r="AE130" s="68" t="str">
        <f>IF('Marks Entry'!U130="","",'Marks Entry'!U130)</f>
        <v/>
      </c>
      <c r="AF130" s="96" t="str">
        <f t="shared" si="176"/>
        <v/>
      </c>
      <c r="AG130" s="65">
        <f t="shared" si="177"/>
        <v>0</v>
      </c>
      <c r="AH130" s="65">
        <f t="shared" si="178"/>
        <v>0</v>
      </c>
      <c r="AI130" s="66" t="str">
        <f t="shared" si="179"/>
        <v/>
      </c>
      <c r="AJ130" s="65" t="str">
        <f t="shared" si="180"/>
        <v/>
      </c>
      <c r="AK130" s="65" t="str">
        <f t="shared" si="181"/>
        <v/>
      </c>
      <c r="AL130" s="65" t="str">
        <f t="shared" si="182"/>
        <v/>
      </c>
      <c r="AM130" s="524" t="str">
        <f>IF('Marks Entry'!V130="","",IF('Marks Entry'!V130=1,'School Profile'!$I$9,IF('Marks Entry'!V130=2,'School Profile'!$I$10,IF('Marks Entry'!V130=3,'School Profile'!$I$11,IF('Marks Entry'!V130=4,'School Profile'!$I$12,IF('Marks Entry'!V130=5,'School Profile'!$I$13,IF('Marks Entry'!V130=6,'School Profile'!$I$14,"")))))))</f>
        <v/>
      </c>
      <c r="AN130" s="68" t="str">
        <f>IF('Marks Entry'!W130="","",'Marks Entry'!W130)</f>
        <v/>
      </c>
      <c r="AO130" s="68" t="str">
        <f>IF('Marks Entry'!X130="","",'Marks Entry'!X130)</f>
        <v/>
      </c>
      <c r="AP130" s="68" t="str">
        <f>IF('Marks Entry'!Y130="","",'Marks Entry'!Y130)</f>
        <v/>
      </c>
      <c r="AQ130" s="514" t="str">
        <f t="shared" si="183"/>
        <v/>
      </c>
      <c r="AR130" s="68" t="str">
        <f>IF('Marks Entry'!Z130="","",'Marks Entry'!Z130)</f>
        <v/>
      </c>
      <c r="AS130" s="515" t="str">
        <f t="shared" si="184"/>
        <v/>
      </c>
      <c r="AT130" s="68" t="str">
        <f>IF('Marks Entry'!AA130="","",'Marks Entry'!AA130)</f>
        <v/>
      </c>
      <c r="AU130" s="96" t="str">
        <f t="shared" si="185"/>
        <v/>
      </c>
      <c r="AV130" s="65">
        <f t="shared" si="186"/>
        <v>0</v>
      </c>
      <c r="AW130" s="65">
        <f t="shared" si="187"/>
        <v>0</v>
      </c>
      <c r="AX130" s="66" t="str">
        <f t="shared" si="188"/>
        <v/>
      </c>
      <c r="AY130" s="65" t="str">
        <f t="shared" si="189"/>
        <v/>
      </c>
      <c r="AZ130" s="65" t="str">
        <f t="shared" si="190"/>
        <v/>
      </c>
      <c r="BA130" s="65" t="str">
        <f t="shared" si="191"/>
        <v/>
      </c>
      <c r="BB130" s="68" t="str">
        <f>IF('Marks Entry'!AB130="","",'Marks Entry'!AB130)</f>
        <v/>
      </c>
      <c r="BC130" s="68" t="str">
        <f>IF('Marks Entry'!AC130="","",'Marks Entry'!AC130)</f>
        <v/>
      </c>
      <c r="BD130" s="68" t="str">
        <f>IF('Marks Entry'!AD130="","",'Marks Entry'!AD130)</f>
        <v/>
      </c>
      <c r="BE130" s="514" t="str">
        <f t="shared" si="192"/>
        <v/>
      </c>
      <c r="BF130" s="68" t="str">
        <f>IF('Marks Entry'!AE130="","",'Marks Entry'!AE130)</f>
        <v/>
      </c>
      <c r="BG130" s="515" t="str">
        <f t="shared" si="193"/>
        <v/>
      </c>
      <c r="BH130" s="68" t="str">
        <f>IF('Marks Entry'!AF130="","",'Marks Entry'!AF130)</f>
        <v/>
      </c>
      <c r="BI130" s="96" t="str">
        <f t="shared" si="194"/>
        <v/>
      </c>
      <c r="BJ130" s="65">
        <f t="shared" si="195"/>
        <v>0</v>
      </c>
      <c r="BK130" s="65">
        <f t="shared" si="263"/>
        <v>0</v>
      </c>
      <c r="BL130" s="66" t="str">
        <f t="shared" si="196"/>
        <v/>
      </c>
      <c r="BM130" s="65" t="str">
        <f t="shared" si="197"/>
        <v/>
      </c>
      <c r="BN130" s="65" t="str">
        <f t="shared" si="198"/>
        <v/>
      </c>
      <c r="BO130" s="65" t="str">
        <f t="shared" si="199"/>
        <v/>
      </c>
      <c r="BP130" s="68" t="str">
        <f>IF('Marks Entry'!AG130="","",'Marks Entry'!AG130)</f>
        <v/>
      </c>
      <c r="BQ130" s="68" t="str">
        <f>IF('Marks Entry'!AH130="","",'Marks Entry'!AH130)</f>
        <v/>
      </c>
      <c r="BR130" s="68" t="str">
        <f>IF('Marks Entry'!AI130="","",'Marks Entry'!AI130)</f>
        <v/>
      </c>
      <c r="BS130" s="514" t="str">
        <f t="shared" si="200"/>
        <v/>
      </c>
      <c r="BT130" s="68" t="str">
        <f>IF('Marks Entry'!AJ130="","",'Marks Entry'!AJ130)</f>
        <v/>
      </c>
      <c r="BU130" s="515" t="str">
        <f t="shared" si="201"/>
        <v/>
      </c>
      <c r="BV130" s="68" t="str">
        <f>IF('Marks Entry'!AK130="","",'Marks Entry'!AK130)</f>
        <v/>
      </c>
      <c r="BW130" s="96" t="str">
        <f t="shared" si="202"/>
        <v/>
      </c>
      <c r="BX130" s="65">
        <f t="shared" si="203"/>
        <v>0</v>
      </c>
      <c r="BY130" s="65">
        <f t="shared" si="204"/>
        <v>0</v>
      </c>
      <c r="BZ130" s="66" t="str">
        <f t="shared" si="205"/>
        <v/>
      </c>
      <c r="CA130" s="65" t="str">
        <f t="shared" si="206"/>
        <v/>
      </c>
      <c r="CB130" s="65" t="str">
        <f t="shared" si="207"/>
        <v/>
      </c>
      <c r="CC130" s="65" t="str">
        <f t="shared" si="208"/>
        <v/>
      </c>
      <c r="CD130" s="66">
        <f t="shared" si="329"/>
        <v>0</v>
      </c>
      <c r="CE130" s="68" t="str">
        <f>IF('Marks Entry'!AL130="","",'Marks Entry'!AL130)</f>
        <v/>
      </c>
      <c r="CF130" s="68" t="str">
        <f>IF('Marks Entry'!AM130="","",'Marks Entry'!AM130)</f>
        <v/>
      </c>
      <c r="CG130" s="68" t="str">
        <f>IF('Marks Entry'!AN130="","",'Marks Entry'!AN130)</f>
        <v/>
      </c>
      <c r="CH130" s="514" t="str">
        <f t="shared" si="210"/>
        <v/>
      </c>
      <c r="CI130" s="68" t="str">
        <f>IF('Marks Entry'!AO130="","",'Marks Entry'!AO130)</f>
        <v/>
      </c>
      <c r="CJ130" s="515" t="str">
        <f t="shared" si="211"/>
        <v/>
      </c>
      <c r="CK130" s="68" t="str">
        <f>IF('Marks Entry'!AP130="","",'Marks Entry'!AP130)</f>
        <v/>
      </c>
      <c r="CL130" s="96" t="str">
        <f t="shared" si="212"/>
        <v/>
      </c>
      <c r="CM130" s="65">
        <f t="shared" si="213"/>
        <v>0</v>
      </c>
      <c r="CN130" s="65">
        <f t="shared" si="214"/>
        <v>0</v>
      </c>
      <c r="CO130" s="66" t="str">
        <f t="shared" si="215"/>
        <v/>
      </c>
      <c r="CP130" s="65" t="str">
        <f t="shared" si="216"/>
        <v/>
      </c>
      <c r="CQ130" s="65" t="str">
        <f t="shared" si="217"/>
        <v/>
      </c>
      <c r="CR130" s="65" t="str">
        <f t="shared" si="218"/>
        <v/>
      </c>
      <c r="CS130" s="616" t="str">
        <f>IF('School Profile'!$D$20="NO","",IF('Marks Entry'!AQ130="","",IF('Marks Entry'!AQ130=1,'School Profile'!$I$29,IF('Marks Entry'!AQ130=2,'School Profile'!$I$30,IF('Marks Entry'!AQ130=3,'School Profile'!$I$31,IF('Marks Entry'!AQ130=4,'School Profile'!$I$32,IF('Marks Entry'!AQ130=5,'School Profile'!$I$33,IF('Marks Entry'!AQ130=6,'School Profile'!$I$34,IF('Marks Entry'!AQ130=7,'School Profile'!$I$35,IF('Marks Entry'!AQ130=8,'School Profile'!$I$36,IF('Marks Entry'!AQ130=9,'School Profile'!$I$37,IF('Marks Entry'!AQ130=10,'School Profile'!$I$38,IF('Marks Entry'!AQ130=11,'School Profile'!$I$39,"")))))))))))))</f>
        <v/>
      </c>
      <c r="CT130" s="68" t="str">
        <f>IF('School Profile'!$D$20="NO","",IF('Marks Entry'!AR130="","",'Marks Entry'!AR130))</f>
        <v/>
      </c>
      <c r="CU130" s="68" t="str">
        <f>IF('School Profile'!$D$20="NO","",IF('Marks Entry'!AS130="","",'Marks Entry'!AS130))</f>
        <v/>
      </c>
      <c r="CV130" s="68" t="str">
        <f>IF('School Profile'!$D$20="NO","",IF('Marks Entry'!AT130="","",'Marks Entry'!AT130))</f>
        <v/>
      </c>
      <c r="CW130" s="514" t="str">
        <f>IF('School Profile'!$D$20="NO","",IF(AND(CT130="",CU130="",CV130=""),"",SUM(CT130:CV130)))</f>
        <v/>
      </c>
      <c r="CX130" s="68" t="str">
        <f>IF('School Profile'!$D$20="NO","",IF('Marks Entry'!AU130="","",'Marks Entry'!AU130))</f>
        <v/>
      </c>
      <c r="CY130" s="68" t="str">
        <f>IF('School Profile'!$D$20="NO","",IF('Marks Entry'!AV130="","",'Marks Entry'!AV130))</f>
        <v/>
      </c>
      <c r="CZ130" s="515" t="str">
        <f>IF('School Profile'!$D$20="NO","",IF(AND(CX130="",CY130=""),"",SUM(CX130,CY130)))</f>
        <v/>
      </c>
      <c r="DA130" s="69" t="str">
        <f>IF('School Profile'!$D$20="NO","",IF(AND(CW130="",CZ130=""),"",SUM(CW130+CZ130)))</f>
        <v/>
      </c>
      <c r="DB130" s="68" t="str">
        <f>IF('School Profile'!$D$20="NO","",IF('Marks Entry'!AW130="","",'Marks Entry'!AW130))</f>
        <v/>
      </c>
      <c r="DC130" s="68" t="str">
        <f>IF('School Profile'!$D$20="NO","",IF('Marks Entry'!AX130="","",'Marks Entry'!AX130))</f>
        <v/>
      </c>
      <c r="DD130" s="515" t="str">
        <f>IF('School Profile'!$D$20="NO","",IF(AND(DB130="",DC130=""),"",SUM(DB130,DC130)))</f>
        <v/>
      </c>
      <c r="DE130" s="96" t="str">
        <f>IF('School Profile'!$D$20="NO","",IF(AND(DA130="",DD130=""),"",SUM(DA130,DD130)))</f>
        <v/>
      </c>
      <c r="DF130" s="532">
        <f t="shared" si="219"/>
        <v>0</v>
      </c>
      <c r="DG130" s="65">
        <f t="shared" si="220"/>
        <v>0</v>
      </c>
      <c r="DH130" s="66" t="str">
        <f t="shared" si="221"/>
        <v/>
      </c>
      <c r="DI130" s="65" t="str">
        <f t="shared" si="222"/>
        <v/>
      </c>
      <c r="DJ130" s="65" t="str">
        <f t="shared" si="223"/>
        <v/>
      </c>
      <c r="DK130" s="65" t="str">
        <f t="shared" si="224"/>
        <v/>
      </c>
      <c r="DL130" s="97" t="str">
        <f t="shared" si="264"/>
        <v/>
      </c>
      <c r="DM130" s="97" t="str">
        <f t="shared" si="265"/>
        <v/>
      </c>
      <c r="DN130" s="97" t="str">
        <f t="shared" si="266"/>
        <v/>
      </c>
      <c r="DO130" s="97" t="str">
        <f t="shared" si="267"/>
        <v/>
      </c>
      <c r="DP130" s="97" t="str">
        <f t="shared" si="268"/>
        <v/>
      </c>
      <c r="DQ130" s="97" t="str">
        <f t="shared" si="269"/>
        <v/>
      </c>
      <c r="DR130" s="97" t="str">
        <f t="shared" si="270"/>
        <v/>
      </c>
      <c r="DS130" s="98">
        <f t="shared" si="271"/>
        <v>0</v>
      </c>
      <c r="DT130" s="98">
        <f t="shared" si="272"/>
        <v>0</v>
      </c>
      <c r="DU130" s="98">
        <f t="shared" si="273"/>
        <v>0</v>
      </c>
      <c r="DV130" s="98">
        <f t="shared" si="274"/>
        <v>0</v>
      </c>
      <c r="DW130" s="98">
        <f t="shared" si="275"/>
        <v>0</v>
      </c>
      <c r="DX130" s="98" t="str">
        <f t="shared" si="276"/>
        <v/>
      </c>
      <c r="DY130" s="99" t="str">
        <f t="shared" si="277"/>
        <v/>
      </c>
      <c r="DZ130" s="74" t="str">
        <f>IF('Marks Entry'!AY130="","",'Marks Entry'!AY130)</f>
        <v/>
      </c>
      <c r="EA130" s="74" t="str">
        <f>IF('Marks Entry'!AZ130="","",'Marks Entry'!AZ130)</f>
        <v/>
      </c>
      <c r="EB130" s="74" t="str">
        <f>IF('Marks Entry'!BA130="","",'Marks Entry'!BA130)</f>
        <v/>
      </c>
      <c r="EC130" s="527" t="str">
        <f t="shared" si="225"/>
        <v/>
      </c>
      <c r="ED130" s="74" t="str">
        <f>IF('Marks Entry'!BB130="","",'Marks Entry'!BB130)</f>
        <v/>
      </c>
      <c r="EE130" s="528" t="str">
        <f t="shared" si="226"/>
        <v/>
      </c>
      <c r="EF130" s="74" t="str">
        <f>IF('Marks Entry'!BC130="","",'Marks Entry'!BC130)</f>
        <v/>
      </c>
      <c r="EG130" s="530" t="str">
        <f t="shared" si="227"/>
        <v/>
      </c>
      <c r="EH130" s="368" t="str">
        <f t="shared" si="278"/>
        <v/>
      </c>
      <c r="EI130" s="65">
        <f t="shared" si="279"/>
        <v>0</v>
      </c>
      <c r="EJ130" s="65">
        <f t="shared" si="280"/>
        <v>0</v>
      </c>
      <c r="EK130" s="66" t="str">
        <f t="shared" si="281"/>
        <v/>
      </c>
      <c r="EL130" s="74" t="str">
        <f>IF('Marks Entry'!BD130="","",'Marks Entry'!BD130)</f>
        <v/>
      </c>
      <c r="EM130" s="74" t="str">
        <f>IF('Marks Entry'!BE130="","",'Marks Entry'!BE130)</f>
        <v/>
      </c>
      <c r="EN130" s="74" t="str">
        <f>IF('Marks Entry'!BF130="","",'Marks Entry'!BF130)</f>
        <v/>
      </c>
      <c r="EO130" s="527" t="str">
        <f t="shared" si="228"/>
        <v/>
      </c>
      <c r="EP130" s="74" t="str">
        <f>IF('Marks Entry'!BG130="","",'Marks Entry'!BG130)</f>
        <v/>
      </c>
      <c r="EQ130" s="74" t="str">
        <f>IF('Marks Entry'!BH130="","",'Marks Entry'!BH130)</f>
        <v/>
      </c>
      <c r="ER130" s="528" t="str">
        <f t="shared" si="229"/>
        <v/>
      </c>
      <c r="ES130" s="529" t="str">
        <f t="shared" si="230"/>
        <v/>
      </c>
      <c r="ET130" s="74" t="str">
        <f>IF('Marks Entry'!BI130="","",'Marks Entry'!BI130)</f>
        <v/>
      </c>
      <c r="EU130" s="74" t="str">
        <f>IF('Marks Entry'!BJ130="","",'Marks Entry'!BJ130)</f>
        <v/>
      </c>
      <c r="EV130" s="528" t="str">
        <f t="shared" si="231"/>
        <v/>
      </c>
      <c r="EW130" s="530" t="str">
        <f t="shared" si="232"/>
        <v/>
      </c>
      <c r="EX130" s="368" t="str">
        <f t="shared" si="282"/>
        <v/>
      </c>
      <c r="EY130" s="65">
        <f t="shared" si="283"/>
        <v>0</v>
      </c>
      <c r="EZ130" s="65">
        <f t="shared" si="284"/>
        <v>0</v>
      </c>
      <c r="FA130" s="66" t="str">
        <f t="shared" si="285"/>
        <v/>
      </c>
      <c r="FB130" s="74" t="str">
        <f>IF('Marks Entry'!BK130="","",'Marks Entry'!BK130)</f>
        <v/>
      </c>
      <c r="FC130" s="74" t="str">
        <f>IF('Marks Entry'!BL130="","",'Marks Entry'!BL130)</f>
        <v/>
      </c>
      <c r="FD130" s="74" t="str">
        <f>IF('Marks Entry'!BM130="","",'Marks Entry'!BM130)</f>
        <v/>
      </c>
      <c r="FE130" s="74" t="str">
        <f>IF('Marks Entry'!BN130="","",'Marks Entry'!BN130)</f>
        <v/>
      </c>
      <c r="FF130" s="74" t="str">
        <f>IF('Marks Entry'!BO130="","",'Marks Entry'!BO130)</f>
        <v/>
      </c>
      <c r="FG130" s="74" t="str">
        <f>IF('Marks Entry'!BP130="","",'Marks Entry'!BP130)</f>
        <v/>
      </c>
      <c r="FH130" s="527" t="str">
        <f t="shared" si="233"/>
        <v/>
      </c>
      <c r="FI130" s="74" t="str">
        <f>IF('Marks Entry'!BQ130="","",'Marks Entry'!BQ130)</f>
        <v/>
      </c>
      <c r="FJ130" s="74" t="str">
        <f>IF('Marks Entry'!BR130="","",'Marks Entry'!BR130)</f>
        <v/>
      </c>
      <c r="FK130" s="528" t="str">
        <f t="shared" si="234"/>
        <v/>
      </c>
      <c r="FL130" s="529" t="str">
        <f t="shared" si="235"/>
        <v/>
      </c>
      <c r="FM130" s="74" t="str">
        <f>IF('Marks Entry'!BS130="","",'Marks Entry'!BS130)</f>
        <v/>
      </c>
      <c r="FN130" s="74" t="str">
        <f>IF('Marks Entry'!BT130="","",'Marks Entry'!BT130)</f>
        <v/>
      </c>
      <c r="FO130" s="528" t="str">
        <f t="shared" si="236"/>
        <v/>
      </c>
      <c r="FP130" s="530" t="str">
        <f t="shared" si="237"/>
        <v/>
      </c>
      <c r="FQ130" s="368" t="str">
        <f t="shared" si="286"/>
        <v/>
      </c>
      <c r="FR130" s="65">
        <f t="shared" si="287"/>
        <v>0</v>
      </c>
      <c r="FS130" s="65">
        <f t="shared" si="288"/>
        <v>0</v>
      </c>
      <c r="FT130" s="66" t="str">
        <f t="shared" si="289"/>
        <v/>
      </c>
      <c r="FU130" s="74" t="str">
        <f>IF('Marks Entry'!BU130="","",'Marks Entry'!BU130)</f>
        <v/>
      </c>
      <c r="FV130" s="74" t="str">
        <f>IF('Marks Entry'!BV130="","",'Marks Entry'!BV130)</f>
        <v/>
      </c>
      <c r="FW130" s="74" t="str">
        <f>IF('Marks Entry'!BW130="","",'Marks Entry'!BW130)</f>
        <v/>
      </c>
      <c r="FX130" s="75" t="str">
        <f t="shared" si="238"/>
        <v/>
      </c>
      <c r="FY130" s="368" t="str">
        <f t="shared" si="290"/>
        <v/>
      </c>
      <c r="FZ130" s="65">
        <f t="shared" si="291"/>
        <v>0</v>
      </c>
      <c r="GA130" s="66">
        <f t="shared" si="292"/>
        <v>0</v>
      </c>
      <c r="GB130" s="66" t="str">
        <f t="shared" si="293"/>
        <v/>
      </c>
      <c r="GC130" s="74" t="str">
        <f>IF('Marks Entry'!BX130="","",'Marks Entry'!BX130)</f>
        <v/>
      </c>
      <c r="GD130" s="74" t="str">
        <f>IF('Marks Entry'!BY130="","",'Marks Entry'!BY130)</f>
        <v/>
      </c>
      <c r="GE130" s="74" t="str">
        <f>IF('Marks Entry'!BZ130="","",'Marks Entry'!BZ130)</f>
        <v/>
      </c>
      <c r="GF130" s="75" t="str">
        <f t="shared" si="294"/>
        <v/>
      </c>
      <c r="GG130" s="368" t="str">
        <f t="shared" si="295"/>
        <v/>
      </c>
      <c r="GH130" s="65">
        <f t="shared" si="296"/>
        <v>0</v>
      </c>
      <c r="GI130" s="66">
        <f t="shared" si="297"/>
        <v>0</v>
      </c>
      <c r="GJ130" s="66" t="str">
        <f t="shared" si="298"/>
        <v/>
      </c>
      <c r="GK130" s="100" t="str">
        <f>IF(AND(F130="",B130=""),"",IF('Student DATA Entry'!M127="","",'Student DATA Entry'!M127))</f>
        <v/>
      </c>
      <c r="GL130" s="101" t="str">
        <f>IF(AND(B130="",F130=""),"",IF('Student DATA Entry'!N127="","",'Student DATA Entry'!N127))</f>
        <v/>
      </c>
      <c r="GM130" s="581" t="str">
        <f t="shared" si="299"/>
        <v/>
      </c>
      <c r="GN130" s="94" t="str">
        <f t="shared" si="300"/>
        <v/>
      </c>
      <c r="GO130" s="94" t="str">
        <f t="shared" si="301"/>
        <v/>
      </c>
      <c r="GP130" s="102" t="str">
        <f t="shared" si="330"/>
        <v/>
      </c>
      <c r="GQ130" s="94" t="str">
        <f t="shared" si="302"/>
        <v/>
      </c>
      <c r="GR130" s="103" t="str">
        <f t="shared" si="303"/>
        <v/>
      </c>
      <c r="GS130" s="102" t="str">
        <f t="shared" si="331"/>
        <v/>
      </c>
      <c r="GT130" s="104" t="str">
        <f t="shared" si="304"/>
        <v/>
      </c>
      <c r="GU130" s="94" t="str">
        <f>IF('Marks Entry'!V130=1,GT130,"")</f>
        <v/>
      </c>
      <c r="GV130" s="94" t="str">
        <f>IF('Marks Entry'!V130=2,GT130,"")</f>
        <v/>
      </c>
      <c r="GW130" s="94" t="str">
        <f>IF('Marks Entry'!V130=3,GT130,"")</f>
        <v/>
      </c>
      <c r="GX130" s="94" t="str">
        <f>IF('Marks Entry'!V130=4,GT130,"")</f>
        <v/>
      </c>
      <c r="GY130" s="94" t="str">
        <f>IF('Marks Entry'!V130=5,GT130,"")</f>
        <v/>
      </c>
      <c r="GZ130" s="94" t="str">
        <f t="shared" si="305"/>
        <v/>
      </c>
      <c r="HA130" s="105" t="str">
        <f t="shared" si="332"/>
        <v/>
      </c>
      <c r="HB130" s="94" t="str">
        <f t="shared" si="306"/>
        <v/>
      </c>
      <c r="HC130" s="94" t="str">
        <f t="shared" si="307"/>
        <v/>
      </c>
      <c r="HD130" s="105" t="str">
        <f t="shared" si="333"/>
        <v/>
      </c>
      <c r="HE130" s="94" t="str">
        <f t="shared" si="308"/>
        <v/>
      </c>
      <c r="HF130" s="94" t="str">
        <f t="shared" si="309"/>
        <v/>
      </c>
      <c r="HG130" s="105" t="str">
        <f t="shared" si="334"/>
        <v/>
      </c>
      <c r="HH130" s="94" t="str">
        <f t="shared" si="310"/>
        <v/>
      </c>
      <c r="HI130" s="94" t="str">
        <f t="shared" si="311"/>
        <v/>
      </c>
      <c r="HJ130" s="105" t="str">
        <f t="shared" si="335"/>
        <v/>
      </c>
      <c r="HK130" s="94" t="str">
        <f t="shared" si="312"/>
        <v/>
      </c>
      <c r="HL130" s="94" t="str">
        <f t="shared" si="313"/>
        <v/>
      </c>
      <c r="HM130" s="105" t="str">
        <f t="shared" si="336"/>
        <v/>
      </c>
      <c r="HN130" s="367" t="str">
        <f t="shared" si="314"/>
        <v xml:space="preserve">      </v>
      </c>
      <c r="HO130" s="418" t="str">
        <f t="shared" si="337"/>
        <v xml:space="preserve">      </v>
      </c>
      <c r="HP130" s="367" t="str">
        <f t="shared" si="315"/>
        <v xml:space="preserve">      </v>
      </c>
      <c r="HQ130" s="107" t="str">
        <f t="shared" si="316"/>
        <v xml:space="preserve">      </v>
      </c>
      <c r="HR130" s="366" t="str">
        <f t="shared" si="317"/>
        <v xml:space="preserve">      </v>
      </c>
      <c r="HS130" s="544" t="str">
        <f t="shared" si="338"/>
        <v/>
      </c>
      <c r="HT130" s="542" t="str">
        <f t="shared" si="318"/>
        <v/>
      </c>
      <c r="HU130" s="541" t="str">
        <f t="shared" si="319"/>
        <v/>
      </c>
      <c r="HV130" s="540" t="str">
        <f t="shared" si="320"/>
        <v/>
      </c>
      <c r="HW130" s="537" t="str">
        <f t="shared" si="321"/>
        <v/>
      </c>
      <c r="HX130" s="539" t="str">
        <f t="shared" si="322"/>
        <v/>
      </c>
      <c r="HY130" s="553" t="str">
        <f>IFERROR(IF(OR(HS130="SUPPLEMENTARY",HS130="RE-EXAM"),'Supp. Result Entry'!AQ128,""),"")</f>
        <v/>
      </c>
      <c r="HZ130" s="538" t="str">
        <f t="shared" si="323"/>
        <v/>
      </c>
      <c r="IA130" s="415" t="str">
        <f t="shared" si="324"/>
        <v/>
      </c>
      <c r="IB130" s="415" t="str">
        <f>IF(AND(HZ130="",IA130=""),"",IF(OR(HS130="SUPPLEMENTARY",HS130="RE-EXAM"),'Supp. Result Entry'!AQ128,HS130))</f>
        <v/>
      </c>
      <c r="IC130" s="87"/>
      <c r="IS130" s="109" t="str">
        <f>IF('Supp. Result Entry'!T128="","",'Supp. Result Entry'!$T$4)</f>
        <v/>
      </c>
      <c r="IT130" s="110" t="str">
        <f>IF('Supp. Result Entry'!W128="","",'Supp. Result Entry'!$W$4)</f>
        <v/>
      </c>
      <c r="IU130" s="110" t="str">
        <f>IF('Supp. Result Entry'!Z128="","",'Supp. Result Entry'!$Z$4)</f>
        <v/>
      </c>
      <c r="IV130" s="110" t="str">
        <f>IF('Supp. Result Entry'!AC128="","",'Supp. Result Entry'!$AC$4)</f>
        <v/>
      </c>
      <c r="IW130" s="110" t="str">
        <f>IF('Supp. Result Entry'!AF128="","",'Supp. Result Entry'!$AF$4)</f>
        <v/>
      </c>
      <c r="IX130" s="110" t="str">
        <f>IF('Supp. Result Entry'!AI128="","",'Supp. Result Entry'!$AI$4)</f>
        <v/>
      </c>
      <c r="IY130" s="110" t="str">
        <f>IF('Supp. Result Entry'!AI128="","",'Supp. Result Entry'!$AL$4)</f>
        <v/>
      </c>
      <c r="IZ130" s="110" t="str">
        <f>IF('Supp. Result Entry'!U128="","",'Supp. Result Entry'!U128)</f>
        <v/>
      </c>
      <c r="JA130" s="110" t="str">
        <f>IF('Supp. Result Entry'!X128="","",'Supp. Result Entry'!X128)</f>
        <v/>
      </c>
      <c r="JB130" s="110" t="str">
        <f>IF('Supp. Result Entry'!AA128="","",'Supp. Result Entry'!AA128)</f>
        <v/>
      </c>
      <c r="JC130" s="110" t="str">
        <f>IF('Supp. Result Entry'!AD128="","",'Supp. Result Entry'!AD128)</f>
        <v/>
      </c>
      <c r="JD130" s="110" t="str">
        <f>IF('Supp. Result Entry'!AG128="","",'Supp. Result Entry'!AG128)</f>
        <v/>
      </c>
      <c r="JE130" s="110" t="str">
        <f>IF('Supp. Result Entry'!AJ128="","",'Supp. Result Entry'!AJ128)</f>
        <v/>
      </c>
      <c r="JF130" s="110" t="str">
        <f>IF('Supp. Result Entry'!AM128="","",'Supp. Result Entry'!AM128)</f>
        <v/>
      </c>
      <c r="JG130" s="110" t="str">
        <f>IF('Supp. Result Entry'!V128="","",'Supp. Result Entry'!V128)</f>
        <v/>
      </c>
      <c r="JH130" s="110" t="str">
        <f>IF('Supp. Result Entry'!Y128="","",'Supp. Result Entry'!Y128)</f>
        <v/>
      </c>
      <c r="JI130" s="110" t="str">
        <f>IF('Supp. Result Entry'!AB128="","",'Supp. Result Entry'!AB128)</f>
        <v/>
      </c>
      <c r="JJ130" s="110" t="str">
        <f>IF('Supp. Result Entry'!AE128="","",'Supp. Result Entry'!AE128)</f>
        <v/>
      </c>
      <c r="JK130" s="110" t="str">
        <f>IF('Supp. Result Entry'!AH128="","",'Supp. Result Entry'!AH128)</f>
        <v/>
      </c>
      <c r="JL130" s="110" t="str">
        <f>IF('Supp. Result Entry'!AK128="","",'Supp. Result Entry'!AK128)</f>
        <v/>
      </c>
      <c r="JM130" s="110" t="str">
        <f>IF('Supp. Result Entry'!AN128="","",'Supp. Result Entry'!AN128)</f>
        <v/>
      </c>
      <c r="JN130" s="110">
        <f>COUNTIF('Supp. Result Entry'!K128:Q128,"S")</f>
        <v>0</v>
      </c>
      <c r="JO130" s="110">
        <f t="shared" si="248"/>
        <v>0</v>
      </c>
      <c r="JP130" s="110">
        <f t="shared" si="325"/>
        <v>0</v>
      </c>
      <c r="JQ130" s="110" t="str">
        <f t="shared" si="249"/>
        <v/>
      </c>
      <c r="JR130" s="110" t="str">
        <f t="shared" si="250"/>
        <v/>
      </c>
      <c r="JS130" s="110" t="str">
        <f t="shared" si="251"/>
        <v/>
      </c>
      <c r="JT130" s="110" t="str">
        <f t="shared" si="252"/>
        <v/>
      </c>
      <c r="JU130" s="110" t="str">
        <f t="shared" si="253"/>
        <v/>
      </c>
      <c r="JV130" s="110" t="str">
        <f t="shared" si="254"/>
        <v/>
      </c>
      <c r="JW130" s="110" t="str">
        <f t="shared" si="255"/>
        <v/>
      </c>
      <c r="JX130" s="110" t="str">
        <f t="shared" si="326"/>
        <v/>
      </c>
      <c r="JY130" s="110" t="str">
        <f t="shared" si="327"/>
        <v/>
      </c>
      <c r="JZ130" s="110" t="str">
        <f t="shared" si="256"/>
        <v/>
      </c>
      <c r="KA130" s="108" t="str">
        <f t="shared" si="328"/>
        <v/>
      </c>
    </row>
    <row r="131" spans="1:287" s="108" customFormat="1" ht="21.95" customHeight="1">
      <c r="A131" s="89">
        <v>125</v>
      </c>
      <c r="B131" s="90" t="str">
        <f>IF('Marks Entry'!B131="","",'Marks Entry'!B131)</f>
        <v/>
      </c>
      <c r="C131" s="94" t="str">
        <f>IF('Marks Entry'!D131="","",'Marks Entry'!D131)</f>
        <v/>
      </c>
      <c r="D131" s="91" t="str">
        <f>IF('Marks Entry'!E131="","",'Marks Entry'!E131)</f>
        <v/>
      </c>
      <c r="E131" s="92" t="str">
        <f>IF('Marks Entry'!F131="","",'Marks Entry'!F131)</f>
        <v/>
      </c>
      <c r="F131" s="93" t="str">
        <f>IF('Marks Entry'!G131="","",'Marks Entry'!G131)</f>
        <v/>
      </c>
      <c r="G131" s="93" t="str">
        <f>IF('Marks Entry'!H131="","",'Marks Entry'!H131)</f>
        <v/>
      </c>
      <c r="H131" s="93" t="str">
        <f>IF('Marks Entry'!I131="","",'Marks Entry'!I131)</f>
        <v/>
      </c>
      <c r="I131" s="94" t="str">
        <f>IF('Marks Entry'!J131="","",'Marks Entry'!J131)</f>
        <v/>
      </c>
      <c r="J131" s="95" t="str">
        <f>IF('Marks Entry'!K131="","",'Marks Entry'!K131)</f>
        <v/>
      </c>
      <c r="K131" s="68" t="str">
        <f>IF('Marks Entry'!L131="","",'Marks Entry'!L131)</f>
        <v/>
      </c>
      <c r="L131" s="68" t="str">
        <f>IF('Marks Entry'!M131="","",'Marks Entry'!M131)</f>
        <v/>
      </c>
      <c r="M131" s="68" t="str">
        <f>IF('Marks Entry'!N131="","",'Marks Entry'!N131)</f>
        <v/>
      </c>
      <c r="N131" s="514" t="str">
        <f t="shared" si="257"/>
        <v/>
      </c>
      <c r="O131" s="68" t="str">
        <f>IF('Marks Entry'!O131="","",'Marks Entry'!O131)</f>
        <v/>
      </c>
      <c r="P131" s="515" t="str">
        <f t="shared" si="258"/>
        <v/>
      </c>
      <c r="Q131" s="68" t="str">
        <f>IF('Marks Entry'!P131="","",'Marks Entry'!P131)</f>
        <v/>
      </c>
      <c r="R131" s="96" t="str">
        <f t="shared" si="259"/>
        <v/>
      </c>
      <c r="S131" s="65">
        <f t="shared" si="260"/>
        <v>0</v>
      </c>
      <c r="T131" s="65">
        <f t="shared" si="261"/>
        <v>0</v>
      </c>
      <c r="U131" s="66" t="str">
        <f t="shared" si="171"/>
        <v/>
      </c>
      <c r="V131" s="65" t="str">
        <f t="shared" si="172"/>
        <v/>
      </c>
      <c r="W131" s="65" t="str">
        <f t="shared" si="262"/>
        <v/>
      </c>
      <c r="X131" s="65" t="str">
        <f t="shared" si="173"/>
        <v/>
      </c>
      <c r="Y131" s="68" t="str">
        <f>IF('Marks Entry'!Q131="","",'Marks Entry'!Q131)</f>
        <v/>
      </c>
      <c r="Z131" s="68" t="str">
        <f>IF('Marks Entry'!R131="","",'Marks Entry'!R131)</f>
        <v/>
      </c>
      <c r="AA131" s="68" t="str">
        <f>IF('Marks Entry'!S131="","",'Marks Entry'!S131)</f>
        <v/>
      </c>
      <c r="AB131" s="514" t="str">
        <f t="shared" si="174"/>
        <v/>
      </c>
      <c r="AC131" s="68" t="str">
        <f>IF('Marks Entry'!T131="","",'Marks Entry'!T131)</f>
        <v/>
      </c>
      <c r="AD131" s="515" t="str">
        <f t="shared" si="175"/>
        <v/>
      </c>
      <c r="AE131" s="68" t="str">
        <f>IF('Marks Entry'!U131="","",'Marks Entry'!U131)</f>
        <v/>
      </c>
      <c r="AF131" s="96" t="str">
        <f t="shared" si="176"/>
        <v/>
      </c>
      <c r="AG131" s="65">
        <f t="shared" si="177"/>
        <v>0</v>
      </c>
      <c r="AH131" s="65">
        <f t="shared" si="178"/>
        <v>0</v>
      </c>
      <c r="AI131" s="66" t="str">
        <f t="shared" si="179"/>
        <v/>
      </c>
      <c r="AJ131" s="65" t="str">
        <f t="shared" si="180"/>
        <v/>
      </c>
      <c r="AK131" s="65" t="str">
        <f t="shared" si="181"/>
        <v/>
      </c>
      <c r="AL131" s="65" t="str">
        <f t="shared" si="182"/>
        <v/>
      </c>
      <c r="AM131" s="524" t="str">
        <f>IF('Marks Entry'!V131="","",IF('Marks Entry'!V131=1,'School Profile'!$I$9,IF('Marks Entry'!V131=2,'School Profile'!$I$10,IF('Marks Entry'!V131=3,'School Profile'!$I$11,IF('Marks Entry'!V131=4,'School Profile'!$I$12,IF('Marks Entry'!V131=5,'School Profile'!$I$13,IF('Marks Entry'!V131=6,'School Profile'!$I$14,"")))))))</f>
        <v/>
      </c>
      <c r="AN131" s="68" t="str">
        <f>IF('Marks Entry'!W131="","",'Marks Entry'!W131)</f>
        <v/>
      </c>
      <c r="AO131" s="68" t="str">
        <f>IF('Marks Entry'!X131="","",'Marks Entry'!X131)</f>
        <v/>
      </c>
      <c r="AP131" s="68" t="str">
        <f>IF('Marks Entry'!Y131="","",'Marks Entry'!Y131)</f>
        <v/>
      </c>
      <c r="AQ131" s="514" t="str">
        <f t="shared" si="183"/>
        <v/>
      </c>
      <c r="AR131" s="68" t="str">
        <f>IF('Marks Entry'!Z131="","",'Marks Entry'!Z131)</f>
        <v/>
      </c>
      <c r="AS131" s="515" t="str">
        <f t="shared" si="184"/>
        <v/>
      </c>
      <c r="AT131" s="68" t="str">
        <f>IF('Marks Entry'!AA131="","",'Marks Entry'!AA131)</f>
        <v/>
      </c>
      <c r="AU131" s="96" t="str">
        <f t="shared" si="185"/>
        <v/>
      </c>
      <c r="AV131" s="65">
        <f t="shared" si="186"/>
        <v>0</v>
      </c>
      <c r="AW131" s="65">
        <f t="shared" si="187"/>
        <v>0</v>
      </c>
      <c r="AX131" s="66" t="str">
        <f t="shared" si="188"/>
        <v/>
      </c>
      <c r="AY131" s="65" t="str">
        <f t="shared" si="189"/>
        <v/>
      </c>
      <c r="AZ131" s="65" t="str">
        <f t="shared" si="190"/>
        <v/>
      </c>
      <c r="BA131" s="65" t="str">
        <f t="shared" si="191"/>
        <v/>
      </c>
      <c r="BB131" s="68" t="str">
        <f>IF('Marks Entry'!AB131="","",'Marks Entry'!AB131)</f>
        <v/>
      </c>
      <c r="BC131" s="68" t="str">
        <f>IF('Marks Entry'!AC131="","",'Marks Entry'!AC131)</f>
        <v/>
      </c>
      <c r="BD131" s="68" t="str">
        <f>IF('Marks Entry'!AD131="","",'Marks Entry'!AD131)</f>
        <v/>
      </c>
      <c r="BE131" s="514" t="str">
        <f t="shared" si="192"/>
        <v/>
      </c>
      <c r="BF131" s="68" t="str">
        <f>IF('Marks Entry'!AE131="","",'Marks Entry'!AE131)</f>
        <v/>
      </c>
      <c r="BG131" s="515" t="str">
        <f t="shared" si="193"/>
        <v/>
      </c>
      <c r="BH131" s="68" t="str">
        <f>IF('Marks Entry'!AF131="","",'Marks Entry'!AF131)</f>
        <v/>
      </c>
      <c r="BI131" s="96" t="str">
        <f t="shared" si="194"/>
        <v/>
      </c>
      <c r="BJ131" s="65">
        <f t="shared" si="195"/>
        <v>0</v>
      </c>
      <c r="BK131" s="65">
        <f t="shared" si="263"/>
        <v>0</v>
      </c>
      <c r="BL131" s="66" t="str">
        <f t="shared" si="196"/>
        <v/>
      </c>
      <c r="BM131" s="65" t="str">
        <f t="shared" si="197"/>
        <v/>
      </c>
      <c r="BN131" s="65" t="str">
        <f t="shared" si="198"/>
        <v/>
      </c>
      <c r="BO131" s="65" t="str">
        <f t="shared" si="199"/>
        <v/>
      </c>
      <c r="BP131" s="68" t="str">
        <f>IF('Marks Entry'!AG131="","",'Marks Entry'!AG131)</f>
        <v/>
      </c>
      <c r="BQ131" s="68" t="str">
        <f>IF('Marks Entry'!AH131="","",'Marks Entry'!AH131)</f>
        <v/>
      </c>
      <c r="BR131" s="68" t="str">
        <f>IF('Marks Entry'!AI131="","",'Marks Entry'!AI131)</f>
        <v/>
      </c>
      <c r="BS131" s="514" t="str">
        <f t="shared" si="200"/>
        <v/>
      </c>
      <c r="BT131" s="68" t="str">
        <f>IF('Marks Entry'!AJ131="","",'Marks Entry'!AJ131)</f>
        <v/>
      </c>
      <c r="BU131" s="515" t="str">
        <f t="shared" si="201"/>
        <v/>
      </c>
      <c r="BV131" s="68" t="str">
        <f>IF('Marks Entry'!AK131="","",'Marks Entry'!AK131)</f>
        <v/>
      </c>
      <c r="BW131" s="96" t="str">
        <f t="shared" si="202"/>
        <v/>
      </c>
      <c r="BX131" s="65">
        <f t="shared" si="203"/>
        <v>0</v>
      </c>
      <c r="BY131" s="65">
        <f t="shared" si="204"/>
        <v>0</v>
      </c>
      <c r="BZ131" s="66" t="str">
        <f t="shared" si="205"/>
        <v/>
      </c>
      <c r="CA131" s="65" t="str">
        <f t="shared" si="206"/>
        <v/>
      </c>
      <c r="CB131" s="65" t="str">
        <f t="shared" si="207"/>
        <v/>
      </c>
      <c r="CC131" s="65" t="str">
        <f t="shared" si="208"/>
        <v/>
      </c>
      <c r="CD131" s="66">
        <f t="shared" si="329"/>
        <v>0</v>
      </c>
      <c r="CE131" s="68" t="str">
        <f>IF('Marks Entry'!AL131="","",'Marks Entry'!AL131)</f>
        <v/>
      </c>
      <c r="CF131" s="68" t="str">
        <f>IF('Marks Entry'!AM131="","",'Marks Entry'!AM131)</f>
        <v/>
      </c>
      <c r="CG131" s="68" t="str">
        <f>IF('Marks Entry'!AN131="","",'Marks Entry'!AN131)</f>
        <v/>
      </c>
      <c r="CH131" s="514" t="str">
        <f t="shared" si="210"/>
        <v/>
      </c>
      <c r="CI131" s="68" t="str">
        <f>IF('Marks Entry'!AO131="","",'Marks Entry'!AO131)</f>
        <v/>
      </c>
      <c r="CJ131" s="515" t="str">
        <f t="shared" si="211"/>
        <v/>
      </c>
      <c r="CK131" s="68" t="str">
        <f>IF('Marks Entry'!AP131="","",'Marks Entry'!AP131)</f>
        <v/>
      </c>
      <c r="CL131" s="96" t="str">
        <f t="shared" si="212"/>
        <v/>
      </c>
      <c r="CM131" s="65">
        <f t="shared" si="213"/>
        <v>0</v>
      </c>
      <c r="CN131" s="65">
        <f t="shared" si="214"/>
        <v>0</v>
      </c>
      <c r="CO131" s="66" t="str">
        <f t="shared" si="215"/>
        <v/>
      </c>
      <c r="CP131" s="65" t="str">
        <f t="shared" si="216"/>
        <v/>
      </c>
      <c r="CQ131" s="65" t="str">
        <f t="shared" si="217"/>
        <v/>
      </c>
      <c r="CR131" s="65" t="str">
        <f t="shared" si="218"/>
        <v/>
      </c>
      <c r="CS131" s="616" t="str">
        <f>IF('School Profile'!$D$20="NO","",IF('Marks Entry'!AQ131="","",IF('Marks Entry'!AQ131=1,'School Profile'!$I$29,IF('Marks Entry'!AQ131=2,'School Profile'!$I$30,IF('Marks Entry'!AQ131=3,'School Profile'!$I$31,IF('Marks Entry'!AQ131=4,'School Profile'!$I$32,IF('Marks Entry'!AQ131=5,'School Profile'!$I$33,IF('Marks Entry'!AQ131=6,'School Profile'!$I$34,IF('Marks Entry'!AQ131=7,'School Profile'!$I$35,IF('Marks Entry'!AQ131=8,'School Profile'!$I$36,IF('Marks Entry'!AQ131=9,'School Profile'!$I$37,IF('Marks Entry'!AQ131=10,'School Profile'!$I$38,IF('Marks Entry'!AQ131=11,'School Profile'!$I$39,"")))))))))))))</f>
        <v/>
      </c>
      <c r="CT131" s="68" t="str">
        <f>IF('School Profile'!$D$20="NO","",IF('Marks Entry'!AR131="","",'Marks Entry'!AR131))</f>
        <v/>
      </c>
      <c r="CU131" s="68" t="str">
        <f>IF('School Profile'!$D$20="NO","",IF('Marks Entry'!AS131="","",'Marks Entry'!AS131))</f>
        <v/>
      </c>
      <c r="CV131" s="68" t="str">
        <f>IF('School Profile'!$D$20="NO","",IF('Marks Entry'!AT131="","",'Marks Entry'!AT131))</f>
        <v/>
      </c>
      <c r="CW131" s="514" t="str">
        <f>IF('School Profile'!$D$20="NO","",IF(AND(CT131="",CU131="",CV131=""),"",SUM(CT131:CV131)))</f>
        <v/>
      </c>
      <c r="CX131" s="68" t="str">
        <f>IF('School Profile'!$D$20="NO","",IF('Marks Entry'!AU131="","",'Marks Entry'!AU131))</f>
        <v/>
      </c>
      <c r="CY131" s="68" t="str">
        <f>IF('School Profile'!$D$20="NO","",IF('Marks Entry'!AV131="","",'Marks Entry'!AV131))</f>
        <v/>
      </c>
      <c r="CZ131" s="515" t="str">
        <f>IF('School Profile'!$D$20="NO","",IF(AND(CX131="",CY131=""),"",SUM(CX131,CY131)))</f>
        <v/>
      </c>
      <c r="DA131" s="69" t="str">
        <f>IF('School Profile'!$D$20="NO","",IF(AND(CW131="",CZ131=""),"",SUM(CW131+CZ131)))</f>
        <v/>
      </c>
      <c r="DB131" s="68" t="str">
        <f>IF('School Profile'!$D$20="NO","",IF('Marks Entry'!AW131="","",'Marks Entry'!AW131))</f>
        <v/>
      </c>
      <c r="DC131" s="68" t="str">
        <f>IF('School Profile'!$D$20="NO","",IF('Marks Entry'!AX131="","",'Marks Entry'!AX131))</f>
        <v/>
      </c>
      <c r="DD131" s="515" t="str">
        <f>IF('School Profile'!$D$20="NO","",IF(AND(DB131="",DC131=""),"",SUM(DB131,DC131)))</f>
        <v/>
      </c>
      <c r="DE131" s="96" t="str">
        <f>IF('School Profile'!$D$20="NO","",IF(AND(DA131="",DD131=""),"",SUM(DA131,DD131)))</f>
        <v/>
      </c>
      <c r="DF131" s="532">
        <f t="shared" si="219"/>
        <v>0</v>
      </c>
      <c r="DG131" s="65">
        <f t="shared" si="220"/>
        <v>0</v>
      </c>
      <c r="DH131" s="66" t="str">
        <f t="shared" si="221"/>
        <v/>
      </c>
      <c r="DI131" s="65" t="str">
        <f t="shared" si="222"/>
        <v/>
      </c>
      <c r="DJ131" s="65" t="str">
        <f t="shared" si="223"/>
        <v/>
      </c>
      <c r="DK131" s="65" t="str">
        <f t="shared" si="224"/>
        <v/>
      </c>
      <c r="DL131" s="97" t="str">
        <f t="shared" si="264"/>
        <v/>
      </c>
      <c r="DM131" s="97" t="str">
        <f t="shared" si="265"/>
        <v/>
      </c>
      <c r="DN131" s="97" t="str">
        <f t="shared" si="266"/>
        <v/>
      </c>
      <c r="DO131" s="97" t="str">
        <f t="shared" si="267"/>
        <v/>
      </c>
      <c r="DP131" s="97" t="str">
        <f t="shared" si="268"/>
        <v/>
      </c>
      <c r="DQ131" s="97" t="str">
        <f t="shared" si="269"/>
        <v/>
      </c>
      <c r="DR131" s="97" t="str">
        <f t="shared" si="270"/>
        <v/>
      </c>
      <c r="DS131" s="98">
        <f t="shared" si="271"/>
        <v>0</v>
      </c>
      <c r="DT131" s="98">
        <f t="shared" si="272"/>
        <v>0</v>
      </c>
      <c r="DU131" s="98">
        <f t="shared" si="273"/>
        <v>0</v>
      </c>
      <c r="DV131" s="98">
        <f t="shared" si="274"/>
        <v>0</v>
      </c>
      <c r="DW131" s="98">
        <f t="shared" si="275"/>
        <v>0</v>
      </c>
      <c r="DX131" s="98" t="str">
        <f t="shared" si="276"/>
        <v/>
      </c>
      <c r="DY131" s="99" t="str">
        <f t="shared" si="277"/>
        <v/>
      </c>
      <c r="DZ131" s="74" t="str">
        <f>IF('Marks Entry'!AY131="","",'Marks Entry'!AY131)</f>
        <v/>
      </c>
      <c r="EA131" s="74" t="str">
        <f>IF('Marks Entry'!AZ131="","",'Marks Entry'!AZ131)</f>
        <v/>
      </c>
      <c r="EB131" s="74" t="str">
        <f>IF('Marks Entry'!BA131="","",'Marks Entry'!BA131)</f>
        <v/>
      </c>
      <c r="EC131" s="527" t="str">
        <f t="shared" si="225"/>
        <v/>
      </c>
      <c r="ED131" s="74" t="str">
        <f>IF('Marks Entry'!BB131="","",'Marks Entry'!BB131)</f>
        <v/>
      </c>
      <c r="EE131" s="528" t="str">
        <f t="shared" si="226"/>
        <v/>
      </c>
      <c r="EF131" s="74" t="str">
        <f>IF('Marks Entry'!BC131="","",'Marks Entry'!BC131)</f>
        <v/>
      </c>
      <c r="EG131" s="530" t="str">
        <f t="shared" si="227"/>
        <v/>
      </c>
      <c r="EH131" s="368" t="str">
        <f t="shared" si="278"/>
        <v/>
      </c>
      <c r="EI131" s="65">
        <f t="shared" si="279"/>
        <v>0</v>
      </c>
      <c r="EJ131" s="65">
        <f t="shared" si="280"/>
        <v>0</v>
      </c>
      <c r="EK131" s="66" t="str">
        <f t="shared" si="281"/>
        <v/>
      </c>
      <c r="EL131" s="74" t="str">
        <f>IF('Marks Entry'!BD131="","",'Marks Entry'!BD131)</f>
        <v/>
      </c>
      <c r="EM131" s="74" t="str">
        <f>IF('Marks Entry'!BE131="","",'Marks Entry'!BE131)</f>
        <v/>
      </c>
      <c r="EN131" s="74" t="str">
        <f>IF('Marks Entry'!BF131="","",'Marks Entry'!BF131)</f>
        <v/>
      </c>
      <c r="EO131" s="527" t="str">
        <f t="shared" si="228"/>
        <v/>
      </c>
      <c r="EP131" s="74" t="str">
        <f>IF('Marks Entry'!BG131="","",'Marks Entry'!BG131)</f>
        <v/>
      </c>
      <c r="EQ131" s="74" t="str">
        <f>IF('Marks Entry'!BH131="","",'Marks Entry'!BH131)</f>
        <v/>
      </c>
      <c r="ER131" s="528" t="str">
        <f t="shared" si="229"/>
        <v/>
      </c>
      <c r="ES131" s="529" t="str">
        <f t="shared" si="230"/>
        <v/>
      </c>
      <c r="ET131" s="74" t="str">
        <f>IF('Marks Entry'!BI131="","",'Marks Entry'!BI131)</f>
        <v/>
      </c>
      <c r="EU131" s="74" t="str">
        <f>IF('Marks Entry'!BJ131="","",'Marks Entry'!BJ131)</f>
        <v/>
      </c>
      <c r="EV131" s="528" t="str">
        <f t="shared" si="231"/>
        <v/>
      </c>
      <c r="EW131" s="530" t="str">
        <f t="shared" si="232"/>
        <v/>
      </c>
      <c r="EX131" s="368" t="str">
        <f t="shared" si="282"/>
        <v/>
      </c>
      <c r="EY131" s="65">
        <f t="shared" si="283"/>
        <v>0</v>
      </c>
      <c r="EZ131" s="65">
        <f t="shared" si="284"/>
        <v>0</v>
      </c>
      <c r="FA131" s="66" t="str">
        <f t="shared" si="285"/>
        <v/>
      </c>
      <c r="FB131" s="74" t="str">
        <f>IF('Marks Entry'!BK131="","",'Marks Entry'!BK131)</f>
        <v/>
      </c>
      <c r="FC131" s="74" t="str">
        <f>IF('Marks Entry'!BL131="","",'Marks Entry'!BL131)</f>
        <v/>
      </c>
      <c r="FD131" s="74" t="str">
        <f>IF('Marks Entry'!BM131="","",'Marks Entry'!BM131)</f>
        <v/>
      </c>
      <c r="FE131" s="74" t="str">
        <f>IF('Marks Entry'!BN131="","",'Marks Entry'!BN131)</f>
        <v/>
      </c>
      <c r="FF131" s="74" t="str">
        <f>IF('Marks Entry'!BO131="","",'Marks Entry'!BO131)</f>
        <v/>
      </c>
      <c r="FG131" s="74" t="str">
        <f>IF('Marks Entry'!BP131="","",'Marks Entry'!BP131)</f>
        <v/>
      </c>
      <c r="FH131" s="527" t="str">
        <f t="shared" si="233"/>
        <v/>
      </c>
      <c r="FI131" s="74" t="str">
        <f>IF('Marks Entry'!BQ131="","",'Marks Entry'!BQ131)</f>
        <v/>
      </c>
      <c r="FJ131" s="74" t="str">
        <f>IF('Marks Entry'!BR131="","",'Marks Entry'!BR131)</f>
        <v/>
      </c>
      <c r="FK131" s="528" t="str">
        <f t="shared" si="234"/>
        <v/>
      </c>
      <c r="FL131" s="529" t="str">
        <f t="shared" si="235"/>
        <v/>
      </c>
      <c r="FM131" s="74" t="str">
        <f>IF('Marks Entry'!BS131="","",'Marks Entry'!BS131)</f>
        <v/>
      </c>
      <c r="FN131" s="74" t="str">
        <f>IF('Marks Entry'!BT131="","",'Marks Entry'!BT131)</f>
        <v/>
      </c>
      <c r="FO131" s="528" t="str">
        <f t="shared" si="236"/>
        <v/>
      </c>
      <c r="FP131" s="530" t="str">
        <f t="shared" si="237"/>
        <v/>
      </c>
      <c r="FQ131" s="368" t="str">
        <f t="shared" si="286"/>
        <v/>
      </c>
      <c r="FR131" s="65">
        <f t="shared" si="287"/>
        <v>0</v>
      </c>
      <c r="FS131" s="65">
        <f t="shared" si="288"/>
        <v>0</v>
      </c>
      <c r="FT131" s="66" t="str">
        <f t="shared" si="289"/>
        <v/>
      </c>
      <c r="FU131" s="74" t="str">
        <f>IF('Marks Entry'!BU131="","",'Marks Entry'!BU131)</f>
        <v/>
      </c>
      <c r="FV131" s="74" t="str">
        <f>IF('Marks Entry'!BV131="","",'Marks Entry'!BV131)</f>
        <v/>
      </c>
      <c r="FW131" s="74" t="str">
        <f>IF('Marks Entry'!BW131="","",'Marks Entry'!BW131)</f>
        <v/>
      </c>
      <c r="FX131" s="75" t="str">
        <f t="shared" si="238"/>
        <v/>
      </c>
      <c r="FY131" s="368" t="str">
        <f t="shared" si="290"/>
        <v/>
      </c>
      <c r="FZ131" s="65">
        <f t="shared" si="291"/>
        <v>0</v>
      </c>
      <c r="GA131" s="66">
        <f t="shared" si="292"/>
        <v>0</v>
      </c>
      <c r="GB131" s="66" t="str">
        <f t="shared" si="293"/>
        <v/>
      </c>
      <c r="GC131" s="74" t="str">
        <f>IF('Marks Entry'!BX131="","",'Marks Entry'!BX131)</f>
        <v/>
      </c>
      <c r="GD131" s="74" t="str">
        <f>IF('Marks Entry'!BY131="","",'Marks Entry'!BY131)</f>
        <v/>
      </c>
      <c r="GE131" s="74" t="str">
        <f>IF('Marks Entry'!BZ131="","",'Marks Entry'!BZ131)</f>
        <v/>
      </c>
      <c r="GF131" s="75" t="str">
        <f t="shared" si="294"/>
        <v/>
      </c>
      <c r="GG131" s="368" t="str">
        <f t="shared" si="295"/>
        <v/>
      </c>
      <c r="GH131" s="65">
        <f t="shared" si="296"/>
        <v>0</v>
      </c>
      <c r="GI131" s="66">
        <f t="shared" si="297"/>
        <v>0</v>
      </c>
      <c r="GJ131" s="66" t="str">
        <f t="shared" si="298"/>
        <v/>
      </c>
      <c r="GK131" s="100" t="str">
        <f>IF(AND(F131="",B131=""),"",IF('Student DATA Entry'!M128="","",'Student DATA Entry'!M128))</f>
        <v/>
      </c>
      <c r="GL131" s="101" t="str">
        <f>IF(AND(B131="",F131=""),"",IF('Student DATA Entry'!N128="","",'Student DATA Entry'!N128))</f>
        <v/>
      </c>
      <c r="GM131" s="581" t="str">
        <f t="shared" si="299"/>
        <v/>
      </c>
      <c r="GN131" s="94" t="str">
        <f t="shared" si="300"/>
        <v/>
      </c>
      <c r="GO131" s="94" t="str">
        <f t="shared" si="301"/>
        <v/>
      </c>
      <c r="GP131" s="102" t="str">
        <f t="shared" si="330"/>
        <v/>
      </c>
      <c r="GQ131" s="94" t="str">
        <f t="shared" si="302"/>
        <v/>
      </c>
      <c r="GR131" s="103" t="str">
        <f t="shared" si="303"/>
        <v/>
      </c>
      <c r="GS131" s="102" t="str">
        <f t="shared" si="331"/>
        <v/>
      </c>
      <c r="GT131" s="104" t="str">
        <f t="shared" si="304"/>
        <v/>
      </c>
      <c r="GU131" s="94" t="str">
        <f>IF('Marks Entry'!V131=1,GT131,"")</f>
        <v/>
      </c>
      <c r="GV131" s="94" t="str">
        <f>IF('Marks Entry'!V131=2,GT131,"")</f>
        <v/>
      </c>
      <c r="GW131" s="94" t="str">
        <f>IF('Marks Entry'!V131=3,GT131,"")</f>
        <v/>
      </c>
      <c r="GX131" s="94" t="str">
        <f>IF('Marks Entry'!V131=4,GT131,"")</f>
        <v/>
      </c>
      <c r="GY131" s="94" t="str">
        <f>IF('Marks Entry'!V131=5,GT131,"")</f>
        <v/>
      </c>
      <c r="GZ131" s="94" t="str">
        <f t="shared" si="305"/>
        <v/>
      </c>
      <c r="HA131" s="105" t="str">
        <f t="shared" si="332"/>
        <v/>
      </c>
      <c r="HB131" s="94" t="str">
        <f t="shared" si="306"/>
        <v/>
      </c>
      <c r="HC131" s="94" t="str">
        <f t="shared" si="307"/>
        <v/>
      </c>
      <c r="HD131" s="105" t="str">
        <f t="shared" si="333"/>
        <v/>
      </c>
      <c r="HE131" s="94" t="str">
        <f t="shared" si="308"/>
        <v/>
      </c>
      <c r="HF131" s="94" t="str">
        <f t="shared" si="309"/>
        <v/>
      </c>
      <c r="HG131" s="105" t="str">
        <f t="shared" si="334"/>
        <v/>
      </c>
      <c r="HH131" s="94" t="str">
        <f t="shared" si="310"/>
        <v/>
      </c>
      <c r="HI131" s="94" t="str">
        <f t="shared" si="311"/>
        <v/>
      </c>
      <c r="HJ131" s="105" t="str">
        <f t="shared" si="335"/>
        <v/>
      </c>
      <c r="HK131" s="94" t="str">
        <f t="shared" si="312"/>
        <v/>
      </c>
      <c r="HL131" s="94" t="str">
        <f t="shared" si="313"/>
        <v/>
      </c>
      <c r="HM131" s="105" t="str">
        <f t="shared" si="336"/>
        <v/>
      </c>
      <c r="HN131" s="367" t="str">
        <f t="shared" si="314"/>
        <v xml:space="preserve">      </v>
      </c>
      <c r="HO131" s="418" t="str">
        <f t="shared" si="337"/>
        <v xml:space="preserve">      </v>
      </c>
      <c r="HP131" s="367" t="str">
        <f t="shared" si="315"/>
        <v xml:space="preserve">      </v>
      </c>
      <c r="HQ131" s="107" t="str">
        <f t="shared" si="316"/>
        <v xml:space="preserve">      </v>
      </c>
      <c r="HR131" s="366" t="str">
        <f t="shared" si="317"/>
        <v xml:space="preserve">      </v>
      </c>
      <c r="HS131" s="544" t="str">
        <f t="shared" si="338"/>
        <v/>
      </c>
      <c r="HT131" s="542" t="str">
        <f t="shared" si="318"/>
        <v/>
      </c>
      <c r="HU131" s="541" t="str">
        <f t="shared" si="319"/>
        <v/>
      </c>
      <c r="HV131" s="540" t="str">
        <f t="shared" si="320"/>
        <v/>
      </c>
      <c r="HW131" s="537" t="str">
        <f t="shared" si="321"/>
        <v/>
      </c>
      <c r="HX131" s="539" t="str">
        <f t="shared" si="322"/>
        <v/>
      </c>
      <c r="HY131" s="553" t="str">
        <f>IFERROR(IF(OR(HS131="SUPPLEMENTARY",HS131="RE-EXAM"),'Supp. Result Entry'!AQ129,""),"")</f>
        <v/>
      </c>
      <c r="HZ131" s="538" t="str">
        <f t="shared" si="323"/>
        <v/>
      </c>
      <c r="IA131" s="415" t="str">
        <f t="shared" si="324"/>
        <v/>
      </c>
      <c r="IB131" s="415" t="str">
        <f>IF(AND(HZ131="",IA131=""),"",IF(OR(HS131="SUPPLEMENTARY",HS131="RE-EXAM"),'Supp. Result Entry'!AQ129,HS131))</f>
        <v/>
      </c>
      <c r="IC131" s="87"/>
      <c r="IS131" s="109" t="str">
        <f>IF('Supp. Result Entry'!T129="","",'Supp. Result Entry'!$T$4)</f>
        <v/>
      </c>
      <c r="IT131" s="110" t="str">
        <f>IF('Supp. Result Entry'!W129="","",'Supp. Result Entry'!$W$4)</f>
        <v/>
      </c>
      <c r="IU131" s="110" t="str">
        <f>IF('Supp. Result Entry'!Z129="","",'Supp. Result Entry'!$Z$4)</f>
        <v/>
      </c>
      <c r="IV131" s="110" t="str">
        <f>IF('Supp. Result Entry'!AC129="","",'Supp. Result Entry'!$AC$4)</f>
        <v/>
      </c>
      <c r="IW131" s="110" t="str">
        <f>IF('Supp. Result Entry'!AF129="","",'Supp. Result Entry'!$AF$4)</f>
        <v/>
      </c>
      <c r="IX131" s="110" t="str">
        <f>IF('Supp. Result Entry'!AI129="","",'Supp. Result Entry'!$AI$4)</f>
        <v/>
      </c>
      <c r="IY131" s="110" t="str">
        <f>IF('Supp. Result Entry'!AI129="","",'Supp. Result Entry'!$AL$4)</f>
        <v/>
      </c>
      <c r="IZ131" s="110" t="str">
        <f>IF('Supp. Result Entry'!U129="","",'Supp. Result Entry'!U129)</f>
        <v/>
      </c>
      <c r="JA131" s="110" t="str">
        <f>IF('Supp. Result Entry'!X129="","",'Supp. Result Entry'!X129)</f>
        <v/>
      </c>
      <c r="JB131" s="110" t="str">
        <f>IF('Supp. Result Entry'!AA129="","",'Supp. Result Entry'!AA129)</f>
        <v/>
      </c>
      <c r="JC131" s="110" t="str">
        <f>IF('Supp. Result Entry'!AD129="","",'Supp. Result Entry'!AD129)</f>
        <v/>
      </c>
      <c r="JD131" s="110" t="str">
        <f>IF('Supp. Result Entry'!AG129="","",'Supp. Result Entry'!AG129)</f>
        <v/>
      </c>
      <c r="JE131" s="110" t="str">
        <f>IF('Supp. Result Entry'!AJ129="","",'Supp. Result Entry'!AJ129)</f>
        <v/>
      </c>
      <c r="JF131" s="110" t="str">
        <f>IF('Supp. Result Entry'!AM129="","",'Supp. Result Entry'!AM129)</f>
        <v/>
      </c>
      <c r="JG131" s="110" t="str">
        <f>IF('Supp. Result Entry'!V129="","",'Supp. Result Entry'!V129)</f>
        <v/>
      </c>
      <c r="JH131" s="110" t="str">
        <f>IF('Supp. Result Entry'!Y129="","",'Supp. Result Entry'!Y129)</f>
        <v/>
      </c>
      <c r="JI131" s="110" t="str">
        <f>IF('Supp. Result Entry'!AB129="","",'Supp. Result Entry'!AB129)</f>
        <v/>
      </c>
      <c r="JJ131" s="110" t="str">
        <f>IF('Supp. Result Entry'!AE129="","",'Supp. Result Entry'!AE129)</f>
        <v/>
      </c>
      <c r="JK131" s="110" t="str">
        <f>IF('Supp. Result Entry'!AH129="","",'Supp. Result Entry'!AH129)</f>
        <v/>
      </c>
      <c r="JL131" s="110" t="str">
        <f>IF('Supp. Result Entry'!AK129="","",'Supp. Result Entry'!AK129)</f>
        <v/>
      </c>
      <c r="JM131" s="110" t="str">
        <f>IF('Supp. Result Entry'!AN129="","",'Supp. Result Entry'!AN129)</f>
        <v/>
      </c>
      <c r="JN131" s="110">
        <f>COUNTIF('Supp. Result Entry'!K129:Q129,"S")</f>
        <v>0</v>
      </c>
      <c r="JO131" s="110">
        <f t="shared" si="248"/>
        <v>0</v>
      </c>
      <c r="JP131" s="110">
        <f t="shared" si="325"/>
        <v>0</v>
      </c>
      <c r="JQ131" s="110" t="str">
        <f t="shared" si="249"/>
        <v/>
      </c>
      <c r="JR131" s="110" t="str">
        <f t="shared" si="250"/>
        <v/>
      </c>
      <c r="JS131" s="110" t="str">
        <f t="shared" si="251"/>
        <v/>
      </c>
      <c r="JT131" s="110" t="str">
        <f t="shared" si="252"/>
        <v/>
      </c>
      <c r="JU131" s="110" t="str">
        <f t="shared" si="253"/>
        <v/>
      </c>
      <c r="JV131" s="110" t="str">
        <f t="shared" si="254"/>
        <v/>
      </c>
      <c r="JW131" s="110" t="str">
        <f t="shared" si="255"/>
        <v/>
      </c>
      <c r="JX131" s="110" t="str">
        <f t="shared" si="326"/>
        <v/>
      </c>
      <c r="JY131" s="110" t="str">
        <f t="shared" si="327"/>
        <v/>
      </c>
      <c r="JZ131" s="110" t="str">
        <f t="shared" si="256"/>
        <v/>
      </c>
      <c r="KA131" s="108" t="str">
        <f t="shared" si="328"/>
        <v/>
      </c>
    </row>
    <row r="132" spans="1:287" s="108" customFormat="1" ht="21.95" customHeight="1">
      <c r="A132" s="89">
        <v>126</v>
      </c>
      <c r="B132" s="90" t="str">
        <f>IF('Marks Entry'!B132="","",'Marks Entry'!B132)</f>
        <v/>
      </c>
      <c r="C132" s="94" t="str">
        <f>IF('Marks Entry'!D132="","",'Marks Entry'!D132)</f>
        <v/>
      </c>
      <c r="D132" s="91" t="str">
        <f>IF('Marks Entry'!E132="","",'Marks Entry'!E132)</f>
        <v/>
      </c>
      <c r="E132" s="92" t="str">
        <f>IF('Marks Entry'!F132="","",'Marks Entry'!F132)</f>
        <v/>
      </c>
      <c r="F132" s="93" t="str">
        <f>IF('Marks Entry'!G132="","",'Marks Entry'!G132)</f>
        <v/>
      </c>
      <c r="G132" s="93" t="str">
        <f>IF('Marks Entry'!H132="","",'Marks Entry'!H132)</f>
        <v/>
      </c>
      <c r="H132" s="93" t="str">
        <f>IF('Marks Entry'!I132="","",'Marks Entry'!I132)</f>
        <v/>
      </c>
      <c r="I132" s="94" t="str">
        <f>IF('Marks Entry'!J132="","",'Marks Entry'!J132)</f>
        <v/>
      </c>
      <c r="J132" s="95" t="str">
        <f>IF('Marks Entry'!K132="","",'Marks Entry'!K132)</f>
        <v/>
      </c>
      <c r="K132" s="68" t="str">
        <f>IF('Marks Entry'!L132="","",'Marks Entry'!L132)</f>
        <v/>
      </c>
      <c r="L132" s="68" t="str">
        <f>IF('Marks Entry'!M132="","",'Marks Entry'!M132)</f>
        <v/>
      </c>
      <c r="M132" s="68" t="str">
        <f>IF('Marks Entry'!N132="","",'Marks Entry'!N132)</f>
        <v/>
      </c>
      <c r="N132" s="514" t="str">
        <f t="shared" si="257"/>
        <v/>
      </c>
      <c r="O132" s="68" t="str">
        <f>IF('Marks Entry'!O132="","",'Marks Entry'!O132)</f>
        <v/>
      </c>
      <c r="P132" s="515" t="str">
        <f t="shared" si="258"/>
        <v/>
      </c>
      <c r="Q132" s="68" t="str">
        <f>IF('Marks Entry'!P132="","",'Marks Entry'!P132)</f>
        <v/>
      </c>
      <c r="R132" s="96" t="str">
        <f t="shared" si="259"/>
        <v/>
      </c>
      <c r="S132" s="65">
        <f t="shared" si="260"/>
        <v>0</v>
      </c>
      <c r="T132" s="65">
        <f t="shared" si="261"/>
        <v>0</v>
      </c>
      <c r="U132" s="66" t="str">
        <f t="shared" si="171"/>
        <v/>
      </c>
      <c r="V132" s="65" t="str">
        <f t="shared" si="172"/>
        <v/>
      </c>
      <c r="W132" s="65" t="str">
        <f t="shared" si="262"/>
        <v/>
      </c>
      <c r="X132" s="65" t="str">
        <f t="shared" si="173"/>
        <v/>
      </c>
      <c r="Y132" s="68" t="str">
        <f>IF('Marks Entry'!Q132="","",'Marks Entry'!Q132)</f>
        <v/>
      </c>
      <c r="Z132" s="68" t="str">
        <f>IF('Marks Entry'!R132="","",'Marks Entry'!R132)</f>
        <v/>
      </c>
      <c r="AA132" s="68" t="str">
        <f>IF('Marks Entry'!S132="","",'Marks Entry'!S132)</f>
        <v/>
      </c>
      <c r="AB132" s="514" t="str">
        <f t="shared" si="174"/>
        <v/>
      </c>
      <c r="AC132" s="68" t="str">
        <f>IF('Marks Entry'!T132="","",'Marks Entry'!T132)</f>
        <v/>
      </c>
      <c r="AD132" s="515" t="str">
        <f t="shared" si="175"/>
        <v/>
      </c>
      <c r="AE132" s="68" t="str">
        <f>IF('Marks Entry'!U132="","",'Marks Entry'!U132)</f>
        <v/>
      </c>
      <c r="AF132" s="96" t="str">
        <f t="shared" si="176"/>
        <v/>
      </c>
      <c r="AG132" s="65">
        <f t="shared" si="177"/>
        <v>0</v>
      </c>
      <c r="AH132" s="65">
        <f t="shared" si="178"/>
        <v>0</v>
      </c>
      <c r="AI132" s="66" t="str">
        <f t="shared" si="179"/>
        <v/>
      </c>
      <c r="AJ132" s="65" t="str">
        <f t="shared" si="180"/>
        <v/>
      </c>
      <c r="AK132" s="65" t="str">
        <f t="shared" si="181"/>
        <v/>
      </c>
      <c r="AL132" s="65" t="str">
        <f t="shared" si="182"/>
        <v/>
      </c>
      <c r="AM132" s="524" t="str">
        <f>IF('Marks Entry'!V132="","",IF('Marks Entry'!V132=1,'School Profile'!$I$9,IF('Marks Entry'!V132=2,'School Profile'!$I$10,IF('Marks Entry'!V132=3,'School Profile'!$I$11,IF('Marks Entry'!V132=4,'School Profile'!$I$12,IF('Marks Entry'!V132=5,'School Profile'!$I$13,IF('Marks Entry'!V132=6,'School Profile'!$I$14,"")))))))</f>
        <v/>
      </c>
      <c r="AN132" s="68" t="str">
        <f>IF('Marks Entry'!W132="","",'Marks Entry'!W132)</f>
        <v/>
      </c>
      <c r="AO132" s="68" t="str">
        <f>IF('Marks Entry'!X132="","",'Marks Entry'!X132)</f>
        <v/>
      </c>
      <c r="AP132" s="68" t="str">
        <f>IF('Marks Entry'!Y132="","",'Marks Entry'!Y132)</f>
        <v/>
      </c>
      <c r="AQ132" s="514" t="str">
        <f t="shared" si="183"/>
        <v/>
      </c>
      <c r="AR132" s="68" t="str">
        <f>IF('Marks Entry'!Z132="","",'Marks Entry'!Z132)</f>
        <v/>
      </c>
      <c r="AS132" s="515" t="str">
        <f t="shared" si="184"/>
        <v/>
      </c>
      <c r="AT132" s="68" t="str">
        <f>IF('Marks Entry'!AA132="","",'Marks Entry'!AA132)</f>
        <v/>
      </c>
      <c r="AU132" s="96" t="str">
        <f t="shared" si="185"/>
        <v/>
      </c>
      <c r="AV132" s="65">
        <f t="shared" si="186"/>
        <v>0</v>
      </c>
      <c r="AW132" s="65">
        <f t="shared" si="187"/>
        <v>0</v>
      </c>
      <c r="AX132" s="66" t="str">
        <f t="shared" si="188"/>
        <v/>
      </c>
      <c r="AY132" s="65" t="str">
        <f t="shared" si="189"/>
        <v/>
      </c>
      <c r="AZ132" s="65" t="str">
        <f t="shared" si="190"/>
        <v/>
      </c>
      <c r="BA132" s="65" t="str">
        <f t="shared" si="191"/>
        <v/>
      </c>
      <c r="BB132" s="68" t="str">
        <f>IF('Marks Entry'!AB132="","",'Marks Entry'!AB132)</f>
        <v/>
      </c>
      <c r="BC132" s="68" t="str">
        <f>IF('Marks Entry'!AC132="","",'Marks Entry'!AC132)</f>
        <v/>
      </c>
      <c r="BD132" s="68" t="str">
        <f>IF('Marks Entry'!AD132="","",'Marks Entry'!AD132)</f>
        <v/>
      </c>
      <c r="BE132" s="514" t="str">
        <f t="shared" si="192"/>
        <v/>
      </c>
      <c r="BF132" s="68" t="str">
        <f>IF('Marks Entry'!AE132="","",'Marks Entry'!AE132)</f>
        <v/>
      </c>
      <c r="BG132" s="515" t="str">
        <f t="shared" si="193"/>
        <v/>
      </c>
      <c r="BH132" s="68" t="str">
        <f>IF('Marks Entry'!AF132="","",'Marks Entry'!AF132)</f>
        <v/>
      </c>
      <c r="BI132" s="96" t="str">
        <f t="shared" si="194"/>
        <v/>
      </c>
      <c r="BJ132" s="65">
        <f t="shared" si="195"/>
        <v>0</v>
      </c>
      <c r="BK132" s="65">
        <f t="shared" si="263"/>
        <v>0</v>
      </c>
      <c r="BL132" s="66" t="str">
        <f t="shared" si="196"/>
        <v/>
      </c>
      <c r="BM132" s="65" t="str">
        <f t="shared" si="197"/>
        <v/>
      </c>
      <c r="BN132" s="65" t="str">
        <f t="shared" si="198"/>
        <v/>
      </c>
      <c r="BO132" s="65" t="str">
        <f t="shared" si="199"/>
        <v/>
      </c>
      <c r="BP132" s="68" t="str">
        <f>IF('Marks Entry'!AG132="","",'Marks Entry'!AG132)</f>
        <v/>
      </c>
      <c r="BQ132" s="68" t="str">
        <f>IF('Marks Entry'!AH132="","",'Marks Entry'!AH132)</f>
        <v/>
      </c>
      <c r="BR132" s="68" t="str">
        <f>IF('Marks Entry'!AI132="","",'Marks Entry'!AI132)</f>
        <v/>
      </c>
      <c r="BS132" s="514" t="str">
        <f t="shared" si="200"/>
        <v/>
      </c>
      <c r="BT132" s="68" t="str">
        <f>IF('Marks Entry'!AJ132="","",'Marks Entry'!AJ132)</f>
        <v/>
      </c>
      <c r="BU132" s="515" t="str">
        <f t="shared" si="201"/>
        <v/>
      </c>
      <c r="BV132" s="68" t="str">
        <f>IF('Marks Entry'!AK132="","",'Marks Entry'!AK132)</f>
        <v/>
      </c>
      <c r="BW132" s="96" t="str">
        <f t="shared" si="202"/>
        <v/>
      </c>
      <c r="BX132" s="65">
        <f t="shared" si="203"/>
        <v>0</v>
      </c>
      <c r="BY132" s="65">
        <f t="shared" si="204"/>
        <v>0</v>
      </c>
      <c r="BZ132" s="66" t="str">
        <f t="shared" si="205"/>
        <v/>
      </c>
      <c r="CA132" s="65" t="str">
        <f t="shared" si="206"/>
        <v/>
      </c>
      <c r="CB132" s="65" t="str">
        <f t="shared" si="207"/>
        <v/>
      </c>
      <c r="CC132" s="65" t="str">
        <f t="shared" si="208"/>
        <v/>
      </c>
      <c r="CD132" s="66">
        <f t="shared" si="329"/>
        <v>0</v>
      </c>
      <c r="CE132" s="68" t="str">
        <f>IF('Marks Entry'!AL132="","",'Marks Entry'!AL132)</f>
        <v/>
      </c>
      <c r="CF132" s="68" t="str">
        <f>IF('Marks Entry'!AM132="","",'Marks Entry'!AM132)</f>
        <v/>
      </c>
      <c r="CG132" s="68" t="str">
        <f>IF('Marks Entry'!AN132="","",'Marks Entry'!AN132)</f>
        <v/>
      </c>
      <c r="CH132" s="514" t="str">
        <f t="shared" si="210"/>
        <v/>
      </c>
      <c r="CI132" s="68" t="str">
        <f>IF('Marks Entry'!AO132="","",'Marks Entry'!AO132)</f>
        <v/>
      </c>
      <c r="CJ132" s="515" t="str">
        <f t="shared" si="211"/>
        <v/>
      </c>
      <c r="CK132" s="68" t="str">
        <f>IF('Marks Entry'!AP132="","",'Marks Entry'!AP132)</f>
        <v/>
      </c>
      <c r="CL132" s="96" t="str">
        <f t="shared" si="212"/>
        <v/>
      </c>
      <c r="CM132" s="65">
        <f t="shared" si="213"/>
        <v>0</v>
      </c>
      <c r="CN132" s="65">
        <f t="shared" si="214"/>
        <v>0</v>
      </c>
      <c r="CO132" s="66" t="str">
        <f t="shared" si="215"/>
        <v/>
      </c>
      <c r="CP132" s="65" t="str">
        <f t="shared" si="216"/>
        <v/>
      </c>
      <c r="CQ132" s="65" t="str">
        <f t="shared" si="217"/>
        <v/>
      </c>
      <c r="CR132" s="65" t="str">
        <f t="shared" si="218"/>
        <v/>
      </c>
      <c r="CS132" s="616" t="str">
        <f>IF('School Profile'!$D$20="NO","",IF('Marks Entry'!AQ132="","",IF('Marks Entry'!AQ132=1,'School Profile'!$I$29,IF('Marks Entry'!AQ132=2,'School Profile'!$I$30,IF('Marks Entry'!AQ132=3,'School Profile'!$I$31,IF('Marks Entry'!AQ132=4,'School Profile'!$I$32,IF('Marks Entry'!AQ132=5,'School Profile'!$I$33,IF('Marks Entry'!AQ132=6,'School Profile'!$I$34,IF('Marks Entry'!AQ132=7,'School Profile'!$I$35,IF('Marks Entry'!AQ132=8,'School Profile'!$I$36,IF('Marks Entry'!AQ132=9,'School Profile'!$I$37,IF('Marks Entry'!AQ132=10,'School Profile'!$I$38,IF('Marks Entry'!AQ132=11,'School Profile'!$I$39,"")))))))))))))</f>
        <v/>
      </c>
      <c r="CT132" s="68" t="str">
        <f>IF('School Profile'!$D$20="NO","",IF('Marks Entry'!AR132="","",'Marks Entry'!AR132))</f>
        <v/>
      </c>
      <c r="CU132" s="68" t="str">
        <f>IF('School Profile'!$D$20="NO","",IF('Marks Entry'!AS132="","",'Marks Entry'!AS132))</f>
        <v/>
      </c>
      <c r="CV132" s="68" t="str">
        <f>IF('School Profile'!$D$20="NO","",IF('Marks Entry'!AT132="","",'Marks Entry'!AT132))</f>
        <v/>
      </c>
      <c r="CW132" s="514" t="str">
        <f>IF('School Profile'!$D$20="NO","",IF(AND(CT132="",CU132="",CV132=""),"",SUM(CT132:CV132)))</f>
        <v/>
      </c>
      <c r="CX132" s="68" t="str">
        <f>IF('School Profile'!$D$20="NO","",IF('Marks Entry'!AU132="","",'Marks Entry'!AU132))</f>
        <v/>
      </c>
      <c r="CY132" s="68" t="str">
        <f>IF('School Profile'!$D$20="NO","",IF('Marks Entry'!AV132="","",'Marks Entry'!AV132))</f>
        <v/>
      </c>
      <c r="CZ132" s="515" t="str">
        <f>IF('School Profile'!$D$20="NO","",IF(AND(CX132="",CY132=""),"",SUM(CX132,CY132)))</f>
        <v/>
      </c>
      <c r="DA132" s="69" t="str">
        <f>IF('School Profile'!$D$20="NO","",IF(AND(CW132="",CZ132=""),"",SUM(CW132+CZ132)))</f>
        <v/>
      </c>
      <c r="DB132" s="68" t="str">
        <f>IF('School Profile'!$D$20="NO","",IF('Marks Entry'!AW132="","",'Marks Entry'!AW132))</f>
        <v/>
      </c>
      <c r="DC132" s="68" t="str">
        <f>IF('School Profile'!$D$20="NO","",IF('Marks Entry'!AX132="","",'Marks Entry'!AX132))</f>
        <v/>
      </c>
      <c r="DD132" s="515" t="str">
        <f>IF('School Profile'!$D$20="NO","",IF(AND(DB132="",DC132=""),"",SUM(DB132,DC132)))</f>
        <v/>
      </c>
      <c r="DE132" s="96" t="str">
        <f>IF('School Profile'!$D$20="NO","",IF(AND(DA132="",DD132=""),"",SUM(DA132,DD132)))</f>
        <v/>
      </c>
      <c r="DF132" s="532">
        <f t="shared" si="219"/>
        <v>0</v>
      </c>
      <c r="DG132" s="65">
        <f t="shared" si="220"/>
        <v>0</v>
      </c>
      <c r="DH132" s="66" t="str">
        <f t="shared" si="221"/>
        <v/>
      </c>
      <c r="DI132" s="65" t="str">
        <f t="shared" si="222"/>
        <v/>
      </c>
      <c r="DJ132" s="65" t="str">
        <f t="shared" si="223"/>
        <v/>
      </c>
      <c r="DK132" s="65" t="str">
        <f t="shared" si="224"/>
        <v/>
      </c>
      <c r="DL132" s="97" t="str">
        <f t="shared" si="264"/>
        <v/>
      </c>
      <c r="DM132" s="97" t="str">
        <f t="shared" si="265"/>
        <v/>
      </c>
      <c r="DN132" s="97" t="str">
        <f t="shared" si="266"/>
        <v/>
      </c>
      <c r="DO132" s="97" t="str">
        <f t="shared" si="267"/>
        <v/>
      </c>
      <c r="DP132" s="97" t="str">
        <f t="shared" si="268"/>
        <v/>
      </c>
      <c r="DQ132" s="97" t="str">
        <f t="shared" si="269"/>
        <v/>
      </c>
      <c r="DR132" s="97" t="str">
        <f t="shared" si="270"/>
        <v/>
      </c>
      <c r="DS132" s="98">
        <f t="shared" si="271"/>
        <v>0</v>
      </c>
      <c r="DT132" s="98">
        <f t="shared" si="272"/>
        <v>0</v>
      </c>
      <c r="DU132" s="98">
        <f t="shared" si="273"/>
        <v>0</v>
      </c>
      <c r="DV132" s="98">
        <f t="shared" si="274"/>
        <v>0</v>
      </c>
      <c r="DW132" s="98">
        <f t="shared" si="275"/>
        <v>0</v>
      </c>
      <c r="DX132" s="98" t="str">
        <f t="shared" si="276"/>
        <v/>
      </c>
      <c r="DY132" s="99" t="str">
        <f t="shared" si="277"/>
        <v/>
      </c>
      <c r="DZ132" s="74" t="str">
        <f>IF('Marks Entry'!AY132="","",'Marks Entry'!AY132)</f>
        <v/>
      </c>
      <c r="EA132" s="74" t="str">
        <f>IF('Marks Entry'!AZ132="","",'Marks Entry'!AZ132)</f>
        <v/>
      </c>
      <c r="EB132" s="74" t="str">
        <f>IF('Marks Entry'!BA132="","",'Marks Entry'!BA132)</f>
        <v/>
      </c>
      <c r="EC132" s="527" t="str">
        <f t="shared" si="225"/>
        <v/>
      </c>
      <c r="ED132" s="74" t="str">
        <f>IF('Marks Entry'!BB132="","",'Marks Entry'!BB132)</f>
        <v/>
      </c>
      <c r="EE132" s="528" t="str">
        <f t="shared" si="226"/>
        <v/>
      </c>
      <c r="EF132" s="74" t="str">
        <f>IF('Marks Entry'!BC132="","",'Marks Entry'!BC132)</f>
        <v/>
      </c>
      <c r="EG132" s="530" t="str">
        <f t="shared" si="227"/>
        <v/>
      </c>
      <c r="EH132" s="368" t="str">
        <f t="shared" si="278"/>
        <v/>
      </c>
      <c r="EI132" s="65">
        <f t="shared" si="279"/>
        <v>0</v>
      </c>
      <c r="EJ132" s="65">
        <f t="shared" si="280"/>
        <v>0</v>
      </c>
      <c r="EK132" s="66" t="str">
        <f t="shared" si="281"/>
        <v/>
      </c>
      <c r="EL132" s="74" t="str">
        <f>IF('Marks Entry'!BD132="","",'Marks Entry'!BD132)</f>
        <v/>
      </c>
      <c r="EM132" s="74" t="str">
        <f>IF('Marks Entry'!BE132="","",'Marks Entry'!BE132)</f>
        <v/>
      </c>
      <c r="EN132" s="74" t="str">
        <f>IF('Marks Entry'!BF132="","",'Marks Entry'!BF132)</f>
        <v/>
      </c>
      <c r="EO132" s="527" t="str">
        <f t="shared" si="228"/>
        <v/>
      </c>
      <c r="EP132" s="74" t="str">
        <f>IF('Marks Entry'!BG132="","",'Marks Entry'!BG132)</f>
        <v/>
      </c>
      <c r="EQ132" s="74" t="str">
        <f>IF('Marks Entry'!BH132="","",'Marks Entry'!BH132)</f>
        <v/>
      </c>
      <c r="ER132" s="528" t="str">
        <f t="shared" si="229"/>
        <v/>
      </c>
      <c r="ES132" s="529" t="str">
        <f t="shared" si="230"/>
        <v/>
      </c>
      <c r="ET132" s="74" t="str">
        <f>IF('Marks Entry'!BI132="","",'Marks Entry'!BI132)</f>
        <v/>
      </c>
      <c r="EU132" s="74" t="str">
        <f>IF('Marks Entry'!BJ132="","",'Marks Entry'!BJ132)</f>
        <v/>
      </c>
      <c r="EV132" s="528" t="str">
        <f t="shared" si="231"/>
        <v/>
      </c>
      <c r="EW132" s="530" t="str">
        <f t="shared" si="232"/>
        <v/>
      </c>
      <c r="EX132" s="368" t="str">
        <f t="shared" si="282"/>
        <v/>
      </c>
      <c r="EY132" s="65">
        <f t="shared" si="283"/>
        <v>0</v>
      </c>
      <c r="EZ132" s="65">
        <f t="shared" si="284"/>
        <v>0</v>
      </c>
      <c r="FA132" s="66" t="str">
        <f t="shared" si="285"/>
        <v/>
      </c>
      <c r="FB132" s="74" t="str">
        <f>IF('Marks Entry'!BK132="","",'Marks Entry'!BK132)</f>
        <v/>
      </c>
      <c r="FC132" s="74" t="str">
        <f>IF('Marks Entry'!BL132="","",'Marks Entry'!BL132)</f>
        <v/>
      </c>
      <c r="FD132" s="74" t="str">
        <f>IF('Marks Entry'!BM132="","",'Marks Entry'!BM132)</f>
        <v/>
      </c>
      <c r="FE132" s="74" t="str">
        <f>IF('Marks Entry'!BN132="","",'Marks Entry'!BN132)</f>
        <v/>
      </c>
      <c r="FF132" s="74" t="str">
        <f>IF('Marks Entry'!BO132="","",'Marks Entry'!BO132)</f>
        <v/>
      </c>
      <c r="FG132" s="74" t="str">
        <f>IF('Marks Entry'!BP132="","",'Marks Entry'!BP132)</f>
        <v/>
      </c>
      <c r="FH132" s="527" t="str">
        <f t="shared" si="233"/>
        <v/>
      </c>
      <c r="FI132" s="74" t="str">
        <f>IF('Marks Entry'!BQ132="","",'Marks Entry'!BQ132)</f>
        <v/>
      </c>
      <c r="FJ132" s="74" t="str">
        <f>IF('Marks Entry'!BR132="","",'Marks Entry'!BR132)</f>
        <v/>
      </c>
      <c r="FK132" s="528" t="str">
        <f t="shared" si="234"/>
        <v/>
      </c>
      <c r="FL132" s="529" t="str">
        <f t="shared" si="235"/>
        <v/>
      </c>
      <c r="FM132" s="74" t="str">
        <f>IF('Marks Entry'!BS132="","",'Marks Entry'!BS132)</f>
        <v/>
      </c>
      <c r="FN132" s="74" t="str">
        <f>IF('Marks Entry'!BT132="","",'Marks Entry'!BT132)</f>
        <v/>
      </c>
      <c r="FO132" s="528" t="str">
        <f t="shared" si="236"/>
        <v/>
      </c>
      <c r="FP132" s="530" t="str">
        <f t="shared" si="237"/>
        <v/>
      </c>
      <c r="FQ132" s="368" t="str">
        <f t="shared" si="286"/>
        <v/>
      </c>
      <c r="FR132" s="65">
        <f t="shared" si="287"/>
        <v>0</v>
      </c>
      <c r="FS132" s="65">
        <f t="shared" si="288"/>
        <v>0</v>
      </c>
      <c r="FT132" s="66" t="str">
        <f t="shared" si="289"/>
        <v/>
      </c>
      <c r="FU132" s="74" t="str">
        <f>IF('Marks Entry'!BU132="","",'Marks Entry'!BU132)</f>
        <v/>
      </c>
      <c r="FV132" s="74" t="str">
        <f>IF('Marks Entry'!BV132="","",'Marks Entry'!BV132)</f>
        <v/>
      </c>
      <c r="FW132" s="74" t="str">
        <f>IF('Marks Entry'!BW132="","",'Marks Entry'!BW132)</f>
        <v/>
      </c>
      <c r="FX132" s="75" t="str">
        <f t="shared" si="238"/>
        <v/>
      </c>
      <c r="FY132" s="368" t="str">
        <f t="shared" si="290"/>
        <v/>
      </c>
      <c r="FZ132" s="65">
        <f t="shared" si="291"/>
        <v>0</v>
      </c>
      <c r="GA132" s="66">
        <f t="shared" si="292"/>
        <v>0</v>
      </c>
      <c r="GB132" s="66" t="str">
        <f t="shared" si="293"/>
        <v/>
      </c>
      <c r="GC132" s="74" t="str">
        <f>IF('Marks Entry'!BX132="","",'Marks Entry'!BX132)</f>
        <v/>
      </c>
      <c r="GD132" s="74" t="str">
        <f>IF('Marks Entry'!BY132="","",'Marks Entry'!BY132)</f>
        <v/>
      </c>
      <c r="GE132" s="74" t="str">
        <f>IF('Marks Entry'!BZ132="","",'Marks Entry'!BZ132)</f>
        <v/>
      </c>
      <c r="GF132" s="75" t="str">
        <f t="shared" si="294"/>
        <v/>
      </c>
      <c r="GG132" s="368" t="str">
        <f t="shared" si="295"/>
        <v/>
      </c>
      <c r="GH132" s="65">
        <f t="shared" si="296"/>
        <v>0</v>
      </c>
      <c r="GI132" s="66">
        <f t="shared" si="297"/>
        <v>0</v>
      </c>
      <c r="GJ132" s="66" t="str">
        <f t="shared" si="298"/>
        <v/>
      </c>
      <c r="GK132" s="100" t="str">
        <f>IF(AND(F132="",B132=""),"",IF('Student DATA Entry'!M129="","",'Student DATA Entry'!M129))</f>
        <v/>
      </c>
      <c r="GL132" s="101" t="str">
        <f>IF(AND(B132="",F132=""),"",IF('Student DATA Entry'!N129="","",'Student DATA Entry'!N129))</f>
        <v/>
      </c>
      <c r="GM132" s="581" t="str">
        <f t="shared" si="299"/>
        <v/>
      </c>
      <c r="GN132" s="94" t="str">
        <f t="shared" si="300"/>
        <v/>
      </c>
      <c r="GO132" s="94" t="str">
        <f t="shared" si="301"/>
        <v/>
      </c>
      <c r="GP132" s="102" t="str">
        <f t="shared" si="330"/>
        <v/>
      </c>
      <c r="GQ132" s="94" t="str">
        <f t="shared" si="302"/>
        <v/>
      </c>
      <c r="GR132" s="103" t="str">
        <f t="shared" si="303"/>
        <v/>
      </c>
      <c r="GS132" s="102" t="str">
        <f t="shared" si="331"/>
        <v/>
      </c>
      <c r="GT132" s="104" t="str">
        <f t="shared" si="304"/>
        <v/>
      </c>
      <c r="GU132" s="94" t="str">
        <f>IF('Marks Entry'!V132=1,GT132,"")</f>
        <v/>
      </c>
      <c r="GV132" s="94" t="str">
        <f>IF('Marks Entry'!V132=2,GT132,"")</f>
        <v/>
      </c>
      <c r="GW132" s="94" t="str">
        <f>IF('Marks Entry'!V132=3,GT132,"")</f>
        <v/>
      </c>
      <c r="GX132" s="94" t="str">
        <f>IF('Marks Entry'!V132=4,GT132,"")</f>
        <v/>
      </c>
      <c r="GY132" s="94" t="str">
        <f>IF('Marks Entry'!V132=5,GT132,"")</f>
        <v/>
      </c>
      <c r="GZ132" s="94" t="str">
        <f t="shared" si="305"/>
        <v/>
      </c>
      <c r="HA132" s="105" t="str">
        <f t="shared" si="332"/>
        <v/>
      </c>
      <c r="HB132" s="94" t="str">
        <f t="shared" si="306"/>
        <v/>
      </c>
      <c r="HC132" s="94" t="str">
        <f t="shared" si="307"/>
        <v/>
      </c>
      <c r="HD132" s="105" t="str">
        <f t="shared" si="333"/>
        <v/>
      </c>
      <c r="HE132" s="94" t="str">
        <f t="shared" si="308"/>
        <v/>
      </c>
      <c r="HF132" s="94" t="str">
        <f t="shared" si="309"/>
        <v/>
      </c>
      <c r="HG132" s="105" t="str">
        <f t="shared" si="334"/>
        <v/>
      </c>
      <c r="HH132" s="94" t="str">
        <f t="shared" si="310"/>
        <v/>
      </c>
      <c r="HI132" s="94" t="str">
        <f t="shared" si="311"/>
        <v/>
      </c>
      <c r="HJ132" s="105" t="str">
        <f t="shared" si="335"/>
        <v/>
      </c>
      <c r="HK132" s="94" t="str">
        <f t="shared" si="312"/>
        <v/>
      </c>
      <c r="HL132" s="94" t="str">
        <f t="shared" si="313"/>
        <v/>
      </c>
      <c r="HM132" s="105" t="str">
        <f t="shared" si="336"/>
        <v/>
      </c>
      <c r="HN132" s="367" t="str">
        <f t="shared" si="314"/>
        <v xml:space="preserve">      </v>
      </c>
      <c r="HO132" s="418" t="str">
        <f t="shared" si="337"/>
        <v xml:space="preserve">      </v>
      </c>
      <c r="HP132" s="367" t="str">
        <f t="shared" si="315"/>
        <v xml:space="preserve">      </v>
      </c>
      <c r="HQ132" s="107" t="str">
        <f t="shared" si="316"/>
        <v xml:space="preserve">      </v>
      </c>
      <c r="HR132" s="366" t="str">
        <f t="shared" si="317"/>
        <v xml:space="preserve">      </v>
      </c>
      <c r="HS132" s="544" t="str">
        <f t="shared" si="338"/>
        <v/>
      </c>
      <c r="HT132" s="542" t="str">
        <f t="shared" si="318"/>
        <v/>
      </c>
      <c r="HU132" s="541" t="str">
        <f t="shared" si="319"/>
        <v/>
      </c>
      <c r="HV132" s="540" t="str">
        <f t="shared" si="320"/>
        <v/>
      </c>
      <c r="HW132" s="537" t="str">
        <f t="shared" si="321"/>
        <v/>
      </c>
      <c r="HX132" s="539" t="str">
        <f t="shared" si="322"/>
        <v/>
      </c>
      <c r="HY132" s="553" t="str">
        <f>IFERROR(IF(OR(HS132="SUPPLEMENTARY",HS132="RE-EXAM"),'Supp. Result Entry'!AQ130,""),"")</f>
        <v/>
      </c>
      <c r="HZ132" s="538" t="str">
        <f t="shared" si="323"/>
        <v/>
      </c>
      <c r="IA132" s="415" t="str">
        <f t="shared" si="324"/>
        <v/>
      </c>
      <c r="IB132" s="415" t="str">
        <f>IF(AND(HZ132="",IA132=""),"",IF(OR(HS132="SUPPLEMENTARY",HS132="RE-EXAM"),'Supp. Result Entry'!AQ130,HS132))</f>
        <v/>
      </c>
      <c r="IC132" s="87"/>
      <c r="IS132" s="109" t="str">
        <f>IF('Supp. Result Entry'!T130="","",'Supp. Result Entry'!$T$4)</f>
        <v/>
      </c>
      <c r="IT132" s="110" t="str">
        <f>IF('Supp. Result Entry'!W130="","",'Supp. Result Entry'!$W$4)</f>
        <v/>
      </c>
      <c r="IU132" s="110" t="str">
        <f>IF('Supp. Result Entry'!Z130="","",'Supp. Result Entry'!$Z$4)</f>
        <v/>
      </c>
      <c r="IV132" s="110" t="str">
        <f>IF('Supp. Result Entry'!AC130="","",'Supp. Result Entry'!$AC$4)</f>
        <v/>
      </c>
      <c r="IW132" s="110" t="str">
        <f>IF('Supp. Result Entry'!AF130="","",'Supp. Result Entry'!$AF$4)</f>
        <v/>
      </c>
      <c r="IX132" s="110" t="str">
        <f>IF('Supp. Result Entry'!AI130="","",'Supp. Result Entry'!$AI$4)</f>
        <v/>
      </c>
      <c r="IY132" s="110" t="str">
        <f>IF('Supp. Result Entry'!AI130="","",'Supp. Result Entry'!$AL$4)</f>
        <v/>
      </c>
      <c r="IZ132" s="110" t="str">
        <f>IF('Supp. Result Entry'!U130="","",'Supp. Result Entry'!U130)</f>
        <v/>
      </c>
      <c r="JA132" s="110" t="str">
        <f>IF('Supp. Result Entry'!X130="","",'Supp. Result Entry'!X130)</f>
        <v/>
      </c>
      <c r="JB132" s="110" t="str">
        <f>IF('Supp. Result Entry'!AA130="","",'Supp. Result Entry'!AA130)</f>
        <v/>
      </c>
      <c r="JC132" s="110" t="str">
        <f>IF('Supp. Result Entry'!AD130="","",'Supp. Result Entry'!AD130)</f>
        <v/>
      </c>
      <c r="JD132" s="110" t="str">
        <f>IF('Supp. Result Entry'!AG130="","",'Supp. Result Entry'!AG130)</f>
        <v/>
      </c>
      <c r="JE132" s="110" t="str">
        <f>IF('Supp. Result Entry'!AJ130="","",'Supp. Result Entry'!AJ130)</f>
        <v/>
      </c>
      <c r="JF132" s="110" t="str">
        <f>IF('Supp. Result Entry'!AM130="","",'Supp. Result Entry'!AM130)</f>
        <v/>
      </c>
      <c r="JG132" s="110" t="str">
        <f>IF('Supp. Result Entry'!V130="","",'Supp. Result Entry'!V130)</f>
        <v/>
      </c>
      <c r="JH132" s="110" t="str">
        <f>IF('Supp. Result Entry'!Y130="","",'Supp. Result Entry'!Y130)</f>
        <v/>
      </c>
      <c r="JI132" s="110" t="str">
        <f>IF('Supp. Result Entry'!AB130="","",'Supp. Result Entry'!AB130)</f>
        <v/>
      </c>
      <c r="JJ132" s="110" t="str">
        <f>IF('Supp. Result Entry'!AE130="","",'Supp. Result Entry'!AE130)</f>
        <v/>
      </c>
      <c r="JK132" s="110" t="str">
        <f>IF('Supp. Result Entry'!AH130="","",'Supp. Result Entry'!AH130)</f>
        <v/>
      </c>
      <c r="JL132" s="110" t="str">
        <f>IF('Supp. Result Entry'!AK130="","",'Supp. Result Entry'!AK130)</f>
        <v/>
      </c>
      <c r="JM132" s="110" t="str">
        <f>IF('Supp. Result Entry'!AN130="","",'Supp. Result Entry'!AN130)</f>
        <v/>
      </c>
      <c r="JN132" s="110">
        <f>COUNTIF('Supp. Result Entry'!K130:Q130,"S")</f>
        <v>0</v>
      </c>
      <c r="JO132" s="110">
        <f t="shared" si="248"/>
        <v>0</v>
      </c>
      <c r="JP132" s="110">
        <f t="shared" si="325"/>
        <v>0</v>
      </c>
      <c r="JQ132" s="110" t="str">
        <f t="shared" si="249"/>
        <v/>
      </c>
      <c r="JR132" s="110" t="str">
        <f t="shared" si="250"/>
        <v/>
      </c>
      <c r="JS132" s="110" t="str">
        <f t="shared" si="251"/>
        <v/>
      </c>
      <c r="JT132" s="110" t="str">
        <f t="shared" si="252"/>
        <v/>
      </c>
      <c r="JU132" s="110" t="str">
        <f t="shared" si="253"/>
        <v/>
      </c>
      <c r="JV132" s="110" t="str">
        <f t="shared" si="254"/>
        <v/>
      </c>
      <c r="JW132" s="110" t="str">
        <f t="shared" si="255"/>
        <v/>
      </c>
      <c r="JX132" s="110" t="str">
        <f t="shared" si="326"/>
        <v/>
      </c>
      <c r="JY132" s="110" t="str">
        <f t="shared" si="327"/>
        <v/>
      </c>
      <c r="JZ132" s="110" t="str">
        <f t="shared" si="256"/>
        <v/>
      </c>
      <c r="KA132" s="108" t="str">
        <f t="shared" si="328"/>
        <v/>
      </c>
    </row>
    <row r="133" spans="1:287" s="108" customFormat="1" ht="21.95" customHeight="1">
      <c r="A133" s="89">
        <v>127</v>
      </c>
      <c r="B133" s="90" t="str">
        <f>IF('Marks Entry'!B133="","",'Marks Entry'!B133)</f>
        <v/>
      </c>
      <c r="C133" s="94" t="str">
        <f>IF('Marks Entry'!D133="","",'Marks Entry'!D133)</f>
        <v/>
      </c>
      <c r="D133" s="91" t="str">
        <f>IF('Marks Entry'!E133="","",'Marks Entry'!E133)</f>
        <v/>
      </c>
      <c r="E133" s="92" t="str">
        <f>IF('Marks Entry'!F133="","",'Marks Entry'!F133)</f>
        <v/>
      </c>
      <c r="F133" s="93" t="str">
        <f>IF('Marks Entry'!G133="","",'Marks Entry'!G133)</f>
        <v/>
      </c>
      <c r="G133" s="93" t="str">
        <f>IF('Marks Entry'!H133="","",'Marks Entry'!H133)</f>
        <v/>
      </c>
      <c r="H133" s="93" t="str">
        <f>IF('Marks Entry'!I133="","",'Marks Entry'!I133)</f>
        <v/>
      </c>
      <c r="I133" s="94" t="str">
        <f>IF('Marks Entry'!J133="","",'Marks Entry'!J133)</f>
        <v/>
      </c>
      <c r="J133" s="95" t="str">
        <f>IF('Marks Entry'!K133="","",'Marks Entry'!K133)</f>
        <v/>
      </c>
      <c r="K133" s="68" t="str">
        <f>IF('Marks Entry'!L133="","",'Marks Entry'!L133)</f>
        <v/>
      </c>
      <c r="L133" s="68" t="str">
        <f>IF('Marks Entry'!M133="","",'Marks Entry'!M133)</f>
        <v/>
      </c>
      <c r="M133" s="68" t="str">
        <f>IF('Marks Entry'!N133="","",'Marks Entry'!N133)</f>
        <v/>
      </c>
      <c r="N133" s="514" t="str">
        <f t="shared" si="257"/>
        <v/>
      </c>
      <c r="O133" s="68" t="str">
        <f>IF('Marks Entry'!O133="","",'Marks Entry'!O133)</f>
        <v/>
      </c>
      <c r="P133" s="515" t="str">
        <f t="shared" si="258"/>
        <v/>
      </c>
      <c r="Q133" s="68" t="str">
        <f>IF('Marks Entry'!P133="","",'Marks Entry'!P133)</f>
        <v/>
      </c>
      <c r="R133" s="96" t="str">
        <f t="shared" si="259"/>
        <v/>
      </c>
      <c r="S133" s="65">
        <f t="shared" si="260"/>
        <v>0</v>
      </c>
      <c r="T133" s="65">
        <f t="shared" si="261"/>
        <v>0</v>
      </c>
      <c r="U133" s="66" t="str">
        <f t="shared" si="171"/>
        <v/>
      </c>
      <c r="V133" s="65" t="str">
        <f t="shared" si="172"/>
        <v/>
      </c>
      <c r="W133" s="65" t="str">
        <f t="shared" si="262"/>
        <v/>
      </c>
      <c r="X133" s="65" t="str">
        <f t="shared" si="173"/>
        <v/>
      </c>
      <c r="Y133" s="68" t="str">
        <f>IF('Marks Entry'!Q133="","",'Marks Entry'!Q133)</f>
        <v/>
      </c>
      <c r="Z133" s="68" t="str">
        <f>IF('Marks Entry'!R133="","",'Marks Entry'!R133)</f>
        <v/>
      </c>
      <c r="AA133" s="68" t="str">
        <f>IF('Marks Entry'!S133="","",'Marks Entry'!S133)</f>
        <v/>
      </c>
      <c r="AB133" s="514" t="str">
        <f t="shared" si="174"/>
        <v/>
      </c>
      <c r="AC133" s="68" t="str">
        <f>IF('Marks Entry'!T133="","",'Marks Entry'!T133)</f>
        <v/>
      </c>
      <c r="AD133" s="515" t="str">
        <f t="shared" si="175"/>
        <v/>
      </c>
      <c r="AE133" s="68" t="str">
        <f>IF('Marks Entry'!U133="","",'Marks Entry'!U133)</f>
        <v/>
      </c>
      <c r="AF133" s="96" t="str">
        <f t="shared" si="176"/>
        <v/>
      </c>
      <c r="AG133" s="65">
        <f t="shared" si="177"/>
        <v>0</v>
      </c>
      <c r="AH133" s="65">
        <f t="shared" si="178"/>
        <v>0</v>
      </c>
      <c r="AI133" s="66" t="str">
        <f t="shared" si="179"/>
        <v/>
      </c>
      <c r="AJ133" s="65" t="str">
        <f t="shared" si="180"/>
        <v/>
      </c>
      <c r="AK133" s="65" t="str">
        <f t="shared" si="181"/>
        <v/>
      </c>
      <c r="AL133" s="65" t="str">
        <f t="shared" si="182"/>
        <v/>
      </c>
      <c r="AM133" s="524" t="str">
        <f>IF('Marks Entry'!V133="","",IF('Marks Entry'!V133=1,'School Profile'!$I$9,IF('Marks Entry'!V133=2,'School Profile'!$I$10,IF('Marks Entry'!V133=3,'School Profile'!$I$11,IF('Marks Entry'!V133=4,'School Profile'!$I$12,IF('Marks Entry'!V133=5,'School Profile'!$I$13,IF('Marks Entry'!V133=6,'School Profile'!$I$14,"")))))))</f>
        <v/>
      </c>
      <c r="AN133" s="68" t="str">
        <f>IF('Marks Entry'!W133="","",'Marks Entry'!W133)</f>
        <v/>
      </c>
      <c r="AO133" s="68" t="str">
        <f>IF('Marks Entry'!X133="","",'Marks Entry'!X133)</f>
        <v/>
      </c>
      <c r="AP133" s="68" t="str">
        <f>IF('Marks Entry'!Y133="","",'Marks Entry'!Y133)</f>
        <v/>
      </c>
      <c r="AQ133" s="514" t="str">
        <f t="shared" si="183"/>
        <v/>
      </c>
      <c r="AR133" s="68" t="str">
        <f>IF('Marks Entry'!Z133="","",'Marks Entry'!Z133)</f>
        <v/>
      </c>
      <c r="AS133" s="515" t="str">
        <f t="shared" si="184"/>
        <v/>
      </c>
      <c r="AT133" s="68" t="str">
        <f>IF('Marks Entry'!AA133="","",'Marks Entry'!AA133)</f>
        <v/>
      </c>
      <c r="AU133" s="96" t="str">
        <f t="shared" si="185"/>
        <v/>
      </c>
      <c r="AV133" s="65">
        <f t="shared" si="186"/>
        <v>0</v>
      </c>
      <c r="AW133" s="65">
        <f t="shared" si="187"/>
        <v>0</v>
      </c>
      <c r="AX133" s="66" t="str">
        <f t="shared" si="188"/>
        <v/>
      </c>
      <c r="AY133" s="65" t="str">
        <f t="shared" si="189"/>
        <v/>
      </c>
      <c r="AZ133" s="65" t="str">
        <f t="shared" si="190"/>
        <v/>
      </c>
      <c r="BA133" s="65" t="str">
        <f t="shared" si="191"/>
        <v/>
      </c>
      <c r="BB133" s="68" t="str">
        <f>IF('Marks Entry'!AB133="","",'Marks Entry'!AB133)</f>
        <v/>
      </c>
      <c r="BC133" s="68" t="str">
        <f>IF('Marks Entry'!AC133="","",'Marks Entry'!AC133)</f>
        <v/>
      </c>
      <c r="BD133" s="68" t="str">
        <f>IF('Marks Entry'!AD133="","",'Marks Entry'!AD133)</f>
        <v/>
      </c>
      <c r="BE133" s="514" t="str">
        <f t="shared" si="192"/>
        <v/>
      </c>
      <c r="BF133" s="68" t="str">
        <f>IF('Marks Entry'!AE133="","",'Marks Entry'!AE133)</f>
        <v/>
      </c>
      <c r="BG133" s="515" t="str">
        <f t="shared" si="193"/>
        <v/>
      </c>
      <c r="BH133" s="68" t="str">
        <f>IF('Marks Entry'!AF133="","",'Marks Entry'!AF133)</f>
        <v/>
      </c>
      <c r="BI133" s="96" t="str">
        <f t="shared" si="194"/>
        <v/>
      </c>
      <c r="BJ133" s="65">
        <f t="shared" si="195"/>
        <v>0</v>
      </c>
      <c r="BK133" s="65">
        <f t="shared" si="263"/>
        <v>0</v>
      </c>
      <c r="BL133" s="66" t="str">
        <f t="shared" si="196"/>
        <v/>
      </c>
      <c r="BM133" s="65" t="str">
        <f t="shared" si="197"/>
        <v/>
      </c>
      <c r="BN133" s="65" t="str">
        <f t="shared" si="198"/>
        <v/>
      </c>
      <c r="BO133" s="65" t="str">
        <f t="shared" si="199"/>
        <v/>
      </c>
      <c r="BP133" s="68" t="str">
        <f>IF('Marks Entry'!AG133="","",'Marks Entry'!AG133)</f>
        <v/>
      </c>
      <c r="BQ133" s="68" t="str">
        <f>IF('Marks Entry'!AH133="","",'Marks Entry'!AH133)</f>
        <v/>
      </c>
      <c r="BR133" s="68" t="str">
        <f>IF('Marks Entry'!AI133="","",'Marks Entry'!AI133)</f>
        <v/>
      </c>
      <c r="BS133" s="514" t="str">
        <f t="shared" si="200"/>
        <v/>
      </c>
      <c r="BT133" s="68" t="str">
        <f>IF('Marks Entry'!AJ133="","",'Marks Entry'!AJ133)</f>
        <v/>
      </c>
      <c r="BU133" s="515" t="str">
        <f t="shared" si="201"/>
        <v/>
      </c>
      <c r="BV133" s="68" t="str">
        <f>IF('Marks Entry'!AK133="","",'Marks Entry'!AK133)</f>
        <v/>
      </c>
      <c r="BW133" s="96" t="str">
        <f t="shared" si="202"/>
        <v/>
      </c>
      <c r="BX133" s="65">
        <f t="shared" si="203"/>
        <v>0</v>
      </c>
      <c r="BY133" s="65">
        <f t="shared" si="204"/>
        <v>0</v>
      </c>
      <c r="BZ133" s="66" t="str">
        <f t="shared" si="205"/>
        <v/>
      </c>
      <c r="CA133" s="65" t="str">
        <f t="shared" si="206"/>
        <v/>
      </c>
      <c r="CB133" s="65" t="str">
        <f t="shared" si="207"/>
        <v/>
      </c>
      <c r="CC133" s="65" t="str">
        <f t="shared" si="208"/>
        <v/>
      </c>
      <c r="CD133" s="66">
        <f t="shared" si="329"/>
        <v>0</v>
      </c>
      <c r="CE133" s="68" t="str">
        <f>IF('Marks Entry'!AL133="","",'Marks Entry'!AL133)</f>
        <v/>
      </c>
      <c r="CF133" s="68" t="str">
        <f>IF('Marks Entry'!AM133="","",'Marks Entry'!AM133)</f>
        <v/>
      </c>
      <c r="CG133" s="68" t="str">
        <f>IF('Marks Entry'!AN133="","",'Marks Entry'!AN133)</f>
        <v/>
      </c>
      <c r="CH133" s="514" t="str">
        <f t="shared" si="210"/>
        <v/>
      </c>
      <c r="CI133" s="68" t="str">
        <f>IF('Marks Entry'!AO133="","",'Marks Entry'!AO133)</f>
        <v/>
      </c>
      <c r="CJ133" s="515" t="str">
        <f t="shared" si="211"/>
        <v/>
      </c>
      <c r="CK133" s="68" t="str">
        <f>IF('Marks Entry'!AP133="","",'Marks Entry'!AP133)</f>
        <v/>
      </c>
      <c r="CL133" s="96" t="str">
        <f t="shared" si="212"/>
        <v/>
      </c>
      <c r="CM133" s="65">
        <f t="shared" si="213"/>
        <v>0</v>
      </c>
      <c r="CN133" s="65">
        <f t="shared" si="214"/>
        <v>0</v>
      </c>
      <c r="CO133" s="66" t="str">
        <f t="shared" si="215"/>
        <v/>
      </c>
      <c r="CP133" s="65" t="str">
        <f t="shared" si="216"/>
        <v/>
      </c>
      <c r="CQ133" s="65" t="str">
        <f t="shared" si="217"/>
        <v/>
      </c>
      <c r="CR133" s="65" t="str">
        <f t="shared" si="218"/>
        <v/>
      </c>
      <c r="CS133" s="616" t="str">
        <f>IF('School Profile'!$D$20="NO","",IF('Marks Entry'!AQ133="","",IF('Marks Entry'!AQ133=1,'School Profile'!$I$29,IF('Marks Entry'!AQ133=2,'School Profile'!$I$30,IF('Marks Entry'!AQ133=3,'School Profile'!$I$31,IF('Marks Entry'!AQ133=4,'School Profile'!$I$32,IF('Marks Entry'!AQ133=5,'School Profile'!$I$33,IF('Marks Entry'!AQ133=6,'School Profile'!$I$34,IF('Marks Entry'!AQ133=7,'School Profile'!$I$35,IF('Marks Entry'!AQ133=8,'School Profile'!$I$36,IF('Marks Entry'!AQ133=9,'School Profile'!$I$37,IF('Marks Entry'!AQ133=10,'School Profile'!$I$38,IF('Marks Entry'!AQ133=11,'School Profile'!$I$39,"")))))))))))))</f>
        <v/>
      </c>
      <c r="CT133" s="68" t="str">
        <f>IF('School Profile'!$D$20="NO","",IF('Marks Entry'!AR133="","",'Marks Entry'!AR133))</f>
        <v/>
      </c>
      <c r="CU133" s="68" t="str">
        <f>IF('School Profile'!$D$20="NO","",IF('Marks Entry'!AS133="","",'Marks Entry'!AS133))</f>
        <v/>
      </c>
      <c r="CV133" s="68" t="str">
        <f>IF('School Profile'!$D$20="NO","",IF('Marks Entry'!AT133="","",'Marks Entry'!AT133))</f>
        <v/>
      </c>
      <c r="CW133" s="514" t="str">
        <f>IF('School Profile'!$D$20="NO","",IF(AND(CT133="",CU133="",CV133=""),"",SUM(CT133:CV133)))</f>
        <v/>
      </c>
      <c r="CX133" s="68" t="str">
        <f>IF('School Profile'!$D$20="NO","",IF('Marks Entry'!AU133="","",'Marks Entry'!AU133))</f>
        <v/>
      </c>
      <c r="CY133" s="68" t="str">
        <f>IF('School Profile'!$D$20="NO","",IF('Marks Entry'!AV133="","",'Marks Entry'!AV133))</f>
        <v/>
      </c>
      <c r="CZ133" s="515" t="str">
        <f>IF('School Profile'!$D$20="NO","",IF(AND(CX133="",CY133=""),"",SUM(CX133,CY133)))</f>
        <v/>
      </c>
      <c r="DA133" s="69" t="str">
        <f>IF('School Profile'!$D$20="NO","",IF(AND(CW133="",CZ133=""),"",SUM(CW133+CZ133)))</f>
        <v/>
      </c>
      <c r="DB133" s="68" t="str">
        <f>IF('School Profile'!$D$20="NO","",IF('Marks Entry'!AW133="","",'Marks Entry'!AW133))</f>
        <v/>
      </c>
      <c r="DC133" s="68" t="str">
        <f>IF('School Profile'!$D$20="NO","",IF('Marks Entry'!AX133="","",'Marks Entry'!AX133))</f>
        <v/>
      </c>
      <c r="DD133" s="515" t="str">
        <f>IF('School Profile'!$D$20="NO","",IF(AND(DB133="",DC133=""),"",SUM(DB133,DC133)))</f>
        <v/>
      </c>
      <c r="DE133" s="96" t="str">
        <f>IF('School Profile'!$D$20="NO","",IF(AND(DA133="",DD133=""),"",SUM(DA133,DD133)))</f>
        <v/>
      </c>
      <c r="DF133" s="532">
        <f t="shared" si="219"/>
        <v>0</v>
      </c>
      <c r="DG133" s="65">
        <f t="shared" si="220"/>
        <v>0</v>
      </c>
      <c r="DH133" s="66" t="str">
        <f t="shared" si="221"/>
        <v/>
      </c>
      <c r="DI133" s="65" t="str">
        <f t="shared" si="222"/>
        <v/>
      </c>
      <c r="DJ133" s="65" t="str">
        <f t="shared" si="223"/>
        <v/>
      </c>
      <c r="DK133" s="65" t="str">
        <f t="shared" si="224"/>
        <v/>
      </c>
      <c r="DL133" s="97" t="str">
        <f t="shared" si="264"/>
        <v/>
      </c>
      <c r="DM133" s="97" t="str">
        <f t="shared" si="265"/>
        <v/>
      </c>
      <c r="DN133" s="97" t="str">
        <f t="shared" si="266"/>
        <v/>
      </c>
      <c r="DO133" s="97" t="str">
        <f t="shared" si="267"/>
        <v/>
      </c>
      <c r="DP133" s="97" t="str">
        <f t="shared" si="268"/>
        <v/>
      </c>
      <c r="DQ133" s="97" t="str">
        <f t="shared" si="269"/>
        <v/>
      </c>
      <c r="DR133" s="97" t="str">
        <f t="shared" si="270"/>
        <v/>
      </c>
      <c r="DS133" s="98">
        <f t="shared" si="271"/>
        <v>0</v>
      </c>
      <c r="DT133" s="98">
        <f t="shared" si="272"/>
        <v>0</v>
      </c>
      <c r="DU133" s="98">
        <f t="shared" si="273"/>
        <v>0</v>
      </c>
      <c r="DV133" s="98">
        <f t="shared" si="274"/>
        <v>0</v>
      </c>
      <c r="DW133" s="98">
        <f t="shared" si="275"/>
        <v>0</v>
      </c>
      <c r="DX133" s="98" t="str">
        <f t="shared" si="276"/>
        <v/>
      </c>
      <c r="DY133" s="99" t="str">
        <f t="shared" si="277"/>
        <v/>
      </c>
      <c r="DZ133" s="74" t="str">
        <f>IF('Marks Entry'!AY133="","",'Marks Entry'!AY133)</f>
        <v/>
      </c>
      <c r="EA133" s="74" t="str">
        <f>IF('Marks Entry'!AZ133="","",'Marks Entry'!AZ133)</f>
        <v/>
      </c>
      <c r="EB133" s="74" t="str">
        <f>IF('Marks Entry'!BA133="","",'Marks Entry'!BA133)</f>
        <v/>
      </c>
      <c r="EC133" s="527" t="str">
        <f t="shared" si="225"/>
        <v/>
      </c>
      <c r="ED133" s="74" t="str">
        <f>IF('Marks Entry'!BB133="","",'Marks Entry'!BB133)</f>
        <v/>
      </c>
      <c r="EE133" s="528" t="str">
        <f t="shared" si="226"/>
        <v/>
      </c>
      <c r="EF133" s="74" t="str">
        <f>IF('Marks Entry'!BC133="","",'Marks Entry'!BC133)</f>
        <v/>
      </c>
      <c r="EG133" s="530" t="str">
        <f t="shared" si="227"/>
        <v/>
      </c>
      <c r="EH133" s="368" t="str">
        <f t="shared" si="278"/>
        <v/>
      </c>
      <c r="EI133" s="65">
        <f t="shared" si="279"/>
        <v>0</v>
      </c>
      <c r="EJ133" s="65">
        <f t="shared" si="280"/>
        <v>0</v>
      </c>
      <c r="EK133" s="66" t="str">
        <f t="shared" si="281"/>
        <v/>
      </c>
      <c r="EL133" s="74" t="str">
        <f>IF('Marks Entry'!BD133="","",'Marks Entry'!BD133)</f>
        <v/>
      </c>
      <c r="EM133" s="74" t="str">
        <f>IF('Marks Entry'!BE133="","",'Marks Entry'!BE133)</f>
        <v/>
      </c>
      <c r="EN133" s="74" t="str">
        <f>IF('Marks Entry'!BF133="","",'Marks Entry'!BF133)</f>
        <v/>
      </c>
      <c r="EO133" s="527" t="str">
        <f t="shared" si="228"/>
        <v/>
      </c>
      <c r="EP133" s="74" t="str">
        <f>IF('Marks Entry'!BG133="","",'Marks Entry'!BG133)</f>
        <v/>
      </c>
      <c r="EQ133" s="74" t="str">
        <f>IF('Marks Entry'!BH133="","",'Marks Entry'!BH133)</f>
        <v/>
      </c>
      <c r="ER133" s="528" t="str">
        <f t="shared" si="229"/>
        <v/>
      </c>
      <c r="ES133" s="529" t="str">
        <f t="shared" si="230"/>
        <v/>
      </c>
      <c r="ET133" s="74" t="str">
        <f>IF('Marks Entry'!BI133="","",'Marks Entry'!BI133)</f>
        <v/>
      </c>
      <c r="EU133" s="74" t="str">
        <f>IF('Marks Entry'!BJ133="","",'Marks Entry'!BJ133)</f>
        <v/>
      </c>
      <c r="EV133" s="528" t="str">
        <f t="shared" si="231"/>
        <v/>
      </c>
      <c r="EW133" s="530" t="str">
        <f t="shared" si="232"/>
        <v/>
      </c>
      <c r="EX133" s="368" t="str">
        <f t="shared" si="282"/>
        <v/>
      </c>
      <c r="EY133" s="65">
        <f t="shared" si="283"/>
        <v>0</v>
      </c>
      <c r="EZ133" s="65">
        <f t="shared" si="284"/>
        <v>0</v>
      </c>
      <c r="FA133" s="66" t="str">
        <f t="shared" si="285"/>
        <v/>
      </c>
      <c r="FB133" s="74" t="str">
        <f>IF('Marks Entry'!BK133="","",'Marks Entry'!BK133)</f>
        <v/>
      </c>
      <c r="FC133" s="74" t="str">
        <f>IF('Marks Entry'!BL133="","",'Marks Entry'!BL133)</f>
        <v/>
      </c>
      <c r="FD133" s="74" t="str">
        <f>IF('Marks Entry'!BM133="","",'Marks Entry'!BM133)</f>
        <v/>
      </c>
      <c r="FE133" s="74" t="str">
        <f>IF('Marks Entry'!BN133="","",'Marks Entry'!BN133)</f>
        <v/>
      </c>
      <c r="FF133" s="74" t="str">
        <f>IF('Marks Entry'!BO133="","",'Marks Entry'!BO133)</f>
        <v/>
      </c>
      <c r="FG133" s="74" t="str">
        <f>IF('Marks Entry'!BP133="","",'Marks Entry'!BP133)</f>
        <v/>
      </c>
      <c r="FH133" s="527" t="str">
        <f t="shared" si="233"/>
        <v/>
      </c>
      <c r="FI133" s="74" t="str">
        <f>IF('Marks Entry'!BQ133="","",'Marks Entry'!BQ133)</f>
        <v/>
      </c>
      <c r="FJ133" s="74" t="str">
        <f>IF('Marks Entry'!BR133="","",'Marks Entry'!BR133)</f>
        <v/>
      </c>
      <c r="FK133" s="528" t="str">
        <f t="shared" si="234"/>
        <v/>
      </c>
      <c r="FL133" s="529" t="str">
        <f t="shared" si="235"/>
        <v/>
      </c>
      <c r="FM133" s="74" t="str">
        <f>IF('Marks Entry'!BS133="","",'Marks Entry'!BS133)</f>
        <v/>
      </c>
      <c r="FN133" s="74" t="str">
        <f>IF('Marks Entry'!BT133="","",'Marks Entry'!BT133)</f>
        <v/>
      </c>
      <c r="FO133" s="528" t="str">
        <f t="shared" si="236"/>
        <v/>
      </c>
      <c r="FP133" s="530" t="str">
        <f t="shared" si="237"/>
        <v/>
      </c>
      <c r="FQ133" s="368" t="str">
        <f t="shared" si="286"/>
        <v/>
      </c>
      <c r="FR133" s="65">
        <f t="shared" si="287"/>
        <v>0</v>
      </c>
      <c r="FS133" s="65">
        <f t="shared" si="288"/>
        <v>0</v>
      </c>
      <c r="FT133" s="66" t="str">
        <f t="shared" si="289"/>
        <v/>
      </c>
      <c r="FU133" s="74" t="str">
        <f>IF('Marks Entry'!BU133="","",'Marks Entry'!BU133)</f>
        <v/>
      </c>
      <c r="FV133" s="74" t="str">
        <f>IF('Marks Entry'!BV133="","",'Marks Entry'!BV133)</f>
        <v/>
      </c>
      <c r="FW133" s="74" t="str">
        <f>IF('Marks Entry'!BW133="","",'Marks Entry'!BW133)</f>
        <v/>
      </c>
      <c r="FX133" s="75" t="str">
        <f t="shared" si="238"/>
        <v/>
      </c>
      <c r="FY133" s="368" t="str">
        <f t="shared" si="290"/>
        <v/>
      </c>
      <c r="FZ133" s="65">
        <f t="shared" si="291"/>
        <v>0</v>
      </c>
      <c r="GA133" s="66">
        <f t="shared" si="292"/>
        <v>0</v>
      </c>
      <c r="GB133" s="66" t="str">
        <f t="shared" si="293"/>
        <v/>
      </c>
      <c r="GC133" s="74" t="str">
        <f>IF('Marks Entry'!BX133="","",'Marks Entry'!BX133)</f>
        <v/>
      </c>
      <c r="GD133" s="74" t="str">
        <f>IF('Marks Entry'!BY133="","",'Marks Entry'!BY133)</f>
        <v/>
      </c>
      <c r="GE133" s="74" t="str">
        <f>IF('Marks Entry'!BZ133="","",'Marks Entry'!BZ133)</f>
        <v/>
      </c>
      <c r="GF133" s="75" t="str">
        <f t="shared" si="294"/>
        <v/>
      </c>
      <c r="GG133" s="368" t="str">
        <f t="shared" si="295"/>
        <v/>
      </c>
      <c r="GH133" s="65">
        <f t="shared" si="296"/>
        <v>0</v>
      </c>
      <c r="GI133" s="66">
        <f t="shared" si="297"/>
        <v>0</v>
      </c>
      <c r="GJ133" s="66" t="str">
        <f t="shared" si="298"/>
        <v/>
      </c>
      <c r="GK133" s="100" t="str">
        <f>IF(AND(F133="",B133=""),"",IF('Student DATA Entry'!M130="","",'Student DATA Entry'!M130))</f>
        <v/>
      </c>
      <c r="GL133" s="101" t="str">
        <f>IF(AND(B133="",F133=""),"",IF('Student DATA Entry'!N130="","",'Student DATA Entry'!N130))</f>
        <v/>
      </c>
      <c r="GM133" s="581" t="str">
        <f t="shared" si="299"/>
        <v/>
      </c>
      <c r="GN133" s="94" t="str">
        <f t="shared" si="300"/>
        <v/>
      </c>
      <c r="GO133" s="94" t="str">
        <f t="shared" si="301"/>
        <v/>
      </c>
      <c r="GP133" s="102" t="str">
        <f t="shared" si="330"/>
        <v/>
      </c>
      <c r="GQ133" s="94" t="str">
        <f t="shared" si="302"/>
        <v/>
      </c>
      <c r="GR133" s="103" t="str">
        <f t="shared" si="303"/>
        <v/>
      </c>
      <c r="GS133" s="102" t="str">
        <f t="shared" si="331"/>
        <v/>
      </c>
      <c r="GT133" s="104" t="str">
        <f t="shared" si="304"/>
        <v/>
      </c>
      <c r="GU133" s="94" t="str">
        <f>IF('Marks Entry'!V133=1,GT133,"")</f>
        <v/>
      </c>
      <c r="GV133" s="94" t="str">
        <f>IF('Marks Entry'!V133=2,GT133,"")</f>
        <v/>
      </c>
      <c r="GW133" s="94" t="str">
        <f>IF('Marks Entry'!V133=3,GT133,"")</f>
        <v/>
      </c>
      <c r="GX133" s="94" t="str">
        <f>IF('Marks Entry'!V133=4,GT133,"")</f>
        <v/>
      </c>
      <c r="GY133" s="94" t="str">
        <f>IF('Marks Entry'!V133=5,GT133,"")</f>
        <v/>
      </c>
      <c r="GZ133" s="94" t="str">
        <f t="shared" si="305"/>
        <v/>
      </c>
      <c r="HA133" s="105" t="str">
        <f t="shared" si="332"/>
        <v/>
      </c>
      <c r="HB133" s="94" t="str">
        <f t="shared" si="306"/>
        <v/>
      </c>
      <c r="HC133" s="94" t="str">
        <f t="shared" si="307"/>
        <v/>
      </c>
      <c r="HD133" s="105" t="str">
        <f t="shared" si="333"/>
        <v/>
      </c>
      <c r="HE133" s="94" t="str">
        <f t="shared" si="308"/>
        <v/>
      </c>
      <c r="HF133" s="94" t="str">
        <f t="shared" si="309"/>
        <v/>
      </c>
      <c r="HG133" s="105" t="str">
        <f t="shared" si="334"/>
        <v/>
      </c>
      <c r="HH133" s="94" t="str">
        <f t="shared" si="310"/>
        <v/>
      </c>
      <c r="HI133" s="94" t="str">
        <f t="shared" si="311"/>
        <v/>
      </c>
      <c r="HJ133" s="105" t="str">
        <f t="shared" si="335"/>
        <v/>
      </c>
      <c r="HK133" s="94" t="str">
        <f t="shared" si="312"/>
        <v/>
      </c>
      <c r="HL133" s="94" t="str">
        <f t="shared" si="313"/>
        <v/>
      </c>
      <c r="HM133" s="105" t="str">
        <f t="shared" si="336"/>
        <v/>
      </c>
      <c r="HN133" s="367" t="str">
        <f t="shared" si="314"/>
        <v xml:space="preserve">      </v>
      </c>
      <c r="HO133" s="418" t="str">
        <f t="shared" si="337"/>
        <v xml:space="preserve">      </v>
      </c>
      <c r="HP133" s="367" t="str">
        <f t="shared" si="315"/>
        <v xml:space="preserve">      </v>
      </c>
      <c r="HQ133" s="107" t="str">
        <f t="shared" si="316"/>
        <v xml:space="preserve">      </v>
      </c>
      <c r="HR133" s="366" t="str">
        <f t="shared" si="317"/>
        <v xml:space="preserve">      </v>
      </c>
      <c r="HS133" s="544" t="str">
        <f t="shared" si="338"/>
        <v/>
      </c>
      <c r="HT133" s="542" t="str">
        <f t="shared" si="318"/>
        <v/>
      </c>
      <c r="HU133" s="541" t="str">
        <f t="shared" si="319"/>
        <v/>
      </c>
      <c r="HV133" s="540" t="str">
        <f t="shared" si="320"/>
        <v/>
      </c>
      <c r="HW133" s="537" t="str">
        <f t="shared" si="321"/>
        <v/>
      </c>
      <c r="HX133" s="539" t="str">
        <f t="shared" si="322"/>
        <v/>
      </c>
      <c r="HY133" s="553" t="str">
        <f>IFERROR(IF(OR(HS133="SUPPLEMENTARY",HS133="RE-EXAM"),'Supp. Result Entry'!AQ131,""),"")</f>
        <v/>
      </c>
      <c r="HZ133" s="538" t="str">
        <f t="shared" si="323"/>
        <v/>
      </c>
      <c r="IA133" s="415" t="str">
        <f t="shared" si="324"/>
        <v/>
      </c>
      <c r="IB133" s="415" t="str">
        <f>IF(AND(HZ133="",IA133=""),"",IF(OR(HS133="SUPPLEMENTARY",HS133="RE-EXAM"),'Supp. Result Entry'!AQ131,HS133))</f>
        <v/>
      </c>
      <c r="IC133" s="87"/>
      <c r="IS133" s="109" t="str">
        <f>IF('Supp. Result Entry'!T131="","",'Supp. Result Entry'!$T$4)</f>
        <v/>
      </c>
      <c r="IT133" s="110" t="str">
        <f>IF('Supp. Result Entry'!W131="","",'Supp. Result Entry'!$W$4)</f>
        <v/>
      </c>
      <c r="IU133" s="110" t="str">
        <f>IF('Supp. Result Entry'!Z131="","",'Supp. Result Entry'!$Z$4)</f>
        <v/>
      </c>
      <c r="IV133" s="110" t="str">
        <f>IF('Supp. Result Entry'!AC131="","",'Supp. Result Entry'!$AC$4)</f>
        <v/>
      </c>
      <c r="IW133" s="110" t="str">
        <f>IF('Supp. Result Entry'!AF131="","",'Supp. Result Entry'!$AF$4)</f>
        <v/>
      </c>
      <c r="IX133" s="110" t="str">
        <f>IF('Supp. Result Entry'!AI131="","",'Supp. Result Entry'!$AI$4)</f>
        <v/>
      </c>
      <c r="IY133" s="110" t="str">
        <f>IF('Supp. Result Entry'!AI131="","",'Supp. Result Entry'!$AL$4)</f>
        <v/>
      </c>
      <c r="IZ133" s="110" t="str">
        <f>IF('Supp. Result Entry'!U131="","",'Supp. Result Entry'!U131)</f>
        <v/>
      </c>
      <c r="JA133" s="110" t="str">
        <f>IF('Supp. Result Entry'!X131="","",'Supp. Result Entry'!X131)</f>
        <v/>
      </c>
      <c r="JB133" s="110" t="str">
        <f>IF('Supp. Result Entry'!AA131="","",'Supp. Result Entry'!AA131)</f>
        <v/>
      </c>
      <c r="JC133" s="110" t="str">
        <f>IF('Supp. Result Entry'!AD131="","",'Supp. Result Entry'!AD131)</f>
        <v/>
      </c>
      <c r="JD133" s="110" t="str">
        <f>IF('Supp. Result Entry'!AG131="","",'Supp. Result Entry'!AG131)</f>
        <v/>
      </c>
      <c r="JE133" s="110" t="str">
        <f>IF('Supp. Result Entry'!AJ131="","",'Supp. Result Entry'!AJ131)</f>
        <v/>
      </c>
      <c r="JF133" s="110" t="str">
        <f>IF('Supp. Result Entry'!AM131="","",'Supp. Result Entry'!AM131)</f>
        <v/>
      </c>
      <c r="JG133" s="110" t="str">
        <f>IF('Supp. Result Entry'!V131="","",'Supp. Result Entry'!V131)</f>
        <v/>
      </c>
      <c r="JH133" s="110" t="str">
        <f>IF('Supp. Result Entry'!Y131="","",'Supp. Result Entry'!Y131)</f>
        <v/>
      </c>
      <c r="JI133" s="110" t="str">
        <f>IF('Supp. Result Entry'!AB131="","",'Supp. Result Entry'!AB131)</f>
        <v/>
      </c>
      <c r="JJ133" s="110" t="str">
        <f>IF('Supp. Result Entry'!AE131="","",'Supp. Result Entry'!AE131)</f>
        <v/>
      </c>
      <c r="JK133" s="110" t="str">
        <f>IF('Supp. Result Entry'!AH131="","",'Supp. Result Entry'!AH131)</f>
        <v/>
      </c>
      <c r="JL133" s="110" t="str">
        <f>IF('Supp. Result Entry'!AK131="","",'Supp. Result Entry'!AK131)</f>
        <v/>
      </c>
      <c r="JM133" s="110" t="str">
        <f>IF('Supp. Result Entry'!AN131="","",'Supp. Result Entry'!AN131)</f>
        <v/>
      </c>
      <c r="JN133" s="110">
        <f>COUNTIF('Supp. Result Entry'!K131:Q131,"S")</f>
        <v>0</v>
      </c>
      <c r="JO133" s="110">
        <f t="shared" si="248"/>
        <v>0</v>
      </c>
      <c r="JP133" s="110">
        <f t="shared" si="325"/>
        <v>0</v>
      </c>
      <c r="JQ133" s="110" t="str">
        <f t="shared" si="249"/>
        <v/>
      </c>
      <c r="JR133" s="110" t="str">
        <f t="shared" si="250"/>
        <v/>
      </c>
      <c r="JS133" s="110" t="str">
        <f t="shared" si="251"/>
        <v/>
      </c>
      <c r="JT133" s="110" t="str">
        <f t="shared" si="252"/>
        <v/>
      </c>
      <c r="JU133" s="110" t="str">
        <f t="shared" si="253"/>
        <v/>
      </c>
      <c r="JV133" s="110" t="str">
        <f t="shared" si="254"/>
        <v/>
      </c>
      <c r="JW133" s="110" t="str">
        <f t="shared" si="255"/>
        <v/>
      </c>
      <c r="JX133" s="110" t="str">
        <f t="shared" si="326"/>
        <v/>
      </c>
      <c r="JY133" s="110" t="str">
        <f t="shared" si="327"/>
        <v/>
      </c>
      <c r="JZ133" s="110" t="str">
        <f t="shared" si="256"/>
        <v/>
      </c>
      <c r="KA133" s="108" t="str">
        <f t="shared" si="328"/>
        <v/>
      </c>
    </row>
    <row r="134" spans="1:287" s="108" customFormat="1" ht="21.95" customHeight="1">
      <c r="A134" s="89">
        <v>128</v>
      </c>
      <c r="B134" s="90" t="str">
        <f>IF('Marks Entry'!B134="","",'Marks Entry'!B134)</f>
        <v/>
      </c>
      <c r="C134" s="94" t="str">
        <f>IF('Marks Entry'!D134="","",'Marks Entry'!D134)</f>
        <v/>
      </c>
      <c r="D134" s="91" t="str">
        <f>IF('Marks Entry'!E134="","",'Marks Entry'!E134)</f>
        <v/>
      </c>
      <c r="E134" s="92" t="str">
        <f>IF('Marks Entry'!F134="","",'Marks Entry'!F134)</f>
        <v/>
      </c>
      <c r="F134" s="93" t="str">
        <f>IF('Marks Entry'!G134="","",'Marks Entry'!G134)</f>
        <v/>
      </c>
      <c r="G134" s="93" t="str">
        <f>IF('Marks Entry'!H134="","",'Marks Entry'!H134)</f>
        <v/>
      </c>
      <c r="H134" s="93" t="str">
        <f>IF('Marks Entry'!I134="","",'Marks Entry'!I134)</f>
        <v/>
      </c>
      <c r="I134" s="94" t="str">
        <f>IF('Marks Entry'!J134="","",'Marks Entry'!J134)</f>
        <v/>
      </c>
      <c r="J134" s="95" t="str">
        <f>IF('Marks Entry'!K134="","",'Marks Entry'!K134)</f>
        <v/>
      </c>
      <c r="K134" s="68" t="str">
        <f>IF('Marks Entry'!L134="","",'Marks Entry'!L134)</f>
        <v/>
      </c>
      <c r="L134" s="68" t="str">
        <f>IF('Marks Entry'!M134="","",'Marks Entry'!M134)</f>
        <v/>
      </c>
      <c r="M134" s="68" t="str">
        <f>IF('Marks Entry'!N134="","",'Marks Entry'!N134)</f>
        <v/>
      </c>
      <c r="N134" s="514" t="str">
        <f t="shared" si="257"/>
        <v/>
      </c>
      <c r="O134" s="68" t="str">
        <f>IF('Marks Entry'!O134="","",'Marks Entry'!O134)</f>
        <v/>
      </c>
      <c r="P134" s="515" t="str">
        <f t="shared" si="258"/>
        <v/>
      </c>
      <c r="Q134" s="68" t="str">
        <f>IF('Marks Entry'!P134="","",'Marks Entry'!P134)</f>
        <v/>
      </c>
      <c r="R134" s="96" t="str">
        <f t="shared" si="259"/>
        <v/>
      </c>
      <c r="S134" s="65">
        <f t="shared" si="260"/>
        <v>0</v>
      </c>
      <c r="T134" s="65">
        <f t="shared" si="261"/>
        <v>0</v>
      </c>
      <c r="U134" s="66" t="str">
        <f t="shared" si="171"/>
        <v/>
      </c>
      <c r="V134" s="65" t="str">
        <f t="shared" si="172"/>
        <v/>
      </c>
      <c r="W134" s="65" t="str">
        <f t="shared" si="262"/>
        <v/>
      </c>
      <c r="X134" s="65" t="str">
        <f t="shared" si="173"/>
        <v/>
      </c>
      <c r="Y134" s="68" t="str">
        <f>IF('Marks Entry'!Q134="","",'Marks Entry'!Q134)</f>
        <v/>
      </c>
      <c r="Z134" s="68" t="str">
        <f>IF('Marks Entry'!R134="","",'Marks Entry'!R134)</f>
        <v/>
      </c>
      <c r="AA134" s="68" t="str">
        <f>IF('Marks Entry'!S134="","",'Marks Entry'!S134)</f>
        <v/>
      </c>
      <c r="AB134" s="514" t="str">
        <f t="shared" si="174"/>
        <v/>
      </c>
      <c r="AC134" s="68" t="str">
        <f>IF('Marks Entry'!T134="","",'Marks Entry'!T134)</f>
        <v/>
      </c>
      <c r="AD134" s="515" t="str">
        <f t="shared" si="175"/>
        <v/>
      </c>
      <c r="AE134" s="68" t="str">
        <f>IF('Marks Entry'!U134="","",'Marks Entry'!U134)</f>
        <v/>
      </c>
      <c r="AF134" s="96" t="str">
        <f t="shared" si="176"/>
        <v/>
      </c>
      <c r="AG134" s="65">
        <f t="shared" si="177"/>
        <v>0</v>
      </c>
      <c r="AH134" s="65">
        <f t="shared" si="178"/>
        <v>0</v>
      </c>
      <c r="AI134" s="66" t="str">
        <f t="shared" si="179"/>
        <v/>
      </c>
      <c r="AJ134" s="65" t="str">
        <f t="shared" si="180"/>
        <v/>
      </c>
      <c r="AK134" s="65" t="str">
        <f t="shared" si="181"/>
        <v/>
      </c>
      <c r="AL134" s="65" t="str">
        <f t="shared" si="182"/>
        <v/>
      </c>
      <c r="AM134" s="524" t="str">
        <f>IF('Marks Entry'!V134="","",IF('Marks Entry'!V134=1,'School Profile'!$I$9,IF('Marks Entry'!V134=2,'School Profile'!$I$10,IF('Marks Entry'!V134=3,'School Profile'!$I$11,IF('Marks Entry'!V134=4,'School Profile'!$I$12,IF('Marks Entry'!V134=5,'School Profile'!$I$13,IF('Marks Entry'!V134=6,'School Profile'!$I$14,"")))))))</f>
        <v/>
      </c>
      <c r="AN134" s="68" t="str">
        <f>IF('Marks Entry'!W134="","",'Marks Entry'!W134)</f>
        <v/>
      </c>
      <c r="AO134" s="68" t="str">
        <f>IF('Marks Entry'!X134="","",'Marks Entry'!X134)</f>
        <v/>
      </c>
      <c r="AP134" s="68" t="str">
        <f>IF('Marks Entry'!Y134="","",'Marks Entry'!Y134)</f>
        <v/>
      </c>
      <c r="AQ134" s="514" t="str">
        <f t="shared" si="183"/>
        <v/>
      </c>
      <c r="AR134" s="68" t="str">
        <f>IF('Marks Entry'!Z134="","",'Marks Entry'!Z134)</f>
        <v/>
      </c>
      <c r="AS134" s="515" t="str">
        <f t="shared" si="184"/>
        <v/>
      </c>
      <c r="AT134" s="68" t="str">
        <f>IF('Marks Entry'!AA134="","",'Marks Entry'!AA134)</f>
        <v/>
      </c>
      <c r="AU134" s="96" t="str">
        <f t="shared" si="185"/>
        <v/>
      </c>
      <c r="AV134" s="65">
        <f t="shared" si="186"/>
        <v>0</v>
      </c>
      <c r="AW134" s="65">
        <f t="shared" si="187"/>
        <v>0</v>
      </c>
      <c r="AX134" s="66" t="str">
        <f t="shared" si="188"/>
        <v/>
      </c>
      <c r="AY134" s="65" t="str">
        <f t="shared" si="189"/>
        <v/>
      </c>
      <c r="AZ134" s="65" t="str">
        <f t="shared" si="190"/>
        <v/>
      </c>
      <c r="BA134" s="65" t="str">
        <f t="shared" si="191"/>
        <v/>
      </c>
      <c r="BB134" s="68" t="str">
        <f>IF('Marks Entry'!AB134="","",'Marks Entry'!AB134)</f>
        <v/>
      </c>
      <c r="BC134" s="68" t="str">
        <f>IF('Marks Entry'!AC134="","",'Marks Entry'!AC134)</f>
        <v/>
      </c>
      <c r="BD134" s="68" t="str">
        <f>IF('Marks Entry'!AD134="","",'Marks Entry'!AD134)</f>
        <v/>
      </c>
      <c r="BE134" s="514" t="str">
        <f t="shared" si="192"/>
        <v/>
      </c>
      <c r="BF134" s="68" t="str">
        <f>IF('Marks Entry'!AE134="","",'Marks Entry'!AE134)</f>
        <v/>
      </c>
      <c r="BG134" s="515" t="str">
        <f t="shared" si="193"/>
        <v/>
      </c>
      <c r="BH134" s="68" t="str">
        <f>IF('Marks Entry'!AF134="","",'Marks Entry'!AF134)</f>
        <v/>
      </c>
      <c r="BI134" s="96" t="str">
        <f t="shared" si="194"/>
        <v/>
      </c>
      <c r="BJ134" s="65">
        <f t="shared" si="195"/>
        <v>0</v>
      </c>
      <c r="BK134" s="65">
        <f t="shared" si="263"/>
        <v>0</v>
      </c>
      <c r="BL134" s="66" t="str">
        <f t="shared" si="196"/>
        <v/>
      </c>
      <c r="BM134" s="65" t="str">
        <f t="shared" si="197"/>
        <v/>
      </c>
      <c r="BN134" s="65" t="str">
        <f t="shared" si="198"/>
        <v/>
      </c>
      <c r="BO134" s="65" t="str">
        <f t="shared" si="199"/>
        <v/>
      </c>
      <c r="BP134" s="68" t="str">
        <f>IF('Marks Entry'!AG134="","",'Marks Entry'!AG134)</f>
        <v/>
      </c>
      <c r="BQ134" s="68" t="str">
        <f>IF('Marks Entry'!AH134="","",'Marks Entry'!AH134)</f>
        <v/>
      </c>
      <c r="BR134" s="68" t="str">
        <f>IF('Marks Entry'!AI134="","",'Marks Entry'!AI134)</f>
        <v/>
      </c>
      <c r="BS134" s="514" t="str">
        <f t="shared" si="200"/>
        <v/>
      </c>
      <c r="BT134" s="68" t="str">
        <f>IF('Marks Entry'!AJ134="","",'Marks Entry'!AJ134)</f>
        <v/>
      </c>
      <c r="BU134" s="515" t="str">
        <f t="shared" si="201"/>
        <v/>
      </c>
      <c r="BV134" s="68" t="str">
        <f>IF('Marks Entry'!AK134="","",'Marks Entry'!AK134)</f>
        <v/>
      </c>
      <c r="BW134" s="96" t="str">
        <f t="shared" si="202"/>
        <v/>
      </c>
      <c r="BX134" s="65">
        <f t="shared" si="203"/>
        <v>0</v>
      </c>
      <c r="BY134" s="65">
        <f t="shared" si="204"/>
        <v>0</v>
      </c>
      <c r="BZ134" s="66" t="str">
        <f t="shared" si="205"/>
        <v/>
      </c>
      <c r="CA134" s="65" t="str">
        <f t="shared" si="206"/>
        <v/>
      </c>
      <c r="CB134" s="65" t="str">
        <f t="shared" si="207"/>
        <v/>
      </c>
      <c r="CC134" s="65" t="str">
        <f t="shared" si="208"/>
        <v/>
      </c>
      <c r="CD134" s="66">
        <f t="shared" si="329"/>
        <v>0</v>
      </c>
      <c r="CE134" s="68" t="str">
        <f>IF('Marks Entry'!AL134="","",'Marks Entry'!AL134)</f>
        <v/>
      </c>
      <c r="CF134" s="68" t="str">
        <f>IF('Marks Entry'!AM134="","",'Marks Entry'!AM134)</f>
        <v/>
      </c>
      <c r="CG134" s="68" t="str">
        <f>IF('Marks Entry'!AN134="","",'Marks Entry'!AN134)</f>
        <v/>
      </c>
      <c r="CH134" s="514" t="str">
        <f t="shared" si="210"/>
        <v/>
      </c>
      <c r="CI134" s="68" t="str">
        <f>IF('Marks Entry'!AO134="","",'Marks Entry'!AO134)</f>
        <v/>
      </c>
      <c r="CJ134" s="515" t="str">
        <f t="shared" si="211"/>
        <v/>
      </c>
      <c r="CK134" s="68" t="str">
        <f>IF('Marks Entry'!AP134="","",'Marks Entry'!AP134)</f>
        <v/>
      </c>
      <c r="CL134" s="96" t="str">
        <f t="shared" si="212"/>
        <v/>
      </c>
      <c r="CM134" s="65">
        <f t="shared" si="213"/>
        <v>0</v>
      </c>
      <c r="CN134" s="65">
        <f t="shared" si="214"/>
        <v>0</v>
      </c>
      <c r="CO134" s="66" t="str">
        <f t="shared" si="215"/>
        <v/>
      </c>
      <c r="CP134" s="65" t="str">
        <f t="shared" si="216"/>
        <v/>
      </c>
      <c r="CQ134" s="65" t="str">
        <f t="shared" si="217"/>
        <v/>
      </c>
      <c r="CR134" s="65" t="str">
        <f t="shared" si="218"/>
        <v/>
      </c>
      <c r="CS134" s="616" t="str">
        <f>IF('School Profile'!$D$20="NO","",IF('Marks Entry'!AQ134="","",IF('Marks Entry'!AQ134=1,'School Profile'!$I$29,IF('Marks Entry'!AQ134=2,'School Profile'!$I$30,IF('Marks Entry'!AQ134=3,'School Profile'!$I$31,IF('Marks Entry'!AQ134=4,'School Profile'!$I$32,IF('Marks Entry'!AQ134=5,'School Profile'!$I$33,IF('Marks Entry'!AQ134=6,'School Profile'!$I$34,IF('Marks Entry'!AQ134=7,'School Profile'!$I$35,IF('Marks Entry'!AQ134=8,'School Profile'!$I$36,IF('Marks Entry'!AQ134=9,'School Profile'!$I$37,IF('Marks Entry'!AQ134=10,'School Profile'!$I$38,IF('Marks Entry'!AQ134=11,'School Profile'!$I$39,"")))))))))))))</f>
        <v/>
      </c>
      <c r="CT134" s="68" t="str">
        <f>IF('School Profile'!$D$20="NO","",IF('Marks Entry'!AR134="","",'Marks Entry'!AR134))</f>
        <v/>
      </c>
      <c r="CU134" s="68" t="str">
        <f>IF('School Profile'!$D$20="NO","",IF('Marks Entry'!AS134="","",'Marks Entry'!AS134))</f>
        <v/>
      </c>
      <c r="CV134" s="68" t="str">
        <f>IF('School Profile'!$D$20="NO","",IF('Marks Entry'!AT134="","",'Marks Entry'!AT134))</f>
        <v/>
      </c>
      <c r="CW134" s="514" t="str">
        <f>IF('School Profile'!$D$20="NO","",IF(AND(CT134="",CU134="",CV134=""),"",SUM(CT134:CV134)))</f>
        <v/>
      </c>
      <c r="CX134" s="68" t="str">
        <f>IF('School Profile'!$D$20="NO","",IF('Marks Entry'!AU134="","",'Marks Entry'!AU134))</f>
        <v/>
      </c>
      <c r="CY134" s="68" t="str">
        <f>IF('School Profile'!$D$20="NO","",IF('Marks Entry'!AV134="","",'Marks Entry'!AV134))</f>
        <v/>
      </c>
      <c r="CZ134" s="515" t="str">
        <f>IF('School Profile'!$D$20="NO","",IF(AND(CX134="",CY134=""),"",SUM(CX134,CY134)))</f>
        <v/>
      </c>
      <c r="DA134" s="69" t="str">
        <f>IF('School Profile'!$D$20="NO","",IF(AND(CW134="",CZ134=""),"",SUM(CW134+CZ134)))</f>
        <v/>
      </c>
      <c r="DB134" s="68" t="str">
        <f>IF('School Profile'!$D$20="NO","",IF('Marks Entry'!AW134="","",'Marks Entry'!AW134))</f>
        <v/>
      </c>
      <c r="DC134" s="68" t="str">
        <f>IF('School Profile'!$D$20="NO","",IF('Marks Entry'!AX134="","",'Marks Entry'!AX134))</f>
        <v/>
      </c>
      <c r="DD134" s="515" t="str">
        <f>IF('School Profile'!$D$20="NO","",IF(AND(DB134="",DC134=""),"",SUM(DB134,DC134)))</f>
        <v/>
      </c>
      <c r="DE134" s="96" t="str">
        <f>IF('School Profile'!$D$20="NO","",IF(AND(DA134="",DD134=""),"",SUM(DA134,DD134)))</f>
        <v/>
      </c>
      <c r="DF134" s="532">
        <f t="shared" si="219"/>
        <v>0</v>
      </c>
      <c r="DG134" s="65">
        <f t="shared" si="220"/>
        <v>0</v>
      </c>
      <c r="DH134" s="66" t="str">
        <f t="shared" si="221"/>
        <v/>
      </c>
      <c r="DI134" s="65" t="str">
        <f t="shared" si="222"/>
        <v/>
      </c>
      <c r="DJ134" s="65" t="str">
        <f t="shared" si="223"/>
        <v/>
      </c>
      <c r="DK134" s="65" t="str">
        <f t="shared" si="224"/>
        <v/>
      </c>
      <c r="DL134" s="97" t="str">
        <f t="shared" si="264"/>
        <v/>
      </c>
      <c r="DM134" s="97" t="str">
        <f t="shared" si="265"/>
        <v/>
      </c>
      <c r="DN134" s="97" t="str">
        <f t="shared" si="266"/>
        <v/>
      </c>
      <c r="DO134" s="97" t="str">
        <f t="shared" si="267"/>
        <v/>
      </c>
      <c r="DP134" s="97" t="str">
        <f t="shared" si="268"/>
        <v/>
      </c>
      <c r="DQ134" s="97" t="str">
        <f t="shared" si="269"/>
        <v/>
      </c>
      <c r="DR134" s="97" t="str">
        <f t="shared" si="270"/>
        <v/>
      </c>
      <c r="DS134" s="98">
        <f t="shared" si="271"/>
        <v>0</v>
      </c>
      <c r="DT134" s="98">
        <f t="shared" si="272"/>
        <v>0</v>
      </c>
      <c r="DU134" s="98">
        <f t="shared" si="273"/>
        <v>0</v>
      </c>
      <c r="DV134" s="98">
        <f t="shared" si="274"/>
        <v>0</v>
      </c>
      <c r="DW134" s="98">
        <f t="shared" si="275"/>
        <v>0</v>
      </c>
      <c r="DX134" s="98" t="str">
        <f t="shared" si="276"/>
        <v/>
      </c>
      <c r="DY134" s="99" t="str">
        <f t="shared" si="277"/>
        <v/>
      </c>
      <c r="DZ134" s="74" t="str">
        <f>IF('Marks Entry'!AY134="","",'Marks Entry'!AY134)</f>
        <v/>
      </c>
      <c r="EA134" s="74" t="str">
        <f>IF('Marks Entry'!AZ134="","",'Marks Entry'!AZ134)</f>
        <v/>
      </c>
      <c r="EB134" s="74" t="str">
        <f>IF('Marks Entry'!BA134="","",'Marks Entry'!BA134)</f>
        <v/>
      </c>
      <c r="EC134" s="527" t="str">
        <f t="shared" si="225"/>
        <v/>
      </c>
      <c r="ED134" s="74" t="str">
        <f>IF('Marks Entry'!BB134="","",'Marks Entry'!BB134)</f>
        <v/>
      </c>
      <c r="EE134" s="528" t="str">
        <f t="shared" si="226"/>
        <v/>
      </c>
      <c r="EF134" s="74" t="str">
        <f>IF('Marks Entry'!BC134="","",'Marks Entry'!BC134)</f>
        <v/>
      </c>
      <c r="EG134" s="530" t="str">
        <f t="shared" si="227"/>
        <v/>
      </c>
      <c r="EH134" s="368" t="str">
        <f t="shared" si="278"/>
        <v/>
      </c>
      <c r="EI134" s="65">
        <f t="shared" si="279"/>
        <v>0</v>
      </c>
      <c r="EJ134" s="65">
        <f t="shared" si="280"/>
        <v>0</v>
      </c>
      <c r="EK134" s="66" t="str">
        <f t="shared" si="281"/>
        <v/>
      </c>
      <c r="EL134" s="74" t="str">
        <f>IF('Marks Entry'!BD134="","",'Marks Entry'!BD134)</f>
        <v/>
      </c>
      <c r="EM134" s="74" t="str">
        <f>IF('Marks Entry'!BE134="","",'Marks Entry'!BE134)</f>
        <v/>
      </c>
      <c r="EN134" s="74" t="str">
        <f>IF('Marks Entry'!BF134="","",'Marks Entry'!BF134)</f>
        <v/>
      </c>
      <c r="EO134" s="527" t="str">
        <f t="shared" si="228"/>
        <v/>
      </c>
      <c r="EP134" s="74" t="str">
        <f>IF('Marks Entry'!BG134="","",'Marks Entry'!BG134)</f>
        <v/>
      </c>
      <c r="EQ134" s="74" t="str">
        <f>IF('Marks Entry'!BH134="","",'Marks Entry'!BH134)</f>
        <v/>
      </c>
      <c r="ER134" s="528" t="str">
        <f t="shared" si="229"/>
        <v/>
      </c>
      <c r="ES134" s="529" t="str">
        <f t="shared" si="230"/>
        <v/>
      </c>
      <c r="ET134" s="74" t="str">
        <f>IF('Marks Entry'!BI134="","",'Marks Entry'!BI134)</f>
        <v/>
      </c>
      <c r="EU134" s="74" t="str">
        <f>IF('Marks Entry'!BJ134="","",'Marks Entry'!BJ134)</f>
        <v/>
      </c>
      <c r="EV134" s="528" t="str">
        <f t="shared" si="231"/>
        <v/>
      </c>
      <c r="EW134" s="530" t="str">
        <f t="shared" si="232"/>
        <v/>
      </c>
      <c r="EX134" s="368" t="str">
        <f t="shared" si="282"/>
        <v/>
      </c>
      <c r="EY134" s="65">
        <f t="shared" si="283"/>
        <v>0</v>
      </c>
      <c r="EZ134" s="65">
        <f t="shared" si="284"/>
        <v>0</v>
      </c>
      <c r="FA134" s="66" t="str">
        <f t="shared" si="285"/>
        <v/>
      </c>
      <c r="FB134" s="74" t="str">
        <f>IF('Marks Entry'!BK134="","",'Marks Entry'!BK134)</f>
        <v/>
      </c>
      <c r="FC134" s="74" t="str">
        <f>IF('Marks Entry'!BL134="","",'Marks Entry'!BL134)</f>
        <v/>
      </c>
      <c r="FD134" s="74" t="str">
        <f>IF('Marks Entry'!BM134="","",'Marks Entry'!BM134)</f>
        <v/>
      </c>
      <c r="FE134" s="74" t="str">
        <f>IF('Marks Entry'!BN134="","",'Marks Entry'!BN134)</f>
        <v/>
      </c>
      <c r="FF134" s="74" t="str">
        <f>IF('Marks Entry'!BO134="","",'Marks Entry'!BO134)</f>
        <v/>
      </c>
      <c r="FG134" s="74" t="str">
        <f>IF('Marks Entry'!BP134="","",'Marks Entry'!BP134)</f>
        <v/>
      </c>
      <c r="FH134" s="527" t="str">
        <f t="shared" si="233"/>
        <v/>
      </c>
      <c r="FI134" s="74" t="str">
        <f>IF('Marks Entry'!BQ134="","",'Marks Entry'!BQ134)</f>
        <v/>
      </c>
      <c r="FJ134" s="74" t="str">
        <f>IF('Marks Entry'!BR134="","",'Marks Entry'!BR134)</f>
        <v/>
      </c>
      <c r="FK134" s="528" t="str">
        <f t="shared" si="234"/>
        <v/>
      </c>
      <c r="FL134" s="529" t="str">
        <f t="shared" si="235"/>
        <v/>
      </c>
      <c r="FM134" s="74" t="str">
        <f>IF('Marks Entry'!BS134="","",'Marks Entry'!BS134)</f>
        <v/>
      </c>
      <c r="FN134" s="74" t="str">
        <f>IF('Marks Entry'!BT134="","",'Marks Entry'!BT134)</f>
        <v/>
      </c>
      <c r="FO134" s="528" t="str">
        <f t="shared" si="236"/>
        <v/>
      </c>
      <c r="FP134" s="530" t="str">
        <f t="shared" si="237"/>
        <v/>
      </c>
      <c r="FQ134" s="368" t="str">
        <f t="shared" si="286"/>
        <v/>
      </c>
      <c r="FR134" s="65">
        <f t="shared" si="287"/>
        <v>0</v>
      </c>
      <c r="FS134" s="65">
        <f t="shared" si="288"/>
        <v>0</v>
      </c>
      <c r="FT134" s="66" t="str">
        <f t="shared" si="289"/>
        <v/>
      </c>
      <c r="FU134" s="74" t="str">
        <f>IF('Marks Entry'!BU134="","",'Marks Entry'!BU134)</f>
        <v/>
      </c>
      <c r="FV134" s="74" t="str">
        <f>IF('Marks Entry'!BV134="","",'Marks Entry'!BV134)</f>
        <v/>
      </c>
      <c r="FW134" s="74" t="str">
        <f>IF('Marks Entry'!BW134="","",'Marks Entry'!BW134)</f>
        <v/>
      </c>
      <c r="FX134" s="75" t="str">
        <f t="shared" si="238"/>
        <v/>
      </c>
      <c r="FY134" s="368" t="str">
        <f t="shared" si="290"/>
        <v/>
      </c>
      <c r="FZ134" s="65">
        <f t="shared" si="291"/>
        <v>0</v>
      </c>
      <c r="GA134" s="66">
        <f t="shared" si="292"/>
        <v>0</v>
      </c>
      <c r="GB134" s="66" t="str">
        <f t="shared" si="293"/>
        <v/>
      </c>
      <c r="GC134" s="74" t="str">
        <f>IF('Marks Entry'!BX134="","",'Marks Entry'!BX134)</f>
        <v/>
      </c>
      <c r="GD134" s="74" t="str">
        <f>IF('Marks Entry'!BY134="","",'Marks Entry'!BY134)</f>
        <v/>
      </c>
      <c r="GE134" s="74" t="str">
        <f>IF('Marks Entry'!BZ134="","",'Marks Entry'!BZ134)</f>
        <v/>
      </c>
      <c r="GF134" s="75" t="str">
        <f t="shared" si="294"/>
        <v/>
      </c>
      <c r="GG134" s="368" t="str">
        <f t="shared" si="295"/>
        <v/>
      </c>
      <c r="GH134" s="65">
        <f t="shared" si="296"/>
        <v>0</v>
      </c>
      <c r="GI134" s="66">
        <f t="shared" si="297"/>
        <v>0</v>
      </c>
      <c r="GJ134" s="66" t="str">
        <f t="shared" si="298"/>
        <v/>
      </c>
      <c r="GK134" s="100" t="str">
        <f>IF(AND(F134="",B134=""),"",IF('Student DATA Entry'!M131="","",'Student DATA Entry'!M131))</f>
        <v/>
      </c>
      <c r="GL134" s="101" t="str">
        <f>IF(AND(B134="",F134=""),"",IF('Student DATA Entry'!N131="","",'Student DATA Entry'!N131))</f>
        <v/>
      </c>
      <c r="GM134" s="581" t="str">
        <f t="shared" si="299"/>
        <v/>
      </c>
      <c r="GN134" s="94" t="str">
        <f t="shared" si="300"/>
        <v/>
      </c>
      <c r="GO134" s="94" t="str">
        <f t="shared" si="301"/>
        <v/>
      </c>
      <c r="GP134" s="102" t="str">
        <f t="shared" si="330"/>
        <v/>
      </c>
      <c r="GQ134" s="94" t="str">
        <f t="shared" si="302"/>
        <v/>
      </c>
      <c r="GR134" s="103" t="str">
        <f t="shared" si="303"/>
        <v/>
      </c>
      <c r="GS134" s="102" t="str">
        <f t="shared" si="331"/>
        <v/>
      </c>
      <c r="GT134" s="104" t="str">
        <f t="shared" si="304"/>
        <v/>
      </c>
      <c r="GU134" s="94" t="str">
        <f>IF('Marks Entry'!V134=1,GT134,"")</f>
        <v/>
      </c>
      <c r="GV134" s="94" t="str">
        <f>IF('Marks Entry'!V134=2,GT134,"")</f>
        <v/>
      </c>
      <c r="GW134" s="94" t="str">
        <f>IF('Marks Entry'!V134=3,GT134,"")</f>
        <v/>
      </c>
      <c r="GX134" s="94" t="str">
        <f>IF('Marks Entry'!V134=4,GT134,"")</f>
        <v/>
      </c>
      <c r="GY134" s="94" t="str">
        <f>IF('Marks Entry'!V134=5,GT134,"")</f>
        <v/>
      </c>
      <c r="GZ134" s="94" t="str">
        <f t="shared" si="305"/>
        <v/>
      </c>
      <c r="HA134" s="105" t="str">
        <f t="shared" si="332"/>
        <v/>
      </c>
      <c r="HB134" s="94" t="str">
        <f t="shared" si="306"/>
        <v/>
      </c>
      <c r="HC134" s="94" t="str">
        <f t="shared" si="307"/>
        <v/>
      </c>
      <c r="HD134" s="105" t="str">
        <f t="shared" si="333"/>
        <v/>
      </c>
      <c r="HE134" s="94" t="str">
        <f t="shared" si="308"/>
        <v/>
      </c>
      <c r="HF134" s="94" t="str">
        <f t="shared" si="309"/>
        <v/>
      </c>
      <c r="HG134" s="105" t="str">
        <f t="shared" si="334"/>
        <v/>
      </c>
      <c r="HH134" s="94" t="str">
        <f t="shared" si="310"/>
        <v/>
      </c>
      <c r="HI134" s="94" t="str">
        <f t="shared" si="311"/>
        <v/>
      </c>
      <c r="HJ134" s="105" t="str">
        <f t="shared" si="335"/>
        <v/>
      </c>
      <c r="HK134" s="94" t="str">
        <f t="shared" si="312"/>
        <v/>
      </c>
      <c r="HL134" s="94" t="str">
        <f t="shared" si="313"/>
        <v/>
      </c>
      <c r="HM134" s="105" t="str">
        <f t="shared" si="336"/>
        <v/>
      </c>
      <c r="HN134" s="367" t="str">
        <f t="shared" si="314"/>
        <v xml:space="preserve">      </v>
      </c>
      <c r="HO134" s="418" t="str">
        <f t="shared" si="337"/>
        <v xml:space="preserve">      </v>
      </c>
      <c r="HP134" s="367" t="str">
        <f t="shared" si="315"/>
        <v xml:space="preserve">      </v>
      </c>
      <c r="HQ134" s="107" t="str">
        <f t="shared" si="316"/>
        <v xml:space="preserve">      </v>
      </c>
      <c r="HR134" s="366" t="str">
        <f t="shared" si="317"/>
        <v xml:space="preserve">      </v>
      </c>
      <c r="HS134" s="544" t="str">
        <f t="shared" si="338"/>
        <v/>
      </c>
      <c r="HT134" s="542" t="str">
        <f t="shared" si="318"/>
        <v/>
      </c>
      <c r="HU134" s="541" t="str">
        <f t="shared" si="319"/>
        <v/>
      </c>
      <c r="HV134" s="540" t="str">
        <f t="shared" si="320"/>
        <v/>
      </c>
      <c r="HW134" s="537" t="str">
        <f t="shared" si="321"/>
        <v/>
      </c>
      <c r="HX134" s="539" t="str">
        <f t="shared" si="322"/>
        <v/>
      </c>
      <c r="HY134" s="553" t="str">
        <f>IFERROR(IF(OR(HS134="SUPPLEMENTARY",HS134="RE-EXAM"),'Supp. Result Entry'!AQ132,""),"")</f>
        <v/>
      </c>
      <c r="HZ134" s="538" t="str">
        <f t="shared" si="323"/>
        <v/>
      </c>
      <c r="IA134" s="415" t="str">
        <f t="shared" si="324"/>
        <v/>
      </c>
      <c r="IB134" s="415" t="str">
        <f>IF(AND(HZ134="",IA134=""),"",IF(OR(HS134="SUPPLEMENTARY",HS134="RE-EXAM"),'Supp. Result Entry'!AQ132,HS134))</f>
        <v/>
      </c>
      <c r="IC134" s="87"/>
      <c r="IS134" s="109" t="str">
        <f>IF('Supp. Result Entry'!T132="","",'Supp. Result Entry'!$T$4)</f>
        <v/>
      </c>
      <c r="IT134" s="110" t="str">
        <f>IF('Supp. Result Entry'!W132="","",'Supp. Result Entry'!$W$4)</f>
        <v/>
      </c>
      <c r="IU134" s="110" t="str">
        <f>IF('Supp. Result Entry'!Z132="","",'Supp. Result Entry'!$Z$4)</f>
        <v/>
      </c>
      <c r="IV134" s="110" t="str">
        <f>IF('Supp. Result Entry'!AC132="","",'Supp. Result Entry'!$AC$4)</f>
        <v/>
      </c>
      <c r="IW134" s="110" t="str">
        <f>IF('Supp. Result Entry'!AF132="","",'Supp. Result Entry'!$AF$4)</f>
        <v/>
      </c>
      <c r="IX134" s="110" t="str">
        <f>IF('Supp. Result Entry'!AI132="","",'Supp. Result Entry'!$AI$4)</f>
        <v/>
      </c>
      <c r="IY134" s="110" t="str">
        <f>IF('Supp. Result Entry'!AI132="","",'Supp. Result Entry'!$AL$4)</f>
        <v/>
      </c>
      <c r="IZ134" s="110" t="str">
        <f>IF('Supp. Result Entry'!U132="","",'Supp. Result Entry'!U132)</f>
        <v/>
      </c>
      <c r="JA134" s="110" t="str">
        <f>IF('Supp. Result Entry'!X132="","",'Supp. Result Entry'!X132)</f>
        <v/>
      </c>
      <c r="JB134" s="110" t="str">
        <f>IF('Supp. Result Entry'!AA132="","",'Supp. Result Entry'!AA132)</f>
        <v/>
      </c>
      <c r="JC134" s="110" t="str">
        <f>IF('Supp. Result Entry'!AD132="","",'Supp. Result Entry'!AD132)</f>
        <v/>
      </c>
      <c r="JD134" s="110" t="str">
        <f>IF('Supp. Result Entry'!AG132="","",'Supp. Result Entry'!AG132)</f>
        <v/>
      </c>
      <c r="JE134" s="110" t="str">
        <f>IF('Supp. Result Entry'!AJ132="","",'Supp. Result Entry'!AJ132)</f>
        <v/>
      </c>
      <c r="JF134" s="110" t="str">
        <f>IF('Supp. Result Entry'!AM132="","",'Supp. Result Entry'!AM132)</f>
        <v/>
      </c>
      <c r="JG134" s="110" t="str">
        <f>IF('Supp. Result Entry'!V132="","",'Supp. Result Entry'!V132)</f>
        <v/>
      </c>
      <c r="JH134" s="110" t="str">
        <f>IF('Supp. Result Entry'!Y132="","",'Supp. Result Entry'!Y132)</f>
        <v/>
      </c>
      <c r="JI134" s="110" t="str">
        <f>IF('Supp. Result Entry'!AB132="","",'Supp. Result Entry'!AB132)</f>
        <v/>
      </c>
      <c r="JJ134" s="110" t="str">
        <f>IF('Supp. Result Entry'!AE132="","",'Supp. Result Entry'!AE132)</f>
        <v/>
      </c>
      <c r="JK134" s="110" t="str">
        <f>IF('Supp. Result Entry'!AH132="","",'Supp. Result Entry'!AH132)</f>
        <v/>
      </c>
      <c r="JL134" s="110" t="str">
        <f>IF('Supp. Result Entry'!AK132="","",'Supp. Result Entry'!AK132)</f>
        <v/>
      </c>
      <c r="JM134" s="110" t="str">
        <f>IF('Supp. Result Entry'!AN132="","",'Supp. Result Entry'!AN132)</f>
        <v/>
      </c>
      <c r="JN134" s="110">
        <f>COUNTIF('Supp. Result Entry'!K132:Q132,"S")</f>
        <v>0</v>
      </c>
      <c r="JO134" s="110">
        <f t="shared" si="248"/>
        <v>0</v>
      </c>
      <c r="JP134" s="110">
        <f t="shared" si="325"/>
        <v>0</v>
      </c>
      <c r="JQ134" s="110" t="str">
        <f t="shared" si="249"/>
        <v/>
      </c>
      <c r="JR134" s="110" t="str">
        <f t="shared" si="250"/>
        <v/>
      </c>
      <c r="JS134" s="110" t="str">
        <f t="shared" si="251"/>
        <v/>
      </c>
      <c r="JT134" s="110" t="str">
        <f t="shared" si="252"/>
        <v/>
      </c>
      <c r="JU134" s="110" t="str">
        <f t="shared" si="253"/>
        <v/>
      </c>
      <c r="JV134" s="110" t="str">
        <f t="shared" si="254"/>
        <v/>
      </c>
      <c r="JW134" s="110" t="str">
        <f t="shared" si="255"/>
        <v/>
      </c>
      <c r="JX134" s="110" t="str">
        <f t="shared" si="326"/>
        <v/>
      </c>
      <c r="JY134" s="110" t="str">
        <f t="shared" si="327"/>
        <v/>
      </c>
      <c r="JZ134" s="110" t="str">
        <f t="shared" si="256"/>
        <v/>
      </c>
      <c r="KA134" s="108" t="str">
        <f t="shared" si="328"/>
        <v/>
      </c>
    </row>
    <row r="135" spans="1:287" s="108" customFormat="1" ht="21.95" customHeight="1">
      <c r="A135" s="89">
        <v>129</v>
      </c>
      <c r="B135" s="90" t="str">
        <f>IF('Marks Entry'!B135="","",'Marks Entry'!B135)</f>
        <v/>
      </c>
      <c r="C135" s="94" t="str">
        <f>IF('Marks Entry'!D135="","",'Marks Entry'!D135)</f>
        <v/>
      </c>
      <c r="D135" s="91" t="str">
        <f>IF('Marks Entry'!E135="","",'Marks Entry'!E135)</f>
        <v/>
      </c>
      <c r="E135" s="92" t="str">
        <f>IF('Marks Entry'!F135="","",'Marks Entry'!F135)</f>
        <v/>
      </c>
      <c r="F135" s="93" t="str">
        <f>IF('Marks Entry'!G135="","",'Marks Entry'!G135)</f>
        <v/>
      </c>
      <c r="G135" s="93" t="str">
        <f>IF('Marks Entry'!H135="","",'Marks Entry'!H135)</f>
        <v/>
      </c>
      <c r="H135" s="93" t="str">
        <f>IF('Marks Entry'!I135="","",'Marks Entry'!I135)</f>
        <v/>
      </c>
      <c r="I135" s="94" t="str">
        <f>IF('Marks Entry'!J135="","",'Marks Entry'!J135)</f>
        <v/>
      </c>
      <c r="J135" s="95" t="str">
        <f>IF('Marks Entry'!K135="","",'Marks Entry'!K135)</f>
        <v/>
      </c>
      <c r="K135" s="68" t="str">
        <f>IF('Marks Entry'!L135="","",'Marks Entry'!L135)</f>
        <v/>
      </c>
      <c r="L135" s="68" t="str">
        <f>IF('Marks Entry'!M135="","",'Marks Entry'!M135)</f>
        <v/>
      </c>
      <c r="M135" s="68" t="str">
        <f>IF('Marks Entry'!N135="","",'Marks Entry'!N135)</f>
        <v/>
      </c>
      <c r="N135" s="514" t="str">
        <f t="shared" si="257"/>
        <v/>
      </c>
      <c r="O135" s="68" t="str">
        <f>IF('Marks Entry'!O135="","",'Marks Entry'!O135)</f>
        <v/>
      </c>
      <c r="P135" s="515" t="str">
        <f t="shared" si="258"/>
        <v/>
      </c>
      <c r="Q135" s="68" t="str">
        <f>IF('Marks Entry'!P135="","",'Marks Entry'!P135)</f>
        <v/>
      </c>
      <c r="R135" s="96" t="str">
        <f t="shared" si="259"/>
        <v/>
      </c>
      <c r="S135" s="65">
        <f t="shared" si="260"/>
        <v>0</v>
      </c>
      <c r="T135" s="65">
        <f t="shared" si="261"/>
        <v>0</v>
      </c>
      <c r="U135" s="66" t="str">
        <f t="shared" ref="U135:U198" si="339">IF(AND(K135="",L135="",M135="",O135="",Q135=""),"",IF(AND(L135="",K135="",M135=""),170-S135-T135,IF(AND(O135=""),130-S135-T135,IF(Q135="",100-S135-T135,200-S135-T135))))</f>
        <v/>
      </c>
      <c r="V135" s="65" t="str">
        <f t="shared" ref="V135:V198" si="340">IF(OR($B135="NSO",$B135="",Q135=""),"",IF(AND(OR(K135="ab",K135="ml"),OR(L135="ab",L135="ml"),OR(M135="ab",M135="ml")),"AB",IF(AND(OR(K135="NA",K135=""),OR(L135="NA",L135=""),OR(M135="NA",M135="")),"AB",IF(AND(OR(K135="ab",K135="ml"),OR(L135="ab",L135="ml"),OR(O135="ab",O135="ml")),"AB",IF(AND(OR(O135="ab",O135="ml"),OR(Q135="ab",Q135="ml"),OR(O135="ab",Q135="ml")),"AB",IF(AND(OR(Q135="ab",Q135="ml"),OR(K135="ab",K135="ml"),OR(L135="ab",L135="ml")),"AB",""))))))</f>
        <v/>
      </c>
      <c r="W135" s="65" t="str">
        <f t="shared" si="262"/>
        <v/>
      </c>
      <c r="X135" s="65" t="str">
        <f t="shared" ref="X135:X198" si="341">IF(OR(W135="",W135=0,W135="S",W135="RE",W135="F",W135="AB"),W135,IF(R135&gt;=75%*U135,"D",IF(R135&gt;=60%*U135,"I",IF(R135&gt;=48%*U135,"II",IF(R135&gt;=36%*U135,"III",W135)))))</f>
        <v/>
      </c>
      <c r="Y135" s="68" t="str">
        <f>IF('Marks Entry'!Q135="","",'Marks Entry'!Q135)</f>
        <v/>
      </c>
      <c r="Z135" s="68" t="str">
        <f>IF('Marks Entry'!R135="","",'Marks Entry'!R135)</f>
        <v/>
      </c>
      <c r="AA135" s="68" t="str">
        <f>IF('Marks Entry'!S135="","",'Marks Entry'!S135)</f>
        <v/>
      </c>
      <c r="AB135" s="514" t="str">
        <f t="shared" ref="AB135:AB198" si="342">IF(AND(Y135="",Z135="",AA135=""),"",SUM(Y135:AA135))</f>
        <v/>
      </c>
      <c r="AC135" s="68" t="str">
        <f>IF('Marks Entry'!T135="","",'Marks Entry'!T135)</f>
        <v/>
      </c>
      <c r="AD135" s="515" t="str">
        <f t="shared" ref="AD135:AD198" si="343">IF(AND(AB135="",AC135=""),"",SUM(AB135,AC135))</f>
        <v/>
      </c>
      <c r="AE135" s="68" t="str">
        <f>IF('Marks Entry'!U135="","",'Marks Entry'!U135)</f>
        <v/>
      </c>
      <c r="AF135" s="96" t="str">
        <f t="shared" ref="AF135:AF198" si="344">IF(AND(AE135="",AD135=""),"",SUM(AD135,AE135))</f>
        <v/>
      </c>
      <c r="AG135" s="65">
        <f t="shared" ref="AG135:AG198" si="345">COUNTIF(Y135:AA135,"NA")*10</f>
        <v>0</v>
      </c>
      <c r="AH135" s="65">
        <f t="shared" ref="AH135:AH198" si="346">(COUNTIF(Y135:AA135,"ML")*10)+(COUNTIF(AC135,"ML")*70)+(COUNTIF(AE135,"ML")*100)</f>
        <v>0</v>
      </c>
      <c r="AI135" s="66" t="str">
        <f t="shared" ref="AI135:AI198" si="347">IF(AND(Y135="",Z135="",AA135="",AC135="",AE135=""),"",IF(AND(Z135="",Y135="",AA135=""),170-AG135-AH135,IF(AND(AC135=""),130-AG135-AH135,IF(AE135="",100-AG135-AH135,200-AG135-AH135))))</f>
        <v/>
      </c>
      <c r="AJ135" s="65" t="str">
        <f t="shared" ref="AJ135:AJ198" si="348">IF(OR($B135="NSO",$B135="",AE135=""),"",IF(AND(OR(Y135="ab",Y135="ml"),OR(Z135="ab",Z135="ml"),OR(AA135="ab",AA135="ml")),"AB",IF(AND(OR(Y135="NA",Y135=""),OR(Z135="NA",Z135=""),OR(AA135="NA",AA135="")),"AB",IF(AND(OR(Y135="ab",Y135="ml"),OR(Z135="ab",Z135="ml"),OR(AC135="ab",AC135="ml")),"AB",IF(AND(OR(AC135="ab",AC135="ml"),OR(AE135="ab",AE135="ml"),OR(AC135="ab",AE135="ml")),"AB",IF(AND(OR(AE135="ab",AE135="ml"),OR(Y135="ab",Y135="ml"),OR(Z135="ab",Z135="ml")),"AB",""))))))</f>
        <v/>
      </c>
      <c r="AK135" s="65" t="str">
        <f t="shared" ref="AK135:AK198" si="349">IF(OR($B135="NSO",$B135="",AE135=""),"",IF(OR(AJ135="AB",AE135="ab"),"AB",IF(AE135="ML","RE",IF(AE135&lt;20%*$AE$6,"F",IF(AND(AF135&gt;=36%*AI135,AE135&gt;=20),"P",IF(AND(AF135&gt;=34%*AI135,AH135=0,AE135&gt;=20),"G2",IF(AND(AF135&gt;=31%*AI135,AH135=0,AE135&gt;=20),"G1",IF(AF135&gt;=25%*AI135,"S","F"))))))))</f>
        <v/>
      </c>
      <c r="AL135" s="65" t="str">
        <f t="shared" ref="AL135:AL198" si="350">IF(OR(AK135="",AK135=0,AK135="S",AK135="RE",AK135="F",AK135="AB"),AK135,IF(AF135&gt;=75%*AI135,"D",IF(AF135&gt;=60%*AI135,"I",IF(AF135&gt;=48%*AI135,"II",IF(AF135&gt;=36%*AI135,"III",AK135)))))</f>
        <v/>
      </c>
      <c r="AM135" s="524" t="str">
        <f>IF('Marks Entry'!V135="","",IF('Marks Entry'!V135=1,'School Profile'!$I$9,IF('Marks Entry'!V135=2,'School Profile'!$I$10,IF('Marks Entry'!V135=3,'School Profile'!$I$11,IF('Marks Entry'!V135=4,'School Profile'!$I$12,IF('Marks Entry'!V135=5,'School Profile'!$I$13,IF('Marks Entry'!V135=6,'School Profile'!$I$14,"")))))))</f>
        <v/>
      </c>
      <c r="AN135" s="68" t="str">
        <f>IF('Marks Entry'!W135="","",'Marks Entry'!W135)</f>
        <v/>
      </c>
      <c r="AO135" s="68" t="str">
        <f>IF('Marks Entry'!X135="","",'Marks Entry'!X135)</f>
        <v/>
      </c>
      <c r="AP135" s="68" t="str">
        <f>IF('Marks Entry'!Y135="","",'Marks Entry'!Y135)</f>
        <v/>
      </c>
      <c r="AQ135" s="514" t="str">
        <f t="shared" ref="AQ135:AQ198" si="351">IF(AND(AN135="",AO135="",AP135=""),"",SUM(AN135:AP135))</f>
        <v/>
      </c>
      <c r="AR135" s="68" t="str">
        <f>IF('Marks Entry'!Z135="","",'Marks Entry'!Z135)</f>
        <v/>
      </c>
      <c r="AS135" s="515" t="str">
        <f t="shared" ref="AS135:AS198" si="352">IF(AND(AQ135="",AR135=""),"",SUM(AQ135,AR135))</f>
        <v/>
      </c>
      <c r="AT135" s="68" t="str">
        <f>IF('Marks Entry'!AA135="","",'Marks Entry'!AA135)</f>
        <v/>
      </c>
      <c r="AU135" s="96" t="str">
        <f t="shared" ref="AU135:AU198" si="353">IF(AND(AT135="",AS135=""),"",SUM(AS135,AT135))</f>
        <v/>
      </c>
      <c r="AV135" s="65">
        <f t="shared" ref="AV135:AV198" si="354">COUNTIF(AN135:AP135,"NA")*10</f>
        <v>0</v>
      </c>
      <c r="AW135" s="65">
        <f t="shared" ref="AW135:AW198" si="355">(COUNTIF(AN135:AP135,"ML")*10)+(COUNTIF(AR135,"ML")*70)+(COUNTIF(AT135,"ML")*100)</f>
        <v>0</v>
      </c>
      <c r="AX135" s="66" t="str">
        <f t="shared" ref="AX135:AX198" si="356">IF(AND(AN135="",AO135="",AP135="",AR135="",AT135=""),"",IF(AND(AO135="",AN135="",AP135=""),170-AV135-AW135,IF(AND(AR135=""),130-AV135-AW135,IF(AT135="",100-AV135-AW135,200-AV135-AW135))))</f>
        <v/>
      </c>
      <c r="AY135" s="65" t="str">
        <f t="shared" ref="AY135:AY198" si="357">IF(OR($B135="NSO",$B135="",AT135=""),"",IF(AND(OR(AN135="ab",AN135="ml"),OR(AO135="ab",AO135="ml"),OR(AP135="ab",AP135="ml")),"AB",IF(AND(OR(AN135="NA",AN135=""),OR(AO135="NA",AO135=""),OR(AP135="NA",AP135="")),"AB",IF(AND(OR(AN135="ab",AN135="ml"),OR(AO135="ab",AO135="ml"),OR(AR135="ab",AR135="ml")),"AB",IF(AND(OR(AR135="ab",AR135="ml"),OR(AT135="ab",AT135="ml"),OR(AR135="ab",AT135="ml")),"AB",IF(AND(OR(AT135="ab",AT135="ml"),OR(AN135="ab",AN135="ml"),OR(AO135="ab",AO135="ml")),"AB",""))))))</f>
        <v/>
      </c>
      <c r="AZ135" s="65" t="str">
        <f t="shared" ref="AZ135:AZ198" si="358">IF(OR($B135="NSO",$B135="",AT135=""),"",IF(OR(AY135="AB",AT135="ab"),"AB",IF(AT135="ML","RE",IF(AT135&lt;20%*$AT$6,"F",IF(AND(AU135&gt;=36%*AX135,AT135&gt;=20),"P",IF(AND(AU135&gt;=34%*AX135,AW135=0,AT135&gt;=20),"G2",IF(AND(AU135&gt;=31%*AX135,AW135=0,AT135&gt;=20),"G1",IF(AU135&gt;=25%*AX135,"S","F"))))))))</f>
        <v/>
      </c>
      <c r="BA135" s="65" t="str">
        <f t="shared" ref="BA135:BA198" si="359">IF(OR(AZ135="",AZ135=0,AZ135="S",AZ135="RE",AZ135="F",AZ135="AB"),AZ135,IF(AU135&gt;=75%*AX135,"D",IF(AU135&gt;=60%*AX135,"I",IF(AU135&gt;=48%*AX135,"II",IF(AU135&gt;=36%*AX135,"III",AZ135)))))</f>
        <v/>
      </c>
      <c r="BB135" s="68" t="str">
        <f>IF('Marks Entry'!AB135="","",'Marks Entry'!AB135)</f>
        <v/>
      </c>
      <c r="BC135" s="68" t="str">
        <f>IF('Marks Entry'!AC135="","",'Marks Entry'!AC135)</f>
        <v/>
      </c>
      <c r="BD135" s="68" t="str">
        <f>IF('Marks Entry'!AD135="","",'Marks Entry'!AD135)</f>
        <v/>
      </c>
      <c r="BE135" s="514" t="str">
        <f t="shared" ref="BE135:BE198" si="360">IF(AND(BB135="",BC135="",BD135=""),"",SUM(BB135:BD135))</f>
        <v/>
      </c>
      <c r="BF135" s="68" t="str">
        <f>IF('Marks Entry'!AE135="","",'Marks Entry'!AE135)</f>
        <v/>
      </c>
      <c r="BG135" s="515" t="str">
        <f t="shared" ref="BG135:BG198" si="361">IF(AND(BE135="",BF135=""),"",SUM(BE135,BF135))</f>
        <v/>
      </c>
      <c r="BH135" s="68" t="str">
        <f>IF('Marks Entry'!AF135="","",'Marks Entry'!AF135)</f>
        <v/>
      </c>
      <c r="BI135" s="96" t="str">
        <f t="shared" ref="BI135:BI198" si="362">IF(AND(BH135="",BG135=""),"",SUM(BG135,BH135))</f>
        <v/>
      </c>
      <c r="BJ135" s="65">
        <f t="shared" ref="BJ135:BJ198" si="363">COUNTIF(BB135:BD135,"NA")*10</f>
        <v>0</v>
      </c>
      <c r="BK135" s="65">
        <f t="shared" si="263"/>
        <v>0</v>
      </c>
      <c r="BL135" s="66" t="str">
        <f t="shared" ref="BL135:BL198" si="364">IF(AND(BB135="",BC135="",BD135="",BF135="",BH135=""),"",IF(AND(BC135="",BB135="",BD135=""),170-BJ135-BK135,IF(AND(BF135=""),130-BJ135-BK135,IF(BH135="",100-BJ135-BK135,200-BJ135-BK135))))</f>
        <v/>
      </c>
      <c r="BM135" s="65" t="str">
        <f t="shared" ref="BM135:BM198" si="365">IF(OR($B135="NSO",$B135="",BH135=""),"",IF(AND(OR(BB135="ab",BB135="ml"),OR(BC135="ab",BC135="ml"),OR(BD135="ab",BD135="ml")),"AB",IF(AND(OR(BB135="NA",BB135=""),OR(BC135="NA",BC135=""),OR(BD135="NA",BD135="")),"AB",IF(AND(OR(BB135="ab",BB135="ml"),OR(BC135="ab",BC135="ml"),OR(BF135="ab",BF135="ml")),"AB",IF(AND(OR(BF135="ab",BF135="ml"),OR(BH135="ab",BH135="ml"),OR(BF135="ab",BH135="ml")),"AB",IF(AND(OR(BH135="ab",BH135="ml"),OR(BB135="ab",BB135="ml"),OR(BC135="ab",BC135="ml")),"AB",""))))))</f>
        <v/>
      </c>
      <c r="BN135" s="65" t="str">
        <f t="shared" ref="BN135:BN198" si="366">IF(OR($B135="NSO",$B135="",BH135=""),"",IF(OR(BM135="AB",BH135="ab"),"AB",IF(BH135="ML","RE",IF(BH135&lt;20%*$BH$6,"F",IF(AND(BI135&gt;=36%*BL135,BH135&gt;=20),"P",IF(AND(BI135&gt;=34%*BL135,BK135=0,BH135&gt;=20),"G2",IF(AND(BI135&gt;=31%*BL135,BK135=0,BH135&gt;=20),"G1",IF(BI135&gt;=25%*BL135,"S","F"))))))))</f>
        <v/>
      </c>
      <c r="BO135" s="65" t="str">
        <f t="shared" ref="BO135:BO198" si="367">IF(OR(BN135="",BN135=0,BN135="S",BN135="RE",BN135="F",BN135="AB"),BN135,IF(BI135&gt;=75%*BL135,"D",IF(BI135&gt;=60%*BL135,"I",IF(BI135&gt;=48%*BL135,"II",IF(BI135&gt;=36%*BL135,"III",BN135)))))</f>
        <v/>
      </c>
      <c r="BP135" s="68" t="str">
        <f>IF('Marks Entry'!AG135="","",'Marks Entry'!AG135)</f>
        <v/>
      </c>
      <c r="BQ135" s="68" t="str">
        <f>IF('Marks Entry'!AH135="","",'Marks Entry'!AH135)</f>
        <v/>
      </c>
      <c r="BR135" s="68" t="str">
        <f>IF('Marks Entry'!AI135="","",'Marks Entry'!AI135)</f>
        <v/>
      </c>
      <c r="BS135" s="514" t="str">
        <f t="shared" ref="BS135:BS198" si="368">IF(AND(BP135="",BQ135="",BR135=""),"",SUM(BP135:BR135))</f>
        <v/>
      </c>
      <c r="BT135" s="68" t="str">
        <f>IF('Marks Entry'!AJ135="","",'Marks Entry'!AJ135)</f>
        <v/>
      </c>
      <c r="BU135" s="515" t="str">
        <f t="shared" ref="BU135:BU198" si="369">IF(AND(BS135="",BT135=""),"",SUM(BS135,BT135))</f>
        <v/>
      </c>
      <c r="BV135" s="68" t="str">
        <f>IF('Marks Entry'!AK135="","",'Marks Entry'!AK135)</f>
        <v/>
      </c>
      <c r="BW135" s="96" t="str">
        <f t="shared" ref="BW135:BW198" si="370">IF(AND(BV135="",BU135=""),"",SUM(BU135,BV135))</f>
        <v/>
      </c>
      <c r="BX135" s="65">
        <f t="shared" ref="BX135:BX198" si="371">COUNTIF(BP135:BR135,"NA")*10</f>
        <v>0</v>
      </c>
      <c r="BY135" s="65">
        <f t="shared" ref="BY135:BY198" si="372">(COUNTIF(BP135:BR135,"ML")*10)+(COUNTIF(BT135,"ML")*70)+(COUNTIF(BV135,"ML")*100)</f>
        <v>0</v>
      </c>
      <c r="BZ135" s="66" t="str">
        <f t="shared" ref="BZ135:BZ198" si="373">IF(AND(BP135="",BQ135="",BR135="",BT135="",BV135=""),"",IF(AND(BQ135="",BP135="",BR135=""),170-BX135-BY135,IF(AND(BT135=""),130-BX135-BY135,IF(BV135="",100-BX135-BY135,200-BX135-BY135))))</f>
        <v/>
      </c>
      <c r="CA135" s="65" t="str">
        <f t="shared" ref="CA135:CA198" si="374">IF(OR($B135="NSO",$B135="",BV135=""),"",IF(AND(OR(BP135="ab",BP135="ml"),OR(BQ135="ab",BQ135="ml"),OR(BR135="ab",BR135="ml")),"AB",IF(AND(OR(BP135="NA",BP135=""),OR(BQ135="NA",BQ135=""),OR(BR135="NA",BR135="")),"AB",IF(AND(OR(BP135="ab",BP135="ml"),OR(BQ135="ab",BQ135="ml"),OR(BT135="ab",BT135="ml")),"AB",IF(AND(OR(BT135="ab",BT135="ml"),OR(BV135="ab",BV135="ml"),OR(BT135="ab",BV135="ml")),"AB",IF(AND(OR(BV135="ab",BV135="ml"),OR(BP135="ab",BP135="ml"),OR(BQ135="ab",BQ135="ml")),"AB",""))))))</f>
        <v/>
      </c>
      <c r="CB135" s="65" t="str">
        <f t="shared" ref="CB135:CB198" si="375">IF(OR($B135="NSO",$B135="",BV135=""),"",IF(OR(CA135="AB",BV135="ab"),"AB",IF(BV135="ML","RE",IF(BV135&lt;20%*$BV$6,"F",IF(AND(BW135&gt;=36%*BZ135,BV135&gt;=20),"P",IF(AND(BW135&gt;=34%*BZ135,BY135=0,BV135&gt;=20),"G2",IF(AND(BW135&gt;=31%*BZ135,BY135=0,BV135&gt;=20),"G1",IF(BW135&gt;=25%*BZ135,"S","F"))))))))</f>
        <v/>
      </c>
      <c r="CC135" s="65" t="str">
        <f t="shared" ref="CC135:CC198" si="376">IF(OR(CB135="",CB135=0,CB135="S",CB135="RE",CB135="F",CB135="AB"),CB135,IF(BW135&gt;=75%*BZ135,"D",IF(BW135&gt;=60%*BZ135,"I",IF(BW135&gt;=48%*BZ135,"II",IF(BW135&gt;=36%*BZ135,"III",CB135)))))</f>
        <v/>
      </c>
      <c r="CD135" s="66">
        <f t="shared" ref="CD135:CD166" si="377">SUM(S135,T135,AG135,AH135,AV135,AW135,BJ135,BK135,BX135,BY135,CM135,CN135)</f>
        <v>0</v>
      </c>
      <c r="CE135" s="68" t="str">
        <f>IF('Marks Entry'!AL135="","",'Marks Entry'!AL135)</f>
        <v/>
      </c>
      <c r="CF135" s="68" t="str">
        <f>IF('Marks Entry'!AM135="","",'Marks Entry'!AM135)</f>
        <v/>
      </c>
      <c r="CG135" s="68" t="str">
        <f>IF('Marks Entry'!AN135="","",'Marks Entry'!AN135)</f>
        <v/>
      </c>
      <c r="CH135" s="514" t="str">
        <f t="shared" ref="CH135:CH198" si="378">IF(AND(CE135="",CF135="",CG135=""),"",SUM(CE135:CG135))</f>
        <v/>
      </c>
      <c r="CI135" s="68" t="str">
        <f>IF('Marks Entry'!AO135="","",'Marks Entry'!AO135)</f>
        <v/>
      </c>
      <c r="CJ135" s="515" t="str">
        <f t="shared" ref="CJ135:CJ198" si="379">IF(AND(CH135="",CI135=""),"",SUM(CH135,CI135))</f>
        <v/>
      </c>
      <c r="CK135" s="68" t="str">
        <f>IF('Marks Entry'!AP135="","",'Marks Entry'!AP135)</f>
        <v/>
      </c>
      <c r="CL135" s="96" t="str">
        <f t="shared" ref="CL135:CL198" si="380">IF(AND(CK135="",CJ135=""),"",SUM(CJ135,CK135))</f>
        <v/>
      </c>
      <c r="CM135" s="65">
        <f t="shared" ref="CM135:CM198" si="381">COUNTIF(CE135:CG135,"NA")*10</f>
        <v>0</v>
      </c>
      <c r="CN135" s="65">
        <f t="shared" ref="CN135:CN198" si="382">(COUNTIF(CE135:CG135,"ML")*10)+(COUNTIF(CI135,"ML")*70)+(COUNTIF(CK135,"ML")*100)</f>
        <v>0</v>
      </c>
      <c r="CO135" s="66" t="str">
        <f t="shared" ref="CO135:CO198" si="383">IF(AND(CE135="",CF135="",CG135="",CI135="",CK135=""),"",IF(AND(CF135="",CE135="",CG135=""),170-CM135-CN135,IF(AND(CI135=""),130-CM135-CN135,IF(CK135="",100-CM135-CN135,200-CM135-CN135))))</f>
        <v/>
      </c>
      <c r="CP135" s="65" t="str">
        <f t="shared" ref="CP135:CP198" si="384">IF(OR($B135="NSO",$B135="",CK135=""),"",IF(AND(OR(CE135="ab",CE135="ml"),OR(CF135="ab",CF135="ml"),OR(CG135="ab",CG135="ml")),"AB",IF(AND(OR(CE135="NA",CE135=""),OR(CF135="NA",CF135=""),OR(CG135="NA",CG135="")),"AB",IF(AND(OR(CE135="ab",CE135="ml"),OR(CF135="ab",CF135="ml"),OR(CI135="ab",CI135="ml")),"AB",IF(AND(OR(CI135="ab",CI135="ml"),OR(CK135="ab",CK135="ml"),OR(CI135="ab",CK135="ml")),"AB",IF(AND(OR(CK135="ab",CK135="ml"),OR(CE135="ab",CE135="ml"),OR(CF135="ab",CF135="ml")),"AB",""))))))</f>
        <v/>
      </c>
      <c r="CQ135" s="65" t="str">
        <f t="shared" ref="CQ135:CQ198" si="385">IF(OR($B135="NSO",$B135="",CK135=""),"",IF(OR(CP135="AB",CK135="ab"),"AB",IF(CK135="ML","RE",IF(CK135&lt;20%*$CK$6,"F",IF(AND(CL135&gt;=36%*CO135,CK135&gt;=20),"P",IF(AND(CL135&gt;=34%*CO135,CN135=0,CK135&gt;=20),"G2",IF(AND(CL135&gt;=31%*CO135,CN135=0,CK135&gt;=20),"G1",IF(CL135&gt;=25%*CO135,"S","F"))))))))</f>
        <v/>
      </c>
      <c r="CR135" s="65" t="str">
        <f t="shared" ref="CR135:CR198" si="386">IF(OR(CQ135="",CQ135=0,CQ135="S",CQ135="RE",CQ135="F",CQ135="AB"),CQ135,IF(CL135&gt;=75%*CO135,"D",IF(CL135&gt;=60%*CO135,"I",IF(CL135&gt;=48%*CO135,"II",IF(CL135&gt;=36%*CO135,"III",CQ135)))))</f>
        <v/>
      </c>
      <c r="CS135" s="616" t="str">
        <f>IF('School Profile'!$D$20="NO","",IF('Marks Entry'!AQ135="","",IF('Marks Entry'!AQ135=1,'School Profile'!$I$29,IF('Marks Entry'!AQ135=2,'School Profile'!$I$30,IF('Marks Entry'!AQ135=3,'School Profile'!$I$31,IF('Marks Entry'!AQ135=4,'School Profile'!$I$32,IF('Marks Entry'!AQ135=5,'School Profile'!$I$33,IF('Marks Entry'!AQ135=6,'School Profile'!$I$34,IF('Marks Entry'!AQ135=7,'School Profile'!$I$35,IF('Marks Entry'!AQ135=8,'School Profile'!$I$36,IF('Marks Entry'!AQ135=9,'School Profile'!$I$37,IF('Marks Entry'!AQ135=10,'School Profile'!$I$38,IF('Marks Entry'!AQ135=11,'School Profile'!$I$39,"")))))))))))))</f>
        <v/>
      </c>
      <c r="CT135" s="68" t="str">
        <f>IF('School Profile'!$D$20="NO","",IF('Marks Entry'!AR135="","",'Marks Entry'!AR135))</f>
        <v/>
      </c>
      <c r="CU135" s="68" t="str">
        <f>IF('School Profile'!$D$20="NO","",IF('Marks Entry'!AS135="","",'Marks Entry'!AS135))</f>
        <v/>
      </c>
      <c r="CV135" s="68" t="str">
        <f>IF('School Profile'!$D$20="NO","",IF('Marks Entry'!AT135="","",'Marks Entry'!AT135))</f>
        <v/>
      </c>
      <c r="CW135" s="514" t="str">
        <f>IF('School Profile'!$D$20="NO","",IF(AND(CT135="",CU135="",CV135=""),"",SUM(CT135:CV135)))</f>
        <v/>
      </c>
      <c r="CX135" s="68" t="str">
        <f>IF('School Profile'!$D$20="NO","",IF('Marks Entry'!AU135="","",'Marks Entry'!AU135))</f>
        <v/>
      </c>
      <c r="CY135" s="68" t="str">
        <f>IF('School Profile'!$D$20="NO","",IF('Marks Entry'!AV135="","",'Marks Entry'!AV135))</f>
        <v/>
      </c>
      <c r="CZ135" s="515" t="str">
        <f>IF('School Profile'!$D$20="NO","",IF(AND(CX135="",CY135=""),"",SUM(CX135,CY135)))</f>
        <v/>
      </c>
      <c r="DA135" s="69" t="str">
        <f>IF('School Profile'!$D$20="NO","",IF(AND(CW135="",CZ135=""),"",SUM(CW135+CZ135)))</f>
        <v/>
      </c>
      <c r="DB135" s="68" t="str">
        <f>IF('School Profile'!$D$20="NO","",IF('Marks Entry'!AW135="","",'Marks Entry'!AW135))</f>
        <v/>
      </c>
      <c r="DC135" s="68" t="str">
        <f>IF('School Profile'!$D$20="NO","",IF('Marks Entry'!AX135="","",'Marks Entry'!AX135))</f>
        <v/>
      </c>
      <c r="DD135" s="515" t="str">
        <f>IF('School Profile'!$D$20="NO","",IF(AND(DB135="",DC135=""),"",SUM(DB135,DC135)))</f>
        <v/>
      </c>
      <c r="DE135" s="96" t="str">
        <f>IF('School Profile'!$D$20="NO","",IF(AND(DA135="",DD135=""),"",SUM(DA135,DD135)))</f>
        <v/>
      </c>
      <c r="DF135" s="532">
        <f t="shared" ref="DF135:DF198" si="387">COUNTIF(CX135:CZ135,"NA")*10</f>
        <v>0</v>
      </c>
      <c r="DG135" s="65">
        <f t="shared" ref="DG135:DG198" si="388">(COUNTIF(CX135:CZ135,"ML")*10)+(COUNTIF(DB135,"ML")*70)+(COUNTIF(DD135,"ML")*100)</f>
        <v>0</v>
      </c>
      <c r="DH135" s="66" t="str">
        <f t="shared" ref="DH135:DH198" si="389">IF(AND(CX135="",CY135="",CZ135="",DB135="",DD135=""),"",IF(AND(CY135="",CX135="",CZ135=""),170-DF135-DG135,IF(AND(DB135=""),130-DF135-DG135,IF(DD135="",100-DF135-DG135,200-DF135-DG135))))</f>
        <v/>
      </c>
      <c r="DI135" s="65" t="str">
        <f t="shared" ref="DI135:DI198" si="390">IF(OR($B135="NSO",$B135="",DD135=""),"",IF(AND(OR(CX135="ab",CX135="ml"),OR(CY135="ab",CY135="ml"),OR(CZ135="ab",CZ135="ml")),"AB",IF(AND(OR(CX135="NA",CX135=""),OR(CY135="NA",CY135=""),OR(CZ135="NA",CZ135="")),"AB",IF(AND(OR(CX135="ab",CX135="ml"),OR(CY135="ab",CY135="ml"),OR(DB135="ab",DB135="ml")),"AB",IF(AND(OR(DB135="ab",DB135="ml"),OR(DD135="ab",DD135="ml"),OR(DB135="ab",DD135="ml")),"AB",IF(AND(OR(DD135="ab",DD135="ml"),OR(CX135="ab",CX135="ml"),OR(CY135="ab",CY135="ml")),"AB",""))))))</f>
        <v/>
      </c>
      <c r="DJ135" s="65" t="str">
        <f t="shared" ref="DJ135:DJ198" si="391">IF(OR($B135="NSO",$B135="",DD135=""),"",IF(OR(DI135="AB",DD135="ab"),"AB",IF(DD135="ML","RE",IF(DD135&lt;20%*$DD$6,"F",IF(AND(DE135&gt;=36%*DH135,DD135&gt;=20),"P",IF(AND(DE135&gt;=34%*DH135,DG135=0,DD135&gt;=20),"G2",IF(AND(DE135&gt;=31%*DH135,DG135=0,DD135&gt;=20),"G1",IF(DE135&gt;=25%*DH135,"S","F"))))))))</f>
        <v/>
      </c>
      <c r="DK135" s="65" t="str">
        <f t="shared" ref="DK135:DK198" si="392">IF(OR(DJ135="",DJ135=0,DJ135="S",DJ135="RE",DJ135="F",DJ135="AB"),DJ135,IF(DE135&gt;=75%*DH135,"D",IF(DE135&gt;=60%*DH135,"I",IF(DE135&gt;=48%*DH135,"II",IF(DE135&gt;=36%*DH135,"III",DJ135)))))</f>
        <v/>
      </c>
      <c r="DL135" s="97" t="str">
        <f t="shared" si="264"/>
        <v/>
      </c>
      <c r="DM135" s="97" t="str">
        <f t="shared" si="265"/>
        <v/>
      </c>
      <c r="DN135" s="97" t="str">
        <f t="shared" si="266"/>
        <v/>
      </c>
      <c r="DO135" s="97" t="str">
        <f t="shared" si="267"/>
        <v/>
      </c>
      <c r="DP135" s="97" t="str">
        <f t="shared" si="268"/>
        <v/>
      </c>
      <c r="DQ135" s="97" t="str">
        <f t="shared" si="269"/>
        <v/>
      </c>
      <c r="DR135" s="97" t="str">
        <f t="shared" si="270"/>
        <v/>
      </c>
      <c r="DS135" s="98">
        <f t="shared" si="271"/>
        <v>0</v>
      </c>
      <c r="DT135" s="98">
        <f t="shared" si="272"/>
        <v>0</v>
      </c>
      <c r="DU135" s="98">
        <f t="shared" si="273"/>
        <v>0</v>
      </c>
      <c r="DV135" s="98">
        <f t="shared" si="274"/>
        <v>0</v>
      </c>
      <c r="DW135" s="98">
        <f t="shared" si="275"/>
        <v>0</v>
      </c>
      <c r="DX135" s="98" t="str">
        <f t="shared" si="276"/>
        <v/>
      </c>
      <c r="DY135" s="99" t="str">
        <f t="shared" si="277"/>
        <v/>
      </c>
      <c r="DZ135" s="74" t="str">
        <f>IF('Marks Entry'!AY135="","",'Marks Entry'!AY135)</f>
        <v/>
      </c>
      <c r="EA135" s="74" t="str">
        <f>IF('Marks Entry'!AZ135="","",'Marks Entry'!AZ135)</f>
        <v/>
      </c>
      <c r="EB135" s="74" t="str">
        <f>IF('Marks Entry'!BA135="","",'Marks Entry'!BA135)</f>
        <v/>
      </c>
      <c r="EC135" s="527" t="str">
        <f t="shared" ref="EC135:EC198" si="393">IF(AND(DZ135="",EA135="",EB135=""),"",SUM(DZ135:EB135))</f>
        <v/>
      </c>
      <c r="ED135" s="74" t="str">
        <f>IF('Marks Entry'!BB135="","",'Marks Entry'!BB135)</f>
        <v/>
      </c>
      <c r="EE135" s="528" t="str">
        <f t="shared" ref="EE135:EE198" si="394">IF(AND(EC135="",ED135=""),"",SUM(EC135,ED135))</f>
        <v/>
      </c>
      <c r="EF135" s="74" t="str">
        <f>IF('Marks Entry'!BC135="","",'Marks Entry'!BC135)</f>
        <v/>
      </c>
      <c r="EG135" s="530" t="str">
        <f t="shared" ref="EG135:EG198" si="395">IF(AND(EF135="",EE135=""),"",SUM(EE135,EF135))</f>
        <v/>
      </c>
      <c r="EH135" s="368" t="str">
        <f t="shared" si="278"/>
        <v/>
      </c>
      <c r="EI135" s="65">
        <f t="shared" si="279"/>
        <v>0</v>
      </c>
      <c r="EJ135" s="65">
        <f t="shared" si="280"/>
        <v>0</v>
      </c>
      <c r="EK135" s="66" t="str">
        <f t="shared" si="281"/>
        <v/>
      </c>
      <c r="EL135" s="74" t="str">
        <f>IF('Marks Entry'!BD135="","",'Marks Entry'!BD135)</f>
        <v/>
      </c>
      <c r="EM135" s="74" t="str">
        <f>IF('Marks Entry'!BE135="","",'Marks Entry'!BE135)</f>
        <v/>
      </c>
      <c r="EN135" s="74" t="str">
        <f>IF('Marks Entry'!BF135="","",'Marks Entry'!BF135)</f>
        <v/>
      </c>
      <c r="EO135" s="527" t="str">
        <f t="shared" ref="EO135:EO198" si="396">IF(AND(EL135="",EM135="",EN135=""),"",SUM(EL135:EN135))</f>
        <v/>
      </c>
      <c r="EP135" s="74" t="str">
        <f>IF('Marks Entry'!BG135="","",'Marks Entry'!BG135)</f>
        <v/>
      </c>
      <c r="EQ135" s="74" t="str">
        <f>IF('Marks Entry'!BH135="","",'Marks Entry'!BH135)</f>
        <v/>
      </c>
      <c r="ER135" s="528" t="str">
        <f t="shared" ref="ER135:ER198" si="397">IF(AND(EP135="",EQ135=""),"",SUM(EP135,EQ135))</f>
        <v/>
      </c>
      <c r="ES135" s="529" t="str">
        <f t="shared" ref="ES135:ES198" si="398">IF(AND(EO135="",ER135=""),"",SUM(EO135+ER135))</f>
        <v/>
      </c>
      <c r="ET135" s="74" t="str">
        <f>IF('Marks Entry'!BI135="","",'Marks Entry'!BI135)</f>
        <v/>
      </c>
      <c r="EU135" s="74" t="str">
        <f>IF('Marks Entry'!BJ135="","",'Marks Entry'!BJ135)</f>
        <v/>
      </c>
      <c r="EV135" s="528" t="str">
        <f t="shared" ref="EV135:EV198" si="399">IF(AND(ET135="",EU135=""),"",SUM(ET135,EU135))</f>
        <v/>
      </c>
      <c r="EW135" s="530" t="str">
        <f t="shared" ref="EW135:EW198" si="400">IF(AND(ES135="",EV135=""),"",SUM(ES135,EV135))</f>
        <v/>
      </c>
      <c r="EX135" s="368" t="str">
        <f t="shared" si="282"/>
        <v/>
      </c>
      <c r="EY135" s="65">
        <f t="shared" si="283"/>
        <v>0</v>
      </c>
      <c r="EZ135" s="65">
        <f t="shared" si="284"/>
        <v>0</v>
      </c>
      <c r="FA135" s="66" t="str">
        <f t="shared" si="285"/>
        <v/>
      </c>
      <c r="FB135" s="74" t="str">
        <f>IF('Marks Entry'!BK135="","",'Marks Entry'!BK135)</f>
        <v/>
      </c>
      <c r="FC135" s="74" t="str">
        <f>IF('Marks Entry'!BL135="","",'Marks Entry'!BL135)</f>
        <v/>
      </c>
      <c r="FD135" s="74" t="str">
        <f>IF('Marks Entry'!BM135="","",'Marks Entry'!BM135)</f>
        <v/>
      </c>
      <c r="FE135" s="74" t="str">
        <f>IF('Marks Entry'!BN135="","",'Marks Entry'!BN135)</f>
        <v/>
      </c>
      <c r="FF135" s="74" t="str">
        <f>IF('Marks Entry'!BO135="","",'Marks Entry'!BO135)</f>
        <v/>
      </c>
      <c r="FG135" s="74" t="str">
        <f>IF('Marks Entry'!BP135="","",'Marks Entry'!BP135)</f>
        <v/>
      </c>
      <c r="FH135" s="527" t="str">
        <f t="shared" ref="FH135:FH198" si="401">IF(AND(FB135="",FC135="",FE135="",FF135="",FG135=""),"",SUM(FB135:FG135))</f>
        <v/>
      </c>
      <c r="FI135" s="74" t="str">
        <f>IF('Marks Entry'!BQ135="","",'Marks Entry'!BQ135)</f>
        <v/>
      </c>
      <c r="FJ135" s="74" t="str">
        <f>IF('Marks Entry'!BR135="","",'Marks Entry'!BR135)</f>
        <v/>
      </c>
      <c r="FK135" s="528" t="str">
        <f t="shared" ref="FK135:FK198" si="402">IF(AND(FI135="",FJ135=""),"",SUM(FI135,FJ135))</f>
        <v/>
      </c>
      <c r="FL135" s="529" t="str">
        <f t="shared" ref="FL135:FL198" si="403">IF(AND(FH135="",FK135=""),"",SUM(FH135+FK135))</f>
        <v/>
      </c>
      <c r="FM135" s="74" t="str">
        <f>IF('Marks Entry'!BS135="","",'Marks Entry'!BS135)</f>
        <v/>
      </c>
      <c r="FN135" s="74" t="str">
        <f>IF('Marks Entry'!BT135="","",'Marks Entry'!BT135)</f>
        <v/>
      </c>
      <c r="FO135" s="528" t="str">
        <f t="shared" ref="FO135:FO198" si="404">IF(AND(FM135="",FN135=""),"",SUM(FM135,FN135))</f>
        <v/>
      </c>
      <c r="FP135" s="530" t="str">
        <f t="shared" ref="FP135:FP198" si="405">IF(AND(FL135="",FO135=""),"",SUM(FL135,FO135))</f>
        <v/>
      </c>
      <c r="FQ135" s="368" t="str">
        <f t="shared" si="286"/>
        <v/>
      </c>
      <c r="FR135" s="65">
        <f t="shared" si="287"/>
        <v>0</v>
      </c>
      <c r="FS135" s="65">
        <f t="shared" si="288"/>
        <v>0</v>
      </c>
      <c r="FT135" s="66" t="str">
        <f t="shared" si="289"/>
        <v/>
      </c>
      <c r="FU135" s="74" t="str">
        <f>IF('Marks Entry'!BU135="","",'Marks Entry'!BU135)</f>
        <v/>
      </c>
      <c r="FV135" s="74" t="str">
        <f>IF('Marks Entry'!BV135="","",'Marks Entry'!BV135)</f>
        <v/>
      </c>
      <c r="FW135" s="74" t="str">
        <f>IF('Marks Entry'!BW135="","",'Marks Entry'!BW135)</f>
        <v/>
      </c>
      <c r="FX135" s="75" t="str">
        <f t="shared" ref="FX135:FX198" si="406">IF(AND(FU135="",FV135="",FW135=""),"",SUM(FU135,FV135,FW135))</f>
        <v/>
      </c>
      <c r="FY135" s="368" t="str">
        <f t="shared" si="290"/>
        <v/>
      </c>
      <c r="FZ135" s="65">
        <f t="shared" si="291"/>
        <v>0</v>
      </c>
      <c r="GA135" s="66">
        <f t="shared" si="292"/>
        <v>0</v>
      </c>
      <c r="GB135" s="66" t="str">
        <f t="shared" si="293"/>
        <v/>
      </c>
      <c r="GC135" s="74" t="str">
        <f>IF('Marks Entry'!BX135="","",'Marks Entry'!BX135)</f>
        <v/>
      </c>
      <c r="GD135" s="74" t="str">
        <f>IF('Marks Entry'!BY135="","",'Marks Entry'!BY135)</f>
        <v/>
      </c>
      <c r="GE135" s="74" t="str">
        <f>IF('Marks Entry'!BZ135="","",'Marks Entry'!BZ135)</f>
        <v/>
      </c>
      <c r="GF135" s="75" t="str">
        <f t="shared" si="294"/>
        <v/>
      </c>
      <c r="GG135" s="368" t="str">
        <f t="shared" si="295"/>
        <v/>
      </c>
      <c r="GH135" s="65">
        <f t="shared" si="296"/>
        <v>0</v>
      </c>
      <c r="GI135" s="66">
        <f t="shared" si="297"/>
        <v>0</v>
      </c>
      <c r="GJ135" s="66" t="str">
        <f t="shared" si="298"/>
        <v/>
      </c>
      <c r="GK135" s="100" t="str">
        <f>IF(AND(F135="",B135=""),"",IF('Student DATA Entry'!M132="","",'Student DATA Entry'!M132))</f>
        <v/>
      </c>
      <c r="GL135" s="101" t="str">
        <f>IF(AND(B135="",F135=""),"",IF('Student DATA Entry'!N132="","",'Student DATA Entry'!N132))</f>
        <v/>
      </c>
      <c r="GM135" s="581" t="str">
        <f t="shared" si="299"/>
        <v/>
      </c>
      <c r="GN135" s="94" t="str">
        <f t="shared" si="300"/>
        <v/>
      </c>
      <c r="GO135" s="94" t="str">
        <f t="shared" si="301"/>
        <v/>
      </c>
      <c r="GP135" s="102" t="str">
        <f t="shared" ref="GP135:GP166" si="407">IF(GN135="G",ROUNDUP(36%*U135-R135,0),"")</f>
        <v/>
      </c>
      <c r="GQ135" s="94" t="str">
        <f t="shared" si="302"/>
        <v/>
      </c>
      <c r="GR135" s="103" t="str">
        <f t="shared" si="303"/>
        <v/>
      </c>
      <c r="GS135" s="102" t="str">
        <f t="shared" ref="GS135:GS166" si="408">IF(GQ135="G",ROUNDUP(36%*AI135-AF135,0),"")</f>
        <v/>
      </c>
      <c r="GT135" s="104" t="str">
        <f t="shared" si="304"/>
        <v/>
      </c>
      <c r="GU135" s="94" t="str">
        <f>IF('Marks Entry'!V135=1,GT135,"")</f>
        <v/>
      </c>
      <c r="GV135" s="94" t="str">
        <f>IF('Marks Entry'!V135=2,GT135,"")</f>
        <v/>
      </c>
      <c r="GW135" s="94" t="str">
        <f>IF('Marks Entry'!V135=3,GT135,"")</f>
        <v/>
      </c>
      <c r="GX135" s="94" t="str">
        <f>IF('Marks Entry'!V135=4,GT135,"")</f>
        <v/>
      </c>
      <c r="GY135" s="94" t="str">
        <f>IF('Marks Entry'!V135=5,GT135,"")</f>
        <v/>
      </c>
      <c r="GZ135" s="94" t="str">
        <f t="shared" si="305"/>
        <v/>
      </c>
      <c r="HA135" s="105" t="str">
        <f t="shared" ref="HA135:HA166" si="409">IF(GT135="G",ROUNDUP(36%*AX135-AU135,0),"")</f>
        <v/>
      </c>
      <c r="HB135" s="94" t="str">
        <f t="shared" si="306"/>
        <v/>
      </c>
      <c r="HC135" s="94" t="str">
        <f t="shared" si="307"/>
        <v/>
      </c>
      <c r="HD135" s="105" t="str">
        <f t="shared" ref="HD135:HD166" si="410">IF(HB135="G",ROUNDUP(36%*BL135-BI135,0),"")</f>
        <v/>
      </c>
      <c r="HE135" s="94" t="str">
        <f t="shared" si="308"/>
        <v/>
      </c>
      <c r="HF135" s="94" t="str">
        <f t="shared" si="309"/>
        <v/>
      </c>
      <c r="HG135" s="105" t="str">
        <f t="shared" ref="HG135:HG166" si="411">IF(HE135="G",ROUNDUP(36%*BZ135-BW135,0),"")</f>
        <v/>
      </c>
      <c r="HH135" s="94" t="str">
        <f t="shared" si="310"/>
        <v/>
      </c>
      <c r="HI135" s="94" t="str">
        <f t="shared" si="311"/>
        <v/>
      </c>
      <c r="HJ135" s="105" t="str">
        <f t="shared" ref="HJ135:HJ166" si="412">IF(HH135="G",ROUNDUP(36%*CO135-CL135,0),"")</f>
        <v/>
      </c>
      <c r="HK135" s="94" t="str">
        <f t="shared" si="312"/>
        <v/>
      </c>
      <c r="HL135" s="94" t="str">
        <f t="shared" si="313"/>
        <v/>
      </c>
      <c r="HM135" s="105" t="str">
        <f t="shared" ref="HM135:HM166" si="413">IF(HK135="G",ROUNDUP(36%*DH135-DE135,0),"")</f>
        <v/>
      </c>
      <c r="HN135" s="367" t="str">
        <f t="shared" si="314"/>
        <v xml:space="preserve">      </v>
      </c>
      <c r="HO135" s="418" t="str">
        <f t="shared" ref="HO135:HO166" si="414">IF(COUNTIF(DL135:DR135,"F")&gt;0,"",CONCATENATE(IF(GN135="S",$GN$5,"")," ",IF(GQ135="S",$GQ$5,"")," ",IF(GU135="S",$GU$5,IF(GV135="S",$GV$5,IF(GW135="S",$GW$5,IF(GX135="S",$GX$5,IF(GY135="S",$GY$5,"")))))," ",IF(HB135="S",$HB$5,"")," ",IF(HE135="S",$HE$5,"")," ",IF(HH135="S",$HH$5,"")," ",IF(HK135="S",$HK$5,"")))</f>
        <v xml:space="preserve">      </v>
      </c>
      <c r="HP135" s="367" t="str">
        <f t="shared" si="315"/>
        <v xml:space="preserve">      </v>
      </c>
      <c r="HQ135" s="107" t="str">
        <f t="shared" si="316"/>
        <v xml:space="preserve">      </v>
      </c>
      <c r="HR135" s="366" t="str">
        <f t="shared" si="317"/>
        <v xml:space="preserve">      </v>
      </c>
      <c r="HS135" s="544" t="str">
        <f t="shared" ref="HS135:HS166" si="415">IF(B135="NSO","NSO",IF(AND(OR(DY135="PASS",DY135="BY GRACE PASS",DY135="RE-EXAM"),DX135="F"),"FAIL",IF(AND(OR(DY135="PASS",DY135="BY GRACE PASS"),DX135="RE"),"RE-EXAM",DY135)))</f>
        <v/>
      </c>
      <c r="HT135" s="542" t="str">
        <f t="shared" si="318"/>
        <v/>
      </c>
      <c r="HU135" s="541" t="str">
        <f t="shared" si="319"/>
        <v/>
      </c>
      <c r="HV135" s="540" t="str">
        <f t="shared" si="320"/>
        <v/>
      </c>
      <c r="HW135" s="537" t="str">
        <f t="shared" si="321"/>
        <v/>
      </c>
      <c r="HX135" s="539" t="str">
        <f t="shared" si="322"/>
        <v/>
      </c>
      <c r="HY135" s="553" t="str">
        <f>IFERROR(IF(OR(HS135="SUPPLEMENTARY",HS135="RE-EXAM"),'Supp. Result Entry'!AQ133,""),"")</f>
        <v/>
      </c>
      <c r="HZ135" s="538" t="str">
        <f t="shared" si="323"/>
        <v/>
      </c>
      <c r="IA135" s="415" t="str">
        <f t="shared" si="324"/>
        <v/>
      </c>
      <c r="IB135" s="415" t="str">
        <f>IF(AND(HZ135="",IA135=""),"",IF(OR(HS135="SUPPLEMENTARY",HS135="RE-EXAM"),'Supp. Result Entry'!AQ133,HS135))</f>
        <v/>
      </c>
      <c r="IC135" s="87"/>
      <c r="IS135" s="109" t="str">
        <f>IF('Supp. Result Entry'!T133="","",'Supp. Result Entry'!$T$4)</f>
        <v/>
      </c>
      <c r="IT135" s="110" t="str">
        <f>IF('Supp. Result Entry'!W133="","",'Supp. Result Entry'!$W$4)</f>
        <v/>
      </c>
      <c r="IU135" s="110" t="str">
        <f>IF('Supp. Result Entry'!Z133="","",'Supp. Result Entry'!$Z$4)</f>
        <v/>
      </c>
      <c r="IV135" s="110" t="str">
        <f>IF('Supp. Result Entry'!AC133="","",'Supp. Result Entry'!$AC$4)</f>
        <v/>
      </c>
      <c r="IW135" s="110" t="str">
        <f>IF('Supp. Result Entry'!AF133="","",'Supp. Result Entry'!$AF$4)</f>
        <v/>
      </c>
      <c r="IX135" s="110" t="str">
        <f>IF('Supp. Result Entry'!AI133="","",'Supp. Result Entry'!$AI$4)</f>
        <v/>
      </c>
      <c r="IY135" s="110" t="str">
        <f>IF('Supp. Result Entry'!AI133="","",'Supp. Result Entry'!$AL$4)</f>
        <v/>
      </c>
      <c r="IZ135" s="110" t="str">
        <f>IF('Supp. Result Entry'!U133="","",'Supp. Result Entry'!U133)</f>
        <v/>
      </c>
      <c r="JA135" s="110" t="str">
        <f>IF('Supp. Result Entry'!X133="","",'Supp. Result Entry'!X133)</f>
        <v/>
      </c>
      <c r="JB135" s="110" t="str">
        <f>IF('Supp. Result Entry'!AA133="","",'Supp. Result Entry'!AA133)</f>
        <v/>
      </c>
      <c r="JC135" s="110" t="str">
        <f>IF('Supp. Result Entry'!AD133="","",'Supp. Result Entry'!AD133)</f>
        <v/>
      </c>
      <c r="JD135" s="110" t="str">
        <f>IF('Supp. Result Entry'!AG133="","",'Supp. Result Entry'!AG133)</f>
        <v/>
      </c>
      <c r="JE135" s="110" t="str">
        <f>IF('Supp. Result Entry'!AJ133="","",'Supp. Result Entry'!AJ133)</f>
        <v/>
      </c>
      <c r="JF135" s="110" t="str">
        <f>IF('Supp. Result Entry'!AM133="","",'Supp. Result Entry'!AM133)</f>
        <v/>
      </c>
      <c r="JG135" s="110" t="str">
        <f>IF('Supp. Result Entry'!V133="","",'Supp. Result Entry'!V133)</f>
        <v/>
      </c>
      <c r="JH135" s="110" t="str">
        <f>IF('Supp. Result Entry'!Y133="","",'Supp. Result Entry'!Y133)</f>
        <v/>
      </c>
      <c r="JI135" s="110" t="str">
        <f>IF('Supp. Result Entry'!AB133="","",'Supp. Result Entry'!AB133)</f>
        <v/>
      </c>
      <c r="JJ135" s="110" t="str">
        <f>IF('Supp. Result Entry'!AE133="","",'Supp. Result Entry'!AE133)</f>
        <v/>
      </c>
      <c r="JK135" s="110" t="str">
        <f>IF('Supp. Result Entry'!AH133="","",'Supp. Result Entry'!AH133)</f>
        <v/>
      </c>
      <c r="JL135" s="110" t="str">
        <f>IF('Supp. Result Entry'!AK133="","",'Supp. Result Entry'!AK133)</f>
        <v/>
      </c>
      <c r="JM135" s="110" t="str">
        <f>IF('Supp. Result Entry'!AN133="","",'Supp. Result Entry'!AN133)</f>
        <v/>
      </c>
      <c r="JN135" s="110">
        <f>COUNTIF('Supp. Result Entry'!K133:Q133,"S")</f>
        <v>0</v>
      </c>
      <c r="JO135" s="110">
        <f t="shared" ref="JO135:JO198" si="416">COUNTIF(GN135:HM135,"RE")+COUNTIF(GN135:HM135,"REP")</f>
        <v>0</v>
      </c>
      <c r="JP135" s="110">
        <f t="shared" si="325"/>
        <v>0</v>
      </c>
      <c r="JQ135" s="110" t="str">
        <f t="shared" ref="JQ135:JQ198" si="417">IF(OR(JN135=0,JN135&lt;JP135),"",IF(OR(GN135="RE",GN135="REP"),SUM(R135,IZ135),IF(GN135="S",IZ135,R135)))</f>
        <v/>
      </c>
      <c r="JR135" s="110" t="str">
        <f t="shared" ref="JR135:JR198" si="418">IF(OR(JN135=0,JN135&lt;JP135),"",IF(OR(GQ135="RE",GQ135="REP"),SUM(AF135,JA135),IF(GQ135="S",JA135,AF135)))</f>
        <v/>
      </c>
      <c r="JS135" s="110" t="str">
        <f t="shared" ref="JS135:JS198" si="419">IF(OR(JN135=0,JN135&lt;JP135),"",IF(OR(GT135="RE",GT135="REP"),SUM(AU135,JB135),IF(GT135="S",JB135,AU135)))</f>
        <v/>
      </c>
      <c r="JT135" s="110" t="str">
        <f t="shared" ref="JT135:JT198" si="420">IF(OR(JN135=0,JN135&lt;JP135),"",IF(OR(HB135="RE",HB135="REP"),SUM(BI135,JC135),IF(HB135="S",JC135,BI135)))</f>
        <v/>
      </c>
      <c r="JU135" s="110" t="str">
        <f t="shared" ref="JU135:JU198" si="421">IF(OR(JN135=0,JN135&lt;JP135),"",IF(OR(HE135="RE",HE135="REP"),SUM(BW135,JD135),IF(HE135="S",JD135,BW135)))</f>
        <v/>
      </c>
      <c r="JV135" s="110" t="str">
        <f t="shared" ref="JV135:JV198" si="422">IF(OR(JN135=0,JN135&lt;JP135),"",IF(OR(HH135="RE",HH135="REP"),SUM(CL135,JE135),IF(HH135="S",JE135,CL135)))</f>
        <v/>
      </c>
      <c r="JW135" s="110" t="str">
        <f t="shared" ref="JW135:JW198" si="423">IF(OR(JN135=0,JN135&lt;JP135),"",IF(OR(HK135="RE",HK135="REP"),SUM(DE135,JF135),IF(HK135="S",JF135,DE135)))</f>
        <v/>
      </c>
      <c r="JX135" s="110" t="str">
        <f t="shared" si="326"/>
        <v/>
      </c>
      <c r="JY135" s="110" t="str">
        <f t="shared" si="327"/>
        <v/>
      </c>
      <c r="JZ135" s="110" t="str">
        <f t="shared" ref="JZ135:JZ198" si="424">IF(OR(JN135=0,JN135&lt;JP135),"",SUM(($R$6+$AF$6+$AU$6+$BI$6+$BW$6+$CL$6))-(JP135*100))</f>
        <v/>
      </c>
      <c r="KA135" s="108" t="str">
        <f t="shared" si="328"/>
        <v/>
      </c>
    </row>
    <row r="136" spans="1:287" s="108" customFormat="1" ht="21.95" customHeight="1">
      <c r="A136" s="89">
        <v>130</v>
      </c>
      <c r="B136" s="90" t="str">
        <f>IF('Marks Entry'!B136="","",'Marks Entry'!B136)</f>
        <v/>
      </c>
      <c r="C136" s="94" t="str">
        <f>IF('Marks Entry'!D136="","",'Marks Entry'!D136)</f>
        <v/>
      </c>
      <c r="D136" s="91" t="str">
        <f>IF('Marks Entry'!E136="","",'Marks Entry'!E136)</f>
        <v/>
      </c>
      <c r="E136" s="92" t="str">
        <f>IF('Marks Entry'!F136="","",'Marks Entry'!F136)</f>
        <v/>
      </c>
      <c r="F136" s="93" t="str">
        <f>IF('Marks Entry'!G136="","",'Marks Entry'!G136)</f>
        <v/>
      </c>
      <c r="G136" s="93" t="str">
        <f>IF('Marks Entry'!H136="","",'Marks Entry'!H136)</f>
        <v/>
      </c>
      <c r="H136" s="93" t="str">
        <f>IF('Marks Entry'!I136="","",'Marks Entry'!I136)</f>
        <v/>
      </c>
      <c r="I136" s="94" t="str">
        <f>IF('Marks Entry'!J136="","",'Marks Entry'!J136)</f>
        <v/>
      </c>
      <c r="J136" s="95" t="str">
        <f>IF('Marks Entry'!K136="","",'Marks Entry'!K136)</f>
        <v/>
      </c>
      <c r="K136" s="68" t="str">
        <f>IF('Marks Entry'!L136="","",'Marks Entry'!L136)</f>
        <v/>
      </c>
      <c r="L136" s="68" t="str">
        <f>IF('Marks Entry'!M136="","",'Marks Entry'!M136)</f>
        <v/>
      </c>
      <c r="M136" s="68" t="str">
        <f>IF('Marks Entry'!N136="","",'Marks Entry'!N136)</f>
        <v/>
      </c>
      <c r="N136" s="514" t="str">
        <f t="shared" ref="N136:N199" si="425">IF(AND(K136="",L136="",M136=""),"",IF(AND(K136="AB",L136="AB",M136="AB"),"AB",IF(AND(K136="ML",L136="ML",M136="ML"),"ML",SUM(K136:M136))))</f>
        <v/>
      </c>
      <c r="O136" s="68" t="str">
        <f>IF('Marks Entry'!O136="","",'Marks Entry'!O136)</f>
        <v/>
      </c>
      <c r="P136" s="515" t="str">
        <f t="shared" ref="P136:P199" si="426">IF(AND(N136="",O136=""),"",SUM(N136,O136))</f>
        <v/>
      </c>
      <c r="Q136" s="68" t="str">
        <f>IF('Marks Entry'!P136="","",'Marks Entry'!P136)</f>
        <v/>
      </c>
      <c r="R136" s="96" t="str">
        <f t="shared" ref="R136:R199" si="427">IF(AND(P136="",Q136=""),"",SUM(Q136,P136))</f>
        <v/>
      </c>
      <c r="S136" s="65">
        <f t="shared" ref="S136:S199" si="428">COUNTIF(K136:M136,"NA")*$K$6</f>
        <v>0</v>
      </c>
      <c r="T136" s="65">
        <f t="shared" ref="T136:T199" si="429">(COUNTIF(K136:M136,"ML")*$K$6)+(COUNTIF(O136,"ML")*$O$6)+(COUNTIF(Q136,"ML")*$Q$6)</f>
        <v>0</v>
      </c>
      <c r="U136" s="66" t="str">
        <f t="shared" si="339"/>
        <v/>
      </c>
      <c r="V136" s="65" t="str">
        <f t="shared" si="340"/>
        <v/>
      </c>
      <c r="W136" s="65" t="str">
        <f t="shared" ref="W136:W199" si="430">IF(OR($B136="NSO",$B136="",Q136=""),"",IF(OR(V136="AB",Q136="ab"),"AB",IF(Q136="ML","RE",IF(Q136&lt;20%*$Q$6,"F",IF(AND(R136&gt;=36%*U136,Q136&gt;=20%*$Q$6),"P",IF(AND(R136&gt;=34%*U136,T136=0,Q136&gt;=20%*$Q$6),"G2",IF(AND(R136&gt;=31%*U136,T136=0,Q136&gt;=20%*$Q$6),"G1",IF(R136&gt;=25%*U136,"S","F"))))))))</f>
        <v/>
      </c>
      <c r="X136" s="65" t="str">
        <f t="shared" si="341"/>
        <v/>
      </c>
      <c r="Y136" s="68" t="str">
        <f>IF('Marks Entry'!Q136="","",'Marks Entry'!Q136)</f>
        <v/>
      </c>
      <c r="Z136" s="68" t="str">
        <f>IF('Marks Entry'!R136="","",'Marks Entry'!R136)</f>
        <v/>
      </c>
      <c r="AA136" s="68" t="str">
        <f>IF('Marks Entry'!S136="","",'Marks Entry'!S136)</f>
        <v/>
      </c>
      <c r="AB136" s="514" t="str">
        <f t="shared" si="342"/>
        <v/>
      </c>
      <c r="AC136" s="68" t="str">
        <f>IF('Marks Entry'!T136="","",'Marks Entry'!T136)</f>
        <v/>
      </c>
      <c r="AD136" s="515" t="str">
        <f t="shared" si="343"/>
        <v/>
      </c>
      <c r="AE136" s="68" t="str">
        <f>IF('Marks Entry'!U136="","",'Marks Entry'!U136)</f>
        <v/>
      </c>
      <c r="AF136" s="96" t="str">
        <f t="shared" si="344"/>
        <v/>
      </c>
      <c r="AG136" s="65">
        <f t="shared" si="345"/>
        <v>0</v>
      </c>
      <c r="AH136" s="65">
        <f t="shared" si="346"/>
        <v>0</v>
      </c>
      <c r="AI136" s="66" t="str">
        <f t="shared" si="347"/>
        <v/>
      </c>
      <c r="AJ136" s="65" t="str">
        <f t="shared" si="348"/>
        <v/>
      </c>
      <c r="AK136" s="65" t="str">
        <f t="shared" si="349"/>
        <v/>
      </c>
      <c r="AL136" s="65" t="str">
        <f t="shared" si="350"/>
        <v/>
      </c>
      <c r="AM136" s="524" t="str">
        <f>IF('Marks Entry'!V136="","",IF('Marks Entry'!V136=1,'School Profile'!$I$9,IF('Marks Entry'!V136=2,'School Profile'!$I$10,IF('Marks Entry'!V136=3,'School Profile'!$I$11,IF('Marks Entry'!V136=4,'School Profile'!$I$12,IF('Marks Entry'!V136=5,'School Profile'!$I$13,IF('Marks Entry'!V136=6,'School Profile'!$I$14,"")))))))</f>
        <v/>
      </c>
      <c r="AN136" s="68" t="str">
        <f>IF('Marks Entry'!W136="","",'Marks Entry'!W136)</f>
        <v/>
      </c>
      <c r="AO136" s="68" t="str">
        <f>IF('Marks Entry'!X136="","",'Marks Entry'!X136)</f>
        <v/>
      </c>
      <c r="AP136" s="68" t="str">
        <f>IF('Marks Entry'!Y136="","",'Marks Entry'!Y136)</f>
        <v/>
      </c>
      <c r="AQ136" s="514" t="str">
        <f t="shared" si="351"/>
        <v/>
      </c>
      <c r="AR136" s="68" t="str">
        <f>IF('Marks Entry'!Z136="","",'Marks Entry'!Z136)</f>
        <v/>
      </c>
      <c r="AS136" s="515" t="str">
        <f t="shared" si="352"/>
        <v/>
      </c>
      <c r="AT136" s="68" t="str">
        <f>IF('Marks Entry'!AA136="","",'Marks Entry'!AA136)</f>
        <v/>
      </c>
      <c r="AU136" s="96" t="str">
        <f t="shared" si="353"/>
        <v/>
      </c>
      <c r="AV136" s="65">
        <f t="shared" si="354"/>
        <v>0</v>
      </c>
      <c r="AW136" s="65">
        <f t="shared" si="355"/>
        <v>0</v>
      </c>
      <c r="AX136" s="66" t="str">
        <f t="shared" si="356"/>
        <v/>
      </c>
      <c r="AY136" s="65" t="str">
        <f t="shared" si="357"/>
        <v/>
      </c>
      <c r="AZ136" s="65" t="str">
        <f t="shared" si="358"/>
        <v/>
      </c>
      <c r="BA136" s="65" t="str">
        <f t="shared" si="359"/>
        <v/>
      </c>
      <c r="BB136" s="68" t="str">
        <f>IF('Marks Entry'!AB136="","",'Marks Entry'!AB136)</f>
        <v/>
      </c>
      <c r="BC136" s="68" t="str">
        <f>IF('Marks Entry'!AC136="","",'Marks Entry'!AC136)</f>
        <v/>
      </c>
      <c r="BD136" s="68" t="str">
        <f>IF('Marks Entry'!AD136="","",'Marks Entry'!AD136)</f>
        <v/>
      </c>
      <c r="BE136" s="514" t="str">
        <f t="shared" si="360"/>
        <v/>
      </c>
      <c r="BF136" s="68" t="str">
        <f>IF('Marks Entry'!AE136="","",'Marks Entry'!AE136)</f>
        <v/>
      </c>
      <c r="BG136" s="515" t="str">
        <f t="shared" si="361"/>
        <v/>
      </c>
      <c r="BH136" s="68" t="str">
        <f>IF('Marks Entry'!AF136="","",'Marks Entry'!AF136)</f>
        <v/>
      </c>
      <c r="BI136" s="96" t="str">
        <f t="shared" si="362"/>
        <v/>
      </c>
      <c r="BJ136" s="65">
        <f t="shared" si="363"/>
        <v>0</v>
      </c>
      <c r="BK136" s="65">
        <f t="shared" ref="BK136:BK199" si="431">(COUNTIF(BB136:BD136,"ML")*10)+(COUNTIF(BF136,"ML")*$BF$6)+(COUNTIF(BH136,"ML")*$BH$6)</f>
        <v>0</v>
      </c>
      <c r="BL136" s="66" t="str">
        <f t="shared" si="364"/>
        <v/>
      </c>
      <c r="BM136" s="65" t="str">
        <f t="shared" si="365"/>
        <v/>
      </c>
      <c r="BN136" s="65" t="str">
        <f t="shared" si="366"/>
        <v/>
      </c>
      <c r="BO136" s="65" t="str">
        <f t="shared" si="367"/>
        <v/>
      </c>
      <c r="BP136" s="68" t="str">
        <f>IF('Marks Entry'!AG136="","",'Marks Entry'!AG136)</f>
        <v/>
      </c>
      <c r="BQ136" s="68" t="str">
        <f>IF('Marks Entry'!AH136="","",'Marks Entry'!AH136)</f>
        <v/>
      </c>
      <c r="BR136" s="68" t="str">
        <f>IF('Marks Entry'!AI136="","",'Marks Entry'!AI136)</f>
        <v/>
      </c>
      <c r="BS136" s="514" t="str">
        <f t="shared" si="368"/>
        <v/>
      </c>
      <c r="BT136" s="68" t="str">
        <f>IF('Marks Entry'!AJ136="","",'Marks Entry'!AJ136)</f>
        <v/>
      </c>
      <c r="BU136" s="515" t="str">
        <f t="shared" si="369"/>
        <v/>
      </c>
      <c r="BV136" s="68" t="str">
        <f>IF('Marks Entry'!AK136="","",'Marks Entry'!AK136)</f>
        <v/>
      </c>
      <c r="BW136" s="96" t="str">
        <f t="shared" si="370"/>
        <v/>
      </c>
      <c r="BX136" s="65">
        <f t="shared" si="371"/>
        <v>0</v>
      </c>
      <c r="BY136" s="65">
        <f t="shared" si="372"/>
        <v>0</v>
      </c>
      <c r="BZ136" s="66" t="str">
        <f t="shared" si="373"/>
        <v/>
      </c>
      <c r="CA136" s="65" t="str">
        <f t="shared" si="374"/>
        <v/>
      </c>
      <c r="CB136" s="65" t="str">
        <f t="shared" si="375"/>
        <v/>
      </c>
      <c r="CC136" s="65" t="str">
        <f t="shared" si="376"/>
        <v/>
      </c>
      <c r="CD136" s="66">
        <f t="shared" si="377"/>
        <v>0</v>
      </c>
      <c r="CE136" s="68" t="str">
        <f>IF('Marks Entry'!AL136="","",'Marks Entry'!AL136)</f>
        <v/>
      </c>
      <c r="CF136" s="68" t="str">
        <f>IF('Marks Entry'!AM136="","",'Marks Entry'!AM136)</f>
        <v/>
      </c>
      <c r="CG136" s="68" t="str">
        <f>IF('Marks Entry'!AN136="","",'Marks Entry'!AN136)</f>
        <v/>
      </c>
      <c r="CH136" s="514" t="str">
        <f t="shared" si="378"/>
        <v/>
      </c>
      <c r="CI136" s="68" t="str">
        <f>IF('Marks Entry'!AO136="","",'Marks Entry'!AO136)</f>
        <v/>
      </c>
      <c r="CJ136" s="515" t="str">
        <f t="shared" si="379"/>
        <v/>
      </c>
      <c r="CK136" s="68" t="str">
        <f>IF('Marks Entry'!AP136="","",'Marks Entry'!AP136)</f>
        <v/>
      </c>
      <c r="CL136" s="96" t="str">
        <f t="shared" si="380"/>
        <v/>
      </c>
      <c r="CM136" s="65">
        <f t="shared" si="381"/>
        <v>0</v>
      </c>
      <c r="CN136" s="65">
        <f t="shared" si="382"/>
        <v>0</v>
      </c>
      <c r="CO136" s="66" t="str">
        <f t="shared" si="383"/>
        <v/>
      </c>
      <c r="CP136" s="65" t="str">
        <f t="shared" si="384"/>
        <v/>
      </c>
      <c r="CQ136" s="65" t="str">
        <f t="shared" si="385"/>
        <v/>
      </c>
      <c r="CR136" s="65" t="str">
        <f t="shared" si="386"/>
        <v/>
      </c>
      <c r="CS136" s="616" t="str">
        <f>IF('School Profile'!$D$20="NO","",IF('Marks Entry'!AQ136="","",IF('Marks Entry'!AQ136=1,'School Profile'!$I$29,IF('Marks Entry'!AQ136=2,'School Profile'!$I$30,IF('Marks Entry'!AQ136=3,'School Profile'!$I$31,IF('Marks Entry'!AQ136=4,'School Profile'!$I$32,IF('Marks Entry'!AQ136=5,'School Profile'!$I$33,IF('Marks Entry'!AQ136=6,'School Profile'!$I$34,IF('Marks Entry'!AQ136=7,'School Profile'!$I$35,IF('Marks Entry'!AQ136=8,'School Profile'!$I$36,IF('Marks Entry'!AQ136=9,'School Profile'!$I$37,IF('Marks Entry'!AQ136=10,'School Profile'!$I$38,IF('Marks Entry'!AQ136=11,'School Profile'!$I$39,"")))))))))))))</f>
        <v/>
      </c>
      <c r="CT136" s="68" t="str">
        <f>IF('School Profile'!$D$20="NO","",IF('Marks Entry'!AR136="","",'Marks Entry'!AR136))</f>
        <v/>
      </c>
      <c r="CU136" s="68" t="str">
        <f>IF('School Profile'!$D$20="NO","",IF('Marks Entry'!AS136="","",'Marks Entry'!AS136))</f>
        <v/>
      </c>
      <c r="CV136" s="68" t="str">
        <f>IF('School Profile'!$D$20="NO","",IF('Marks Entry'!AT136="","",'Marks Entry'!AT136))</f>
        <v/>
      </c>
      <c r="CW136" s="514" t="str">
        <f>IF('School Profile'!$D$20="NO","",IF(AND(CT136="",CU136="",CV136=""),"",SUM(CT136:CV136)))</f>
        <v/>
      </c>
      <c r="CX136" s="68" t="str">
        <f>IF('School Profile'!$D$20="NO","",IF('Marks Entry'!AU136="","",'Marks Entry'!AU136))</f>
        <v/>
      </c>
      <c r="CY136" s="68" t="str">
        <f>IF('School Profile'!$D$20="NO","",IF('Marks Entry'!AV136="","",'Marks Entry'!AV136))</f>
        <v/>
      </c>
      <c r="CZ136" s="515" t="str">
        <f>IF('School Profile'!$D$20="NO","",IF(AND(CX136="",CY136=""),"",SUM(CX136,CY136)))</f>
        <v/>
      </c>
      <c r="DA136" s="69" t="str">
        <f>IF('School Profile'!$D$20="NO","",IF(AND(CW136="",CZ136=""),"",SUM(CW136+CZ136)))</f>
        <v/>
      </c>
      <c r="DB136" s="68" t="str">
        <f>IF('School Profile'!$D$20="NO","",IF('Marks Entry'!AW136="","",'Marks Entry'!AW136))</f>
        <v/>
      </c>
      <c r="DC136" s="68" t="str">
        <f>IF('School Profile'!$D$20="NO","",IF('Marks Entry'!AX136="","",'Marks Entry'!AX136))</f>
        <v/>
      </c>
      <c r="DD136" s="515" t="str">
        <f>IF('School Profile'!$D$20="NO","",IF(AND(DB136="",DC136=""),"",SUM(DB136,DC136)))</f>
        <v/>
      </c>
      <c r="DE136" s="96" t="str">
        <f>IF('School Profile'!$D$20="NO","",IF(AND(DA136="",DD136=""),"",SUM(DA136,DD136)))</f>
        <v/>
      </c>
      <c r="DF136" s="532">
        <f t="shared" si="387"/>
        <v>0</v>
      </c>
      <c r="DG136" s="65">
        <f t="shared" si="388"/>
        <v>0</v>
      </c>
      <c r="DH136" s="66" t="str">
        <f t="shared" si="389"/>
        <v/>
      </c>
      <c r="DI136" s="65" t="str">
        <f t="shared" si="390"/>
        <v/>
      </c>
      <c r="DJ136" s="65" t="str">
        <f t="shared" si="391"/>
        <v/>
      </c>
      <c r="DK136" s="65" t="str">
        <f t="shared" si="392"/>
        <v/>
      </c>
      <c r="DL136" s="97" t="str">
        <f t="shared" ref="DL136:DL199" si="432">X136</f>
        <v/>
      </c>
      <c r="DM136" s="97" t="str">
        <f t="shared" ref="DM136:DM199" si="433">AL136</f>
        <v/>
      </c>
      <c r="DN136" s="97" t="str">
        <f t="shared" ref="DN136:DN199" si="434">BA136</f>
        <v/>
      </c>
      <c r="DO136" s="97" t="str">
        <f t="shared" ref="DO136:DO199" si="435">BO136</f>
        <v/>
      </c>
      <c r="DP136" s="97" t="str">
        <f t="shared" ref="DP136:DP199" si="436">CC136</f>
        <v/>
      </c>
      <c r="DQ136" s="97" t="str">
        <f t="shared" ref="DQ136:DQ199" si="437">CR136</f>
        <v/>
      </c>
      <c r="DR136" s="97" t="str">
        <f t="shared" ref="DR136:DR199" si="438">DK136</f>
        <v/>
      </c>
      <c r="DS136" s="98">
        <f t="shared" ref="DS136:DS199" si="439">COUNTIF(DL136:DR136,"F")+COUNTIF(DL136:DR136,"AB")</f>
        <v>0</v>
      </c>
      <c r="DT136" s="98">
        <f t="shared" ref="DT136:DT199" si="440">COUNTIF(DL136:DR136,"S")</f>
        <v>0</v>
      </c>
      <c r="DU136" s="98">
        <f t="shared" ref="DU136:DU199" si="441">COUNTIF(DL136:DR136,"G1")</f>
        <v>0</v>
      </c>
      <c r="DV136" s="98">
        <f t="shared" ref="DV136:DV199" si="442">COUNTIF(DL136:DR136,"G2")</f>
        <v>0</v>
      </c>
      <c r="DW136" s="98">
        <f t="shared" ref="DW136:DW199" si="443">COUNTIF(DL136:DR136,"RE")+COUNTIF(DL136:DR136,"REP")</f>
        <v>0</v>
      </c>
      <c r="DX136" s="98" t="str">
        <f t="shared" ref="DX136:DX199" si="444">IF(OR(DK136="AB",DK136="F"),"F",IF(OR(DK136="RE"),"RE",""))</f>
        <v/>
      </c>
      <c r="DY136" s="99" t="str">
        <f t="shared" ref="DY136:DY199" si="445">IF(B136="NSO","NSO",IF(OR(B136="",B136=0,Q136="",AE136="",AT136="",BH136="",BV136="",CK136=""),"",IF(OR(DS136&gt;0,(DT136+DU136+DV136)&gt;2),"FAIL",IF(DW136&gt;0,"RE-EXAM",IF(OR(DT136&gt;0,DU136&gt;1),"SUPPLEMENTARY",IF(AND(DU136&gt;0,DV136&gt;0),"SUPPLEMENTARY",IF((DU136+DV136)&gt;0,"BY GRACE PASS","PASS")))))))</f>
        <v/>
      </c>
      <c r="DZ136" s="74" t="str">
        <f>IF('Marks Entry'!AY136="","",'Marks Entry'!AY136)</f>
        <v/>
      </c>
      <c r="EA136" s="74" t="str">
        <f>IF('Marks Entry'!AZ136="","",'Marks Entry'!AZ136)</f>
        <v/>
      </c>
      <c r="EB136" s="74" t="str">
        <f>IF('Marks Entry'!BA136="","",'Marks Entry'!BA136)</f>
        <v/>
      </c>
      <c r="EC136" s="527" t="str">
        <f t="shared" si="393"/>
        <v/>
      </c>
      <c r="ED136" s="74" t="str">
        <f>IF('Marks Entry'!BB136="","",'Marks Entry'!BB136)</f>
        <v/>
      </c>
      <c r="EE136" s="528" t="str">
        <f t="shared" si="394"/>
        <v/>
      </c>
      <c r="EF136" s="74" t="str">
        <f>IF('Marks Entry'!BC136="","",'Marks Entry'!BC136)</f>
        <v/>
      </c>
      <c r="EG136" s="530" t="str">
        <f t="shared" si="395"/>
        <v/>
      </c>
      <c r="EH136" s="368" t="str">
        <f t="shared" ref="EH136:EH199" si="446">IF(OR($B136="NSO",$B136=0,EG136=""),"",IF(OR(EG136="AB",EE136="AB",EF136="AB"),"AB",IF(AND(DY136="FAIL",(OR(EG136&lt;36%*EK136))),"D",IF(OR(EF136="ML",EF136&lt;20%*EF$6,EG136&lt;36%*EK136),"D",IF(EG136&gt;80%*EK136,"A",IF(EG136&gt;60%*EK136,"B",IF(EG136&gt;40%*EK136,"C","D")))))))</f>
        <v/>
      </c>
      <c r="EI136" s="65">
        <f t="shared" ref="EI136:EI199" si="447">COUNTIF(DZ136:EB136,"NA")*10</f>
        <v>0</v>
      </c>
      <c r="EJ136" s="65">
        <f t="shared" ref="EJ136:EJ199" si="448">(COUNTIF(DZ136:EB136,"ML")*10)+(COUNTIF(ED136,"ML")*70)+(COUNTIF(EF136,"ML")*100)</f>
        <v>0</v>
      </c>
      <c r="EK136" s="66" t="str">
        <f t="shared" ref="EK136:EK199" si="449">IF(OR($B136="NSO",$B136=0),"",IF(AND(DZ136="",EA136="",EC136="",EE136=""),"",IF(AND(EA136="",EC136="",ED136="",EE136="",EF136=""),($DZ$6)-EI136-EJ136,IF(AND(DZ136="",EC136="",ED136="",EE136="",EF136=""),($EA$6)-EI136-EJ136,IF(AND(EC136="",ED136="",EE136="",EF136=""),($DZ$6+$EA$6)-EI136-EJ136,IF(AND(EE136="",EF136=""),($EC$6+$ED$6)-EI136-EJ136,($EG$6)-EI136-EJ136))))))</f>
        <v/>
      </c>
      <c r="EL136" s="74" t="str">
        <f>IF('Marks Entry'!BD136="","",'Marks Entry'!BD136)</f>
        <v/>
      </c>
      <c r="EM136" s="74" t="str">
        <f>IF('Marks Entry'!BE136="","",'Marks Entry'!BE136)</f>
        <v/>
      </c>
      <c r="EN136" s="74" t="str">
        <f>IF('Marks Entry'!BF136="","",'Marks Entry'!BF136)</f>
        <v/>
      </c>
      <c r="EO136" s="527" t="str">
        <f t="shared" si="396"/>
        <v/>
      </c>
      <c r="EP136" s="74" t="str">
        <f>IF('Marks Entry'!BG136="","",'Marks Entry'!BG136)</f>
        <v/>
      </c>
      <c r="EQ136" s="74" t="str">
        <f>IF('Marks Entry'!BH136="","",'Marks Entry'!BH136)</f>
        <v/>
      </c>
      <c r="ER136" s="528" t="str">
        <f t="shared" si="397"/>
        <v/>
      </c>
      <c r="ES136" s="529" t="str">
        <f t="shared" si="398"/>
        <v/>
      </c>
      <c r="ET136" s="74" t="str">
        <f>IF('Marks Entry'!BI136="","",'Marks Entry'!BI136)</f>
        <v/>
      </c>
      <c r="EU136" s="74" t="str">
        <f>IF('Marks Entry'!BJ136="","",'Marks Entry'!BJ136)</f>
        <v/>
      </c>
      <c r="EV136" s="528" t="str">
        <f t="shared" si="399"/>
        <v/>
      </c>
      <c r="EW136" s="530" t="str">
        <f t="shared" si="400"/>
        <v/>
      </c>
      <c r="EX136" s="368" t="str">
        <f t="shared" ref="EX136:EX199" si="450">IF(OR($B136="NSO",$B136=0,EW136=""),"",IF(OR(ET136="AB",EU136="AB",EV136="AB"),"AB",IF(AND($DY136="FAIL",(OR(EW136&lt;36%*FA136))),"D",IF(OR(EV136="ML",EV136&lt;20%*EV$6,EW136&lt;36%*FA136),"D",IF(EW136&gt;80%*FA136,"A",IF(EW136&gt;60%*FA136,"B",IF(EW136&gt;40%*FA136,"C","D")))))))</f>
        <v/>
      </c>
      <c r="EY136" s="65">
        <f t="shared" ref="EY136:EY199" si="451">COUNTIF(EL136:EN136,"NA")*10</f>
        <v>0</v>
      </c>
      <c r="EZ136" s="65">
        <f t="shared" ref="EZ136:EZ199" si="452">(COUNTIF(EL136:EN136,"ML")*10)+(COUNTIF(ER136,"ML")*70)+(COUNTIF(EV136,"ML")*100)</f>
        <v>0</v>
      </c>
      <c r="FA136" s="66" t="str">
        <f t="shared" ref="FA136:FA199" si="453">IF(OR($B136="NSO",$B136=0),"",IF(AND(EL136="",EM136="",EP136="",ET136=""),"",IF(AND(EM136="",EP136="",EQ136="",ET136="",EU136=""),($EL$6)-EY136-EZ136,IF(AND(EL136="",EP136="",EQ136="",ET136="",EU136=""),($EM$6)-EY136-EZ136,IF(AND(EP136="",EQ136="",ET136="",EU136=""),($EL$6+$EM$6)-EY136-EZ136,IF(AND(ET136="",EU136=""),($EP$6+$EQ$6)-EY136-EZ136,($EW$6)-EY136-EZ136))))))</f>
        <v/>
      </c>
      <c r="FB136" s="74" t="str">
        <f>IF('Marks Entry'!BK136="","",'Marks Entry'!BK136)</f>
        <v/>
      </c>
      <c r="FC136" s="74" t="str">
        <f>IF('Marks Entry'!BL136="","",'Marks Entry'!BL136)</f>
        <v/>
      </c>
      <c r="FD136" s="74" t="str">
        <f>IF('Marks Entry'!BM136="","",'Marks Entry'!BM136)</f>
        <v/>
      </c>
      <c r="FE136" s="74" t="str">
        <f>IF('Marks Entry'!BN136="","",'Marks Entry'!BN136)</f>
        <v/>
      </c>
      <c r="FF136" s="74" t="str">
        <f>IF('Marks Entry'!BO136="","",'Marks Entry'!BO136)</f>
        <v/>
      </c>
      <c r="FG136" s="74" t="str">
        <f>IF('Marks Entry'!BP136="","",'Marks Entry'!BP136)</f>
        <v/>
      </c>
      <c r="FH136" s="527" t="str">
        <f t="shared" si="401"/>
        <v/>
      </c>
      <c r="FI136" s="74" t="str">
        <f>IF('Marks Entry'!BQ136="","",'Marks Entry'!BQ136)</f>
        <v/>
      </c>
      <c r="FJ136" s="74" t="str">
        <f>IF('Marks Entry'!BR136="","",'Marks Entry'!BR136)</f>
        <v/>
      </c>
      <c r="FK136" s="528" t="str">
        <f t="shared" si="402"/>
        <v/>
      </c>
      <c r="FL136" s="529" t="str">
        <f t="shared" si="403"/>
        <v/>
      </c>
      <c r="FM136" s="74" t="str">
        <f>IF('Marks Entry'!BS136="","",'Marks Entry'!BS136)</f>
        <v/>
      </c>
      <c r="FN136" s="74" t="str">
        <f>IF('Marks Entry'!BT136="","",'Marks Entry'!BT136)</f>
        <v/>
      </c>
      <c r="FO136" s="528" t="str">
        <f t="shared" si="404"/>
        <v/>
      </c>
      <c r="FP136" s="530" t="str">
        <f t="shared" si="405"/>
        <v/>
      </c>
      <c r="FQ136" s="368" t="str">
        <f t="shared" ref="FQ136:FQ199" si="454">IF(OR($B136="NSO",$B136=0,FP136=""),"",IF(OR(FM136="AB",FN136="AB",FO136="AB"),"AB",IF(AND($DY136="FAIL",(OR(FP136&lt;36%*FT136))),"D",IF(OR(FO136="ML",FO136&lt;20%*FO$6,FP136&lt;36%*FT136),"D",IF(FP136&gt;80%*FT136,"A",IF(FP136&gt;60%*FT136,"B",IF(FP136&gt;40%*FT136,"C","D")))))))</f>
        <v/>
      </c>
      <c r="FR136" s="65">
        <f t="shared" ref="FR136:FR199" si="455">COUNTIF(FB136,"NA")*10+COUNTIF(FD136,"NA")*10+COUNTIF(FF136,"NA")*10</f>
        <v>0</v>
      </c>
      <c r="FS136" s="65">
        <f t="shared" ref="FS136:FS199" si="456">(COUNTIF(FB136,"ML")*10)+(COUNTIF(FD136,"ML")*10)+(COUNTIF(FF136,"ML")*10)+(COUNTIF(FI136,"ML")*25)+(COUNTIF(FJ136,"ML")*15)+(COUNTIF(FM136,"ML")*30)+(COUNTIF(FN136,"ML")*70)</f>
        <v>0</v>
      </c>
      <c r="FT136" s="66" t="str">
        <f t="shared" ref="FT136:FT199" si="457">IF(OR($B136="NSO",$B136=0),"",IF(AND(FB136="",FD136="",FF136="",FI136="",FM136=""),"",IF(AND(FC136="",FI136="",FJ136="",FE136="",FN136=""),($FB$6)-FR136-FS136,IF(AND(FB136="",FI136="",FJ136="",FM136="",FN136=""),($FC$6)-FR136-FS136,IF(AND(FI136="",FJ136="",FM136="",FN136=""),($FB$6+$FC$6)-FR136-FS136,IF(AND(FM136="",FN136=""),($FI$6+$FJ$6)-FR136-FS136,($FP$6)-FR136-FS136))))))</f>
        <v/>
      </c>
      <c r="FU136" s="74" t="str">
        <f>IF('Marks Entry'!BU136="","",'Marks Entry'!BU136)</f>
        <v/>
      </c>
      <c r="FV136" s="74" t="str">
        <f>IF('Marks Entry'!BV136="","",'Marks Entry'!BV136)</f>
        <v/>
      </c>
      <c r="FW136" s="74" t="str">
        <f>IF('Marks Entry'!BW136="","",'Marks Entry'!BW136)</f>
        <v/>
      </c>
      <c r="FX136" s="75" t="str">
        <f t="shared" si="406"/>
        <v/>
      </c>
      <c r="FY136" s="368" t="str">
        <f t="shared" ref="FY136:FY199" si="458">IFERROR(IF(OR($B136="NSO",$B136=0,FX136=""),"",IF(OR(FU136="AB",FV136="AB",FW136="AB"),"AB",IF(AND($DY136="FAIL",(OR(FX136&lt;36%*GB136))),"D",IF(OR(FW136="ML",FX136&lt;20%*FX$6,FX136&lt;36%*GB136),"D",IF(FX136&gt;80%*GB136,"A",IF(FX136&gt;60%*GB136,"B",IF(FX136&gt;40%*GB136,"C","D"))))))),"")</f>
        <v/>
      </c>
      <c r="FZ136" s="65">
        <f t="shared" ref="FZ136:FZ199" si="459">COUNTIF(FU136,"NA")*25</f>
        <v>0</v>
      </c>
      <c r="GA136" s="66">
        <f t="shared" ref="GA136:GA199" si="460">IF(AND(FW136="",FU136="",FW136=""),(COUNTIF(FU136,"ML")*25+(COUNTIF(FW136,"ML"))*FW$6+(COUNTIF(FV136,"ML"))*FV$6),(COUNTIF(FU136,"ML")*25+(COUNTIF(FW136,"ML"))*FW$6+(COUNTIF(FX136,"ML"))*FX$6))</f>
        <v>0</v>
      </c>
      <c r="GB136" s="66" t="str">
        <f t="shared" ref="GB136:GB199" si="461">IF(OR($B136="NSO",$B136=0),"",IF(AND(FU136="",FV136="",FW136=""),"",IF(AND(FU136="",FV136="",FW136=""),($FX$6)-FZ136-GA136,IF(AND(FW136=""),($FW$6)-FZ136-GA136,IF(AND(FV136=""),($FV$6)-FZ136-GA136,IF(AND(FU136=""),($FU$6)-FZ136-GA136,($FX$6)-FZ136-GA136))))))</f>
        <v/>
      </c>
      <c r="GC136" s="74" t="str">
        <f>IF('Marks Entry'!BX136="","",'Marks Entry'!BX136)</f>
        <v/>
      </c>
      <c r="GD136" s="74" t="str">
        <f>IF('Marks Entry'!BY136="","",'Marks Entry'!BY136)</f>
        <v/>
      </c>
      <c r="GE136" s="74" t="str">
        <f>IF('Marks Entry'!BZ136="","",'Marks Entry'!BZ136)</f>
        <v/>
      </c>
      <c r="GF136" s="75" t="str">
        <f t="shared" ref="GF136:GF199" si="462">IF(AND(GC136="",GD136="",GE136=""),"",SUM(GC136,GD136,GE136))</f>
        <v/>
      </c>
      <c r="GG136" s="368" t="str">
        <f t="shared" ref="GG136:GG199" si="463">IFERROR(IF(OR($B136="NSO",$B136=0,GF136=""),"",IF(OR(GC136="AB",GD136="AB",GE136="AB"),"AB",IF(AND($DY136="FAIL",(OR(GF136&lt;36%*GJ136))),"D",IF(OR(GE136="ML",GF136&lt;20%*GF$6,GF136&lt;36%*GJ136),"D",IF(GF136&gt;80%*GJ136,"A",IF(GF136&gt;60%*GJ136,"B",IF(GF136&gt;40%*GJ136,"C","D"))))))),"")</f>
        <v/>
      </c>
      <c r="GH136" s="65">
        <f t="shared" ref="GH136:GH199" si="464">COUNTIF(GC136,"NA")*25</f>
        <v>0</v>
      </c>
      <c r="GI136" s="66">
        <f t="shared" ref="GI136:GI199" si="465">IF(AND(GE136="",GC136="",GE136=""),(COUNTIF(GC136,"ML")*25+(COUNTIF(GE136,"ML"))*GE$6+(COUNTIF(GD136,"ML"))*GD$6),(COUNTIF(GC136,"ML")*25+(COUNTIF(GE136,"ML"))*GE$6+(COUNTIF(GF136,"ML"))*GF$6))</f>
        <v>0</v>
      </c>
      <c r="GJ136" s="66" t="str">
        <f t="shared" ref="GJ136:GJ199" si="466">IF(OR($B136="NSO",$B136=0),"",IF(AND(GC136="",GD136="",GE136=""),"",IF(AND(GC136="",GD136="",GE136=""),($GF$6)-GH136-GI136,IF(AND(GE136=""),($GE$6)-GH136-GI136,IF(AND(GD136=""),($GD$6)-GH136-GI136,IF(AND(GC136=""),($GC$6)-GH136-GI136,($GF$6)-GH136-GI136))))))</f>
        <v/>
      </c>
      <c r="GK136" s="100" t="str">
        <f>IF(AND(F136="",B136=""),"",IF('Student DATA Entry'!M133="","",'Student DATA Entry'!M133))</f>
        <v/>
      </c>
      <c r="GL136" s="101" t="str">
        <f>IF(AND(B136="",F136=""),"",IF('Student DATA Entry'!N133="","",'Student DATA Entry'!N133))</f>
        <v/>
      </c>
      <c r="GM136" s="581" t="str">
        <f t="shared" ref="GM136:GM199" si="467">IF(OR(GK136=0,GL136=0,GK136="",GL136=""),"",GL136/GK136*100)</f>
        <v/>
      </c>
      <c r="GN136" s="94" t="str">
        <f t="shared" ref="GN136:GN199" si="468">IF(AND(DY136="FAIL",(OR(DL136="G1",DL136="G2",DL136="S",DL136="RE"))),"F",IF(AND(DY136="RE-EXAM",(OR(DL136="G1",DL136="G2",DL136="S"))),"S",IF(AND(DY136="SUPPLEMENTARY",(OR(DL136="G1",DL136="G2"))),"S",IF(AND(DY136="BY GRACE PASS",(OR(DL136="G1",DL136="G2"))),"G",DL136))))</f>
        <v/>
      </c>
      <c r="GO136" s="94" t="str">
        <f t="shared" ref="GO136:GO199" si="469">IF(GN136="G",",+","")</f>
        <v/>
      </c>
      <c r="GP136" s="102" t="str">
        <f t="shared" si="407"/>
        <v/>
      </c>
      <c r="GQ136" s="94" t="str">
        <f t="shared" ref="GQ136:GQ199" si="470">IF(AND(DY136="vuqRrh.kZ",(OR(DM136="G1",DM136="G2",DM136="S",DM136="RE"))),"F",IF(AND(DY136="iqu% ijh{kk",(OR(DM136="G1",DM136="G2",DM136="S"))),"S",IF(AND(DY136="iwjd",(OR(DM136="G1",DM136="G2"))),"S",IF(AND(DY136="lk- mRrh.kZ",(OR(DM136="G1",DM136="G2"))),"G",DM136))))</f>
        <v/>
      </c>
      <c r="GR136" s="103" t="str">
        <f t="shared" ref="GR136:GR199" si="471">IF(GQ136="G",",+","")</f>
        <v/>
      </c>
      <c r="GS136" s="102" t="str">
        <f t="shared" si="408"/>
        <v/>
      </c>
      <c r="GT136" s="104" t="str">
        <f t="shared" ref="GT136:GT199" si="472">IF(AND(DY136="FAIL",(OR(DN136="G1",DN136="G2",DN136="S",DN136="RE"))),"F",IF(AND(DY136="RE-EXAM",(OR(DN136="G1",DN136="G2",DN136="S"))),"S",IF(AND(DY136="SUPPLEMENTARY",(OR(DN136="G1",DN136="G2"))),"S",IF(AND(DY136="BY GRACE PASS",(OR(DN136="G1",DN136="G2"))),"G",DN136))))</f>
        <v/>
      </c>
      <c r="GU136" s="94" t="str">
        <f>IF('Marks Entry'!V136=1,GT136,"")</f>
        <v/>
      </c>
      <c r="GV136" s="94" t="str">
        <f>IF('Marks Entry'!V136=2,GT136,"")</f>
        <v/>
      </c>
      <c r="GW136" s="94" t="str">
        <f>IF('Marks Entry'!V136=3,GT136,"")</f>
        <v/>
      </c>
      <c r="GX136" s="94" t="str">
        <f>IF('Marks Entry'!V136=4,GT136,"")</f>
        <v/>
      </c>
      <c r="GY136" s="94" t="str">
        <f>IF('Marks Entry'!V136=5,GT136,"")</f>
        <v/>
      </c>
      <c r="GZ136" s="94" t="str">
        <f t="shared" ref="GZ136:GZ199" si="473">IF(GT136="G",",+","")</f>
        <v/>
      </c>
      <c r="HA136" s="105" t="str">
        <f t="shared" si="409"/>
        <v/>
      </c>
      <c r="HB136" s="94" t="str">
        <f t="shared" ref="HB136:HB199" si="474">IF(AND(DY136="FAIL",(OR(DO136="G1",DO136="G2",DO136="S",DO136="RE",))),"F",IF(AND(DY136="RE-EXAM",(OR(DO136="G1",DO136="G2",DO136="S"))),"S",IF(AND(DY136="SUPPLEMENTARY",(OR(DO136="G1",DO136="G2"))),"S",IF(AND(DY136="BY GRACE PASS",(OR(DO136="G1",DO136="G2"))),"G",DO136))))</f>
        <v/>
      </c>
      <c r="HC136" s="94" t="str">
        <f t="shared" ref="HC136:HC199" si="475">IF(HB136="G",",+","")</f>
        <v/>
      </c>
      <c r="HD136" s="105" t="str">
        <f t="shared" si="410"/>
        <v/>
      </c>
      <c r="HE136" s="94" t="str">
        <f t="shared" ref="HE136:HE199" si="476">IF(AND(DY136="FAIL",(OR(DP136="G1",DP136="G2",DP136="S",DP136="RE"))),"F",IF(AND(DY136="RE-EXAM",(OR(DP136="G1",DP136="G2",DP136="S"))),"S",IF(AND(DY136="SUPPLEMENTARY",(OR(DP136="G1",DP136="G2"))),"S",IF(AND(DY136="BY GRACE PASS",(OR(DP136="G1",DP136="G2"))),"G",DP136))))</f>
        <v/>
      </c>
      <c r="HF136" s="94" t="str">
        <f t="shared" ref="HF136:HF199" si="477">IF(HE136="G",",+","")</f>
        <v/>
      </c>
      <c r="HG136" s="105" t="str">
        <f t="shared" si="411"/>
        <v/>
      </c>
      <c r="HH136" s="94" t="str">
        <f t="shared" ref="HH136:HH199" si="478">IF(AND(DY136="FAIL",(OR(DQ136="G1",DQ136="G2",DQ136="S",DQ136="RE"))),"F",IF(AND(DY136="RE-EXAM",(OR(DQ136="G1",DQ136="G2",DQ136="S"))),"S",IF(AND(DY136="SUPPLEMENTARY",(OR(DQ136="G1",DQ136="G2"))),"S",IF(AND(DY136="BY GRACE PASS",(OR(DQ136="G1",DQ136="G2"))),"G",DQ136))))</f>
        <v/>
      </c>
      <c r="HI136" s="94" t="str">
        <f t="shared" ref="HI136:HI199" si="479">IF(HH136="G",",+","")</f>
        <v/>
      </c>
      <c r="HJ136" s="105" t="str">
        <f t="shared" si="412"/>
        <v/>
      </c>
      <c r="HK136" s="94" t="str">
        <f t="shared" ref="HK136:HK199" si="480">IF(AND(DY136="FAIL",(OR(DR136="G1",DR136="G2",DR136="S",DR136="RE"))),"F",IF(AND(DY136="RE-EXAM",(OR(DR136="G1",DR136="G2",DR136="S"))),"S",IF(AND(DY136="SUPPLEMENTARY",(OR(DR136="G1",DR136="G2"))),"S",IF(AND(DY136="BY GRACE PASS",(OR(DR136="G1",DR136="G2"))),"G",DR136))))</f>
        <v/>
      </c>
      <c r="HL136" s="94" t="str">
        <f t="shared" ref="HL136:HL199" si="481">IF(HK136="G",",+","")</f>
        <v/>
      </c>
      <c r="HM136" s="105" t="str">
        <f t="shared" si="413"/>
        <v/>
      </c>
      <c r="HN136" s="367" t="str">
        <f t="shared" ref="HN136:HN199" si="482">CONCATENATE(IF(GN136="F",$GN$5,IF(GN136="AB",$GN$5,""))," ",IF(GQ136="F",$GQ$5,IF(GQ136="AB",$GQ$5,""))," ",IF(GU136="F",$GU$5,IF(GV136="F",$GV$5,IF(GW136="F",$GW$5,IF(GX136="F",$GX$5,IF(GY136="F",$GY$5,IF(GU136="AB",$GU$5,IF(GV136="AB",$GV$5,IF(GW136="AB",$GW$5,IF(GX136="AB",$GX$5,IF(GY136="AB",$GY$5,""))))))))))," ",IF(HB136="F",$HB$5,IF(HB136="AB",$HB$5,""))," ",IF(HE136="F",$HE$5,IF(HE136="AB",$HE$5,""))," ",,IF(HH136="F",$HH$5,IF(HH136="AB",$HH$5,""))," ",IF(HK136="F",$HK$5,IF(HK136="AB",$HK$5,"")))</f>
        <v xml:space="preserve">      </v>
      </c>
      <c r="HO136" s="418" t="str">
        <f t="shared" si="414"/>
        <v xml:space="preserve">      </v>
      </c>
      <c r="HP136" s="367" t="str">
        <f t="shared" ref="HP136:HP199" si="483">CONCATENATE(IF(GN136="G",$GN$5,"")," ",IF(GQ136="G",$GQ$5,"")," ",IF(GU136="G",$GU$5,IF(GV136="G",$GV$5,IF(GW136="G",$GW$5,IF(GX136="G",$GX$5,IF(GY136="G",$GY$5,"")))))," ",IF(HB136="G",$HB$5,"")," ",IF(HE136="G",$HE$5,"")," ",IF(HH136="G",$HH$5,"")," ",IF(HK136="G",$HK$5,""))</f>
        <v xml:space="preserve">      </v>
      </c>
      <c r="HQ136" s="107" t="str">
        <f t="shared" ref="HQ136:HQ199" si="484">CONCATENATE(IF(GN136="RE",$GN$5,"")," ",IF(GQ136="RE",$GQ$5,"")," ",IF(OR(GU136="RE",GU136="REP"),$GU$5,IF(OR(GV136="RE",GV136="REP"),$GV$5,IF(OR(GW136="RE",GW136="REP"),$GW$5,IF(OR(GX136="RE",GX136="REP"),$GX$5,IF(OR(GY136="RE",GY136="REP"),$GY$5,"")))))," ",IF(OR(HB136="RE",HB136="REP"),$HB$5,"")," ",IF(OR(HE136="RE",HE136="REP"),$HE$5,"")," ",IF(OR(HH136="RE",HH136="REP"),$HH$5,"")," ",IF(OR(HK136="RE",HK136="REP"),$HK$5,""))</f>
        <v xml:space="preserve">      </v>
      </c>
      <c r="HR136" s="366" t="str">
        <f t="shared" ref="HR136:HR199" si="485">CONCATENATE(IF(GN136="D",$GN$5,"")," ",IF($GQ136="D",$GQ$5,"")," ",IF(GU136="D",$GU$5,IF(GV136="D",$GV$5,IF(GW136="D",$GW$5,IF(GX136="D",$GX$5,IF(GY136="D",$GY$5,"")))))," ",IF(HB136="D",$HB$5,"")," ",IF(HE136="D",$HE$5,"")," ",IF(HH136="D",$HH$5,"")," ",IF(HK136="D",$HK$5,""))</f>
        <v xml:space="preserve">      </v>
      </c>
      <c r="HS136" s="544" t="str">
        <f t="shared" si="415"/>
        <v/>
      </c>
      <c r="HT136" s="542" t="str">
        <f t="shared" ref="HT136:HT199" si="486">IF(AND(R136="",AF136="",AU136="",BI136="",BW136=""),"",IF(OR(CS136="",DE136=""),SUM(R136,AF136,AU136,BI136,BW136,CL136),IF((CL136/CO136*100)&gt;=(DE136/DH136*100),SUM(R136,AF136,AU136,BI136,BW136,CL136),SUM(R136,AF136,AU136,BI136,BW136,DE136))))</f>
        <v/>
      </c>
      <c r="HU136" s="541" t="str">
        <f t="shared" ref="HU136:HU199" si="487">IF(HT136="","",HT136*100/($HT$6-CD136))</f>
        <v/>
      </c>
      <c r="HV136" s="540" t="str">
        <f t="shared" ref="HV136:HV199" si="488">IFERROR(IF(HU136="","",IF(AND(HU136&gt;=60,(HS136="PASS")),"1st",IF(AND(HU136&gt;=60,(HS136="BY GRACE PASS")),"1st",IF(AND(HU136&gt;=48,(HS136="PASS")),"2nd",IF(AND(HU136&gt;=48,(HS136="BY GRACE PASS")),"2nd",IF(AND(HU136&gt;=36,(HS136="PASS")),"3rd",IF(AND(HU136&gt;=36,(HS136="BY GRACE PASS")),"3rd",""))))))),"")</f>
        <v/>
      </c>
      <c r="HW136" s="537" t="str">
        <f t="shared" ref="HW136:HW199" si="489">IFERROR(IF(OR(HS136="PASS",HS136="BY GRACE PASS"),HU136,""),"")</f>
        <v/>
      </c>
      <c r="HX136" s="539" t="str">
        <f t="shared" ref="HX136:HX199" si="490">IFERROR(IF(HW136="","",SUMPRODUCT((HW136&lt;HW$7:HW$206)/COUNTIF(HW$7:HW$206,HW$7:HW$206))),"")</f>
        <v/>
      </c>
      <c r="HY136" s="553" t="str">
        <f>IFERROR(IF(OR(HS136="SUPPLEMENTARY",HS136="RE-EXAM"),'Supp. Result Entry'!AQ134,""),"")</f>
        <v/>
      </c>
      <c r="HZ136" s="538" t="str">
        <f t="shared" ref="HZ136:HZ199" si="491">IF(OR(KA136="",JP136=0),"",IF(JY136="","",JY136))</f>
        <v/>
      </c>
      <c r="IA136" s="415" t="str">
        <f t="shared" ref="IA136:IA199" si="492">IF(AND(KA136=""),"",IF(HZ136="","",IF(AND(KA136="FAIL"),"Failed",KA136)))</f>
        <v/>
      </c>
      <c r="IB136" s="415" t="str">
        <f>IF(AND(HZ136="",IA136=""),"",IF(OR(HS136="SUPPLEMENTARY",HS136="RE-EXAM"),'Supp. Result Entry'!AQ134,HS136))</f>
        <v/>
      </c>
      <c r="IC136" s="87"/>
      <c r="IS136" s="109" t="str">
        <f>IF('Supp. Result Entry'!T134="","",'Supp. Result Entry'!$T$4)</f>
        <v/>
      </c>
      <c r="IT136" s="110" t="str">
        <f>IF('Supp. Result Entry'!W134="","",'Supp. Result Entry'!$W$4)</f>
        <v/>
      </c>
      <c r="IU136" s="110" t="str">
        <f>IF('Supp. Result Entry'!Z134="","",'Supp. Result Entry'!$Z$4)</f>
        <v/>
      </c>
      <c r="IV136" s="110" t="str">
        <f>IF('Supp. Result Entry'!AC134="","",'Supp. Result Entry'!$AC$4)</f>
        <v/>
      </c>
      <c r="IW136" s="110" t="str">
        <f>IF('Supp. Result Entry'!AF134="","",'Supp. Result Entry'!$AF$4)</f>
        <v/>
      </c>
      <c r="IX136" s="110" t="str">
        <f>IF('Supp. Result Entry'!AI134="","",'Supp. Result Entry'!$AI$4)</f>
        <v/>
      </c>
      <c r="IY136" s="110" t="str">
        <f>IF('Supp. Result Entry'!AI134="","",'Supp. Result Entry'!$AL$4)</f>
        <v/>
      </c>
      <c r="IZ136" s="110" t="str">
        <f>IF('Supp. Result Entry'!U134="","",'Supp. Result Entry'!U134)</f>
        <v/>
      </c>
      <c r="JA136" s="110" t="str">
        <f>IF('Supp. Result Entry'!X134="","",'Supp. Result Entry'!X134)</f>
        <v/>
      </c>
      <c r="JB136" s="110" t="str">
        <f>IF('Supp. Result Entry'!AA134="","",'Supp. Result Entry'!AA134)</f>
        <v/>
      </c>
      <c r="JC136" s="110" t="str">
        <f>IF('Supp. Result Entry'!AD134="","",'Supp. Result Entry'!AD134)</f>
        <v/>
      </c>
      <c r="JD136" s="110" t="str">
        <f>IF('Supp. Result Entry'!AG134="","",'Supp. Result Entry'!AG134)</f>
        <v/>
      </c>
      <c r="JE136" s="110" t="str">
        <f>IF('Supp. Result Entry'!AJ134="","",'Supp. Result Entry'!AJ134)</f>
        <v/>
      </c>
      <c r="JF136" s="110" t="str">
        <f>IF('Supp. Result Entry'!AM134="","",'Supp. Result Entry'!AM134)</f>
        <v/>
      </c>
      <c r="JG136" s="110" t="str">
        <f>IF('Supp. Result Entry'!V134="","",'Supp. Result Entry'!V134)</f>
        <v/>
      </c>
      <c r="JH136" s="110" t="str">
        <f>IF('Supp. Result Entry'!Y134="","",'Supp. Result Entry'!Y134)</f>
        <v/>
      </c>
      <c r="JI136" s="110" t="str">
        <f>IF('Supp. Result Entry'!AB134="","",'Supp. Result Entry'!AB134)</f>
        <v/>
      </c>
      <c r="JJ136" s="110" t="str">
        <f>IF('Supp. Result Entry'!AE134="","",'Supp. Result Entry'!AE134)</f>
        <v/>
      </c>
      <c r="JK136" s="110" t="str">
        <f>IF('Supp. Result Entry'!AH134="","",'Supp. Result Entry'!AH134)</f>
        <v/>
      </c>
      <c r="JL136" s="110" t="str">
        <f>IF('Supp. Result Entry'!AK134="","",'Supp. Result Entry'!AK134)</f>
        <v/>
      </c>
      <c r="JM136" s="110" t="str">
        <f>IF('Supp. Result Entry'!AN134="","",'Supp. Result Entry'!AN134)</f>
        <v/>
      </c>
      <c r="JN136" s="110">
        <f>COUNTIF('Supp. Result Entry'!K134:Q134,"S")</f>
        <v>0</v>
      </c>
      <c r="JO136" s="110">
        <f t="shared" si="416"/>
        <v>0</v>
      </c>
      <c r="JP136" s="110">
        <f t="shared" ref="JP136:JP199" si="493">COUNTIF(JG136:JM136,"P")</f>
        <v>0</v>
      </c>
      <c r="JQ136" s="110" t="str">
        <f t="shared" si="417"/>
        <v/>
      </c>
      <c r="JR136" s="110" t="str">
        <f t="shared" si="418"/>
        <v/>
      </c>
      <c r="JS136" s="110" t="str">
        <f t="shared" si="419"/>
        <v/>
      </c>
      <c r="JT136" s="110" t="str">
        <f t="shared" si="420"/>
        <v/>
      </c>
      <c r="JU136" s="110" t="str">
        <f t="shared" si="421"/>
        <v/>
      </c>
      <c r="JV136" s="110" t="str">
        <f t="shared" si="422"/>
        <v/>
      </c>
      <c r="JW136" s="110" t="str">
        <f t="shared" si="423"/>
        <v/>
      </c>
      <c r="JX136" s="110" t="str">
        <f t="shared" ref="JX136:JX199" si="494">IF(OR(JN136=0,JN136&lt;JP136),"",SUM(JQ136:JW136))</f>
        <v/>
      </c>
      <c r="JY136" s="110" t="str">
        <f t="shared" ref="JY136:JY199" si="495">IF(OR(JN136=0,JN136&lt;JP136),"",JX136/JZ136*100)</f>
        <v/>
      </c>
      <c r="JZ136" s="110" t="str">
        <f t="shared" si="424"/>
        <v/>
      </c>
      <c r="KA136" s="108" t="str">
        <f t="shared" ref="KA136:KA199" si="496">IF(JY136="","",IF(JY136&gt;=60,"I",IF(JY136&gt;=48,"II",IF(JY136&gt;=36,"III",""))))</f>
        <v/>
      </c>
    </row>
    <row r="137" spans="1:287" s="108" customFormat="1" ht="21.95" customHeight="1">
      <c r="A137" s="89">
        <v>131</v>
      </c>
      <c r="B137" s="90" t="str">
        <f>IF('Marks Entry'!B137="","",'Marks Entry'!B137)</f>
        <v/>
      </c>
      <c r="C137" s="94" t="str">
        <f>IF('Marks Entry'!D137="","",'Marks Entry'!D137)</f>
        <v/>
      </c>
      <c r="D137" s="91" t="str">
        <f>IF('Marks Entry'!E137="","",'Marks Entry'!E137)</f>
        <v/>
      </c>
      <c r="E137" s="92" t="str">
        <f>IF('Marks Entry'!F137="","",'Marks Entry'!F137)</f>
        <v/>
      </c>
      <c r="F137" s="93" t="str">
        <f>IF('Marks Entry'!G137="","",'Marks Entry'!G137)</f>
        <v/>
      </c>
      <c r="G137" s="93" t="str">
        <f>IF('Marks Entry'!H137="","",'Marks Entry'!H137)</f>
        <v/>
      </c>
      <c r="H137" s="93" t="str">
        <f>IF('Marks Entry'!I137="","",'Marks Entry'!I137)</f>
        <v/>
      </c>
      <c r="I137" s="94" t="str">
        <f>IF('Marks Entry'!J137="","",'Marks Entry'!J137)</f>
        <v/>
      </c>
      <c r="J137" s="95" t="str">
        <f>IF('Marks Entry'!K137="","",'Marks Entry'!K137)</f>
        <v/>
      </c>
      <c r="K137" s="68" t="str">
        <f>IF('Marks Entry'!L137="","",'Marks Entry'!L137)</f>
        <v/>
      </c>
      <c r="L137" s="68" t="str">
        <f>IF('Marks Entry'!M137="","",'Marks Entry'!M137)</f>
        <v/>
      </c>
      <c r="M137" s="68" t="str">
        <f>IF('Marks Entry'!N137="","",'Marks Entry'!N137)</f>
        <v/>
      </c>
      <c r="N137" s="514" t="str">
        <f t="shared" si="425"/>
        <v/>
      </c>
      <c r="O137" s="68" t="str">
        <f>IF('Marks Entry'!O137="","",'Marks Entry'!O137)</f>
        <v/>
      </c>
      <c r="P137" s="515" t="str">
        <f t="shared" si="426"/>
        <v/>
      </c>
      <c r="Q137" s="68" t="str">
        <f>IF('Marks Entry'!P137="","",'Marks Entry'!P137)</f>
        <v/>
      </c>
      <c r="R137" s="96" t="str">
        <f t="shared" si="427"/>
        <v/>
      </c>
      <c r="S137" s="65">
        <f t="shared" si="428"/>
        <v>0</v>
      </c>
      <c r="T137" s="65">
        <f t="shared" si="429"/>
        <v>0</v>
      </c>
      <c r="U137" s="66" t="str">
        <f t="shared" si="339"/>
        <v/>
      </c>
      <c r="V137" s="65" t="str">
        <f t="shared" si="340"/>
        <v/>
      </c>
      <c r="W137" s="65" t="str">
        <f t="shared" si="430"/>
        <v/>
      </c>
      <c r="X137" s="65" t="str">
        <f t="shared" si="341"/>
        <v/>
      </c>
      <c r="Y137" s="68" t="str">
        <f>IF('Marks Entry'!Q137="","",'Marks Entry'!Q137)</f>
        <v/>
      </c>
      <c r="Z137" s="68" t="str">
        <f>IF('Marks Entry'!R137="","",'Marks Entry'!R137)</f>
        <v/>
      </c>
      <c r="AA137" s="68" t="str">
        <f>IF('Marks Entry'!S137="","",'Marks Entry'!S137)</f>
        <v/>
      </c>
      <c r="AB137" s="514" t="str">
        <f t="shared" si="342"/>
        <v/>
      </c>
      <c r="AC137" s="68" t="str">
        <f>IF('Marks Entry'!T137="","",'Marks Entry'!T137)</f>
        <v/>
      </c>
      <c r="AD137" s="515" t="str">
        <f t="shared" si="343"/>
        <v/>
      </c>
      <c r="AE137" s="68" t="str">
        <f>IF('Marks Entry'!U137="","",'Marks Entry'!U137)</f>
        <v/>
      </c>
      <c r="AF137" s="96" t="str">
        <f t="shared" si="344"/>
        <v/>
      </c>
      <c r="AG137" s="65">
        <f t="shared" si="345"/>
        <v>0</v>
      </c>
      <c r="AH137" s="65">
        <f t="shared" si="346"/>
        <v>0</v>
      </c>
      <c r="AI137" s="66" t="str">
        <f t="shared" si="347"/>
        <v/>
      </c>
      <c r="AJ137" s="65" t="str">
        <f t="shared" si="348"/>
        <v/>
      </c>
      <c r="AK137" s="65" t="str">
        <f t="shared" si="349"/>
        <v/>
      </c>
      <c r="AL137" s="65" t="str">
        <f t="shared" si="350"/>
        <v/>
      </c>
      <c r="AM137" s="524" t="str">
        <f>IF('Marks Entry'!V137="","",IF('Marks Entry'!V137=1,'School Profile'!$I$9,IF('Marks Entry'!V137=2,'School Profile'!$I$10,IF('Marks Entry'!V137=3,'School Profile'!$I$11,IF('Marks Entry'!V137=4,'School Profile'!$I$12,IF('Marks Entry'!V137=5,'School Profile'!$I$13,IF('Marks Entry'!V137=6,'School Profile'!$I$14,"")))))))</f>
        <v/>
      </c>
      <c r="AN137" s="68" t="str">
        <f>IF('Marks Entry'!W137="","",'Marks Entry'!W137)</f>
        <v/>
      </c>
      <c r="AO137" s="68" t="str">
        <f>IF('Marks Entry'!X137="","",'Marks Entry'!X137)</f>
        <v/>
      </c>
      <c r="AP137" s="68" t="str">
        <f>IF('Marks Entry'!Y137="","",'Marks Entry'!Y137)</f>
        <v/>
      </c>
      <c r="AQ137" s="514" t="str">
        <f t="shared" si="351"/>
        <v/>
      </c>
      <c r="AR137" s="68" t="str">
        <f>IF('Marks Entry'!Z137="","",'Marks Entry'!Z137)</f>
        <v/>
      </c>
      <c r="AS137" s="515" t="str">
        <f t="shared" si="352"/>
        <v/>
      </c>
      <c r="AT137" s="68" t="str">
        <f>IF('Marks Entry'!AA137="","",'Marks Entry'!AA137)</f>
        <v/>
      </c>
      <c r="AU137" s="96" t="str">
        <f t="shared" si="353"/>
        <v/>
      </c>
      <c r="AV137" s="65">
        <f t="shared" si="354"/>
        <v>0</v>
      </c>
      <c r="AW137" s="65">
        <f t="shared" si="355"/>
        <v>0</v>
      </c>
      <c r="AX137" s="66" t="str">
        <f t="shared" si="356"/>
        <v/>
      </c>
      <c r="AY137" s="65" t="str">
        <f t="shared" si="357"/>
        <v/>
      </c>
      <c r="AZ137" s="65" t="str">
        <f t="shared" si="358"/>
        <v/>
      </c>
      <c r="BA137" s="65" t="str">
        <f t="shared" si="359"/>
        <v/>
      </c>
      <c r="BB137" s="68" t="str">
        <f>IF('Marks Entry'!AB137="","",'Marks Entry'!AB137)</f>
        <v/>
      </c>
      <c r="BC137" s="68" t="str">
        <f>IF('Marks Entry'!AC137="","",'Marks Entry'!AC137)</f>
        <v/>
      </c>
      <c r="BD137" s="68" t="str">
        <f>IF('Marks Entry'!AD137="","",'Marks Entry'!AD137)</f>
        <v/>
      </c>
      <c r="BE137" s="514" t="str">
        <f t="shared" si="360"/>
        <v/>
      </c>
      <c r="BF137" s="68" t="str">
        <f>IF('Marks Entry'!AE137="","",'Marks Entry'!AE137)</f>
        <v/>
      </c>
      <c r="BG137" s="515" t="str">
        <f t="shared" si="361"/>
        <v/>
      </c>
      <c r="BH137" s="68" t="str">
        <f>IF('Marks Entry'!AF137="","",'Marks Entry'!AF137)</f>
        <v/>
      </c>
      <c r="BI137" s="96" t="str">
        <f t="shared" si="362"/>
        <v/>
      </c>
      <c r="BJ137" s="65">
        <f t="shared" si="363"/>
        <v>0</v>
      </c>
      <c r="BK137" s="65">
        <f t="shared" si="431"/>
        <v>0</v>
      </c>
      <c r="BL137" s="66" t="str">
        <f t="shared" si="364"/>
        <v/>
      </c>
      <c r="BM137" s="65" t="str">
        <f t="shared" si="365"/>
        <v/>
      </c>
      <c r="BN137" s="65" t="str">
        <f t="shared" si="366"/>
        <v/>
      </c>
      <c r="BO137" s="65" t="str">
        <f t="shared" si="367"/>
        <v/>
      </c>
      <c r="BP137" s="68" t="str">
        <f>IF('Marks Entry'!AG137="","",'Marks Entry'!AG137)</f>
        <v/>
      </c>
      <c r="BQ137" s="68" t="str">
        <f>IF('Marks Entry'!AH137="","",'Marks Entry'!AH137)</f>
        <v/>
      </c>
      <c r="BR137" s="68" t="str">
        <f>IF('Marks Entry'!AI137="","",'Marks Entry'!AI137)</f>
        <v/>
      </c>
      <c r="BS137" s="514" t="str">
        <f t="shared" si="368"/>
        <v/>
      </c>
      <c r="BT137" s="68" t="str">
        <f>IF('Marks Entry'!AJ137="","",'Marks Entry'!AJ137)</f>
        <v/>
      </c>
      <c r="BU137" s="515" t="str">
        <f t="shared" si="369"/>
        <v/>
      </c>
      <c r="BV137" s="68" t="str">
        <f>IF('Marks Entry'!AK137="","",'Marks Entry'!AK137)</f>
        <v/>
      </c>
      <c r="BW137" s="96" t="str">
        <f t="shared" si="370"/>
        <v/>
      </c>
      <c r="BX137" s="65">
        <f t="shared" si="371"/>
        <v>0</v>
      </c>
      <c r="BY137" s="65">
        <f t="shared" si="372"/>
        <v>0</v>
      </c>
      <c r="BZ137" s="66" t="str">
        <f t="shared" si="373"/>
        <v/>
      </c>
      <c r="CA137" s="65" t="str">
        <f t="shared" si="374"/>
        <v/>
      </c>
      <c r="CB137" s="65" t="str">
        <f t="shared" si="375"/>
        <v/>
      </c>
      <c r="CC137" s="65" t="str">
        <f t="shared" si="376"/>
        <v/>
      </c>
      <c r="CD137" s="66">
        <f t="shared" si="377"/>
        <v>0</v>
      </c>
      <c r="CE137" s="68" t="str">
        <f>IF('Marks Entry'!AL137="","",'Marks Entry'!AL137)</f>
        <v/>
      </c>
      <c r="CF137" s="68" t="str">
        <f>IF('Marks Entry'!AM137="","",'Marks Entry'!AM137)</f>
        <v/>
      </c>
      <c r="CG137" s="68" t="str">
        <f>IF('Marks Entry'!AN137="","",'Marks Entry'!AN137)</f>
        <v/>
      </c>
      <c r="CH137" s="514" t="str">
        <f t="shared" si="378"/>
        <v/>
      </c>
      <c r="CI137" s="68" t="str">
        <f>IF('Marks Entry'!AO137="","",'Marks Entry'!AO137)</f>
        <v/>
      </c>
      <c r="CJ137" s="515" t="str">
        <f t="shared" si="379"/>
        <v/>
      </c>
      <c r="CK137" s="68" t="str">
        <f>IF('Marks Entry'!AP137="","",'Marks Entry'!AP137)</f>
        <v/>
      </c>
      <c r="CL137" s="96" t="str">
        <f t="shared" si="380"/>
        <v/>
      </c>
      <c r="CM137" s="65">
        <f t="shared" si="381"/>
        <v>0</v>
      </c>
      <c r="CN137" s="65">
        <f t="shared" si="382"/>
        <v>0</v>
      </c>
      <c r="CO137" s="66" t="str">
        <f t="shared" si="383"/>
        <v/>
      </c>
      <c r="CP137" s="65" t="str">
        <f t="shared" si="384"/>
        <v/>
      </c>
      <c r="CQ137" s="65" t="str">
        <f t="shared" si="385"/>
        <v/>
      </c>
      <c r="CR137" s="65" t="str">
        <f t="shared" si="386"/>
        <v/>
      </c>
      <c r="CS137" s="616" t="str">
        <f>IF('School Profile'!$D$20="NO","",IF('Marks Entry'!AQ137="","",IF('Marks Entry'!AQ137=1,'School Profile'!$I$29,IF('Marks Entry'!AQ137=2,'School Profile'!$I$30,IF('Marks Entry'!AQ137=3,'School Profile'!$I$31,IF('Marks Entry'!AQ137=4,'School Profile'!$I$32,IF('Marks Entry'!AQ137=5,'School Profile'!$I$33,IF('Marks Entry'!AQ137=6,'School Profile'!$I$34,IF('Marks Entry'!AQ137=7,'School Profile'!$I$35,IF('Marks Entry'!AQ137=8,'School Profile'!$I$36,IF('Marks Entry'!AQ137=9,'School Profile'!$I$37,IF('Marks Entry'!AQ137=10,'School Profile'!$I$38,IF('Marks Entry'!AQ137=11,'School Profile'!$I$39,"")))))))))))))</f>
        <v/>
      </c>
      <c r="CT137" s="68" t="str">
        <f>IF('School Profile'!$D$20="NO","",IF('Marks Entry'!AR137="","",'Marks Entry'!AR137))</f>
        <v/>
      </c>
      <c r="CU137" s="68" t="str">
        <f>IF('School Profile'!$D$20="NO","",IF('Marks Entry'!AS137="","",'Marks Entry'!AS137))</f>
        <v/>
      </c>
      <c r="CV137" s="68" t="str">
        <f>IF('School Profile'!$D$20="NO","",IF('Marks Entry'!AT137="","",'Marks Entry'!AT137))</f>
        <v/>
      </c>
      <c r="CW137" s="514" t="str">
        <f>IF('School Profile'!$D$20="NO","",IF(AND(CT137="",CU137="",CV137=""),"",SUM(CT137:CV137)))</f>
        <v/>
      </c>
      <c r="CX137" s="68" t="str">
        <f>IF('School Profile'!$D$20="NO","",IF('Marks Entry'!AU137="","",'Marks Entry'!AU137))</f>
        <v/>
      </c>
      <c r="CY137" s="68" t="str">
        <f>IF('School Profile'!$D$20="NO","",IF('Marks Entry'!AV137="","",'Marks Entry'!AV137))</f>
        <v/>
      </c>
      <c r="CZ137" s="515" t="str">
        <f>IF('School Profile'!$D$20="NO","",IF(AND(CX137="",CY137=""),"",SUM(CX137,CY137)))</f>
        <v/>
      </c>
      <c r="DA137" s="69" t="str">
        <f>IF('School Profile'!$D$20="NO","",IF(AND(CW137="",CZ137=""),"",SUM(CW137+CZ137)))</f>
        <v/>
      </c>
      <c r="DB137" s="68" t="str">
        <f>IF('School Profile'!$D$20="NO","",IF('Marks Entry'!AW137="","",'Marks Entry'!AW137))</f>
        <v/>
      </c>
      <c r="DC137" s="68" t="str">
        <f>IF('School Profile'!$D$20="NO","",IF('Marks Entry'!AX137="","",'Marks Entry'!AX137))</f>
        <v/>
      </c>
      <c r="DD137" s="515" t="str">
        <f>IF('School Profile'!$D$20="NO","",IF(AND(DB137="",DC137=""),"",SUM(DB137,DC137)))</f>
        <v/>
      </c>
      <c r="DE137" s="96" t="str">
        <f>IF('School Profile'!$D$20="NO","",IF(AND(DA137="",DD137=""),"",SUM(DA137,DD137)))</f>
        <v/>
      </c>
      <c r="DF137" s="532">
        <f t="shared" si="387"/>
        <v>0</v>
      </c>
      <c r="DG137" s="65">
        <f t="shared" si="388"/>
        <v>0</v>
      </c>
      <c r="DH137" s="66" t="str">
        <f t="shared" si="389"/>
        <v/>
      </c>
      <c r="DI137" s="65" t="str">
        <f t="shared" si="390"/>
        <v/>
      </c>
      <c r="DJ137" s="65" t="str">
        <f t="shared" si="391"/>
        <v/>
      </c>
      <c r="DK137" s="65" t="str">
        <f t="shared" si="392"/>
        <v/>
      </c>
      <c r="DL137" s="97" t="str">
        <f t="shared" si="432"/>
        <v/>
      </c>
      <c r="DM137" s="97" t="str">
        <f t="shared" si="433"/>
        <v/>
      </c>
      <c r="DN137" s="97" t="str">
        <f t="shared" si="434"/>
        <v/>
      </c>
      <c r="DO137" s="97" t="str">
        <f t="shared" si="435"/>
        <v/>
      </c>
      <c r="DP137" s="97" t="str">
        <f t="shared" si="436"/>
        <v/>
      </c>
      <c r="DQ137" s="97" t="str">
        <f t="shared" si="437"/>
        <v/>
      </c>
      <c r="DR137" s="97" t="str">
        <f t="shared" si="438"/>
        <v/>
      </c>
      <c r="DS137" s="98">
        <f t="shared" si="439"/>
        <v>0</v>
      </c>
      <c r="DT137" s="98">
        <f t="shared" si="440"/>
        <v>0</v>
      </c>
      <c r="DU137" s="98">
        <f t="shared" si="441"/>
        <v>0</v>
      </c>
      <c r="DV137" s="98">
        <f t="shared" si="442"/>
        <v>0</v>
      </c>
      <c r="DW137" s="98">
        <f t="shared" si="443"/>
        <v>0</v>
      </c>
      <c r="DX137" s="98" t="str">
        <f t="shared" si="444"/>
        <v/>
      </c>
      <c r="DY137" s="99" t="str">
        <f t="shared" si="445"/>
        <v/>
      </c>
      <c r="DZ137" s="74" t="str">
        <f>IF('Marks Entry'!AY137="","",'Marks Entry'!AY137)</f>
        <v/>
      </c>
      <c r="EA137" s="74" t="str">
        <f>IF('Marks Entry'!AZ137="","",'Marks Entry'!AZ137)</f>
        <v/>
      </c>
      <c r="EB137" s="74" t="str">
        <f>IF('Marks Entry'!BA137="","",'Marks Entry'!BA137)</f>
        <v/>
      </c>
      <c r="EC137" s="527" t="str">
        <f t="shared" si="393"/>
        <v/>
      </c>
      <c r="ED137" s="74" t="str">
        <f>IF('Marks Entry'!BB137="","",'Marks Entry'!BB137)</f>
        <v/>
      </c>
      <c r="EE137" s="528" t="str">
        <f t="shared" si="394"/>
        <v/>
      </c>
      <c r="EF137" s="74" t="str">
        <f>IF('Marks Entry'!BC137="","",'Marks Entry'!BC137)</f>
        <v/>
      </c>
      <c r="EG137" s="530" t="str">
        <f t="shared" si="395"/>
        <v/>
      </c>
      <c r="EH137" s="368" t="str">
        <f t="shared" si="446"/>
        <v/>
      </c>
      <c r="EI137" s="65">
        <f t="shared" si="447"/>
        <v>0</v>
      </c>
      <c r="EJ137" s="65">
        <f t="shared" si="448"/>
        <v>0</v>
      </c>
      <c r="EK137" s="66" t="str">
        <f t="shared" si="449"/>
        <v/>
      </c>
      <c r="EL137" s="74" t="str">
        <f>IF('Marks Entry'!BD137="","",'Marks Entry'!BD137)</f>
        <v/>
      </c>
      <c r="EM137" s="74" t="str">
        <f>IF('Marks Entry'!BE137="","",'Marks Entry'!BE137)</f>
        <v/>
      </c>
      <c r="EN137" s="74" t="str">
        <f>IF('Marks Entry'!BF137="","",'Marks Entry'!BF137)</f>
        <v/>
      </c>
      <c r="EO137" s="527" t="str">
        <f t="shared" si="396"/>
        <v/>
      </c>
      <c r="EP137" s="74" t="str">
        <f>IF('Marks Entry'!BG137="","",'Marks Entry'!BG137)</f>
        <v/>
      </c>
      <c r="EQ137" s="74" t="str">
        <f>IF('Marks Entry'!BH137="","",'Marks Entry'!BH137)</f>
        <v/>
      </c>
      <c r="ER137" s="528" t="str">
        <f t="shared" si="397"/>
        <v/>
      </c>
      <c r="ES137" s="529" t="str">
        <f t="shared" si="398"/>
        <v/>
      </c>
      <c r="ET137" s="74" t="str">
        <f>IF('Marks Entry'!BI137="","",'Marks Entry'!BI137)</f>
        <v/>
      </c>
      <c r="EU137" s="74" t="str">
        <f>IF('Marks Entry'!BJ137="","",'Marks Entry'!BJ137)</f>
        <v/>
      </c>
      <c r="EV137" s="528" t="str">
        <f t="shared" si="399"/>
        <v/>
      </c>
      <c r="EW137" s="530" t="str">
        <f t="shared" si="400"/>
        <v/>
      </c>
      <c r="EX137" s="368" t="str">
        <f t="shared" si="450"/>
        <v/>
      </c>
      <c r="EY137" s="65">
        <f t="shared" si="451"/>
        <v>0</v>
      </c>
      <c r="EZ137" s="65">
        <f t="shared" si="452"/>
        <v>0</v>
      </c>
      <c r="FA137" s="66" t="str">
        <f t="shared" si="453"/>
        <v/>
      </c>
      <c r="FB137" s="74" t="str">
        <f>IF('Marks Entry'!BK137="","",'Marks Entry'!BK137)</f>
        <v/>
      </c>
      <c r="FC137" s="74" t="str">
        <f>IF('Marks Entry'!BL137="","",'Marks Entry'!BL137)</f>
        <v/>
      </c>
      <c r="FD137" s="74" t="str">
        <f>IF('Marks Entry'!BM137="","",'Marks Entry'!BM137)</f>
        <v/>
      </c>
      <c r="FE137" s="74" t="str">
        <f>IF('Marks Entry'!BN137="","",'Marks Entry'!BN137)</f>
        <v/>
      </c>
      <c r="FF137" s="74" t="str">
        <f>IF('Marks Entry'!BO137="","",'Marks Entry'!BO137)</f>
        <v/>
      </c>
      <c r="FG137" s="74" t="str">
        <f>IF('Marks Entry'!BP137="","",'Marks Entry'!BP137)</f>
        <v/>
      </c>
      <c r="FH137" s="527" t="str">
        <f t="shared" si="401"/>
        <v/>
      </c>
      <c r="FI137" s="74" t="str">
        <f>IF('Marks Entry'!BQ137="","",'Marks Entry'!BQ137)</f>
        <v/>
      </c>
      <c r="FJ137" s="74" t="str">
        <f>IF('Marks Entry'!BR137="","",'Marks Entry'!BR137)</f>
        <v/>
      </c>
      <c r="FK137" s="528" t="str">
        <f t="shared" si="402"/>
        <v/>
      </c>
      <c r="FL137" s="529" t="str">
        <f t="shared" si="403"/>
        <v/>
      </c>
      <c r="FM137" s="74" t="str">
        <f>IF('Marks Entry'!BS137="","",'Marks Entry'!BS137)</f>
        <v/>
      </c>
      <c r="FN137" s="74" t="str">
        <f>IF('Marks Entry'!BT137="","",'Marks Entry'!BT137)</f>
        <v/>
      </c>
      <c r="FO137" s="528" t="str">
        <f t="shared" si="404"/>
        <v/>
      </c>
      <c r="FP137" s="530" t="str">
        <f t="shared" si="405"/>
        <v/>
      </c>
      <c r="FQ137" s="368" t="str">
        <f t="shared" si="454"/>
        <v/>
      </c>
      <c r="FR137" s="65">
        <f t="shared" si="455"/>
        <v>0</v>
      </c>
      <c r="FS137" s="65">
        <f t="shared" si="456"/>
        <v>0</v>
      </c>
      <c r="FT137" s="66" t="str">
        <f t="shared" si="457"/>
        <v/>
      </c>
      <c r="FU137" s="74" t="str">
        <f>IF('Marks Entry'!BU137="","",'Marks Entry'!BU137)</f>
        <v/>
      </c>
      <c r="FV137" s="74" t="str">
        <f>IF('Marks Entry'!BV137="","",'Marks Entry'!BV137)</f>
        <v/>
      </c>
      <c r="FW137" s="74" t="str">
        <f>IF('Marks Entry'!BW137="","",'Marks Entry'!BW137)</f>
        <v/>
      </c>
      <c r="FX137" s="75" t="str">
        <f t="shared" si="406"/>
        <v/>
      </c>
      <c r="FY137" s="368" t="str">
        <f t="shared" si="458"/>
        <v/>
      </c>
      <c r="FZ137" s="65">
        <f t="shared" si="459"/>
        <v>0</v>
      </c>
      <c r="GA137" s="66">
        <f t="shared" si="460"/>
        <v>0</v>
      </c>
      <c r="GB137" s="66" t="str">
        <f t="shared" si="461"/>
        <v/>
      </c>
      <c r="GC137" s="74" t="str">
        <f>IF('Marks Entry'!BX137="","",'Marks Entry'!BX137)</f>
        <v/>
      </c>
      <c r="GD137" s="74" t="str">
        <f>IF('Marks Entry'!BY137="","",'Marks Entry'!BY137)</f>
        <v/>
      </c>
      <c r="GE137" s="74" t="str">
        <f>IF('Marks Entry'!BZ137="","",'Marks Entry'!BZ137)</f>
        <v/>
      </c>
      <c r="GF137" s="75" t="str">
        <f t="shared" si="462"/>
        <v/>
      </c>
      <c r="GG137" s="368" t="str">
        <f t="shared" si="463"/>
        <v/>
      </c>
      <c r="GH137" s="65">
        <f t="shared" si="464"/>
        <v>0</v>
      </c>
      <c r="GI137" s="66">
        <f t="shared" si="465"/>
        <v>0</v>
      </c>
      <c r="GJ137" s="66" t="str">
        <f t="shared" si="466"/>
        <v/>
      </c>
      <c r="GK137" s="100" t="str">
        <f>IF(AND(F137="",B137=""),"",IF('Student DATA Entry'!M134="","",'Student DATA Entry'!M134))</f>
        <v/>
      </c>
      <c r="GL137" s="101" t="str">
        <f>IF(AND(B137="",F137=""),"",IF('Student DATA Entry'!N134="","",'Student DATA Entry'!N134))</f>
        <v/>
      </c>
      <c r="GM137" s="581" t="str">
        <f t="shared" si="467"/>
        <v/>
      </c>
      <c r="GN137" s="94" t="str">
        <f t="shared" si="468"/>
        <v/>
      </c>
      <c r="GO137" s="94" t="str">
        <f t="shared" si="469"/>
        <v/>
      </c>
      <c r="GP137" s="102" t="str">
        <f t="shared" si="407"/>
        <v/>
      </c>
      <c r="GQ137" s="94" t="str">
        <f t="shared" si="470"/>
        <v/>
      </c>
      <c r="GR137" s="103" t="str">
        <f t="shared" si="471"/>
        <v/>
      </c>
      <c r="GS137" s="102" t="str">
        <f t="shared" si="408"/>
        <v/>
      </c>
      <c r="GT137" s="104" t="str">
        <f t="shared" si="472"/>
        <v/>
      </c>
      <c r="GU137" s="94" t="str">
        <f>IF('Marks Entry'!V137=1,GT137,"")</f>
        <v/>
      </c>
      <c r="GV137" s="94" t="str">
        <f>IF('Marks Entry'!V137=2,GT137,"")</f>
        <v/>
      </c>
      <c r="GW137" s="94" t="str">
        <f>IF('Marks Entry'!V137=3,GT137,"")</f>
        <v/>
      </c>
      <c r="GX137" s="94" t="str">
        <f>IF('Marks Entry'!V137=4,GT137,"")</f>
        <v/>
      </c>
      <c r="GY137" s="94" t="str">
        <f>IF('Marks Entry'!V137=5,GT137,"")</f>
        <v/>
      </c>
      <c r="GZ137" s="94" t="str">
        <f t="shared" si="473"/>
        <v/>
      </c>
      <c r="HA137" s="105" t="str">
        <f t="shared" si="409"/>
        <v/>
      </c>
      <c r="HB137" s="94" t="str">
        <f t="shared" si="474"/>
        <v/>
      </c>
      <c r="HC137" s="94" t="str">
        <f t="shared" si="475"/>
        <v/>
      </c>
      <c r="HD137" s="105" t="str">
        <f t="shared" si="410"/>
        <v/>
      </c>
      <c r="HE137" s="94" t="str">
        <f t="shared" si="476"/>
        <v/>
      </c>
      <c r="HF137" s="94" t="str">
        <f t="shared" si="477"/>
        <v/>
      </c>
      <c r="HG137" s="105" t="str">
        <f t="shared" si="411"/>
        <v/>
      </c>
      <c r="HH137" s="94" t="str">
        <f t="shared" si="478"/>
        <v/>
      </c>
      <c r="HI137" s="94" t="str">
        <f t="shared" si="479"/>
        <v/>
      </c>
      <c r="HJ137" s="105" t="str">
        <f t="shared" si="412"/>
        <v/>
      </c>
      <c r="HK137" s="94" t="str">
        <f t="shared" si="480"/>
        <v/>
      </c>
      <c r="HL137" s="94" t="str">
        <f t="shared" si="481"/>
        <v/>
      </c>
      <c r="HM137" s="105" t="str">
        <f t="shared" si="413"/>
        <v/>
      </c>
      <c r="HN137" s="367" t="str">
        <f t="shared" si="482"/>
        <v xml:space="preserve">      </v>
      </c>
      <c r="HO137" s="418" t="str">
        <f t="shared" si="414"/>
        <v xml:space="preserve">      </v>
      </c>
      <c r="HP137" s="367" t="str">
        <f t="shared" si="483"/>
        <v xml:space="preserve">      </v>
      </c>
      <c r="HQ137" s="107" t="str">
        <f t="shared" si="484"/>
        <v xml:space="preserve">      </v>
      </c>
      <c r="HR137" s="366" t="str">
        <f t="shared" si="485"/>
        <v xml:space="preserve">      </v>
      </c>
      <c r="HS137" s="544" t="str">
        <f t="shared" si="415"/>
        <v/>
      </c>
      <c r="HT137" s="542" t="str">
        <f t="shared" si="486"/>
        <v/>
      </c>
      <c r="HU137" s="541" t="str">
        <f t="shared" si="487"/>
        <v/>
      </c>
      <c r="HV137" s="540" t="str">
        <f t="shared" si="488"/>
        <v/>
      </c>
      <c r="HW137" s="537" t="str">
        <f t="shared" si="489"/>
        <v/>
      </c>
      <c r="HX137" s="539" t="str">
        <f t="shared" si="490"/>
        <v/>
      </c>
      <c r="HY137" s="553" t="str">
        <f>IFERROR(IF(OR(HS137="SUPPLEMENTARY",HS137="RE-EXAM"),'Supp. Result Entry'!AQ135,""),"")</f>
        <v/>
      </c>
      <c r="HZ137" s="538" t="str">
        <f t="shared" si="491"/>
        <v/>
      </c>
      <c r="IA137" s="415" t="str">
        <f t="shared" si="492"/>
        <v/>
      </c>
      <c r="IB137" s="415" t="str">
        <f>IF(AND(HZ137="",IA137=""),"",IF(OR(HS137="SUPPLEMENTARY",HS137="RE-EXAM"),'Supp. Result Entry'!AQ135,HS137))</f>
        <v/>
      </c>
      <c r="IC137" s="87"/>
      <c r="IS137" s="109" t="str">
        <f>IF('Supp. Result Entry'!T135="","",'Supp. Result Entry'!$T$4)</f>
        <v/>
      </c>
      <c r="IT137" s="110" t="str">
        <f>IF('Supp. Result Entry'!W135="","",'Supp. Result Entry'!$W$4)</f>
        <v/>
      </c>
      <c r="IU137" s="110" t="str">
        <f>IF('Supp. Result Entry'!Z135="","",'Supp. Result Entry'!$Z$4)</f>
        <v/>
      </c>
      <c r="IV137" s="110" t="str">
        <f>IF('Supp. Result Entry'!AC135="","",'Supp. Result Entry'!$AC$4)</f>
        <v/>
      </c>
      <c r="IW137" s="110" t="str">
        <f>IF('Supp. Result Entry'!AF135="","",'Supp. Result Entry'!$AF$4)</f>
        <v/>
      </c>
      <c r="IX137" s="110" t="str">
        <f>IF('Supp. Result Entry'!AI135="","",'Supp. Result Entry'!$AI$4)</f>
        <v/>
      </c>
      <c r="IY137" s="110" t="str">
        <f>IF('Supp. Result Entry'!AI135="","",'Supp. Result Entry'!$AL$4)</f>
        <v/>
      </c>
      <c r="IZ137" s="110" t="str">
        <f>IF('Supp. Result Entry'!U135="","",'Supp. Result Entry'!U135)</f>
        <v/>
      </c>
      <c r="JA137" s="110" t="str">
        <f>IF('Supp. Result Entry'!X135="","",'Supp. Result Entry'!X135)</f>
        <v/>
      </c>
      <c r="JB137" s="110" t="str">
        <f>IF('Supp. Result Entry'!AA135="","",'Supp. Result Entry'!AA135)</f>
        <v/>
      </c>
      <c r="JC137" s="110" t="str">
        <f>IF('Supp. Result Entry'!AD135="","",'Supp. Result Entry'!AD135)</f>
        <v/>
      </c>
      <c r="JD137" s="110" t="str">
        <f>IF('Supp. Result Entry'!AG135="","",'Supp. Result Entry'!AG135)</f>
        <v/>
      </c>
      <c r="JE137" s="110" t="str">
        <f>IF('Supp. Result Entry'!AJ135="","",'Supp. Result Entry'!AJ135)</f>
        <v/>
      </c>
      <c r="JF137" s="110" t="str">
        <f>IF('Supp. Result Entry'!AM135="","",'Supp. Result Entry'!AM135)</f>
        <v/>
      </c>
      <c r="JG137" s="110" t="str">
        <f>IF('Supp. Result Entry'!V135="","",'Supp. Result Entry'!V135)</f>
        <v/>
      </c>
      <c r="JH137" s="110" t="str">
        <f>IF('Supp. Result Entry'!Y135="","",'Supp. Result Entry'!Y135)</f>
        <v/>
      </c>
      <c r="JI137" s="110" t="str">
        <f>IF('Supp. Result Entry'!AB135="","",'Supp. Result Entry'!AB135)</f>
        <v/>
      </c>
      <c r="JJ137" s="110" t="str">
        <f>IF('Supp. Result Entry'!AE135="","",'Supp. Result Entry'!AE135)</f>
        <v/>
      </c>
      <c r="JK137" s="110" t="str">
        <f>IF('Supp. Result Entry'!AH135="","",'Supp. Result Entry'!AH135)</f>
        <v/>
      </c>
      <c r="JL137" s="110" t="str">
        <f>IF('Supp. Result Entry'!AK135="","",'Supp. Result Entry'!AK135)</f>
        <v/>
      </c>
      <c r="JM137" s="110" t="str">
        <f>IF('Supp. Result Entry'!AN135="","",'Supp. Result Entry'!AN135)</f>
        <v/>
      </c>
      <c r="JN137" s="110">
        <f>COUNTIF('Supp. Result Entry'!K135:Q135,"S")</f>
        <v>0</v>
      </c>
      <c r="JO137" s="110">
        <f t="shared" si="416"/>
        <v>0</v>
      </c>
      <c r="JP137" s="110">
        <f t="shared" si="493"/>
        <v>0</v>
      </c>
      <c r="JQ137" s="110" t="str">
        <f t="shared" si="417"/>
        <v/>
      </c>
      <c r="JR137" s="110" t="str">
        <f t="shared" si="418"/>
        <v/>
      </c>
      <c r="JS137" s="110" t="str">
        <f t="shared" si="419"/>
        <v/>
      </c>
      <c r="JT137" s="110" t="str">
        <f t="shared" si="420"/>
        <v/>
      </c>
      <c r="JU137" s="110" t="str">
        <f t="shared" si="421"/>
        <v/>
      </c>
      <c r="JV137" s="110" t="str">
        <f t="shared" si="422"/>
        <v/>
      </c>
      <c r="JW137" s="110" t="str">
        <f t="shared" si="423"/>
        <v/>
      </c>
      <c r="JX137" s="110" t="str">
        <f t="shared" si="494"/>
        <v/>
      </c>
      <c r="JY137" s="110" t="str">
        <f t="shared" si="495"/>
        <v/>
      </c>
      <c r="JZ137" s="110" t="str">
        <f t="shared" si="424"/>
        <v/>
      </c>
      <c r="KA137" s="108" t="str">
        <f t="shared" si="496"/>
        <v/>
      </c>
    </row>
    <row r="138" spans="1:287" s="108" customFormat="1" ht="21.95" customHeight="1">
      <c r="A138" s="89">
        <v>132</v>
      </c>
      <c r="B138" s="90" t="str">
        <f>IF('Marks Entry'!B138="","",'Marks Entry'!B138)</f>
        <v/>
      </c>
      <c r="C138" s="94" t="str">
        <f>IF('Marks Entry'!D138="","",'Marks Entry'!D138)</f>
        <v/>
      </c>
      <c r="D138" s="91" t="str">
        <f>IF('Marks Entry'!E138="","",'Marks Entry'!E138)</f>
        <v/>
      </c>
      <c r="E138" s="92" t="str">
        <f>IF('Marks Entry'!F138="","",'Marks Entry'!F138)</f>
        <v/>
      </c>
      <c r="F138" s="93" t="str">
        <f>IF('Marks Entry'!G138="","",'Marks Entry'!G138)</f>
        <v/>
      </c>
      <c r="G138" s="93" t="str">
        <f>IF('Marks Entry'!H138="","",'Marks Entry'!H138)</f>
        <v/>
      </c>
      <c r="H138" s="93" t="str">
        <f>IF('Marks Entry'!I138="","",'Marks Entry'!I138)</f>
        <v/>
      </c>
      <c r="I138" s="94" t="str">
        <f>IF('Marks Entry'!J138="","",'Marks Entry'!J138)</f>
        <v/>
      </c>
      <c r="J138" s="95" t="str">
        <f>IF('Marks Entry'!K138="","",'Marks Entry'!K138)</f>
        <v/>
      </c>
      <c r="K138" s="68" t="str">
        <f>IF('Marks Entry'!L138="","",'Marks Entry'!L138)</f>
        <v/>
      </c>
      <c r="L138" s="68" t="str">
        <f>IF('Marks Entry'!M138="","",'Marks Entry'!M138)</f>
        <v/>
      </c>
      <c r="M138" s="68" t="str">
        <f>IF('Marks Entry'!N138="","",'Marks Entry'!N138)</f>
        <v/>
      </c>
      <c r="N138" s="514" t="str">
        <f t="shared" si="425"/>
        <v/>
      </c>
      <c r="O138" s="68" t="str">
        <f>IF('Marks Entry'!O138="","",'Marks Entry'!O138)</f>
        <v/>
      </c>
      <c r="P138" s="515" t="str">
        <f t="shared" si="426"/>
        <v/>
      </c>
      <c r="Q138" s="68" t="str">
        <f>IF('Marks Entry'!P138="","",'Marks Entry'!P138)</f>
        <v/>
      </c>
      <c r="R138" s="96" t="str">
        <f t="shared" si="427"/>
        <v/>
      </c>
      <c r="S138" s="65">
        <f t="shared" si="428"/>
        <v>0</v>
      </c>
      <c r="T138" s="65">
        <f t="shared" si="429"/>
        <v>0</v>
      </c>
      <c r="U138" s="66" t="str">
        <f t="shared" si="339"/>
        <v/>
      </c>
      <c r="V138" s="65" t="str">
        <f t="shared" si="340"/>
        <v/>
      </c>
      <c r="W138" s="65" t="str">
        <f t="shared" si="430"/>
        <v/>
      </c>
      <c r="X138" s="65" t="str">
        <f t="shared" si="341"/>
        <v/>
      </c>
      <c r="Y138" s="68" t="str">
        <f>IF('Marks Entry'!Q138="","",'Marks Entry'!Q138)</f>
        <v/>
      </c>
      <c r="Z138" s="68" t="str">
        <f>IF('Marks Entry'!R138="","",'Marks Entry'!R138)</f>
        <v/>
      </c>
      <c r="AA138" s="68" t="str">
        <f>IF('Marks Entry'!S138="","",'Marks Entry'!S138)</f>
        <v/>
      </c>
      <c r="AB138" s="514" t="str">
        <f t="shared" si="342"/>
        <v/>
      </c>
      <c r="AC138" s="68" t="str">
        <f>IF('Marks Entry'!T138="","",'Marks Entry'!T138)</f>
        <v/>
      </c>
      <c r="AD138" s="515" t="str">
        <f t="shared" si="343"/>
        <v/>
      </c>
      <c r="AE138" s="68" t="str">
        <f>IF('Marks Entry'!U138="","",'Marks Entry'!U138)</f>
        <v/>
      </c>
      <c r="AF138" s="96" t="str">
        <f t="shared" si="344"/>
        <v/>
      </c>
      <c r="AG138" s="65">
        <f t="shared" si="345"/>
        <v>0</v>
      </c>
      <c r="AH138" s="65">
        <f t="shared" si="346"/>
        <v>0</v>
      </c>
      <c r="AI138" s="66" t="str">
        <f t="shared" si="347"/>
        <v/>
      </c>
      <c r="AJ138" s="65" t="str">
        <f t="shared" si="348"/>
        <v/>
      </c>
      <c r="AK138" s="65" t="str">
        <f t="shared" si="349"/>
        <v/>
      </c>
      <c r="AL138" s="65" t="str">
        <f t="shared" si="350"/>
        <v/>
      </c>
      <c r="AM138" s="524" t="str">
        <f>IF('Marks Entry'!V138="","",IF('Marks Entry'!V138=1,'School Profile'!$I$9,IF('Marks Entry'!V138=2,'School Profile'!$I$10,IF('Marks Entry'!V138=3,'School Profile'!$I$11,IF('Marks Entry'!V138=4,'School Profile'!$I$12,IF('Marks Entry'!V138=5,'School Profile'!$I$13,IF('Marks Entry'!V138=6,'School Profile'!$I$14,"")))))))</f>
        <v/>
      </c>
      <c r="AN138" s="68" t="str">
        <f>IF('Marks Entry'!W138="","",'Marks Entry'!W138)</f>
        <v/>
      </c>
      <c r="AO138" s="68" t="str">
        <f>IF('Marks Entry'!X138="","",'Marks Entry'!X138)</f>
        <v/>
      </c>
      <c r="AP138" s="68" t="str">
        <f>IF('Marks Entry'!Y138="","",'Marks Entry'!Y138)</f>
        <v/>
      </c>
      <c r="AQ138" s="514" t="str">
        <f t="shared" si="351"/>
        <v/>
      </c>
      <c r="AR138" s="68" t="str">
        <f>IF('Marks Entry'!Z138="","",'Marks Entry'!Z138)</f>
        <v/>
      </c>
      <c r="AS138" s="515" t="str">
        <f t="shared" si="352"/>
        <v/>
      </c>
      <c r="AT138" s="68" t="str">
        <f>IF('Marks Entry'!AA138="","",'Marks Entry'!AA138)</f>
        <v/>
      </c>
      <c r="AU138" s="96" t="str">
        <f t="shared" si="353"/>
        <v/>
      </c>
      <c r="AV138" s="65">
        <f t="shared" si="354"/>
        <v>0</v>
      </c>
      <c r="AW138" s="65">
        <f t="shared" si="355"/>
        <v>0</v>
      </c>
      <c r="AX138" s="66" t="str">
        <f t="shared" si="356"/>
        <v/>
      </c>
      <c r="AY138" s="65" t="str">
        <f t="shared" si="357"/>
        <v/>
      </c>
      <c r="AZ138" s="65" t="str">
        <f t="shared" si="358"/>
        <v/>
      </c>
      <c r="BA138" s="65" t="str">
        <f t="shared" si="359"/>
        <v/>
      </c>
      <c r="BB138" s="68" t="str">
        <f>IF('Marks Entry'!AB138="","",'Marks Entry'!AB138)</f>
        <v/>
      </c>
      <c r="BC138" s="68" t="str">
        <f>IF('Marks Entry'!AC138="","",'Marks Entry'!AC138)</f>
        <v/>
      </c>
      <c r="BD138" s="68" t="str">
        <f>IF('Marks Entry'!AD138="","",'Marks Entry'!AD138)</f>
        <v/>
      </c>
      <c r="BE138" s="514" t="str">
        <f t="shared" si="360"/>
        <v/>
      </c>
      <c r="BF138" s="68" t="str">
        <f>IF('Marks Entry'!AE138="","",'Marks Entry'!AE138)</f>
        <v/>
      </c>
      <c r="BG138" s="515" t="str">
        <f t="shared" si="361"/>
        <v/>
      </c>
      <c r="BH138" s="68" t="str">
        <f>IF('Marks Entry'!AF138="","",'Marks Entry'!AF138)</f>
        <v/>
      </c>
      <c r="BI138" s="96" t="str">
        <f t="shared" si="362"/>
        <v/>
      </c>
      <c r="BJ138" s="65">
        <f t="shared" si="363"/>
        <v>0</v>
      </c>
      <c r="BK138" s="65">
        <f t="shared" si="431"/>
        <v>0</v>
      </c>
      <c r="BL138" s="66" t="str">
        <f t="shared" si="364"/>
        <v/>
      </c>
      <c r="BM138" s="65" t="str">
        <f t="shared" si="365"/>
        <v/>
      </c>
      <c r="BN138" s="65" t="str">
        <f t="shared" si="366"/>
        <v/>
      </c>
      <c r="BO138" s="65" t="str">
        <f t="shared" si="367"/>
        <v/>
      </c>
      <c r="BP138" s="68" t="str">
        <f>IF('Marks Entry'!AG138="","",'Marks Entry'!AG138)</f>
        <v/>
      </c>
      <c r="BQ138" s="68" t="str">
        <f>IF('Marks Entry'!AH138="","",'Marks Entry'!AH138)</f>
        <v/>
      </c>
      <c r="BR138" s="68" t="str">
        <f>IF('Marks Entry'!AI138="","",'Marks Entry'!AI138)</f>
        <v/>
      </c>
      <c r="BS138" s="514" t="str">
        <f t="shared" si="368"/>
        <v/>
      </c>
      <c r="BT138" s="68" t="str">
        <f>IF('Marks Entry'!AJ138="","",'Marks Entry'!AJ138)</f>
        <v/>
      </c>
      <c r="BU138" s="515" t="str">
        <f t="shared" si="369"/>
        <v/>
      </c>
      <c r="BV138" s="68" t="str">
        <f>IF('Marks Entry'!AK138="","",'Marks Entry'!AK138)</f>
        <v/>
      </c>
      <c r="BW138" s="96" t="str">
        <f t="shared" si="370"/>
        <v/>
      </c>
      <c r="BX138" s="65">
        <f t="shared" si="371"/>
        <v>0</v>
      </c>
      <c r="BY138" s="65">
        <f t="shared" si="372"/>
        <v>0</v>
      </c>
      <c r="BZ138" s="66" t="str">
        <f t="shared" si="373"/>
        <v/>
      </c>
      <c r="CA138" s="65" t="str">
        <f t="shared" si="374"/>
        <v/>
      </c>
      <c r="CB138" s="65" t="str">
        <f t="shared" si="375"/>
        <v/>
      </c>
      <c r="CC138" s="65" t="str">
        <f t="shared" si="376"/>
        <v/>
      </c>
      <c r="CD138" s="66">
        <f t="shared" si="377"/>
        <v>0</v>
      </c>
      <c r="CE138" s="68" t="str">
        <f>IF('Marks Entry'!AL138="","",'Marks Entry'!AL138)</f>
        <v/>
      </c>
      <c r="CF138" s="68" t="str">
        <f>IF('Marks Entry'!AM138="","",'Marks Entry'!AM138)</f>
        <v/>
      </c>
      <c r="CG138" s="68" t="str">
        <f>IF('Marks Entry'!AN138="","",'Marks Entry'!AN138)</f>
        <v/>
      </c>
      <c r="CH138" s="514" t="str">
        <f t="shared" si="378"/>
        <v/>
      </c>
      <c r="CI138" s="68" t="str">
        <f>IF('Marks Entry'!AO138="","",'Marks Entry'!AO138)</f>
        <v/>
      </c>
      <c r="CJ138" s="515" t="str">
        <f t="shared" si="379"/>
        <v/>
      </c>
      <c r="CK138" s="68" t="str">
        <f>IF('Marks Entry'!AP138="","",'Marks Entry'!AP138)</f>
        <v/>
      </c>
      <c r="CL138" s="96" t="str">
        <f t="shared" si="380"/>
        <v/>
      </c>
      <c r="CM138" s="65">
        <f t="shared" si="381"/>
        <v>0</v>
      </c>
      <c r="CN138" s="65">
        <f t="shared" si="382"/>
        <v>0</v>
      </c>
      <c r="CO138" s="66" t="str">
        <f t="shared" si="383"/>
        <v/>
      </c>
      <c r="CP138" s="65" t="str">
        <f t="shared" si="384"/>
        <v/>
      </c>
      <c r="CQ138" s="65" t="str">
        <f t="shared" si="385"/>
        <v/>
      </c>
      <c r="CR138" s="65" t="str">
        <f t="shared" si="386"/>
        <v/>
      </c>
      <c r="CS138" s="616" t="str">
        <f>IF('School Profile'!$D$20="NO","",IF('Marks Entry'!AQ138="","",IF('Marks Entry'!AQ138=1,'School Profile'!$I$29,IF('Marks Entry'!AQ138=2,'School Profile'!$I$30,IF('Marks Entry'!AQ138=3,'School Profile'!$I$31,IF('Marks Entry'!AQ138=4,'School Profile'!$I$32,IF('Marks Entry'!AQ138=5,'School Profile'!$I$33,IF('Marks Entry'!AQ138=6,'School Profile'!$I$34,IF('Marks Entry'!AQ138=7,'School Profile'!$I$35,IF('Marks Entry'!AQ138=8,'School Profile'!$I$36,IF('Marks Entry'!AQ138=9,'School Profile'!$I$37,IF('Marks Entry'!AQ138=10,'School Profile'!$I$38,IF('Marks Entry'!AQ138=11,'School Profile'!$I$39,"")))))))))))))</f>
        <v/>
      </c>
      <c r="CT138" s="68" t="str">
        <f>IF('School Profile'!$D$20="NO","",IF('Marks Entry'!AR138="","",'Marks Entry'!AR138))</f>
        <v/>
      </c>
      <c r="CU138" s="68" t="str">
        <f>IF('School Profile'!$D$20="NO","",IF('Marks Entry'!AS138="","",'Marks Entry'!AS138))</f>
        <v/>
      </c>
      <c r="CV138" s="68" t="str">
        <f>IF('School Profile'!$D$20="NO","",IF('Marks Entry'!AT138="","",'Marks Entry'!AT138))</f>
        <v/>
      </c>
      <c r="CW138" s="514" t="str">
        <f>IF('School Profile'!$D$20="NO","",IF(AND(CT138="",CU138="",CV138=""),"",SUM(CT138:CV138)))</f>
        <v/>
      </c>
      <c r="CX138" s="68" t="str">
        <f>IF('School Profile'!$D$20="NO","",IF('Marks Entry'!AU138="","",'Marks Entry'!AU138))</f>
        <v/>
      </c>
      <c r="CY138" s="68" t="str">
        <f>IF('School Profile'!$D$20="NO","",IF('Marks Entry'!AV138="","",'Marks Entry'!AV138))</f>
        <v/>
      </c>
      <c r="CZ138" s="515" t="str">
        <f>IF('School Profile'!$D$20="NO","",IF(AND(CX138="",CY138=""),"",SUM(CX138,CY138)))</f>
        <v/>
      </c>
      <c r="DA138" s="69" t="str">
        <f>IF('School Profile'!$D$20="NO","",IF(AND(CW138="",CZ138=""),"",SUM(CW138+CZ138)))</f>
        <v/>
      </c>
      <c r="DB138" s="68" t="str">
        <f>IF('School Profile'!$D$20="NO","",IF('Marks Entry'!AW138="","",'Marks Entry'!AW138))</f>
        <v/>
      </c>
      <c r="DC138" s="68" t="str">
        <f>IF('School Profile'!$D$20="NO","",IF('Marks Entry'!AX138="","",'Marks Entry'!AX138))</f>
        <v/>
      </c>
      <c r="DD138" s="515" t="str">
        <f>IF('School Profile'!$D$20="NO","",IF(AND(DB138="",DC138=""),"",SUM(DB138,DC138)))</f>
        <v/>
      </c>
      <c r="DE138" s="96" t="str">
        <f>IF('School Profile'!$D$20="NO","",IF(AND(DA138="",DD138=""),"",SUM(DA138,DD138)))</f>
        <v/>
      </c>
      <c r="DF138" s="532">
        <f t="shared" si="387"/>
        <v>0</v>
      </c>
      <c r="DG138" s="65">
        <f t="shared" si="388"/>
        <v>0</v>
      </c>
      <c r="DH138" s="66" t="str">
        <f t="shared" si="389"/>
        <v/>
      </c>
      <c r="DI138" s="65" t="str">
        <f t="shared" si="390"/>
        <v/>
      </c>
      <c r="DJ138" s="65" t="str">
        <f t="shared" si="391"/>
        <v/>
      </c>
      <c r="DK138" s="65" t="str">
        <f t="shared" si="392"/>
        <v/>
      </c>
      <c r="DL138" s="97" t="str">
        <f t="shared" si="432"/>
        <v/>
      </c>
      <c r="DM138" s="97" t="str">
        <f t="shared" si="433"/>
        <v/>
      </c>
      <c r="DN138" s="97" t="str">
        <f t="shared" si="434"/>
        <v/>
      </c>
      <c r="DO138" s="97" t="str">
        <f t="shared" si="435"/>
        <v/>
      </c>
      <c r="DP138" s="97" t="str">
        <f t="shared" si="436"/>
        <v/>
      </c>
      <c r="DQ138" s="97" t="str">
        <f t="shared" si="437"/>
        <v/>
      </c>
      <c r="DR138" s="97" t="str">
        <f t="shared" si="438"/>
        <v/>
      </c>
      <c r="DS138" s="98">
        <f t="shared" si="439"/>
        <v>0</v>
      </c>
      <c r="DT138" s="98">
        <f t="shared" si="440"/>
        <v>0</v>
      </c>
      <c r="DU138" s="98">
        <f t="shared" si="441"/>
        <v>0</v>
      </c>
      <c r="DV138" s="98">
        <f t="shared" si="442"/>
        <v>0</v>
      </c>
      <c r="DW138" s="98">
        <f t="shared" si="443"/>
        <v>0</v>
      </c>
      <c r="DX138" s="98" t="str">
        <f t="shared" si="444"/>
        <v/>
      </c>
      <c r="DY138" s="99" t="str">
        <f t="shared" si="445"/>
        <v/>
      </c>
      <c r="DZ138" s="74" t="str">
        <f>IF('Marks Entry'!AY138="","",'Marks Entry'!AY138)</f>
        <v/>
      </c>
      <c r="EA138" s="74" t="str">
        <f>IF('Marks Entry'!AZ138="","",'Marks Entry'!AZ138)</f>
        <v/>
      </c>
      <c r="EB138" s="74" t="str">
        <f>IF('Marks Entry'!BA138="","",'Marks Entry'!BA138)</f>
        <v/>
      </c>
      <c r="EC138" s="527" t="str">
        <f t="shared" si="393"/>
        <v/>
      </c>
      <c r="ED138" s="74" t="str">
        <f>IF('Marks Entry'!BB138="","",'Marks Entry'!BB138)</f>
        <v/>
      </c>
      <c r="EE138" s="528" t="str">
        <f t="shared" si="394"/>
        <v/>
      </c>
      <c r="EF138" s="74" t="str">
        <f>IF('Marks Entry'!BC138="","",'Marks Entry'!BC138)</f>
        <v/>
      </c>
      <c r="EG138" s="530" t="str">
        <f t="shared" si="395"/>
        <v/>
      </c>
      <c r="EH138" s="368" t="str">
        <f t="shared" si="446"/>
        <v/>
      </c>
      <c r="EI138" s="65">
        <f t="shared" si="447"/>
        <v>0</v>
      </c>
      <c r="EJ138" s="65">
        <f t="shared" si="448"/>
        <v>0</v>
      </c>
      <c r="EK138" s="66" t="str">
        <f t="shared" si="449"/>
        <v/>
      </c>
      <c r="EL138" s="74" t="str">
        <f>IF('Marks Entry'!BD138="","",'Marks Entry'!BD138)</f>
        <v/>
      </c>
      <c r="EM138" s="74" t="str">
        <f>IF('Marks Entry'!BE138="","",'Marks Entry'!BE138)</f>
        <v/>
      </c>
      <c r="EN138" s="74" t="str">
        <f>IF('Marks Entry'!BF138="","",'Marks Entry'!BF138)</f>
        <v/>
      </c>
      <c r="EO138" s="527" t="str">
        <f t="shared" si="396"/>
        <v/>
      </c>
      <c r="EP138" s="74" t="str">
        <f>IF('Marks Entry'!BG138="","",'Marks Entry'!BG138)</f>
        <v/>
      </c>
      <c r="EQ138" s="74" t="str">
        <f>IF('Marks Entry'!BH138="","",'Marks Entry'!BH138)</f>
        <v/>
      </c>
      <c r="ER138" s="528" t="str">
        <f t="shared" si="397"/>
        <v/>
      </c>
      <c r="ES138" s="529" t="str">
        <f t="shared" si="398"/>
        <v/>
      </c>
      <c r="ET138" s="74" t="str">
        <f>IF('Marks Entry'!BI138="","",'Marks Entry'!BI138)</f>
        <v/>
      </c>
      <c r="EU138" s="74" t="str">
        <f>IF('Marks Entry'!BJ138="","",'Marks Entry'!BJ138)</f>
        <v/>
      </c>
      <c r="EV138" s="528" t="str">
        <f t="shared" si="399"/>
        <v/>
      </c>
      <c r="EW138" s="530" t="str">
        <f t="shared" si="400"/>
        <v/>
      </c>
      <c r="EX138" s="368" t="str">
        <f t="shared" si="450"/>
        <v/>
      </c>
      <c r="EY138" s="65">
        <f t="shared" si="451"/>
        <v>0</v>
      </c>
      <c r="EZ138" s="65">
        <f t="shared" si="452"/>
        <v>0</v>
      </c>
      <c r="FA138" s="66" t="str">
        <f t="shared" si="453"/>
        <v/>
      </c>
      <c r="FB138" s="74" t="str">
        <f>IF('Marks Entry'!BK138="","",'Marks Entry'!BK138)</f>
        <v/>
      </c>
      <c r="FC138" s="74" t="str">
        <f>IF('Marks Entry'!BL138="","",'Marks Entry'!BL138)</f>
        <v/>
      </c>
      <c r="FD138" s="74" t="str">
        <f>IF('Marks Entry'!BM138="","",'Marks Entry'!BM138)</f>
        <v/>
      </c>
      <c r="FE138" s="74" t="str">
        <f>IF('Marks Entry'!BN138="","",'Marks Entry'!BN138)</f>
        <v/>
      </c>
      <c r="FF138" s="74" t="str">
        <f>IF('Marks Entry'!BO138="","",'Marks Entry'!BO138)</f>
        <v/>
      </c>
      <c r="FG138" s="74" t="str">
        <f>IF('Marks Entry'!BP138="","",'Marks Entry'!BP138)</f>
        <v/>
      </c>
      <c r="FH138" s="527" t="str">
        <f t="shared" si="401"/>
        <v/>
      </c>
      <c r="FI138" s="74" t="str">
        <f>IF('Marks Entry'!BQ138="","",'Marks Entry'!BQ138)</f>
        <v/>
      </c>
      <c r="FJ138" s="74" t="str">
        <f>IF('Marks Entry'!BR138="","",'Marks Entry'!BR138)</f>
        <v/>
      </c>
      <c r="FK138" s="528" t="str">
        <f t="shared" si="402"/>
        <v/>
      </c>
      <c r="FL138" s="529" t="str">
        <f t="shared" si="403"/>
        <v/>
      </c>
      <c r="FM138" s="74" t="str">
        <f>IF('Marks Entry'!BS138="","",'Marks Entry'!BS138)</f>
        <v/>
      </c>
      <c r="FN138" s="74" t="str">
        <f>IF('Marks Entry'!BT138="","",'Marks Entry'!BT138)</f>
        <v/>
      </c>
      <c r="FO138" s="528" t="str">
        <f t="shared" si="404"/>
        <v/>
      </c>
      <c r="FP138" s="530" t="str">
        <f t="shared" si="405"/>
        <v/>
      </c>
      <c r="FQ138" s="368" t="str">
        <f t="shared" si="454"/>
        <v/>
      </c>
      <c r="FR138" s="65">
        <f t="shared" si="455"/>
        <v>0</v>
      </c>
      <c r="FS138" s="65">
        <f t="shared" si="456"/>
        <v>0</v>
      </c>
      <c r="FT138" s="66" t="str">
        <f t="shared" si="457"/>
        <v/>
      </c>
      <c r="FU138" s="74" t="str">
        <f>IF('Marks Entry'!BU138="","",'Marks Entry'!BU138)</f>
        <v/>
      </c>
      <c r="FV138" s="74" t="str">
        <f>IF('Marks Entry'!BV138="","",'Marks Entry'!BV138)</f>
        <v/>
      </c>
      <c r="FW138" s="74" t="str">
        <f>IF('Marks Entry'!BW138="","",'Marks Entry'!BW138)</f>
        <v/>
      </c>
      <c r="FX138" s="75" t="str">
        <f t="shared" si="406"/>
        <v/>
      </c>
      <c r="FY138" s="368" t="str">
        <f t="shared" si="458"/>
        <v/>
      </c>
      <c r="FZ138" s="65">
        <f t="shared" si="459"/>
        <v>0</v>
      </c>
      <c r="GA138" s="66">
        <f t="shared" si="460"/>
        <v>0</v>
      </c>
      <c r="GB138" s="66" t="str">
        <f t="shared" si="461"/>
        <v/>
      </c>
      <c r="GC138" s="74" t="str">
        <f>IF('Marks Entry'!BX138="","",'Marks Entry'!BX138)</f>
        <v/>
      </c>
      <c r="GD138" s="74" t="str">
        <f>IF('Marks Entry'!BY138="","",'Marks Entry'!BY138)</f>
        <v/>
      </c>
      <c r="GE138" s="74" t="str">
        <f>IF('Marks Entry'!BZ138="","",'Marks Entry'!BZ138)</f>
        <v/>
      </c>
      <c r="GF138" s="75" t="str">
        <f t="shared" si="462"/>
        <v/>
      </c>
      <c r="GG138" s="368" t="str">
        <f t="shared" si="463"/>
        <v/>
      </c>
      <c r="GH138" s="65">
        <f t="shared" si="464"/>
        <v>0</v>
      </c>
      <c r="GI138" s="66">
        <f t="shared" si="465"/>
        <v>0</v>
      </c>
      <c r="GJ138" s="66" t="str">
        <f t="shared" si="466"/>
        <v/>
      </c>
      <c r="GK138" s="100" t="str">
        <f>IF(AND(F138="",B138=""),"",IF('Student DATA Entry'!M135="","",'Student DATA Entry'!M135))</f>
        <v/>
      </c>
      <c r="GL138" s="101" t="str">
        <f>IF(AND(B138="",F138=""),"",IF('Student DATA Entry'!N135="","",'Student DATA Entry'!N135))</f>
        <v/>
      </c>
      <c r="GM138" s="581" t="str">
        <f t="shared" si="467"/>
        <v/>
      </c>
      <c r="GN138" s="94" t="str">
        <f t="shared" si="468"/>
        <v/>
      </c>
      <c r="GO138" s="94" t="str">
        <f t="shared" si="469"/>
        <v/>
      </c>
      <c r="GP138" s="102" t="str">
        <f t="shared" si="407"/>
        <v/>
      </c>
      <c r="GQ138" s="94" t="str">
        <f t="shared" si="470"/>
        <v/>
      </c>
      <c r="GR138" s="103" t="str">
        <f t="shared" si="471"/>
        <v/>
      </c>
      <c r="GS138" s="102" t="str">
        <f t="shared" si="408"/>
        <v/>
      </c>
      <c r="GT138" s="104" t="str">
        <f t="shared" si="472"/>
        <v/>
      </c>
      <c r="GU138" s="94" t="str">
        <f>IF('Marks Entry'!V138=1,GT138,"")</f>
        <v/>
      </c>
      <c r="GV138" s="94" t="str">
        <f>IF('Marks Entry'!V138=2,GT138,"")</f>
        <v/>
      </c>
      <c r="GW138" s="94" t="str">
        <f>IF('Marks Entry'!V138=3,GT138,"")</f>
        <v/>
      </c>
      <c r="GX138" s="94" t="str">
        <f>IF('Marks Entry'!V138=4,GT138,"")</f>
        <v/>
      </c>
      <c r="GY138" s="94" t="str">
        <f>IF('Marks Entry'!V138=5,GT138,"")</f>
        <v/>
      </c>
      <c r="GZ138" s="94" t="str">
        <f t="shared" si="473"/>
        <v/>
      </c>
      <c r="HA138" s="105" t="str">
        <f t="shared" si="409"/>
        <v/>
      </c>
      <c r="HB138" s="94" t="str">
        <f t="shared" si="474"/>
        <v/>
      </c>
      <c r="HC138" s="94" t="str">
        <f t="shared" si="475"/>
        <v/>
      </c>
      <c r="HD138" s="105" t="str">
        <f t="shared" si="410"/>
        <v/>
      </c>
      <c r="HE138" s="94" t="str">
        <f t="shared" si="476"/>
        <v/>
      </c>
      <c r="HF138" s="94" t="str">
        <f t="shared" si="477"/>
        <v/>
      </c>
      <c r="HG138" s="105" t="str">
        <f t="shared" si="411"/>
        <v/>
      </c>
      <c r="HH138" s="94" t="str">
        <f t="shared" si="478"/>
        <v/>
      </c>
      <c r="HI138" s="94" t="str">
        <f t="shared" si="479"/>
        <v/>
      </c>
      <c r="HJ138" s="105" t="str">
        <f t="shared" si="412"/>
        <v/>
      </c>
      <c r="HK138" s="94" t="str">
        <f t="shared" si="480"/>
        <v/>
      </c>
      <c r="HL138" s="94" t="str">
        <f t="shared" si="481"/>
        <v/>
      </c>
      <c r="HM138" s="105" t="str">
        <f t="shared" si="413"/>
        <v/>
      </c>
      <c r="HN138" s="367" t="str">
        <f t="shared" si="482"/>
        <v xml:space="preserve">      </v>
      </c>
      <c r="HO138" s="418" t="str">
        <f t="shared" si="414"/>
        <v xml:space="preserve">      </v>
      </c>
      <c r="HP138" s="367" t="str">
        <f t="shared" si="483"/>
        <v xml:space="preserve">      </v>
      </c>
      <c r="HQ138" s="107" t="str">
        <f t="shared" si="484"/>
        <v xml:space="preserve">      </v>
      </c>
      <c r="HR138" s="366" t="str">
        <f t="shared" si="485"/>
        <v xml:space="preserve">      </v>
      </c>
      <c r="HS138" s="544" t="str">
        <f t="shared" si="415"/>
        <v/>
      </c>
      <c r="HT138" s="542" t="str">
        <f t="shared" si="486"/>
        <v/>
      </c>
      <c r="HU138" s="541" t="str">
        <f t="shared" si="487"/>
        <v/>
      </c>
      <c r="HV138" s="540" t="str">
        <f t="shared" si="488"/>
        <v/>
      </c>
      <c r="HW138" s="537" t="str">
        <f t="shared" si="489"/>
        <v/>
      </c>
      <c r="HX138" s="539" t="str">
        <f t="shared" si="490"/>
        <v/>
      </c>
      <c r="HY138" s="553" t="str">
        <f>IFERROR(IF(OR(HS138="SUPPLEMENTARY",HS138="RE-EXAM"),'Supp. Result Entry'!AQ136,""),"")</f>
        <v/>
      </c>
      <c r="HZ138" s="538" t="str">
        <f t="shared" si="491"/>
        <v/>
      </c>
      <c r="IA138" s="415" t="str">
        <f t="shared" si="492"/>
        <v/>
      </c>
      <c r="IB138" s="415" t="str">
        <f>IF(AND(HZ138="",IA138=""),"",IF(OR(HS138="SUPPLEMENTARY",HS138="RE-EXAM"),'Supp. Result Entry'!AQ136,HS138))</f>
        <v/>
      </c>
      <c r="IC138" s="87"/>
      <c r="IS138" s="109" t="str">
        <f>IF('Supp. Result Entry'!T136="","",'Supp. Result Entry'!$T$4)</f>
        <v/>
      </c>
      <c r="IT138" s="110" t="str">
        <f>IF('Supp. Result Entry'!W136="","",'Supp. Result Entry'!$W$4)</f>
        <v/>
      </c>
      <c r="IU138" s="110" t="str">
        <f>IF('Supp. Result Entry'!Z136="","",'Supp. Result Entry'!$Z$4)</f>
        <v/>
      </c>
      <c r="IV138" s="110" t="str">
        <f>IF('Supp. Result Entry'!AC136="","",'Supp. Result Entry'!$AC$4)</f>
        <v/>
      </c>
      <c r="IW138" s="110" t="str">
        <f>IF('Supp. Result Entry'!AF136="","",'Supp. Result Entry'!$AF$4)</f>
        <v/>
      </c>
      <c r="IX138" s="110" t="str">
        <f>IF('Supp. Result Entry'!AI136="","",'Supp. Result Entry'!$AI$4)</f>
        <v/>
      </c>
      <c r="IY138" s="110" t="str">
        <f>IF('Supp. Result Entry'!AI136="","",'Supp. Result Entry'!$AL$4)</f>
        <v/>
      </c>
      <c r="IZ138" s="110" t="str">
        <f>IF('Supp. Result Entry'!U136="","",'Supp. Result Entry'!U136)</f>
        <v/>
      </c>
      <c r="JA138" s="110" t="str">
        <f>IF('Supp. Result Entry'!X136="","",'Supp. Result Entry'!X136)</f>
        <v/>
      </c>
      <c r="JB138" s="110" t="str">
        <f>IF('Supp. Result Entry'!AA136="","",'Supp. Result Entry'!AA136)</f>
        <v/>
      </c>
      <c r="JC138" s="110" t="str">
        <f>IF('Supp. Result Entry'!AD136="","",'Supp. Result Entry'!AD136)</f>
        <v/>
      </c>
      <c r="JD138" s="110" t="str">
        <f>IF('Supp. Result Entry'!AG136="","",'Supp. Result Entry'!AG136)</f>
        <v/>
      </c>
      <c r="JE138" s="110" t="str">
        <f>IF('Supp. Result Entry'!AJ136="","",'Supp. Result Entry'!AJ136)</f>
        <v/>
      </c>
      <c r="JF138" s="110" t="str">
        <f>IF('Supp. Result Entry'!AM136="","",'Supp. Result Entry'!AM136)</f>
        <v/>
      </c>
      <c r="JG138" s="110" t="str">
        <f>IF('Supp. Result Entry'!V136="","",'Supp. Result Entry'!V136)</f>
        <v/>
      </c>
      <c r="JH138" s="110" t="str">
        <f>IF('Supp. Result Entry'!Y136="","",'Supp. Result Entry'!Y136)</f>
        <v/>
      </c>
      <c r="JI138" s="110" t="str">
        <f>IF('Supp. Result Entry'!AB136="","",'Supp. Result Entry'!AB136)</f>
        <v/>
      </c>
      <c r="JJ138" s="110" t="str">
        <f>IF('Supp. Result Entry'!AE136="","",'Supp. Result Entry'!AE136)</f>
        <v/>
      </c>
      <c r="JK138" s="110" t="str">
        <f>IF('Supp. Result Entry'!AH136="","",'Supp. Result Entry'!AH136)</f>
        <v/>
      </c>
      <c r="JL138" s="110" t="str">
        <f>IF('Supp. Result Entry'!AK136="","",'Supp. Result Entry'!AK136)</f>
        <v/>
      </c>
      <c r="JM138" s="110" t="str">
        <f>IF('Supp. Result Entry'!AN136="","",'Supp. Result Entry'!AN136)</f>
        <v/>
      </c>
      <c r="JN138" s="110">
        <f>COUNTIF('Supp. Result Entry'!K136:Q136,"S")</f>
        <v>0</v>
      </c>
      <c r="JO138" s="110">
        <f t="shared" si="416"/>
        <v>0</v>
      </c>
      <c r="JP138" s="110">
        <f t="shared" si="493"/>
        <v>0</v>
      </c>
      <c r="JQ138" s="110" t="str">
        <f t="shared" si="417"/>
        <v/>
      </c>
      <c r="JR138" s="110" t="str">
        <f t="shared" si="418"/>
        <v/>
      </c>
      <c r="JS138" s="110" t="str">
        <f t="shared" si="419"/>
        <v/>
      </c>
      <c r="JT138" s="110" t="str">
        <f t="shared" si="420"/>
        <v/>
      </c>
      <c r="JU138" s="110" t="str">
        <f t="shared" si="421"/>
        <v/>
      </c>
      <c r="JV138" s="110" t="str">
        <f t="shared" si="422"/>
        <v/>
      </c>
      <c r="JW138" s="110" t="str">
        <f t="shared" si="423"/>
        <v/>
      </c>
      <c r="JX138" s="110" t="str">
        <f t="shared" si="494"/>
        <v/>
      </c>
      <c r="JY138" s="110" t="str">
        <f t="shared" si="495"/>
        <v/>
      </c>
      <c r="JZ138" s="110" t="str">
        <f t="shared" si="424"/>
        <v/>
      </c>
      <c r="KA138" s="108" t="str">
        <f t="shared" si="496"/>
        <v/>
      </c>
    </row>
    <row r="139" spans="1:287" s="108" customFormat="1" ht="21.95" customHeight="1">
      <c r="A139" s="89">
        <v>133</v>
      </c>
      <c r="B139" s="90" t="str">
        <f>IF('Marks Entry'!B139="","",'Marks Entry'!B139)</f>
        <v/>
      </c>
      <c r="C139" s="94" t="str">
        <f>IF('Marks Entry'!D139="","",'Marks Entry'!D139)</f>
        <v/>
      </c>
      <c r="D139" s="91" t="str">
        <f>IF('Marks Entry'!E139="","",'Marks Entry'!E139)</f>
        <v/>
      </c>
      <c r="E139" s="92" t="str">
        <f>IF('Marks Entry'!F139="","",'Marks Entry'!F139)</f>
        <v/>
      </c>
      <c r="F139" s="93" t="str">
        <f>IF('Marks Entry'!G139="","",'Marks Entry'!G139)</f>
        <v/>
      </c>
      <c r="G139" s="93" t="str">
        <f>IF('Marks Entry'!H139="","",'Marks Entry'!H139)</f>
        <v/>
      </c>
      <c r="H139" s="93" t="str">
        <f>IF('Marks Entry'!I139="","",'Marks Entry'!I139)</f>
        <v/>
      </c>
      <c r="I139" s="94" t="str">
        <f>IF('Marks Entry'!J139="","",'Marks Entry'!J139)</f>
        <v/>
      </c>
      <c r="J139" s="95" t="str">
        <f>IF('Marks Entry'!K139="","",'Marks Entry'!K139)</f>
        <v/>
      </c>
      <c r="K139" s="68" t="str">
        <f>IF('Marks Entry'!L139="","",'Marks Entry'!L139)</f>
        <v/>
      </c>
      <c r="L139" s="68" t="str">
        <f>IF('Marks Entry'!M139="","",'Marks Entry'!M139)</f>
        <v/>
      </c>
      <c r="M139" s="68" t="str">
        <f>IF('Marks Entry'!N139="","",'Marks Entry'!N139)</f>
        <v/>
      </c>
      <c r="N139" s="514" t="str">
        <f t="shared" si="425"/>
        <v/>
      </c>
      <c r="O139" s="68" t="str">
        <f>IF('Marks Entry'!O139="","",'Marks Entry'!O139)</f>
        <v/>
      </c>
      <c r="P139" s="515" t="str">
        <f t="shared" si="426"/>
        <v/>
      </c>
      <c r="Q139" s="68" t="str">
        <f>IF('Marks Entry'!P139="","",'Marks Entry'!P139)</f>
        <v/>
      </c>
      <c r="R139" s="96" t="str">
        <f t="shared" si="427"/>
        <v/>
      </c>
      <c r="S139" s="65">
        <f t="shared" si="428"/>
        <v>0</v>
      </c>
      <c r="T139" s="65">
        <f t="shared" si="429"/>
        <v>0</v>
      </c>
      <c r="U139" s="66" t="str">
        <f t="shared" si="339"/>
        <v/>
      </c>
      <c r="V139" s="65" t="str">
        <f t="shared" si="340"/>
        <v/>
      </c>
      <c r="W139" s="65" t="str">
        <f t="shared" si="430"/>
        <v/>
      </c>
      <c r="X139" s="65" t="str">
        <f t="shared" si="341"/>
        <v/>
      </c>
      <c r="Y139" s="68" t="str">
        <f>IF('Marks Entry'!Q139="","",'Marks Entry'!Q139)</f>
        <v/>
      </c>
      <c r="Z139" s="68" t="str">
        <f>IF('Marks Entry'!R139="","",'Marks Entry'!R139)</f>
        <v/>
      </c>
      <c r="AA139" s="68" t="str">
        <f>IF('Marks Entry'!S139="","",'Marks Entry'!S139)</f>
        <v/>
      </c>
      <c r="AB139" s="514" t="str">
        <f t="shared" si="342"/>
        <v/>
      </c>
      <c r="AC139" s="68" t="str">
        <f>IF('Marks Entry'!T139="","",'Marks Entry'!T139)</f>
        <v/>
      </c>
      <c r="AD139" s="515" t="str">
        <f t="shared" si="343"/>
        <v/>
      </c>
      <c r="AE139" s="68" t="str">
        <f>IF('Marks Entry'!U139="","",'Marks Entry'!U139)</f>
        <v/>
      </c>
      <c r="AF139" s="96" t="str">
        <f t="shared" si="344"/>
        <v/>
      </c>
      <c r="AG139" s="65">
        <f t="shared" si="345"/>
        <v>0</v>
      </c>
      <c r="AH139" s="65">
        <f t="shared" si="346"/>
        <v>0</v>
      </c>
      <c r="AI139" s="66" t="str">
        <f t="shared" si="347"/>
        <v/>
      </c>
      <c r="AJ139" s="65" t="str">
        <f t="shared" si="348"/>
        <v/>
      </c>
      <c r="AK139" s="65" t="str">
        <f t="shared" si="349"/>
        <v/>
      </c>
      <c r="AL139" s="65" t="str">
        <f t="shared" si="350"/>
        <v/>
      </c>
      <c r="AM139" s="524" t="str">
        <f>IF('Marks Entry'!V139="","",IF('Marks Entry'!V139=1,'School Profile'!$I$9,IF('Marks Entry'!V139=2,'School Profile'!$I$10,IF('Marks Entry'!V139=3,'School Profile'!$I$11,IF('Marks Entry'!V139=4,'School Profile'!$I$12,IF('Marks Entry'!V139=5,'School Profile'!$I$13,IF('Marks Entry'!V139=6,'School Profile'!$I$14,"")))))))</f>
        <v/>
      </c>
      <c r="AN139" s="68" t="str">
        <f>IF('Marks Entry'!W139="","",'Marks Entry'!W139)</f>
        <v/>
      </c>
      <c r="AO139" s="68" t="str">
        <f>IF('Marks Entry'!X139="","",'Marks Entry'!X139)</f>
        <v/>
      </c>
      <c r="AP139" s="68" t="str">
        <f>IF('Marks Entry'!Y139="","",'Marks Entry'!Y139)</f>
        <v/>
      </c>
      <c r="AQ139" s="514" t="str">
        <f t="shared" si="351"/>
        <v/>
      </c>
      <c r="AR139" s="68" t="str">
        <f>IF('Marks Entry'!Z139="","",'Marks Entry'!Z139)</f>
        <v/>
      </c>
      <c r="AS139" s="515" t="str">
        <f t="shared" si="352"/>
        <v/>
      </c>
      <c r="AT139" s="68" t="str">
        <f>IF('Marks Entry'!AA139="","",'Marks Entry'!AA139)</f>
        <v/>
      </c>
      <c r="AU139" s="96" t="str">
        <f t="shared" si="353"/>
        <v/>
      </c>
      <c r="AV139" s="65">
        <f t="shared" si="354"/>
        <v>0</v>
      </c>
      <c r="AW139" s="65">
        <f t="shared" si="355"/>
        <v>0</v>
      </c>
      <c r="AX139" s="66" t="str">
        <f t="shared" si="356"/>
        <v/>
      </c>
      <c r="AY139" s="65" t="str">
        <f t="shared" si="357"/>
        <v/>
      </c>
      <c r="AZ139" s="65" t="str">
        <f t="shared" si="358"/>
        <v/>
      </c>
      <c r="BA139" s="65" t="str">
        <f t="shared" si="359"/>
        <v/>
      </c>
      <c r="BB139" s="68" t="str">
        <f>IF('Marks Entry'!AB139="","",'Marks Entry'!AB139)</f>
        <v/>
      </c>
      <c r="BC139" s="68" t="str">
        <f>IF('Marks Entry'!AC139="","",'Marks Entry'!AC139)</f>
        <v/>
      </c>
      <c r="BD139" s="68" t="str">
        <f>IF('Marks Entry'!AD139="","",'Marks Entry'!AD139)</f>
        <v/>
      </c>
      <c r="BE139" s="514" t="str">
        <f t="shared" si="360"/>
        <v/>
      </c>
      <c r="BF139" s="68" t="str">
        <f>IF('Marks Entry'!AE139="","",'Marks Entry'!AE139)</f>
        <v/>
      </c>
      <c r="BG139" s="515" t="str">
        <f t="shared" si="361"/>
        <v/>
      </c>
      <c r="BH139" s="68" t="str">
        <f>IF('Marks Entry'!AF139="","",'Marks Entry'!AF139)</f>
        <v/>
      </c>
      <c r="BI139" s="96" t="str">
        <f t="shared" si="362"/>
        <v/>
      </c>
      <c r="BJ139" s="65">
        <f t="shared" si="363"/>
        <v>0</v>
      </c>
      <c r="BK139" s="65">
        <f t="shared" si="431"/>
        <v>0</v>
      </c>
      <c r="BL139" s="66" t="str">
        <f t="shared" si="364"/>
        <v/>
      </c>
      <c r="BM139" s="65" t="str">
        <f t="shared" si="365"/>
        <v/>
      </c>
      <c r="BN139" s="65" t="str">
        <f t="shared" si="366"/>
        <v/>
      </c>
      <c r="BO139" s="65" t="str">
        <f t="shared" si="367"/>
        <v/>
      </c>
      <c r="BP139" s="68" t="str">
        <f>IF('Marks Entry'!AG139="","",'Marks Entry'!AG139)</f>
        <v/>
      </c>
      <c r="BQ139" s="68" t="str">
        <f>IF('Marks Entry'!AH139="","",'Marks Entry'!AH139)</f>
        <v/>
      </c>
      <c r="BR139" s="68" t="str">
        <f>IF('Marks Entry'!AI139="","",'Marks Entry'!AI139)</f>
        <v/>
      </c>
      <c r="BS139" s="514" t="str">
        <f t="shared" si="368"/>
        <v/>
      </c>
      <c r="BT139" s="68" t="str">
        <f>IF('Marks Entry'!AJ139="","",'Marks Entry'!AJ139)</f>
        <v/>
      </c>
      <c r="BU139" s="515" t="str">
        <f t="shared" si="369"/>
        <v/>
      </c>
      <c r="BV139" s="68" t="str">
        <f>IF('Marks Entry'!AK139="","",'Marks Entry'!AK139)</f>
        <v/>
      </c>
      <c r="BW139" s="96" t="str">
        <f t="shared" si="370"/>
        <v/>
      </c>
      <c r="BX139" s="65">
        <f t="shared" si="371"/>
        <v>0</v>
      </c>
      <c r="BY139" s="65">
        <f t="shared" si="372"/>
        <v>0</v>
      </c>
      <c r="BZ139" s="66" t="str">
        <f t="shared" si="373"/>
        <v/>
      </c>
      <c r="CA139" s="65" t="str">
        <f t="shared" si="374"/>
        <v/>
      </c>
      <c r="CB139" s="65" t="str">
        <f t="shared" si="375"/>
        <v/>
      </c>
      <c r="CC139" s="65" t="str">
        <f t="shared" si="376"/>
        <v/>
      </c>
      <c r="CD139" s="66">
        <f t="shared" si="377"/>
        <v>0</v>
      </c>
      <c r="CE139" s="68" t="str">
        <f>IF('Marks Entry'!AL139="","",'Marks Entry'!AL139)</f>
        <v/>
      </c>
      <c r="CF139" s="68" t="str">
        <f>IF('Marks Entry'!AM139="","",'Marks Entry'!AM139)</f>
        <v/>
      </c>
      <c r="CG139" s="68" t="str">
        <f>IF('Marks Entry'!AN139="","",'Marks Entry'!AN139)</f>
        <v/>
      </c>
      <c r="CH139" s="514" t="str">
        <f t="shared" si="378"/>
        <v/>
      </c>
      <c r="CI139" s="68" t="str">
        <f>IF('Marks Entry'!AO139="","",'Marks Entry'!AO139)</f>
        <v/>
      </c>
      <c r="CJ139" s="515" t="str">
        <f t="shared" si="379"/>
        <v/>
      </c>
      <c r="CK139" s="68" t="str">
        <f>IF('Marks Entry'!AP139="","",'Marks Entry'!AP139)</f>
        <v/>
      </c>
      <c r="CL139" s="96" t="str">
        <f t="shared" si="380"/>
        <v/>
      </c>
      <c r="CM139" s="65">
        <f t="shared" si="381"/>
        <v>0</v>
      </c>
      <c r="CN139" s="65">
        <f t="shared" si="382"/>
        <v>0</v>
      </c>
      <c r="CO139" s="66" t="str">
        <f t="shared" si="383"/>
        <v/>
      </c>
      <c r="CP139" s="65" t="str">
        <f t="shared" si="384"/>
        <v/>
      </c>
      <c r="CQ139" s="65" t="str">
        <f t="shared" si="385"/>
        <v/>
      </c>
      <c r="CR139" s="65" t="str">
        <f t="shared" si="386"/>
        <v/>
      </c>
      <c r="CS139" s="616" t="str">
        <f>IF('School Profile'!$D$20="NO","",IF('Marks Entry'!AQ139="","",IF('Marks Entry'!AQ139=1,'School Profile'!$I$29,IF('Marks Entry'!AQ139=2,'School Profile'!$I$30,IF('Marks Entry'!AQ139=3,'School Profile'!$I$31,IF('Marks Entry'!AQ139=4,'School Profile'!$I$32,IF('Marks Entry'!AQ139=5,'School Profile'!$I$33,IF('Marks Entry'!AQ139=6,'School Profile'!$I$34,IF('Marks Entry'!AQ139=7,'School Profile'!$I$35,IF('Marks Entry'!AQ139=8,'School Profile'!$I$36,IF('Marks Entry'!AQ139=9,'School Profile'!$I$37,IF('Marks Entry'!AQ139=10,'School Profile'!$I$38,IF('Marks Entry'!AQ139=11,'School Profile'!$I$39,"")))))))))))))</f>
        <v/>
      </c>
      <c r="CT139" s="68" t="str">
        <f>IF('School Profile'!$D$20="NO","",IF('Marks Entry'!AR139="","",'Marks Entry'!AR139))</f>
        <v/>
      </c>
      <c r="CU139" s="68" t="str">
        <f>IF('School Profile'!$D$20="NO","",IF('Marks Entry'!AS139="","",'Marks Entry'!AS139))</f>
        <v/>
      </c>
      <c r="CV139" s="68" t="str">
        <f>IF('School Profile'!$D$20="NO","",IF('Marks Entry'!AT139="","",'Marks Entry'!AT139))</f>
        <v/>
      </c>
      <c r="CW139" s="514" t="str">
        <f>IF('School Profile'!$D$20="NO","",IF(AND(CT139="",CU139="",CV139=""),"",SUM(CT139:CV139)))</f>
        <v/>
      </c>
      <c r="CX139" s="68" t="str">
        <f>IF('School Profile'!$D$20="NO","",IF('Marks Entry'!AU139="","",'Marks Entry'!AU139))</f>
        <v/>
      </c>
      <c r="CY139" s="68" t="str">
        <f>IF('School Profile'!$D$20="NO","",IF('Marks Entry'!AV139="","",'Marks Entry'!AV139))</f>
        <v/>
      </c>
      <c r="CZ139" s="515" t="str">
        <f>IF('School Profile'!$D$20="NO","",IF(AND(CX139="",CY139=""),"",SUM(CX139,CY139)))</f>
        <v/>
      </c>
      <c r="DA139" s="69" t="str">
        <f>IF('School Profile'!$D$20="NO","",IF(AND(CW139="",CZ139=""),"",SUM(CW139+CZ139)))</f>
        <v/>
      </c>
      <c r="DB139" s="68" t="str">
        <f>IF('School Profile'!$D$20="NO","",IF('Marks Entry'!AW139="","",'Marks Entry'!AW139))</f>
        <v/>
      </c>
      <c r="DC139" s="68" t="str">
        <f>IF('School Profile'!$D$20="NO","",IF('Marks Entry'!AX139="","",'Marks Entry'!AX139))</f>
        <v/>
      </c>
      <c r="DD139" s="515" t="str">
        <f>IF('School Profile'!$D$20="NO","",IF(AND(DB139="",DC139=""),"",SUM(DB139,DC139)))</f>
        <v/>
      </c>
      <c r="DE139" s="96" t="str">
        <f>IF('School Profile'!$D$20="NO","",IF(AND(DA139="",DD139=""),"",SUM(DA139,DD139)))</f>
        <v/>
      </c>
      <c r="DF139" s="532">
        <f t="shared" si="387"/>
        <v>0</v>
      </c>
      <c r="DG139" s="65">
        <f t="shared" si="388"/>
        <v>0</v>
      </c>
      <c r="DH139" s="66" t="str">
        <f t="shared" si="389"/>
        <v/>
      </c>
      <c r="DI139" s="65" t="str">
        <f t="shared" si="390"/>
        <v/>
      </c>
      <c r="DJ139" s="65" t="str">
        <f t="shared" si="391"/>
        <v/>
      </c>
      <c r="DK139" s="65" t="str">
        <f t="shared" si="392"/>
        <v/>
      </c>
      <c r="DL139" s="97" t="str">
        <f t="shared" si="432"/>
        <v/>
      </c>
      <c r="DM139" s="97" t="str">
        <f t="shared" si="433"/>
        <v/>
      </c>
      <c r="DN139" s="97" t="str">
        <f t="shared" si="434"/>
        <v/>
      </c>
      <c r="DO139" s="97" t="str">
        <f t="shared" si="435"/>
        <v/>
      </c>
      <c r="DP139" s="97" t="str">
        <f t="shared" si="436"/>
        <v/>
      </c>
      <c r="DQ139" s="97" t="str">
        <f t="shared" si="437"/>
        <v/>
      </c>
      <c r="DR139" s="97" t="str">
        <f t="shared" si="438"/>
        <v/>
      </c>
      <c r="DS139" s="98">
        <f t="shared" si="439"/>
        <v>0</v>
      </c>
      <c r="DT139" s="98">
        <f t="shared" si="440"/>
        <v>0</v>
      </c>
      <c r="DU139" s="98">
        <f t="shared" si="441"/>
        <v>0</v>
      </c>
      <c r="DV139" s="98">
        <f t="shared" si="442"/>
        <v>0</v>
      </c>
      <c r="DW139" s="98">
        <f t="shared" si="443"/>
        <v>0</v>
      </c>
      <c r="DX139" s="98" t="str">
        <f t="shared" si="444"/>
        <v/>
      </c>
      <c r="DY139" s="99" t="str">
        <f t="shared" si="445"/>
        <v/>
      </c>
      <c r="DZ139" s="74" t="str">
        <f>IF('Marks Entry'!AY139="","",'Marks Entry'!AY139)</f>
        <v/>
      </c>
      <c r="EA139" s="74" t="str">
        <f>IF('Marks Entry'!AZ139="","",'Marks Entry'!AZ139)</f>
        <v/>
      </c>
      <c r="EB139" s="74" t="str">
        <f>IF('Marks Entry'!BA139="","",'Marks Entry'!BA139)</f>
        <v/>
      </c>
      <c r="EC139" s="527" t="str">
        <f t="shared" si="393"/>
        <v/>
      </c>
      <c r="ED139" s="74" t="str">
        <f>IF('Marks Entry'!BB139="","",'Marks Entry'!BB139)</f>
        <v/>
      </c>
      <c r="EE139" s="528" t="str">
        <f t="shared" si="394"/>
        <v/>
      </c>
      <c r="EF139" s="74" t="str">
        <f>IF('Marks Entry'!BC139="","",'Marks Entry'!BC139)</f>
        <v/>
      </c>
      <c r="EG139" s="530" t="str">
        <f t="shared" si="395"/>
        <v/>
      </c>
      <c r="EH139" s="368" t="str">
        <f t="shared" si="446"/>
        <v/>
      </c>
      <c r="EI139" s="65">
        <f t="shared" si="447"/>
        <v>0</v>
      </c>
      <c r="EJ139" s="65">
        <f t="shared" si="448"/>
        <v>0</v>
      </c>
      <c r="EK139" s="66" t="str">
        <f t="shared" si="449"/>
        <v/>
      </c>
      <c r="EL139" s="74" t="str">
        <f>IF('Marks Entry'!BD139="","",'Marks Entry'!BD139)</f>
        <v/>
      </c>
      <c r="EM139" s="74" t="str">
        <f>IF('Marks Entry'!BE139="","",'Marks Entry'!BE139)</f>
        <v/>
      </c>
      <c r="EN139" s="74" t="str">
        <f>IF('Marks Entry'!BF139="","",'Marks Entry'!BF139)</f>
        <v/>
      </c>
      <c r="EO139" s="527" t="str">
        <f t="shared" si="396"/>
        <v/>
      </c>
      <c r="EP139" s="74" t="str">
        <f>IF('Marks Entry'!BG139="","",'Marks Entry'!BG139)</f>
        <v/>
      </c>
      <c r="EQ139" s="74" t="str">
        <f>IF('Marks Entry'!BH139="","",'Marks Entry'!BH139)</f>
        <v/>
      </c>
      <c r="ER139" s="528" t="str">
        <f t="shared" si="397"/>
        <v/>
      </c>
      <c r="ES139" s="529" t="str">
        <f t="shared" si="398"/>
        <v/>
      </c>
      <c r="ET139" s="74" t="str">
        <f>IF('Marks Entry'!BI139="","",'Marks Entry'!BI139)</f>
        <v/>
      </c>
      <c r="EU139" s="74" t="str">
        <f>IF('Marks Entry'!BJ139="","",'Marks Entry'!BJ139)</f>
        <v/>
      </c>
      <c r="EV139" s="528" t="str">
        <f t="shared" si="399"/>
        <v/>
      </c>
      <c r="EW139" s="530" t="str">
        <f t="shared" si="400"/>
        <v/>
      </c>
      <c r="EX139" s="368" t="str">
        <f t="shared" si="450"/>
        <v/>
      </c>
      <c r="EY139" s="65">
        <f t="shared" si="451"/>
        <v>0</v>
      </c>
      <c r="EZ139" s="65">
        <f t="shared" si="452"/>
        <v>0</v>
      </c>
      <c r="FA139" s="66" t="str">
        <f t="shared" si="453"/>
        <v/>
      </c>
      <c r="FB139" s="74" t="str">
        <f>IF('Marks Entry'!BK139="","",'Marks Entry'!BK139)</f>
        <v/>
      </c>
      <c r="FC139" s="74" t="str">
        <f>IF('Marks Entry'!BL139="","",'Marks Entry'!BL139)</f>
        <v/>
      </c>
      <c r="FD139" s="74" t="str">
        <f>IF('Marks Entry'!BM139="","",'Marks Entry'!BM139)</f>
        <v/>
      </c>
      <c r="FE139" s="74" t="str">
        <f>IF('Marks Entry'!BN139="","",'Marks Entry'!BN139)</f>
        <v/>
      </c>
      <c r="FF139" s="74" t="str">
        <f>IF('Marks Entry'!BO139="","",'Marks Entry'!BO139)</f>
        <v/>
      </c>
      <c r="FG139" s="74" t="str">
        <f>IF('Marks Entry'!BP139="","",'Marks Entry'!BP139)</f>
        <v/>
      </c>
      <c r="FH139" s="527" t="str">
        <f t="shared" si="401"/>
        <v/>
      </c>
      <c r="FI139" s="74" t="str">
        <f>IF('Marks Entry'!BQ139="","",'Marks Entry'!BQ139)</f>
        <v/>
      </c>
      <c r="FJ139" s="74" t="str">
        <f>IF('Marks Entry'!BR139="","",'Marks Entry'!BR139)</f>
        <v/>
      </c>
      <c r="FK139" s="528" t="str">
        <f t="shared" si="402"/>
        <v/>
      </c>
      <c r="FL139" s="529" t="str">
        <f t="shared" si="403"/>
        <v/>
      </c>
      <c r="FM139" s="74" t="str">
        <f>IF('Marks Entry'!BS139="","",'Marks Entry'!BS139)</f>
        <v/>
      </c>
      <c r="FN139" s="74" t="str">
        <f>IF('Marks Entry'!BT139="","",'Marks Entry'!BT139)</f>
        <v/>
      </c>
      <c r="FO139" s="528" t="str">
        <f t="shared" si="404"/>
        <v/>
      </c>
      <c r="FP139" s="530" t="str">
        <f t="shared" si="405"/>
        <v/>
      </c>
      <c r="FQ139" s="368" t="str">
        <f t="shared" si="454"/>
        <v/>
      </c>
      <c r="FR139" s="65">
        <f t="shared" si="455"/>
        <v>0</v>
      </c>
      <c r="FS139" s="65">
        <f t="shared" si="456"/>
        <v>0</v>
      </c>
      <c r="FT139" s="66" t="str">
        <f t="shared" si="457"/>
        <v/>
      </c>
      <c r="FU139" s="74" t="str">
        <f>IF('Marks Entry'!BU139="","",'Marks Entry'!BU139)</f>
        <v/>
      </c>
      <c r="FV139" s="74" t="str">
        <f>IF('Marks Entry'!BV139="","",'Marks Entry'!BV139)</f>
        <v/>
      </c>
      <c r="FW139" s="74" t="str">
        <f>IF('Marks Entry'!BW139="","",'Marks Entry'!BW139)</f>
        <v/>
      </c>
      <c r="FX139" s="75" t="str">
        <f t="shared" si="406"/>
        <v/>
      </c>
      <c r="FY139" s="368" t="str">
        <f t="shared" si="458"/>
        <v/>
      </c>
      <c r="FZ139" s="65">
        <f t="shared" si="459"/>
        <v>0</v>
      </c>
      <c r="GA139" s="66">
        <f t="shared" si="460"/>
        <v>0</v>
      </c>
      <c r="GB139" s="66" t="str">
        <f t="shared" si="461"/>
        <v/>
      </c>
      <c r="GC139" s="74" t="str">
        <f>IF('Marks Entry'!BX139="","",'Marks Entry'!BX139)</f>
        <v/>
      </c>
      <c r="GD139" s="74" t="str">
        <f>IF('Marks Entry'!BY139="","",'Marks Entry'!BY139)</f>
        <v/>
      </c>
      <c r="GE139" s="74" t="str">
        <f>IF('Marks Entry'!BZ139="","",'Marks Entry'!BZ139)</f>
        <v/>
      </c>
      <c r="GF139" s="75" t="str">
        <f t="shared" si="462"/>
        <v/>
      </c>
      <c r="GG139" s="368" t="str">
        <f t="shared" si="463"/>
        <v/>
      </c>
      <c r="GH139" s="65">
        <f t="shared" si="464"/>
        <v>0</v>
      </c>
      <c r="GI139" s="66">
        <f t="shared" si="465"/>
        <v>0</v>
      </c>
      <c r="GJ139" s="66" t="str">
        <f t="shared" si="466"/>
        <v/>
      </c>
      <c r="GK139" s="100" t="str">
        <f>IF(AND(F139="",B139=""),"",IF('Student DATA Entry'!M136="","",'Student DATA Entry'!M136))</f>
        <v/>
      </c>
      <c r="GL139" s="101" t="str">
        <f>IF(AND(B139="",F139=""),"",IF('Student DATA Entry'!N136="","",'Student DATA Entry'!N136))</f>
        <v/>
      </c>
      <c r="GM139" s="581" t="str">
        <f t="shared" si="467"/>
        <v/>
      </c>
      <c r="GN139" s="94" t="str">
        <f t="shared" si="468"/>
        <v/>
      </c>
      <c r="GO139" s="94" t="str">
        <f t="shared" si="469"/>
        <v/>
      </c>
      <c r="GP139" s="102" t="str">
        <f t="shared" si="407"/>
        <v/>
      </c>
      <c r="GQ139" s="94" t="str">
        <f t="shared" si="470"/>
        <v/>
      </c>
      <c r="GR139" s="103" t="str">
        <f t="shared" si="471"/>
        <v/>
      </c>
      <c r="GS139" s="102" t="str">
        <f t="shared" si="408"/>
        <v/>
      </c>
      <c r="GT139" s="104" t="str">
        <f t="shared" si="472"/>
        <v/>
      </c>
      <c r="GU139" s="94" t="str">
        <f>IF('Marks Entry'!V139=1,GT139,"")</f>
        <v/>
      </c>
      <c r="GV139" s="94" t="str">
        <f>IF('Marks Entry'!V139=2,GT139,"")</f>
        <v/>
      </c>
      <c r="GW139" s="94" t="str">
        <f>IF('Marks Entry'!V139=3,GT139,"")</f>
        <v/>
      </c>
      <c r="GX139" s="94" t="str">
        <f>IF('Marks Entry'!V139=4,GT139,"")</f>
        <v/>
      </c>
      <c r="GY139" s="94" t="str">
        <f>IF('Marks Entry'!V139=5,GT139,"")</f>
        <v/>
      </c>
      <c r="GZ139" s="94" t="str">
        <f t="shared" si="473"/>
        <v/>
      </c>
      <c r="HA139" s="105" t="str">
        <f t="shared" si="409"/>
        <v/>
      </c>
      <c r="HB139" s="94" t="str">
        <f t="shared" si="474"/>
        <v/>
      </c>
      <c r="HC139" s="94" t="str">
        <f t="shared" si="475"/>
        <v/>
      </c>
      <c r="HD139" s="105" t="str">
        <f t="shared" si="410"/>
        <v/>
      </c>
      <c r="HE139" s="94" t="str">
        <f t="shared" si="476"/>
        <v/>
      </c>
      <c r="HF139" s="94" t="str">
        <f t="shared" si="477"/>
        <v/>
      </c>
      <c r="HG139" s="105" t="str">
        <f t="shared" si="411"/>
        <v/>
      </c>
      <c r="HH139" s="94" t="str">
        <f t="shared" si="478"/>
        <v/>
      </c>
      <c r="HI139" s="94" t="str">
        <f t="shared" si="479"/>
        <v/>
      </c>
      <c r="HJ139" s="105" t="str">
        <f t="shared" si="412"/>
        <v/>
      </c>
      <c r="HK139" s="94" t="str">
        <f t="shared" si="480"/>
        <v/>
      </c>
      <c r="HL139" s="94" t="str">
        <f t="shared" si="481"/>
        <v/>
      </c>
      <c r="HM139" s="105" t="str">
        <f t="shared" si="413"/>
        <v/>
      </c>
      <c r="HN139" s="367" t="str">
        <f t="shared" si="482"/>
        <v xml:space="preserve">      </v>
      </c>
      <c r="HO139" s="418" t="str">
        <f t="shared" si="414"/>
        <v xml:space="preserve">      </v>
      </c>
      <c r="HP139" s="367" t="str">
        <f t="shared" si="483"/>
        <v xml:space="preserve">      </v>
      </c>
      <c r="HQ139" s="107" t="str">
        <f t="shared" si="484"/>
        <v xml:space="preserve">      </v>
      </c>
      <c r="HR139" s="366" t="str">
        <f t="shared" si="485"/>
        <v xml:space="preserve">      </v>
      </c>
      <c r="HS139" s="544" t="str">
        <f t="shared" si="415"/>
        <v/>
      </c>
      <c r="HT139" s="542" t="str">
        <f t="shared" si="486"/>
        <v/>
      </c>
      <c r="HU139" s="541" t="str">
        <f t="shared" si="487"/>
        <v/>
      </c>
      <c r="HV139" s="540" t="str">
        <f t="shared" si="488"/>
        <v/>
      </c>
      <c r="HW139" s="537" t="str">
        <f t="shared" si="489"/>
        <v/>
      </c>
      <c r="HX139" s="539" t="str">
        <f t="shared" si="490"/>
        <v/>
      </c>
      <c r="HY139" s="553" t="str">
        <f>IFERROR(IF(OR(HS139="SUPPLEMENTARY",HS139="RE-EXAM"),'Supp. Result Entry'!AQ137,""),"")</f>
        <v/>
      </c>
      <c r="HZ139" s="538" t="str">
        <f t="shared" si="491"/>
        <v/>
      </c>
      <c r="IA139" s="415" t="str">
        <f t="shared" si="492"/>
        <v/>
      </c>
      <c r="IB139" s="415" t="str">
        <f>IF(AND(HZ139="",IA139=""),"",IF(OR(HS139="SUPPLEMENTARY",HS139="RE-EXAM"),'Supp. Result Entry'!AQ137,HS139))</f>
        <v/>
      </c>
      <c r="IC139" s="87"/>
      <c r="IS139" s="109" t="str">
        <f>IF('Supp. Result Entry'!T137="","",'Supp. Result Entry'!$T$4)</f>
        <v/>
      </c>
      <c r="IT139" s="110" t="str">
        <f>IF('Supp. Result Entry'!W137="","",'Supp. Result Entry'!$W$4)</f>
        <v/>
      </c>
      <c r="IU139" s="110" t="str">
        <f>IF('Supp. Result Entry'!Z137="","",'Supp. Result Entry'!$Z$4)</f>
        <v/>
      </c>
      <c r="IV139" s="110" t="str">
        <f>IF('Supp. Result Entry'!AC137="","",'Supp. Result Entry'!$AC$4)</f>
        <v/>
      </c>
      <c r="IW139" s="110" t="str">
        <f>IF('Supp. Result Entry'!AF137="","",'Supp. Result Entry'!$AF$4)</f>
        <v/>
      </c>
      <c r="IX139" s="110" t="str">
        <f>IF('Supp. Result Entry'!AI137="","",'Supp. Result Entry'!$AI$4)</f>
        <v/>
      </c>
      <c r="IY139" s="110" t="str">
        <f>IF('Supp. Result Entry'!AI137="","",'Supp. Result Entry'!$AL$4)</f>
        <v/>
      </c>
      <c r="IZ139" s="110" t="str">
        <f>IF('Supp. Result Entry'!U137="","",'Supp. Result Entry'!U137)</f>
        <v/>
      </c>
      <c r="JA139" s="110" t="str">
        <f>IF('Supp. Result Entry'!X137="","",'Supp. Result Entry'!X137)</f>
        <v/>
      </c>
      <c r="JB139" s="110" t="str">
        <f>IF('Supp. Result Entry'!AA137="","",'Supp. Result Entry'!AA137)</f>
        <v/>
      </c>
      <c r="JC139" s="110" t="str">
        <f>IF('Supp. Result Entry'!AD137="","",'Supp. Result Entry'!AD137)</f>
        <v/>
      </c>
      <c r="JD139" s="110" t="str">
        <f>IF('Supp. Result Entry'!AG137="","",'Supp. Result Entry'!AG137)</f>
        <v/>
      </c>
      <c r="JE139" s="110" t="str">
        <f>IF('Supp. Result Entry'!AJ137="","",'Supp. Result Entry'!AJ137)</f>
        <v/>
      </c>
      <c r="JF139" s="110" t="str">
        <f>IF('Supp. Result Entry'!AM137="","",'Supp. Result Entry'!AM137)</f>
        <v/>
      </c>
      <c r="JG139" s="110" t="str">
        <f>IF('Supp. Result Entry'!V137="","",'Supp. Result Entry'!V137)</f>
        <v/>
      </c>
      <c r="JH139" s="110" t="str">
        <f>IF('Supp. Result Entry'!Y137="","",'Supp. Result Entry'!Y137)</f>
        <v/>
      </c>
      <c r="JI139" s="110" t="str">
        <f>IF('Supp. Result Entry'!AB137="","",'Supp. Result Entry'!AB137)</f>
        <v/>
      </c>
      <c r="JJ139" s="110" t="str">
        <f>IF('Supp. Result Entry'!AE137="","",'Supp. Result Entry'!AE137)</f>
        <v/>
      </c>
      <c r="JK139" s="110" t="str">
        <f>IF('Supp. Result Entry'!AH137="","",'Supp. Result Entry'!AH137)</f>
        <v/>
      </c>
      <c r="JL139" s="110" t="str">
        <f>IF('Supp. Result Entry'!AK137="","",'Supp. Result Entry'!AK137)</f>
        <v/>
      </c>
      <c r="JM139" s="110" t="str">
        <f>IF('Supp. Result Entry'!AN137="","",'Supp. Result Entry'!AN137)</f>
        <v/>
      </c>
      <c r="JN139" s="110">
        <f>COUNTIF('Supp. Result Entry'!K137:Q137,"S")</f>
        <v>0</v>
      </c>
      <c r="JO139" s="110">
        <f t="shared" si="416"/>
        <v>0</v>
      </c>
      <c r="JP139" s="110">
        <f t="shared" si="493"/>
        <v>0</v>
      </c>
      <c r="JQ139" s="110" t="str">
        <f t="shared" si="417"/>
        <v/>
      </c>
      <c r="JR139" s="110" t="str">
        <f t="shared" si="418"/>
        <v/>
      </c>
      <c r="JS139" s="110" t="str">
        <f t="shared" si="419"/>
        <v/>
      </c>
      <c r="JT139" s="110" t="str">
        <f t="shared" si="420"/>
        <v/>
      </c>
      <c r="JU139" s="110" t="str">
        <f t="shared" si="421"/>
        <v/>
      </c>
      <c r="JV139" s="110" t="str">
        <f t="shared" si="422"/>
        <v/>
      </c>
      <c r="JW139" s="110" t="str">
        <f t="shared" si="423"/>
        <v/>
      </c>
      <c r="JX139" s="110" t="str">
        <f t="shared" si="494"/>
        <v/>
      </c>
      <c r="JY139" s="110" t="str">
        <f t="shared" si="495"/>
        <v/>
      </c>
      <c r="JZ139" s="110" t="str">
        <f t="shared" si="424"/>
        <v/>
      </c>
      <c r="KA139" s="108" t="str">
        <f t="shared" si="496"/>
        <v/>
      </c>
    </row>
    <row r="140" spans="1:287" s="108" customFormat="1" ht="21.95" customHeight="1">
      <c r="A140" s="89">
        <v>134</v>
      </c>
      <c r="B140" s="90" t="str">
        <f>IF('Marks Entry'!B140="","",'Marks Entry'!B140)</f>
        <v/>
      </c>
      <c r="C140" s="94" t="str">
        <f>IF('Marks Entry'!D140="","",'Marks Entry'!D140)</f>
        <v/>
      </c>
      <c r="D140" s="91" t="str">
        <f>IF('Marks Entry'!E140="","",'Marks Entry'!E140)</f>
        <v/>
      </c>
      <c r="E140" s="92" t="str">
        <f>IF('Marks Entry'!F140="","",'Marks Entry'!F140)</f>
        <v/>
      </c>
      <c r="F140" s="93" t="str">
        <f>IF('Marks Entry'!G140="","",'Marks Entry'!G140)</f>
        <v/>
      </c>
      <c r="G140" s="93" t="str">
        <f>IF('Marks Entry'!H140="","",'Marks Entry'!H140)</f>
        <v/>
      </c>
      <c r="H140" s="93" t="str">
        <f>IF('Marks Entry'!I140="","",'Marks Entry'!I140)</f>
        <v/>
      </c>
      <c r="I140" s="94" t="str">
        <f>IF('Marks Entry'!J140="","",'Marks Entry'!J140)</f>
        <v/>
      </c>
      <c r="J140" s="95" t="str">
        <f>IF('Marks Entry'!K140="","",'Marks Entry'!K140)</f>
        <v/>
      </c>
      <c r="K140" s="68" t="str">
        <f>IF('Marks Entry'!L140="","",'Marks Entry'!L140)</f>
        <v/>
      </c>
      <c r="L140" s="68" t="str">
        <f>IF('Marks Entry'!M140="","",'Marks Entry'!M140)</f>
        <v/>
      </c>
      <c r="M140" s="68" t="str">
        <f>IF('Marks Entry'!N140="","",'Marks Entry'!N140)</f>
        <v/>
      </c>
      <c r="N140" s="514" t="str">
        <f t="shared" si="425"/>
        <v/>
      </c>
      <c r="O140" s="68" t="str">
        <f>IF('Marks Entry'!O140="","",'Marks Entry'!O140)</f>
        <v/>
      </c>
      <c r="P140" s="515" t="str">
        <f t="shared" si="426"/>
        <v/>
      </c>
      <c r="Q140" s="68" t="str">
        <f>IF('Marks Entry'!P140="","",'Marks Entry'!P140)</f>
        <v/>
      </c>
      <c r="R140" s="96" t="str">
        <f t="shared" si="427"/>
        <v/>
      </c>
      <c r="S140" s="65">
        <f t="shared" si="428"/>
        <v>0</v>
      </c>
      <c r="T140" s="65">
        <f t="shared" si="429"/>
        <v>0</v>
      </c>
      <c r="U140" s="66" t="str">
        <f t="shared" si="339"/>
        <v/>
      </c>
      <c r="V140" s="65" t="str">
        <f t="shared" si="340"/>
        <v/>
      </c>
      <c r="W140" s="65" t="str">
        <f t="shared" si="430"/>
        <v/>
      </c>
      <c r="X140" s="65" t="str">
        <f t="shared" si="341"/>
        <v/>
      </c>
      <c r="Y140" s="68" t="str">
        <f>IF('Marks Entry'!Q140="","",'Marks Entry'!Q140)</f>
        <v/>
      </c>
      <c r="Z140" s="68" t="str">
        <f>IF('Marks Entry'!R140="","",'Marks Entry'!R140)</f>
        <v/>
      </c>
      <c r="AA140" s="68" t="str">
        <f>IF('Marks Entry'!S140="","",'Marks Entry'!S140)</f>
        <v/>
      </c>
      <c r="AB140" s="514" t="str">
        <f t="shared" si="342"/>
        <v/>
      </c>
      <c r="AC140" s="68" t="str">
        <f>IF('Marks Entry'!T140="","",'Marks Entry'!T140)</f>
        <v/>
      </c>
      <c r="AD140" s="515" t="str">
        <f t="shared" si="343"/>
        <v/>
      </c>
      <c r="AE140" s="68" t="str">
        <f>IF('Marks Entry'!U140="","",'Marks Entry'!U140)</f>
        <v/>
      </c>
      <c r="AF140" s="96" t="str">
        <f t="shared" si="344"/>
        <v/>
      </c>
      <c r="AG140" s="65">
        <f t="shared" si="345"/>
        <v>0</v>
      </c>
      <c r="AH140" s="65">
        <f t="shared" si="346"/>
        <v>0</v>
      </c>
      <c r="AI140" s="66" t="str">
        <f t="shared" si="347"/>
        <v/>
      </c>
      <c r="AJ140" s="65" t="str">
        <f t="shared" si="348"/>
        <v/>
      </c>
      <c r="AK140" s="65" t="str">
        <f t="shared" si="349"/>
        <v/>
      </c>
      <c r="AL140" s="65" t="str">
        <f t="shared" si="350"/>
        <v/>
      </c>
      <c r="AM140" s="524" t="str">
        <f>IF('Marks Entry'!V140="","",IF('Marks Entry'!V140=1,'School Profile'!$I$9,IF('Marks Entry'!V140=2,'School Profile'!$I$10,IF('Marks Entry'!V140=3,'School Profile'!$I$11,IF('Marks Entry'!V140=4,'School Profile'!$I$12,IF('Marks Entry'!V140=5,'School Profile'!$I$13,IF('Marks Entry'!V140=6,'School Profile'!$I$14,"")))))))</f>
        <v/>
      </c>
      <c r="AN140" s="68" t="str">
        <f>IF('Marks Entry'!W140="","",'Marks Entry'!W140)</f>
        <v/>
      </c>
      <c r="AO140" s="68" t="str">
        <f>IF('Marks Entry'!X140="","",'Marks Entry'!X140)</f>
        <v/>
      </c>
      <c r="AP140" s="68" t="str">
        <f>IF('Marks Entry'!Y140="","",'Marks Entry'!Y140)</f>
        <v/>
      </c>
      <c r="AQ140" s="514" t="str">
        <f t="shared" si="351"/>
        <v/>
      </c>
      <c r="AR140" s="68" t="str">
        <f>IF('Marks Entry'!Z140="","",'Marks Entry'!Z140)</f>
        <v/>
      </c>
      <c r="AS140" s="515" t="str">
        <f t="shared" si="352"/>
        <v/>
      </c>
      <c r="AT140" s="68" t="str">
        <f>IF('Marks Entry'!AA140="","",'Marks Entry'!AA140)</f>
        <v/>
      </c>
      <c r="AU140" s="96" t="str">
        <f t="shared" si="353"/>
        <v/>
      </c>
      <c r="AV140" s="65">
        <f t="shared" si="354"/>
        <v>0</v>
      </c>
      <c r="AW140" s="65">
        <f t="shared" si="355"/>
        <v>0</v>
      </c>
      <c r="AX140" s="66" t="str">
        <f t="shared" si="356"/>
        <v/>
      </c>
      <c r="AY140" s="65" t="str">
        <f t="shared" si="357"/>
        <v/>
      </c>
      <c r="AZ140" s="65" t="str">
        <f t="shared" si="358"/>
        <v/>
      </c>
      <c r="BA140" s="65" t="str">
        <f t="shared" si="359"/>
        <v/>
      </c>
      <c r="BB140" s="68" t="str">
        <f>IF('Marks Entry'!AB140="","",'Marks Entry'!AB140)</f>
        <v/>
      </c>
      <c r="BC140" s="68" t="str">
        <f>IF('Marks Entry'!AC140="","",'Marks Entry'!AC140)</f>
        <v/>
      </c>
      <c r="BD140" s="68" t="str">
        <f>IF('Marks Entry'!AD140="","",'Marks Entry'!AD140)</f>
        <v/>
      </c>
      <c r="BE140" s="514" t="str">
        <f t="shared" si="360"/>
        <v/>
      </c>
      <c r="BF140" s="68" t="str">
        <f>IF('Marks Entry'!AE140="","",'Marks Entry'!AE140)</f>
        <v/>
      </c>
      <c r="BG140" s="515" t="str">
        <f t="shared" si="361"/>
        <v/>
      </c>
      <c r="BH140" s="68" t="str">
        <f>IF('Marks Entry'!AF140="","",'Marks Entry'!AF140)</f>
        <v/>
      </c>
      <c r="BI140" s="96" t="str">
        <f t="shared" si="362"/>
        <v/>
      </c>
      <c r="BJ140" s="65">
        <f t="shared" si="363"/>
        <v>0</v>
      </c>
      <c r="BK140" s="65">
        <f t="shared" si="431"/>
        <v>0</v>
      </c>
      <c r="BL140" s="66" t="str">
        <f t="shared" si="364"/>
        <v/>
      </c>
      <c r="BM140" s="65" t="str">
        <f t="shared" si="365"/>
        <v/>
      </c>
      <c r="BN140" s="65" t="str">
        <f t="shared" si="366"/>
        <v/>
      </c>
      <c r="BO140" s="65" t="str">
        <f t="shared" si="367"/>
        <v/>
      </c>
      <c r="BP140" s="68" t="str">
        <f>IF('Marks Entry'!AG140="","",'Marks Entry'!AG140)</f>
        <v/>
      </c>
      <c r="BQ140" s="68" t="str">
        <f>IF('Marks Entry'!AH140="","",'Marks Entry'!AH140)</f>
        <v/>
      </c>
      <c r="BR140" s="68" t="str">
        <f>IF('Marks Entry'!AI140="","",'Marks Entry'!AI140)</f>
        <v/>
      </c>
      <c r="BS140" s="514" t="str">
        <f t="shared" si="368"/>
        <v/>
      </c>
      <c r="BT140" s="68" t="str">
        <f>IF('Marks Entry'!AJ140="","",'Marks Entry'!AJ140)</f>
        <v/>
      </c>
      <c r="BU140" s="515" t="str">
        <f t="shared" si="369"/>
        <v/>
      </c>
      <c r="BV140" s="68" t="str">
        <f>IF('Marks Entry'!AK140="","",'Marks Entry'!AK140)</f>
        <v/>
      </c>
      <c r="BW140" s="96" t="str">
        <f t="shared" si="370"/>
        <v/>
      </c>
      <c r="BX140" s="65">
        <f t="shared" si="371"/>
        <v>0</v>
      </c>
      <c r="BY140" s="65">
        <f t="shared" si="372"/>
        <v>0</v>
      </c>
      <c r="BZ140" s="66" t="str">
        <f t="shared" si="373"/>
        <v/>
      </c>
      <c r="CA140" s="65" t="str">
        <f t="shared" si="374"/>
        <v/>
      </c>
      <c r="CB140" s="65" t="str">
        <f t="shared" si="375"/>
        <v/>
      </c>
      <c r="CC140" s="65" t="str">
        <f t="shared" si="376"/>
        <v/>
      </c>
      <c r="CD140" s="66">
        <f t="shared" si="377"/>
        <v>0</v>
      </c>
      <c r="CE140" s="68" t="str">
        <f>IF('Marks Entry'!AL140="","",'Marks Entry'!AL140)</f>
        <v/>
      </c>
      <c r="CF140" s="68" t="str">
        <f>IF('Marks Entry'!AM140="","",'Marks Entry'!AM140)</f>
        <v/>
      </c>
      <c r="CG140" s="68" t="str">
        <f>IF('Marks Entry'!AN140="","",'Marks Entry'!AN140)</f>
        <v/>
      </c>
      <c r="CH140" s="514" t="str">
        <f t="shared" si="378"/>
        <v/>
      </c>
      <c r="CI140" s="68" t="str">
        <f>IF('Marks Entry'!AO140="","",'Marks Entry'!AO140)</f>
        <v/>
      </c>
      <c r="CJ140" s="515" t="str">
        <f t="shared" si="379"/>
        <v/>
      </c>
      <c r="CK140" s="68" t="str">
        <f>IF('Marks Entry'!AP140="","",'Marks Entry'!AP140)</f>
        <v/>
      </c>
      <c r="CL140" s="96" t="str">
        <f t="shared" si="380"/>
        <v/>
      </c>
      <c r="CM140" s="65">
        <f t="shared" si="381"/>
        <v>0</v>
      </c>
      <c r="CN140" s="65">
        <f t="shared" si="382"/>
        <v>0</v>
      </c>
      <c r="CO140" s="66" t="str">
        <f t="shared" si="383"/>
        <v/>
      </c>
      <c r="CP140" s="65" t="str">
        <f t="shared" si="384"/>
        <v/>
      </c>
      <c r="CQ140" s="65" t="str">
        <f t="shared" si="385"/>
        <v/>
      </c>
      <c r="CR140" s="65" t="str">
        <f t="shared" si="386"/>
        <v/>
      </c>
      <c r="CS140" s="616" t="str">
        <f>IF('School Profile'!$D$20="NO","",IF('Marks Entry'!AQ140="","",IF('Marks Entry'!AQ140=1,'School Profile'!$I$29,IF('Marks Entry'!AQ140=2,'School Profile'!$I$30,IF('Marks Entry'!AQ140=3,'School Profile'!$I$31,IF('Marks Entry'!AQ140=4,'School Profile'!$I$32,IF('Marks Entry'!AQ140=5,'School Profile'!$I$33,IF('Marks Entry'!AQ140=6,'School Profile'!$I$34,IF('Marks Entry'!AQ140=7,'School Profile'!$I$35,IF('Marks Entry'!AQ140=8,'School Profile'!$I$36,IF('Marks Entry'!AQ140=9,'School Profile'!$I$37,IF('Marks Entry'!AQ140=10,'School Profile'!$I$38,IF('Marks Entry'!AQ140=11,'School Profile'!$I$39,"")))))))))))))</f>
        <v/>
      </c>
      <c r="CT140" s="68" t="str">
        <f>IF('School Profile'!$D$20="NO","",IF('Marks Entry'!AR140="","",'Marks Entry'!AR140))</f>
        <v/>
      </c>
      <c r="CU140" s="68" t="str">
        <f>IF('School Profile'!$D$20="NO","",IF('Marks Entry'!AS140="","",'Marks Entry'!AS140))</f>
        <v/>
      </c>
      <c r="CV140" s="68" t="str">
        <f>IF('School Profile'!$D$20="NO","",IF('Marks Entry'!AT140="","",'Marks Entry'!AT140))</f>
        <v/>
      </c>
      <c r="CW140" s="514" t="str">
        <f>IF('School Profile'!$D$20="NO","",IF(AND(CT140="",CU140="",CV140=""),"",SUM(CT140:CV140)))</f>
        <v/>
      </c>
      <c r="CX140" s="68" t="str">
        <f>IF('School Profile'!$D$20="NO","",IF('Marks Entry'!AU140="","",'Marks Entry'!AU140))</f>
        <v/>
      </c>
      <c r="CY140" s="68" t="str">
        <f>IF('School Profile'!$D$20="NO","",IF('Marks Entry'!AV140="","",'Marks Entry'!AV140))</f>
        <v/>
      </c>
      <c r="CZ140" s="515" t="str">
        <f>IF('School Profile'!$D$20="NO","",IF(AND(CX140="",CY140=""),"",SUM(CX140,CY140)))</f>
        <v/>
      </c>
      <c r="DA140" s="69" t="str">
        <f>IF('School Profile'!$D$20="NO","",IF(AND(CW140="",CZ140=""),"",SUM(CW140+CZ140)))</f>
        <v/>
      </c>
      <c r="DB140" s="68" t="str">
        <f>IF('School Profile'!$D$20="NO","",IF('Marks Entry'!AW140="","",'Marks Entry'!AW140))</f>
        <v/>
      </c>
      <c r="DC140" s="68" t="str">
        <f>IF('School Profile'!$D$20="NO","",IF('Marks Entry'!AX140="","",'Marks Entry'!AX140))</f>
        <v/>
      </c>
      <c r="DD140" s="515" t="str">
        <f>IF('School Profile'!$D$20="NO","",IF(AND(DB140="",DC140=""),"",SUM(DB140,DC140)))</f>
        <v/>
      </c>
      <c r="DE140" s="96" t="str">
        <f>IF('School Profile'!$D$20="NO","",IF(AND(DA140="",DD140=""),"",SUM(DA140,DD140)))</f>
        <v/>
      </c>
      <c r="DF140" s="532">
        <f t="shared" si="387"/>
        <v>0</v>
      </c>
      <c r="DG140" s="65">
        <f t="shared" si="388"/>
        <v>0</v>
      </c>
      <c r="DH140" s="66" t="str">
        <f t="shared" si="389"/>
        <v/>
      </c>
      <c r="DI140" s="65" t="str">
        <f t="shared" si="390"/>
        <v/>
      </c>
      <c r="DJ140" s="65" t="str">
        <f t="shared" si="391"/>
        <v/>
      </c>
      <c r="DK140" s="65" t="str">
        <f t="shared" si="392"/>
        <v/>
      </c>
      <c r="DL140" s="97" t="str">
        <f t="shared" si="432"/>
        <v/>
      </c>
      <c r="DM140" s="97" t="str">
        <f t="shared" si="433"/>
        <v/>
      </c>
      <c r="DN140" s="97" t="str">
        <f t="shared" si="434"/>
        <v/>
      </c>
      <c r="DO140" s="97" t="str">
        <f t="shared" si="435"/>
        <v/>
      </c>
      <c r="DP140" s="97" t="str">
        <f t="shared" si="436"/>
        <v/>
      </c>
      <c r="DQ140" s="97" t="str">
        <f t="shared" si="437"/>
        <v/>
      </c>
      <c r="DR140" s="97" t="str">
        <f t="shared" si="438"/>
        <v/>
      </c>
      <c r="DS140" s="98">
        <f t="shared" si="439"/>
        <v>0</v>
      </c>
      <c r="DT140" s="98">
        <f t="shared" si="440"/>
        <v>0</v>
      </c>
      <c r="DU140" s="98">
        <f t="shared" si="441"/>
        <v>0</v>
      </c>
      <c r="DV140" s="98">
        <f t="shared" si="442"/>
        <v>0</v>
      </c>
      <c r="DW140" s="98">
        <f t="shared" si="443"/>
        <v>0</v>
      </c>
      <c r="DX140" s="98" t="str">
        <f t="shared" si="444"/>
        <v/>
      </c>
      <c r="DY140" s="99" t="str">
        <f t="shared" si="445"/>
        <v/>
      </c>
      <c r="DZ140" s="74" t="str">
        <f>IF('Marks Entry'!AY140="","",'Marks Entry'!AY140)</f>
        <v/>
      </c>
      <c r="EA140" s="74" t="str">
        <f>IF('Marks Entry'!AZ140="","",'Marks Entry'!AZ140)</f>
        <v/>
      </c>
      <c r="EB140" s="74" t="str">
        <f>IF('Marks Entry'!BA140="","",'Marks Entry'!BA140)</f>
        <v/>
      </c>
      <c r="EC140" s="527" t="str">
        <f t="shared" si="393"/>
        <v/>
      </c>
      <c r="ED140" s="74" t="str">
        <f>IF('Marks Entry'!BB140="","",'Marks Entry'!BB140)</f>
        <v/>
      </c>
      <c r="EE140" s="528" t="str">
        <f t="shared" si="394"/>
        <v/>
      </c>
      <c r="EF140" s="74" t="str">
        <f>IF('Marks Entry'!BC140="","",'Marks Entry'!BC140)</f>
        <v/>
      </c>
      <c r="EG140" s="530" t="str">
        <f t="shared" si="395"/>
        <v/>
      </c>
      <c r="EH140" s="368" t="str">
        <f t="shared" si="446"/>
        <v/>
      </c>
      <c r="EI140" s="65">
        <f t="shared" si="447"/>
        <v>0</v>
      </c>
      <c r="EJ140" s="65">
        <f t="shared" si="448"/>
        <v>0</v>
      </c>
      <c r="EK140" s="66" t="str">
        <f t="shared" si="449"/>
        <v/>
      </c>
      <c r="EL140" s="74" t="str">
        <f>IF('Marks Entry'!BD140="","",'Marks Entry'!BD140)</f>
        <v/>
      </c>
      <c r="EM140" s="74" t="str">
        <f>IF('Marks Entry'!BE140="","",'Marks Entry'!BE140)</f>
        <v/>
      </c>
      <c r="EN140" s="74" t="str">
        <f>IF('Marks Entry'!BF140="","",'Marks Entry'!BF140)</f>
        <v/>
      </c>
      <c r="EO140" s="527" t="str">
        <f t="shared" si="396"/>
        <v/>
      </c>
      <c r="EP140" s="74" t="str">
        <f>IF('Marks Entry'!BG140="","",'Marks Entry'!BG140)</f>
        <v/>
      </c>
      <c r="EQ140" s="74" t="str">
        <f>IF('Marks Entry'!BH140="","",'Marks Entry'!BH140)</f>
        <v/>
      </c>
      <c r="ER140" s="528" t="str">
        <f t="shared" si="397"/>
        <v/>
      </c>
      <c r="ES140" s="529" t="str">
        <f t="shared" si="398"/>
        <v/>
      </c>
      <c r="ET140" s="74" t="str">
        <f>IF('Marks Entry'!BI140="","",'Marks Entry'!BI140)</f>
        <v/>
      </c>
      <c r="EU140" s="74" t="str">
        <f>IF('Marks Entry'!BJ140="","",'Marks Entry'!BJ140)</f>
        <v/>
      </c>
      <c r="EV140" s="528" t="str">
        <f t="shared" si="399"/>
        <v/>
      </c>
      <c r="EW140" s="530" t="str">
        <f t="shared" si="400"/>
        <v/>
      </c>
      <c r="EX140" s="368" t="str">
        <f t="shared" si="450"/>
        <v/>
      </c>
      <c r="EY140" s="65">
        <f t="shared" si="451"/>
        <v>0</v>
      </c>
      <c r="EZ140" s="65">
        <f t="shared" si="452"/>
        <v>0</v>
      </c>
      <c r="FA140" s="66" t="str">
        <f t="shared" si="453"/>
        <v/>
      </c>
      <c r="FB140" s="74" t="str">
        <f>IF('Marks Entry'!BK140="","",'Marks Entry'!BK140)</f>
        <v/>
      </c>
      <c r="FC140" s="74" t="str">
        <f>IF('Marks Entry'!BL140="","",'Marks Entry'!BL140)</f>
        <v/>
      </c>
      <c r="FD140" s="74" t="str">
        <f>IF('Marks Entry'!BM140="","",'Marks Entry'!BM140)</f>
        <v/>
      </c>
      <c r="FE140" s="74" t="str">
        <f>IF('Marks Entry'!BN140="","",'Marks Entry'!BN140)</f>
        <v/>
      </c>
      <c r="FF140" s="74" t="str">
        <f>IF('Marks Entry'!BO140="","",'Marks Entry'!BO140)</f>
        <v/>
      </c>
      <c r="FG140" s="74" t="str">
        <f>IF('Marks Entry'!BP140="","",'Marks Entry'!BP140)</f>
        <v/>
      </c>
      <c r="FH140" s="527" t="str">
        <f t="shared" si="401"/>
        <v/>
      </c>
      <c r="FI140" s="74" t="str">
        <f>IF('Marks Entry'!BQ140="","",'Marks Entry'!BQ140)</f>
        <v/>
      </c>
      <c r="FJ140" s="74" t="str">
        <f>IF('Marks Entry'!BR140="","",'Marks Entry'!BR140)</f>
        <v/>
      </c>
      <c r="FK140" s="528" t="str">
        <f t="shared" si="402"/>
        <v/>
      </c>
      <c r="FL140" s="529" t="str">
        <f t="shared" si="403"/>
        <v/>
      </c>
      <c r="FM140" s="74" t="str">
        <f>IF('Marks Entry'!BS140="","",'Marks Entry'!BS140)</f>
        <v/>
      </c>
      <c r="FN140" s="74" t="str">
        <f>IF('Marks Entry'!BT140="","",'Marks Entry'!BT140)</f>
        <v/>
      </c>
      <c r="FO140" s="528" t="str">
        <f t="shared" si="404"/>
        <v/>
      </c>
      <c r="FP140" s="530" t="str">
        <f t="shared" si="405"/>
        <v/>
      </c>
      <c r="FQ140" s="368" t="str">
        <f t="shared" si="454"/>
        <v/>
      </c>
      <c r="FR140" s="65">
        <f t="shared" si="455"/>
        <v>0</v>
      </c>
      <c r="FS140" s="65">
        <f t="shared" si="456"/>
        <v>0</v>
      </c>
      <c r="FT140" s="66" t="str">
        <f t="shared" si="457"/>
        <v/>
      </c>
      <c r="FU140" s="74" t="str">
        <f>IF('Marks Entry'!BU140="","",'Marks Entry'!BU140)</f>
        <v/>
      </c>
      <c r="FV140" s="74" t="str">
        <f>IF('Marks Entry'!BV140="","",'Marks Entry'!BV140)</f>
        <v/>
      </c>
      <c r="FW140" s="74" t="str">
        <f>IF('Marks Entry'!BW140="","",'Marks Entry'!BW140)</f>
        <v/>
      </c>
      <c r="FX140" s="75" t="str">
        <f t="shared" si="406"/>
        <v/>
      </c>
      <c r="FY140" s="368" t="str">
        <f t="shared" si="458"/>
        <v/>
      </c>
      <c r="FZ140" s="65">
        <f t="shared" si="459"/>
        <v>0</v>
      </c>
      <c r="GA140" s="66">
        <f t="shared" si="460"/>
        <v>0</v>
      </c>
      <c r="GB140" s="66" t="str">
        <f t="shared" si="461"/>
        <v/>
      </c>
      <c r="GC140" s="74" t="str">
        <f>IF('Marks Entry'!BX140="","",'Marks Entry'!BX140)</f>
        <v/>
      </c>
      <c r="GD140" s="74" t="str">
        <f>IF('Marks Entry'!BY140="","",'Marks Entry'!BY140)</f>
        <v/>
      </c>
      <c r="GE140" s="74" t="str">
        <f>IF('Marks Entry'!BZ140="","",'Marks Entry'!BZ140)</f>
        <v/>
      </c>
      <c r="GF140" s="75" t="str">
        <f t="shared" si="462"/>
        <v/>
      </c>
      <c r="GG140" s="368" t="str">
        <f t="shared" si="463"/>
        <v/>
      </c>
      <c r="GH140" s="65">
        <f t="shared" si="464"/>
        <v>0</v>
      </c>
      <c r="GI140" s="66">
        <f t="shared" si="465"/>
        <v>0</v>
      </c>
      <c r="GJ140" s="66" t="str">
        <f t="shared" si="466"/>
        <v/>
      </c>
      <c r="GK140" s="100" t="str">
        <f>IF(AND(F140="",B140=""),"",IF('Student DATA Entry'!M137="","",'Student DATA Entry'!M137))</f>
        <v/>
      </c>
      <c r="GL140" s="101" t="str">
        <f>IF(AND(B140="",F140=""),"",IF('Student DATA Entry'!N137="","",'Student DATA Entry'!N137))</f>
        <v/>
      </c>
      <c r="GM140" s="581" t="str">
        <f t="shared" si="467"/>
        <v/>
      </c>
      <c r="GN140" s="94" t="str">
        <f t="shared" si="468"/>
        <v/>
      </c>
      <c r="GO140" s="94" t="str">
        <f t="shared" si="469"/>
        <v/>
      </c>
      <c r="GP140" s="102" t="str">
        <f t="shared" si="407"/>
        <v/>
      </c>
      <c r="GQ140" s="94" t="str">
        <f t="shared" si="470"/>
        <v/>
      </c>
      <c r="GR140" s="103" t="str">
        <f t="shared" si="471"/>
        <v/>
      </c>
      <c r="GS140" s="102" t="str">
        <f t="shared" si="408"/>
        <v/>
      </c>
      <c r="GT140" s="104" t="str">
        <f t="shared" si="472"/>
        <v/>
      </c>
      <c r="GU140" s="94" t="str">
        <f>IF('Marks Entry'!V140=1,GT140,"")</f>
        <v/>
      </c>
      <c r="GV140" s="94" t="str">
        <f>IF('Marks Entry'!V140=2,GT140,"")</f>
        <v/>
      </c>
      <c r="GW140" s="94" t="str">
        <f>IF('Marks Entry'!V140=3,GT140,"")</f>
        <v/>
      </c>
      <c r="GX140" s="94" t="str">
        <f>IF('Marks Entry'!V140=4,GT140,"")</f>
        <v/>
      </c>
      <c r="GY140" s="94" t="str">
        <f>IF('Marks Entry'!V140=5,GT140,"")</f>
        <v/>
      </c>
      <c r="GZ140" s="94" t="str">
        <f t="shared" si="473"/>
        <v/>
      </c>
      <c r="HA140" s="105" t="str">
        <f t="shared" si="409"/>
        <v/>
      </c>
      <c r="HB140" s="94" t="str">
        <f t="shared" si="474"/>
        <v/>
      </c>
      <c r="HC140" s="94" t="str">
        <f t="shared" si="475"/>
        <v/>
      </c>
      <c r="HD140" s="105" t="str">
        <f t="shared" si="410"/>
        <v/>
      </c>
      <c r="HE140" s="94" t="str">
        <f t="shared" si="476"/>
        <v/>
      </c>
      <c r="HF140" s="94" t="str">
        <f t="shared" si="477"/>
        <v/>
      </c>
      <c r="HG140" s="105" t="str">
        <f t="shared" si="411"/>
        <v/>
      </c>
      <c r="HH140" s="94" t="str">
        <f t="shared" si="478"/>
        <v/>
      </c>
      <c r="HI140" s="94" t="str">
        <f t="shared" si="479"/>
        <v/>
      </c>
      <c r="HJ140" s="105" t="str">
        <f t="shared" si="412"/>
        <v/>
      </c>
      <c r="HK140" s="94" t="str">
        <f t="shared" si="480"/>
        <v/>
      </c>
      <c r="HL140" s="94" t="str">
        <f t="shared" si="481"/>
        <v/>
      </c>
      <c r="HM140" s="105" t="str">
        <f t="shared" si="413"/>
        <v/>
      </c>
      <c r="HN140" s="367" t="str">
        <f t="shared" si="482"/>
        <v xml:space="preserve">      </v>
      </c>
      <c r="HO140" s="418" t="str">
        <f t="shared" si="414"/>
        <v xml:space="preserve">      </v>
      </c>
      <c r="HP140" s="367" t="str">
        <f t="shared" si="483"/>
        <v xml:space="preserve">      </v>
      </c>
      <c r="HQ140" s="107" t="str">
        <f t="shared" si="484"/>
        <v xml:space="preserve">      </v>
      </c>
      <c r="HR140" s="366" t="str">
        <f t="shared" si="485"/>
        <v xml:space="preserve">      </v>
      </c>
      <c r="HS140" s="544" t="str">
        <f t="shared" si="415"/>
        <v/>
      </c>
      <c r="HT140" s="542" t="str">
        <f t="shared" si="486"/>
        <v/>
      </c>
      <c r="HU140" s="541" t="str">
        <f t="shared" si="487"/>
        <v/>
      </c>
      <c r="HV140" s="540" t="str">
        <f t="shared" si="488"/>
        <v/>
      </c>
      <c r="HW140" s="537" t="str">
        <f t="shared" si="489"/>
        <v/>
      </c>
      <c r="HX140" s="539" t="str">
        <f t="shared" si="490"/>
        <v/>
      </c>
      <c r="HY140" s="553" t="str">
        <f>IFERROR(IF(OR(HS140="SUPPLEMENTARY",HS140="RE-EXAM"),'Supp. Result Entry'!AQ138,""),"")</f>
        <v/>
      </c>
      <c r="HZ140" s="538" t="str">
        <f t="shared" si="491"/>
        <v/>
      </c>
      <c r="IA140" s="415" t="str">
        <f t="shared" si="492"/>
        <v/>
      </c>
      <c r="IB140" s="415" t="str">
        <f>IF(AND(HZ140="",IA140=""),"",IF(OR(HS140="SUPPLEMENTARY",HS140="RE-EXAM"),'Supp. Result Entry'!AQ138,HS140))</f>
        <v/>
      </c>
      <c r="IC140" s="87"/>
      <c r="IS140" s="109" t="str">
        <f>IF('Supp. Result Entry'!T138="","",'Supp. Result Entry'!$T$4)</f>
        <v/>
      </c>
      <c r="IT140" s="110" t="str">
        <f>IF('Supp. Result Entry'!W138="","",'Supp. Result Entry'!$W$4)</f>
        <v/>
      </c>
      <c r="IU140" s="110" t="str">
        <f>IF('Supp. Result Entry'!Z138="","",'Supp. Result Entry'!$Z$4)</f>
        <v/>
      </c>
      <c r="IV140" s="110" t="str">
        <f>IF('Supp. Result Entry'!AC138="","",'Supp. Result Entry'!$AC$4)</f>
        <v/>
      </c>
      <c r="IW140" s="110" t="str">
        <f>IF('Supp. Result Entry'!AF138="","",'Supp. Result Entry'!$AF$4)</f>
        <v/>
      </c>
      <c r="IX140" s="110" t="str">
        <f>IF('Supp. Result Entry'!AI138="","",'Supp. Result Entry'!$AI$4)</f>
        <v/>
      </c>
      <c r="IY140" s="110" t="str">
        <f>IF('Supp. Result Entry'!AI138="","",'Supp. Result Entry'!$AL$4)</f>
        <v/>
      </c>
      <c r="IZ140" s="110" t="str">
        <f>IF('Supp. Result Entry'!U138="","",'Supp. Result Entry'!U138)</f>
        <v/>
      </c>
      <c r="JA140" s="110" t="str">
        <f>IF('Supp. Result Entry'!X138="","",'Supp. Result Entry'!X138)</f>
        <v/>
      </c>
      <c r="JB140" s="110" t="str">
        <f>IF('Supp. Result Entry'!AA138="","",'Supp. Result Entry'!AA138)</f>
        <v/>
      </c>
      <c r="JC140" s="110" t="str">
        <f>IF('Supp. Result Entry'!AD138="","",'Supp. Result Entry'!AD138)</f>
        <v/>
      </c>
      <c r="JD140" s="110" t="str">
        <f>IF('Supp. Result Entry'!AG138="","",'Supp. Result Entry'!AG138)</f>
        <v/>
      </c>
      <c r="JE140" s="110" t="str">
        <f>IF('Supp. Result Entry'!AJ138="","",'Supp. Result Entry'!AJ138)</f>
        <v/>
      </c>
      <c r="JF140" s="110" t="str">
        <f>IF('Supp. Result Entry'!AM138="","",'Supp. Result Entry'!AM138)</f>
        <v/>
      </c>
      <c r="JG140" s="110" t="str">
        <f>IF('Supp. Result Entry'!V138="","",'Supp. Result Entry'!V138)</f>
        <v/>
      </c>
      <c r="JH140" s="110" t="str">
        <f>IF('Supp. Result Entry'!Y138="","",'Supp. Result Entry'!Y138)</f>
        <v/>
      </c>
      <c r="JI140" s="110" t="str">
        <f>IF('Supp. Result Entry'!AB138="","",'Supp. Result Entry'!AB138)</f>
        <v/>
      </c>
      <c r="JJ140" s="110" t="str">
        <f>IF('Supp. Result Entry'!AE138="","",'Supp. Result Entry'!AE138)</f>
        <v/>
      </c>
      <c r="JK140" s="110" t="str">
        <f>IF('Supp. Result Entry'!AH138="","",'Supp. Result Entry'!AH138)</f>
        <v/>
      </c>
      <c r="JL140" s="110" t="str">
        <f>IF('Supp. Result Entry'!AK138="","",'Supp. Result Entry'!AK138)</f>
        <v/>
      </c>
      <c r="JM140" s="110" t="str">
        <f>IF('Supp. Result Entry'!AN138="","",'Supp. Result Entry'!AN138)</f>
        <v/>
      </c>
      <c r="JN140" s="110">
        <f>COUNTIF('Supp. Result Entry'!K138:Q138,"S")</f>
        <v>0</v>
      </c>
      <c r="JO140" s="110">
        <f t="shared" si="416"/>
        <v>0</v>
      </c>
      <c r="JP140" s="110">
        <f t="shared" si="493"/>
        <v>0</v>
      </c>
      <c r="JQ140" s="110" t="str">
        <f t="shared" si="417"/>
        <v/>
      </c>
      <c r="JR140" s="110" t="str">
        <f t="shared" si="418"/>
        <v/>
      </c>
      <c r="JS140" s="110" t="str">
        <f t="shared" si="419"/>
        <v/>
      </c>
      <c r="JT140" s="110" t="str">
        <f t="shared" si="420"/>
        <v/>
      </c>
      <c r="JU140" s="110" t="str">
        <f t="shared" si="421"/>
        <v/>
      </c>
      <c r="JV140" s="110" t="str">
        <f t="shared" si="422"/>
        <v/>
      </c>
      <c r="JW140" s="110" t="str">
        <f t="shared" si="423"/>
        <v/>
      </c>
      <c r="JX140" s="110" t="str">
        <f t="shared" si="494"/>
        <v/>
      </c>
      <c r="JY140" s="110" t="str">
        <f t="shared" si="495"/>
        <v/>
      </c>
      <c r="JZ140" s="110" t="str">
        <f t="shared" si="424"/>
        <v/>
      </c>
      <c r="KA140" s="108" t="str">
        <f t="shared" si="496"/>
        <v/>
      </c>
    </row>
    <row r="141" spans="1:287" s="108" customFormat="1" ht="21.95" customHeight="1">
      <c r="A141" s="89">
        <v>135</v>
      </c>
      <c r="B141" s="90" t="str">
        <f>IF('Marks Entry'!B141="","",'Marks Entry'!B141)</f>
        <v/>
      </c>
      <c r="C141" s="94" t="str">
        <f>IF('Marks Entry'!D141="","",'Marks Entry'!D141)</f>
        <v/>
      </c>
      <c r="D141" s="91" t="str">
        <f>IF('Marks Entry'!E141="","",'Marks Entry'!E141)</f>
        <v/>
      </c>
      <c r="E141" s="92" t="str">
        <f>IF('Marks Entry'!F141="","",'Marks Entry'!F141)</f>
        <v/>
      </c>
      <c r="F141" s="93" t="str">
        <f>IF('Marks Entry'!G141="","",'Marks Entry'!G141)</f>
        <v/>
      </c>
      <c r="G141" s="93" t="str">
        <f>IF('Marks Entry'!H141="","",'Marks Entry'!H141)</f>
        <v/>
      </c>
      <c r="H141" s="93" t="str">
        <f>IF('Marks Entry'!I141="","",'Marks Entry'!I141)</f>
        <v/>
      </c>
      <c r="I141" s="94" t="str">
        <f>IF('Marks Entry'!J141="","",'Marks Entry'!J141)</f>
        <v/>
      </c>
      <c r="J141" s="95" t="str">
        <f>IF('Marks Entry'!K141="","",'Marks Entry'!K141)</f>
        <v/>
      </c>
      <c r="K141" s="68" t="str">
        <f>IF('Marks Entry'!L141="","",'Marks Entry'!L141)</f>
        <v/>
      </c>
      <c r="L141" s="68" t="str">
        <f>IF('Marks Entry'!M141="","",'Marks Entry'!M141)</f>
        <v/>
      </c>
      <c r="M141" s="68" t="str">
        <f>IF('Marks Entry'!N141="","",'Marks Entry'!N141)</f>
        <v/>
      </c>
      <c r="N141" s="514" t="str">
        <f t="shared" si="425"/>
        <v/>
      </c>
      <c r="O141" s="68" t="str">
        <f>IF('Marks Entry'!O141="","",'Marks Entry'!O141)</f>
        <v/>
      </c>
      <c r="P141" s="515" t="str">
        <f t="shared" si="426"/>
        <v/>
      </c>
      <c r="Q141" s="68" t="str">
        <f>IF('Marks Entry'!P141="","",'Marks Entry'!P141)</f>
        <v/>
      </c>
      <c r="R141" s="96" t="str">
        <f t="shared" si="427"/>
        <v/>
      </c>
      <c r="S141" s="65">
        <f t="shared" si="428"/>
        <v>0</v>
      </c>
      <c r="T141" s="65">
        <f t="shared" si="429"/>
        <v>0</v>
      </c>
      <c r="U141" s="66" t="str">
        <f t="shared" si="339"/>
        <v/>
      </c>
      <c r="V141" s="65" t="str">
        <f t="shared" si="340"/>
        <v/>
      </c>
      <c r="W141" s="65" t="str">
        <f t="shared" si="430"/>
        <v/>
      </c>
      <c r="X141" s="65" t="str">
        <f t="shared" si="341"/>
        <v/>
      </c>
      <c r="Y141" s="68" t="str">
        <f>IF('Marks Entry'!Q141="","",'Marks Entry'!Q141)</f>
        <v/>
      </c>
      <c r="Z141" s="68" t="str">
        <f>IF('Marks Entry'!R141="","",'Marks Entry'!R141)</f>
        <v/>
      </c>
      <c r="AA141" s="68" t="str">
        <f>IF('Marks Entry'!S141="","",'Marks Entry'!S141)</f>
        <v/>
      </c>
      <c r="AB141" s="514" t="str">
        <f t="shared" si="342"/>
        <v/>
      </c>
      <c r="AC141" s="68" t="str">
        <f>IF('Marks Entry'!T141="","",'Marks Entry'!T141)</f>
        <v/>
      </c>
      <c r="AD141" s="515" t="str">
        <f t="shared" si="343"/>
        <v/>
      </c>
      <c r="AE141" s="68" t="str">
        <f>IF('Marks Entry'!U141="","",'Marks Entry'!U141)</f>
        <v/>
      </c>
      <c r="AF141" s="96" t="str">
        <f t="shared" si="344"/>
        <v/>
      </c>
      <c r="AG141" s="65">
        <f t="shared" si="345"/>
        <v>0</v>
      </c>
      <c r="AH141" s="65">
        <f t="shared" si="346"/>
        <v>0</v>
      </c>
      <c r="AI141" s="66" t="str">
        <f t="shared" si="347"/>
        <v/>
      </c>
      <c r="AJ141" s="65" t="str">
        <f t="shared" si="348"/>
        <v/>
      </c>
      <c r="AK141" s="65" t="str">
        <f t="shared" si="349"/>
        <v/>
      </c>
      <c r="AL141" s="65" t="str">
        <f t="shared" si="350"/>
        <v/>
      </c>
      <c r="AM141" s="524" t="str">
        <f>IF('Marks Entry'!V141="","",IF('Marks Entry'!V141=1,'School Profile'!$I$9,IF('Marks Entry'!V141=2,'School Profile'!$I$10,IF('Marks Entry'!V141=3,'School Profile'!$I$11,IF('Marks Entry'!V141=4,'School Profile'!$I$12,IF('Marks Entry'!V141=5,'School Profile'!$I$13,IF('Marks Entry'!V141=6,'School Profile'!$I$14,"")))))))</f>
        <v/>
      </c>
      <c r="AN141" s="68" t="str">
        <f>IF('Marks Entry'!W141="","",'Marks Entry'!W141)</f>
        <v/>
      </c>
      <c r="AO141" s="68" t="str">
        <f>IF('Marks Entry'!X141="","",'Marks Entry'!X141)</f>
        <v/>
      </c>
      <c r="AP141" s="68" t="str">
        <f>IF('Marks Entry'!Y141="","",'Marks Entry'!Y141)</f>
        <v/>
      </c>
      <c r="AQ141" s="514" t="str">
        <f t="shared" si="351"/>
        <v/>
      </c>
      <c r="AR141" s="68" t="str">
        <f>IF('Marks Entry'!Z141="","",'Marks Entry'!Z141)</f>
        <v/>
      </c>
      <c r="AS141" s="515" t="str">
        <f t="shared" si="352"/>
        <v/>
      </c>
      <c r="AT141" s="68" t="str">
        <f>IF('Marks Entry'!AA141="","",'Marks Entry'!AA141)</f>
        <v/>
      </c>
      <c r="AU141" s="96" t="str">
        <f t="shared" si="353"/>
        <v/>
      </c>
      <c r="AV141" s="65">
        <f t="shared" si="354"/>
        <v>0</v>
      </c>
      <c r="AW141" s="65">
        <f t="shared" si="355"/>
        <v>0</v>
      </c>
      <c r="AX141" s="66" t="str">
        <f t="shared" si="356"/>
        <v/>
      </c>
      <c r="AY141" s="65" t="str">
        <f t="shared" si="357"/>
        <v/>
      </c>
      <c r="AZ141" s="65" t="str">
        <f t="shared" si="358"/>
        <v/>
      </c>
      <c r="BA141" s="65" t="str">
        <f t="shared" si="359"/>
        <v/>
      </c>
      <c r="BB141" s="68" t="str">
        <f>IF('Marks Entry'!AB141="","",'Marks Entry'!AB141)</f>
        <v/>
      </c>
      <c r="BC141" s="68" t="str">
        <f>IF('Marks Entry'!AC141="","",'Marks Entry'!AC141)</f>
        <v/>
      </c>
      <c r="BD141" s="68" t="str">
        <f>IF('Marks Entry'!AD141="","",'Marks Entry'!AD141)</f>
        <v/>
      </c>
      <c r="BE141" s="514" t="str">
        <f t="shared" si="360"/>
        <v/>
      </c>
      <c r="BF141" s="68" t="str">
        <f>IF('Marks Entry'!AE141="","",'Marks Entry'!AE141)</f>
        <v/>
      </c>
      <c r="BG141" s="515" t="str">
        <f t="shared" si="361"/>
        <v/>
      </c>
      <c r="BH141" s="68" t="str">
        <f>IF('Marks Entry'!AF141="","",'Marks Entry'!AF141)</f>
        <v/>
      </c>
      <c r="BI141" s="96" t="str">
        <f t="shared" si="362"/>
        <v/>
      </c>
      <c r="BJ141" s="65">
        <f t="shared" si="363"/>
        <v>0</v>
      </c>
      <c r="BK141" s="65">
        <f t="shared" si="431"/>
        <v>0</v>
      </c>
      <c r="BL141" s="66" t="str">
        <f t="shared" si="364"/>
        <v/>
      </c>
      <c r="BM141" s="65" t="str">
        <f t="shared" si="365"/>
        <v/>
      </c>
      <c r="BN141" s="65" t="str">
        <f t="shared" si="366"/>
        <v/>
      </c>
      <c r="BO141" s="65" t="str">
        <f t="shared" si="367"/>
        <v/>
      </c>
      <c r="BP141" s="68" t="str">
        <f>IF('Marks Entry'!AG141="","",'Marks Entry'!AG141)</f>
        <v/>
      </c>
      <c r="BQ141" s="68" t="str">
        <f>IF('Marks Entry'!AH141="","",'Marks Entry'!AH141)</f>
        <v/>
      </c>
      <c r="BR141" s="68" t="str">
        <f>IF('Marks Entry'!AI141="","",'Marks Entry'!AI141)</f>
        <v/>
      </c>
      <c r="BS141" s="514" t="str">
        <f t="shared" si="368"/>
        <v/>
      </c>
      <c r="BT141" s="68" t="str">
        <f>IF('Marks Entry'!AJ141="","",'Marks Entry'!AJ141)</f>
        <v/>
      </c>
      <c r="BU141" s="515" t="str">
        <f t="shared" si="369"/>
        <v/>
      </c>
      <c r="BV141" s="68" t="str">
        <f>IF('Marks Entry'!AK141="","",'Marks Entry'!AK141)</f>
        <v/>
      </c>
      <c r="BW141" s="96" t="str">
        <f t="shared" si="370"/>
        <v/>
      </c>
      <c r="BX141" s="65">
        <f t="shared" si="371"/>
        <v>0</v>
      </c>
      <c r="BY141" s="65">
        <f t="shared" si="372"/>
        <v>0</v>
      </c>
      <c r="BZ141" s="66" t="str">
        <f t="shared" si="373"/>
        <v/>
      </c>
      <c r="CA141" s="65" t="str">
        <f t="shared" si="374"/>
        <v/>
      </c>
      <c r="CB141" s="65" t="str">
        <f t="shared" si="375"/>
        <v/>
      </c>
      <c r="CC141" s="65" t="str">
        <f t="shared" si="376"/>
        <v/>
      </c>
      <c r="CD141" s="66">
        <f t="shared" si="377"/>
        <v>0</v>
      </c>
      <c r="CE141" s="68" t="str">
        <f>IF('Marks Entry'!AL141="","",'Marks Entry'!AL141)</f>
        <v/>
      </c>
      <c r="CF141" s="68" t="str">
        <f>IF('Marks Entry'!AM141="","",'Marks Entry'!AM141)</f>
        <v/>
      </c>
      <c r="CG141" s="68" t="str">
        <f>IF('Marks Entry'!AN141="","",'Marks Entry'!AN141)</f>
        <v/>
      </c>
      <c r="CH141" s="514" t="str">
        <f t="shared" si="378"/>
        <v/>
      </c>
      <c r="CI141" s="68" t="str">
        <f>IF('Marks Entry'!AO141="","",'Marks Entry'!AO141)</f>
        <v/>
      </c>
      <c r="CJ141" s="515" t="str">
        <f t="shared" si="379"/>
        <v/>
      </c>
      <c r="CK141" s="68" t="str">
        <f>IF('Marks Entry'!AP141="","",'Marks Entry'!AP141)</f>
        <v/>
      </c>
      <c r="CL141" s="96" t="str">
        <f t="shared" si="380"/>
        <v/>
      </c>
      <c r="CM141" s="65">
        <f t="shared" si="381"/>
        <v>0</v>
      </c>
      <c r="CN141" s="65">
        <f t="shared" si="382"/>
        <v>0</v>
      </c>
      <c r="CO141" s="66" t="str">
        <f t="shared" si="383"/>
        <v/>
      </c>
      <c r="CP141" s="65" t="str">
        <f t="shared" si="384"/>
        <v/>
      </c>
      <c r="CQ141" s="65" t="str">
        <f t="shared" si="385"/>
        <v/>
      </c>
      <c r="CR141" s="65" t="str">
        <f t="shared" si="386"/>
        <v/>
      </c>
      <c r="CS141" s="616" t="str">
        <f>IF('School Profile'!$D$20="NO","",IF('Marks Entry'!AQ141="","",IF('Marks Entry'!AQ141=1,'School Profile'!$I$29,IF('Marks Entry'!AQ141=2,'School Profile'!$I$30,IF('Marks Entry'!AQ141=3,'School Profile'!$I$31,IF('Marks Entry'!AQ141=4,'School Profile'!$I$32,IF('Marks Entry'!AQ141=5,'School Profile'!$I$33,IF('Marks Entry'!AQ141=6,'School Profile'!$I$34,IF('Marks Entry'!AQ141=7,'School Profile'!$I$35,IF('Marks Entry'!AQ141=8,'School Profile'!$I$36,IF('Marks Entry'!AQ141=9,'School Profile'!$I$37,IF('Marks Entry'!AQ141=10,'School Profile'!$I$38,IF('Marks Entry'!AQ141=11,'School Profile'!$I$39,"")))))))))))))</f>
        <v/>
      </c>
      <c r="CT141" s="68" t="str">
        <f>IF('School Profile'!$D$20="NO","",IF('Marks Entry'!AR141="","",'Marks Entry'!AR141))</f>
        <v/>
      </c>
      <c r="CU141" s="68" t="str">
        <f>IF('School Profile'!$D$20="NO","",IF('Marks Entry'!AS141="","",'Marks Entry'!AS141))</f>
        <v/>
      </c>
      <c r="CV141" s="68" t="str">
        <f>IF('School Profile'!$D$20="NO","",IF('Marks Entry'!AT141="","",'Marks Entry'!AT141))</f>
        <v/>
      </c>
      <c r="CW141" s="514" t="str">
        <f>IF('School Profile'!$D$20="NO","",IF(AND(CT141="",CU141="",CV141=""),"",SUM(CT141:CV141)))</f>
        <v/>
      </c>
      <c r="CX141" s="68" t="str">
        <f>IF('School Profile'!$D$20="NO","",IF('Marks Entry'!AU141="","",'Marks Entry'!AU141))</f>
        <v/>
      </c>
      <c r="CY141" s="68" t="str">
        <f>IF('School Profile'!$D$20="NO","",IF('Marks Entry'!AV141="","",'Marks Entry'!AV141))</f>
        <v/>
      </c>
      <c r="CZ141" s="515" t="str">
        <f>IF('School Profile'!$D$20="NO","",IF(AND(CX141="",CY141=""),"",SUM(CX141,CY141)))</f>
        <v/>
      </c>
      <c r="DA141" s="69" t="str">
        <f>IF('School Profile'!$D$20="NO","",IF(AND(CW141="",CZ141=""),"",SUM(CW141+CZ141)))</f>
        <v/>
      </c>
      <c r="DB141" s="68" t="str">
        <f>IF('School Profile'!$D$20="NO","",IF('Marks Entry'!AW141="","",'Marks Entry'!AW141))</f>
        <v/>
      </c>
      <c r="DC141" s="68" t="str">
        <f>IF('School Profile'!$D$20="NO","",IF('Marks Entry'!AX141="","",'Marks Entry'!AX141))</f>
        <v/>
      </c>
      <c r="DD141" s="515" t="str">
        <f>IF('School Profile'!$D$20="NO","",IF(AND(DB141="",DC141=""),"",SUM(DB141,DC141)))</f>
        <v/>
      </c>
      <c r="DE141" s="96" t="str">
        <f>IF('School Profile'!$D$20="NO","",IF(AND(DA141="",DD141=""),"",SUM(DA141,DD141)))</f>
        <v/>
      </c>
      <c r="DF141" s="532">
        <f t="shared" si="387"/>
        <v>0</v>
      </c>
      <c r="DG141" s="65">
        <f t="shared" si="388"/>
        <v>0</v>
      </c>
      <c r="DH141" s="66" t="str">
        <f t="shared" si="389"/>
        <v/>
      </c>
      <c r="DI141" s="65" t="str">
        <f t="shared" si="390"/>
        <v/>
      </c>
      <c r="DJ141" s="65" t="str">
        <f t="shared" si="391"/>
        <v/>
      </c>
      <c r="DK141" s="65" t="str">
        <f t="shared" si="392"/>
        <v/>
      </c>
      <c r="DL141" s="97" t="str">
        <f t="shared" si="432"/>
        <v/>
      </c>
      <c r="DM141" s="97" t="str">
        <f t="shared" si="433"/>
        <v/>
      </c>
      <c r="DN141" s="97" t="str">
        <f t="shared" si="434"/>
        <v/>
      </c>
      <c r="DO141" s="97" t="str">
        <f t="shared" si="435"/>
        <v/>
      </c>
      <c r="DP141" s="97" t="str">
        <f t="shared" si="436"/>
        <v/>
      </c>
      <c r="DQ141" s="97" t="str">
        <f t="shared" si="437"/>
        <v/>
      </c>
      <c r="DR141" s="97" t="str">
        <f t="shared" si="438"/>
        <v/>
      </c>
      <c r="DS141" s="98">
        <f t="shared" si="439"/>
        <v>0</v>
      </c>
      <c r="DT141" s="98">
        <f t="shared" si="440"/>
        <v>0</v>
      </c>
      <c r="DU141" s="98">
        <f t="shared" si="441"/>
        <v>0</v>
      </c>
      <c r="DV141" s="98">
        <f t="shared" si="442"/>
        <v>0</v>
      </c>
      <c r="DW141" s="98">
        <f t="shared" si="443"/>
        <v>0</v>
      </c>
      <c r="DX141" s="98" t="str">
        <f t="shared" si="444"/>
        <v/>
      </c>
      <c r="DY141" s="99" t="str">
        <f t="shared" si="445"/>
        <v/>
      </c>
      <c r="DZ141" s="74" t="str">
        <f>IF('Marks Entry'!AY141="","",'Marks Entry'!AY141)</f>
        <v/>
      </c>
      <c r="EA141" s="74" t="str">
        <f>IF('Marks Entry'!AZ141="","",'Marks Entry'!AZ141)</f>
        <v/>
      </c>
      <c r="EB141" s="74" t="str">
        <f>IF('Marks Entry'!BA141="","",'Marks Entry'!BA141)</f>
        <v/>
      </c>
      <c r="EC141" s="527" t="str">
        <f t="shared" si="393"/>
        <v/>
      </c>
      <c r="ED141" s="74" t="str">
        <f>IF('Marks Entry'!BB141="","",'Marks Entry'!BB141)</f>
        <v/>
      </c>
      <c r="EE141" s="528" t="str">
        <f t="shared" si="394"/>
        <v/>
      </c>
      <c r="EF141" s="74" t="str">
        <f>IF('Marks Entry'!BC141="","",'Marks Entry'!BC141)</f>
        <v/>
      </c>
      <c r="EG141" s="530" t="str">
        <f t="shared" si="395"/>
        <v/>
      </c>
      <c r="EH141" s="368" t="str">
        <f t="shared" si="446"/>
        <v/>
      </c>
      <c r="EI141" s="65">
        <f t="shared" si="447"/>
        <v>0</v>
      </c>
      <c r="EJ141" s="65">
        <f t="shared" si="448"/>
        <v>0</v>
      </c>
      <c r="EK141" s="66" t="str">
        <f t="shared" si="449"/>
        <v/>
      </c>
      <c r="EL141" s="74" t="str">
        <f>IF('Marks Entry'!BD141="","",'Marks Entry'!BD141)</f>
        <v/>
      </c>
      <c r="EM141" s="74" t="str">
        <f>IF('Marks Entry'!BE141="","",'Marks Entry'!BE141)</f>
        <v/>
      </c>
      <c r="EN141" s="74" t="str">
        <f>IF('Marks Entry'!BF141="","",'Marks Entry'!BF141)</f>
        <v/>
      </c>
      <c r="EO141" s="527" t="str">
        <f t="shared" si="396"/>
        <v/>
      </c>
      <c r="EP141" s="74" t="str">
        <f>IF('Marks Entry'!BG141="","",'Marks Entry'!BG141)</f>
        <v/>
      </c>
      <c r="EQ141" s="74" t="str">
        <f>IF('Marks Entry'!BH141="","",'Marks Entry'!BH141)</f>
        <v/>
      </c>
      <c r="ER141" s="528" t="str">
        <f t="shared" si="397"/>
        <v/>
      </c>
      <c r="ES141" s="529" t="str">
        <f t="shared" si="398"/>
        <v/>
      </c>
      <c r="ET141" s="74" t="str">
        <f>IF('Marks Entry'!BI141="","",'Marks Entry'!BI141)</f>
        <v/>
      </c>
      <c r="EU141" s="74" t="str">
        <f>IF('Marks Entry'!BJ141="","",'Marks Entry'!BJ141)</f>
        <v/>
      </c>
      <c r="EV141" s="528" t="str">
        <f t="shared" si="399"/>
        <v/>
      </c>
      <c r="EW141" s="530" t="str">
        <f t="shared" si="400"/>
        <v/>
      </c>
      <c r="EX141" s="368" t="str">
        <f t="shared" si="450"/>
        <v/>
      </c>
      <c r="EY141" s="65">
        <f t="shared" si="451"/>
        <v>0</v>
      </c>
      <c r="EZ141" s="65">
        <f t="shared" si="452"/>
        <v>0</v>
      </c>
      <c r="FA141" s="66" t="str">
        <f t="shared" si="453"/>
        <v/>
      </c>
      <c r="FB141" s="74" t="str">
        <f>IF('Marks Entry'!BK141="","",'Marks Entry'!BK141)</f>
        <v/>
      </c>
      <c r="FC141" s="74" t="str">
        <f>IF('Marks Entry'!BL141="","",'Marks Entry'!BL141)</f>
        <v/>
      </c>
      <c r="FD141" s="74" t="str">
        <f>IF('Marks Entry'!BM141="","",'Marks Entry'!BM141)</f>
        <v/>
      </c>
      <c r="FE141" s="74" t="str">
        <f>IF('Marks Entry'!BN141="","",'Marks Entry'!BN141)</f>
        <v/>
      </c>
      <c r="FF141" s="74" t="str">
        <f>IF('Marks Entry'!BO141="","",'Marks Entry'!BO141)</f>
        <v/>
      </c>
      <c r="FG141" s="74" t="str">
        <f>IF('Marks Entry'!BP141="","",'Marks Entry'!BP141)</f>
        <v/>
      </c>
      <c r="FH141" s="527" t="str">
        <f t="shared" si="401"/>
        <v/>
      </c>
      <c r="FI141" s="74" t="str">
        <f>IF('Marks Entry'!BQ141="","",'Marks Entry'!BQ141)</f>
        <v/>
      </c>
      <c r="FJ141" s="74" t="str">
        <f>IF('Marks Entry'!BR141="","",'Marks Entry'!BR141)</f>
        <v/>
      </c>
      <c r="FK141" s="528" t="str">
        <f t="shared" si="402"/>
        <v/>
      </c>
      <c r="FL141" s="529" t="str">
        <f t="shared" si="403"/>
        <v/>
      </c>
      <c r="FM141" s="74" t="str">
        <f>IF('Marks Entry'!BS141="","",'Marks Entry'!BS141)</f>
        <v/>
      </c>
      <c r="FN141" s="74" t="str">
        <f>IF('Marks Entry'!BT141="","",'Marks Entry'!BT141)</f>
        <v/>
      </c>
      <c r="FO141" s="528" t="str">
        <f t="shared" si="404"/>
        <v/>
      </c>
      <c r="FP141" s="530" t="str">
        <f t="shared" si="405"/>
        <v/>
      </c>
      <c r="FQ141" s="368" t="str">
        <f t="shared" si="454"/>
        <v/>
      </c>
      <c r="FR141" s="65">
        <f t="shared" si="455"/>
        <v>0</v>
      </c>
      <c r="FS141" s="65">
        <f t="shared" si="456"/>
        <v>0</v>
      </c>
      <c r="FT141" s="66" t="str">
        <f t="shared" si="457"/>
        <v/>
      </c>
      <c r="FU141" s="74" t="str">
        <f>IF('Marks Entry'!BU141="","",'Marks Entry'!BU141)</f>
        <v/>
      </c>
      <c r="FV141" s="74" t="str">
        <f>IF('Marks Entry'!BV141="","",'Marks Entry'!BV141)</f>
        <v/>
      </c>
      <c r="FW141" s="74" t="str">
        <f>IF('Marks Entry'!BW141="","",'Marks Entry'!BW141)</f>
        <v/>
      </c>
      <c r="FX141" s="75" t="str">
        <f t="shared" si="406"/>
        <v/>
      </c>
      <c r="FY141" s="368" t="str">
        <f t="shared" si="458"/>
        <v/>
      </c>
      <c r="FZ141" s="65">
        <f t="shared" si="459"/>
        <v>0</v>
      </c>
      <c r="GA141" s="66">
        <f t="shared" si="460"/>
        <v>0</v>
      </c>
      <c r="GB141" s="66" t="str">
        <f t="shared" si="461"/>
        <v/>
      </c>
      <c r="GC141" s="74" t="str">
        <f>IF('Marks Entry'!BX141="","",'Marks Entry'!BX141)</f>
        <v/>
      </c>
      <c r="GD141" s="74" t="str">
        <f>IF('Marks Entry'!BY141="","",'Marks Entry'!BY141)</f>
        <v/>
      </c>
      <c r="GE141" s="74" t="str">
        <f>IF('Marks Entry'!BZ141="","",'Marks Entry'!BZ141)</f>
        <v/>
      </c>
      <c r="GF141" s="75" t="str">
        <f t="shared" si="462"/>
        <v/>
      </c>
      <c r="GG141" s="368" t="str">
        <f t="shared" si="463"/>
        <v/>
      </c>
      <c r="GH141" s="65">
        <f t="shared" si="464"/>
        <v>0</v>
      </c>
      <c r="GI141" s="66">
        <f t="shared" si="465"/>
        <v>0</v>
      </c>
      <c r="GJ141" s="66" t="str">
        <f t="shared" si="466"/>
        <v/>
      </c>
      <c r="GK141" s="100" t="str">
        <f>IF(AND(F141="",B141=""),"",IF('Student DATA Entry'!M138="","",'Student DATA Entry'!M138))</f>
        <v/>
      </c>
      <c r="GL141" s="101" t="str">
        <f>IF(AND(B141="",F141=""),"",IF('Student DATA Entry'!N138="","",'Student DATA Entry'!N138))</f>
        <v/>
      </c>
      <c r="GM141" s="581" t="str">
        <f t="shared" si="467"/>
        <v/>
      </c>
      <c r="GN141" s="94" t="str">
        <f t="shared" si="468"/>
        <v/>
      </c>
      <c r="GO141" s="94" t="str">
        <f t="shared" si="469"/>
        <v/>
      </c>
      <c r="GP141" s="102" t="str">
        <f t="shared" si="407"/>
        <v/>
      </c>
      <c r="GQ141" s="94" t="str">
        <f t="shared" si="470"/>
        <v/>
      </c>
      <c r="GR141" s="103" t="str">
        <f t="shared" si="471"/>
        <v/>
      </c>
      <c r="GS141" s="102" t="str">
        <f t="shared" si="408"/>
        <v/>
      </c>
      <c r="GT141" s="104" t="str">
        <f t="shared" si="472"/>
        <v/>
      </c>
      <c r="GU141" s="94" t="str">
        <f>IF('Marks Entry'!V141=1,GT141,"")</f>
        <v/>
      </c>
      <c r="GV141" s="94" t="str">
        <f>IF('Marks Entry'!V141=2,GT141,"")</f>
        <v/>
      </c>
      <c r="GW141" s="94" t="str">
        <f>IF('Marks Entry'!V141=3,GT141,"")</f>
        <v/>
      </c>
      <c r="GX141" s="94" t="str">
        <f>IF('Marks Entry'!V141=4,GT141,"")</f>
        <v/>
      </c>
      <c r="GY141" s="94" t="str">
        <f>IF('Marks Entry'!V141=5,GT141,"")</f>
        <v/>
      </c>
      <c r="GZ141" s="94" t="str">
        <f t="shared" si="473"/>
        <v/>
      </c>
      <c r="HA141" s="105" t="str">
        <f t="shared" si="409"/>
        <v/>
      </c>
      <c r="HB141" s="94" t="str">
        <f t="shared" si="474"/>
        <v/>
      </c>
      <c r="HC141" s="94" t="str">
        <f t="shared" si="475"/>
        <v/>
      </c>
      <c r="HD141" s="105" t="str">
        <f t="shared" si="410"/>
        <v/>
      </c>
      <c r="HE141" s="94" t="str">
        <f t="shared" si="476"/>
        <v/>
      </c>
      <c r="HF141" s="94" t="str">
        <f t="shared" si="477"/>
        <v/>
      </c>
      <c r="HG141" s="105" t="str">
        <f t="shared" si="411"/>
        <v/>
      </c>
      <c r="HH141" s="94" t="str">
        <f t="shared" si="478"/>
        <v/>
      </c>
      <c r="HI141" s="94" t="str">
        <f t="shared" si="479"/>
        <v/>
      </c>
      <c r="HJ141" s="105" t="str">
        <f t="shared" si="412"/>
        <v/>
      </c>
      <c r="HK141" s="94" t="str">
        <f t="shared" si="480"/>
        <v/>
      </c>
      <c r="HL141" s="94" t="str">
        <f t="shared" si="481"/>
        <v/>
      </c>
      <c r="HM141" s="105" t="str">
        <f t="shared" si="413"/>
        <v/>
      </c>
      <c r="HN141" s="367" t="str">
        <f t="shared" si="482"/>
        <v xml:space="preserve">      </v>
      </c>
      <c r="HO141" s="418" t="str">
        <f t="shared" si="414"/>
        <v xml:space="preserve">      </v>
      </c>
      <c r="HP141" s="367" t="str">
        <f t="shared" si="483"/>
        <v xml:space="preserve">      </v>
      </c>
      <c r="HQ141" s="107" t="str">
        <f t="shared" si="484"/>
        <v xml:space="preserve">      </v>
      </c>
      <c r="HR141" s="366" t="str">
        <f t="shared" si="485"/>
        <v xml:space="preserve">      </v>
      </c>
      <c r="HS141" s="544" t="str">
        <f t="shared" si="415"/>
        <v/>
      </c>
      <c r="HT141" s="542" t="str">
        <f t="shared" si="486"/>
        <v/>
      </c>
      <c r="HU141" s="541" t="str">
        <f t="shared" si="487"/>
        <v/>
      </c>
      <c r="HV141" s="540" t="str">
        <f t="shared" si="488"/>
        <v/>
      </c>
      <c r="HW141" s="537" t="str">
        <f t="shared" si="489"/>
        <v/>
      </c>
      <c r="HX141" s="539" t="str">
        <f t="shared" si="490"/>
        <v/>
      </c>
      <c r="HY141" s="553" t="str">
        <f>IFERROR(IF(OR(HS141="SUPPLEMENTARY",HS141="RE-EXAM"),'Supp. Result Entry'!AQ139,""),"")</f>
        <v/>
      </c>
      <c r="HZ141" s="538" t="str">
        <f t="shared" si="491"/>
        <v/>
      </c>
      <c r="IA141" s="415" t="str">
        <f t="shared" si="492"/>
        <v/>
      </c>
      <c r="IB141" s="415" t="str">
        <f>IF(AND(HZ141="",IA141=""),"",IF(OR(HS141="SUPPLEMENTARY",HS141="RE-EXAM"),'Supp. Result Entry'!AQ139,HS141))</f>
        <v/>
      </c>
      <c r="IC141" s="87"/>
      <c r="IS141" s="109" t="str">
        <f>IF('Supp. Result Entry'!T139="","",'Supp. Result Entry'!$T$4)</f>
        <v/>
      </c>
      <c r="IT141" s="110" t="str">
        <f>IF('Supp. Result Entry'!W139="","",'Supp. Result Entry'!$W$4)</f>
        <v/>
      </c>
      <c r="IU141" s="110" t="str">
        <f>IF('Supp. Result Entry'!Z139="","",'Supp. Result Entry'!$Z$4)</f>
        <v/>
      </c>
      <c r="IV141" s="110" t="str">
        <f>IF('Supp. Result Entry'!AC139="","",'Supp. Result Entry'!$AC$4)</f>
        <v/>
      </c>
      <c r="IW141" s="110" t="str">
        <f>IF('Supp. Result Entry'!AF139="","",'Supp. Result Entry'!$AF$4)</f>
        <v/>
      </c>
      <c r="IX141" s="110" t="str">
        <f>IF('Supp. Result Entry'!AI139="","",'Supp. Result Entry'!$AI$4)</f>
        <v/>
      </c>
      <c r="IY141" s="110" t="str">
        <f>IF('Supp. Result Entry'!AI139="","",'Supp. Result Entry'!$AL$4)</f>
        <v/>
      </c>
      <c r="IZ141" s="110" t="str">
        <f>IF('Supp. Result Entry'!U139="","",'Supp. Result Entry'!U139)</f>
        <v/>
      </c>
      <c r="JA141" s="110" t="str">
        <f>IF('Supp. Result Entry'!X139="","",'Supp. Result Entry'!X139)</f>
        <v/>
      </c>
      <c r="JB141" s="110" t="str">
        <f>IF('Supp. Result Entry'!AA139="","",'Supp. Result Entry'!AA139)</f>
        <v/>
      </c>
      <c r="JC141" s="110" t="str">
        <f>IF('Supp. Result Entry'!AD139="","",'Supp. Result Entry'!AD139)</f>
        <v/>
      </c>
      <c r="JD141" s="110" t="str">
        <f>IF('Supp. Result Entry'!AG139="","",'Supp. Result Entry'!AG139)</f>
        <v/>
      </c>
      <c r="JE141" s="110" t="str">
        <f>IF('Supp. Result Entry'!AJ139="","",'Supp. Result Entry'!AJ139)</f>
        <v/>
      </c>
      <c r="JF141" s="110" t="str">
        <f>IF('Supp. Result Entry'!AM139="","",'Supp. Result Entry'!AM139)</f>
        <v/>
      </c>
      <c r="JG141" s="110" t="str">
        <f>IF('Supp. Result Entry'!V139="","",'Supp. Result Entry'!V139)</f>
        <v/>
      </c>
      <c r="JH141" s="110" t="str">
        <f>IF('Supp. Result Entry'!Y139="","",'Supp. Result Entry'!Y139)</f>
        <v/>
      </c>
      <c r="JI141" s="110" t="str">
        <f>IF('Supp. Result Entry'!AB139="","",'Supp. Result Entry'!AB139)</f>
        <v/>
      </c>
      <c r="JJ141" s="110" t="str">
        <f>IF('Supp. Result Entry'!AE139="","",'Supp. Result Entry'!AE139)</f>
        <v/>
      </c>
      <c r="JK141" s="110" t="str">
        <f>IF('Supp. Result Entry'!AH139="","",'Supp. Result Entry'!AH139)</f>
        <v/>
      </c>
      <c r="JL141" s="110" t="str">
        <f>IF('Supp. Result Entry'!AK139="","",'Supp. Result Entry'!AK139)</f>
        <v/>
      </c>
      <c r="JM141" s="110" t="str">
        <f>IF('Supp. Result Entry'!AN139="","",'Supp. Result Entry'!AN139)</f>
        <v/>
      </c>
      <c r="JN141" s="110">
        <f>COUNTIF('Supp. Result Entry'!K139:Q139,"S")</f>
        <v>0</v>
      </c>
      <c r="JO141" s="110">
        <f t="shared" si="416"/>
        <v>0</v>
      </c>
      <c r="JP141" s="110">
        <f t="shared" si="493"/>
        <v>0</v>
      </c>
      <c r="JQ141" s="110" t="str">
        <f t="shared" si="417"/>
        <v/>
      </c>
      <c r="JR141" s="110" t="str">
        <f t="shared" si="418"/>
        <v/>
      </c>
      <c r="JS141" s="110" t="str">
        <f t="shared" si="419"/>
        <v/>
      </c>
      <c r="JT141" s="110" t="str">
        <f t="shared" si="420"/>
        <v/>
      </c>
      <c r="JU141" s="110" t="str">
        <f t="shared" si="421"/>
        <v/>
      </c>
      <c r="JV141" s="110" t="str">
        <f t="shared" si="422"/>
        <v/>
      </c>
      <c r="JW141" s="110" t="str">
        <f t="shared" si="423"/>
        <v/>
      </c>
      <c r="JX141" s="110" t="str">
        <f t="shared" si="494"/>
        <v/>
      </c>
      <c r="JY141" s="110" t="str">
        <f t="shared" si="495"/>
        <v/>
      </c>
      <c r="JZ141" s="110" t="str">
        <f t="shared" si="424"/>
        <v/>
      </c>
      <c r="KA141" s="108" t="str">
        <f t="shared" si="496"/>
        <v/>
      </c>
    </row>
    <row r="142" spans="1:287" s="108" customFormat="1" ht="21.95" customHeight="1">
      <c r="A142" s="89">
        <v>136</v>
      </c>
      <c r="B142" s="90" t="str">
        <f>IF('Marks Entry'!B142="","",'Marks Entry'!B142)</f>
        <v/>
      </c>
      <c r="C142" s="94" t="str">
        <f>IF('Marks Entry'!D142="","",'Marks Entry'!D142)</f>
        <v/>
      </c>
      <c r="D142" s="91" t="str">
        <f>IF('Marks Entry'!E142="","",'Marks Entry'!E142)</f>
        <v/>
      </c>
      <c r="E142" s="92" t="str">
        <f>IF('Marks Entry'!F142="","",'Marks Entry'!F142)</f>
        <v/>
      </c>
      <c r="F142" s="93" t="str">
        <f>IF('Marks Entry'!G142="","",'Marks Entry'!G142)</f>
        <v/>
      </c>
      <c r="G142" s="93" t="str">
        <f>IF('Marks Entry'!H142="","",'Marks Entry'!H142)</f>
        <v/>
      </c>
      <c r="H142" s="93" t="str">
        <f>IF('Marks Entry'!I142="","",'Marks Entry'!I142)</f>
        <v/>
      </c>
      <c r="I142" s="94" t="str">
        <f>IF('Marks Entry'!J142="","",'Marks Entry'!J142)</f>
        <v/>
      </c>
      <c r="J142" s="95" t="str">
        <f>IF('Marks Entry'!K142="","",'Marks Entry'!K142)</f>
        <v/>
      </c>
      <c r="K142" s="68" t="str">
        <f>IF('Marks Entry'!L142="","",'Marks Entry'!L142)</f>
        <v/>
      </c>
      <c r="L142" s="68" t="str">
        <f>IF('Marks Entry'!M142="","",'Marks Entry'!M142)</f>
        <v/>
      </c>
      <c r="M142" s="68" t="str">
        <f>IF('Marks Entry'!N142="","",'Marks Entry'!N142)</f>
        <v/>
      </c>
      <c r="N142" s="514" t="str">
        <f t="shared" si="425"/>
        <v/>
      </c>
      <c r="O142" s="68" t="str">
        <f>IF('Marks Entry'!O142="","",'Marks Entry'!O142)</f>
        <v/>
      </c>
      <c r="P142" s="515" t="str">
        <f t="shared" si="426"/>
        <v/>
      </c>
      <c r="Q142" s="68" t="str">
        <f>IF('Marks Entry'!P142="","",'Marks Entry'!P142)</f>
        <v/>
      </c>
      <c r="R142" s="96" t="str">
        <f t="shared" si="427"/>
        <v/>
      </c>
      <c r="S142" s="65">
        <f t="shared" si="428"/>
        <v>0</v>
      </c>
      <c r="T142" s="65">
        <f t="shared" si="429"/>
        <v>0</v>
      </c>
      <c r="U142" s="66" t="str">
        <f t="shared" si="339"/>
        <v/>
      </c>
      <c r="V142" s="65" t="str">
        <f t="shared" si="340"/>
        <v/>
      </c>
      <c r="W142" s="65" t="str">
        <f t="shared" si="430"/>
        <v/>
      </c>
      <c r="X142" s="65" t="str">
        <f t="shared" si="341"/>
        <v/>
      </c>
      <c r="Y142" s="68" t="str">
        <f>IF('Marks Entry'!Q142="","",'Marks Entry'!Q142)</f>
        <v/>
      </c>
      <c r="Z142" s="68" t="str">
        <f>IF('Marks Entry'!R142="","",'Marks Entry'!R142)</f>
        <v/>
      </c>
      <c r="AA142" s="68" t="str">
        <f>IF('Marks Entry'!S142="","",'Marks Entry'!S142)</f>
        <v/>
      </c>
      <c r="AB142" s="514" t="str">
        <f t="shared" si="342"/>
        <v/>
      </c>
      <c r="AC142" s="68" t="str">
        <f>IF('Marks Entry'!T142="","",'Marks Entry'!T142)</f>
        <v/>
      </c>
      <c r="AD142" s="515" t="str">
        <f t="shared" si="343"/>
        <v/>
      </c>
      <c r="AE142" s="68" t="str">
        <f>IF('Marks Entry'!U142="","",'Marks Entry'!U142)</f>
        <v/>
      </c>
      <c r="AF142" s="96" t="str">
        <f t="shared" si="344"/>
        <v/>
      </c>
      <c r="AG142" s="65">
        <f t="shared" si="345"/>
        <v>0</v>
      </c>
      <c r="AH142" s="65">
        <f t="shared" si="346"/>
        <v>0</v>
      </c>
      <c r="AI142" s="66" t="str">
        <f t="shared" si="347"/>
        <v/>
      </c>
      <c r="AJ142" s="65" t="str">
        <f t="shared" si="348"/>
        <v/>
      </c>
      <c r="AK142" s="65" t="str">
        <f t="shared" si="349"/>
        <v/>
      </c>
      <c r="AL142" s="65" t="str">
        <f t="shared" si="350"/>
        <v/>
      </c>
      <c r="AM142" s="524" t="str">
        <f>IF('Marks Entry'!V142="","",IF('Marks Entry'!V142=1,'School Profile'!$I$9,IF('Marks Entry'!V142=2,'School Profile'!$I$10,IF('Marks Entry'!V142=3,'School Profile'!$I$11,IF('Marks Entry'!V142=4,'School Profile'!$I$12,IF('Marks Entry'!V142=5,'School Profile'!$I$13,IF('Marks Entry'!V142=6,'School Profile'!$I$14,"")))))))</f>
        <v/>
      </c>
      <c r="AN142" s="68" t="str">
        <f>IF('Marks Entry'!W142="","",'Marks Entry'!W142)</f>
        <v/>
      </c>
      <c r="AO142" s="68" t="str">
        <f>IF('Marks Entry'!X142="","",'Marks Entry'!X142)</f>
        <v/>
      </c>
      <c r="AP142" s="68" t="str">
        <f>IF('Marks Entry'!Y142="","",'Marks Entry'!Y142)</f>
        <v/>
      </c>
      <c r="AQ142" s="514" t="str">
        <f t="shared" si="351"/>
        <v/>
      </c>
      <c r="AR142" s="68" t="str">
        <f>IF('Marks Entry'!Z142="","",'Marks Entry'!Z142)</f>
        <v/>
      </c>
      <c r="AS142" s="515" t="str">
        <f t="shared" si="352"/>
        <v/>
      </c>
      <c r="AT142" s="68" t="str">
        <f>IF('Marks Entry'!AA142="","",'Marks Entry'!AA142)</f>
        <v/>
      </c>
      <c r="AU142" s="96" t="str">
        <f t="shared" si="353"/>
        <v/>
      </c>
      <c r="AV142" s="65">
        <f t="shared" si="354"/>
        <v>0</v>
      </c>
      <c r="AW142" s="65">
        <f t="shared" si="355"/>
        <v>0</v>
      </c>
      <c r="AX142" s="66" t="str">
        <f t="shared" si="356"/>
        <v/>
      </c>
      <c r="AY142" s="65" t="str">
        <f t="shared" si="357"/>
        <v/>
      </c>
      <c r="AZ142" s="65" t="str">
        <f t="shared" si="358"/>
        <v/>
      </c>
      <c r="BA142" s="65" t="str">
        <f t="shared" si="359"/>
        <v/>
      </c>
      <c r="BB142" s="68" t="str">
        <f>IF('Marks Entry'!AB142="","",'Marks Entry'!AB142)</f>
        <v/>
      </c>
      <c r="BC142" s="68" t="str">
        <f>IF('Marks Entry'!AC142="","",'Marks Entry'!AC142)</f>
        <v/>
      </c>
      <c r="BD142" s="68" t="str">
        <f>IF('Marks Entry'!AD142="","",'Marks Entry'!AD142)</f>
        <v/>
      </c>
      <c r="BE142" s="514" t="str">
        <f t="shared" si="360"/>
        <v/>
      </c>
      <c r="BF142" s="68" t="str">
        <f>IF('Marks Entry'!AE142="","",'Marks Entry'!AE142)</f>
        <v/>
      </c>
      <c r="BG142" s="515" t="str">
        <f t="shared" si="361"/>
        <v/>
      </c>
      <c r="BH142" s="68" t="str">
        <f>IF('Marks Entry'!AF142="","",'Marks Entry'!AF142)</f>
        <v/>
      </c>
      <c r="BI142" s="96" t="str">
        <f t="shared" si="362"/>
        <v/>
      </c>
      <c r="BJ142" s="65">
        <f t="shared" si="363"/>
        <v>0</v>
      </c>
      <c r="BK142" s="65">
        <f t="shared" si="431"/>
        <v>0</v>
      </c>
      <c r="BL142" s="66" t="str">
        <f t="shared" si="364"/>
        <v/>
      </c>
      <c r="BM142" s="65" t="str">
        <f t="shared" si="365"/>
        <v/>
      </c>
      <c r="BN142" s="65" t="str">
        <f t="shared" si="366"/>
        <v/>
      </c>
      <c r="BO142" s="65" t="str">
        <f t="shared" si="367"/>
        <v/>
      </c>
      <c r="BP142" s="68" t="str">
        <f>IF('Marks Entry'!AG142="","",'Marks Entry'!AG142)</f>
        <v/>
      </c>
      <c r="BQ142" s="68" t="str">
        <f>IF('Marks Entry'!AH142="","",'Marks Entry'!AH142)</f>
        <v/>
      </c>
      <c r="BR142" s="68" t="str">
        <f>IF('Marks Entry'!AI142="","",'Marks Entry'!AI142)</f>
        <v/>
      </c>
      <c r="BS142" s="514" t="str">
        <f t="shared" si="368"/>
        <v/>
      </c>
      <c r="BT142" s="68" t="str">
        <f>IF('Marks Entry'!AJ142="","",'Marks Entry'!AJ142)</f>
        <v/>
      </c>
      <c r="BU142" s="515" t="str">
        <f t="shared" si="369"/>
        <v/>
      </c>
      <c r="BV142" s="68" t="str">
        <f>IF('Marks Entry'!AK142="","",'Marks Entry'!AK142)</f>
        <v/>
      </c>
      <c r="BW142" s="96" t="str">
        <f t="shared" si="370"/>
        <v/>
      </c>
      <c r="BX142" s="65">
        <f t="shared" si="371"/>
        <v>0</v>
      </c>
      <c r="BY142" s="65">
        <f t="shared" si="372"/>
        <v>0</v>
      </c>
      <c r="BZ142" s="66" t="str">
        <f t="shared" si="373"/>
        <v/>
      </c>
      <c r="CA142" s="65" t="str">
        <f t="shared" si="374"/>
        <v/>
      </c>
      <c r="CB142" s="65" t="str">
        <f t="shared" si="375"/>
        <v/>
      </c>
      <c r="CC142" s="65" t="str">
        <f t="shared" si="376"/>
        <v/>
      </c>
      <c r="CD142" s="66">
        <f t="shared" si="377"/>
        <v>0</v>
      </c>
      <c r="CE142" s="68" t="str">
        <f>IF('Marks Entry'!AL142="","",'Marks Entry'!AL142)</f>
        <v/>
      </c>
      <c r="CF142" s="68" t="str">
        <f>IF('Marks Entry'!AM142="","",'Marks Entry'!AM142)</f>
        <v/>
      </c>
      <c r="CG142" s="68" t="str">
        <f>IF('Marks Entry'!AN142="","",'Marks Entry'!AN142)</f>
        <v/>
      </c>
      <c r="CH142" s="514" t="str">
        <f t="shared" si="378"/>
        <v/>
      </c>
      <c r="CI142" s="68" t="str">
        <f>IF('Marks Entry'!AO142="","",'Marks Entry'!AO142)</f>
        <v/>
      </c>
      <c r="CJ142" s="515" t="str">
        <f t="shared" si="379"/>
        <v/>
      </c>
      <c r="CK142" s="68" t="str">
        <f>IF('Marks Entry'!AP142="","",'Marks Entry'!AP142)</f>
        <v/>
      </c>
      <c r="CL142" s="96" t="str">
        <f t="shared" si="380"/>
        <v/>
      </c>
      <c r="CM142" s="65">
        <f t="shared" si="381"/>
        <v>0</v>
      </c>
      <c r="CN142" s="65">
        <f t="shared" si="382"/>
        <v>0</v>
      </c>
      <c r="CO142" s="66" t="str">
        <f t="shared" si="383"/>
        <v/>
      </c>
      <c r="CP142" s="65" t="str">
        <f t="shared" si="384"/>
        <v/>
      </c>
      <c r="CQ142" s="65" t="str">
        <f t="shared" si="385"/>
        <v/>
      </c>
      <c r="CR142" s="65" t="str">
        <f t="shared" si="386"/>
        <v/>
      </c>
      <c r="CS142" s="616" t="str">
        <f>IF('School Profile'!$D$20="NO","",IF('Marks Entry'!AQ142="","",IF('Marks Entry'!AQ142=1,'School Profile'!$I$29,IF('Marks Entry'!AQ142=2,'School Profile'!$I$30,IF('Marks Entry'!AQ142=3,'School Profile'!$I$31,IF('Marks Entry'!AQ142=4,'School Profile'!$I$32,IF('Marks Entry'!AQ142=5,'School Profile'!$I$33,IF('Marks Entry'!AQ142=6,'School Profile'!$I$34,IF('Marks Entry'!AQ142=7,'School Profile'!$I$35,IF('Marks Entry'!AQ142=8,'School Profile'!$I$36,IF('Marks Entry'!AQ142=9,'School Profile'!$I$37,IF('Marks Entry'!AQ142=10,'School Profile'!$I$38,IF('Marks Entry'!AQ142=11,'School Profile'!$I$39,"")))))))))))))</f>
        <v/>
      </c>
      <c r="CT142" s="68" t="str">
        <f>IF('School Profile'!$D$20="NO","",IF('Marks Entry'!AR142="","",'Marks Entry'!AR142))</f>
        <v/>
      </c>
      <c r="CU142" s="68" t="str">
        <f>IF('School Profile'!$D$20="NO","",IF('Marks Entry'!AS142="","",'Marks Entry'!AS142))</f>
        <v/>
      </c>
      <c r="CV142" s="68" t="str">
        <f>IF('School Profile'!$D$20="NO","",IF('Marks Entry'!AT142="","",'Marks Entry'!AT142))</f>
        <v/>
      </c>
      <c r="CW142" s="514" t="str">
        <f>IF('School Profile'!$D$20="NO","",IF(AND(CT142="",CU142="",CV142=""),"",SUM(CT142:CV142)))</f>
        <v/>
      </c>
      <c r="CX142" s="68" t="str">
        <f>IF('School Profile'!$D$20="NO","",IF('Marks Entry'!AU142="","",'Marks Entry'!AU142))</f>
        <v/>
      </c>
      <c r="CY142" s="68" t="str">
        <f>IF('School Profile'!$D$20="NO","",IF('Marks Entry'!AV142="","",'Marks Entry'!AV142))</f>
        <v/>
      </c>
      <c r="CZ142" s="515" t="str">
        <f>IF('School Profile'!$D$20="NO","",IF(AND(CX142="",CY142=""),"",SUM(CX142,CY142)))</f>
        <v/>
      </c>
      <c r="DA142" s="69" t="str">
        <f>IF('School Profile'!$D$20="NO","",IF(AND(CW142="",CZ142=""),"",SUM(CW142+CZ142)))</f>
        <v/>
      </c>
      <c r="DB142" s="68" t="str">
        <f>IF('School Profile'!$D$20="NO","",IF('Marks Entry'!AW142="","",'Marks Entry'!AW142))</f>
        <v/>
      </c>
      <c r="DC142" s="68" t="str">
        <f>IF('School Profile'!$D$20="NO","",IF('Marks Entry'!AX142="","",'Marks Entry'!AX142))</f>
        <v/>
      </c>
      <c r="DD142" s="515" t="str">
        <f>IF('School Profile'!$D$20="NO","",IF(AND(DB142="",DC142=""),"",SUM(DB142,DC142)))</f>
        <v/>
      </c>
      <c r="DE142" s="96" t="str">
        <f>IF('School Profile'!$D$20="NO","",IF(AND(DA142="",DD142=""),"",SUM(DA142,DD142)))</f>
        <v/>
      </c>
      <c r="DF142" s="532">
        <f t="shared" si="387"/>
        <v>0</v>
      </c>
      <c r="DG142" s="65">
        <f t="shared" si="388"/>
        <v>0</v>
      </c>
      <c r="DH142" s="66" t="str">
        <f t="shared" si="389"/>
        <v/>
      </c>
      <c r="DI142" s="65" t="str">
        <f t="shared" si="390"/>
        <v/>
      </c>
      <c r="DJ142" s="65" t="str">
        <f t="shared" si="391"/>
        <v/>
      </c>
      <c r="DK142" s="65" t="str">
        <f t="shared" si="392"/>
        <v/>
      </c>
      <c r="DL142" s="97" t="str">
        <f t="shared" si="432"/>
        <v/>
      </c>
      <c r="DM142" s="97" t="str">
        <f t="shared" si="433"/>
        <v/>
      </c>
      <c r="DN142" s="97" t="str">
        <f t="shared" si="434"/>
        <v/>
      </c>
      <c r="DO142" s="97" t="str">
        <f t="shared" si="435"/>
        <v/>
      </c>
      <c r="DP142" s="97" t="str">
        <f t="shared" si="436"/>
        <v/>
      </c>
      <c r="DQ142" s="97" t="str">
        <f t="shared" si="437"/>
        <v/>
      </c>
      <c r="DR142" s="97" t="str">
        <f t="shared" si="438"/>
        <v/>
      </c>
      <c r="DS142" s="98">
        <f t="shared" si="439"/>
        <v>0</v>
      </c>
      <c r="DT142" s="98">
        <f t="shared" si="440"/>
        <v>0</v>
      </c>
      <c r="DU142" s="98">
        <f t="shared" si="441"/>
        <v>0</v>
      </c>
      <c r="DV142" s="98">
        <f t="shared" si="442"/>
        <v>0</v>
      </c>
      <c r="DW142" s="98">
        <f t="shared" si="443"/>
        <v>0</v>
      </c>
      <c r="DX142" s="98" t="str">
        <f t="shared" si="444"/>
        <v/>
      </c>
      <c r="DY142" s="99" t="str">
        <f t="shared" si="445"/>
        <v/>
      </c>
      <c r="DZ142" s="74" t="str">
        <f>IF('Marks Entry'!AY142="","",'Marks Entry'!AY142)</f>
        <v/>
      </c>
      <c r="EA142" s="74" t="str">
        <f>IF('Marks Entry'!AZ142="","",'Marks Entry'!AZ142)</f>
        <v/>
      </c>
      <c r="EB142" s="74" t="str">
        <f>IF('Marks Entry'!BA142="","",'Marks Entry'!BA142)</f>
        <v/>
      </c>
      <c r="EC142" s="527" t="str">
        <f t="shared" si="393"/>
        <v/>
      </c>
      <c r="ED142" s="74" t="str">
        <f>IF('Marks Entry'!BB142="","",'Marks Entry'!BB142)</f>
        <v/>
      </c>
      <c r="EE142" s="528" t="str">
        <f t="shared" si="394"/>
        <v/>
      </c>
      <c r="EF142" s="74" t="str">
        <f>IF('Marks Entry'!BC142="","",'Marks Entry'!BC142)</f>
        <v/>
      </c>
      <c r="EG142" s="530" t="str">
        <f t="shared" si="395"/>
        <v/>
      </c>
      <c r="EH142" s="368" t="str">
        <f t="shared" si="446"/>
        <v/>
      </c>
      <c r="EI142" s="65">
        <f t="shared" si="447"/>
        <v>0</v>
      </c>
      <c r="EJ142" s="65">
        <f t="shared" si="448"/>
        <v>0</v>
      </c>
      <c r="EK142" s="66" t="str">
        <f t="shared" si="449"/>
        <v/>
      </c>
      <c r="EL142" s="74" t="str">
        <f>IF('Marks Entry'!BD142="","",'Marks Entry'!BD142)</f>
        <v/>
      </c>
      <c r="EM142" s="74" t="str">
        <f>IF('Marks Entry'!BE142="","",'Marks Entry'!BE142)</f>
        <v/>
      </c>
      <c r="EN142" s="74" t="str">
        <f>IF('Marks Entry'!BF142="","",'Marks Entry'!BF142)</f>
        <v/>
      </c>
      <c r="EO142" s="527" t="str">
        <f t="shared" si="396"/>
        <v/>
      </c>
      <c r="EP142" s="74" t="str">
        <f>IF('Marks Entry'!BG142="","",'Marks Entry'!BG142)</f>
        <v/>
      </c>
      <c r="EQ142" s="74" t="str">
        <f>IF('Marks Entry'!BH142="","",'Marks Entry'!BH142)</f>
        <v/>
      </c>
      <c r="ER142" s="528" t="str">
        <f t="shared" si="397"/>
        <v/>
      </c>
      <c r="ES142" s="529" t="str">
        <f t="shared" si="398"/>
        <v/>
      </c>
      <c r="ET142" s="74" t="str">
        <f>IF('Marks Entry'!BI142="","",'Marks Entry'!BI142)</f>
        <v/>
      </c>
      <c r="EU142" s="74" t="str">
        <f>IF('Marks Entry'!BJ142="","",'Marks Entry'!BJ142)</f>
        <v/>
      </c>
      <c r="EV142" s="528" t="str">
        <f t="shared" si="399"/>
        <v/>
      </c>
      <c r="EW142" s="530" t="str">
        <f t="shared" si="400"/>
        <v/>
      </c>
      <c r="EX142" s="368" t="str">
        <f t="shared" si="450"/>
        <v/>
      </c>
      <c r="EY142" s="65">
        <f t="shared" si="451"/>
        <v>0</v>
      </c>
      <c r="EZ142" s="65">
        <f t="shared" si="452"/>
        <v>0</v>
      </c>
      <c r="FA142" s="66" t="str">
        <f t="shared" si="453"/>
        <v/>
      </c>
      <c r="FB142" s="74" t="str">
        <f>IF('Marks Entry'!BK142="","",'Marks Entry'!BK142)</f>
        <v/>
      </c>
      <c r="FC142" s="74" t="str">
        <f>IF('Marks Entry'!BL142="","",'Marks Entry'!BL142)</f>
        <v/>
      </c>
      <c r="FD142" s="74" t="str">
        <f>IF('Marks Entry'!BM142="","",'Marks Entry'!BM142)</f>
        <v/>
      </c>
      <c r="FE142" s="74" t="str">
        <f>IF('Marks Entry'!BN142="","",'Marks Entry'!BN142)</f>
        <v/>
      </c>
      <c r="FF142" s="74" t="str">
        <f>IF('Marks Entry'!BO142="","",'Marks Entry'!BO142)</f>
        <v/>
      </c>
      <c r="FG142" s="74" t="str">
        <f>IF('Marks Entry'!BP142="","",'Marks Entry'!BP142)</f>
        <v/>
      </c>
      <c r="FH142" s="527" t="str">
        <f t="shared" si="401"/>
        <v/>
      </c>
      <c r="FI142" s="74" t="str">
        <f>IF('Marks Entry'!BQ142="","",'Marks Entry'!BQ142)</f>
        <v/>
      </c>
      <c r="FJ142" s="74" t="str">
        <f>IF('Marks Entry'!BR142="","",'Marks Entry'!BR142)</f>
        <v/>
      </c>
      <c r="FK142" s="528" t="str">
        <f t="shared" si="402"/>
        <v/>
      </c>
      <c r="FL142" s="529" t="str">
        <f t="shared" si="403"/>
        <v/>
      </c>
      <c r="FM142" s="74" t="str">
        <f>IF('Marks Entry'!BS142="","",'Marks Entry'!BS142)</f>
        <v/>
      </c>
      <c r="FN142" s="74" t="str">
        <f>IF('Marks Entry'!BT142="","",'Marks Entry'!BT142)</f>
        <v/>
      </c>
      <c r="FO142" s="528" t="str">
        <f t="shared" si="404"/>
        <v/>
      </c>
      <c r="FP142" s="530" t="str">
        <f t="shared" si="405"/>
        <v/>
      </c>
      <c r="FQ142" s="368" t="str">
        <f t="shared" si="454"/>
        <v/>
      </c>
      <c r="FR142" s="65">
        <f t="shared" si="455"/>
        <v>0</v>
      </c>
      <c r="FS142" s="65">
        <f t="shared" si="456"/>
        <v>0</v>
      </c>
      <c r="FT142" s="66" t="str">
        <f t="shared" si="457"/>
        <v/>
      </c>
      <c r="FU142" s="74" t="str">
        <f>IF('Marks Entry'!BU142="","",'Marks Entry'!BU142)</f>
        <v/>
      </c>
      <c r="FV142" s="74" t="str">
        <f>IF('Marks Entry'!BV142="","",'Marks Entry'!BV142)</f>
        <v/>
      </c>
      <c r="FW142" s="74" t="str">
        <f>IF('Marks Entry'!BW142="","",'Marks Entry'!BW142)</f>
        <v/>
      </c>
      <c r="FX142" s="75" t="str">
        <f t="shared" si="406"/>
        <v/>
      </c>
      <c r="FY142" s="368" t="str">
        <f t="shared" si="458"/>
        <v/>
      </c>
      <c r="FZ142" s="65">
        <f t="shared" si="459"/>
        <v>0</v>
      </c>
      <c r="GA142" s="66">
        <f t="shared" si="460"/>
        <v>0</v>
      </c>
      <c r="GB142" s="66" t="str">
        <f t="shared" si="461"/>
        <v/>
      </c>
      <c r="GC142" s="74" t="str">
        <f>IF('Marks Entry'!BX142="","",'Marks Entry'!BX142)</f>
        <v/>
      </c>
      <c r="GD142" s="74" t="str">
        <f>IF('Marks Entry'!BY142="","",'Marks Entry'!BY142)</f>
        <v/>
      </c>
      <c r="GE142" s="74" t="str">
        <f>IF('Marks Entry'!BZ142="","",'Marks Entry'!BZ142)</f>
        <v/>
      </c>
      <c r="GF142" s="75" t="str">
        <f t="shared" si="462"/>
        <v/>
      </c>
      <c r="GG142" s="368" t="str">
        <f t="shared" si="463"/>
        <v/>
      </c>
      <c r="GH142" s="65">
        <f t="shared" si="464"/>
        <v>0</v>
      </c>
      <c r="GI142" s="66">
        <f t="shared" si="465"/>
        <v>0</v>
      </c>
      <c r="GJ142" s="66" t="str">
        <f t="shared" si="466"/>
        <v/>
      </c>
      <c r="GK142" s="100" t="str">
        <f>IF(AND(F142="",B142=""),"",IF('Student DATA Entry'!M139="","",'Student DATA Entry'!M139))</f>
        <v/>
      </c>
      <c r="GL142" s="101" t="str">
        <f>IF(AND(B142="",F142=""),"",IF('Student DATA Entry'!N139="","",'Student DATA Entry'!N139))</f>
        <v/>
      </c>
      <c r="GM142" s="581" t="str">
        <f t="shared" si="467"/>
        <v/>
      </c>
      <c r="GN142" s="94" t="str">
        <f t="shared" si="468"/>
        <v/>
      </c>
      <c r="GO142" s="94" t="str">
        <f t="shared" si="469"/>
        <v/>
      </c>
      <c r="GP142" s="102" t="str">
        <f t="shared" si="407"/>
        <v/>
      </c>
      <c r="GQ142" s="94" t="str">
        <f t="shared" si="470"/>
        <v/>
      </c>
      <c r="GR142" s="103" t="str">
        <f t="shared" si="471"/>
        <v/>
      </c>
      <c r="GS142" s="102" t="str">
        <f t="shared" si="408"/>
        <v/>
      </c>
      <c r="GT142" s="104" t="str">
        <f t="shared" si="472"/>
        <v/>
      </c>
      <c r="GU142" s="94" t="str">
        <f>IF('Marks Entry'!V142=1,GT142,"")</f>
        <v/>
      </c>
      <c r="GV142" s="94" t="str">
        <f>IF('Marks Entry'!V142=2,GT142,"")</f>
        <v/>
      </c>
      <c r="GW142" s="94" t="str">
        <f>IF('Marks Entry'!V142=3,GT142,"")</f>
        <v/>
      </c>
      <c r="GX142" s="94" t="str">
        <f>IF('Marks Entry'!V142=4,GT142,"")</f>
        <v/>
      </c>
      <c r="GY142" s="94" t="str">
        <f>IF('Marks Entry'!V142=5,GT142,"")</f>
        <v/>
      </c>
      <c r="GZ142" s="94" t="str">
        <f t="shared" si="473"/>
        <v/>
      </c>
      <c r="HA142" s="105" t="str">
        <f t="shared" si="409"/>
        <v/>
      </c>
      <c r="HB142" s="94" t="str">
        <f t="shared" si="474"/>
        <v/>
      </c>
      <c r="HC142" s="94" t="str">
        <f t="shared" si="475"/>
        <v/>
      </c>
      <c r="HD142" s="105" t="str">
        <f t="shared" si="410"/>
        <v/>
      </c>
      <c r="HE142" s="94" t="str">
        <f t="shared" si="476"/>
        <v/>
      </c>
      <c r="HF142" s="94" t="str">
        <f t="shared" si="477"/>
        <v/>
      </c>
      <c r="HG142" s="105" t="str">
        <f t="shared" si="411"/>
        <v/>
      </c>
      <c r="HH142" s="94" t="str">
        <f t="shared" si="478"/>
        <v/>
      </c>
      <c r="HI142" s="94" t="str">
        <f t="shared" si="479"/>
        <v/>
      </c>
      <c r="HJ142" s="105" t="str">
        <f t="shared" si="412"/>
        <v/>
      </c>
      <c r="HK142" s="94" t="str">
        <f t="shared" si="480"/>
        <v/>
      </c>
      <c r="HL142" s="94" t="str">
        <f t="shared" si="481"/>
        <v/>
      </c>
      <c r="HM142" s="105" t="str">
        <f t="shared" si="413"/>
        <v/>
      </c>
      <c r="HN142" s="367" t="str">
        <f t="shared" si="482"/>
        <v xml:space="preserve">      </v>
      </c>
      <c r="HO142" s="418" t="str">
        <f t="shared" si="414"/>
        <v xml:space="preserve">      </v>
      </c>
      <c r="HP142" s="367" t="str">
        <f t="shared" si="483"/>
        <v xml:space="preserve">      </v>
      </c>
      <c r="HQ142" s="107" t="str">
        <f t="shared" si="484"/>
        <v xml:space="preserve">      </v>
      </c>
      <c r="HR142" s="366" t="str">
        <f t="shared" si="485"/>
        <v xml:space="preserve">      </v>
      </c>
      <c r="HS142" s="544" t="str">
        <f t="shared" si="415"/>
        <v/>
      </c>
      <c r="HT142" s="542" t="str">
        <f t="shared" si="486"/>
        <v/>
      </c>
      <c r="HU142" s="541" t="str">
        <f t="shared" si="487"/>
        <v/>
      </c>
      <c r="HV142" s="540" t="str">
        <f t="shared" si="488"/>
        <v/>
      </c>
      <c r="HW142" s="537" t="str">
        <f t="shared" si="489"/>
        <v/>
      </c>
      <c r="HX142" s="539" t="str">
        <f t="shared" si="490"/>
        <v/>
      </c>
      <c r="HY142" s="553" t="str">
        <f>IFERROR(IF(OR(HS142="SUPPLEMENTARY",HS142="RE-EXAM"),'Supp. Result Entry'!AQ140,""),"")</f>
        <v/>
      </c>
      <c r="HZ142" s="538" t="str">
        <f t="shared" si="491"/>
        <v/>
      </c>
      <c r="IA142" s="415" t="str">
        <f t="shared" si="492"/>
        <v/>
      </c>
      <c r="IB142" s="415" t="str">
        <f>IF(AND(HZ142="",IA142=""),"",IF(OR(HS142="SUPPLEMENTARY",HS142="RE-EXAM"),'Supp. Result Entry'!AQ140,HS142))</f>
        <v/>
      </c>
      <c r="IC142" s="87"/>
      <c r="IS142" s="109" t="str">
        <f>IF('Supp. Result Entry'!T140="","",'Supp. Result Entry'!$T$4)</f>
        <v/>
      </c>
      <c r="IT142" s="110" t="str">
        <f>IF('Supp. Result Entry'!W140="","",'Supp. Result Entry'!$W$4)</f>
        <v/>
      </c>
      <c r="IU142" s="110" t="str">
        <f>IF('Supp. Result Entry'!Z140="","",'Supp. Result Entry'!$Z$4)</f>
        <v/>
      </c>
      <c r="IV142" s="110" t="str">
        <f>IF('Supp. Result Entry'!AC140="","",'Supp. Result Entry'!$AC$4)</f>
        <v/>
      </c>
      <c r="IW142" s="110" t="str">
        <f>IF('Supp. Result Entry'!AF140="","",'Supp. Result Entry'!$AF$4)</f>
        <v/>
      </c>
      <c r="IX142" s="110" t="str">
        <f>IF('Supp. Result Entry'!AI140="","",'Supp. Result Entry'!$AI$4)</f>
        <v/>
      </c>
      <c r="IY142" s="110" t="str">
        <f>IF('Supp. Result Entry'!AI140="","",'Supp. Result Entry'!$AL$4)</f>
        <v/>
      </c>
      <c r="IZ142" s="110" t="str">
        <f>IF('Supp. Result Entry'!U140="","",'Supp. Result Entry'!U140)</f>
        <v/>
      </c>
      <c r="JA142" s="110" t="str">
        <f>IF('Supp. Result Entry'!X140="","",'Supp. Result Entry'!X140)</f>
        <v/>
      </c>
      <c r="JB142" s="110" t="str">
        <f>IF('Supp. Result Entry'!AA140="","",'Supp. Result Entry'!AA140)</f>
        <v/>
      </c>
      <c r="JC142" s="110" t="str">
        <f>IF('Supp. Result Entry'!AD140="","",'Supp. Result Entry'!AD140)</f>
        <v/>
      </c>
      <c r="JD142" s="110" t="str">
        <f>IF('Supp. Result Entry'!AG140="","",'Supp. Result Entry'!AG140)</f>
        <v/>
      </c>
      <c r="JE142" s="110" t="str">
        <f>IF('Supp. Result Entry'!AJ140="","",'Supp. Result Entry'!AJ140)</f>
        <v/>
      </c>
      <c r="JF142" s="110" t="str">
        <f>IF('Supp. Result Entry'!AM140="","",'Supp. Result Entry'!AM140)</f>
        <v/>
      </c>
      <c r="JG142" s="110" t="str">
        <f>IF('Supp. Result Entry'!V140="","",'Supp. Result Entry'!V140)</f>
        <v/>
      </c>
      <c r="JH142" s="110" t="str">
        <f>IF('Supp. Result Entry'!Y140="","",'Supp. Result Entry'!Y140)</f>
        <v/>
      </c>
      <c r="JI142" s="110" t="str">
        <f>IF('Supp. Result Entry'!AB140="","",'Supp. Result Entry'!AB140)</f>
        <v/>
      </c>
      <c r="JJ142" s="110" t="str">
        <f>IF('Supp. Result Entry'!AE140="","",'Supp. Result Entry'!AE140)</f>
        <v/>
      </c>
      <c r="JK142" s="110" t="str">
        <f>IF('Supp. Result Entry'!AH140="","",'Supp. Result Entry'!AH140)</f>
        <v/>
      </c>
      <c r="JL142" s="110" t="str">
        <f>IF('Supp. Result Entry'!AK140="","",'Supp. Result Entry'!AK140)</f>
        <v/>
      </c>
      <c r="JM142" s="110" t="str">
        <f>IF('Supp. Result Entry'!AN140="","",'Supp. Result Entry'!AN140)</f>
        <v/>
      </c>
      <c r="JN142" s="110">
        <f>COUNTIF('Supp. Result Entry'!K140:Q140,"S")</f>
        <v>0</v>
      </c>
      <c r="JO142" s="110">
        <f t="shared" si="416"/>
        <v>0</v>
      </c>
      <c r="JP142" s="110">
        <f t="shared" si="493"/>
        <v>0</v>
      </c>
      <c r="JQ142" s="110" t="str">
        <f t="shared" si="417"/>
        <v/>
      </c>
      <c r="JR142" s="110" t="str">
        <f t="shared" si="418"/>
        <v/>
      </c>
      <c r="JS142" s="110" t="str">
        <f t="shared" si="419"/>
        <v/>
      </c>
      <c r="JT142" s="110" t="str">
        <f t="shared" si="420"/>
        <v/>
      </c>
      <c r="JU142" s="110" t="str">
        <f t="shared" si="421"/>
        <v/>
      </c>
      <c r="JV142" s="110" t="str">
        <f t="shared" si="422"/>
        <v/>
      </c>
      <c r="JW142" s="110" t="str">
        <f t="shared" si="423"/>
        <v/>
      </c>
      <c r="JX142" s="110" t="str">
        <f t="shared" si="494"/>
        <v/>
      </c>
      <c r="JY142" s="110" t="str">
        <f t="shared" si="495"/>
        <v/>
      </c>
      <c r="JZ142" s="110" t="str">
        <f t="shared" si="424"/>
        <v/>
      </c>
      <c r="KA142" s="108" t="str">
        <f t="shared" si="496"/>
        <v/>
      </c>
    </row>
    <row r="143" spans="1:287" s="108" customFormat="1" ht="21.95" customHeight="1">
      <c r="A143" s="89">
        <v>137</v>
      </c>
      <c r="B143" s="90" t="str">
        <f>IF('Marks Entry'!B143="","",'Marks Entry'!B143)</f>
        <v/>
      </c>
      <c r="C143" s="94" t="str">
        <f>IF('Marks Entry'!D143="","",'Marks Entry'!D143)</f>
        <v/>
      </c>
      <c r="D143" s="91" t="str">
        <f>IF('Marks Entry'!E143="","",'Marks Entry'!E143)</f>
        <v/>
      </c>
      <c r="E143" s="92" t="str">
        <f>IF('Marks Entry'!F143="","",'Marks Entry'!F143)</f>
        <v/>
      </c>
      <c r="F143" s="93" t="str">
        <f>IF('Marks Entry'!G143="","",'Marks Entry'!G143)</f>
        <v/>
      </c>
      <c r="G143" s="93" t="str">
        <f>IF('Marks Entry'!H143="","",'Marks Entry'!H143)</f>
        <v/>
      </c>
      <c r="H143" s="93" t="str">
        <f>IF('Marks Entry'!I143="","",'Marks Entry'!I143)</f>
        <v/>
      </c>
      <c r="I143" s="94" t="str">
        <f>IF('Marks Entry'!J143="","",'Marks Entry'!J143)</f>
        <v/>
      </c>
      <c r="J143" s="95" t="str">
        <f>IF('Marks Entry'!K143="","",'Marks Entry'!K143)</f>
        <v/>
      </c>
      <c r="K143" s="68" t="str">
        <f>IF('Marks Entry'!L143="","",'Marks Entry'!L143)</f>
        <v/>
      </c>
      <c r="L143" s="68" t="str">
        <f>IF('Marks Entry'!M143="","",'Marks Entry'!M143)</f>
        <v/>
      </c>
      <c r="M143" s="68" t="str">
        <f>IF('Marks Entry'!N143="","",'Marks Entry'!N143)</f>
        <v/>
      </c>
      <c r="N143" s="514" t="str">
        <f t="shared" si="425"/>
        <v/>
      </c>
      <c r="O143" s="68" t="str">
        <f>IF('Marks Entry'!O143="","",'Marks Entry'!O143)</f>
        <v/>
      </c>
      <c r="P143" s="515" t="str">
        <f t="shared" si="426"/>
        <v/>
      </c>
      <c r="Q143" s="68" t="str">
        <f>IF('Marks Entry'!P143="","",'Marks Entry'!P143)</f>
        <v/>
      </c>
      <c r="R143" s="96" t="str">
        <f t="shared" si="427"/>
        <v/>
      </c>
      <c r="S143" s="65">
        <f t="shared" si="428"/>
        <v>0</v>
      </c>
      <c r="T143" s="65">
        <f t="shared" si="429"/>
        <v>0</v>
      </c>
      <c r="U143" s="66" t="str">
        <f t="shared" si="339"/>
        <v/>
      </c>
      <c r="V143" s="65" t="str">
        <f t="shared" si="340"/>
        <v/>
      </c>
      <c r="W143" s="65" t="str">
        <f t="shared" si="430"/>
        <v/>
      </c>
      <c r="X143" s="65" t="str">
        <f t="shared" si="341"/>
        <v/>
      </c>
      <c r="Y143" s="68" t="str">
        <f>IF('Marks Entry'!Q143="","",'Marks Entry'!Q143)</f>
        <v/>
      </c>
      <c r="Z143" s="68" t="str">
        <f>IF('Marks Entry'!R143="","",'Marks Entry'!R143)</f>
        <v/>
      </c>
      <c r="AA143" s="68" t="str">
        <f>IF('Marks Entry'!S143="","",'Marks Entry'!S143)</f>
        <v/>
      </c>
      <c r="AB143" s="514" t="str">
        <f t="shared" si="342"/>
        <v/>
      </c>
      <c r="AC143" s="68" t="str">
        <f>IF('Marks Entry'!T143="","",'Marks Entry'!T143)</f>
        <v/>
      </c>
      <c r="AD143" s="515" t="str">
        <f t="shared" si="343"/>
        <v/>
      </c>
      <c r="AE143" s="68" t="str">
        <f>IF('Marks Entry'!U143="","",'Marks Entry'!U143)</f>
        <v/>
      </c>
      <c r="AF143" s="96" t="str">
        <f t="shared" si="344"/>
        <v/>
      </c>
      <c r="AG143" s="65">
        <f t="shared" si="345"/>
        <v>0</v>
      </c>
      <c r="AH143" s="65">
        <f t="shared" si="346"/>
        <v>0</v>
      </c>
      <c r="AI143" s="66" t="str">
        <f t="shared" si="347"/>
        <v/>
      </c>
      <c r="AJ143" s="65" t="str">
        <f t="shared" si="348"/>
        <v/>
      </c>
      <c r="AK143" s="65" t="str">
        <f t="shared" si="349"/>
        <v/>
      </c>
      <c r="AL143" s="65" t="str">
        <f t="shared" si="350"/>
        <v/>
      </c>
      <c r="AM143" s="524" t="str">
        <f>IF('Marks Entry'!V143="","",IF('Marks Entry'!V143=1,'School Profile'!$I$9,IF('Marks Entry'!V143=2,'School Profile'!$I$10,IF('Marks Entry'!V143=3,'School Profile'!$I$11,IF('Marks Entry'!V143=4,'School Profile'!$I$12,IF('Marks Entry'!V143=5,'School Profile'!$I$13,IF('Marks Entry'!V143=6,'School Profile'!$I$14,"")))))))</f>
        <v/>
      </c>
      <c r="AN143" s="68" t="str">
        <f>IF('Marks Entry'!W143="","",'Marks Entry'!W143)</f>
        <v/>
      </c>
      <c r="AO143" s="68" t="str">
        <f>IF('Marks Entry'!X143="","",'Marks Entry'!X143)</f>
        <v/>
      </c>
      <c r="AP143" s="68" t="str">
        <f>IF('Marks Entry'!Y143="","",'Marks Entry'!Y143)</f>
        <v/>
      </c>
      <c r="AQ143" s="514" t="str">
        <f t="shared" si="351"/>
        <v/>
      </c>
      <c r="AR143" s="68" t="str">
        <f>IF('Marks Entry'!Z143="","",'Marks Entry'!Z143)</f>
        <v/>
      </c>
      <c r="AS143" s="515" t="str">
        <f t="shared" si="352"/>
        <v/>
      </c>
      <c r="AT143" s="68" t="str">
        <f>IF('Marks Entry'!AA143="","",'Marks Entry'!AA143)</f>
        <v/>
      </c>
      <c r="AU143" s="96" t="str">
        <f t="shared" si="353"/>
        <v/>
      </c>
      <c r="AV143" s="65">
        <f t="shared" si="354"/>
        <v>0</v>
      </c>
      <c r="AW143" s="65">
        <f t="shared" si="355"/>
        <v>0</v>
      </c>
      <c r="AX143" s="66" t="str">
        <f t="shared" si="356"/>
        <v/>
      </c>
      <c r="AY143" s="65" t="str">
        <f t="shared" si="357"/>
        <v/>
      </c>
      <c r="AZ143" s="65" t="str">
        <f t="shared" si="358"/>
        <v/>
      </c>
      <c r="BA143" s="65" t="str">
        <f t="shared" si="359"/>
        <v/>
      </c>
      <c r="BB143" s="68" t="str">
        <f>IF('Marks Entry'!AB143="","",'Marks Entry'!AB143)</f>
        <v/>
      </c>
      <c r="BC143" s="68" t="str">
        <f>IF('Marks Entry'!AC143="","",'Marks Entry'!AC143)</f>
        <v/>
      </c>
      <c r="BD143" s="68" t="str">
        <f>IF('Marks Entry'!AD143="","",'Marks Entry'!AD143)</f>
        <v/>
      </c>
      <c r="BE143" s="514" t="str">
        <f t="shared" si="360"/>
        <v/>
      </c>
      <c r="BF143" s="68" t="str">
        <f>IF('Marks Entry'!AE143="","",'Marks Entry'!AE143)</f>
        <v/>
      </c>
      <c r="BG143" s="515" t="str">
        <f t="shared" si="361"/>
        <v/>
      </c>
      <c r="BH143" s="68" t="str">
        <f>IF('Marks Entry'!AF143="","",'Marks Entry'!AF143)</f>
        <v/>
      </c>
      <c r="BI143" s="96" t="str">
        <f t="shared" si="362"/>
        <v/>
      </c>
      <c r="BJ143" s="65">
        <f t="shared" si="363"/>
        <v>0</v>
      </c>
      <c r="BK143" s="65">
        <f t="shared" si="431"/>
        <v>0</v>
      </c>
      <c r="BL143" s="66" t="str">
        <f t="shared" si="364"/>
        <v/>
      </c>
      <c r="BM143" s="65" t="str">
        <f t="shared" si="365"/>
        <v/>
      </c>
      <c r="BN143" s="65" t="str">
        <f t="shared" si="366"/>
        <v/>
      </c>
      <c r="BO143" s="65" t="str">
        <f t="shared" si="367"/>
        <v/>
      </c>
      <c r="BP143" s="68" t="str">
        <f>IF('Marks Entry'!AG143="","",'Marks Entry'!AG143)</f>
        <v/>
      </c>
      <c r="BQ143" s="68" t="str">
        <f>IF('Marks Entry'!AH143="","",'Marks Entry'!AH143)</f>
        <v/>
      </c>
      <c r="BR143" s="68" t="str">
        <f>IF('Marks Entry'!AI143="","",'Marks Entry'!AI143)</f>
        <v/>
      </c>
      <c r="BS143" s="514" t="str">
        <f t="shared" si="368"/>
        <v/>
      </c>
      <c r="BT143" s="68" t="str">
        <f>IF('Marks Entry'!AJ143="","",'Marks Entry'!AJ143)</f>
        <v/>
      </c>
      <c r="BU143" s="515" t="str">
        <f t="shared" si="369"/>
        <v/>
      </c>
      <c r="BV143" s="68" t="str">
        <f>IF('Marks Entry'!AK143="","",'Marks Entry'!AK143)</f>
        <v/>
      </c>
      <c r="BW143" s="96" t="str">
        <f t="shared" si="370"/>
        <v/>
      </c>
      <c r="BX143" s="65">
        <f t="shared" si="371"/>
        <v>0</v>
      </c>
      <c r="BY143" s="65">
        <f t="shared" si="372"/>
        <v>0</v>
      </c>
      <c r="BZ143" s="66" t="str">
        <f t="shared" si="373"/>
        <v/>
      </c>
      <c r="CA143" s="65" t="str">
        <f t="shared" si="374"/>
        <v/>
      </c>
      <c r="CB143" s="65" t="str">
        <f t="shared" si="375"/>
        <v/>
      </c>
      <c r="CC143" s="65" t="str">
        <f t="shared" si="376"/>
        <v/>
      </c>
      <c r="CD143" s="66">
        <f t="shared" si="377"/>
        <v>0</v>
      </c>
      <c r="CE143" s="68" t="str">
        <f>IF('Marks Entry'!AL143="","",'Marks Entry'!AL143)</f>
        <v/>
      </c>
      <c r="CF143" s="68" t="str">
        <f>IF('Marks Entry'!AM143="","",'Marks Entry'!AM143)</f>
        <v/>
      </c>
      <c r="CG143" s="68" t="str">
        <f>IF('Marks Entry'!AN143="","",'Marks Entry'!AN143)</f>
        <v/>
      </c>
      <c r="CH143" s="514" t="str">
        <f t="shared" si="378"/>
        <v/>
      </c>
      <c r="CI143" s="68" t="str">
        <f>IF('Marks Entry'!AO143="","",'Marks Entry'!AO143)</f>
        <v/>
      </c>
      <c r="CJ143" s="515" t="str">
        <f t="shared" si="379"/>
        <v/>
      </c>
      <c r="CK143" s="68" t="str">
        <f>IF('Marks Entry'!AP143="","",'Marks Entry'!AP143)</f>
        <v/>
      </c>
      <c r="CL143" s="96" t="str">
        <f t="shared" si="380"/>
        <v/>
      </c>
      <c r="CM143" s="65">
        <f t="shared" si="381"/>
        <v>0</v>
      </c>
      <c r="CN143" s="65">
        <f t="shared" si="382"/>
        <v>0</v>
      </c>
      <c r="CO143" s="66" t="str">
        <f t="shared" si="383"/>
        <v/>
      </c>
      <c r="CP143" s="65" t="str">
        <f t="shared" si="384"/>
        <v/>
      </c>
      <c r="CQ143" s="65" t="str">
        <f t="shared" si="385"/>
        <v/>
      </c>
      <c r="CR143" s="65" t="str">
        <f t="shared" si="386"/>
        <v/>
      </c>
      <c r="CS143" s="616" t="str">
        <f>IF('School Profile'!$D$20="NO","",IF('Marks Entry'!AQ143="","",IF('Marks Entry'!AQ143=1,'School Profile'!$I$29,IF('Marks Entry'!AQ143=2,'School Profile'!$I$30,IF('Marks Entry'!AQ143=3,'School Profile'!$I$31,IF('Marks Entry'!AQ143=4,'School Profile'!$I$32,IF('Marks Entry'!AQ143=5,'School Profile'!$I$33,IF('Marks Entry'!AQ143=6,'School Profile'!$I$34,IF('Marks Entry'!AQ143=7,'School Profile'!$I$35,IF('Marks Entry'!AQ143=8,'School Profile'!$I$36,IF('Marks Entry'!AQ143=9,'School Profile'!$I$37,IF('Marks Entry'!AQ143=10,'School Profile'!$I$38,IF('Marks Entry'!AQ143=11,'School Profile'!$I$39,"")))))))))))))</f>
        <v/>
      </c>
      <c r="CT143" s="68" t="str">
        <f>IF('School Profile'!$D$20="NO","",IF('Marks Entry'!AR143="","",'Marks Entry'!AR143))</f>
        <v/>
      </c>
      <c r="CU143" s="68" t="str">
        <f>IF('School Profile'!$D$20="NO","",IF('Marks Entry'!AS143="","",'Marks Entry'!AS143))</f>
        <v/>
      </c>
      <c r="CV143" s="68" t="str">
        <f>IF('School Profile'!$D$20="NO","",IF('Marks Entry'!AT143="","",'Marks Entry'!AT143))</f>
        <v/>
      </c>
      <c r="CW143" s="514" t="str">
        <f>IF('School Profile'!$D$20="NO","",IF(AND(CT143="",CU143="",CV143=""),"",SUM(CT143:CV143)))</f>
        <v/>
      </c>
      <c r="CX143" s="68" t="str">
        <f>IF('School Profile'!$D$20="NO","",IF('Marks Entry'!AU143="","",'Marks Entry'!AU143))</f>
        <v/>
      </c>
      <c r="CY143" s="68" t="str">
        <f>IF('School Profile'!$D$20="NO","",IF('Marks Entry'!AV143="","",'Marks Entry'!AV143))</f>
        <v/>
      </c>
      <c r="CZ143" s="515" t="str">
        <f>IF('School Profile'!$D$20="NO","",IF(AND(CX143="",CY143=""),"",SUM(CX143,CY143)))</f>
        <v/>
      </c>
      <c r="DA143" s="69" t="str">
        <f>IF('School Profile'!$D$20="NO","",IF(AND(CW143="",CZ143=""),"",SUM(CW143+CZ143)))</f>
        <v/>
      </c>
      <c r="DB143" s="68" t="str">
        <f>IF('School Profile'!$D$20="NO","",IF('Marks Entry'!AW143="","",'Marks Entry'!AW143))</f>
        <v/>
      </c>
      <c r="DC143" s="68" t="str">
        <f>IF('School Profile'!$D$20="NO","",IF('Marks Entry'!AX143="","",'Marks Entry'!AX143))</f>
        <v/>
      </c>
      <c r="DD143" s="515" t="str">
        <f>IF('School Profile'!$D$20="NO","",IF(AND(DB143="",DC143=""),"",SUM(DB143,DC143)))</f>
        <v/>
      </c>
      <c r="DE143" s="96" t="str">
        <f>IF('School Profile'!$D$20="NO","",IF(AND(DA143="",DD143=""),"",SUM(DA143,DD143)))</f>
        <v/>
      </c>
      <c r="DF143" s="532">
        <f t="shared" si="387"/>
        <v>0</v>
      </c>
      <c r="DG143" s="65">
        <f t="shared" si="388"/>
        <v>0</v>
      </c>
      <c r="DH143" s="66" t="str">
        <f t="shared" si="389"/>
        <v/>
      </c>
      <c r="DI143" s="65" t="str">
        <f t="shared" si="390"/>
        <v/>
      </c>
      <c r="DJ143" s="65" t="str">
        <f t="shared" si="391"/>
        <v/>
      </c>
      <c r="DK143" s="65" t="str">
        <f t="shared" si="392"/>
        <v/>
      </c>
      <c r="DL143" s="97" t="str">
        <f t="shared" si="432"/>
        <v/>
      </c>
      <c r="DM143" s="97" t="str">
        <f t="shared" si="433"/>
        <v/>
      </c>
      <c r="DN143" s="97" t="str">
        <f t="shared" si="434"/>
        <v/>
      </c>
      <c r="DO143" s="97" t="str">
        <f t="shared" si="435"/>
        <v/>
      </c>
      <c r="DP143" s="97" t="str">
        <f t="shared" si="436"/>
        <v/>
      </c>
      <c r="DQ143" s="97" t="str">
        <f t="shared" si="437"/>
        <v/>
      </c>
      <c r="DR143" s="97" t="str">
        <f t="shared" si="438"/>
        <v/>
      </c>
      <c r="DS143" s="98">
        <f t="shared" si="439"/>
        <v>0</v>
      </c>
      <c r="DT143" s="98">
        <f t="shared" si="440"/>
        <v>0</v>
      </c>
      <c r="DU143" s="98">
        <f t="shared" si="441"/>
        <v>0</v>
      </c>
      <c r="DV143" s="98">
        <f t="shared" si="442"/>
        <v>0</v>
      </c>
      <c r="DW143" s="98">
        <f t="shared" si="443"/>
        <v>0</v>
      </c>
      <c r="DX143" s="98" t="str">
        <f t="shared" si="444"/>
        <v/>
      </c>
      <c r="DY143" s="99" t="str">
        <f t="shared" si="445"/>
        <v/>
      </c>
      <c r="DZ143" s="74" t="str">
        <f>IF('Marks Entry'!AY143="","",'Marks Entry'!AY143)</f>
        <v/>
      </c>
      <c r="EA143" s="74" t="str">
        <f>IF('Marks Entry'!AZ143="","",'Marks Entry'!AZ143)</f>
        <v/>
      </c>
      <c r="EB143" s="74" t="str">
        <f>IF('Marks Entry'!BA143="","",'Marks Entry'!BA143)</f>
        <v/>
      </c>
      <c r="EC143" s="527" t="str">
        <f t="shared" si="393"/>
        <v/>
      </c>
      <c r="ED143" s="74" t="str">
        <f>IF('Marks Entry'!BB143="","",'Marks Entry'!BB143)</f>
        <v/>
      </c>
      <c r="EE143" s="528" t="str">
        <f t="shared" si="394"/>
        <v/>
      </c>
      <c r="EF143" s="74" t="str">
        <f>IF('Marks Entry'!BC143="","",'Marks Entry'!BC143)</f>
        <v/>
      </c>
      <c r="EG143" s="530" t="str">
        <f t="shared" si="395"/>
        <v/>
      </c>
      <c r="EH143" s="368" t="str">
        <f t="shared" si="446"/>
        <v/>
      </c>
      <c r="EI143" s="65">
        <f t="shared" si="447"/>
        <v>0</v>
      </c>
      <c r="EJ143" s="65">
        <f t="shared" si="448"/>
        <v>0</v>
      </c>
      <c r="EK143" s="66" t="str">
        <f t="shared" si="449"/>
        <v/>
      </c>
      <c r="EL143" s="74" t="str">
        <f>IF('Marks Entry'!BD143="","",'Marks Entry'!BD143)</f>
        <v/>
      </c>
      <c r="EM143" s="74" t="str">
        <f>IF('Marks Entry'!BE143="","",'Marks Entry'!BE143)</f>
        <v/>
      </c>
      <c r="EN143" s="74" t="str">
        <f>IF('Marks Entry'!BF143="","",'Marks Entry'!BF143)</f>
        <v/>
      </c>
      <c r="EO143" s="527" t="str">
        <f t="shared" si="396"/>
        <v/>
      </c>
      <c r="EP143" s="74" t="str">
        <f>IF('Marks Entry'!BG143="","",'Marks Entry'!BG143)</f>
        <v/>
      </c>
      <c r="EQ143" s="74" t="str">
        <f>IF('Marks Entry'!BH143="","",'Marks Entry'!BH143)</f>
        <v/>
      </c>
      <c r="ER143" s="528" t="str">
        <f t="shared" si="397"/>
        <v/>
      </c>
      <c r="ES143" s="529" t="str">
        <f t="shared" si="398"/>
        <v/>
      </c>
      <c r="ET143" s="74" t="str">
        <f>IF('Marks Entry'!BI143="","",'Marks Entry'!BI143)</f>
        <v/>
      </c>
      <c r="EU143" s="74" t="str">
        <f>IF('Marks Entry'!BJ143="","",'Marks Entry'!BJ143)</f>
        <v/>
      </c>
      <c r="EV143" s="528" t="str">
        <f t="shared" si="399"/>
        <v/>
      </c>
      <c r="EW143" s="530" t="str">
        <f t="shared" si="400"/>
        <v/>
      </c>
      <c r="EX143" s="368" t="str">
        <f t="shared" si="450"/>
        <v/>
      </c>
      <c r="EY143" s="65">
        <f t="shared" si="451"/>
        <v>0</v>
      </c>
      <c r="EZ143" s="65">
        <f t="shared" si="452"/>
        <v>0</v>
      </c>
      <c r="FA143" s="66" t="str">
        <f t="shared" si="453"/>
        <v/>
      </c>
      <c r="FB143" s="74" t="str">
        <f>IF('Marks Entry'!BK143="","",'Marks Entry'!BK143)</f>
        <v/>
      </c>
      <c r="FC143" s="74" t="str">
        <f>IF('Marks Entry'!BL143="","",'Marks Entry'!BL143)</f>
        <v/>
      </c>
      <c r="FD143" s="74" t="str">
        <f>IF('Marks Entry'!BM143="","",'Marks Entry'!BM143)</f>
        <v/>
      </c>
      <c r="FE143" s="74" t="str">
        <f>IF('Marks Entry'!BN143="","",'Marks Entry'!BN143)</f>
        <v/>
      </c>
      <c r="FF143" s="74" t="str">
        <f>IF('Marks Entry'!BO143="","",'Marks Entry'!BO143)</f>
        <v/>
      </c>
      <c r="FG143" s="74" t="str">
        <f>IF('Marks Entry'!BP143="","",'Marks Entry'!BP143)</f>
        <v/>
      </c>
      <c r="FH143" s="527" t="str">
        <f t="shared" si="401"/>
        <v/>
      </c>
      <c r="FI143" s="74" t="str">
        <f>IF('Marks Entry'!BQ143="","",'Marks Entry'!BQ143)</f>
        <v/>
      </c>
      <c r="FJ143" s="74" t="str">
        <f>IF('Marks Entry'!BR143="","",'Marks Entry'!BR143)</f>
        <v/>
      </c>
      <c r="FK143" s="528" t="str">
        <f t="shared" si="402"/>
        <v/>
      </c>
      <c r="FL143" s="529" t="str">
        <f t="shared" si="403"/>
        <v/>
      </c>
      <c r="FM143" s="74" t="str">
        <f>IF('Marks Entry'!BS143="","",'Marks Entry'!BS143)</f>
        <v/>
      </c>
      <c r="FN143" s="74" t="str">
        <f>IF('Marks Entry'!BT143="","",'Marks Entry'!BT143)</f>
        <v/>
      </c>
      <c r="FO143" s="528" t="str">
        <f t="shared" si="404"/>
        <v/>
      </c>
      <c r="FP143" s="530" t="str">
        <f t="shared" si="405"/>
        <v/>
      </c>
      <c r="FQ143" s="368" t="str">
        <f t="shared" si="454"/>
        <v/>
      </c>
      <c r="FR143" s="65">
        <f t="shared" si="455"/>
        <v>0</v>
      </c>
      <c r="FS143" s="65">
        <f t="shared" si="456"/>
        <v>0</v>
      </c>
      <c r="FT143" s="66" t="str">
        <f t="shared" si="457"/>
        <v/>
      </c>
      <c r="FU143" s="74" t="str">
        <f>IF('Marks Entry'!BU143="","",'Marks Entry'!BU143)</f>
        <v/>
      </c>
      <c r="FV143" s="74" t="str">
        <f>IF('Marks Entry'!BV143="","",'Marks Entry'!BV143)</f>
        <v/>
      </c>
      <c r="FW143" s="74" t="str">
        <f>IF('Marks Entry'!BW143="","",'Marks Entry'!BW143)</f>
        <v/>
      </c>
      <c r="FX143" s="75" t="str">
        <f t="shared" si="406"/>
        <v/>
      </c>
      <c r="FY143" s="368" t="str">
        <f t="shared" si="458"/>
        <v/>
      </c>
      <c r="FZ143" s="65">
        <f t="shared" si="459"/>
        <v>0</v>
      </c>
      <c r="GA143" s="66">
        <f t="shared" si="460"/>
        <v>0</v>
      </c>
      <c r="GB143" s="66" t="str">
        <f t="shared" si="461"/>
        <v/>
      </c>
      <c r="GC143" s="74" t="str">
        <f>IF('Marks Entry'!BX143="","",'Marks Entry'!BX143)</f>
        <v/>
      </c>
      <c r="GD143" s="74" t="str">
        <f>IF('Marks Entry'!BY143="","",'Marks Entry'!BY143)</f>
        <v/>
      </c>
      <c r="GE143" s="74" t="str">
        <f>IF('Marks Entry'!BZ143="","",'Marks Entry'!BZ143)</f>
        <v/>
      </c>
      <c r="GF143" s="75" t="str">
        <f t="shared" si="462"/>
        <v/>
      </c>
      <c r="GG143" s="368" t="str">
        <f t="shared" si="463"/>
        <v/>
      </c>
      <c r="GH143" s="65">
        <f t="shared" si="464"/>
        <v>0</v>
      </c>
      <c r="GI143" s="66">
        <f t="shared" si="465"/>
        <v>0</v>
      </c>
      <c r="GJ143" s="66" t="str">
        <f t="shared" si="466"/>
        <v/>
      </c>
      <c r="GK143" s="100" t="str">
        <f>IF(AND(F143="",B143=""),"",IF('Student DATA Entry'!M140="","",'Student DATA Entry'!M140))</f>
        <v/>
      </c>
      <c r="GL143" s="101" t="str">
        <f>IF(AND(B143="",F143=""),"",IF('Student DATA Entry'!N140="","",'Student DATA Entry'!N140))</f>
        <v/>
      </c>
      <c r="GM143" s="581" t="str">
        <f t="shared" si="467"/>
        <v/>
      </c>
      <c r="GN143" s="94" t="str">
        <f t="shared" si="468"/>
        <v/>
      </c>
      <c r="GO143" s="94" t="str">
        <f t="shared" si="469"/>
        <v/>
      </c>
      <c r="GP143" s="102" t="str">
        <f t="shared" si="407"/>
        <v/>
      </c>
      <c r="GQ143" s="94" t="str">
        <f t="shared" si="470"/>
        <v/>
      </c>
      <c r="GR143" s="103" t="str">
        <f t="shared" si="471"/>
        <v/>
      </c>
      <c r="GS143" s="102" t="str">
        <f t="shared" si="408"/>
        <v/>
      </c>
      <c r="GT143" s="104" t="str">
        <f t="shared" si="472"/>
        <v/>
      </c>
      <c r="GU143" s="94" t="str">
        <f>IF('Marks Entry'!V143=1,GT143,"")</f>
        <v/>
      </c>
      <c r="GV143" s="94" t="str">
        <f>IF('Marks Entry'!V143=2,GT143,"")</f>
        <v/>
      </c>
      <c r="GW143" s="94" t="str">
        <f>IF('Marks Entry'!V143=3,GT143,"")</f>
        <v/>
      </c>
      <c r="GX143" s="94" t="str">
        <f>IF('Marks Entry'!V143=4,GT143,"")</f>
        <v/>
      </c>
      <c r="GY143" s="94" t="str">
        <f>IF('Marks Entry'!V143=5,GT143,"")</f>
        <v/>
      </c>
      <c r="GZ143" s="94" t="str">
        <f t="shared" si="473"/>
        <v/>
      </c>
      <c r="HA143" s="105" t="str">
        <f t="shared" si="409"/>
        <v/>
      </c>
      <c r="HB143" s="94" t="str">
        <f t="shared" si="474"/>
        <v/>
      </c>
      <c r="HC143" s="94" t="str">
        <f t="shared" si="475"/>
        <v/>
      </c>
      <c r="HD143" s="105" t="str">
        <f t="shared" si="410"/>
        <v/>
      </c>
      <c r="HE143" s="94" t="str">
        <f t="shared" si="476"/>
        <v/>
      </c>
      <c r="HF143" s="94" t="str">
        <f t="shared" si="477"/>
        <v/>
      </c>
      <c r="HG143" s="105" t="str">
        <f t="shared" si="411"/>
        <v/>
      </c>
      <c r="HH143" s="94" t="str">
        <f t="shared" si="478"/>
        <v/>
      </c>
      <c r="HI143" s="94" t="str">
        <f t="shared" si="479"/>
        <v/>
      </c>
      <c r="HJ143" s="105" t="str">
        <f t="shared" si="412"/>
        <v/>
      </c>
      <c r="HK143" s="94" t="str">
        <f t="shared" si="480"/>
        <v/>
      </c>
      <c r="HL143" s="94" t="str">
        <f t="shared" si="481"/>
        <v/>
      </c>
      <c r="HM143" s="105" t="str">
        <f t="shared" si="413"/>
        <v/>
      </c>
      <c r="HN143" s="367" t="str">
        <f t="shared" si="482"/>
        <v xml:space="preserve">      </v>
      </c>
      <c r="HO143" s="418" t="str">
        <f t="shared" si="414"/>
        <v xml:space="preserve">      </v>
      </c>
      <c r="HP143" s="367" t="str">
        <f t="shared" si="483"/>
        <v xml:space="preserve">      </v>
      </c>
      <c r="HQ143" s="107" t="str">
        <f t="shared" si="484"/>
        <v xml:space="preserve">      </v>
      </c>
      <c r="HR143" s="366" t="str">
        <f t="shared" si="485"/>
        <v xml:space="preserve">      </v>
      </c>
      <c r="HS143" s="544" t="str">
        <f t="shared" si="415"/>
        <v/>
      </c>
      <c r="HT143" s="542" t="str">
        <f t="shared" si="486"/>
        <v/>
      </c>
      <c r="HU143" s="541" t="str">
        <f t="shared" si="487"/>
        <v/>
      </c>
      <c r="HV143" s="540" t="str">
        <f t="shared" si="488"/>
        <v/>
      </c>
      <c r="HW143" s="537" t="str">
        <f t="shared" si="489"/>
        <v/>
      </c>
      <c r="HX143" s="539" t="str">
        <f t="shared" si="490"/>
        <v/>
      </c>
      <c r="HY143" s="553" t="str">
        <f>IFERROR(IF(OR(HS143="SUPPLEMENTARY",HS143="RE-EXAM"),'Supp. Result Entry'!AQ141,""),"")</f>
        <v/>
      </c>
      <c r="HZ143" s="538" t="str">
        <f t="shared" si="491"/>
        <v/>
      </c>
      <c r="IA143" s="415" t="str">
        <f t="shared" si="492"/>
        <v/>
      </c>
      <c r="IB143" s="415" t="str">
        <f>IF(AND(HZ143="",IA143=""),"",IF(OR(HS143="SUPPLEMENTARY",HS143="RE-EXAM"),'Supp. Result Entry'!AQ141,HS143))</f>
        <v/>
      </c>
      <c r="IC143" s="87"/>
      <c r="IS143" s="109" t="str">
        <f>IF('Supp. Result Entry'!T141="","",'Supp. Result Entry'!$T$4)</f>
        <v/>
      </c>
      <c r="IT143" s="110" t="str">
        <f>IF('Supp. Result Entry'!W141="","",'Supp. Result Entry'!$W$4)</f>
        <v/>
      </c>
      <c r="IU143" s="110" t="str">
        <f>IF('Supp. Result Entry'!Z141="","",'Supp. Result Entry'!$Z$4)</f>
        <v/>
      </c>
      <c r="IV143" s="110" t="str">
        <f>IF('Supp. Result Entry'!AC141="","",'Supp. Result Entry'!$AC$4)</f>
        <v/>
      </c>
      <c r="IW143" s="110" t="str">
        <f>IF('Supp. Result Entry'!AF141="","",'Supp. Result Entry'!$AF$4)</f>
        <v/>
      </c>
      <c r="IX143" s="110" t="str">
        <f>IF('Supp. Result Entry'!AI141="","",'Supp. Result Entry'!$AI$4)</f>
        <v/>
      </c>
      <c r="IY143" s="110" t="str">
        <f>IF('Supp. Result Entry'!AI141="","",'Supp. Result Entry'!$AL$4)</f>
        <v/>
      </c>
      <c r="IZ143" s="110" t="str">
        <f>IF('Supp. Result Entry'!U141="","",'Supp. Result Entry'!U141)</f>
        <v/>
      </c>
      <c r="JA143" s="110" t="str">
        <f>IF('Supp. Result Entry'!X141="","",'Supp. Result Entry'!X141)</f>
        <v/>
      </c>
      <c r="JB143" s="110" t="str">
        <f>IF('Supp. Result Entry'!AA141="","",'Supp. Result Entry'!AA141)</f>
        <v/>
      </c>
      <c r="JC143" s="110" t="str">
        <f>IF('Supp. Result Entry'!AD141="","",'Supp. Result Entry'!AD141)</f>
        <v/>
      </c>
      <c r="JD143" s="110" t="str">
        <f>IF('Supp. Result Entry'!AG141="","",'Supp. Result Entry'!AG141)</f>
        <v/>
      </c>
      <c r="JE143" s="110" t="str">
        <f>IF('Supp. Result Entry'!AJ141="","",'Supp. Result Entry'!AJ141)</f>
        <v/>
      </c>
      <c r="JF143" s="110" t="str">
        <f>IF('Supp. Result Entry'!AM141="","",'Supp. Result Entry'!AM141)</f>
        <v/>
      </c>
      <c r="JG143" s="110" t="str">
        <f>IF('Supp. Result Entry'!V141="","",'Supp. Result Entry'!V141)</f>
        <v/>
      </c>
      <c r="JH143" s="110" t="str">
        <f>IF('Supp. Result Entry'!Y141="","",'Supp. Result Entry'!Y141)</f>
        <v/>
      </c>
      <c r="JI143" s="110" t="str">
        <f>IF('Supp. Result Entry'!AB141="","",'Supp. Result Entry'!AB141)</f>
        <v/>
      </c>
      <c r="JJ143" s="110" t="str">
        <f>IF('Supp. Result Entry'!AE141="","",'Supp. Result Entry'!AE141)</f>
        <v/>
      </c>
      <c r="JK143" s="110" t="str">
        <f>IF('Supp. Result Entry'!AH141="","",'Supp. Result Entry'!AH141)</f>
        <v/>
      </c>
      <c r="JL143" s="110" t="str">
        <f>IF('Supp. Result Entry'!AK141="","",'Supp. Result Entry'!AK141)</f>
        <v/>
      </c>
      <c r="JM143" s="110" t="str">
        <f>IF('Supp. Result Entry'!AN141="","",'Supp. Result Entry'!AN141)</f>
        <v/>
      </c>
      <c r="JN143" s="110">
        <f>COUNTIF('Supp. Result Entry'!K141:Q141,"S")</f>
        <v>0</v>
      </c>
      <c r="JO143" s="110">
        <f t="shared" si="416"/>
        <v>0</v>
      </c>
      <c r="JP143" s="110">
        <f t="shared" si="493"/>
        <v>0</v>
      </c>
      <c r="JQ143" s="110" t="str">
        <f t="shared" si="417"/>
        <v/>
      </c>
      <c r="JR143" s="110" t="str">
        <f t="shared" si="418"/>
        <v/>
      </c>
      <c r="JS143" s="110" t="str">
        <f t="shared" si="419"/>
        <v/>
      </c>
      <c r="JT143" s="110" t="str">
        <f t="shared" si="420"/>
        <v/>
      </c>
      <c r="JU143" s="110" t="str">
        <f t="shared" si="421"/>
        <v/>
      </c>
      <c r="JV143" s="110" t="str">
        <f t="shared" si="422"/>
        <v/>
      </c>
      <c r="JW143" s="110" t="str">
        <f t="shared" si="423"/>
        <v/>
      </c>
      <c r="JX143" s="110" t="str">
        <f t="shared" si="494"/>
        <v/>
      </c>
      <c r="JY143" s="110" t="str">
        <f t="shared" si="495"/>
        <v/>
      </c>
      <c r="JZ143" s="110" t="str">
        <f t="shared" si="424"/>
        <v/>
      </c>
      <c r="KA143" s="108" t="str">
        <f t="shared" si="496"/>
        <v/>
      </c>
    </row>
    <row r="144" spans="1:287" s="108" customFormat="1" ht="21.95" customHeight="1">
      <c r="A144" s="89">
        <v>138</v>
      </c>
      <c r="B144" s="90" t="str">
        <f>IF('Marks Entry'!B144="","",'Marks Entry'!B144)</f>
        <v/>
      </c>
      <c r="C144" s="94" t="str">
        <f>IF('Marks Entry'!D144="","",'Marks Entry'!D144)</f>
        <v/>
      </c>
      <c r="D144" s="91" t="str">
        <f>IF('Marks Entry'!E144="","",'Marks Entry'!E144)</f>
        <v/>
      </c>
      <c r="E144" s="92" t="str">
        <f>IF('Marks Entry'!F144="","",'Marks Entry'!F144)</f>
        <v/>
      </c>
      <c r="F144" s="93" t="str">
        <f>IF('Marks Entry'!G144="","",'Marks Entry'!G144)</f>
        <v/>
      </c>
      <c r="G144" s="93" t="str">
        <f>IF('Marks Entry'!H144="","",'Marks Entry'!H144)</f>
        <v/>
      </c>
      <c r="H144" s="93" t="str">
        <f>IF('Marks Entry'!I144="","",'Marks Entry'!I144)</f>
        <v/>
      </c>
      <c r="I144" s="94" t="str">
        <f>IF('Marks Entry'!J144="","",'Marks Entry'!J144)</f>
        <v/>
      </c>
      <c r="J144" s="95" t="str">
        <f>IF('Marks Entry'!K144="","",'Marks Entry'!K144)</f>
        <v/>
      </c>
      <c r="K144" s="68" t="str">
        <f>IF('Marks Entry'!L144="","",'Marks Entry'!L144)</f>
        <v/>
      </c>
      <c r="L144" s="68" t="str">
        <f>IF('Marks Entry'!M144="","",'Marks Entry'!M144)</f>
        <v/>
      </c>
      <c r="M144" s="68" t="str">
        <f>IF('Marks Entry'!N144="","",'Marks Entry'!N144)</f>
        <v/>
      </c>
      <c r="N144" s="514" t="str">
        <f t="shared" si="425"/>
        <v/>
      </c>
      <c r="O144" s="68" t="str">
        <f>IF('Marks Entry'!O144="","",'Marks Entry'!O144)</f>
        <v/>
      </c>
      <c r="P144" s="515" t="str">
        <f t="shared" si="426"/>
        <v/>
      </c>
      <c r="Q144" s="68" t="str">
        <f>IF('Marks Entry'!P144="","",'Marks Entry'!P144)</f>
        <v/>
      </c>
      <c r="R144" s="96" t="str">
        <f t="shared" si="427"/>
        <v/>
      </c>
      <c r="S144" s="65">
        <f t="shared" si="428"/>
        <v>0</v>
      </c>
      <c r="T144" s="65">
        <f t="shared" si="429"/>
        <v>0</v>
      </c>
      <c r="U144" s="66" t="str">
        <f t="shared" si="339"/>
        <v/>
      </c>
      <c r="V144" s="65" t="str">
        <f t="shared" si="340"/>
        <v/>
      </c>
      <c r="W144" s="65" t="str">
        <f t="shared" si="430"/>
        <v/>
      </c>
      <c r="X144" s="65" t="str">
        <f t="shared" si="341"/>
        <v/>
      </c>
      <c r="Y144" s="68" t="str">
        <f>IF('Marks Entry'!Q144="","",'Marks Entry'!Q144)</f>
        <v/>
      </c>
      <c r="Z144" s="68" t="str">
        <f>IF('Marks Entry'!R144="","",'Marks Entry'!R144)</f>
        <v/>
      </c>
      <c r="AA144" s="68" t="str">
        <f>IF('Marks Entry'!S144="","",'Marks Entry'!S144)</f>
        <v/>
      </c>
      <c r="AB144" s="514" t="str">
        <f t="shared" si="342"/>
        <v/>
      </c>
      <c r="AC144" s="68" t="str">
        <f>IF('Marks Entry'!T144="","",'Marks Entry'!T144)</f>
        <v/>
      </c>
      <c r="AD144" s="515" t="str">
        <f t="shared" si="343"/>
        <v/>
      </c>
      <c r="AE144" s="68" t="str">
        <f>IF('Marks Entry'!U144="","",'Marks Entry'!U144)</f>
        <v/>
      </c>
      <c r="AF144" s="96" t="str">
        <f t="shared" si="344"/>
        <v/>
      </c>
      <c r="AG144" s="65">
        <f t="shared" si="345"/>
        <v>0</v>
      </c>
      <c r="AH144" s="65">
        <f t="shared" si="346"/>
        <v>0</v>
      </c>
      <c r="AI144" s="66" t="str">
        <f t="shared" si="347"/>
        <v/>
      </c>
      <c r="AJ144" s="65" t="str">
        <f t="shared" si="348"/>
        <v/>
      </c>
      <c r="AK144" s="65" t="str">
        <f t="shared" si="349"/>
        <v/>
      </c>
      <c r="AL144" s="65" t="str">
        <f t="shared" si="350"/>
        <v/>
      </c>
      <c r="AM144" s="524" t="str">
        <f>IF('Marks Entry'!V144="","",IF('Marks Entry'!V144=1,'School Profile'!$I$9,IF('Marks Entry'!V144=2,'School Profile'!$I$10,IF('Marks Entry'!V144=3,'School Profile'!$I$11,IF('Marks Entry'!V144=4,'School Profile'!$I$12,IF('Marks Entry'!V144=5,'School Profile'!$I$13,IF('Marks Entry'!V144=6,'School Profile'!$I$14,"")))))))</f>
        <v/>
      </c>
      <c r="AN144" s="68" t="str">
        <f>IF('Marks Entry'!W144="","",'Marks Entry'!W144)</f>
        <v/>
      </c>
      <c r="AO144" s="68" t="str">
        <f>IF('Marks Entry'!X144="","",'Marks Entry'!X144)</f>
        <v/>
      </c>
      <c r="AP144" s="68" t="str">
        <f>IF('Marks Entry'!Y144="","",'Marks Entry'!Y144)</f>
        <v/>
      </c>
      <c r="AQ144" s="514" t="str">
        <f t="shared" si="351"/>
        <v/>
      </c>
      <c r="AR144" s="68" t="str">
        <f>IF('Marks Entry'!Z144="","",'Marks Entry'!Z144)</f>
        <v/>
      </c>
      <c r="AS144" s="515" t="str">
        <f t="shared" si="352"/>
        <v/>
      </c>
      <c r="AT144" s="68" t="str">
        <f>IF('Marks Entry'!AA144="","",'Marks Entry'!AA144)</f>
        <v/>
      </c>
      <c r="AU144" s="96" t="str">
        <f t="shared" si="353"/>
        <v/>
      </c>
      <c r="AV144" s="65">
        <f t="shared" si="354"/>
        <v>0</v>
      </c>
      <c r="AW144" s="65">
        <f t="shared" si="355"/>
        <v>0</v>
      </c>
      <c r="AX144" s="66" t="str">
        <f t="shared" si="356"/>
        <v/>
      </c>
      <c r="AY144" s="65" t="str">
        <f t="shared" si="357"/>
        <v/>
      </c>
      <c r="AZ144" s="65" t="str">
        <f t="shared" si="358"/>
        <v/>
      </c>
      <c r="BA144" s="65" t="str">
        <f t="shared" si="359"/>
        <v/>
      </c>
      <c r="BB144" s="68" t="str">
        <f>IF('Marks Entry'!AB144="","",'Marks Entry'!AB144)</f>
        <v/>
      </c>
      <c r="BC144" s="68" t="str">
        <f>IF('Marks Entry'!AC144="","",'Marks Entry'!AC144)</f>
        <v/>
      </c>
      <c r="BD144" s="68" t="str">
        <f>IF('Marks Entry'!AD144="","",'Marks Entry'!AD144)</f>
        <v/>
      </c>
      <c r="BE144" s="514" t="str">
        <f t="shared" si="360"/>
        <v/>
      </c>
      <c r="BF144" s="68" t="str">
        <f>IF('Marks Entry'!AE144="","",'Marks Entry'!AE144)</f>
        <v/>
      </c>
      <c r="BG144" s="515" t="str">
        <f t="shared" si="361"/>
        <v/>
      </c>
      <c r="BH144" s="68" t="str">
        <f>IF('Marks Entry'!AF144="","",'Marks Entry'!AF144)</f>
        <v/>
      </c>
      <c r="BI144" s="96" t="str">
        <f t="shared" si="362"/>
        <v/>
      </c>
      <c r="BJ144" s="65">
        <f t="shared" si="363"/>
        <v>0</v>
      </c>
      <c r="BK144" s="65">
        <f t="shared" si="431"/>
        <v>0</v>
      </c>
      <c r="BL144" s="66" t="str">
        <f t="shared" si="364"/>
        <v/>
      </c>
      <c r="BM144" s="65" t="str">
        <f t="shared" si="365"/>
        <v/>
      </c>
      <c r="BN144" s="65" t="str">
        <f t="shared" si="366"/>
        <v/>
      </c>
      <c r="BO144" s="65" t="str">
        <f t="shared" si="367"/>
        <v/>
      </c>
      <c r="BP144" s="68" t="str">
        <f>IF('Marks Entry'!AG144="","",'Marks Entry'!AG144)</f>
        <v/>
      </c>
      <c r="BQ144" s="68" t="str">
        <f>IF('Marks Entry'!AH144="","",'Marks Entry'!AH144)</f>
        <v/>
      </c>
      <c r="BR144" s="68" t="str">
        <f>IF('Marks Entry'!AI144="","",'Marks Entry'!AI144)</f>
        <v/>
      </c>
      <c r="BS144" s="514" t="str">
        <f t="shared" si="368"/>
        <v/>
      </c>
      <c r="BT144" s="68" t="str">
        <f>IF('Marks Entry'!AJ144="","",'Marks Entry'!AJ144)</f>
        <v/>
      </c>
      <c r="BU144" s="515" t="str">
        <f t="shared" si="369"/>
        <v/>
      </c>
      <c r="BV144" s="68" t="str">
        <f>IF('Marks Entry'!AK144="","",'Marks Entry'!AK144)</f>
        <v/>
      </c>
      <c r="BW144" s="96" t="str">
        <f t="shared" si="370"/>
        <v/>
      </c>
      <c r="BX144" s="65">
        <f t="shared" si="371"/>
        <v>0</v>
      </c>
      <c r="BY144" s="65">
        <f t="shared" si="372"/>
        <v>0</v>
      </c>
      <c r="BZ144" s="66" t="str">
        <f t="shared" si="373"/>
        <v/>
      </c>
      <c r="CA144" s="65" t="str">
        <f t="shared" si="374"/>
        <v/>
      </c>
      <c r="CB144" s="65" t="str">
        <f t="shared" si="375"/>
        <v/>
      </c>
      <c r="CC144" s="65" t="str">
        <f t="shared" si="376"/>
        <v/>
      </c>
      <c r="CD144" s="66">
        <f t="shared" si="377"/>
        <v>0</v>
      </c>
      <c r="CE144" s="68" t="str">
        <f>IF('Marks Entry'!AL144="","",'Marks Entry'!AL144)</f>
        <v/>
      </c>
      <c r="CF144" s="68" t="str">
        <f>IF('Marks Entry'!AM144="","",'Marks Entry'!AM144)</f>
        <v/>
      </c>
      <c r="CG144" s="68" t="str">
        <f>IF('Marks Entry'!AN144="","",'Marks Entry'!AN144)</f>
        <v/>
      </c>
      <c r="CH144" s="514" t="str">
        <f t="shared" si="378"/>
        <v/>
      </c>
      <c r="CI144" s="68" t="str">
        <f>IF('Marks Entry'!AO144="","",'Marks Entry'!AO144)</f>
        <v/>
      </c>
      <c r="CJ144" s="515" t="str">
        <f t="shared" si="379"/>
        <v/>
      </c>
      <c r="CK144" s="68" t="str">
        <f>IF('Marks Entry'!AP144="","",'Marks Entry'!AP144)</f>
        <v/>
      </c>
      <c r="CL144" s="96" t="str">
        <f t="shared" si="380"/>
        <v/>
      </c>
      <c r="CM144" s="65">
        <f t="shared" si="381"/>
        <v>0</v>
      </c>
      <c r="CN144" s="65">
        <f t="shared" si="382"/>
        <v>0</v>
      </c>
      <c r="CO144" s="66" t="str">
        <f t="shared" si="383"/>
        <v/>
      </c>
      <c r="CP144" s="65" t="str">
        <f t="shared" si="384"/>
        <v/>
      </c>
      <c r="CQ144" s="65" t="str">
        <f t="shared" si="385"/>
        <v/>
      </c>
      <c r="CR144" s="65" t="str">
        <f t="shared" si="386"/>
        <v/>
      </c>
      <c r="CS144" s="616" t="str">
        <f>IF('School Profile'!$D$20="NO","",IF('Marks Entry'!AQ144="","",IF('Marks Entry'!AQ144=1,'School Profile'!$I$29,IF('Marks Entry'!AQ144=2,'School Profile'!$I$30,IF('Marks Entry'!AQ144=3,'School Profile'!$I$31,IF('Marks Entry'!AQ144=4,'School Profile'!$I$32,IF('Marks Entry'!AQ144=5,'School Profile'!$I$33,IF('Marks Entry'!AQ144=6,'School Profile'!$I$34,IF('Marks Entry'!AQ144=7,'School Profile'!$I$35,IF('Marks Entry'!AQ144=8,'School Profile'!$I$36,IF('Marks Entry'!AQ144=9,'School Profile'!$I$37,IF('Marks Entry'!AQ144=10,'School Profile'!$I$38,IF('Marks Entry'!AQ144=11,'School Profile'!$I$39,"")))))))))))))</f>
        <v/>
      </c>
      <c r="CT144" s="68" t="str">
        <f>IF('School Profile'!$D$20="NO","",IF('Marks Entry'!AR144="","",'Marks Entry'!AR144))</f>
        <v/>
      </c>
      <c r="CU144" s="68" t="str">
        <f>IF('School Profile'!$D$20="NO","",IF('Marks Entry'!AS144="","",'Marks Entry'!AS144))</f>
        <v/>
      </c>
      <c r="CV144" s="68" t="str">
        <f>IF('School Profile'!$D$20="NO","",IF('Marks Entry'!AT144="","",'Marks Entry'!AT144))</f>
        <v/>
      </c>
      <c r="CW144" s="514" t="str">
        <f>IF('School Profile'!$D$20="NO","",IF(AND(CT144="",CU144="",CV144=""),"",SUM(CT144:CV144)))</f>
        <v/>
      </c>
      <c r="CX144" s="68" t="str">
        <f>IF('School Profile'!$D$20="NO","",IF('Marks Entry'!AU144="","",'Marks Entry'!AU144))</f>
        <v/>
      </c>
      <c r="CY144" s="68" t="str">
        <f>IF('School Profile'!$D$20="NO","",IF('Marks Entry'!AV144="","",'Marks Entry'!AV144))</f>
        <v/>
      </c>
      <c r="CZ144" s="515" t="str">
        <f>IF('School Profile'!$D$20="NO","",IF(AND(CX144="",CY144=""),"",SUM(CX144,CY144)))</f>
        <v/>
      </c>
      <c r="DA144" s="69" t="str">
        <f>IF('School Profile'!$D$20="NO","",IF(AND(CW144="",CZ144=""),"",SUM(CW144+CZ144)))</f>
        <v/>
      </c>
      <c r="DB144" s="68" t="str">
        <f>IF('School Profile'!$D$20="NO","",IF('Marks Entry'!AW144="","",'Marks Entry'!AW144))</f>
        <v/>
      </c>
      <c r="DC144" s="68" t="str">
        <f>IF('School Profile'!$D$20="NO","",IF('Marks Entry'!AX144="","",'Marks Entry'!AX144))</f>
        <v/>
      </c>
      <c r="DD144" s="515" t="str">
        <f>IF('School Profile'!$D$20="NO","",IF(AND(DB144="",DC144=""),"",SUM(DB144,DC144)))</f>
        <v/>
      </c>
      <c r="DE144" s="96" t="str">
        <f>IF('School Profile'!$D$20="NO","",IF(AND(DA144="",DD144=""),"",SUM(DA144,DD144)))</f>
        <v/>
      </c>
      <c r="DF144" s="532">
        <f t="shared" si="387"/>
        <v>0</v>
      </c>
      <c r="DG144" s="65">
        <f t="shared" si="388"/>
        <v>0</v>
      </c>
      <c r="DH144" s="66" t="str">
        <f t="shared" si="389"/>
        <v/>
      </c>
      <c r="DI144" s="65" t="str">
        <f t="shared" si="390"/>
        <v/>
      </c>
      <c r="DJ144" s="65" t="str">
        <f t="shared" si="391"/>
        <v/>
      </c>
      <c r="DK144" s="65" t="str">
        <f t="shared" si="392"/>
        <v/>
      </c>
      <c r="DL144" s="97" t="str">
        <f t="shared" si="432"/>
        <v/>
      </c>
      <c r="DM144" s="97" t="str">
        <f t="shared" si="433"/>
        <v/>
      </c>
      <c r="DN144" s="97" t="str">
        <f t="shared" si="434"/>
        <v/>
      </c>
      <c r="DO144" s="97" t="str">
        <f t="shared" si="435"/>
        <v/>
      </c>
      <c r="DP144" s="97" t="str">
        <f t="shared" si="436"/>
        <v/>
      </c>
      <c r="DQ144" s="97" t="str">
        <f t="shared" si="437"/>
        <v/>
      </c>
      <c r="DR144" s="97" t="str">
        <f t="shared" si="438"/>
        <v/>
      </c>
      <c r="DS144" s="98">
        <f t="shared" si="439"/>
        <v>0</v>
      </c>
      <c r="DT144" s="98">
        <f t="shared" si="440"/>
        <v>0</v>
      </c>
      <c r="DU144" s="98">
        <f t="shared" si="441"/>
        <v>0</v>
      </c>
      <c r="DV144" s="98">
        <f t="shared" si="442"/>
        <v>0</v>
      </c>
      <c r="DW144" s="98">
        <f t="shared" si="443"/>
        <v>0</v>
      </c>
      <c r="DX144" s="98" t="str">
        <f t="shared" si="444"/>
        <v/>
      </c>
      <c r="DY144" s="99" t="str">
        <f t="shared" si="445"/>
        <v/>
      </c>
      <c r="DZ144" s="74" t="str">
        <f>IF('Marks Entry'!AY144="","",'Marks Entry'!AY144)</f>
        <v/>
      </c>
      <c r="EA144" s="74" t="str">
        <f>IF('Marks Entry'!AZ144="","",'Marks Entry'!AZ144)</f>
        <v/>
      </c>
      <c r="EB144" s="74" t="str">
        <f>IF('Marks Entry'!BA144="","",'Marks Entry'!BA144)</f>
        <v/>
      </c>
      <c r="EC144" s="527" t="str">
        <f t="shared" si="393"/>
        <v/>
      </c>
      <c r="ED144" s="74" t="str">
        <f>IF('Marks Entry'!BB144="","",'Marks Entry'!BB144)</f>
        <v/>
      </c>
      <c r="EE144" s="528" t="str">
        <f t="shared" si="394"/>
        <v/>
      </c>
      <c r="EF144" s="74" t="str">
        <f>IF('Marks Entry'!BC144="","",'Marks Entry'!BC144)</f>
        <v/>
      </c>
      <c r="EG144" s="530" t="str">
        <f t="shared" si="395"/>
        <v/>
      </c>
      <c r="EH144" s="368" t="str">
        <f t="shared" si="446"/>
        <v/>
      </c>
      <c r="EI144" s="65">
        <f t="shared" si="447"/>
        <v>0</v>
      </c>
      <c r="EJ144" s="65">
        <f t="shared" si="448"/>
        <v>0</v>
      </c>
      <c r="EK144" s="66" t="str">
        <f t="shared" si="449"/>
        <v/>
      </c>
      <c r="EL144" s="74" t="str">
        <f>IF('Marks Entry'!BD144="","",'Marks Entry'!BD144)</f>
        <v/>
      </c>
      <c r="EM144" s="74" t="str">
        <f>IF('Marks Entry'!BE144="","",'Marks Entry'!BE144)</f>
        <v/>
      </c>
      <c r="EN144" s="74" t="str">
        <f>IF('Marks Entry'!BF144="","",'Marks Entry'!BF144)</f>
        <v/>
      </c>
      <c r="EO144" s="527" t="str">
        <f t="shared" si="396"/>
        <v/>
      </c>
      <c r="EP144" s="74" t="str">
        <f>IF('Marks Entry'!BG144="","",'Marks Entry'!BG144)</f>
        <v/>
      </c>
      <c r="EQ144" s="74" t="str">
        <f>IF('Marks Entry'!BH144="","",'Marks Entry'!BH144)</f>
        <v/>
      </c>
      <c r="ER144" s="528" t="str">
        <f t="shared" si="397"/>
        <v/>
      </c>
      <c r="ES144" s="529" t="str">
        <f t="shared" si="398"/>
        <v/>
      </c>
      <c r="ET144" s="74" t="str">
        <f>IF('Marks Entry'!BI144="","",'Marks Entry'!BI144)</f>
        <v/>
      </c>
      <c r="EU144" s="74" t="str">
        <f>IF('Marks Entry'!BJ144="","",'Marks Entry'!BJ144)</f>
        <v/>
      </c>
      <c r="EV144" s="528" t="str">
        <f t="shared" si="399"/>
        <v/>
      </c>
      <c r="EW144" s="530" t="str">
        <f t="shared" si="400"/>
        <v/>
      </c>
      <c r="EX144" s="368" t="str">
        <f t="shared" si="450"/>
        <v/>
      </c>
      <c r="EY144" s="65">
        <f t="shared" si="451"/>
        <v>0</v>
      </c>
      <c r="EZ144" s="65">
        <f t="shared" si="452"/>
        <v>0</v>
      </c>
      <c r="FA144" s="66" t="str">
        <f t="shared" si="453"/>
        <v/>
      </c>
      <c r="FB144" s="74" t="str">
        <f>IF('Marks Entry'!BK144="","",'Marks Entry'!BK144)</f>
        <v/>
      </c>
      <c r="FC144" s="74" t="str">
        <f>IF('Marks Entry'!BL144="","",'Marks Entry'!BL144)</f>
        <v/>
      </c>
      <c r="FD144" s="74" t="str">
        <f>IF('Marks Entry'!BM144="","",'Marks Entry'!BM144)</f>
        <v/>
      </c>
      <c r="FE144" s="74" t="str">
        <f>IF('Marks Entry'!BN144="","",'Marks Entry'!BN144)</f>
        <v/>
      </c>
      <c r="FF144" s="74" t="str">
        <f>IF('Marks Entry'!BO144="","",'Marks Entry'!BO144)</f>
        <v/>
      </c>
      <c r="FG144" s="74" t="str">
        <f>IF('Marks Entry'!BP144="","",'Marks Entry'!BP144)</f>
        <v/>
      </c>
      <c r="FH144" s="527" t="str">
        <f t="shared" si="401"/>
        <v/>
      </c>
      <c r="FI144" s="74" t="str">
        <f>IF('Marks Entry'!BQ144="","",'Marks Entry'!BQ144)</f>
        <v/>
      </c>
      <c r="FJ144" s="74" t="str">
        <f>IF('Marks Entry'!BR144="","",'Marks Entry'!BR144)</f>
        <v/>
      </c>
      <c r="FK144" s="528" t="str">
        <f t="shared" si="402"/>
        <v/>
      </c>
      <c r="FL144" s="529" t="str">
        <f t="shared" si="403"/>
        <v/>
      </c>
      <c r="FM144" s="74" t="str">
        <f>IF('Marks Entry'!BS144="","",'Marks Entry'!BS144)</f>
        <v/>
      </c>
      <c r="FN144" s="74" t="str">
        <f>IF('Marks Entry'!BT144="","",'Marks Entry'!BT144)</f>
        <v/>
      </c>
      <c r="FO144" s="528" t="str">
        <f t="shared" si="404"/>
        <v/>
      </c>
      <c r="FP144" s="530" t="str">
        <f t="shared" si="405"/>
        <v/>
      </c>
      <c r="FQ144" s="368" t="str">
        <f t="shared" si="454"/>
        <v/>
      </c>
      <c r="FR144" s="65">
        <f t="shared" si="455"/>
        <v>0</v>
      </c>
      <c r="FS144" s="65">
        <f t="shared" si="456"/>
        <v>0</v>
      </c>
      <c r="FT144" s="66" t="str">
        <f t="shared" si="457"/>
        <v/>
      </c>
      <c r="FU144" s="74" t="str">
        <f>IF('Marks Entry'!BU144="","",'Marks Entry'!BU144)</f>
        <v/>
      </c>
      <c r="FV144" s="74" t="str">
        <f>IF('Marks Entry'!BV144="","",'Marks Entry'!BV144)</f>
        <v/>
      </c>
      <c r="FW144" s="74" t="str">
        <f>IF('Marks Entry'!BW144="","",'Marks Entry'!BW144)</f>
        <v/>
      </c>
      <c r="FX144" s="75" t="str">
        <f t="shared" si="406"/>
        <v/>
      </c>
      <c r="FY144" s="368" t="str">
        <f t="shared" si="458"/>
        <v/>
      </c>
      <c r="FZ144" s="65">
        <f t="shared" si="459"/>
        <v>0</v>
      </c>
      <c r="GA144" s="66">
        <f t="shared" si="460"/>
        <v>0</v>
      </c>
      <c r="GB144" s="66" t="str">
        <f t="shared" si="461"/>
        <v/>
      </c>
      <c r="GC144" s="74" t="str">
        <f>IF('Marks Entry'!BX144="","",'Marks Entry'!BX144)</f>
        <v/>
      </c>
      <c r="GD144" s="74" t="str">
        <f>IF('Marks Entry'!BY144="","",'Marks Entry'!BY144)</f>
        <v/>
      </c>
      <c r="GE144" s="74" t="str">
        <f>IF('Marks Entry'!BZ144="","",'Marks Entry'!BZ144)</f>
        <v/>
      </c>
      <c r="GF144" s="75" t="str">
        <f t="shared" si="462"/>
        <v/>
      </c>
      <c r="GG144" s="368" t="str">
        <f t="shared" si="463"/>
        <v/>
      </c>
      <c r="GH144" s="65">
        <f t="shared" si="464"/>
        <v>0</v>
      </c>
      <c r="GI144" s="66">
        <f t="shared" si="465"/>
        <v>0</v>
      </c>
      <c r="GJ144" s="66" t="str">
        <f t="shared" si="466"/>
        <v/>
      </c>
      <c r="GK144" s="100" t="str">
        <f>IF(AND(F144="",B144=""),"",IF('Student DATA Entry'!M141="","",'Student DATA Entry'!M141))</f>
        <v/>
      </c>
      <c r="GL144" s="101" t="str">
        <f>IF(AND(B144="",F144=""),"",IF('Student DATA Entry'!N141="","",'Student DATA Entry'!N141))</f>
        <v/>
      </c>
      <c r="GM144" s="581" t="str">
        <f t="shared" si="467"/>
        <v/>
      </c>
      <c r="GN144" s="94" t="str">
        <f t="shared" si="468"/>
        <v/>
      </c>
      <c r="GO144" s="94" t="str">
        <f t="shared" si="469"/>
        <v/>
      </c>
      <c r="GP144" s="102" t="str">
        <f t="shared" si="407"/>
        <v/>
      </c>
      <c r="GQ144" s="94" t="str">
        <f t="shared" si="470"/>
        <v/>
      </c>
      <c r="GR144" s="103" t="str">
        <f t="shared" si="471"/>
        <v/>
      </c>
      <c r="GS144" s="102" t="str">
        <f t="shared" si="408"/>
        <v/>
      </c>
      <c r="GT144" s="104" t="str">
        <f t="shared" si="472"/>
        <v/>
      </c>
      <c r="GU144" s="94" t="str">
        <f>IF('Marks Entry'!V144=1,GT144,"")</f>
        <v/>
      </c>
      <c r="GV144" s="94" t="str">
        <f>IF('Marks Entry'!V144=2,GT144,"")</f>
        <v/>
      </c>
      <c r="GW144" s="94" t="str">
        <f>IF('Marks Entry'!V144=3,GT144,"")</f>
        <v/>
      </c>
      <c r="GX144" s="94" t="str">
        <f>IF('Marks Entry'!V144=4,GT144,"")</f>
        <v/>
      </c>
      <c r="GY144" s="94" t="str">
        <f>IF('Marks Entry'!V144=5,GT144,"")</f>
        <v/>
      </c>
      <c r="GZ144" s="94" t="str">
        <f t="shared" si="473"/>
        <v/>
      </c>
      <c r="HA144" s="105" t="str">
        <f t="shared" si="409"/>
        <v/>
      </c>
      <c r="HB144" s="94" t="str">
        <f t="shared" si="474"/>
        <v/>
      </c>
      <c r="HC144" s="94" t="str">
        <f t="shared" si="475"/>
        <v/>
      </c>
      <c r="HD144" s="105" t="str">
        <f t="shared" si="410"/>
        <v/>
      </c>
      <c r="HE144" s="94" t="str">
        <f t="shared" si="476"/>
        <v/>
      </c>
      <c r="HF144" s="94" t="str">
        <f t="shared" si="477"/>
        <v/>
      </c>
      <c r="HG144" s="105" t="str">
        <f t="shared" si="411"/>
        <v/>
      </c>
      <c r="HH144" s="94" t="str">
        <f t="shared" si="478"/>
        <v/>
      </c>
      <c r="HI144" s="94" t="str">
        <f t="shared" si="479"/>
        <v/>
      </c>
      <c r="HJ144" s="105" t="str">
        <f t="shared" si="412"/>
        <v/>
      </c>
      <c r="HK144" s="94" t="str">
        <f t="shared" si="480"/>
        <v/>
      </c>
      <c r="HL144" s="94" t="str">
        <f t="shared" si="481"/>
        <v/>
      </c>
      <c r="HM144" s="105" t="str">
        <f t="shared" si="413"/>
        <v/>
      </c>
      <c r="HN144" s="367" t="str">
        <f t="shared" si="482"/>
        <v xml:space="preserve">      </v>
      </c>
      <c r="HO144" s="418" t="str">
        <f t="shared" si="414"/>
        <v xml:space="preserve">      </v>
      </c>
      <c r="HP144" s="367" t="str">
        <f t="shared" si="483"/>
        <v xml:space="preserve">      </v>
      </c>
      <c r="HQ144" s="107" t="str">
        <f t="shared" si="484"/>
        <v xml:space="preserve">      </v>
      </c>
      <c r="HR144" s="366" t="str">
        <f t="shared" si="485"/>
        <v xml:space="preserve">      </v>
      </c>
      <c r="HS144" s="544" t="str">
        <f t="shared" si="415"/>
        <v/>
      </c>
      <c r="HT144" s="542" t="str">
        <f t="shared" si="486"/>
        <v/>
      </c>
      <c r="HU144" s="541" t="str">
        <f t="shared" si="487"/>
        <v/>
      </c>
      <c r="HV144" s="540" t="str">
        <f t="shared" si="488"/>
        <v/>
      </c>
      <c r="HW144" s="537" t="str">
        <f t="shared" si="489"/>
        <v/>
      </c>
      <c r="HX144" s="539" t="str">
        <f t="shared" si="490"/>
        <v/>
      </c>
      <c r="HY144" s="553" t="str">
        <f>IFERROR(IF(OR(HS144="SUPPLEMENTARY",HS144="RE-EXAM"),'Supp. Result Entry'!AQ142,""),"")</f>
        <v/>
      </c>
      <c r="HZ144" s="538" t="str">
        <f t="shared" si="491"/>
        <v/>
      </c>
      <c r="IA144" s="415" t="str">
        <f t="shared" si="492"/>
        <v/>
      </c>
      <c r="IB144" s="415" t="str">
        <f>IF(AND(HZ144="",IA144=""),"",IF(OR(HS144="SUPPLEMENTARY",HS144="RE-EXAM"),'Supp. Result Entry'!AQ142,HS144))</f>
        <v/>
      </c>
      <c r="IC144" s="87"/>
      <c r="IS144" s="109" t="str">
        <f>IF('Supp. Result Entry'!T142="","",'Supp. Result Entry'!$T$4)</f>
        <v/>
      </c>
      <c r="IT144" s="110" t="str">
        <f>IF('Supp. Result Entry'!W142="","",'Supp. Result Entry'!$W$4)</f>
        <v/>
      </c>
      <c r="IU144" s="110" t="str">
        <f>IF('Supp. Result Entry'!Z142="","",'Supp. Result Entry'!$Z$4)</f>
        <v/>
      </c>
      <c r="IV144" s="110" t="str">
        <f>IF('Supp. Result Entry'!AC142="","",'Supp. Result Entry'!$AC$4)</f>
        <v/>
      </c>
      <c r="IW144" s="110" t="str">
        <f>IF('Supp. Result Entry'!AF142="","",'Supp. Result Entry'!$AF$4)</f>
        <v/>
      </c>
      <c r="IX144" s="110" t="str">
        <f>IF('Supp. Result Entry'!AI142="","",'Supp. Result Entry'!$AI$4)</f>
        <v/>
      </c>
      <c r="IY144" s="110" t="str">
        <f>IF('Supp. Result Entry'!AI142="","",'Supp. Result Entry'!$AL$4)</f>
        <v/>
      </c>
      <c r="IZ144" s="110" t="str">
        <f>IF('Supp. Result Entry'!U142="","",'Supp. Result Entry'!U142)</f>
        <v/>
      </c>
      <c r="JA144" s="110" t="str">
        <f>IF('Supp. Result Entry'!X142="","",'Supp. Result Entry'!X142)</f>
        <v/>
      </c>
      <c r="JB144" s="110" t="str">
        <f>IF('Supp. Result Entry'!AA142="","",'Supp. Result Entry'!AA142)</f>
        <v/>
      </c>
      <c r="JC144" s="110" t="str">
        <f>IF('Supp. Result Entry'!AD142="","",'Supp. Result Entry'!AD142)</f>
        <v/>
      </c>
      <c r="JD144" s="110" t="str">
        <f>IF('Supp. Result Entry'!AG142="","",'Supp. Result Entry'!AG142)</f>
        <v/>
      </c>
      <c r="JE144" s="110" t="str">
        <f>IF('Supp. Result Entry'!AJ142="","",'Supp. Result Entry'!AJ142)</f>
        <v/>
      </c>
      <c r="JF144" s="110" t="str">
        <f>IF('Supp. Result Entry'!AM142="","",'Supp. Result Entry'!AM142)</f>
        <v/>
      </c>
      <c r="JG144" s="110" t="str">
        <f>IF('Supp. Result Entry'!V142="","",'Supp. Result Entry'!V142)</f>
        <v/>
      </c>
      <c r="JH144" s="110" t="str">
        <f>IF('Supp. Result Entry'!Y142="","",'Supp. Result Entry'!Y142)</f>
        <v/>
      </c>
      <c r="JI144" s="110" t="str">
        <f>IF('Supp. Result Entry'!AB142="","",'Supp. Result Entry'!AB142)</f>
        <v/>
      </c>
      <c r="JJ144" s="110" t="str">
        <f>IF('Supp. Result Entry'!AE142="","",'Supp. Result Entry'!AE142)</f>
        <v/>
      </c>
      <c r="JK144" s="110" t="str">
        <f>IF('Supp. Result Entry'!AH142="","",'Supp. Result Entry'!AH142)</f>
        <v/>
      </c>
      <c r="JL144" s="110" t="str">
        <f>IF('Supp. Result Entry'!AK142="","",'Supp. Result Entry'!AK142)</f>
        <v/>
      </c>
      <c r="JM144" s="110" t="str">
        <f>IF('Supp. Result Entry'!AN142="","",'Supp. Result Entry'!AN142)</f>
        <v/>
      </c>
      <c r="JN144" s="110">
        <f>COUNTIF('Supp. Result Entry'!K142:Q142,"S")</f>
        <v>0</v>
      </c>
      <c r="JO144" s="110">
        <f t="shared" si="416"/>
        <v>0</v>
      </c>
      <c r="JP144" s="110">
        <f t="shared" si="493"/>
        <v>0</v>
      </c>
      <c r="JQ144" s="110" t="str">
        <f t="shared" si="417"/>
        <v/>
      </c>
      <c r="JR144" s="110" t="str">
        <f t="shared" si="418"/>
        <v/>
      </c>
      <c r="JS144" s="110" t="str">
        <f t="shared" si="419"/>
        <v/>
      </c>
      <c r="JT144" s="110" t="str">
        <f t="shared" si="420"/>
        <v/>
      </c>
      <c r="JU144" s="110" t="str">
        <f t="shared" si="421"/>
        <v/>
      </c>
      <c r="JV144" s="110" t="str">
        <f t="shared" si="422"/>
        <v/>
      </c>
      <c r="JW144" s="110" t="str">
        <f t="shared" si="423"/>
        <v/>
      </c>
      <c r="JX144" s="110" t="str">
        <f t="shared" si="494"/>
        <v/>
      </c>
      <c r="JY144" s="110" t="str">
        <f t="shared" si="495"/>
        <v/>
      </c>
      <c r="JZ144" s="110" t="str">
        <f t="shared" si="424"/>
        <v/>
      </c>
      <c r="KA144" s="108" t="str">
        <f t="shared" si="496"/>
        <v/>
      </c>
    </row>
    <row r="145" spans="1:287" s="108" customFormat="1" ht="21.95" customHeight="1">
      <c r="A145" s="89">
        <v>139</v>
      </c>
      <c r="B145" s="90" t="str">
        <f>IF('Marks Entry'!B145="","",'Marks Entry'!B145)</f>
        <v/>
      </c>
      <c r="C145" s="94" t="str">
        <f>IF('Marks Entry'!D145="","",'Marks Entry'!D145)</f>
        <v/>
      </c>
      <c r="D145" s="91" t="str">
        <f>IF('Marks Entry'!E145="","",'Marks Entry'!E145)</f>
        <v/>
      </c>
      <c r="E145" s="92" t="str">
        <f>IF('Marks Entry'!F145="","",'Marks Entry'!F145)</f>
        <v/>
      </c>
      <c r="F145" s="93" t="str">
        <f>IF('Marks Entry'!G145="","",'Marks Entry'!G145)</f>
        <v/>
      </c>
      <c r="G145" s="93" t="str">
        <f>IF('Marks Entry'!H145="","",'Marks Entry'!H145)</f>
        <v/>
      </c>
      <c r="H145" s="93" t="str">
        <f>IF('Marks Entry'!I145="","",'Marks Entry'!I145)</f>
        <v/>
      </c>
      <c r="I145" s="94" t="str">
        <f>IF('Marks Entry'!J145="","",'Marks Entry'!J145)</f>
        <v/>
      </c>
      <c r="J145" s="95" t="str">
        <f>IF('Marks Entry'!K145="","",'Marks Entry'!K145)</f>
        <v/>
      </c>
      <c r="K145" s="68" t="str">
        <f>IF('Marks Entry'!L145="","",'Marks Entry'!L145)</f>
        <v/>
      </c>
      <c r="L145" s="68" t="str">
        <f>IF('Marks Entry'!M145="","",'Marks Entry'!M145)</f>
        <v/>
      </c>
      <c r="M145" s="68" t="str">
        <f>IF('Marks Entry'!N145="","",'Marks Entry'!N145)</f>
        <v/>
      </c>
      <c r="N145" s="514" t="str">
        <f t="shared" si="425"/>
        <v/>
      </c>
      <c r="O145" s="68" t="str">
        <f>IF('Marks Entry'!O145="","",'Marks Entry'!O145)</f>
        <v/>
      </c>
      <c r="P145" s="515" t="str">
        <f t="shared" si="426"/>
        <v/>
      </c>
      <c r="Q145" s="68" t="str">
        <f>IF('Marks Entry'!P145="","",'Marks Entry'!P145)</f>
        <v/>
      </c>
      <c r="R145" s="96" t="str">
        <f t="shared" si="427"/>
        <v/>
      </c>
      <c r="S145" s="65">
        <f t="shared" si="428"/>
        <v>0</v>
      </c>
      <c r="T145" s="65">
        <f t="shared" si="429"/>
        <v>0</v>
      </c>
      <c r="U145" s="66" t="str">
        <f t="shared" si="339"/>
        <v/>
      </c>
      <c r="V145" s="65" t="str">
        <f t="shared" si="340"/>
        <v/>
      </c>
      <c r="W145" s="65" t="str">
        <f t="shared" si="430"/>
        <v/>
      </c>
      <c r="X145" s="65" t="str">
        <f t="shared" si="341"/>
        <v/>
      </c>
      <c r="Y145" s="68" t="str">
        <f>IF('Marks Entry'!Q145="","",'Marks Entry'!Q145)</f>
        <v/>
      </c>
      <c r="Z145" s="68" t="str">
        <f>IF('Marks Entry'!R145="","",'Marks Entry'!R145)</f>
        <v/>
      </c>
      <c r="AA145" s="68" t="str">
        <f>IF('Marks Entry'!S145="","",'Marks Entry'!S145)</f>
        <v/>
      </c>
      <c r="AB145" s="514" t="str">
        <f t="shared" si="342"/>
        <v/>
      </c>
      <c r="AC145" s="68" t="str">
        <f>IF('Marks Entry'!T145="","",'Marks Entry'!T145)</f>
        <v/>
      </c>
      <c r="AD145" s="515" t="str">
        <f t="shared" si="343"/>
        <v/>
      </c>
      <c r="AE145" s="68" t="str">
        <f>IF('Marks Entry'!U145="","",'Marks Entry'!U145)</f>
        <v/>
      </c>
      <c r="AF145" s="96" t="str">
        <f t="shared" si="344"/>
        <v/>
      </c>
      <c r="AG145" s="65">
        <f t="shared" si="345"/>
        <v>0</v>
      </c>
      <c r="AH145" s="65">
        <f t="shared" si="346"/>
        <v>0</v>
      </c>
      <c r="AI145" s="66" t="str">
        <f t="shared" si="347"/>
        <v/>
      </c>
      <c r="AJ145" s="65" t="str">
        <f t="shared" si="348"/>
        <v/>
      </c>
      <c r="AK145" s="65" t="str">
        <f t="shared" si="349"/>
        <v/>
      </c>
      <c r="AL145" s="65" t="str">
        <f t="shared" si="350"/>
        <v/>
      </c>
      <c r="AM145" s="524" t="str">
        <f>IF('Marks Entry'!V145="","",IF('Marks Entry'!V145=1,'School Profile'!$I$9,IF('Marks Entry'!V145=2,'School Profile'!$I$10,IF('Marks Entry'!V145=3,'School Profile'!$I$11,IF('Marks Entry'!V145=4,'School Profile'!$I$12,IF('Marks Entry'!V145=5,'School Profile'!$I$13,IF('Marks Entry'!V145=6,'School Profile'!$I$14,"")))))))</f>
        <v/>
      </c>
      <c r="AN145" s="68" t="str">
        <f>IF('Marks Entry'!W145="","",'Marks Entry'!W145)</f>
        <v/>
      </c>
      <c r="AO145" s="68" t="str">
        <f>IF('Marks Entry'!X145="","",'Marks Entry'!X145)</f>
        <v/>
      </c>
      <c r="AP145" s="68" t="str">
        <f>IF('Marks Entry'!Y145="","",'Marks Entry'!Y145)</f>
        <v/>
      </c>
      <c r="AQ145" s="514" t="str">
        <f t="shared" si="351"/>
        <v/>
      </c>
      <c r="AR145" s="68" t="str">
        <f>IF('Marks Entry'!Z145="","",'Marks Entry'!Z145)</f>
        <v/>
      </c>
      <c r="AS145" s="515" t="str">
        <f t="shared" si="352"/>
        <v/>
      </c>
      <c r="AT145" s="68" t="str">
        <f>IF('Marks Entry'!AA145="","",'Marks Entry'!AA145)</f>
        <v/>
      </c>
      <c r="AU145" s="96" t="str">
        <f t="shared" si="353"/>
        <v/>
      </c>
      <c r="AV145" s="65">
        <f t="shared" si="354"/>
        <v>0</v>
      </c>
      <c r="AW145" s="65">
        <f t="shared" si="355"/>
        <v>0</v>
      </c>
      <c r="AX145" s="66" t="str">
        <f t="shared" si="356"/>
        <v/>
      </c>
      <c r="AY145" s="65" t="str">
        <f t="shared" si="357"/>
        <v/>
      </c>
      <c r="AZ145" s="65" t="str">
        <f t="shared" si="358"/>
        <v/>
      </c>
      <c r="BA145" s="65" t="str">
        <f t="shared" si="359"/>
        <v/>
      </c>
      <c r="BB145" s="68" t="str">
        <f>IF('Marks Entry'!AB145="","",'Marks Entry'!AB145)</f>
        <v/>
      </c>
      <c r="BC145" s="68" t="str">
        <f>IF('Marks Entry'!AC145="","",'Marks Entry'!AC145)</f>
        <v/>
      </c>
      <c r="BD145" s="68" t="str">
        <f>IF('Marks Entry'!AD145="","",'Marks Entry'!AD145)</f>
        <v/>
      </c>
      <c r="BE145" s="514" t="str">
        <f t="shared" si="360"/>
        <v/>
      </c>
      <c r="BF145" s="68" t="str">
        <f>IF('Marks Entry'!AE145="","",'Marks Entry'!AE145)</f>
        <v/>
      </c>
      <c r="BG145" s="515" t="str">
        <f t="shared" si="361"/>
        <v/>
      </c>
      <c r="BH145" s="68" t="str">
        <f>IF('Marks Entry'!AF145="","",'Marks Entry'!AF145)</f>
        <v/>
      </c>
      <c r="BI145" s="96" t="str">
        <f t="shared" si="362"/>
        <v/>
      </c>
      <c r="BJ145" s="65">
        <f t="shared" si="363"/>
        <v>0</v>
      </c>
      <c r="BK145" s="65">
        <f t="shared" si="431"/>
        <v>0</v>
      </c>
      <c r="BL145" s="66" t="str">
        <f t="shared" si="364"/>
        <v/>
      </c>
      <c r="BM145" s="65" t="str">
        <f t="shared" si="365"/>
        <v/>
      </c>
      <c r="BN145" s="65" t="str">
        <f t="shared" si="366"/>
        <v/>
      </c>
      <c r="BO145" s="65" t="str">
        <f t="shared" si="367"/>
        <v/>
      </c>
      <c r="BP145" s="68" t="str">
        <f>IF('Marks Entry'!AG145="","",'Marks Entry'!AG145)</f>
        <v/>
      </c>
      <c r="BQ145" s="68" t="str">
        <f>IF('Marks Entry'!AH145="","",'Marks Entry'!AH145)</f>
        <v/>
      </c>
      <c r="BR145" s="68" t="str">
        <f>IF('Marks Entry'!AI145="","",'Marks Entry'!AI145)</f>
        <v/>
      </c>
      <c r="BS145" s="514" t="str">
        <f t="shared" si="368"/>
        <v/>
      </c>
      <c r="BT145" s="68" t="str">
        <f>IF('Marks Entry'!AJ145="","",'Marks Entry'!AJ145)</f>
        <v/>
      </c>
      <c r="BU145" s="515" t="str">
        <f t="shared" si="369"/>
        <v/>
      </c>
      <c r="BV145" s="68" t="str">
        <f>IF('Marks Entry'!AK145="","",'Marks Entry'!AK145)</f>
        <v/>
      </c>
      <c r="BW145" s="96" t="str">
        <f t="shared" si="370"/>
        <v/>
      </c>
      <c r="BX145" s="65">
        <f t="shared" si="371"/>
        <v>0</v>
      </c>
      <c r="BY145" s="65">
        <f t="shared" si="372"/>
        <v>0</v>
      </c>
      <c r="BZ145" s="66" t="str">
        <f t="shared" si="373"/>
        <v/>
      </c>
      <c r="CA145" s="65" t="str">
        <f t="shared" si="374"/>
        <v/>
      </c>
      <c r="CB145" s="65" t="str">
        <f t="shared" si="375"/>
        <v/>
      </c>
      <c r="CC145" s="65" t="str">
        <f t="shared" si="376"/>
        <v/>
      </c>
      <c r="CD145" s="66">
        <f t="shared" si="377"/>
        <v>0</v>
      </c>
      <c r="CE145" s="68" t="str">
        <f>IF('Marks Entry'!AL145="","",'Marks Entry'!AL145)</f>
        <v/>
      </c>
      <c r="CF145" s="68" t="str">
        <f>IF('Marks Entry'!AM145="","",'Marks Entry'!AM145)</f>
        <v/>
      </c>
      <c r="CG145" s="68" t="str">
        <f>IF('Marks Entry'!AN145="","",'Marks Entry'!AN145)</f>
        <v/>
      </c>
      <c r="CH145" s="514" t="str">
        <f t="shared" si="378"/>
        <v/>
      </c>
      <c r="CI145" s="68" t="str">
        <f>IF('Marks Entry'!AO145="","",'Marks Entry'!AO145)</f>
        <v/>
      </c>
      <c r="CJ145" s="515" t="str">
        <f t="shared" si="379"/>
        <v/>
      </c>
      <c r="CK145" s="68" t="str">
        <f>IF('Marks Entry'!AP145="","",'Marks Entry'!AP145)</f>
        <v/>
      </c>
      <c r="CL145" s="96" t="str">
        <f t="shared" si="380"/>
        <v/>
      </c>
      <c r="CM145" s="65">
        <f t="shared" si="381"/>
        <v>0</v>
      </c>
      <c r="CN145" s="65">
        <f t="shared" si="382"/>
        <v>0</v>
      </c>
      <c r="CO145" s="66" t="str">
        <f t="shared" si="383"/>
        <v/>
      </c>
      <c r="CP145" s="65" t="str">
        <f t="shared" si="384"/>
        <v/>
      </c>
      <c r="CQ145" s="65" t="str">
        <f t="shared" si="385"/>
        <v/>
      </c>
      <c r="CR145" s="65" t="str">
        <f t="shared" si="386"/>
        <v/>
      </c>
      <c r="CS145" s="616" t="str">
        <f>IF('School Profile'!$D$20="NO","",IF('Marks Entry'!AQ145="","",IF('Marks Entry'!AQ145=1,'School Profile'!$I$29,IF('Marks Entry'!AQ145=2,'School Profile'!$I$30,IF('Marks Entry'!AQ145=3,'School Profile'!$I$31,IF('Marks Entry'!AQ145=4,'School Profile'!$I$32,IF('Marks Entry'!AQ145=5,'School Profile'!$I$33,IF('Marks Entry'!AQ145=6,'School Profile'!$I$34,IF('Marks Entry'!AQ145=7,'School Profile'!$I$35,IF('Marks Entry'!AQ145=8,'School Profile'!$I$36,IF('Marks Entry'!AQ145=9,'School Profile'!$I$37,IF('Marks Entry'!AQ145=10,'School Profile'!$I$38,IF('Marks Entry'!AQ145=11,'School Profile'!$I$39,"")))))))))))))</f>
        <v/>
      </c>
      <c r="CT145" s="68" t="str">
        <f>IF('School Profile'!$D$20="NO","",IF('Marks Entry'!AR145="","",'Marks Entry'!AR145))</f>
        <v/>
      </c>
      <c r="CU145" s="68" t="str">
        <f>IF('School Profile'!$D$20="NO","",IF('Marks Entry'!AS145="","",'Marks Entry'!AS145))</f>
        <v/>
      </c>
      <c r="CV145" s="68" t="str">
        <f>IF('School Profile'!$D$20="NO","",IF('Marks Entry'!AT145="","",'Marks Entry'!AT145))</f>
        <v/>
      </c>
      <c r="CW145" s="514" t="str">
        <f>IF('School Profile'!$D$20="NO","",IF(AND(CT145="",CU145="",CV145=""),"",SUM(CT145:CV145)))</f>
        <v/>
      </c>
      <c r="CX145" s="68" t="str">
        <f>IF('School Profile'!$D$20="NO","",IF('Marks Entry'!AU145="","",'Marks Entry'!AU145))</f>
        <v/>
      </c>
      <c r="CY145" s="68" t="str">
        <f>IF('School Profile'!$D$20="NO","",IF('Marks Entry'!AV145="","",'Marks Entry'!AV145))</f>
        <v/>
      </c>
      <c r="CZ145" s="515" t="str">
        <f>IF('School Profile'!$D$20="NO","",IF(AND(CX145="",CY145=""),"",SUM(CX145,CY145)))</f>
        <v/>
      </c>
      <c r="DA145" s="69" t="str">
        <f>IF('School Profile'!$D$20="NO","",IF(AND(CW145="",CZ145=""),"",SUM(CW145+CZ145)))</f>
        <v/>
      </c>
      <c r="DB145" s="68" t="str">
        <f>IF('School Profile'!$D$20="NO","",IF('Marks Entry'!AW145="","",'Marks Entry'!AW145))</f>
        <v/>
      </c>
      <c r="DC145" s="68" t="str">
        <f>IF('School Profile'!$D$20="NO","",IF('Marks Entry'!AX145="","",'Marks Entry'!AX145))</f>
        <v/>
      </c>
      <c r="DD145" s="515" t="str">
        <f>IF('School Profile'!$D$20="NO","",IF(AND(DB145="",DC145=""),"",SUM(DB145,DC145)))</f>
        <v/>
      </c>
      <c r="DE145" s="96" t="str">
        <f>IF('School Profile'!$D$20="NO","",IF(AND(DA145="",DD145=""),"",SUM(DA145,DD145)))</f>
        <v/>
      </c>
      <c r="DF145" s="532">
        <f t="shared" si="387"/>
        <v>0</v>
      </c>
      <c r="DG145" s="65">
        <f t="shared" si="388"/>
        <v>0</v>
      </c>
      <c r="DH145" s="66" t="str">
        <f t="shared" si="389"/>
        <v/>
      </c>
      <c r="DI145" s="65" t="str">
        <f t="shared" si="390"/>
        <v/>
      </c>
      <c r="DJ145" s="65" t="str">
        <f t="shared" si="391"/>
        <v/>
      </c>
      <c r="DK145" s="65" t="str">
        <f t="shared" si="392"/>
        <v/>
      </c>
      <c r="DL145" s="97" t="str">
        <f t="shared" si="432"/>
        <v/>
      </c>
      <c r="DM145" s="97" t="str">
        <f t="shared" si="433"/>
        <v/>
      </c>
      <c r="DN145" s="97" t="str">
        <f t="shared" si="434"/>
        <v/>
      </c>
      <c r="DO145" s="97" t="str">
        <f t="shared" si="435"/>
        <v/>
      </c>
      <c r="DP145" s="97" t="str">
        <f t="shared" si="436"/>
        <v/>
      </c>
      <c r="DQ145" s="97" t="str">
        <f t="shared" si="437"/>
        <v/>
      </c>
      <c r="DR145" s="97" t="str">
        <f t="shared" si="438"/>
        <v/>
      </c>
      <c r="DS145" s="98">
        <f t="shared" si="439"/>
        <v>0</v>
      </c>
      <c r="DT145" s="98">
        <f t="shared" si="440"/>
        <v>0</v>
      </c>
      <c r="DU145" s="98">
        <f t="shared" si="441"/>
        <v>0</v>
      </c>
      <c r="DV145" s="98">
        <f t="shared" si="442"/>
        <v>0</v>
      </c>
      <c r="DW145" s="98">
        <f t="shared" si="443"/>
        <v>0</v>
      </c>
      <c r="DX145" s="98" t="str">
        <f t="shared" si="444"/>
        <v/>
      </c>
      <c r="DY145" s="99" t="str">
        <f t="shared" si="445"/>
        <v/>
      </c>
      <c r="DZ145" s="74" t="str">
        <f>IF('Marks Entry'!AY145="","",'Marks Entry'!AY145)</f>
        <v/>
      </c>
      <c r="EA145" s="74" t="str">
        <f>IF('Marks Entry'!AZ145="","",'Marks Entry'!AZ145)</f>
        <v/>
      </c>
      <c r="EB145" s="74" t="str">
        <f>IF('Marks Entry'!BA145="","",'Marks Entry'!BA145)</f>
        <v/>
      </c>
      <c r="EC145" s="527" t="str">
        <f t="shared" si="393"/>
        <v/>
      </c>
      <c r="ED145" s="74" t="str">
        <f>IF('Marks Entry'!BB145="","",'Marks Entry'!BB145)</f>
        <v/>
      </c>
      <c r="EE145" s="528" t="str">
        <f t="shared" si="394"/>
        <v/>
      </c>
      <c r="EF145" s="74" t="str">
        <f>IF('Marks Entry'!BC145="","",'Marks Entry'!BC145)</f>
        <v/>
      </c>
      <c r="EG145" s="530" t="str">
        <f t="shared" si="395"/>
        <v/>
      </c>
      <c r="EH145" s="368" t="str">
        <f t="shared" si="446"/>
        <v/>
      </c>
      <c r="EI145" s="65">
        <f t="shared" si="447"/>
        <v>0</v>
      </c>
      <c r="EJ145" s="65">
        <f t="shared" si="448"/>
        <v>0</v>
      </c>
      <c r="EK145" s="66" t="str">
        <f t="shared" si="449"/>
        <v/>
      </c>
      <c r="EL145" s="74" t="str">
        <f>IF('Marks Entry'!BD145="","",'Marks Entry'!BD145)</f>
        <v/>
      </c>
      <c r="EM145" s="74" t="str">
        <f>IF('Marks Entry'!BE145="","",'Marks Entry'!BE145)</f>
        <v/>
      </c>
      <c r="EN145" s="74" t="str">
        <f>IF('Marks Entry'!BF145="","",'Marks Entry'!BF145)</f>
        <v/>
      </c>
      <c r="EO145" s="527" t="str">
        <f t="shared" si="396"/>
        <v/>
      </c>
      <c r="EP145" s="74" t="str">
        <f>IF('Marks Entry'!BG145="","",'Marks Entry'!BG145)</f>
        <v/>
      </c>
      <c r="EQ145" s="74" t="str">
        <f>IF('Marks Entry'!BH145="","",'Marks Entry'!BH145)</f>
        <v/>
      </c>
      <c r="ER145" s="528" t="str">
        <f t="shared" si="397"/>
        <v/>
      </c>
      <c r="ES145" s="529" t="str">
        <f t="shared" si="398"/>
        <v/>
      </c>
      <c r="ET145" s="74" t="str">
        <f>IF('Marks Entry'!BI145="","",'Marks Entry'!BI145)</f>
        <v/>
      </c>
      <c r="EU145" s="74" t="str">
        <f>IF('Marks Entry'!BJ145="","",'Marks Entry'!BJ145)</f>
        <v/>
      </c>
      <c r="EV145" s="528" t="str">
        <f t="shared" si="399"/>
        <v/>
      </c>
      <c r="EW145" s="530" t="str">
        <f t="shared" si="400"/>
        <v/>
      </c>
      <c r="EX145" s="368" t="str">
        <f t="shared" si="450"/>
        <v/>
      </c>
      <c r="EY145" s="65">
        <f t="shared" si="451"/>
        <v>0</v>
      </c>
      <c r="EZ145" s="65">
        <f t="shared" si="452"/>
        <v>0</v>
      </c>
      <c r="FA145" s="66" t="str">
        <f t="shared" si="453"/>
        <v/>
      </c>
      <c r="FB145" s="74" t="str">
        <f>IF('Marks Entry'!BK145="","",'Marks Entry'!BK145)</f>
        <v/>
      </c>
      <c r="FC145" s="74" t="str">
        <f>IF('Marks Entry'!BL145="","",'Marks Entry'!BL145)</f>
        <v/>
      </c>
      <c r="FD145" s="74" t="str">
        <f>IF('Marks Entry'!BM145="","",'Marks Entry'!BM145)</f>
        <v/>
      </c>
      <c r="FE145" s="74" t="str">
        <f>IF('Marks Entry'!BN145="","",'Marks Entry'!BN145)</f>
        <v/>
      </c>
      <c r="FF145" s="74" t="str">
        <f>IF('Marks Entry'!BO145="","",'Marks Entry'!BO145)</f>
        <v/>
      </c>
      <c r="FG145" s="74" t="str">
        <f>IF('Marks Entry'!BP145="","",'Marks Entry'!BP145)</f>
        <v/>
      </c>
      <c r="FH145" s="527" t="str">
        <f t="shared" si="401"/>
        <v/>
      </c>
      <c r="FI145" s="74" t="str">
        <f>IF('Marks Entry'!BQ145="","",'Marks Entry'!BQ145)</f>
        <v/>
      </c>
      <c r="FJ145" s="74" t="str">
        <f>IF('Marks Entry'!BR145="","",'Marks Entry'!BR145)</f>
        <v/>
      </c>
      <c r="FK145" s="528" t="str">
        <f t="shared" si="402"/>
        <v/>
      </c>
      <c r="FL145" s="529" t="str">
        <f t="shared" si="403"/>
        <v/>
      </c>
      <c r="FM145" s="74" t="str">
        <f>IF('Marks Entry'!BS145="","",'Marks Entry'!BS145)</f>
        <v/>
      </c>
      <c r="FN145" s="74" t="str">
        <f>IF('Marks Entry'!BT145="","",'Marks Entry'!BT145)</f>
        <v/>
      </c>
      <c r="FO145" s="528" t="str">
        <f t="shared" si="404"/>
        <v/>
      </c>
      <c r="FP145" s="530" t="str">
        <f t="shared" si="405"/>
        <v/>
      </c>
      <c r="FQ145" s="368" t="str">
        <f t="shared" si="454"/>
        <v/>
      </c>
      <c r="FR145" s="65">
        <f t="shared" si="455"/>
        <v>0</v>
      </c>
      <c r="FS145" s="65">
        <f t="shared" si="456"/>
        <v>0</v>
      </c>
      <c r="FT145" s="66" t="str">
        <f t="shared" si="457"/>
        <v/>
      </c>
      <c r="FU145" s="74" t="str">
        <f>IF('Marks Entry'!BU145="","",'Marks Entry'!BU145)</f>
        <v/>
      </c>
      <c r="FV145" s="74" t="str">
        <f>IF('Marks Entry'!BV145="","",'Marks Entry'!BV145)</f>
        <v/>
      </c>
      <c r="FW145" s="74" t="str">
        <f>IF('Marks Entry'!BW145="","",'Marks Entry'!BW145)</f>
        <v/>
      </c>
      <c r="FX145" s="75" t="str">
        <f t="shared" si="406"/>
        <v/>
      </c>
      <c r="FY145" s="368" t="str">
        <f t="shared" si="458"/>
        <v/>
      </c>
      <c r="FZ145" s="65">
        <f t="shared" si="459"/>
        <v>0</v>
      </c>
      <c r="GA145" s="66">
        <f t="shared" si="460"/>
        <v>0</v>
      </c>
      <c r="GB145" s="66" t="str">
        <f t="shared" si="461"/>
        <v/>
      </c>
      <c r="GC145" s="74" t="str">
        <f>IF('Marks Entry'!BX145="","",'Marks Entry'!BX145)</f>
        <v/>
      </c>
      <c r="GD145" s="74" t="str">
        <f>IF('Marks Entry'!BY145="","",'Marks Entry'!BY145)</f>
        <v/>
      </c>
      <c r="GE145" s="74" t="str">
        <f>IF('Marks Entry'!BZ145="","",'Marks Entry'!BZ145)</f>
        <v/>
      </c>
      <c r="GF145" s="75" t="str">
        <f t="shared" si="462"/>
        <v/>
      </c>
      <c r="GG145" s="368" t="str">
        <f t="shared" si="463"/>
        <v/>
      </c>
      <c r="GH145" s="65">
        <f t="shared" si="464"/>
        <v>0</v>
      </c>
      <c r="GI145" s="66">
        <f t="shared" si="465"/>
        <v>0</v>
      </c>
      <c r="GJ145" s="66" t="str">
        <f t="shared" si="466"/>
        <v/>
      </c>
      <c r="GK145" s="100" t="str">
        <f>IF(AND(F145="",B145=""),"",IF('Student DATA Entry'!M142="","",'Student DATA Entry'!M142))</f>
        <v/>
      </c>
      <c r="GL145" s="101" t="str">
        <f>IF(AND(B145="",F145=""),"",IF('Student DATA Entry'!N142="","",'Student DATA Entry'!N142))</f>
        <v/>
      </c>
      <c r="GM145" s="581" t="str">
        <f t="shared" si="467"/>
        <v/>
      </c>
      <c r="GN145" s="94" t="str">
        <f t="shared" si="468"/>
        <v/>
      </c>
      <c r="GO145" s="94" t="str">
        <f t="shared" si="469"/>
        <v/>
      </c>
      <c r="GP145" s="102" t="str">
        <f t="shared" si="407"/>
        <v/>
      </c>
      <c r="GQ145" s="94" t="str">
        <f t="shared" si="470"/>
        <v/>
      </c>
      <c r="GR145" s="103" t="str">
        <f t="shared" si="471"/>
        <v/>
      </c>
      <c r="GS145" s="102" t="str">
        <f t="shared" si="408"/>
        <v/>
      </c>
      <c r="GT145" s="104" t="str">
        <f t="shared" si="472"/>
        <v/>
      </c>
      <c r="GU145" s="94" t="str">
        <f>IF('Marks Entry'!V145=1,GT145,"")</f>
        <v/>
      </c>
      <c r="GV145" s="94" t="str">
        <f>IF('Marks Entry'!V145=2,GT145,"")</f>
        <v/>
      </c>
      <c r="GW145" s="94" t="str">
        <f>IF('Marks Entry'!V145=3,GT145,"")</f>
        <v/>
      </c>
      <c r="GX145" s="94" t="str">
        <f>IF('Marks Entry'!V145=4,GT145,"")</f>
        <v/>
      </c>
      <c r="GY145" s="94" t="str">
        <f>IF('Marks Entry'!V145=5,GT145,"")</f>
        <v/>
      </c>
      <c r="GZ145" s="94" t="str">
        <f t="shared" si="473"/>
        <v/>
      </c>
      <c r="HA145" s="105" t="str">
        <f t="shared" si="409"/>
        <v/>
      </c>
      <c r="HB145" s="94" t="str">
        <f t="shared" si="474"/>
        <v/>
      </c>
      <c r="HC145" s="94" t="str">
        <f t="shared" si="475"/>
        <v/>
      </c>
      <c r="HD145" s="105" t="str">
        <f t="shared" si="410"/>
        <v/>
      </c>
      <c r="HE145" s="94" t="str">
        <f t="shared" si="476"/>
        <v/>
      </c>
      <c r="HF145" s="94" t="str">
        <f t="shared" si="477"/>
        <v/>
      </c>
      <c r="HG145" s="105" t="str">
        <f t="shared" si="411"/>
        <v/>
      </c>
      <c r="HH145" s="94" t="str">
        <f t="shared" si="478"/>
        <v/>
      </c>
      <c r="HI145" s="94" t="str">
        <f t="shared" si="479"/>
        <v/>
      </c>
      <c r="HJ145" s="105" t="str">
        <f t="shared" si="412"/>
        <v/>
      </c>
      <c r="HK145" s="94" t="str">
        <f t="shared" si="480"/>
        <v/>
      </c>
      <c r="HL145" s="94" t="str">
        <f t="shared" si="481"/>
        <v/>
      </c>
      <c r="HM145" s="105" t="str">
        <f t="shared" si="413"/>
        <v/>
      </c>
      <c r="HN145" s="367" t="str">
        <f t="shared" si="482"/>
        <v xml:space="preserve">      </v>
      </c>
      <c r="HO145" s="418" t="str">
        <f t="shared" si="414"/>
        <v xml:space="preserve">      </v>
      </c>
      <c r="HP145" s="367" t="str">
        <f t="shared" si="483"/>
        <v xml:space="preserve">      </v>
      </c>
      <c r="HQ145" s="107" t="str">
        <f t="shared" si="484"/>
        <v xml:space="preserve">      </v>
      </c>
      <c r="HR145" s="366" t="str">
        <f t="shared" si="485"/>
        <v xml:space="preserve">      </v>
      </c>
      <c r="HS145" s="544" t="str">
        <f t="shared" si="415"/>
        <v/>
      </c>
      <c r="HT145" s="542" t="str">
        <f t="shared" si="486"/>
        <v/>
      </c>
      <c r="HU145" s="541" t="str">
        <f t="shared" si="487"/>
        <v/>
      </c>
      <c r="HV145" s="540" t="str">
        <f t="shared" si="488"/>
        <v/>
      </c>
      <c r="HW145" s="537" t="str">
        <f t="shared" si="489"/>
        <v/>
      </c>
      <c r="HX145" s="539" t="str">
        <f t="shared" si="490"/>
        <v/>
      </c>
      <c r="HY145" s="553" t="str">
        <f>IFERROR(IF(OR(HS145="SUPPLEMENTARY",HS145="RE-EXAM"),'Supp. Result Entry'!AQ143,""),"")</f>
        <v/>
      </c>
      <c r="HZ145" s="538" t="str">
        <f t="shared" si="491"/>
        <v/>
      </c>
      <c r="IA145" s="415" t="str">
        <f t="shared" si="492"/>
        <v/>
      </c>
      <c r="IB145" s="415" t="str">
        <f>IF(AND(HZ145="",IA145=""),"",IF(OR(HS145="SUPPLEMENTARY",HS145="RE-EXAM"),'Supp. Result Entry'!AQ143,HS145))</f>
        <v/>
      </c>
      <c r="IC145" s="87"/>
      <c r="IS145" s="109" t="str">
        <f>IF('Supp. Result Entry'!T143="","",'Supp. Result Entry'!$T$4)</f>
        <v/>
      </c>
      <c r="IT145" s="110" t="str">
        <f>IF('Supp. Result Entry'!W143="","",'Supp. Result Entry'!$W$4)</f>
        <v/>
      </c>
      <c r="IU145" s="110" t="str">
        <f>IF('Supp. Result Entry'!Z143="","",'Supp. Result Entry'!$Z$4)</f>
        <v/>
      </c>
      <c r="IV145" s="110" t="str">
        <f>IF('Supp. Result Entry'!AC143="","",'Supp. Result Entry'!$AC$4)</f>
        <v/>
      </c>
      <c r="IW145" s="110" t="str">
        <f>IF('Supp. Result Entry'!AF143="","",'Supp. Result Entry'!$AF$4)</f>
        <v/>
      </c>
      <c r="IX145" s="110" t="str">
        <f>IF('Supp. Result Entry'!AI143="","",'Supp. Result Entry'!$AI$4)</f>
        <v/>
      </c>
      <c r="IY145" s="110" t="str">
        <f>IF('Supp. Result Entry'!AI143="","",'Supp. Result Entry'!$AL$4)</f>
        <v/>
      </c>
      <c r="IZ145" s="110" t="str">
        <f>IF('Supp. Result Entry'!U143="","",'Supp. Result Entry'!U143)</f>
        <v/>
      </c>
      <c r="JA145" s="110" t="str">
        <f>IF('Supp. Result Entry'!X143="","",'Supp. Result Entry'!X143)</f>
        <v/>
      </c>
      <c r="JB145" s="110" t="str">
        <f>IF('Supp. Result Entry'!AA143="","",'Supp. Result Entry'!AA143)</f>
        <v/>
      </c>
      <c r="JC145" s="110" t="str">
        <f>IF('Supp. Result Entry'!AD143="","",'Supp. Result Entry'!AD143)</f>
        <v/>
      </c>
      <c r="JD145" s="110" t="str">
        <f>IF('Supp. Result Entry'!AG143="","",'Supp. Result Entry'!AG143)</f>
        <v/>
      </c>
      <c r="JE145" s="110" t="str">
        <f>IF('Supp. Result Entry'!AJ143="","",'Supp. Result Entry'!AJ143)</f>
        <v/>
      </c>
      <c r="JF145" s="110" t="str">
        <f>IF('Supp. Result Entry'!AM143="","",'Supp. Result Entry'!AM143)</f>
        <v/>
      </c>
      <c r="JG145" s="110" t="str">
        <f>IF('Supp. Result Entry'!V143="","",'Supp. Result Entry'!V143)</f>
        <v/>
      </c>
      <c r="JH145" s="110" t="str">
        <f>IF('Supp. Result Entry'!Y143="","",'Supp. Result Entry'!Y143)</f>
        <v/>
      </c>
      <c r="JI145" s="110" t="str">
        <f>IF('Supp. Result Entry'!AB143="","",'Supp. Result Entry'!AB143)</f>
        <v/>
      </c>
      <c r="JJ145" s="110" t="str">
        <f>IF('Supp. Result Entry'!AE143="","",'Supp. Result Entry'!AE143)</f>
        <v/>
      </c>
      <c r="JK145" s="110" t="str">
        <f>IF('Supp. Result Entry'!AH143="","",'Supp. Result Entry'!AH143)</f>
        <v/>
      </c>
      <c r="JL145" s="110" t="str">
        <f>IF('Supp. Result Entry'!AK143="","",'Supp. Result Entry'!AK143)</f>
        <v/>
      </c>
      <c r="JM145" s="110" t="str">
        <f>IF('Supp. Result Entry'!AN143="","",'Supp. Result Entry'!AN143)</f>
        <v/>
      </c>
      <c r="JN145" s="110">
        <f>COUNTIF('Supp. Result Entry'!K143:Q143,"S")</f>
        <v>0</v>
      </c>
      <c r="JO145" s="110">
        <f t="shared" si="416"/>
        <v>0</v>
      </c>
      <c r="JP145" s="110">
        <f t="shared" si="493"/>
        <v>0</v>
      </c>
      <c r="JQ145" s="110" t="str">
        <f t="shared" si="417"/>
        <v/>
      </c>
      <c r="JR145" s="110" t="str">
        <f t="shared" si="418"/>
        <v/>
      </c>
      <c r="JS145" s="110" t="str">
        <f t="shared" si="419"/>
        <v/>
      </c>
      <c r="JT145" s="110" t="str">
        <f t="shared" si="420"/>
        <v/>
      </c>
      <c r="JU145" s="110" t="str">
        <f t="shared" si="421"/>
        <v/>
      </c>
      <c r="JV145" s="110" t="str">
        <f t="shared" si="422"/>
        <v/>
      </c>
      <c r="JW145" s="110" t="str">
        <f t="shared" si="423"/>
        <v/>
      </c>
      <c r="JX145" s="110" t="str">
        <f t="shared" si="494"/>
        <v/>
      </c>
      <c r="JY145" s="110" t="str">
        <f t="shared" si="495"/>
        <v/>
      </c>
      <c r="JZ145" s="110" t="str">
        <f t="shared" si="424"/>
        <v/>
      </c>
      <c r="KA145" s="108" t="str">
        <f t="shared" si="496"/>
        <v/>
      </c>
    </row>
    <row r="146" spans="1:287" s="108" customFormat="1" ht="21.95" customHeight="1">
      <c r="A146" s="89">
        <v>140</v>
      </c>
      <c r="B146" s="90" t="str">
        <f>IF('Marks Entry'!B146="","",'Marks Entry'!B146)</f>
        <v/>
      </c>
      <c r="C146" s="94" t="str">
        <f>IF('Marks Entry'!D146="","",'Marks Entry'!D146)</f>
        <v/>
      </c>
      <c r="D146" s="91" t="str">
        <f>IF('Marks Entry'!E146="","",'Marks Entry'!E146)</f>
        <v/>
      </c>
      <c r="E146" s="92" t="str">
        <f>IF('Marks Entry'!F146="","",'Marks Entry'!F146)</f>
        <v/>
      </c>
      <c r="F146" s="93" t="str">
        <f>IF('Marks Entry'!G146="","",'Marks Entry'!G146)</f>
        <v/>
      </c>
      <c r="G146" s="93" t="str">
        <f>IF('Marks Entry'!H146="","",'Marks Entry'!H146)</f>
        <v/>
      </c>
      <c r="H146" s="93" t="str">
        <f>IF('Marks Entry'!I146="","",'Marks Entry'!I146)</f>
        <v/>
      </c>
      <c r="I146" s="94" t="str">
        <f>IF('Marks Entry'!J146="","",'Marks Entry'!J146)</f>
        <v/>
      </c>
      <c r="J146" s="95" t="str">
        <f>IF('Marks Entry'!K146="","",'Marks Entry'!K146)</f>
        <v/>
      </c>
      <c r="K146" s="68" t="str">
        <f>IF('Marks Entry'!L146="","",'Marks Entry'!L146)</f>
        <v/>
      </c>
      <c r="L146" s="68" t="str">
        <f>IF('Marks Entry'!M146="","",'Marks Entry'!M146)</f>
        <v/>
      </c>
      <c r="M146" s="68" t="str">
        <f>IF('Marks Entry'!N146="","",'Marks Entry'!N146)</f>
        <v/>
      </c>
      <c r="N146" s="514" t="str">
        <f t="shared" si="425"/>
        <v/>
      </c>
      <c r="O146" s="68" t="str">
        <f>IF('Marks Entry'!O146="","",'Marks Entry'!O146)</f>
        <v/>
      </c>
      <c r="P146" s="515" t="str">
        <f t="shared" si="426"/>
        <v/>
      </c>
      <c r="Q146" s="68" t="str">
        <f>IF('Marks Entry'!P146="","",'Marks Entry'!P146)</f>
        <v/>
      </c>
      <c r="R146" s="96" t="str">
        <f t="shared" si="427"/>
        <v/>
      </c>
      <c r="S146" s="65">
        <f t="shared" si="428"/>
        <v>0</v>
      </c>
      <c r="T146" s="65">
        <f t="shared" si="429"/>
        <v>0</v>
      </c>
      <c r="U146" s="66" t="str">
        <f t="shared" si="339"/>
        <v/>
      </c>
      <c r="V146" s="65" t="str">
        <f t="shared" si="340"/>
        <v/>
      </c>
      <c r="W146" s="65" t="str">
        <f t="shared" si="430"/>
        <v/>
      </c>
      <c r="X146" s="65" t="str">
        <f t="shared" si="341"/>
        <v/>
      </c>
      <c r="Y146" s="68" t="str">
        <f>IF('Marks Entry'!Q146="","",'Marks Entry'!Q146)</f>
        <v/>
      </c>
      <c r="Z146" s="68" t="str">
        <f>IF('Marks Entry'!R146="","",'Marks Entry'!R146)</f>
        <v/>
      </c>
      <c r="AA146" s="68" t="str">
        <f>IF('Marks Entry'!S146="","",'Marks Entry'!S146)</f>
        <v/>
      </c>
      <c r="AB146" s="514" t="str">
        <f t="shared" si="342"/>
        <v/>
      </c>
      <c r="AC146" s="68" t="str">
        <f>IF('Marks Entry'!T146="","",'Marks Entry'!T146)</f>
        <v/>
      </c>
      <c r="AD146" s="515" t="str">
        <f t="shared" si="343"/>
        <v/>
      </c>
      <c r="AE146" s="68" t="str">
        <f>IF('Marks Entry'!U146="","",'Marks Entry'!U146)</f>
        <v/>
      </c>
      <c r="AF146" s="96" t="str">
        <f t="shared" si="344"/>
        <v/>
      </c>
      <c r="AG146" s="65">
        <f t="shared" si="345"/>
        <v>0</v>
      </c>
      <c r="AH146" s="65">
        <f t="shared" si="346"/>
        <v>0</v>
      </c>
      <c r="AI146" s="66" t="str">
        <f t="shared" si="347"/>
        <v/>
      </c>
      <c r="AJ146" s="65" t="str">
        <f t="shared" si="348"/>
        <v/>
      </c>
      <c r="AK146" s="65" t="str">
        <f t="shared" si="349"/>
        <v/>
      </c>
      <c r="AL146" s="65" t="str">
        <f t="shared" si="350"/>
        <v/>
      </c>
      <c r="AM146" s="524" t="str">
        <f>IF('Marks Entry'!V146="","",IF('Marks Entry'!V146=1,'School Profile'!$I$9,IF('Marks Entry'!V146=2,'School Profile'!$I$10,IF('Marks Entry'!V146=3,'School Profile'!$I$11,IF('Marks Entry'!V146=4,'School Profile'!$I$12,IF('Marks Entry'!V146=5,'School Profile'!$I$13,IF('Marks Entry'!V146=6,'School Profile'!$I$14,"")))))))</f>
        <v/>
      </c>
      <c r="AN146" s="68" t="str">
        <f>IF('Marks Entry'!W146="","",'Marks Entry'!W146)</f>
        <v/>
      </c>
      <c r="AO146" s="68" t="str">
        <f>IF('Marks Entry'!X146="","",'Marks Entry'!X146)</f>
        <v/>
      </c>
      <c r="AP146" s="68" t="str">
        <f>IF('Marks Entry'!Y146="","",'Marks Entry'!Y146)</f>
        <v/>
      </c>
      <c r="AQ146" s="514" t="str">
        <f t="shared" si="351"/>
        <v/>
      </c>
      <c r="AR146" s="68" t="str">
        <f>IF('Marks Entry'!Z146="","",'Marks Entry'!Z146)</f>
        <v/>
      </c>
      <c r="AS146" s="515" t="str">
        <f t="shared" si="352"/>
        <v/>
      </c>
      <c r="AT146" s="68" t="str">
        <f>IF('Marks Entry'!AA146="","",'Marks Entry'!AA146)</f>
        <v/>
      </c>
      <c r="AU146" s="96" t="str">
        <f t="shared" si="353"/>
        <v/>
      </c>
      <c r="AV146" s="65">
        <f t="shared" si="354"/>
        <v>0</v>
      </c>
      <c r="AW146" s="65">
        <f t="shared" si="355"/>
        <v>0</v>
      </c>
      <c r="AX146" s="66" t="str">
        <f t="shared" si="356"/>
        <v/>
      </c>
      <c r="AY146" s="65" t="str">
        <f t="shared" si="357"/>
        <v/>
      </c>
      <c r="AZ146" s="65" t="str">
        <f t="shared" si="358"/>
        <v/>
      </c>
      <c r="BA146" s="65" t="str">
        <f t="shared" si="359"/>
        <v/>
      </c>
      <c r="BB146" s="68" t="str">
        <f>IF('Marks Entry'!AB146="","",'Marks Entry'!AB146)</f>
        <v/>
      </c>
      <c r="BC146" s="68" t="str">
        <f>IF('Marks Entry'!AC146="","",'Marks Entry'!AC146)</f>
        <v/>
      </c>
      <c r="BD146" s="68" t="str">
        <f>IF('Marks Entry'!AD146="","",'Marks Entry'!AD146)</f>
        <v/>
      </c>
      <c r="BE146" s="514" t="str">
        <f t="shared" si="360"/>
        <v/>
      </c>
      <c r="BF146" s="68" t="str">
        <f>IF('Marks Entry'!AE146="","",'Marks Entry'!AE146)</f>
        <v/>
      </c>
      <c r="BG146" s="515" t="str">
        <f t="shared" si="361"/>
        <v/>
      </c>
      <c r="BH146" s="68" t="str">
        <f>IF('Marks Entry'!AF146="","",'Marks Entry'!AF146)</f>
        <v/>
      </c>
      <c r="BI146" s="96" t="str">
        <f t="shared" si="362"/>
        <v/>
      </c>
      <c r="BJ146" s="65">
        <f t="shared" si="363"/>
        <v>0</v>
      </c>
      <c r="BK146" s="65">
        <f t="shared" si="431"/>
        <v>0</v>
      </c>
      <c r="BL146" s="66" t="str">
        <f t="shared" si="364"/>
        <v/>
      </c>
      <c r="BM146" s="65" t="str">
        <f t="shared" si="365"/>
        <v/>
      </c>
      <c r="BN146" s="65" t="str">
        <f t="shared" si="366"/>
        <v/>
      </c>
      <c r="BO146" s="65" t="str">
        <f t="shared" si="367"/>
        <v/>
      </c>
      <c r="BP146" s="68" t="str">
        <f>IF('Marks Entry'!AG146="","",'Marks Entry'!AG146)</f>
        <v/>
      </c>
      <c r="BQ146" s="68" t="str">
        <f>IF('Marks Entry'!AH146="","",'Marks Entry'!AH146)</f>
        <v/>
      </c>
      <c r="BR146" s="68" t="str">
        <f>IF('Marks Entry'!AI146="","",'Marks Entry'!AI146)</f>
        <v/>
      </c>
      <c r="BS146" s="514" t="str">
        <f t="shared" si="368"/>
        <v/>
      </c>
      <c r="BT146" s="68" t="str">
        <f>IF('Marks Entry'!AJ146="","",'Marks Entry'!AJ146)</f>
        <v/>
      </c>
      <c r="BU146" s="515" t="str">
        <f t="shared" si="369"/>
        <v/>
      </c>
      <c r="BV146" s="68" t="str">
        <f>IF('Marks Entry'!AK146="","",'Marks Entry'!AK146)</f>
        <v/>
      </c>
      <c r="BW146" s="96" t="str">
        <f t="shared" si="370"/>
        <v/>
      </c>
      <c r="BX146" s="65">
        <f t="shared" si="371"/>
        <v>0</v>
      </c>
      <c r="BY146" s="65">
        <f t="shared" si="372"/>
        <v>0</v>
      </c>
      <c r="BZ146" s="66" t="str">
        <f t="shared" si="373"/>
        <v/>
      </c>
      <c r="CA146" s="65" t="str">
        <f t="shared" si="374"/>
        <v/>
      </c>
      <c r="CB146" s="65" t="str">
        <f t="shared" si="375"/>
        <v/>
      </c>
      <c r="CC146" s="65" t="str">
        <f t="shared" si="376"/>
        <v/>
      </c>
      <c r="CD146" s="66">
        <f t="shared" si="377"/>
        <v>0</v>
      </c>
      <c r="CE146" s="68" t="str">
        <f>IF('Marks Entry'!AL146="","",'Marks Entry'!AL146)</f>
        <v/>
      </c>
      <c r="CF146" s="68" t="str">
        <f>IF('Marks Entry'!AM146="","",'Marks Entry'!AM146)</f>
        <v/>
      </c>
      <c r="CG146" s="68" t="str">
        <f>IF('Marks Entry'!AN146="","",'Marks Entry'!AN146)</f>
        <v/>
      </c>
      <c r="CH146" s="514" t="str">
        <f t="shared" si="378"/>
        <v/>
      </c>
      <c r="CI146" s="68" t="str">
        <f>IF('Marks Entry'!AO146="","",'Marks Entry'!AO146)</f>
        <v/>
      </c>
      <c r="CJ146" s="515" t="str">
        <f t="shared" si="379"/>
        <v/>
      </c>
      <c r="CK146" s="68" t="str">
        <f>IF('Marks Entry'!AP146="","",'Marks Entry'!AP146)</f>
        <v/>
      </c>
      <c r="CL146" s="96" t="str">
        <f t="shared" si="380"/>
        <v/>
      </c>
      <c r="CM146" s="65">
        <f t="shared" si="381"/>
        <v>0</v>
      </c>
      <c r="CN146" s="65">
        <f t="shared" si="382"/>
        <v>0</v>
      </c>
      <c r="CO146" s="66" t="str">
        <f t="shared" si="383"/>
        <v/>
      </c>
      <c r="CP146" s="65" t="str">
        <f t="shared" si="384"/>
        <v/>
      </c>
      <c r="CQ146" s="65" t="str">
        <f t="shared" si="385"/>
        <v/>
      </c>
      <c r="CR146" s="65" t="str">
        <f t="shared" si="386"/>
        <v/>
      </c>
      <c r="CS146" s="616" t="str">
        <f>IF('School Profile'!$D$20="NO","",IF('Marks Entry'!AQ146="","",IF('Marks Entry'!AQ146=1,'School Profile'!$I$29,IF('Marks Entry'!AQ146=2,'School Profile'!$I$30,IF('Marks Entry'!AQ146=3,'School Profile'!$I$31,IF('Marks Entry'!AQ146=4,'School Profile'!$I$32,IF('Marks Entry'!AQ146=5,'School Profile'!$I$33,IF('Marks Entry'!AQ146=6,'School Profile'!$I$34,IF('Marks Entry'!AQ146=7,'School Profile'!$I$35,IF('Marks Entry'!AQ146=8,'School Profile'!$I$36,IF('Marks Entry'!AQ146=9,'School Profile'!$I$37,IF('Marks Entry'!AQ146=10,'School Profile'!$I$38,IF('Marks Entry'!AQ146=11,'School Profile'!$I$39,"")))))))))))))</f>
        <v/>
      </c>
      <c r="CT146" s="68" t="str">
        <f>IF('School Profile'!$D$20="NO","",IF('Marks Entry'!AR146="","",'Marks Entry'!AR146))</f>
        <v/>
      </c>
      <c r="CU146" s="68" t="str">
        <f>IF('School Profile'!$D$20="NO","",IF('Marks Entry'!AS146="","",'Marks Entry'!AS146))</f>
        <v/>
      </c>
      <c r="CV146" s="68" t="str">
        <f>IF('School Profile'!$D$20="NO","",IF('Marks Entry'!AT146="","",'Marks Entry'!AT146))</f>
        <v/>
      </c>
      <c r="CW146" s="514" t="str">
        <f>IF('School Profile'!$D$20="NO","",IF(AND(CT146="",CU146="",CV146=""),"",SUM(CT146:CV146)))</f>
        <v/>
      </c>
      <c r="CX146" s="68" t="str">
        <f>IF('School Profile'!$D$20="NO","",IF('Marks Entry'!AU146="","",'Marks Entry'!AU146))</f>
        <v/>
      </c>
      <c r="CY146" s="68" t="str">
        <f>IF('School Profile'!$D$20="NO","",IF('Marks Entry'!AV146="","",'Marks Entry'!AV146))</f>
        <v/>
      </c>
      <c r="CZ146" s="515" t="str">
        <f>IF('School Profile'!$D$20="NO","",IF(AND(CX146="",CY146=""),"",SUM(CX146,CY146)))</f>
        <v/>
      </c>
      <c r="DA146" s="69" t="str">
        <f>IF('School Profile'!$D$20="NO","",IF(AND(CW146="",CZ146=""),"",SUM(CW146+CZ146)))</f>
        <v/>
      </c>
      <c r="DB146" s="68" t="str">
        <f>IF('School Profile'!$D$20="NO","",IF('Marks Entry'!AW146="","",'Marks Entry'!AW146))</f>
        <v/>
      </c>
      <c r="DC146" s="68" t="str">
        <f>IF('School Profile'!$D$20="NO","",IF('Marks Entry'!AX146="","",'Marks Entry'!AX146))</f>
        <v/>
      </c>
      <c r="DD146" s="515" t="str">
        <f>IF('School Profile'!$D$20="NO","",IF(AND(DB146="",DC146=""),"",SUM(DB146,DC146)))</f>
        <v/>
      </c>
      <c r="DE146" s="96" t="str">
        <f>IF('School Profile'!$D$20="NO","",IF(AND(DA146="",DD146=""),"",SUM(DA146,DD146)))</f>
        <v/>
      </c>
      <c r="DF146" s="532">
        <f t="shared" si="387"/>
        <v>0</v>
      </c>
      <c r="DG146" s="65">
        <f t="shared" si="388"/>
        <v>0</v>
      </c>
      <c r="DH146" s="66" t="str">
        <f t="shared" si="389"/>
        <v/>
      </c>
      <c r="DI146" s="65" t="str">
        <f t="shared" si="390"/>
        <v/>
      </c>
      <c r="DJ146" s="65" t="str">
        <f t="shared" si="391"/>
        <v/>
      </c>
      <c r="DK146" s="65" t="str">
        <f t="shared" si="392"/>
        <v/>
      </c>
      <c r="DL146" s="97" t="str">
        <f t="shared" si="432"/>
        <v/>
      </c>
      <c r="DM146" s="97" t="str">
        <f t="shared" si="433"/>
        <v/>
      </c>
      <c r="DN146" s="97" t="str">
        <f t="shared" si="434"/>
        <v/>
      </c>
      <c r="DO146" s="97" t="str">
        <f t="shared" si="435"/>
        <v/>
      </c>
      <c r="DP146" s="97" t="str">
        <f t="shared" si="436"/>
        <v/>
      </c>
      <c r="DQ146" s="97" t="str">
        <f t="shared" si="437"/>
        <v/>
      </c>
      <c r="DR146" s="97" t="str">
        <f t="shared" si="438"/>
        <v/>
      </c>
      <c r="DS146" s="98">
        <f t="shared" si="439"/>
        <v>0</v>
      </c>
      <c r="DT146" s="98">
        <f t="shared" si="440"/>
        <v>0</v>
      </c>
      <c r="DU146" s="98">
        <f t="shared" si="441"/>
        <v>0</v>
      </c>
      <c r="DV146" s="98">
        <f t="shared" si="442"/>
        <v>0</v>
      </c>
      <c r="DW146" s="98">
        <f t="shared" si="443"/>
        <v>0</v>
      </c>
      <c r="DX146" s="98" t="str">
        <f t="shared" si="444"/>
        <v/>
      </c>
      <c r="DY146" s="99" t="str">
        <f t="shared" si="445"/>
        <v/>
      </c>
      <c r="DZ146" s="74" t="str">
        <f>IF('Marks Entry'!AY146="","",'Marks Entry'!AY146)</f>
        <v/>
      </c>
      <c r="EA146" s="74" t="str">
        <f>IF('Marks Entry'!AZ146="","",'Marks Entry'!AZ146)</f>
        <v/>
      </c>
      <c r="EB146" s="74" t="str">
        <f>IF('Marks Entry'!BA146="","",'Marks Entry'!BA146)</f>
        <v/>
      </c>
      <c r="EC146" s="527" t="str">
        <f t="shared" si="393"/>
        <v/>
      </c>
      <c r="ED146" s="74" t="str">
        <f>IF('Marks Entry'!BB146="","",'Marks Entry'!BB146)</f>
        <v/>
      </c>
      <c r="EE146" s="528" t="str">
        <f t="shared" si="394"/>
        <v/>
      </c>
      <c r="EF146" s="74" t="str">
        <f>IF('Marks Entry'!BC146="","",'Marks Entry'!BC146)</f>
        <v/>
      </c>
      <c r="EG146" s="530" t="str">
        <f t="shared" si="395"/>
        <v/>
      </c>
      <c r="EH146" s="368" t="str">
        <f t="shared" si="446"/>
        <v/>
      </c>
      <c r="EI146" s="65">
        <f t="shared" si="447"/>
        <v>0</v>
      </c>
      <c r="EJ146" s="65">
        <f t="shared" si="448"/>
        <v>0</v>
      </c>
      <c r="EK146" s="66" t="str">
        <f t="shared" si="449"/>
        <v/>
      </c>
      <c r="EL146" s="74" t="str">
        <f>IF('Marks Entry'!BD146="","",'Marks Entry'!BD146)</f>
        <v/>
      </c>
      <c r="EM146" s="74" t="str">
        <f>IF('Marks Entry'!BE146="","",'Marks Entry'!BE146)</f>
        <v/>
      </c>
      <c r="EN146" s="74" t="str">
        <f>IF('Marks Entry'!BF146="","",'Marks Entry'!BF146)</f>
        <v/>
      </c>
      <c r="EO146" s="527" t="str">
        <f t="shared" si="396"/>
        <v/>
      </c>
      <c r="EP146" s="74" t="str">
        <f>IF('Marks Entry'!BG146="","",'Marks Entry'!BG146)</f>
        <v/>
      </c>
      <c r="EQ146" s="74" t="str">
        <f>IF('Marks Entry'!BH146="","",'Marks Entry'!BH146)</f>
        <v/>
      </c>
      <c r="ER146" s="528" t="str">
        <f t="shared" si="397"/>
        <v/>
      </c>
      <c r="ES146" s="529" t="str">
        <f t="shared" si="398"/>
        <v/>
      </c>
      <c r="ET146" s="74" t="str">
        <f>IF('Marks Entry'!BI146="","",'Marks Entry'!BI146)</f>
        <v/>
      </c>
      <c r="EU146" s="74" t="str">
        <f>IF('Marks Entry'!BJ146="","",'Marks Entry'!BJ146)</f>
        <v/>
      </c>
      <c r="EV146" s="528" t="str">
        <f t="shared" si="399"/>
        <v/>
      </c>
      <c r="EW146" s="530" t="str">
        <f t="shared" si="400"/>
        <v/>
      </c>
      <c r="EX146" s="368" t="str">
        <f t="shared" si="450"/>
        <v/>
      </c>
      <c r="EY146" s="65">
        <f t="shared" si="451"/>
        <v>0</v>
      </c>
      <c r="EZ146" s="65">
        <f t="shared" si="452"/>
        <v>0</v>
      </c>
      <c r="FA146" s="66" t="str">
        <f t="shared" si="453"/>
        <v/>
      </c>
      <c r="FB146" s="74" t="str">
        <f>IF('Marks Entry'!BK146="","",'Marks Entry'!BK146)</f>
        <v/>
      </c>
      <c r="FC146" s="74" t="str">
        <f>IF('Marks Entry'!BL146="","",'Marks Entry'!BL146)</f>
        <v/>
      </c>
      <c r="FD146" s="74" t="str">
        <f>IF('Marks Entry'!BM146="","",'Marks Entry'!BM146)</f>
        <v/>
      </c>
      <c r="FE146" s="74" t="str">
        <f>IF('Marks Entry'!BN146="","",'Marks Entry'!BN146)</f>
        <v/>
      </c>
      <c r="FF146" s="74" t="str">
        <f>IF('Marks Entry'!BO146="","",'Marks Entry'!BO146)</f>
        <v/>
      </c>
      <c r="FG146" s="74" t="str">
        <f>IF('Marks Entry'!BP146="","",'Marks Entry'!BP146)</f>
        <v/>
      </c>
      <c r="FH146" s="527" t="str">
        <f t="shared" si="401"/>
        <v/>
      </c>
      <c r="FI146" s="74" t="str">
        <f>IF('Marks Entry'!BQ146="","",'Marks Entry'!BQ146)</f>
        <v/>
      </c>
      <c r="FJ146" s="74" t="str">
        <f>IF('Marks Entry'!BR146="","",'Marks Entry'!BR146)</f>
        <v/>
      </c>
      <c r="FK146" s="528" t="str">
        <f t="shared" si="402"/>
        <v/>
      </c>
      <c r="FL146" s="529" t="str">
        <f t="shared" si="403"/>
        <v/>
      </c>
      <c r="FM146" s="74" t="str">
        <f>IF('Marks Entry'!BS146="","",'Marks Entry'!BS146)</f>
        <v/>
      </c>
      <c r="FN146" s="74" t="str">
        <f>IF('Marks Entry'!BT146="","",'Marks Entry'!BT146)</f>
        <v/>
      </c>
      <c r="FO146" s="528" t="str">
        <f t="shared" si="404"/>
        <v/>
      </c>
      <c r="FP146" s="530" t="str">
        <f t="shared" si="405"/>
        <v/>
      </c>
      <c r="FQ146" s="368" t="str">
        <f t="shared" si="454"/>
        <v/>
      </c>
      <c r="FR146" s="65">
        <f t="shared" si="455"/>
        <v>0</v>
      </c>
      <c r="FS146" s="65">
        <f t="shared" si="456"/>
        <v>0</v>
      </c>
      <c r="FT146" s="66" t="str">
        <f t="shared" si="457"/>
        <v/>
      </c>
      <c r="FU146" s="74" t="str">
        <f>IF('Marks Entry'!BU146="","",'Marks Entry'!BU146)</f>
        <v/>
      </c>
      <c r="FV146" s="74" t="str">
        <f>IF('Marks Entry'!BV146="","",'Marks Entry'!BV146)</f>
        <v/>
      </c>
      <c r="FW146" s="74" t="str">
        <f>IF('Marks Entry'!BW146="","",'Marks Entry'!BW146)</f>
        <v/>
      </c>
      <c r="FX146" s="75" t="str">
        <f t="shared" si="406"/>
        <v/>
      </c>
      <c r="FY146" s="368" t="str">
        <f t="shared" si="458"/>
        <v/>
      </c>
      <c r="FZ146" s="65">
        <f t="shared" si="459"/>
        <v>0</v>
      </c>
      <c r="GA146" s="66">
        <f t="shared" si="460"/>
        <v>0</v>
      </c>
      <c r="GB146" s="66" t="str">
        <f t="shared" si="461"/>
        <v/>
      </c>
      <c r="GC146" s="74" t="str">
        <f>IF('Marks Entry'!BX146="","",'Marks Entry'!BX146)</f>
        <v/>
      </c>
      <c r="GD146" s="74" t="str">
        <f>IF('Marks Entry'!BY146="","",'Marks Entry'!BY146)</f>
        <v/>
      </c>
      <c r="GE146" s="74" t="str">
        <f>IF('Marks Entry'!BZ146="","",'Marks Entry'!BZ146)</f>
        <v/>
      </c>
      <c r="GF146" s="75" t="str">
        <f t="shared" si="462"/>
        <v/>
      </c>
      <c r="GG146" s="368" t="str">
        <f t="shared" si="463"/>
        <v/>
      </c>
      <c r="GH146" s="65">
        <f t="shared" si="464"/>
        <v>0</v>
      </c>
      <c r="GI146" s="66">
        <f t="shared" si="465"/>
        <v>0</v>
      </c>
      <c r="GJ146" s="66" t="str">
        <f t="shared" si="466"/>
        <v/>
      </c>
      <c r="GK146" s="100" t="str">
        <f>IF(AND(F146="",B146=""),"",IF('Student DATA Entry'!M143="","",'Student DATA Entry'!M143))</f>
        <v/>
      </c>
      <c r="GL146" s="101" t="str">
        <f>IF(AND(B146="",F146=""),"",IF('Student DATA Entry'!N143="","",'Student DATA Entry'!N143))</f>
        <v/>
      </c>
      <c r="GM146" s="581" t="str">
        <f t="shared" si="467"/>
        <v/>
      </c>
      <c r="GN146" s="94" t="str">
        <f t="shared" si="468"/>
        <v/>
      </c>
      <c r="GO146" s="94" t="str">
        <f t="shared" si="469"/>
        <v/>
      </c>
      <c r="GP146" s="102" t="str">
        <f t="shared" si="407"/>
        <v/>
      </c>
      <c r="GQ146" s="94" t="str">
        <f t="shared" si="470"/>
        <v/>
      </c>
      <c r="GR146" s="103" t="str">
        <f t="shared" si="471"/>
        <v/>
      </c>
      <c r="GS146" s="102" t="str">
        <f t="shared" si="408"/>
        <v/>
      </c>
      <c r="GT146" s="104" t="str">
        <f t="shared" si="472"/>
        <v/>
      </c>
      <c r="GU146" s="94" t="str">
        <f>IF('Marks Entry'!V146=1,GT146,"")</f>
        <v/>
      </c>
      <c r="GV146" s="94" t="str">
        <f>IF('Marks Entry'!V146=2,GT146,"")</f>
        <v/>
      </c>
      <c r="GW146" s="94" t="str">
        <f>IF('Marks Entry'!V146=3,GT146,"")</f>
        <v/>
      </c>
      <c r="GX146" s="94" t="str">
        <f>IF('Marks Entry'!V146=4,GT146,"")</f>
        <v/>
      </c>
      <c r="GY146" s="94" t="str">
        <f>IF('Marks Entry'!V146=5,GT146,"")</f>
        <v/>
      </c>
      <c r="GZ146" s="94" t="str">
        <f t="shared" si="473"/>
        <v/>
      </c>
      <c r="HA146" s="105" t="str">
        <f t="shared" si="409"/>
        <v/>
      </c>
      <c r="HB146" s="94" t="str">
        <f t="shared" si="474"/>
        <v/>
      </c>
      <c r="HC146" s="94" t="str">
        <f t="shared" si="475"/>
        <v/>
      </c>
      <c r="HD146" s="105" t="str">
        <f t="shared" si="410"/>
        <v/>
      </c>
      <c r="HE146" s="94" t="str">
        <f t="shared" si="476"/>
        <v/>
      </c>
      <c r="HF146" s="94" t="str">
        <f t="shared" si="477"/>
        <v/>
      </c>
      <c r="HG146" s="105" t="str">
        <f t="shared" si="411"/>
        <v/>
      </c>
      <c r="HH146" s="94" t="str">
        <f t="shared" si="478"/>
        <v/>
      </c>
      <c r="HI146" s="94" t="str">
        <f t="shared" si="479"/>
        <v/>
      </c>
      <c r="HJ146" s="105" t="str">
        <f t="shared" si="412"/>
        <v/>
      </c>
      <c r="HK146" s="94" t="str">
        <f t="shared" si="480"/>
        <v/>
      </c>
      <c r="HL146" s="94" t="str">
        <f t="shared" si="481"/>
        <v/>
      </c>
      <c r="HM146" s="105" t="str">
        <f t="shared" si="413"/>
        <v/>
      </c>
      <c r="HN146" s="367" t="str">
        <f t="shared" si="482"/>
        <v xml:space="preserve">      </v>
      </c>
      <c r="HO146" s="418" t="str">
        <f t="shared" si="414"/>
        <v xml:space="preserve">      </v>
      </c>
      <c r="HP146" s="367" t="str">
        <f t="shared" si="483"/>
        <v xml:space="preserve">      </v>
      </c>
      <c r="HQ146" s="107" t="str">
        <f t="shared" si="484"/>
        <v xml:space="preserve">      </v>
      </c>
      <c r="HR146" s="366" t="str">
        <f t="shared" si="485"/>
        <v xml:space="preserve">      </v>
      </c>
      <c r="HS146" s="544" t="str">
        <f t="shared" si="415"/>
        <v/>
      </c>
      <c r="HT146" s="542" t="str">
        <f t="shared" si="486"/>
        <v/>
      </c>
      <c r="HU146" s="541" t="str">
        <f t="shared" si="487"/>
        <v/>
      </c>
      <c r="HV146" s="540" t="str">
        <f t="shared" si="488"/>
        <v/>
      </c>
      <c r="HW146" s="537" t="str">
        <f t="shared" si="489"/>
        <v/>
      </c>
      <c r="HX146" s="539" t="str">
        <f t="shared" si="490"/>
        <v/>
      </c>
      <c r="HY146" s="553" t="str">
        <f>IFERROR(IF(OR(HS146="SUPPLEMENTARY",HS146="RE-EXAM"),'Supp. Result Entry'!AQ144,""),"")</f>
        <v/>
      </c>
      <c r="HZ146" s="538" t="str">
        <f t="shared" si="491"/>
        <v/>
      </c>
      <c r="IA146" s="415" t="str">
        <f t="shared" si="492"/>
        <v/>
      </c>
      <c r="IB146" s="415" t="str">
        <f>IF(AND(HZ146="",IA146=""),"",IF(OR(HS146="SUPPLEMENTARY",HS146="RE-EXAM"),'Supp. Result Entry'!AQ144,HS146))</f>
        <v/>
      </c>
      <c r="IC146" s="87"/>
      <c r="IS146" s="109" t="str">
        <f>IF('Supp. Result Entry'!T144="","",'Supp. Result Entry'!$T$4)</f>
        <v/>
      </c>
      <c r="IT146" s="110" t="str">
        <f>IF('Supp. Result Entry'!W144="","",'Supp. Result Entry'!$W$4)</f>
        <v/>
      </c>
      <c r="IU146" s="110" t="str">
        <f>IF('Supp. Result Entry'!Z144="","",'Supp. Result Entry'!$Z$4)</f>
        <v/>
      </c>
      <c r="IV146" s="110" t="str">
        <f>IF('Supp. Result Entry'!AC144="","",'Supp. Result Entry'!$AC$4)</f>
        <v/>
      </c>
      <c r="IW146" s="110" t="str">
        <f>IF('Supp. Result Entry'!AF144="","",'Supp. Result Entry'!$AF$4)</f>
        <v/>
      </c>
      <c r="IX146" s="110" t="str">
        <f>IF('Supp. Result Entry'!AI144="","",'Supp. Result Entry'!$AI$4)</f>
        <v/>
      </c>
      <c r="IY146" s="110" t="str">
        <f>IF('Supp. Result Entry'!AI144="","",'Supp. Result Entry'!$AL$4)</f>
        <v/>
      </c>
      <c r="IZ146" s="110" t="str">
        <f>IF('Supp. Result Entry'!U144="","",'Supp. Result Entry'!U144)</f>
        <v/>
      </c>
      <c r="JA146" s="110" t="str">
        <f>IF('Supp. Result Entry'!X144="","",'Supp. Result Entry'!X144)</f>
        <v/>
      </c>
      <c r="JB146" s="110" t="str">
        <f>IF('Supp. Result Entry'!AA144="","",'Supp. Result Entry'!AA144)</f>
        <v/>
      </c>
      <c r="JC146" s="110" t="str">
        <f>IF('Supp. Result Entry'!AD144="","",'Supp. Result Entry'!AD144)</f>
        <v/>
      </c>
      <c r="JD146" s="110" t="str">
        <f>IF('Supp. Result Entry'!AG144="","",'Supp. Result Entry'!AG144)</f>
        <v/>
      </c>
      <c r="JE146" s="110" t="str">
        <f>IF('Supp. Result Entry'!AJ144="","",'Supp. Result Entry'!AJ144)</f>
        <v/>
      </c>
      <c r="JF146" s="110" t="str">
        <f>IF('Supp. Result Entry'!AM144="","",'Supp. Result Entry'!AM144)</f>
        <v/>
      </c>
      <c r="JG146" s="110" t="str">
        <f>IF('Supp. Result Entry'!V144="","",'Supp. Result Entry'!V144)</f>
        <v/>
      </c>
      <c r="JH146" s="110" t="str">
        <f>IF('Supp. Result Entry'!Y144="","",'Supp. Result Entry'!Y144)</f>
        <v/>
      </c>
      <c r="JI146" s="110" t="str">
        <f>IF('Supp. Result Entry'!AB144="","",'Supp. Result Entry'!AB144)</f>
        <v/>
      </c>
      <c r="JJ146" s="110" t="str">
        <f>IF('Supp. Result Entry'!AE144="","",'Supp. Result Entry'!AE144)</f>
        <v/>
      </c>
      <c r="JK146" s="110" t="str">
        <f>IF('Supp. Result Entry'!AH144="","",'Supp. Result Entry'!AH144)</f>
        <v/>
      </c>
      <c r="JL146" s="110" t="str">
        <f>IF('Supp. Result Entry'!AK144="","",'Supp. Result Entry'!AK144)</f>
        <v/>
      </c>
      <c r="JM146" s="110" t="str">
        <f>IF('Supp. Result Entry'!AN144="","",'Supp. Result Entry'!AN144)</f>
        <v/>
      </c>
      <c r="JN146" s="110">
        <f>COUNTIF('Supp. Result Entry'!K144:Q144,"S")</f>
        <v>0</v>
      </c>
      <c r="JO146" s="110">
        <f t="shared" si="416"/>
        <v>0</v>
      </c>
      <c r="JP146" s="110">
        <f t="shared" si="493"/>
        <v>0</v>
      </c>
      <c r="JQ146" s="110" t="str">
        <f t="shared" si="417"/>
        <v/>
      </c>
      <c r="JR146" s="110" t="str">
        <f t="shared" si="418"/>
        <v/>
      </c>
      <c r="JS146" s="110" t="str">
        <f t="shared" si="419"/>
        <v/>
      </c>
      <c r="JT146" s="110" t="str">
        <f t="shared" si="420"/>
        <v/>
      </c>
      <c r="JU146" s="110" t="str">
        <f t="shared" si="421"/>
        <v/>
      </c>
      <c r="JV146" s="110" t="str">
        <f t="shared" si="422"/>
        <v/>
      </c>
      <c r="JW146" s="110" t="str">
        <f t="shared" si="423"/>
        <v/>
      </c>
      <c r="JX146" s="110" t="str">
        <f t="shared" si="494"/>
        <v/>
      </c>
      <c r="JY146" s="110" t="str">
        <f t="shared" si="495"/>
        <v/>
      </c>
      <c r="JZ146" s="110" t="str">
        <f t="shared" si="424"/>
        <v/>
      </c>
      <c r="KA146" s="108" t="str">
        <f t="shared" si="496"/>
        <v/>
      </c>
    </row>
    <row r="147" spans="1:287" s="108" customFormat="1" ht="21.95" customHeight="1">
      <c r="A147" s="89">
        <v>141</v>
      </c>
      <c r="B147" s="90" t="str">
        <f>IF('Marks Entry'!B147="","",'Marks Entry'!B147)</f>
        <v/>
      </c>
      <c r="C147" s="94" t="str">
        <f>IF('Marks Entry'!D147="","",'Marks Entry'!D147)</f>
        <v/>
      </c>
      <c r="D147" s="91" t="str">
        <f>IF('Marks Entry'!E147="","",'Marks Entry'!E147)</f>
        <v/>
      </c>
      <c r="E147" s="92" t="str">
        <f>IF('Marks Entry'!F147="","",'Marks Entry'!F147)</f>
        <v/>
      </c>
      <c r="F147" s="93" t="str">
        <f>IF('Marks Entry'!G147="","",'Marks Entry'!G147)</f>
        <v/>
      </c>
      <c r="G147" s="93" t="str">
        <f>IF('Marks Entry'!H147="","",'Marks Entry'!H147)</f>
        <v/>
      </c>
      <c r="H147" s="93" t="str">
        <f>IF('Marks Entry'!I147="","",'Marks Entry'!I147)</f>
        <v/>
      </c>
      <c r="I147" s="94" t="str">
        <f>IF('Marks Entry'!J147="","",'Marks Entry'!J147)</f>
        <v/>
      </c>
      <c r="J147" s="95" t="str">
        <f>IF('Marks Entry'!K147="","",'Marks Entry'!K147)</f>
        <v/>
      </c>
      <c r="K147" s="68" t="str">
        <f>IF('Marks Entry'!L147="","",'Marks Entry'!L147)</f>
        <v/>
      </c>
      <c r="L147" s="68" t="str">
        <f>IF('Marks Entry'!M147="","",'Marks Entry'!M147)</f>
        <v/>
      </c>
      <c r="M147" s="68" t="str">
        <f>IF('Marks Entry'!N147="","",'Marks Entry'!N147)</f>
        <v/>
      </c>
      <c r="N147" s="514" t="str">
        <f t="shared" si="425"/>
        <v/>
      </c>
      <c r="O147" s="68" t="str">
        <f>IF('Marks Entry'!O147="","",'Marks Entry'!O147)</f>
        <v/>
      </c>
      <c r="P147" s="515" t="str">
        <f t="shared" si="426"/>
        <v/>
      </c>
      <c r="Q147" s="68" t="str">
        <f>IF('Marks Entry'!P147="","",'Marks Entry'!P147)</f>
        <v/>
      </c>
      <c r="R147" s="96" t="str">
        <f t="shared" si="427"/>
        <v/>
      </c>
      <c r="S147" s="65">
        <f t="shared" si="428"/>
        <v>0</v>
      </c>
      <c r="T147" s="65">
        <f t="shared" si="429"/>
        <v>0</v>
      </c>
      <c r="U147" s="66" t="str">
        <f t="shared" si="339"/>
        <v/>
      </c>
      <c r="V147" s="65" t="str">
        <f t="shared" si="340"/>
        <v/>
      </c>
      <c r="W147" s="65" t="str">
        <f t="shared" si="430"/>
        <v/>
      </c>
      <c r="X147" s="65" t="str">
        <f t="shared" si="341"/>
        <v/>
      </c>
      <c r="Y147" s="68" t="str">
        <f>IF('Marks Entry'!Q147="","",'Marks Entry'!Q147)</f>
        <v/>
      </c>
      <c r="Z147" s="68" t="str">
        <f>IF('Marks Entry'!R147="","",'Marks Entry'!R147)</f>
        <v/>
      </c>
      <c r="AA147" s="68" t="str">
        <f>IF('Marks Entry'!S147="","",'Marks Entry'!S147)</f>
        <v/>
      </c>
      <c r="AB147" s="514" t="str">
        <f t="shared" si="342"/>
        <v/>
      </c>
      <c r="AC147" s="68" t="str">
        <f>IF('Marks Entry'!T147="","",'Marks Entry'!T147)</f>
        <v/>
      </c>
      <c r="AD147" s="515" t="str">
        <f t="shared" si="343"/>
        <v/>
      </c>
      <c r="AE147" s="68" t="str">
        <f>IF('Marks Entry'!U147="","",'Marks Entry'!U147)</f>
        <v/>
      </c>
      <c r="AF147" s="96" t="str">
        <f t="shared" si="344"/>
        <v/>
      </c>
      <c r="AG147" s="65">
        <f t="shared" si="345"/>
        <v>0</v>
      </c>
      <c r="AH147" s="65">
        <f t="shared" si="346"/>
        <v>0</v>
      </c>
      <c r="AI147" s="66" t="str">
        <f t="shared" si="347"/>
        <v/>
      </c>
      <c r="AJ147" s="65" t="str">
        <f t="shared" si="348"/>
        <v/>
      </c>
      <c r="AK147" s="65" t="str">
        <f t="shared" si="349"/>
        <v/>
      </c>
      <c r="AL147" s="65" t="str">
        <f t="shared" si="350"/>
        <v/>
      </c>
      <c r="AM147" s="524" t="str">
        <f>IF('Marks Entry'!V147="","",IF('Marks Entry'!V147=1,'School Profile'!$I$9,IF('Marks Entry'!V147=2,'School Profile'!$I$10,IF('Marks Entry'!V147=3,'School Profile'!$I$11,IF('Marks Entry'!V147=4,'School Profile'!$I$12,IF('Marks Entry'!V147=5,'School Profile'!$I$13,IF('Marks Entry'!V147=6,'School Profile'!$I$14,"")))))))</f>
        <v/>
      </c>
      <c r="AN147" s="68" t="str">
        <f>IF('Marks Entry'!W147="","",'Marks Entry'!W147)</f>
        <v/>
      </c>
      <c r="AO147" s="68" t="str">
        <f>IF('Marks Entry'!X147="","",'Marks Entry'!X147)</f>
        <v/>
      </c>
      <c r="AP147" s="68" t="str">
        <f>IF('Marks Entry'!Y147="","",'Marks Entry'!Y147)</f>
        <v/>
      </c>
      <c r="AQ147" s="514" t="str">
        <f t="shared" si="351"/>
        <v/>
      </c>
      <c r="AR147" s="68" t="str">
        <f>IF('Marks Entry'!Z147="","",'Marks Entry'!Z147)</f>
        <v/>
      </c>
      <c r="AS147" s="515" t="str">
        <f t="shared" si="352"/>
        <v/>
      </c>
      <c r="AT147" s="68" t="str">
        <f>IF('Marks Entry'!AA147="","",'Marks Entry'!AA147)</f>
        <v/>
      </c>
      <c r="AU147" s="96" t="str">
        <f t="shared" si="353"/>
        <v/>
      </c>
      <c r="AV147" s="65">
        <f t="shared" si="354"/>
        <v>0</v>
      </c>
      <c r="AW147" s="65">
        <f t="shared" si="355"/>
        <v>0</v>
      </c>
      <c r="AX147" s="66" t="str">
        <f t="shared" si="356"/>
        <v/>
      </c>
      <c r="AY147" s="65" t="str">
        <f t="shared" si="357"/>
        <v/>
      </c>
      <c r="AZ147" s="65" t="str">
        <f t="shared" si="358"/>
        <v/>
      </c>
      <c r="BA147" s="65" t="str">
        <f t="shared" si="359"/>
        <v/>
      </c>
      <c r="BB147" s="68" t="str">
        <f>IF('Marks Entry'!AB147="","",'Marks Entry'!AB147)</f>
        <v/>
      </c>
      <c r="BC147" s="68" t="str">
        <f>IF('Marks Entry'!AC147="","",'Marks Entry'!AC147)</f>
        <v/>
      </c>
      <c r="BD147" s="68" t="str">
        <f>IF('Marks Entry'!AD147="","",'Marks Entry'!AD147)</f>
        <v/>
      </c>
      <c r="BE147" s="514" t="str">
        <f t="shared" si="360"/>
        <v/>
      </c>
      <c r="BF147" s="68" t="str">
        <f>IF('Marks Entry'!AE147="","",'Marks Entry'!AE147)</f>
        <v/>
      </c>
      <c r="BG147" s="515" t="str">
        <f t="shared" si="361"/>
        <v/>
      </c>
      <c r="BH147" s="68" t="str">
        <f>IF('Marks Entry'!AF147="","",'Marks Entry'!AF147)</f>
        <v/>
      </c>
      <c r="BI147" s="96" t="str">
        <f t="shared" si="362"/>
        <v/>
      </c>
      <c r="BJ147" s="65">
        <f t="shared" si="363"/>
        <v>0</v>
      </c>
      <c r="BK147" s="65">
        <f t="shared" si="431"/>
        <v>0</v>
      </c>
      <c r="BL147" s="66" t="str">
        <f t="shared" si="364"/>
        <v/>
      </c>
      <c r="BM147" s="65" t="str">
        <f t="shared" si="365"/>
        <v/>
      </c>
      <c r="BN147" s="65" t="str">
        <f t="shared" si="366"/>
        <v/>
      </c>
      <c r="BO147" s="65" t="str">
        <f t="shared" si="367"/>
        <v/>
      </c>
      <c r="BP147" s="68" t="str">
        <f>IF('Marks Entry'!AG147="","",'Marks Entry'!AG147)</f>
        <v/>
      </c>
      <c r="BQ147" s="68" t="str">
        <f>IF('Marks Entry'!AH147="","",'Marks Entry'!AH147)</f>
        <v/>
      </c>
      <c r="BR147" s="68" t="str">
        <f>IF('Marks Entry'!AI147="","",'Marks Entry'!AI147)</f>
        <v/>
      </c>
      <c r="BS147" s="514" t="str">
        <f t="shared" si="368"/>
        <v/>
      </c>
      <c r="BT147" s="68" t="str">
        <f>IF('Marks Entry'!AJ147="","",'Marks Entry'!AJ147)</f>
        <v/>
      </c>
      <c r="BU147" s="515" t="str">
        <f t="shared" si="369"/>
        <v/>
      </c>
      <c r="BV147" s="68" t="str">
        <f>IF('Marks Entry'!AK147="","",'Marks Entry'!AK147)</f>
        <v/>
      </c>
      <c r="BW147" s="96" t="str">
        <f t="shared" si="370"/>
        <v/>
      </c>
      <c r="BX147" s="65">
        <f t="shared" si="371"/>
        <v>0</v>
      </c>
      <c r="BY147" s="65">
        <f t="shared" si="372"/>
        <v>0</v>
      </c>
      <c r="BZ147" s="66" t="str">
        <f t="shared" si="373"/>
        <v/>
      </c>
      <c r="CA147" s="65" t="str">
        <f t="shared" si="374"/>
        <v/>
      </c>
      <c r="CB147" s="65" t="str">
        <f t="shared" si="375"/>
        <v/>
      </c>
      <c r="CC147" s="65" t="str">
        <f t="shared" si="376"/>
        <v/>
      </c>
      <c r="CD147" s="66">
        <f t="shared" si="377"/>
        <v>0</v>
      </c>
      <c r="CE147" s="68" t="str">
        <f>IF('Marks Entry'!AL147="","",'Marks Entry'!AL147)</f>
        <v/>
      </c>
      <c r="CF147" s="68" t="str">
        <f>IF('Marks Entry'!AM147="","",'Marks Entry'!AM147)</f>
        <v/>
      </c>
      <c r="CG147" s="68" t="str">
        <f>IF('Marks Entry'!AN147="","",'Marks Entry'!AN147)</f>
        <v/>
      </c>
      <c r="CH147" s="514" t="str">
        <f t="shared" si="378"/>
        <v/>
      </c>
      <c r="CI147" s="68" t="str">
        <f>IF('Marks Entry'!AO147="","",'Marks Entry'!AO147)</f>
        <v/>
      </c>
      <c r="CJ147" s="515" t="str">
        <f t="shared" si="379"/>
        <v/>
      </c>
      <c r="CK147" s="68" t="str">
        <f>IF('Marks Entry'!AP147="","",'Marks Entry'!AP147)</f>
        <v/>
      </c>
      <c r="CL147" s="96" t="str">
        <f t="shared" si="380"/>
        <v/>
      </c>
      <c r="CM147" s="65">
        <f t="shared" si="381"/>
        <v>0</v>
      </c>
      <c r="CN147" s="65">
        <f t="shared" si="382"/>
        <v>0</v>
      </c>
      <c r="CO147" s="66" t="str">
        <f t="shared" si="383"/>
        <v/>
      </c>
      <c r="CP147" s="65" t="str">
        <f t="shared" si="384"/>
        <v/>
      </c>
      <c r="CQ147" s="65" t="str">
        <f t="shared" si="385"/>
        <v/>
      </c>
      <c r="CR147" s="65" t="str">
        <f t="shared" si="386"/>
        <v/>
      </c>
      <c r="CS147" s="616" t="str">
        <f>IF('School Profile'!$D$20="NO","",IF('Marks Entry'!AQ147="","",IF('Marks Entry'!AQ147=1,'School Profile'!$I$29,IF('Marks Entry'!AQ147=2,'School Profile'!$I$30,IF('Marks Entry'!AQ147=3,'School Profile'!$I$31,IF('Marks Entry'!AQ147=4,'School Profile'!$I$32,IF('Marks Entry'!AQ147=5,'School Profile'!$I$33,IF('Marks Entry'!AQ147=6,'School Profile'!$I$34,IF('Marks Entry'!AQ147=7,'School Profile'!$I$35,IF('Marks Entry'!AQ147=8,'School Profile'!$I$36,IF('Marks Entry'!AQ147=9,'School Profile'!$I$37,IF('Marks Entry'!AQ147=10,'School Profile'!$I$38,IF('Marks Entry'!AQ147=11,'School Profile'!$I$39,"")))))))))))))</f>
        <v/>
      </c>
      <c r="CT147" s="68" t="str">
        <f>IF('School Profile'!$D$20="NO","",IF('Marks Entry'!AR147="","",'Marks Entry'!AR147))</f>
        <v/>
      </c>
      <c r="CU147" s="68" t="str">
        <f>IF('School Profile'!$D$20="NO","",IF('Marks Entry'!AS147="","",'Marks Entry'!AS147))</f>
        <v/>
      </c>
      <c r="CV147" s="68" t="str">
        <f>IF('School Profile'!$D$20="NO","",IF('Marks Entry'!AT147="","",'Marks Entry'!AT147))</f>
        <v/>
      </c>
      <c r="CW147" s="514" t="str">
        <f>IF('School Profile'!$D$20="NO","",IF(AND(CT147="",CU147="",CV147=""),"",SUM(CT147:CV147)))</f>
        <v/>
      </c>
      <c r="CX147" s="68" t="str">
        <f>IF('School Profile'!$D$20="NO","",IF('Marks Entry'!AU147="","",'Marks Entry'!AU147))</f>
        <v/>
      </c>
      <c r="CY147" s="68" t="str">
        <f>IF('School Profile'!$D$20="NO","",IF('Marks Entry'!AV147="","",'Marks Entry'!AV147))</f>
        <v/>
      </c>
      <c r="CZ147" s="515" t="str">
        <f>IF('School Profile'!$D$20="NO","",IF(AND(CX147="",CY147=""),"",SUM(CX147,CY147)))</f>
        <v/>
      </c>
      <c r="DA147" s="69" t="str">
        <f>IF('School Profile'!$D$20="NO","",IF(AND(CW147="",CZ147=""),"",SUM(CW147+CZ147)))</f>
        <v/>
      </c>
      <c r="DB147" s="68" t="str">
        <f>IF('School Profile'!$D$20="NO","",IF('Marks Entry'!AW147="","",'Marks Entry'!AW147))</f>
        <v/>
      </c>
      <c r="DC147" s="68" t="str">
        <f>IF('School Profile'!$D$20="NO","",IF('Marks Entry'!AX147="","",'Marks Entry'!AX147))</f>
        <v/>
      </c>
      <c r="DD147" s="515" t="str">
        <f>IF('School Profile'!$D$20="NO","",IF(AND(DB147="",DC147=""),"",SUM(DB147,DC147)))</f>
        <v/>
      </c>
      <c r="DE147" s="96" t="str">
        <f>IF('School Profile'!$D$20="NO","",IF(AND(DA147="",DD147=""),"",SUM(DA147,DD147)))</f>
        <v/>
      </c>
      <c r="DF147" s="532">
        <f t="shared" si="387"/>
        <v>0</v>
      </c>
      <c r="DG147" s="65">
        <f t="shared" si="388"/>
        <v>0</v>
      </c>
      <c r="DH147" s="66" t="str">
        <f t="shared" si="389"/>
        <v/>
      </c>
      <c r="DI147" s="65" t="str">
        <f t="shared" si="390"/>
        <v/>
      </c>
      <c r="DJ147" s="65" t="str">
        <f t="shared" si="391"/>
        <v/>
      </c>
      <c r="DK147" s="65" t="str">
        <f t="shared" si="392"/>
        <v/>
      </c>
      <c r="DL147" s="97" t="str">
        <f t="shared" si="432"/>
        <v/>
      </c>
      <c r="DM147" s="97" t="str">
        <f t="shared" si="433"/>
        <v/>
      </c>
      <c r="DN147" s="97" t="str">
        <f t="shared" si="434"/>
        <v/>
      </c>
      <c r="DO147" s="97" t="str">
        <f t="shared" si="435"/>
        <v/>
      </c>
      <c r="DP147" s="97" t="str">
        <f t="shared" si="436"/>
        <v/>
      </c>
      <c r="DQ147" s="97" t="str">
        <f t="shared" si="437"/>
        <v/>
      </c>
      <c r="DR147" s="97" t="str">
        <f t="shared" si="438"/>
        <v/>
      </c>
      <c r="DS147" s="98">
        <f t="shared" si="439"/>
        <v>0</v>
      </c>
      <c r="DT147" s="98">
        <f t="shared" si="440"/>
        <v>0</v>
      </c>
      <c r="DU147" s="98">
        <f t="shared" si="441"/>
        <v>0</v>
      </c>
      <c r="DV147" s="98">
        <f t="shared" si="442"/>
        <v>0</v>
      </c>
      <c r="DW147" s="98">
        <f t="shared" si="443"/>
        <v>0</v>
      </c>
      <c r="DX147" s="98" t="str">
        <f t="shared" si="444"/>
        <v/>
      </c>
      <c r="DY147" s="99" t="str">
        <f t="shared" si="445"/>
        <v/>
      </c>
      <c r="DZ147" s="74" t="str">
        <f>IF('Marks Entry'!AY147="","",'Marks Entry'!AY147)</f>
        <v/>
      </c>
      <c r="EA147" s="74" t="str">
        <f>IF('Marks Entry'!AZ147="","",'Marks Entry'!AZ147)</f>
        <v/>
      </c>
      <c r="EB147" s="74" t="str">
        <f>IF('Marks Entry'!BA147="","",'Marks Entry'!BA147)</f>
        <v/>
      </c>
      <c r="EC147" s="527" t="str">
        <f t="shared" si="393"/>
        <v/>
      </c>
      <c r="ED147" s="74" t="str">
        <f>IF('Marks Entry'!BB147="","",'Marks Entry'!BB147)</f>
        <v/>
      </c>
      <c r="EE147" s="528" t="str">
        <f t="shared" si="394"/>
        <v/>
      </c>
      <c r="EF147" s="74" t="str">
        <f>IF('Marks Entry'!BC147="","",'Marks Entry'!BC147)</f>
        <v/>
      </c>
      <c r="EG147" s="530" t="str">
        <f t="shared" si="395"/>
        <v/>
      </c>
      <c r="EH147" s="368" t="str">
        <f t="shared" si="446"/>
        <v/>
      </c>
      <c r="EI147" s="65">
        <f t="shared" si="447"/>
        <v>0</v>
      </c>
      <c r="EJ147" s="65">
        <f t="shared" si="448"/>
        <v>0</v>
      </c>
      <c r="EK147" s="66" t="str">
        <f t="shared" si="449"/>
        <v/>
      </c>
      <c r="EL147" s="74" t="str">
        <f>IF('Marks Entry'!BD147="","",'Marks Entry'!BD147)</f>
        <v/>
      </c>
      <c r="EM147" s="74" t="str">
        <f>IF('Marks Entry'!BE147="","",'Marks Entry'!BE147)</f>
        <v/>
      </c>
      <c r="EN147" s="74" t="str">
        <f>IF('Marks Entry'!BF147="","",'Marks Entry'!BF147)</f>
        <v/>
      </c>
      <c r="EO147" s="527" t="str">
        <f t="shared" si="396"/>
        <v/>
      </c>
      <c r="EP147" s="74" t="str">
        <f>IF('Marks Entry'!BG147="","",'Marks Entry'!BG147)</f>
        <v/>
      </c>
      <c r="EQ147" s="74" t="str">
        <f>IF('Marks Entry'!BH147="","",'Marks Entry'!BH147)</f>
        <v/>
      </c>
      <c r="ER147" s="528" t="str">
        <f t="shared" si="397"/>
        <v/>
      </c>
      <c r="ES147" s="529" t="str">
        <f t="shared" si="398"/>
        <v/>
      </c>
      <c r="ET147" s="74" t="str">
        <f>IF('Marks Entry'!BI147="","",'Marks Entry'!BI147)</f>
        <v/>
      </c>
      <c r="EU147" s="74" t="str">
        <f>IF('Marks Entry'!BJ147="","",'Marks Entry'!BJ147)</f>
        <v/>
      </c>
      <c r="EV147" s="528" t="str">
        <f t="shared" si="399"/>
        <v/>
      </c>
      <c r="EW147" s="530" t="str">
        <f t="shared" si="400"/>
        <v/>
      </c>
      <c r="EX147" s="368" t="str">
        <f t="shared" si="450"/>
        <v/>
      </c>
      <c r="EY147" s="65">
        <f t="shared" si="451"/>
        <v>0</v>
      </c>
      <c r="EZ147" s="65">
        <f t="shared" si="452"/>
        <v>0</v>
      </c>
      <c r="FA147" s="66" t="str">
        <f t="shared" si="453"/>
        <v/>
      </c>
      <c r="FB147" s="74" t="str">
        <f>IF('Marks Entry'!BK147="","",'Marks Entry'!BK147)</f>
        <v/>
      </c>
      <c r="FC147" s="74" t="str">
        <f>IF('Marks Entry'!BL147="","",'Marks Entry'!BL147)</f>
        <v/>
      </c>
      <c r="FD147" s="74" t="str">
        <f>IF('Marks Entry'!BM147="","",'Marks Entry'!BM147)</f>
        <v/>
      </c>
      <c r="FE147" s="74" t="str">
        <f>IF('Marks Entry'!BN147="","",'Marks Entry'!BN147)</f>
        <v/>
      </c>
      <c r="FF147" s="74" t="str">
        <f>IF('Marks Entry'!BO147="","",'Marks Entry'!BO147)</f>
        <v/>
      </c>
      <c r="FG147" s="74" t="str">
        <f>IF('Marks Entry'!BP147="","",'Marks Entry'!BP147)</f>
        <v/>
      </c>
      <c r="FH147" s="527" t="str">
        <f t="shared" si="401"/>
        <v/>
      </c>
      <c r="FI147" s="74" t="str">
        <f>IF('Marks Entry'!BQ147="","",'Marks Entry'!BQ147)</f>
        <v/>
      </c>
      <c r="FJ147" s="74" t="str">
        <f>IF('Marks Entry'!BR147="","",'Marks Entry'!BR147)</f>
        <v/>
      </c>
      <c r="FK147" s="528" t="str">
        <f t="shared" si="402"/>
        <v/>
      </c>
      <c r="FL147" s="529" t="str">
        <f t="shared" si="403"/>
        <v/>
      </c>
      <c r="FM147" s="74" t="str">
        <f>IF('Marks Entry'!BS147="","",'Marks Entry'!BS147)</f>
        <v/>
      </c>
      <c r="FN147" s="74" t="str">
        <f>IF('Marks Entry'!BT147="","",'Marks Entry'!BT147)</f>
        <v/>
      </c>
      <c r="FO147" s="528" t="str">
        <f t="shared" si="404"/>
        <v/>
      </c>
      <c r="FP147" s="530" t="str">
        <f t="shared" si="405"/>
        <v/>
      </c>
      <c r="FQ147" s="368" t="str">
        <f t="shared" si="454"/>
        <v/>
      </c>
      <c r="FR147" s="65">
        <f t="shared" si="455"/>
        <v>0</v>
      </c>
      <c r="FS147" s="65">
        <f t="shared" si="456"/>
        <v>0</v>
      </c>
      <c r="FT147" s="66" t="str">
        <f t="shared" si="457"/>
        <v/>
      </c>
      <c r="FU147" s="74" t="str">
        <f>IF('Marks Entry'!BU147="","",'Marks Entry'!BU147)</f>
        <v/>
      </c>
      <c r="FV147" s="74" t="str">
        <f>IF('Marks Entry'!BV147="","",'Marks Entry'!BV147)</f>
        <v/>
      </c>
      <c r="FW147" s="74" t="str">
        <f>IF('Marks Entry'!BW147="","",'Marks Entry'!BW147)</f>
        <v/>
      </c>
      <c r="FX147" s="75" t="str">
        <f t="shared" si="406"/>
        <v/>
      </c>
      <c r="FY147" s="368" t="str">
        <f t="shared" si="458"/>
        <v/>
      </c>
      <c r="FZ147" s="65">
        <f t="shared" si="459"/>
        <v>0</v>
      </c>
      <c r="GA147" s="66">
        <f t="shared" si="460"/>
        <v>0</v>
      </c>
      <c r="GB147" s="66" t="str">
        <f t="shared" si="461"/>
        <v/>
      </c>
      <c r="GC147" s="74" t="str">
        <f>IF('Marks Entry'!BX147="","",'Marks Entry'!BX147)</f>
        <v/>
      </c>
      <c r="GD147" s="74" t="str">
        <f>IF('Marks Entry'!BY147="","",'Marks Entry'!BY147)</f>
        <v/>
      </c>
      <c r="GE147" s="74" t="str">
        <f>IF('Marks Entry'!BZ147="","",'Marks Entry'!BZ147)</f>
        <v/>
      </c>
      <c r="GF147" s="75" t="str">
        <f t="shared" si="462"/>
        <v/>
      </c>
      <c r="GG147" s="368" t="str">
        <f t="shared" si="463"/>
        <v/>
      </c>
      <c r="GH147" s="65">
        <f t="shared" si="464"/>
        <v>0</v>
      </c>
      <c r="GI147" s="66">
        <f t="shared" si="465"/>
        <v>0</v>
      </c>
      <c r="GJ147" s="66" t="str">
        <f t="shared" si="466"/>
        <v/>
      </c>
      <c r="GK147" s="100" t="str">
        <f>IF(AND(F147="",B147=""),"",IF('Student DATA Entry'!M144="","",'Student DATA Entry'!M144))</f>
        <v/>
      </c>
      <c r="GL147" s="101" t="str">
        <f>IF(AND(B147="",F147=""),"",IF('Student DATA Entry'!N144="","",'Student DATA Entry'!N144))</f>
        <v/>
      </c>
      <c r="GM147" s="581" t="str">
        <f t="shared" si="467"/>
        <v/>
      </c>
      <c r="GN147" s="94" t="str">
        <f t="shared" si="468"/>
        <v/>
      </c>
      <c r="GO147" s="94" t="str">
        <f t="shared" si="469"/>
        <v/>
      </c>
      <c r="GP147" s="102" t="str">
        <f t="shared" si="407"/>
        <v/>
      </c>
      <c r="GQ147" s="94" t="str">
        <f t="shared" si="470"/>
        <v/>
      </c>
      <c r="GR147" s="103" t="str">
        <f t="shared" si="471"/>
        <v/>
      </c>
      <c r="GS147" s="102" t="str">
        <f t="shared" si="408"/>
        <v/>
      </c>
      <c r="GT147" s="104" t="str">
        <f t="shared" si="472"/>
        <v/>
      </c>
      <c r="GU147" s="94" t="str">
        <f>IF('Marks Entry'!V147=1,GT147,"")</f>
        <v/>
      </c>
      <c r="GV147" s="94" t="str">
        <f>IF('Marks Entry'!V147=2,GT147,"")</f>
        <v/>
      </c>
      <c r="GW147" s="94" t="str">
        <f>IF('Marks Entry'!V147=3,GT147,"")</f>
        <v/>
      </c>
      <c r="GX147" s="94" t="str">
        <f>IF('Marks Entry'!V147=4,GT147,"")</f>
        <v/>
      </c>
      <c r="GY147" s="94" t="str">
        <f>IF('Marks Entry'!V147=5,GT147,"")</f>
        <v/>
      </c>
      <c r="GZ147" s="94" t="str">
        <f t="shared" si="473"/>
        <v/>
      </c>
      <c r="HA147" s="105" t="str">
        <f t="shared" si="409"/>
        <v/>
      </c>
      <c r="HB147" s="94" t="str">
        <f t="shared" si="474"/>
        <v/>
      </c>
      <c r="HC147" s="94" t="str">
        <f t="shared" si="475"/>
        <v/>
      </c>
      <c r="HD147" s="105" t="str">
        <f t="shared" si="410"/>
        <v/>
      </c>
      <c r="HE147" s="94" t="str">
        <f t="shared" si="476"/>
        <v/>
      </c>
      <c r="HF147" s="94" t="str">
        <f t="shared" si="477"/>
        <v/>
      </c>
      <c r="HG147" s="105" t="str">
        <f t="shared" si="411"/>
        <v/>
      </c>
      <c r="HH147" s="94" t="str">
        <f t="shared" si="478"/>
        <v/>
      </c>
      <c r="HI147" s="94" t="str">
        <f t="shared" si="479"/>
        <v/>
      </c>
      <c r="HJ147" s="105" t="str">
        <f t="shared" si="412"/>
        <v/>
      </c>
      <c r="HK147" s="94" t="str">
        <f t="shared" si="480"/>
        <v/>
      </c>
      <c r="HL147" s="94" t="str">
        <f t="shared" si="481"/>
        <v/>
      </c>
      <c r="HM147" s="105" t="str">
        <f t="shared" si="413"/>
        <v/>
      </c>
      <c r="HN147" s="367" t="str">
        <f t="shared" si="482"/>
        <v xml:space="preserve">      </v>
      </c>
      <c r="HO147" s="418" t="str">
        <f t="shared" si="414"/>
        <v xml:space="preserve">      </v>
      </c>
      <c r="HP147" s="367" t="str">
        <f t="shared" si="483"/>
        <v xml:space="preserve">      </v>
      </c>
      <c r="HQ147" s="107" t="str">
        <f t="shared" si="484"/>
        <v xml:space="preserve">      </v>
      </c>
      <c r="HR147" s="366" t="str">
        <f t="shared" si="485"/>
        <v xml:space="preserve">      </v>
      </c>
      <c r="HS147" s="544" t="str">
        <f t="shared" si="415"/>
        <v/>
      </c>
      <c r="HT147" s="542" t="str">
        <f t="shared" si="486"/>
        <v/>
      </c>
      <c r="HU147" s="541" t="str">
        <f t="shared" si="487"/>
        <v/>
      </c>
      <c r="HV147" s="540" t="str">
        <f t="shared" si="488"/>
        <v/>
      </c>
      <c r="HW147" s="537" t="str">
        <f t="shared" si="489"/>
        <v/>
      </c>
      <c r="HX147" s="539" t="str">
        <f t="shared" si="490"/>
        <v/>
      </c>
      <c r="HY147" s="553" t="str">
        <f>IFERROR(IF(OR(HS147="SUPPLEMENTARY",HS147="RE-EXAM"),'Supp. Result Entry'!AQ145,""),"")</f>
        <v/>
      </c>
      <c r="HZ147" s="538" t="str">
        <f t="shared" si="491"/>
        <v/>
      </c>
      <c r="IA147" s="415" t="str">
        <f t="shared" si="492"/>
        <v/>
      </c>
      <c r="IB147" s="415" t="str">
        <f>IF(AND(HZ147="",IA147=""),"",IF(OR(HS147="SUPPLEMENTARY",HS147="RE-EXAM"),'Supp. Result Entry'!AQ145,HS147))</f>
        <v/>
      </c>
      <c r="IC147" s="87"/>
      <c r="IS147" s="109" t="str">
        <f>IF('Supp. Result Entry'!T145="","",'Supp. Result Entry'!$T$4)</f>
        <v/>
      </c>
      <c r="IT147" s="110" t="str">
        <f>IF('Supp. Result Entry'!W145="","",'Supp. Result Entry'!$W$4)</f>
        <v/>
      </c>
      <c r="IU147" s="110" t="str">
        <f>IF('Supp. Result Entry'!Z145="","",'Supp. Result Entry'!$Z$4)</f>
        <v/>
      </c>
      <c r="IV147" s="110" t="str">
        <f>IF('Supp. Result Entry'!AC145="","",'Supp. Result Entry'!$AC$4)</f>
        <v/>
      </c>
      <c r="IW147" s="110" t="str">
        <f>IF('Supp. Result Entry'!AF145="","",'Supp. Result Entry'!$AF$4)</f>
        <v/>
      </c>
      <c r="IX147" s="110" t="str">
        <f>IF('Supp. Result Entry'!AI145="","",'Supp. Result Entry'!$AI$4)</f>
        <v/>
      </c>
      <c r="IY147" s="110" t="str">
        <f>IF('Supp. Result Entry'!AI145="","",'Supp. Result Entry'!$AL$4)</f>
        <v/>
      </c>
      <c r="IZ147" s="110" t="str">
        <f>IF('Supp. Result Entry'!U145="","",'Supp. Result Entry'!U145)</f>
        <v/>
      </c>
      <c r="JA147" s="110" t="str">
        <f>IF('Supp. Result Entry'!X145="","",'Supp. Result Entry'!X145)</f>
        <v/>
      </c>
      <c r="JB147" s="110" t="str">
        <f>IF('Supp. Result Entry'!AA145="","",'Supp. Result Entry'!AA145)</f>
        <v/>
      </c>
      <c r="JC147" s="110" t="str">
        <f>IF('Supp. Result Entry'!AD145="","",'Supp. Result Entry'!AD145)</f>
        <v/>
      </c>
      <c r="JD147" s="110" t="str">
        <f>IF('Supp. Result Entry'!AG145="","",'Supp. Result Entry'!AG145)</f>
        <v/>
      </c>
      <c r="JE147" s="110" t="str">
        <f>IF('Supp. Result Entry'!AJ145="","",'Supp. Result Entry'!AJ145)</f>
        <v/>
      </c>
      <c r="JF147" s="110" t="str">
        <f>IF('Supp. Result Entry'!AM145="","",'Supp. Result Entry'!AM145)</f>
        <v/>
      </c>
      <c r="JG147" s="110" t="str">
        <f>IF('Supp. Result Entry'!V145="","",'Supp. Result Entry'!V145)</f>
        <v/>
      </c>
      <c r="JH147" s="110" t="str">
        <f>IF('Supp. Result Entry'!Y145="","",'Supp. Result Entry'!Y145)</f>
        <v/>
      </c>
      <c r="JI147" s="110" t="str">
        <f>IF('Supp. Result Entry'!AB145="","",'Supp. Result Entry'!AB145)</f>
        <v/>
      </c>
      <c r="JJ147" s="110" t="str">
        <f>IF('Supp. Result Entry'!AE145="","",'Supp. Result Entry'!AE145)</f>
        <v/>
      </c>
      <c r="JK147" s="110" t="str">
        <f>IF('Supp. Result Entry'!AH145="","",'Supp. Result Entry'!AH145)</f>
        <v/>
      </c>
      <c r="JL147" s="110" t="str">
        <f>IF('Supp. Result Entry'!AK145="","",'Supp. Result Entry'!AK145)</f>
        <v/>
      </c>
      <c r="JM147" s="110" t="str">
        <f>IF('Supp. Result Entry'!AN145="","",'Supp. Result Entry'!AN145)</f>
        <v/>
      </c>
      <c r="JN147" s="110">
        <f>COUNTIF('Supp. Result Entry'!K145:Q145,"S")</f>
        <v>0</v>
      </c>
      <c r="JO147" s="110">
        <f t="shared" si="416"/>
        <v>0</v>
      </c>
      <c r="JP147" s="110">
        <f t="shared" si="493"/>
        <v>0</v>
      </c>
      <c r="JQ147" s="110" t="str">
        <f t="shared" si="417"/>
        <v/>
      </c>
      <c r="JR147" s="110" t="str">
        <f t="shared" si="418"/>
        <v/>
      </c>
      <c r="JS147" s="110" t="str">
        <f t="shared" si="419"/>
        <v/>
      </c>
      <c r="JT147" s="110" t="str">
        <f t="shared" si="420"/>
        <v/>
      </c>
      <c r="JU147" s="110" t="str">
        <f t="shared" si="421"/>
        <v/>
      </c>
      <c r="JV147" s="110" t="str">
        <f t="shared" si="422"/>
        <v/>
      </c>
      <c r="JW147" s="110" t="str">
        <f t="shared" si="423"/>
        <v/>
      </c>
      <c r="JX147" s="110" t="str">
        <f t="shared" si="494"/>
        <v/>
      </c>
      <c r="JY147" s="110" t="str">
        <f t="shared" si="495"/>
        <v/>
      </c>
      <c r="JZ147" s="110" t="str">
        <f t="shared" si="424"/>
        <v/>
      </c>
      <c r="KA147" s="108" t="str">
        <f t="shared" si="496"/>
        <v/>
      </c>
    </row>
    <row r="148" spans="1:287" s="108" customFormat="1" ht="21.95" customHeight="1">
      <c r="A148" s="89">
        <v>142</v>
      </c>
      <c r="B148" s="90" t="str">
        <f>IF('Marks Entry'!B148="","",'Marks Entry'!B148)</f>
        <v/>
      </c>
      <c r="C148" s="94" t="str">
        <f>IF('Marks Entry'!D148="","",'Marks Entry'!D148)</f>
        <v/>
      </c>
      <c r="D148" s="91" t="str">
        <f>IF('Marks Entry'!E148="","",'Marks Entry'!E148)</f>
        <v/>
      </c>
      <c r="E148" s="92" t="str">
        <f>IF('Marks Entry'!F148="","",'Marks Entry'!F148)</f>
        <v/>
      </c>
      <c r="F148" s="93" t="str">
        <f>IF('Marks Entry'!G148="","",'Marks Entry'!G148)</f>
        <v/>
      </c>
      <c r="G148" s="93" t="str">
        <f>IF('Marks Entry'!H148="","",'Marks Entry'!H148)</f>
        <v/>
      </c>
      <c r="H148" s="93" t="str">
        <f>IF('Marks Entry'!I148="","",'Marks Entry'!I148)</f>
        <v/>
      </c>
      <c r="I148" s="94" t="str">
        <f>IF('Marks Entry'!J148="","",'Marks Entry'!J148)</f>
        <v/>
      </c>
      <c r="J148" s="95" t="str">
        <f>IF('Marks Entry'!K148="","",'Marks Entry'!K148)</f>
        <v/>
      </c>
      <c r="K148" s="68" t="str">
        <f>IF('Marks Entry'!L148="","",'Marks Entry'!L148)</f>
        <v/>
      </c>
      <c r="L148" s="68" t="str">
        <f>IF('Marks Entry'!M148="","",'Marks Entry'!M148)</f>
        <v/>
      </c>
      <c r="M148" s="68" t="str">
        <f>IF('Marks Entry'!N148="","",'Marks Entry'!N148)</f>
        <v/>
      </c>
      <c r="N148" s="514" t="str">
        <f t="shared" si="425"/>
        <v/>
      </c>
      <c r="O148" s="68" t="str">
        <f>IF('Marks Entry'!O148="","",'Marks Entry'!O148)</f>
        <v/>
      </c>
      <c r="P148" s="515" t="str">
        <f t="shared" si="426"/>
        <v/>
      </c>
      <c r="Q148" s="68" t="str">
        <f>IF('Marks Entry'!P148="","",'Marks Entry'!P148)</f>
        <v/>
      </c>
      <c r="R148" s="96" t="str">
        <f t="shared" si="427"/>
        <v/>
      </c>
      <c r="S148" s="65">
        <f t="shared" si="428"/>
        <v>0</v>
      </c>
      <c r="T148" s="65">
        <f t="shared" si="429"/>
        <v>0</v>
      </c>
      <c r="U148" s="66" t="str">
        <f t="shared" si="339"/>
        <v/>
      </c>
      <c r="V148" s="65" t="str">
        <f t="shared" si="340"/>
        <v/>
      </c>
      <c r="W148" s="65" t="str">
        <f t="shared" si="430"/>
        <v/>
      </c>
      <c r="X148" s="65" t="str">
        <f t="shared" si="341"/>
        <v/>
      </c>
      <c r="Y148" s="68" t="str">
        <f>IF('Marks Entry'!Q148="","",'Marks Entry'!Q148)</f>
        <v/>
      </c>
      <c r="Z148" s="68" t="str">
        <f>IF('Marks Entry'!R148="","",'Marks Entry'!R148)</f>
        <v/>
      </c>
      <c r="AA148" s="68" t="str">
        <f>IF('Marks Entry'!S148="","",'Marks Entry'!S148)</f>
        <v/>
      </c>
      <c r="AB148" s="514" t="str">
        <f t="shared" si="342"/>
        <v/>
      </c>
      <c r="AC148" s="68" t="str">
        <f>IF('Marks Entry'!T148="","",'Marks Entry'!T148)</f>
        <v/>
      </c>
      <c r="AD148" s="515" t="str">
        <f t="shared" si="343"/>
        <v/>
      </c>
      <c r="AE148" s="68" t="str">
        <f>IF('Marks Entry'!U148="","",'Marks Entry'!U148)</f>
        <v/>
      </c>
      <c r="AF148" s="96" t="str">
        <f t="shared" si="344"/>
        <v/>
      </c>
      <c r="AG148" s="65">
        <f t="shared" si="345"/>
        <v>0</v>
      </c>
      <c r="AH148" s="65">
        <f t="shared" si="346"/>
        <v>0</v>
      </c>
      <c r="AI148" s="66" t="str">
        <f t="shared" si="347"/>
        <v/>
      </c>
      <c r="AJ148" s="65" t="str">
        <f t="shared" si="348"/>
        <v/>
      </c>
      <c r="AK148" s="65" t="str">
        <f t="shared" si="349"/>
        <v/>
      </c>
      <c r="AL148" s="65" t="str">
        <f t="shared" si="350"/>
        <v/>
      </c>
      <c r="AM148" s="524" t="str">
        <f>IF('Marks Entry'!V148="","",IF('Marks Entry'!V148=1,'School Profile'!$I$9,IF('Marks Entry'!V148=2,'School Profile'!$I$10,IF('Marks Entry'!V148=3,'School Profile'!$I$11,IF('Marks Entry'!V148=4,'School Profile'!$I$12,IF('Marks Entry'!V148=5,'School Profile'!$I$13,IF('Marks Entry'!V148=6,'School Profile'!$I$14,"")))))))</f>
        <v/>
      </c>
      <c r="AN148" s="68" t="str">
        <f>IF('Marks Entry'!W148="","",'Marks Entry'!W148)</f>
        <v/>
      </c>
      <c r="AO148" s="68" t="str">
        <f>IF('Marks Entry'!X148="","",'Marks Entry'!X148)</f>
        <v/>
      </c>
      <c r="AP148" s="68" t="str">
        <f>IF('Marks Entry'!Y148="","",'Marks Entry'!Y148)</f>
        <v/>
      </c>
      <c r="AQ148" s="514" t="str">
        <f t="shared" si="351"/>
        <v/>
      </c>
      <c r="AR148" s="68" t="str">
        <f>IF('Marks Entry'!Z148="","",'Marks Entry'!Z148)</f>
        <v/>
      </c>
      <c r="AS148" s="515" t="str">
        <f t="shared" si="352"/>
        <v/>
      </c>
      <c r="AT148" s="68" t="str">
        <f>IF('Marks Entry'!AA148="","",'Marks Entry'!AA148)</f>
        <v/>
      </c>
      <c r="AU148" s="96" t="str">
        <f t="shared" si="353"/>
        <v/>
      </c>
      <c r="AV148" s="65">
        <f t="shared" si="354"/>
        <v>0</v>
      </c>
      <c r="AW148" s="65">
        <f t="shared" si="355"/>
        <v>0</v>
      </c>
      <c r="AX148" s="66" t="str">
        <f t="shared" si="356"/>
        <v/>
      </c>
      <c r="AY148" s="65" t="str">
        <f t="shared" si="357"/>
        <v/>
      </c>
      <c r="AZ148" s="65" t="str">
        <f t="shared" si="358"/>
        <v/>
      </c>
      <c r="BA148" s="65" t="str">
        <f t="shared" si="359"/>
        <v/>
      </c>
      <c r="BB148" s="68" t="str">
        <f>IF('Marks Entry'!AB148="","",'Marks Entry'!AB148)</f>
        <v/>
      </c>
      <c r="BC148" s="68" t="str">
        <f>IF('Marks Entry'!AC148="","",'Marks Entry'!AC148)</f>
        <v/>
      </c>
      <c r="BD148" s="68" t="str">
        <f>IF('Marks Entry'!AD148="","",'Marks Entry'!AD148)</f>
        <v/>
      </c>
      <c r="BE148" s="514" t="str">
        <f t="shared" si="360"/>
        <v/>
      </c>
      <c r="BF148" s="68" t="str">
        <f>IF('Marks Entry'!AE148="","",'Marks Entry'!AE148)</f>
        <v/>
      </c>
      <c r="BG148" s="515" t="str">
        <f t="shared" si="361"/>
        <v/>
      </c>
      <c r="BH148" s="68" t="str">
        <f>IF('Marks Entry'!AF148="","",'Marks Entry'!AF148)</f>
        <v/>
      </c>
      <c r="BI148" s="96" t="str">
        <f t="shared" si="362"/>
        <v/>
      </c>
      <c r="BJ148" s="65">
        <f t="shared" si="363"/>
        <v>0</v>
      </c>
      <c r="BK148" s="65">
        <f t="shared" si="431"/>
        <v>0</v>
      </c>
      <c r="BL148" s="66" t="str">
        <f t="shared" si="364"/>
        <v/>
      </c>
      <c r="BM148" s="65" t="str">
        <f t="shared" si="365"/>
        <v/>
      </c>
      <c r="BN148" s="65" t="str">
        <f t="shared" si="366"/>
        <v/>
      </c>
      <c r="BO148" s="65" t="str">
        <f t="shared" si="367"/>
        <v/>
      </c>
      <c r="BP148" s="68" t="str">
        <f>IF('Marks Entry'!AG148="","",'Marks Entry'!AG148)</f>
        <v/>
      </c>
      <c r="BQ148" s="68" t="str">
        <f>IF('Marks Entry'!AH148="","",'Marks Entry'!AH148)</f>
        <v/>
      </c>
      <c r="BR148" s="68" t="str">
        <f>IF('Marks Entry'!AI148="","",'Marks Entry'!AI148)</f>
        <v/>
      </c>
      <c r="BS148" s="514" t="str">
        <f t="shared" si="368"/>
        <v/>
      </c>
      <c r="BT148" s="68" t="str">
        <f>IF('Marks Entry'!AJ148="","",'Marks Entry'!AJ148)</f>
        <v/>
      </c>
      <c r="BU148" s="515" t="str">
        <f t="shared" si="369"/>
        <v/>
      </c>
      <c r="BV148" s="68" t="str">
        <f>IF('Marks Entry'!AK148="","",'Marks Entry'!AK148)</f>
        <v/>
      </c>
      <c r="BW148" s="96" t="str">
        <f t="shared" si="370"/>
        <v/>
      </c>
      <c r="BX148" s="65">
        <f t="shared" si="371"/>
        <v>0</v>
      </c>
      <c r="BY148" s="65">
        <f t="shared" si="372"/>
        <v>0</v>
      </c>
      <c r="BZ148" s="66" t="str">
        <f t="shared" si="373"/>
        <v/>
      </c>
      <c r="CA148" s="65" t="str">
        <f t="shared" si="374"/>
        <v/>
      </c>
      <c r="CB148" s="65" t="str">
        <f t="shared" si="375"/>
        <v/>
      </c>
      <c r="CC148" s="65" t="str">
        <f t="shared" si="376"/>
        <v/>
      </c>
      <c r="CD148" s="66">
        <f t="shared" si="377"/>
        <v>0</v>
      </c>
      <c r="CE148" s="68" t="str">
        <f>IF('Marks Entry'!AL148="","",'Marks Entry'!AL148)</f>
        <v/>
      </c>
      <c r="CF148" s="68" t="str">
        <f>IF('Marks Entry'!AM148="","",'Marks Entry'!AM148)</f>
        <v/>
      </c>
      <c r="CG148" s="68" t="str">
        <f>IF('Marks Entry'!AN148="","",'Marks Entry'!AN148)</f>
        <v/>
      </c>
      <c r="CH148" s="514" t="str">
        <f t="shared" si="378"/>
        <v/>
      </c>
      <c r="CI148" s="68" t="str">
        <f>IF('Marks Entry'!AO148="","",'Marks Entry'!AO148)</f>
        <v/>
      </c>
      <c r="CJ148" s="515" t="str">
        <f t="shared" si="379"/>
        <v/>
      </c>
      <c r="CK148" s="68" t="str">
        <f>IF('Marks Entry'!AP148="","",'Marks Entry'!AP148)</f>
        <v/>
      </c>
      <c r="CL148" s="96" t="str">
        <f t="shared" si="380"/>
        <v/>
      </c>
      <c r="CM148" s="65">
        <f t="shared" si="381"/>
        <v>0</v>
      </c>
      <c r="CN148" s="65">
        <f t="shared" si="382"/>
        <v>0</v>
      </c>
      <c r="CO148" s="66" t="str">
        <f t="shared" si="383"/>
        <v/>
      </c>
      <c r="CP148" s="65" t="str">
        <f t="shared" si="384"/>
        <v/>
      </c>
      <c r="CQ148" s="65" t="str">
        <f t="shared" si="385"/>
        <v/>
      </c>
      <c r="CR148" s="65" t="str">
        <f t="shared" si="386"/>
        <v/>
      </c>
      <c r="CS148" s="616" t="str">
        <f>IF('School Profile'!$D$20="NO","",IF('Marks Entry'!AQ148="","",IF('Marks Entry'!AQ148=1,'School Profile'!$I$29,IF('Marks Entry'!AQ148=2,'School Profile'!$I$30,IF('Marks Entry'!AQ148=3,'School Profile'!$I$31,IF('Marks Entry'!AQ148=4,'School Profile'!$I$32,IF('Marks Entry'!AQ148=5,'School Profile'!$I$33,IF('Marks Entry'!AQ148=6,'School Profile'!$I$34,IF('Marks Entry'!AQ148=7,'School Profile'!$I$35,IF('Marks Entry'!AQ148=8,'School Profile'!$I$36,IF('Marks Entry'!AQ148=9,'School Profile'!$I$37,IF('Marks Entry'!AQ148=10,'School Profile'!$I$38,IF('Marks Entry'!AQ148=11,'School Profile'!$I$39,"")))))))))))))</f>
        <v/>
      </c>
      <c r="CT148" s="68" t="str">
        <f>IF('School Profile'!$D$20="NO","",IF('Marks Entry'!AR148="","",'Marks Entry'!AR148))</f>
        <v/>
      </c>
      <c r="CU148" s="68" t="str">
        <f>IF('School Profile'!$D$20="NO","",IF('Marks Entry'!AS148="","",'Marks Entry'!AS148))</f>
        <v/>
      </c>
      <c r="CV148" s="68" t="str">
        <f>IF('School Profile'!$D$20="NO","",IF('Marks Entry'!AT148="","",'Marks Entry'!AT148))</f>
        <v/>
      </c>
      <c r="CW148" s="514" t="str">
        <f>IF('School Profile'!$D$20="NO","",IF(AND(CT148="",CU148="",CV148=""),"",SUM(CT148:CV148)))</f>
        <v/>
      </c>
      <c r="CX148" s="68" t="str">
        <f>IF('School Profile'!$D$20="NO","",IF('Marks Entry'!AU148="","",'Marks Entry'!AU148))</f>
        <v/>
      </c>
      <c r="CY148" s="68" t="str">
        <f>IF('School Profile'!$D$20="NO","",IF('Marks Entry'!AV148="","",'Marks Entry'!AV148))</f>
        <v/>
      </c>
      <c r="CZ148" s="515" t="str">
        <f>IF('School Profile'!$D$20="NO","",IF(AND(CX148="",CY148=""),"",SUM(CX148,CY148)))</f>
        <v/>
      </c>
      <c r="DA148" s="69" t="str">
        <f>IF('School Profile'!$D$20="NO","",IF(AND(CW148="",CZ148=""),"",SUM(CW148+CZ148)))</f>
        <v/>
      </c>
      <c r="DB148" s="68" t="str">
        <f>IF('School Profile'!$D$20="NO","",IF('Marks Entry'!AW148="","",'Marks Entry'!AW148))</f>
        <v/>
      </c>
      <c r="DC148" s="68" t="str">
        <f>IF('School Profile'!$D$20="NO","",IF('Marks Entry'!AX148="","",'Marks Entry'!AX148))</f>
        <v/>
      </c>
      <c r="DD148" s="515" t="str">
        <f>IF('School Profile'!$D$20="NO","",IF(AND(DB148="",DC148=""),"",SUM(DB148,DC148)))</f>
        <v/>
      </c>
      <c r="DE148" s="96" t="str">
        <f>IF('School Profile'!$D$20="NO","",IF(AND(DA148="",DD148=""),"",SUM(DA148,DD148)))</f>
        <v/>
      </c>
      <c r="DF148" s="532">
        <f t="shared" si="387"/>
        <v>0</v>
      </c>
      <c r="DG148" s="65">
        <f t="shared" si="388"/>
        <v>0</v>
      </c>
      <c r="DH148" s="66" t="str">
        <f t="shared" si="389"/>
        <v/>
      </c>
      <c r="DI148" s="65" t="str">
        <f t="shared" si="390"/>
        <v/>
      </c>
      <c r="DJ148" s="65" t="str">
        <f t="shared" si="391"/>
        <v/>
      </c>
      <c r="DK148" s="65" t="str">
        <f t="shared" si="392"/>
        <v/>
      </c>
      <c r="DL148" s="97" t="str">
        <f t="shared" si="432"/>
        <v/>
      </c>
      <c r="DM148" s="97" t="str">
        <f t="shared" si="433"/>
        <v/>
      </c>
      <c r="DN148" s="97" t="str">
        <f t="shared" si="434"/>
        <v/>
      </c>
      <c r="DO148" s="97" t="str">
        <f t="shared" si="435"/>
        <v/>
      </c>
      <c r="DP148" s="97" t="str">
        <f t="shared" si="436"/>
        <v/>
      </c>
      <c r="DQ148" s="97" t="str">
        <f t="shared" si="437"/>
        <v/>
      </c>
      <c r="DR148" s="97" t="str">
        <f t="shared" si="438"/>
        <v/>
      </c>
      <c r="DS148" s="98">
        <f t="shared" si="439"/>
        <v>0</v>
      </c>
      <c r="DT148" s="98">
        <f t="shared" si="440"/>
        <v>0</v>
      </c>
      <c r="DU148" s="98">
        <f t="shared" si="441"/>
        <v>0</v>
      </c>
      <c r="DV148" s="98">
        <f t="shared" si="442"/>
        <v>0</v>
      </c>
      <c r="DW148" s="98">
        <f t="shared" si="443"/>
        <v>0</v>
      </c>
      <c r="DX148" s="98" t="str">
        <f t="shared" si="444"/>
        <v/>
      </c>
      <c r="DY148" s="99" t="str">
        <f t="shared" si="445"/>
        <v/>
      </c>
      <c r="DZ148" s="74" t="str">
        <f>IF('Marks Entry'!AY148="","",'Marks Entry'!AY148)</f>
        <v/>
      </c>
      <c r="EA148" s="74" t="str">
        <f>IF('Marks Entry'!AZ148="","",'Marks Entry'!AZ148)</f>
        <v/>
      </c>
      <c r="EB148" s="74" t="str">
        <f>IF('Marks Entry'!BA148="","",'Marks Entry'!BA148)</f>
        <v/>
      </c>
      <c r="EC148" s="527" t="str">
        <f t="shared" si="393"/>
        <v/>
      </c>
      <c r="ED148" s="74" t="str">
        <f>IF('Marks Entry'!BB148="","",'Marks Entry'!BB148)</f>
        <v/>
      </c>
      <c r="EE148" s="528" t="str">
        <f t="shared" si="394"/>
        <v/>
      </c>
      <c r="EF148" s="74" t="str">
        <f>IF('Marks Entry'!BC148="","",'Marks Entry'!BC148)</f>
        <v/>
      </c>
      <c r="EG148" s="530" t="str">
        <f t="shared" si="395"/>
        <v/>
      </c>
      <c r="EH148" s="368" t="str">
        <f t="shared" si="446"/>
        <v/>
      </c>
      <c r="EI148" s="65">
        <f t="shared" si="447"/>
        <v>0</v>
      </c>
      <c r="EJ148" s="65">
        <f t="shared" si="448"/>
        <v>0</v>
      </c>
      <c r="EK148" s="66" t="str">
        <f t="shared" si="449"/>
        <v/>
      </c>
      <c r="EL148" s="74" t="str">
        <f>IF('Marks Entry'!BD148="","",'Marks Entry'!BD148)</f>
        <v/>
      </c>
      <c r="EM148" s="74" t="str">
        <f>IF('Marks Entry'!BE148="","",'Marks Entry'!BE148)</f>
        <v/>
      </c>
      <c r="EN148" s="74" t="str">
        <f>IF('Marks Entry'!BF148="","",'Marks Entry'!BF148)</f>
        <v/>
      </c>
      <c r="EO148" s="527" t="str">
        <f t="shared" si="396"/>
        <v/>
      </c>
      <c r="EP148" s="74" t="str">
        <f>IF('Marks Entry'!BG148="","",'Marks Entry'!BG148)</f>
        <v/>
      </c>
      <c r="EQ148" s="74" t="str">
        <f>IF('Marks Entry'!BH148="","",'Marks Entry'!BH148)</f>
        <v/>
      </c>
      <c r="ER148" s="528" t="str">
        <f t="shared" si="397"/>
        <v/>
      </c>
      <c r="ES148" s="529" t="str">
        <f t="shared" si="398"/>
        <v/>
      </c>
      <c r="ET148" s="74" t="str">
        <f>IF('Marks Entry'!BI148="","",'Marks Entry'!BI148)</f>
        <v/>
      </c>
      <c r="EU148" s="74" t="str">
        <f>IF('Marks Entry'!BJ148="","",'Marks Entry'!BJ148)</f>
        <v/>
      </c>
      <c r="EV148" s="528" t="str">
        <f t="shared" si="399"/>
        <v/>
      </c>
      <c r="EW148" s="530" t="str">
        <f t="shared" si="400"/>
        <v/>
      </c>
      <c r="EX148" s="368" t="str">
        <f t="shared" si="450"/>
        <v/>
      </c>
      <c r="EY148" s="65">
        <f t="shared" si="451"/>
        <v>0</v>
      </c>
      <c r="EZ148" s="65">
        <f t="shared" si="452"/>
        <v>0</v>
      </c>
      <c r="FA148" s="66" t="str">
        <f t="shared" si="453"/>
        <v/>
      </c>
      <c r="FB148" s="74" t="str">
        <f>IF('Marks Entry'!BK148="","",'Marks Entry'!BK148)</f>
        <v/>
      </c>
      <c r="FC148" s="74" t="str">
        <f>IF('Marks Entry'!BL148="","",'Marks Entry'!BL148)</f>
        <v/>
      </c>
      <c r="FD148" s="74" t="str">
        <f>IF('Marks Entry'!BM148="","",'Marks Entry'!BM148)</f>
        <v/>
      </c>
      <c r="FE148" s="74" t="str">
        <f>IF('Marks Entry'!BN148="","",'Marks Entry'!BN148)</f>
        <v/>
      </c>
      <c r="FF148" s="74" t="str">
        <f>IF('Marks Entry'!BO148="","",'Marks Entry'!BO148)</f>
        <v/>
      </c>
      <c r="FG148" s="74" t="str">
        <f>IF('Marks Entry'!BP148="","",'Marks Entry'!BP148)</f>
        <v/>
      </c>
      <c r="FH148" s="527" t="str">
        <f t="shared" si="401"/>
        <v/>
      </c>
      <c r="FI148" s="74" t="str">
        <f>IF('Marks Entry'!BQ148="","",'Marks Entry'!BQ148)</f>
        <v/>
      </c>
      <c r="FJ148" s="74" t="str">
        <f>IF('Marks Entry'!BR148="","",'Marks Entry'!BR148)</f>
        <v/>
      </c>
      <c r="FK148" s="528" t="str">
        <f t="shared" si="402"/>
        <v/>
      </c>
      <c r="FL148" s="529" t="str">
        <f t="shared" si="403"/>
        <v/>
      </c>
      <c r="FM148" s="74" t="str">
        <f>IF('Marks Entry'!BS148="","",'Marks Entry'!BS148)</f>
        <v/>
      </c>
      <c r="FN148" s="74" t="str">
        <f>IF('Marks Entry'!BT148="","",'Marks Entry'!BT148)</f>
        <v/>
      </c>
      <c r="FO148" s="528" t="str">
        <f t="shared" si="404"/>
        <v/>
      </c>
      <c r="FP148" s="530" t="str">
        <f t="shared" si="405"/>
        <v/>
      </c>
      <c r="FQ148" s="368" t="str">
        <f t="shared" si="454"/>
        <v/>
      </c>
      <c r="FR148" s="65">
        <f t="shared" si="455"/>
        <v>0</v>
      </c>
      <c r="FS148" s="65">
        <f t="shared" si="456"/>
        <v>0</v>
      </c>
      <c r="FT148" s="66" t="str">
        <f t="shared" si="457"/>
        <v/>
      </c>
      <c r="FU148" s="74" t="str">
        <f>IF('Marks Entry'!BU148="","",'Marks Entry'!BU148)</f>
        <v/>
      </c>
      <c r="FV148" s="74" t="str">
        <f>IF('Marks Entry'!BV148="","",'Marks Entry'!BV148)</f>
        <v/>
      </c>
      <c r="FW148" s="74" t="str">
        <f>IF('Marks Entry'!BW148="","",'Marks Entry'!BW148)</f>
        <v/>
      </c>
      <c r="FX148" s="75" t="str">
        <f t="shared" si="406"/>
        <v/>
      </c>
      <c r="FY148" s="368" t="str">
        <f t="shared" si="458"/>
        <v/>
      </c>
      <c r="FZ148" s="65">
        <f t="shared" si="459"/>
        <v>0</v>
      </c>
      <c r="GA148" s="66">
        <f t="shared" si="460"/>
        <v>0</v>
      </c>
      <c r="GB148" s="66" t="str">
        <f t="shared" si="461"/>
        <v/>
      </c>
      <c r="GC148" s="74" t="str">
        <f>IF('Marks Entry'!BX148="","",'Marks Entry'!BX148)</f>
        <v/>
      </c>
      <c r="GD148" s="74" t="str">
        <f>IF('Marks Entry'!BY148="","",'Marks Entry'!BY148)</f>
        <v/>
      </c>
      <c r="GE148" s="74" t="str">
        <f>IF('Marks Entry'!BZ148="","",'Marks Entry'!BZ148)</f>
        <v/>
      </c>
      <c r="GF148" s="75" t="str">
        <f t="shared" si="462"/>
        <v/>
      </c>
      <c r="GG148" s="368" t="str">
        <f t="shared" si="463"/>
        <v/>
      </c>
      <c r="GH148" s="65">
        <f t="shared" si="464"/>
        <v>0</v>
      </c>
      <c r="GI148" s="66">
        <f t="shared" si="465"/>
        <v>0</v>
      </c>
      <c r="GJ148" s="66" t="str">
        <f t="shared" si="466"/>
        <v/>
      </c>
      <c r="GK148" s="100" t="str">
        <f>IF(AND(F148="",B148=""),"",IF('Student DATA Entry'!M145="","",'Student DATA Entry'!M145))</f>
        <v/>
      </c>
      <c r="GL148" s="101" t="str">
        <f>IF(AND(B148="",F148=""),"",IF('Student DATA Entry'!N145="","",'Student DATA Entry'!N145))</f>
        <v/>
      </c>
      <c r="GM148" s="581" t="str">
        <f t="shared" si="467"/>
        <v/>
      </c>
      <c r="GN148" s="94" t="str">
        <f t="shared" si="468"/>
        <v/>
      </c>
      <c r="GO148" s="94" t="str">
        <f t="shared" si="469"/>
        <v/>
      </c>
      <c r="GP148" s="102" t="str">
        <f t="shared" si="407"/>
        <v/>
      </c>
      <c r="GQ148" s="94" t="str">
        <f t="shared" si="470"/>
        <v/>
      </c>
      <c r="GR148" s="103" t="str">
        <f t="shared" si="471"/>
        <v/>
      </c>
      <c r="GS148" s="102" t="str">
        <f t="shared" si="408"/>
        <v/>
      </c>
      <c r="GT148" s="104" t="str">
        <f t="shared" si="472"/>
        <v/>
      </c>
      <c r="GU148" s="94" t="str">
        <f>IF('Marks Entry'!V148=1,GT148,"")</f>
        <v/>
      </c>
      <c r="GV148" s="94" t="str">
        <f>IF('Marks Entry'!V148=2,GT148,"")</f>
        <v/>
      </c>
      <c r="GW148" s="94" t="str">
        <f>IF('Marks Entry'!V148=3,GT148,"")</f>
        <v/>
      </c>
      <c r="GX148" s="94" t="str">
        <f>IF('Marks Entry'!V148=4,GT148,"")</f>
        <v/>
      </c>
      <c r="GY148" s="94" t="str">
        <f>IF('Marks Entry'!V148=5,GT148,"")</f>
        <v/>
      </c>
      <c r="GZ148" s="94" t="str">
        <f t="shared" si="473"/>
        <v/>
      </c>
      <c r="HA148" s="105" t="str">
        <f t="shared" si="409"/>
        <v/>
      </c>
      <c r="HB148" s="94" t="str">
        <f t="shared" si="474"/>
        <v/>
      </c>
      <c r="HC148" s="94" t="str">
        <f t="shared" si="475"/>
        <v/>
      </c>
      <c r="HD148" s="105" t="str">
        <f t="shared" si="410"/>
        <v/>
      </c>
      <c r="HE148" s="94" t="str">
        <f t="shared" si="476"/>
        <v/>
      </c>
      <c r="HF148" s="94" t="str">
        <f t="shared" si="477"/>
        <v/>
      </c>
      <c r="HG148" s="105" t="str">
        <f t="shared" si="411"/>
        <v/>
      </c>
      <c r="HH148" s="94" t="str">
        <f t="shared" si="478"/>
        <v/>
      </c>
      <c r="HI148" s="94" t="str">
        <f t="shared" si="479"/>
        <v/>
      </c>
      <c r="HJ148" s="105" t="str">
        <f t="shared" si="412"/>
        <v/>
      </c>
      <c r="HK148" s="94" t="str">
        <f t="shared" si="480"/>
        <v/>
      </c>
      <c r="HL148" s="94" t="str">
        <f t="shared" si="481"/>
        <v/>
      </c>
      <c r="HM148" s="105" t="str">
        <f t="shared" si="413"/>
        <v/>
      </c>
      <c r="HN148" s="367" t="str">
        <f t="shared" si="482"/>
        <v xml:space="preserve">      </v>
      </c>
      <c r="HO148" s="418" t="str">
        <f t="shared" si="414"/>
        <v xml:space="preserve">      </v>
      </c>
      <c r="HP148" s="367" t="str">
        <f t="shared" si="483"/>
        <v xml:space="preserve">      </v>
      </c>
      <c r="HQ148" s="107" t="str">
        <f t="shared" si="484"/>
        <v xml:space="preserve">      </v>
      </c>
      <c r="HR148" s="366" t="str">
        <f t="shared" si="485"/>
        <v xml:space="preserve">      </v>
      </c>
      <c r="HS148" s="544" t="str">
        <f t="shared" si="415"/>
        <v/>
      </c>
      <c r="HT148" s="542" t="str">
        <f t="shared" si="486"/>
        <v/>
      </c>
      <c r="HU148" s="541" t="str">
        <f t="shared" si="487"/>
        <v/>
      </c>
      <c r="HV148" s="540" t="str">
        <f t="shared" si="488"/>
        <v/>
      </c>
      <c r="HW148" s="537" t="str">
        <f t="shared" si="489"/>
        <v/>
      </c>
      <c r="HX148" s="539" t="str">
        <f t="shared" si="490"/>
        <v/>
      </c>
      <c r="HY148" s="553" t="str">
        <f>IFERROR(IF(OR(HS148="SUPPLEMENTARY",HS148="RE-EXAM"),'Supp. Result Entry'!AQ146,""),"")</f>
        <v/>
      </c>
      <c r="HZ148" s="538" t="str">
        <f t="shared" si="491"/>
        <v/>
      </c>
      <c r="IA148" s="415" t="str">
        <f t="shared" si="492"/>
        <v/>
      </c>
      <c r="IB148" s="415" t="str">
        <f>IF(AND(HZ148="",IA148=""),"",IF(OR(HS148="SUPPLEMENTARY",HS148="RE-EXAM"),'Supp. Result Entry'!AQ146,HS148))</f>
        <v/>
      </c>
      <c r="IC148" s="87"/>
      <c r="IS148" s="109" t="str">
        <f>IF('Supp. Result Entry'!T146="","",'Supp. Result Entry'!$T$4)</f>
        <v/>
      </c>
      <c r="IT148" s="110" t="str">
        <f>IF('Supp. Result Entry'!W146="","",'Supp. Result Entry'!$W$4)</f>
        <v/>
      </c>
      <c r="IU148" s="110" t="str">
        <f>IF('Supp. Result Entry'!Z146="","",'Supp. Result Entry'!$Z$4)</f>
        <v/>
      </c>
      <c r="IV148" s="110" t="str">
        <f>IF('Supp. Result Entry'!AC146="","",'Supp. Result Entry'!$AC$4)</f>
        <v/>
      </c>
      <c r="IW148" s="110" t="str">
        <f>IF('Supp. Result Entry'!AF146="","",'Supp. Result Entry'!$AF$4)</f>
        <v/>
      </c>
      <c r="IX148" s="110" t="str">
        <f>IF('Supp. Result Entry'!AI146="","",'Supp. Result Entry'!$AI$4)</f>
        <v/>
      </c>
      <c r="IY148" s="110" t="str">
        <f>IF('Supp. Result Entry'!AI146="","",'Supp. Result Entry'!$AL$4)</f>
        <v/>
      </c>
      <c r="IZ148" s="110" t="str">
        <f>IF('Supp. Result Entry'!U146="","",'Supp. Result Entry'!U146)</f>
        <v/>
      </c>
      <c r="JA148" s="110" t="str">
        <f>IF('Supp. Result Entry'!X146="","",'Supp. Result Entry'!X146)</f>
        <v/>
      </c>
      <c r="JB148" s="110" t="str">
        <f>IF('Supp. Result Entry'!AA146="","",'Supp. Result Entry'!AA146)</f>
        <v/>
      </c>
      <c r="JC148" s="110" t="str">
        <f>IF('Supp. Result Entry'!AD146="","",'Supp. Result Entry'!AD146)</f>
        <v/>
      </c>
      <c r="JD148" s="110" t="str">
        <f>IF('Supp. Result Entry'!AG146="","",'Supp. Result Entry'!AG146)</f>
        <v/>
      </c>
      <c r="JE148" s="110" t="str">
        <f>IF('Supp. Result Entry'!AJ146="","",'Supp. Result Entry'!AJ146)</f>
        <v/>
      </c>
      <c r="JF148" s="110" t="str">
        <f>IF('Supp. Result Entry'!AM146="","",'Supp. Result Entry'!AM146)</f>
        <v/>
      </c>
      <c r="JG148" s="110" t="str">
        <f>IF('Supp. Result Entry'!V146="","",'Supp. Result Entry'!V146)</f>
        <v/>
      </c>
      <c r="JH148" s="110" t="str">
        <f>IF('Supp. Result Entry'!Y146="","",'Supp. Result Entry'!Y146)</f>
        <v/>
      </c>
      <c r="JI148" s="110" t="str">
        <f>IF('Supp. Result Entry'!AB146="","",'Supp. Result Entry'!AB146)</f>
        <v/>
      </c>
      <c r="JJ148" s="110" t="str">
        <f>IF('Supp. Result Entry'!AE146="","",'Supp. Result Entry'!AE146)</f>
        <v/>
      </c>
      <c r="JK148" s="110" t="str">
        <f>IF('Supp. Result Entry'!AH146="","",'Supp. Result Entry'!AH146)</f>
        <v/>
      </c>
      <c r="JL148" s="110" t="str">
        <f>IF('Supp. Result Entry'!AK146="","",'Supp. Result Entry'!AK146)</f>
        <v/>
      </c>
      <c r="JM148" s="110" t="str">
        <f>IF('Supp. Result Entry'!AN146="","",'Supp. Result Entry'!AN146)</f>
        <v/>
      </c>
      <c r="JN148" s="110">
        <f>COUNTIF('Supp. Result Entry'!K146:Q146,"S")</f>
        <v>0</v>
      </c>
      <c r="JO148" s="110">
        <f t="shared" si="416"/>
        <v>0</v>
      </c>
      <c r="JP148" s="110">
        <f t="shared" si="493"/>
        <v>0</v>
      </c>
      <c r="JQ148" s="110" t="str">
        <f t="shared" si="417"/>
        <v/>
      </c>
      <c r="JR148" s="110" t="str">
        <f t="shared" si="418"/>
        <v/>
      </c>
      <c r="JS148" s="110" t="str">
        <f t="shared" si="419"/>
        <v/>
      </c>
      <c r="JT148" s="110" t="str">
        <f t="shared" si="420"/>
        <v/>
      </c>
      <c r="JU148" s="110" t="str">
        <f t="shared" si="421"/>
        <v/>
      </c>
      <c r="JV148" s="110" t="str">
        <f t="shared" si="422"/>
        <v/>
      </c>
      <c r="JW148" s="110" t="str">
        <f t="shared" si="423"/>
        <v/>
      </c>
      <c r="JX148" s="110" t="str">
        <f t="shared" si="494"/>
        <v/>
      </c>
      <c r="JY148" s="110" t="str">
        <f t="shared" si="495"/>
        <v/>
      </c>
      <c r="JZ148" s="110" t="str">
        <f t="shared" si="424"/>
        <v/>
      </c>
      <c r="KA148" s="108" t="str">
        <f t="shared" si="496"/>
        <v/>
      </c>
    </row>
    <row r="149" spans="1:287" s="108" customFormat="1" ht="21.95" customHeight="1">
      <c r="A149" s="89">
        <v>143</v>
      </c>
      <c r="B149" s="90" t="str">
        <f>IF('Marks Entry'!B149="","",'Marks Entry'!B149)</f>
        <v/>
      </c>
      <c r="C149" s="94" t="str">
        <f>IF('Marks Entry'!D149="","",'Marks Entry'!D149)</f>
        <v/>
      </c>
      <c r="D149" s="91" t="str">
        <f>IF('Marks Entry'!E149="","",'Marks Entry'!E149)</f>
        <v/>
      </c>
      <c r="E149" s="92" t="str">
        <f>IF('Marks Entry'!F149="","",'Marks Entry'!F149)</f>
        <v/>
      </c>
      <c r="F149" s="93" t="str">
        <f>IF('Marks Entry'!G149="","",'Marks Entry'!G149)</f>
        <v/>
      </c>
      <c r="G149" s="93" t="str">
        <f>IF('Marks Entry'!H149="","",'Marks Entry'!H149)</f>
        <v/>
      </c>
      <c r="H149" s="93" t="str">
        <f>IF('Marks Entry'!I149="","",'Marks Entry'!I149)</f>
        <v/>
      </c>
      <c r="I149" s="94" t="str">
        <f>IF('Marks Entry'!J149="","",'Marks Entry'!J149)</f>
        <v/>
      </c>
      <c r="J149" s="95" t="str">
        <f>IF('Marks Entry'!K149="","",'Marks Entry'!K149)</f>
        <v/>
      </c>
      <c r="K149" s="68" t="str">
        <f>IF('Marks Entry'!L149="","",'Marks Entry'!L149)</f>
        <v/>
      </c>
      <c r="L149" s="68" t="str">
        <f>IF('Marks Entry'!M149="","",'Marks Entry'!M149)</f>
        <v/>
      </c>
      <c r="M149" s="68" t="str">
        <f>IF('Marks Entry'!N149="","",'Marks Entry'!N149)</f>
        <v/>
      </c>
      <c r="N149" s="514" t="str">
        <f t="shared" si="425"/>
        <v/>
      </c>
      <c r="O149" s="68" t="str">
        <f>IF('Marks Entry'!O149="","",'Marks Entry'!O149)</f>
        <v/>
      </c>
      <c r="P149" s="515" t="str">
        <f t="shared" si="426"/>
        <v/>
      </c>
      <c r="Q149" s="68" t="str">
        <f>IF('Marks Entry'!P149="","",'Marks Entry'!P149)</f>
        <v/>
      </c>
      <c r="R149" s="96" t="str">
        <f t="shared" si="427"/>
        <v/>
      </c>
      <c r="S149" s="65">
        <f t="shared" si="428"/>
        <v>0</v>
      </c>
      <c r="T149" s="65">
        <f t="shared" si="429"/>
        <v>0</v>
      </c>
      <c r="U149" s="66" t="str">
        <f t="shared" si="339"/>
        <v/>
      </c>
      <c r="V149" s="65" t="str">
        <f t="shared" si="340"/>
        <v/>
      </c>
      <c r="W149" s="65" t="str">
        <f t="shared" si="430"/>
        <v/>
      </c>
      <c r="X149" s="65" t="str">
        <f t="shared" si="341"/>
        <v/>
      </c>
      <c r="Y149" s="68" t="str">
        <f>IF('Marks Entry'!Q149="","",'Marks Entry'!Q149)</f>
        <v/>
      </c>
      <c r="Z149" s="68" t="str">
        <f>IF('Marks Entry'!R149="","",'Marks Entry'!R149)</f>
        <v/>
      </c>
      <c r="AA149" s="68" t="str">
        <f>IF('Marks Entry'!S149="","",'Marks Entry'!S149)</f>
        <v/>
      </c>
      <c r="AB149" s="514" t="str">
        <f t="shared" si="342"/>
        <v/>
      </c>
      <c r="AC149" s="68" t="str">
        <f>IF('Marks Entry'!T149="","",'Marks Entry'!T149)</f>
        <v/>
      </c>
      <c r="AD149" s="515" t="str">
        <f t="shared" si="343"/>
        <v/>
      </c>
      <c r="AE149" s="68" t="str">
        <f>IF('Marks Entry'!U149="","",'Marks Entry'!U149)</f>
        <v/>
      </c>
      <c r="AF149" s="96" t="str">
        <f t="shared" si="344"/>
        <v/>
      </c>
      <c r="AG149" s="65">
        <f t="shared" si="345"/>
        <v>0</v>
      </c>
      <c r="AH149" s="65">
        <f t="shared" si="346"/>
        <v>0</v>
      </c>
      <c r="AI149" s="66" t="str">
        <f t="shared" si="347"/>
        <v/>
      </c>
      <c r="AJ149" s="65" t="str">
        <f t="shared" si="348"/>
        <v/>
      </c>
      <c r="AK149" s="65" t="str">
        <f t="shared" si="349"/>
        <v/>
      </c>
      <c r="AL149" s="65" t="str">
        <f t="shared" si="350"/>
        <v/>
      </c>
      <c r="AM149" s="524" t="str">
        <f>IF('Marks Entry'!V149="","",IF('Marks Entry'!V149=1,'School Profile'!$I$9,IF('Marks Entry'!V149=2,'School Profile'!$I$10,IF('Marks Entry'!V149=3,'School Profile'!$I$11,IF('Marks Entry'!V149=4,'School Profile'!$I$12,IF('Marks Entry'!V149=5,'School Profile'!$I$13,IF('Marks Entry'!V149=6,'School Profile'!$I$14,"")))))))</f>
        <v/>
      </c>
      <c r="AN149" s="68" t="str">
        <f>IF('Marks Entry'!W149="","",'Marks Entry'!W149)</f>
        <v/>
      </c>
      <c r="AO149" s="68" t="str">
        <f>IF('Marks Entry'!X149="","",'Marks Entry'!X149)</f>
        <v/>
      </c>
      <c r="AP149" s="68" t="str">
        <f>IF('Marks Entry'!Y149="","",'Marks Entry'!Y149)</f>
        <v/>
      </c>
      <c r="AQ149" s="514" t="str">
        <f t="shared" si="351"/>
        <v/>
      </c>
      <c r="AR149" s="68" t="str">
        <f>IF('Marks Entry'!Z149="","",'Marks Entry'!Z149)</f>
        <v/>
      </c>
      <c r="AS149" s="515" t="str">
        <f t="shared" si="352"/>
        <v/>
      </c>
      <c r="AT149" s="68" t="str">
        <f>IF('Marks Entry'!AA149="","",'Marks Entry'!AA149)</f>
        <v/>
      </c>
      <c r="AU149" s="96" t="str">
        <f t="shared" si="353"/>
        <v/>
      </c>
      <c r="AV149" s="65">
        <f t="shared" si="354"/>
        <v>0</v>
      </c>
      <c r="AW149" s="65">
        <f t="shared" si="355"/>
        <v>0</v>
      </c>
      <c r="AX149" s="66" t="str">
        <f t="shared" si="356"/>
        <v/>
      </c>
      <c r="AY149" s="65" t="str">
        <f t="shared" si="357"/>
        <v/>
      </c>
      <c r="AZ149" s="65" t="str">
        <f t="shared" si="358"/>
        <v/>
      </c>
      <c r="BA149" s="65" t="str">
        <f t="shared" si="359"/>
        <v/>
      </c>
      <c r="BB149" s="68" t="str">
        <f>IF('Marks Entry'!AB149="","",'Marks Entry'!AB149)</f>
        <v/>
      </c>
      <c r="BC149" s="68" t="str">
        <f>IF('Marks Entry'!AC149="","",'Marks Entry'!AC149)</f>
        <v/>
      </c>
      <c r="BD149" s="68" t="str">
        <f>IF('Marks Entry'!AD149="","",'Marks Entry'!AD149)</f>
        <v/>
      </c>
      <c r="BE149" s="514" t="str">
        <f t="shared" si="360"/>
        <v/>
      </c>
      <c r="BF149" s="68" t="str">
        <f>IF('Marks Entry'!AE149="","",'Marks Entry'!AE149)</f>
        <v/>
      </c>
      <c r="BG149" s="515" t="str">
        <f t="shared" si="361"/>
        <v/>
      </c>
      <c r="BH149" s="68" t="str">
        <f>IF('Marks Entry'!AF149="","",'Marks Entry'!AF149)</f>
        <v/>
      </c>
      <c r="BI149" s="96" t="str">
        <f t="shared" si="362"/>
        <v/>
      </c>
      <c r="BJ149" s="65">
        <f t="shared" si="363"/>
        <v>0</v>
      </c>
      <c r="BK149" s="65">
        <f t="shared" si="431"/>
        <v>0</v>
      </c>
      <c r="BL149" s="66" t="str">
        <f t="shared" si="364"/>
        <v/>
      </c>
      <c r="BM149" s="65" t="str">
        <f t="shared" si="365"/>
        <v/>
      </c>
      <c r="BN149" s="65" t="str">
        <f t="shared" si="366"/>
        <v/>
      </c>
      <c r="BO149" s="65" t="str">
        <f t="shared" si="367"/>
        <v/>
      </c>
      <c r="BP149" s="68" t="str">
        <f>IF('Marks Entry'!AG149="","",'Marks Entry'!AG149)</f>
        <v/>
      </c>
      <c r="BQ149" s="68" t="str">
        <f>IF('Marks Entry'!AH149="","",'Marks Entry'!AH149)</f>
        <v/>
      </c>
      <c r="BR149" s="68" t="str">
        <f>IF('Marks Entry'!AI149="","",'Marks Entry'!AI149)</f>
        <v/>
      </c>
      <c r="BS149" s="514" t="str">
        <f t="shared" si="368"/>
        <v/>
      </c>
      <c r="BT149" s="68" t="str">
        <f>IF('Marks Entry'!AJ149="","",'Marks Entry'!AJ149)</f>
        <v/>
      </c>
      <c r="BU149" s="515" t="str">
        <f t="shared" si="369"/>
        <v/>
      </c>
      <c r="BV149" s="68" t="str">
        <f>IF('Marks Entry'!AK149="","",'Marks Entry'!AK149)</f>
        <v/>
      </c>
      <c r="BW149" s="96" t="str">
        <f t="shared" si="370"/>
        <v/>
      </c>
      <c r="BX149" s="65">
        <f t="shared" si="371"/>
        <v>0</v>
      </c>
      <c r="BY149" s="65">
        <f t="shared" si="372"/>
        <v>0</v>
      </c>
      <c r="BZ149" s="66" t="str">
        <f t="shared" si="373"/>
        <v/>
      </c>
      <c r="CA149" s="65" t="str">
        <f t="shared" si="374"/>
        <v/>
      </c>
      <c r="CB149" s="65" t="str">
        <f t="shared" si="375"/>
        <v/>
      </c>
      <c r="CC149" s="65" t="str">
        <f t="shared" si="376"/>
        <v/>
      </c>
      <c r="CD149" s="66">
        <f t="shared" si="377"/>
        <v>0</v>
      </c>
      <c r="CE149" s="68" t="str">
        <f>IF('Marks Entry'!AL149="","",'Marks Entry'!AL149)</f>
        <v/>
      </c>
      <c r="CF149" s="68" t="str">
        <f>IF('Marks Entry'!AM149="","",'Marks Entry'!AM149)</f>
        <v/>
      </c>
      <c r="CG149" s="68" t="str">
        <f>IF('Marks Entry'!AN149="","",'Marks Entry'!AN149)</f>
        <v/>
      </c>
      <c r="CH149" s="514" t="str">
        <f t="shared" si="378"/>
        <v/>
      </c>
      <c r="CI149" s="68" t="str">
        <f>IF('Marks Entry'!AO149="","",'Marks Entry'!AO149)</f>
        <v/>
      </c>
      <c r="CJ149" s="515" t="str">
        <f t="shared" si="379"/>
        <v/>
      </c>
      <c r="CK149" s="68" t="str">
        <f>IF('Marks Entry'!AP149="","",'Marks Entry'!AP149)</f>
        <v/>
      </c>
      <c r="CL149" s="96" t="str">
        <f t="shared" si="380"/>
        <v/>
      </c>
      <c r="CM149" s="65">
        <f t="shared" si="381"/>
        <v>0</v>
      </c>
      <c r="CN149" s="65">
        <f t="shared" si="382"/>
        <v>0</v>
      </c>
      <c r="CO149" s="66" t="str">
        <f t="shared" si="383"/>
        <v/>
      </c>
      <c r="CP149" s="65" t="str">
        <f t="shared" si="384"/>
        <v/>
      </c>
      <c r="CQ149" s="65" t="str">
        <f t="shared" si="385"/>
        <v/>
      </c>
      <c r="CR149" s="65" t="str">
        <f t="shared" si="386"/>
        <v/>
      </c>
      <c r="CS149" s="616" t="str">
        <f>IF('School Profile'!$D$20="NO","",IF('Marks Entry'!AQ149="","",IF('Marks Entry'!AQ149=1,'School Profile'!$I$29,IF('Marks Entry'!AQ149=2,'School Profile'!$I$30,IF('Marks Entry'!AQ149=3,'School Profile'!$I$31,IF('Marks Entry'!AQ149=4,'School Profile'!$I$32,IF('Marks Entry'!AQ149=5,'School Profile'!$I$33,IF('Marks Entry'!AQ149=6,'School Profile'!$I$34,IF('Marks Entry'!AQ149=7,'School Profile'!$I$35,IF('Marks Entry'!AQ149=8,'School Profile'!$I$36,IF('Marks Entry'!AQ149=9,'School Profile'!$I$37,IF('Marks Entry'!AQ149=10,'School Profile'!$I$38,IF('Marks Entry'!AQ149=11,'School Profile'!$I$39,"")))))))))))))</f>
        <v/>
      </c>
      <c r="CT149" s="68" t="str">
        <f>IF('School Profile'!$D$20="NO","",IF('Marks Entry'!AR149="","",'Marks Entry'!AR149))</f>
        <v/>
      </c>
      <c r="CU149" s="68" t="str">
        <f>IF('School Profile'!$D$20="NO","",IF('Marks Entry'!AS149="","",'Marks Entry'!AS149))</f>
        <v/>
      </c>
      <c r="CV149" s="68" t="str">
        <f>IF('School Profile'!$D$20="NO","",IF('Marks Entry'!AT149="","",'Marks Entry'!AT149))</f>
        <v/>
      </c>
      <c r="CW149" s="514" t="str">
        <f>IF('School Profile'!$D$20="NO","",IF(AND(CT149="",CU149="",CV149=""),"",SUM(CT149:CV149)))</f>
        <v/>
      </c>
      <c r="CX149" s="68" t="str">
        <f>IF('School Profile'!$D$20="NO","",IF('Marks Entry'!AU149="","",'Marks Entry'!AU149))</f>
        <v/>
      </c>
      <c r="CY149" s="68" t="str">
        <f>IF('School Profile'!$D$20="NO","",IF('Marks Entry'!AV149="","",'Marks Entry'!AV149))</f>
        <v/>
      </c>
      <c r="CZ149" s="515" t="str">
        <f>IF('School Profile'!$D$20="NO","",IF(AND(CX149="",CY149=""),"",SUM(CX149,CY149)))</f>
        <v/>
      </c>
      <c r="DA149" s="69" t="str">
        <f>IF('School Profile'!$D$20="NO","",IF(AND(CW149="",CZ149=""),"",SUM(CW149+CZ149)))</f>
        <v/>
      </c>
      <c r="DB149" s="68" t="str">
        <f>IF('School Profile'!$D$20="NO","",IF('Marks Entry'!AW149="","",'Marks Entry'!AW149))</f>
        <v/>
      </c>
      <c r="DC149" s="68" t="str">
        <f>IF('School Profile'!$D$20="NO","",IF('Marks Entry'!AX149="","",'Marks Entry'!AX149))</f>
        <v/>
      </c>
      <c r="DD149" s="515" t="str">
        <f>IF('School Profile'!$D$20="NO","",IF(AND(DB149="",DC149=""),"",SUM(DB149,DC149)))</f>
        <v/>
      </c>
      <c r="DE149" s="96" t="str">
        <f>IF('School Profile'!$D$20="NO","",IF(AND(DA149="",DD149=""),"",SUM(DA149,DD149)))</f>
        <v/>
      </c>
      <c r="DF149" s="532">
        <f t="shared" si="387"/>
        <v>0</v>
      </c>
      <c r="DG149" s="65">
        <f t="shared" si="388"/>
        <v>0</v>
      </c>
      <c r="DH149" s="66" t="str">
        <f t="shared" si="389"/>
        <v/>
      </c>
      <c r="DI149" s="65" t="str">
        <f t="shared" si="390"/>
        <v/>
      </c>
      <c r="DJ149" s="65" t="str">
        <f t="shared" si="391"/>
        <v/>
      </c>
      <c r="DK149" s="65" t="str">
        <f t="shared" si="392"/>
        <v/>
      </c>
      <c r="DL149" s="97" t="str">
        <f t="shared" si="432"/>
        <v/>
      </c>
      <c r="DM149" s="97" t="str">
        <f t="shared" si="433"/>
        <v/>
      </c>
      <c r="DN149" s="97" t="str">
        <f t="shared" si="434"/>
        <v/>
      </c>
      <c r="DO149" s="97" t="str">
        <f t="shared" si="435"/>
        <v/>
      </c>
      <c r="DP149" s="97" t="str">
        <f t="shared" si="436"/>
        <v/>
      </c>
      <c r="DQ149" s="97" t="str">
        <f t="shared" si="437"/>
        <v/>
      </c>
      <c r="DR149" s="97" t="str">
        <f t="shared" si="438"/>
        <v/>
      </c>
      <c r="DS149" s="98">
        <f t="shared" si="439"/>
        <v>0</v>
      </c>
      <c r="DT149" s="98">
        <f t="shared" si="440"/>
        <v>0</v>
      </c>
      <c r="DU149" s="98">
        <f t="shared" si="441"/>
        <v>0</v>
      </c>
      <c r="DV149" s="98">
        <f t="shared" si="442"/>
        <v>0</v>
      </c>
      <c r="DW149" s="98">
        <f t="shared" si="443"/>
        <v>0</v>
      </c>
      <c r="DX149" s="98" t="str">
        <f t="shared" si="444"/>
        <v/>
      </c>
      <c r="DY149" s="99" t="str">
        <f t="shared" si="445"/>
        <v/>
      </c>
      <c r="DZ149" s="74" t="str">
        <f>IF('Marks Entry'!AY149="","",'Marks Entry'!AY149)</f>
        <v/>
      </c>
      <c r="EA149" s="74" t="str">
        <f>IF('Marks Entry'!AZ149="","",'Marks Entry'!AZ149)</f>
        <v/>
      </c>
      <c r="EB149" s="74" t="str">
        <f>IF('Marks Entry'!BA149="","",'Marks Entry'!BA149)</f>
        <v/>
      </c>
      <c r="EC149" s="527" t="str">
        <f t="shared" si="393"/>
        <v/>
      </c>
      <c r="ED149" s="74" t="str">
        <f>IF('Marks Entry'!BB149="","",'Marks Entry'!BB149)</f>
        <v/>
      </c>
      <c r="EE149" s="528" t="str">
        <f t="shared" si="394"/>
        <v/>
      </c>
      <c r="EF149" s="74" t="str">
        <f>IF('Marks Entry'!BC149="","",'Marks Entry'!BC149)</f>
        <v/>
      </c>
      <c r="EG149" s="530" t="str">
        <f t="shared" si="395"/>
        <v/>
      </c>
      <c r="EH149" s="368" t="str">
        <f t="shared" si="446"/>
        <v/>
      </c>
      <c r="EI149" s="65">
        <f t="shared" si="447"/>
        <v>0</v>
      </c>
      <c r="EJ149" s="65">
        <f t="shared" si="448"/>
        <v>0</v>
      </c>
      <c r="EK149" s="66" t="str">
        <f t="shared" si="449"/>
        <v/>
      </c>
      <c r="EL149" s="74" t="str">
        <f>IF('Marks Entry'!BD149="","",'Marks Entry'!BD149)</f>
        <v/>
      </c>
      <c r="EM149" s="74" t="str">
        <f>IF('Marks Entry'!BE149="","",'Marks Entry'!BE149)</f>
        <v/>
      </c>
      <c r="EN149" s="74" t="str">
        <f>IF('Marks Entry'!BF149="","",'Marks Entry'!BF149)</f>
        <v/>
      </c>
      <c r="EO149" s="527" t="str">
        <f t="shared" si="396"/>
        <v/>
      </c>
      <c r="EP149" s="74" t="str">
        <f>IF('Marks Entry'!BG149="","",'Marks Entry'!BG149)</f>
        <v/>
      </c>
      <c r="EQ149" s="74" t="str">
        <f>IF('Marks Entry'!BH149="","",'Marks Entry'!BH149)</f>
        <v/>
      </c>
      <c r="ER149" s="528" t="str">
        <f t="shared" si="397"/>
        <v/>
      </c>
      <c r="ES149" s="529" t="str">
        <f t="shared" si="398"/>
        <v/>
      </c>
      <c r="ET149" s="74" t="str">
        <f>IF('Marks Entry'!BI149="","",'Marks Entry'!BI149)</f>
        <v/>
      </c>
      <c r="EU149" s="74" t="str">
        <f>IF('Marks Entry'!BJ149="","",'Marks Entry'!BJ149)</f>
        <v/>
      </c>
      <c r="EV149" s="528" t="str">
        <f t="shared" si="399"/>
        <v/>
      </c>
      <c r="EW149" s="530" t="str">
        <f t="shared" si="400"/>
        <v/>
      </c>
      <c r="EX149" s="368" t="str">
        <f t="shared" si="450"/>
        <v/>
      </c>
      <c r="EY149" s="65">
        <f t="shared" si="451"/>
        <v>0</v>
      </c>
      <c r="EZ149" s="65">
        <f t="shared" si="452"/>
        <v>0</v>
      </c>
      <c r="FA149" s="66" t="str">
        <f t="shared" si="453"/>
        <v/>
      </c>
      <c r="FB149" s="74" t="str">
        <f>IF('Marks Entry'!BK149="","",'Marks Entry'!BK149)</f>
        <v/>
      </c>
      <c r="FC149" s="74" t="str">
        <f>IF('Marks Entry'!BL149="","",'Marks Entry'!BL149)</f>
        <v/>
      </c>
      <c r="FD149" s="74" t="str">
        <f>IF('Marks Entry'!BM149="","",'Marks Entry'!BM149)</f>
        <v/>
      </c>
      <c r="FE149" s="74" t="str">
        <f>IF('Marks Entry'!BN149="","",'Marks Entry'!BN149)</f>
        <v/>
      </c>
      <c r="FF149" s="74" t="str">
        <f>IF('Marks Entry'!BO149="","",'Marks Entry'!BO149)</f>
        <v/>
      </c>
      <c r="FG149" s="74" t="str">
        <f>IF('Marks Entry'!BP149="","",'Marks Entry'!BP149)</f>
        <v/>
      </c>
      <c r="FH149" s="527" t="str">
        <f t="shared" si="401"/>
        <v/>
      </c>
      <c r="FI149" s="74" t="str">
        <f>IF('Marks Entry'!BQ149="","",'Marks Entry'!BQ149)</f>
        <v/>
      </c>
      <c r="FJ149" s="74" t="str">
        <f>IF('Marks Entry'!BR149="","",'Marks Entry'!BR149)</f>
        <v/>
      </c>
      <c r="FK149" s="528" t="str">
        <f t="shared" si="402"/>
        <v/>
      </c>
      <c r="FL149" s="529" t="str">
        <f t="shared" si="403"/>
        <v/>
      </c>
      <c r="FM149" s="74" t="str">
        <f>IF('Marks Entry'!BS149="","",'Marks Entry'!BS149)</f>
        <v/>
      </c>
      <c r="FN149" s="74" t="str">
        <f>IF('Marks Entry'!BT149="","",'Marks Entry'!BT149)</f>
        <v/>
      </c>
      <c r="FO149" s="528" t="str">
        <f t="shared" si="404"/>
        <v/>
      </c>
      <c r="FP149" s="530" t="str">
        <f t="shared" si="405"/>
        <v/>
      </c>
      <c r="FQ149" s="368" t="str">
        <f t="shared" si="454"/>
        <v/>
      </c>
      <c r="FR149" s="65">
        <f t="shared" si="455"/>
        <v>0</v>
      </c>
      <c r="FS149" s="65">
        <f t="shared" si="456"/>
        <v>0</v>
      </c>
      <c r="FT149" s="66" t="str">
        <f t="shared" si="457"/>
        <v/>
      </c>
      <c r="FU149" s="74" t="str">
        <f>IF('Marks Entry'!BU149="","",'Marks Entry'!BU149)</f>
        <v/>
      </c>
      <c r="FV149" s="74" t="str">
        <f>IF('Marks Entry'!BV149="","",'Marks Entry'!BV149)</f>
        <v/>
      </c>
      <c r="FW149" s="74" t="str">
        <f>IF('Marks Entry'!BW149="","",'Marks Entry'!BW149)</f>
        <v/>
      </c>
      <c r="FX149" s="75" t="str">
        <f t="shared" si="406"/>
        <v/>
      </c>
      <c r="FY149" s="368" t="str">
        <f t="shared" si="458"/>
        <v/>
      </c>
      <c r="FZ149" s="65">
        <f t="shared" si="459"/>
        <v>0</v>
      </c>
      <c r="GA149" s="66">
        <f t="shared" si="460"/>
        <v>0</v>
      </c>
      <c r="GB149" s="66" t="str">
        <f t="shared" si="461"/>
        <v/>
      </c>
      <c r="GC149" s="74" t="str">
        <f>IF('Marks Entry'!BX149="","",'Marks Entry'!BX149)</f>
        <v/>
      </c>
      <c r="GD149" s="74" t="str">
        <f>IF('Marks Entry'!BY149="","",'Marks Entry'!BY149)</f>
        <v/>
      </c>
      <c r="GE149" s="74" t="str">
        <f>IF('Marks Entry'!BZ149="","",'Marks Entry'!BZ149)</f>
        <v/>
      </c>
      <c r="GF149" s="75" t="str">
        <f t="shared" si="462"/>
        <v/>
      </c>
      <c r="GG149" s="368" t="str">
        <f t="shared" si="463"/>
        <v/>
      </c>
      <c r="GH149" s="65">
        <f t="shared" si="464"/>
        <v>0</v>
      </c>
      <c r="GI149" s="66">
        <f t="shared" si="465"/>
        <v>0</v>
      </c>
      <c r="GJ149" s="66" t="str">
        <f t="shared" si="466"/>
        <v/>
      </c>
      <c r="GK149" s="100" t="str">
        <f>IF(AND(F149="",B149=""),"",IF('Student DATA Entry'!M146="","",'Student DATA Entry'!M146))</f>
        <v/>
      </c>
      <c r="GL149" s="101" t="str">
        <f>IF(AND(B149="",F149=""),"",IF('Student DATA Entry'!N146="","",'Student DATA Entry'!N146))</f>
        <v/>
      </c>
      <c r="GM149" s="581" t="str">
        <f t="shared" si="467"/>
        <v/>
      </c>
      <c r="GN149" s="94" t="str">
        <f t="shared" si="468"/>
        <v/>
      </c>
      <c r="GO149" s="94" t="str">
        <f t="shared" si="469"/>
        <v/>
      </c>
      <c r="GP149" s="102" t="str">
        <f t="shared" si="407"/>
        <v/>
      </c>
      <c r="GQ149" s="94" t="str">
        <f t="shared" si="470"/>
        <v/>
      </c>
      <c r="GR149" s="103" t="str">
        <f t="shared" si="471"/>
        <v/>
      </c>
      <c r="GS149" s="102" t="str">
        <f t="shared" si="408"/>
        <v/>
      </c>
      <c r="GT149" s="104" t="str">
        <f t="shared" si="472"/>
        <v/>
      </c>
      <c r="GU149" s="94" t="str">
        <f>IF('Marks Entry'!V149=1,GT149,"")</f>
        <v/>
      </c>
      <c r="GV149" s="94" t="str">
        <f>IF('Marks Entry'!V149=2,GT149,"")</f>
        <v/>
      </c>
      <c r="GW149" s="94" t="str">
        <f>IF('Marks Entry'!V149=3,GT149,"")</f>
        <v/>
      </c>
      <c r="GX149" s="94" t="str">
        <f>IF('Marks Entry'!V149=4,GT149,"")</f>
        <v/>
      </c>
      <c r="GY149" s="94" t="str">
        <f>IF('Marks Entry'!V149=5,GT149,"")</f>
        <v/>
      </c>
      <c r="GZ149" s="94" t="str">
        <f t="shared" si="473"/>
        <v/>
      </c>
      <c r="HA149" s="105" t="str">
        <f t="shared" si="409"/>
        <v/>
      </c>
      <c r="HB149" s="94" t="str">
        <f t="shared" si="474"/>
        <v/>
      </c>
      <c r="HC149" s="94" t="str">
        <f t="shared" si="475"/>
        <v/>
      </c>
      <c r="HD149" s="105" t="str">
        <f t="shared" si="410"/>
        <v/>
      </c>
      <c r="HE149" s="94" t="str">
        <f t="shared" si="476"/>
        <v/>
      </c>
      <c r="HF149" s="94" t="str">
        <f t="shared" si="477"/>
        <v/>
      </c>
      <c r="HG149" s="105" t="str">
        <f t="shared" si="411"/>
        <v/>
      </c>
      <c r="HH149" s="94" t="str">
        <f t="shared" si="478"/>
        <v/>
      </c>
      <c r="HI149" s="94" t="str">
        <f t="shared" si="479"/>
        <v/>
      </c>
      <c r="HJ149" s="105" t="str">
        <f t="shared" si="412"/>
        <v/>
      </c>
      <c r="HK149" s="94" t="str">
        <f t="shared" si="480"/>
        <v/>
      </c>
      <c r="HL149" s="94" t="str">
        <f t="shared" si="481"/>
        <v/>
      </c>
      <c r="HM149" s="105" t="str">
        <f t="shared" si="413"/>
        <v/>
      </c>
      <c r="HN149" s="367" t="str">
        <f t="shared" si="482"/>
        <v xml:space="preserve">      </v>
      </c>
      <c r="HO149" s="418" t="str">
        <f t="shared" si="414"/>
        <v xml:space="preserve">      </v>
      </c>
      <c r="HP149" s="367" t="str">
        <f t="shared" si="483"/>
        <v xml:space="preserve">      </v>
      </c>
      <c r="HQ149" s="107" t="str">
        <f t="shared" si="484"/>
        <v xml:space="preserve">      </v>
      </c>
      <c r="HR149" s="366" t="str">
        <f t="shared" si="485"/>
        <v xml:space="preserve">      </v>
      </c>
      <c r="HS149" s="544" t="str">
        <f t="shared" si="415"/>
        <v/>
      </c>
      <c r="HT149" s="542" t="str">
        <f t="shared" si="486"/>
        <v/>
      </c>
      <c r="HU149" s="541" t="str">
        <f t="shared" si="487"/>
        <v/>
      </c>
      <c r="HV149" s="540" t="str">
        <f t="shared" si="488"/>
        <v/>
      </c>
      <c r="HW149" s="537" t="str">
        <f t="shared" si="489"/>
        <v/>
      </c>
      <c r="HX149" s="539" t="str">
        <f t="shared" si="490"/>
        <v/>
      </c>
      <c r="HY149" s="553" t="str">
        <f>IFERROR(IF(OR(HS149="SUPPLEMENTARY",HS149="RE-EXAM"),'Supp. Result Entry'!AQ147,""),"")</f>
        <v/>
      </c>
      <c r="HZ149" s="538" t="str">
        <f t="shared" si="491"/>
        <v/>
      </c>
      <c r="IA149" s="415" t="str">
        <f t="shared" si="492"/>
        <v/>
      </c>
      <c r="IB149" s="415" t="str">
        <f>IF(AND(HZ149="",IA149=""),"",IF(OR(HS149="SUPPLEMENTARY",HS149="RE-EXAM"),'Supp. Result Entry'!AQ147,HS149))</f>
        <v/>
      </c>
      <c r="IC149" s="87"/>
      <c r="IS149" s="109" t="str">
        <f>IF('Supp. Result Entry'!T147="","",'Supp. Result Entry'!$T$4)</f>
        <v/>
      </c>
      <c r="IT149" s="110" t="str">
        <f>IF('Supp. Result Entry'!W147="","",'Supp. Result Entry'!$W$4)</f>
        <v/>
      </c>
      <c r="IU149" s="110" t="str">
        <f>IF('Supp. Result Entry'!Z147="","",'Supp. Result Entry'!$Z$4)</f>
        <v/>
      </c>
      <c r="IV149" s="110" t="str">
        <f>IF('Supp. Result Entry'!AC147="","",'Supp. Result Entry'!$AC$4)</f>
        <v/>
      </c>
      <c r="IW149" s="110" t="str">
        <f>IF('Supp. Result Entry'!AF147="","",'Supp. Result Entry'!$AF$4)</f>
        <v/>
      </c>
      <c r="IX149" s="110" t="str">
        <f>IF('Supp. Result Entry'!AI147="","",'Supp. Result Entry'!$AI$4)</f>
        <v/>
      </c>
      <c r="IY149" s="110" t="str">
        <f>IF('Supp. Result Entry'!AI147="","",'Supp. Result Entry'!$AL$4)</f>
        <v/>
      </c>
      <c r="IZ149" s="110" t="str">
        <f>IF('Supp. Result Entry'!U147="","",'Supp. Result Entry'!U147)</f>
        <v/>
      </c>
      <c r="JA149" s="110" t="str">
        <f>IF('Supp. Result Entry'!X147="","",'Supp. Result Entry'!X147)</f>
        <v/>
      </c>
      <c r="JB149" s="110" t="str">
        <f>IF('Supp. Result Entry'!AA147="","",'Supp. Result Entry'!AA147)</f>
        <v/>
      </c>
      <c r="JC149" s="110" t="str">
        <f>IF('Supp. Result Entry'!AD147="","",'Supp. Result Entry'!AD147)</f>
        <v/>
      </c>
      <c r="JD149" s="110" t="str">
        <f>IF('Supp. Result Entry'!AG147="","",'Supp. Result Entry'!AG147)</f>
        <v/>
      </c>
      <c r="JE149" s="110" t="str">
        <f>IF('Supp. Result Entry'!AJ147="","",'Supp. Result Entry'!AJ147)</f>
        <v/>
      </c>
      <c r="JF149" s="110" t="str">
        <f>IF('Supp. Result Entry'!AM147="","",'Supp. Result Entry'!AM147)</f>
        <v/>
      </c>
      <c r="JG149" s="110" t="str">
        <f>IF('Supp. Result Entry'!V147="","",'Supp. Result Entry'!V147)</f>
        <v/>
      </c>
      <c r="JH149" s="110" t="str">
        <f>IF('Supp. Result Entry'!Y147="","",'Supp. Result Entry'!Y147)</f>
        <v/>
      </c>
      <c r="JI149" s="110" t="str">
        <f>IF('Supp. Result Entry'!AB147="","",'Supp. Result Entry'!AB147)</f>
        <v/>
      </c>
      <c r="JJ149" s="110" t="str">
        <f>IF('Supp. Result Entry'!AE147="","",'Supp. Result Entry'!AE147)</f>
        <v/>
      </c>
      <c r="JK149" s="110" t="str">
        <f>IF('Supp. Result Entry'!AH147="","",'Supp. Result Entry'!AH147)</f>
        <v/>
      </c>
      <c r="JL149" s="110" t="str">
        <f>IF('Supp. Result Entry'!AK147="","",'Supp. Result Entry'!AK147)</f>
        <v/>
      </c>
      <c r="JM149" s="110" t="str">
        <f>IF('Supp. Result Entry'!AN147="","",'Supp. Result Entry'!AN147)</f>
        <v/>
      </c>
      <c r="JN149" s="110">
        <f>COUNTIF('Supp. Result Entry'!K147:Q147,"S")</f>
        <v>0</v>
      </c>
      <c r="JO149" s="110">
        <f t="shared" si="416"/>
        <v>0</v>
      </c>
      <c r="JP149" s="110">
        <f t="shared" si="493"/>
        <v>0</v>
      </c>
      <c r="JQ149" s="110" t="str">
        <f t="shared" si="417"/>
        <v/>
      </c>
      <c r="JR149" s="110" t="str">
        <f t="shared" si="418"/>
        <v/>
      </c>
      <c r="JS149" s="110" t="str">
        <f t="shared" si="419"/>
        <v/>
      </c>
      <c r="JT149" s="110" t="str">
        <f t="shared" si="420"/>
        <v/>
      </c>
      <c r="JU149" s="110" t="str">
        <f t="shared" si="421"/>
        <v/>
      </c>
      <c r="JV149" s="110" t="str">
        <f t="shared" si="422"/>
        <v/>
      </c>
      <c r="JW149" s="110" t="str">
        <f t="shared" si="423"/>
        <v/>
      </c>
      <c r="JX149" s="110" t="str">
        <f t="shared" si="494"/>
        <v/>
      </c>
      <c r="JY149" s="110" t="str">
        <f t="shared" si="495"/>
        <v/>
      </c>
      <c r="JZ149" s="110" t="str">
        <f t="shared" si="424"/>
        <v/>
      </c>
      <c r="KA149" s="108" t="str">
        <f t="shared" si="496"/>
        <v/>
      </c>
    </row>
    <row r="150" spans="1:287" s="108" customFormat="1" ht="21.95" customHeight="1">
      <c r="A150" s="89">
        <v>144</v>
      </c>
      <c r="B150" s="90" t="str">
        <f>IF('Marks Entry'!B150="","",'Marks Entry'!B150)</f>
        <v/>
      </c>
      <c r="C150" s="94" t="str">
        <f>IF('Marks Entry'!D150="","",'Marks Entry'!D150)</f>
        <v/>
      </c>
      <c r="D150" s="91" t="str">
        <f>IF('Marks Entry'!E150="","",'Marks Entry'!E150)</f>
        <v/>
      </c>
      <c r="E150" s="92" t="str">
        <f>IF('Marks Entry'!F150="","",'Marks Entry'!F150)</f>
        <v/>
      </c>
      <c r="F150" s="93" t="str">
        <f>IF('Marks Entry'!G150="","",'Marks Entry'!G150)</f>
        <v/>
      </c>
      <c r="G150" s="93" t="str">
        <f>IF('Marks Entry'!H150="","",'Marks Entry'!H150)</f>
        <v/>
      </c>
      <c r="H150" s="93" t="str">
        <f>IF('Marks Entry'!I150="","",'Marks Entry'!I150)</f>
        <v/>
      </c>
      <c r="I150" s="94" t="str">
        <f>IF('Marks Entry'!J150="","",'Marks Entry'!J150)</f>
        <v/>
      </c>
      <c r="J150" s="95" t="str">
        <f>IF('Marks Entry'!K150="","",'Marks Entry'!K150)</f>
        <v/>
      </c>
      <c r="K150" s="68" t="str">
        <f>IF('Marks Entry'!L150="","",'Marks Entry'!L150)</f>
        <v/>
      </c>
      <c r="L150" s="68" t="str">
        <f>IF('Marks Entry'!M150="","",'Marks Entry'!M150)</f>
        <v/>
      </c>
      <c r="M150" s="68" t="str">
        <f>IF('Marks Entry'!N150="","",'Marks Entry'!N150)</f>
        <v/>
      </c>
      <c r="N150" s="514" t="str">
        <f t="shared" si="425"/>
        <v/>
      </c>
      <c r="O150" s="68" t="str">
        <f>IF('Marks Entry'!O150="","",'Marks Entry'!O150)</f>
        <v/>
      </c>
      <c r="P150" s="515" t="str">
        <f t="shared" si="426"/>
        <v/>
      </c>
      <c r="Q150" s="68" t="str">
        <f>IF('Marks Entry'!P150="","",'Marks Entry'!P150)</f>
        <v/>
      </c>
      <c r="R150" s="96" t="str">
        <f t="shared" si="427"/>
        <v/>
      </c>
      <c r="S150" s="65">
        <f t="shared" si="428"/>
        <v>0</v>
      </c>
      <c r="T150" s="65">
        <f t="shared" si="429"/>
        <v>0</v>
      </c>
      <c r="U150" s="66" t="str">
        <f t="shared" si="339"/>
        <v/>
      </c>
      <c r="V150" s="65" t="str">
        <f t="shared" si="340"/>
        <v/>
      </c>
      <c r="W150" s="65" t="str">
        <f t="shared" si="430"/>
        <v/>
      </c>
      <c r="X150" s="65" t="str">
        <f t="shared" si="341"/>
        <v/>
      </c>
      <c r="Y150" s="68" t="str">
        <f>IF('Marks Entry'!Q150="","",'Marks Entry'!Q150)</f>
        <v/>
      </c>
      <c r="Z150" s="68" t="str">
        <f>IF('Marks Entry'!R150="","",'Marks Entry'!R150)</f>
        <v/>
      </c>
      <c r="AA150" s="68" t="str">
        <f>IF('Marks Entry'!S150="","",'Marks Entry'!S150)</f>
        <v/>
      </c>
      <c r="AB150" s="514" t="str">
        <f t="shared" si="342"/>
        <v/>
      </c>
      <c r="AC150" s="68" t="str">
        <f>IF('Marks Entry'!T150="","",'Marks Entry'!T150)</f>
        <v/>
      </c>
      <c r="AD150" s="515" t="str">
        <f t="shared" si="343"/>
        <v/>
      </c>
      <c r="AE150" s="68" t="str">
        <f>IF('Marks Entry'!U150="","",'Marks Entry'!U150)</f>
        <v/>
      </c>
      <c r="AF150" s="96" t="str">
        <f t="shared" si="344"/>
        <v/>
      </c>
      <c r="AG150" s="65">
        <f t="shared" si="345"/>
        <v>0</v>
      </c>
      <c r="AH150" s="65">
        <f t="shared" si="346"/>
        <v>0</v>
      </c>
      <c r="AI150" s="66" t="str">
        <f t="shared" si="347"/>
        <v/>
      </c>
      <c r="AJ150" s="65" t="str">
        <f t="shared" si="348"/>
        <v/>
      </c>
      <c r="AK150" s="65" t="str">
        <f t="shared" si="349"/>
        <v/>
      </c>
      <c r="AL150" s="65" t="str">
        <f t="shared" si="350"/>
        <v/>
      </c>
      <c r="AM150" s="524" t="str">
        <f>IF('Marks Entry'!V150="","",IF('Marks Entry'!V150=1,'School Profile'!$I$9,IF('Marks Entry'!V150=2,'School Profile'!$I$10,IF('Marks Entry'!V150=3,'School Profile'!$I$11,IF('Marks Entry'!V150=4,'School Profile'!$I$12,IF('Marks Entry'!V150=5,'School Profile'!$I$13,IF('Marks Entry'!V150=6,'School Profile'!$I$14,"")))))))</f>
        <v/>
      </c>
      <c r="AN150" s="68" t="str">
        <f>IF('Marks Entry'!W150="","",'Marks Entry'!W150)</f>
        <v/>
      </c>
      <c r="AO150" s="68" t="str">
        <f>IF('Marks Entry'!X150="","",'Marks Entry'!X150)</f>
        <v/>
      </c>
      <c r="AP150" s="68" t="str">
        <f>IF('Marks Entry'!Y150="","",'Marks Entry'!Y150)</f>
        <v/>
      </c>
      <c r="AQ150" s="514" t="str">
        <f t="shared" si="351"/>
        <v/>
      </c>
      <c r="AR150" s="68" t="str">
        <f>IF('Marks Entry'!Z150="","",'Marks Entry'!Z150)</f>
        <v/>
      </c>
      <c r="AS150" s="515" t="str">
        <f t="shared" si="352"/>
        <v/>
      </c>
      <c r="AT150" s="68" t="str">
        <f>IF('Marks Entry'!AA150="","",'Marks Entry'!AA150)</f>
        <v/>
      </c>
      <c r="AU150" s="96" t="str">
        <f t="shared" si="353"/>
        <v/>
      </c>
      <c r="AV150" s="65">
        <f t="shared" si="354"/>
        <v>0</v>
      </c>
      <c r="AW150" s="65">
        <f t="shared" si="355"/>
        <v>0</v>
      </c>
      <c r="AX150" s="66" t="str">
        <f t="shared" si="356"/>
        <v/>
      </c>
      <c r="AY150" s="65" t="str">
        <f t="shared" si="357"/>
        <v/>
      </c>
      <c r="AZ150" s="65" t="str">
        <f t="shared" si="358"/>
        <v/>
      </c>
      <c r="BA150" s="65" t="str">
        <f t="shared" si="359"/>
        <v/>
      </c>
      <c r="BB150" s="68" t="str">
        <f>IF('Marks Entry'!AB150="","",'Marks Entry'!AB150)</f>
        <v/>
      </c>
      <c r="BC150" s="68" t="str">
        <f>IF('Marks Entry'!AC150="","",'Marks Entry'!AC150)</f>
        <v/>
      </c>
      <c r="BD150" s="68" t="str">
        <f>IF('Marks Entry'!AD150="","",'Marks Entry'!AD150)</f>
        <v/>
      </c>
      <c r="BE150" s="514" t="str">
        <f t="shared" si="360"/>
        <v/>
      </c>
      <c r="BF150" s="68" t="str">
        <f>IF('Marks Entry'!AE150="","",'Marks Entry'!AE150)</f>
        <v/>
      </c>
      <c r="BG150" s="515" t="str">
        <f t="shared" si="361"/>
        <v/>
      </c>
      <c r="BH150" s="68" t="str">
        <f>IF('Marks Entry'!AF150="","",'Marks Entry'!AF150)</f>
        <v/>
      </c>
      <c r="BI150" s="96" t="str">
        <f t="shared" si="362"/>
        <v/>
      </c>
      <c r="BJ150" s="65">
        <f t="shared" si="363"/>
        <v>0</v>
      </c>
      <c r="BK150" s="65">
        <f t="shared" si="431"/>
        <v>0</v>
      </c>
      <c r="BL150" s="66" t="str">
        <f t="shared" si="364"/>
        <v/>
      </c>
      <c r="BM150" s="65" t="str">
        <f t="shared" si="365"/>
        <v/>
      </c>
      <c r="BN150" s="65" t="str">
        <f t="shared" si="366"/>
        <v/>
      </c>
      <c r="BO150" s="65" t="str">
        <f t="shared" si="367"/>
        <v/>
      </c>
      <c r="BP150" s="68" t="str">
        <f>IF('Marks Entry'!AG150="","",'Marks Entry'!AG150)</f>
        <v/>
      </c>
      <c r="BQ150" s="68" t="str">
        <f>IF('Marks Entry'!AH150="","",'Marks Entry'!AH150)</f>
        <v/>
      </c>
      <c r="BR150" s="68" t="str">
        <f>IF('Marks Entry'!AI150="","",'Marks Entry'!AI150)</f>
        <v/>
      </c>
      <c r="BS150" s="514" t="str">
        <f t="shared" si="368"/>
        <v/>
      </c>
      <c r="BT150" s="68" t="str">
        <f>IF('Marks Entry'!AJ150="","",'Marks Entry'!AJ150)</f>
        <v/>
      </c>
      <c r="BU150" s="515" t="str">
        <f t="shared" si="369"/>
        <v/>
      </c>
      <c r="BV150" s="68" t="str">
        <f>IF('Marks Entry'!AK150="","",'Marks Entry'!AK150)</f>
        <v/>
      </c>
      <c r="BW150" s="96" t="str">
        <f t="shared" si="370"/>
        <v/>
      </c>
      <c r="BX150" s="65">
        <f t="shared" si="371"/>
        <v>0</v>
      </c>
      <c r="BY150" s="65">
        <f t="shared" si="372"/>
        <v>0</v>
      </c>
      <c r="BZ150" s="66" t="str">
        <f t="shared" si="373"/>
        <v/>
      </c>
      <c r="CA150" s="65" t="str">
        <f t="shared" si="374"/>
        <v/>
      </c>
      <c r="CB150" s="65" t="str">
        <f t="shared" si="375"/>
        <v/>
      </c>
      <c r="CC150" s="65" t="str">
        <f t="shared" si="376"/>
        <v/>
      </c>
      <c r="CD150" s="66">
        <f t="shared" si="377"/>
        <v>0</v>
      </c>
      <c r="CE150" s="68" t="str">
        <f>IF('Marks Entry'!AL150="","",'Marks Entry'!AL150)</f>
        <v/>
      </c>
      <c r="CF150" s="68" t="str">
        <f>IF('Marks Entry'!AM150="","",'Marks Entry'!AM150)</f>
        <v/>
      </c>
      <c r="CG150" s="68" t="str">
        <f>IF('Marks Entry'!AN150="","",'Marks Entry'!AN150)</f>
        <v/>
      </c>
      <c r="CH150" s="514" t="str">
        <f t="shared" si="378"/>
        <v/>
      </c>
      <c r="CI150" s="68" t="str">
        <f>IF('Marks Entry'!AO150="","",'Marks Entry'!AO150)</f>
        <v/>
      </c>
      <c r="CJ150" s="515" t="str">
        <f t="shared" si="379"/>
        <v/>
      </c>
      <c r="CK150" s="68" t="str">
        <f>IF('Marks Entry'!AP150="","",'Marks Entry'!AP150)</f>
        <v/>
      </c>
      <c r="CL150" s="96" t="str">
        <f t="shared" si="380"/>
        <v/>
      </c>
      <c r="CM150" s="65">
        <f t="shared" si="381"/>
        <v>0</v>
      </c>
      <c r="CN150" s="65">
        <f t="shared" si="382"/>
        <v>0</v>
      </c>
      <c r="CO150" s="66" t="str">
        <f t="shared" si="383"/>
        <v/>
      </c>
      <c r="CP150" s="65" t="str">
        <f t="shared" si="384"/>
        <v/>
      </c>
      <c r="CQ150" s="65" t="str">
        <f t="shared" si="385"/>
        <v/>
      </c>
      <c r="CR150" s="65" t="str">
        <f t="shared" si="386"/>
        <v/>
      </c>
      <c r="CS150" s="616" t="str">
        <f>IF('School Profile'!$D$20="NO","",IF('Marks Entry'!AQ150="","",IF('Marks Entry'!AQ150=1,'School Profile'!$I$29,IF('Marks Entry'!AQ150=2,'School Profile'!$I$30,IF('Marks Entry'!AQ150=3,'School Profile'!$I$31,IF('Marks Entry'!AQ150=4,'School Profile'!$I$32,IF('Marks Entry'!AQ150=5,'School Profile'!$I$33,IF('Marks Entry'!AQ150=6,'School Profile'!$I$34,IF('Marks Entry'!AQ150=7,'School Profile'!$I$35,IF('Marks Entry'!AQ150=8,'School Profile'!$I$36,IF('Marks Entry'!AQ150=9,'School Profile'!$I$37,IF('Marks Entry'!AQ150=10,'School Profile'!$I$38,IF('Marks Entry'!AQ150=11,'School Profile'!$I$39,"")))))))))))))</f>
        <v/>
      </c>
      <c r="CT150" s="68" t="str">
        <f>IF('School Profile'!$D$20="NO","",IF('Marks Entry'!AR150="","",'Marks Entry'!AR150))</f>
        <v/>
      </c>
      <c r="CU150" s="68" t="str">
        <f>IF('School Profile'!$D$20="NO","",IF('Marks Entry'!AS150="","",'Marks Entry'!AS150))</f>
        <v/>
      </c>
      <c r="CV150" s="68" t="str">
        <f>IF('School Profile'!$D$20="NO","",IF('Marks Entry'!AT150="","",'Marks Entry'!AT150))</f>
        <v/>
      </c>
      <c r="CW150" s="514" t="str">
        <f>IF('School Profile'!$D$20="NO","",IF(AND(CT150="",CU150="",CV150=""),"",SUM(CT150:CV150)))</f>
        <v/>
      </c>
      <c r="CX150" s="68" t="str">
        <f>IF('School Profile'!$D$20="NO","",IF('Marks Entry'!AU150="","",'Marks Entry'!AU150))</f>
        <v/>
      </c>
      <c r="CY150" s="68" t="str">
        <f>IF('School Profile'!$D$20="NO","",IF('Marks Entry'!AV150="","",'Marks Entry'!AV150))</f>
        <v/>
      </c>
      <c r="CZ150" s="515" t="str">
        <f>IF('School Profile'!$D$20="NO","",IF(AND(CX150="",CY150=""),"",SUM(CX150,CY150)))</f>
        <v/>
      </c>
      <c r="DA150" s="69" t="str">
        <f>IF('School Profile'!$D$20="NO","",IF(AND(CW150="",CZ150=""),"",SUM(CW150+CZ150)))</f>
        <v/>
      </c>
      <c r="DB150" s="68" t="str">
        <f>IF('School Profile'!$D$20="NO","",IF('Marks Entry'!AW150="","",'Marks Entry'!AW150))</f>
        <v/>
      </c>
      <c r="DC150" s="68" t="str">
        <f>IF('School Profile'!$D$20="NO","",IF('Marks Entry'!AX150="","",'Marks Entry'!AX150))</f>
        <v/>
      </c>
      <c r="DD150" s="515" t="str">
        <f>IF('School Profile'!$D$20="NO","",IF(AND(DB150="",DC150=""),"",SUM(DB150,DC150)))</f>
        <v/>
      </c>
      <c r="DE150" s="96" t="str">
        <f>IF('School Profile'!$D$20="NO","",IF(AND(DA150="",DD150=""),"",SUM(DA150,DD150)))</f>
        <v/>
      </c>
      <c r="DF150" s="532">
        <f t="shared" si="387"/>
        <v>0</v>
      </c>
      <c r="DG150" s="65">
        <f t="shared" si="388"/>
        <v>0</v>
      </c>
      <c r="DH150" s="66" t="str">
        <f t="shared" si="389"/>
        <v/>
      </c>
      <c r="DI150" s="65" t="str">
        <f t="shared" si="390"/>
        <v/>
      </c>
      <c r="DJ150" s="65" t="str">
        <f t="shared" si="391"/>
        <v/>
      </c>
      <c r="DK150" s="65" t="str">
        <f t="shared" si="392"/>
        <v/>
      </c>
      <c r="DL150" s="97" t="str">
        <f t="shared" si="432"/>
        <v/>
      </c>
      <c r="DM150" s="97" t="str">
        <f t="shared" si="433"/>
        <v/>
      </c>
      <c r="DN150" s="97" t="str">
        <f t="shared" si="434"/>
        <v/>
      </c>
      <c r="DO150" s="97" t="str">
        <f t="shared" si="435"/>
        <v/>
      </c>
      <c r="DP150" s="97" t="str">
        <f t="shared" si="436"/>
        <v/>
      </c>
      <c r="DQ150" s="97" t="str">
        <f t="shared" si="437"/>
        <v/>
      </c>
      <c r="DR150" s="97" t="str">
        <f t="shared" si="438"/>
        <v/>
      </c>
      <c r="DS150" s="98">
        <f t="shared" si="439"/>
        <v>0</v>
      </c>
      <c r="DT150" s="98">
        <f t="shared" si="440"/>
        <v>0</v>
      </c>
      <c r="DU150" s="98">
        <f t="shared" si="441"/>
        <v>0</v>
      </c>
      <c r="DV150" s="98">
        <f t="shared" si="442"/>
        <v>0</v>
      </c>
      <c r="DW150" s="98">
        <f t="shared" si="443"/>
        <v>0</v>
      </c>
      <c r="DX150" s="98" t="str">
        <f t="shared" si="444"/>
        <v/>
      </c>
      <c r="DY150" s="99" t="str">
        <f t="shared" si="445"/>
        <v/>
      </c>
      <c r="DZ150" s="74" t="str">
        <f>IF('Marks Entry'!AY150="","",'Marks Entry'!AY150)</f>
        <v/>
      </c>
      <c r="EA150" s="74" t="str">
        <f>IF('Marks Entry'!AZ150="","",'Marks Entry'!AZ150)</f>
        <v/>
      </c>
      <c r="EB150" s="74" t="str">
        <f>IF('Marks Entry'!BA150="","",'Marks Entry'!BA150)</f>
        <v/>
      </c>
      <c r="EC150" s="527" t="str">
        <f t="shared" si="393"/>
        <v/>
      </c>
      <c r="ED150" s="74" t="str">
        <f>IF('Marks Entry'!BB150="","",'Marks Entry'!BB150)</f>
        <v/>
      </c>
      <c r="EE150" s="528" t="str">
        <f t="shared" si="394"/>
        <v/>
      </c>
      <c r="EF150" s="74" t="str">
        <f>IF('Marks Entry'!BC150="","",'Marks Entry'!BC150)</f>
        <v/>
      </c>
      <c r="EG150" s="530" t="str">
        <f t="shared" si="395"/>
        <v/>
      </c>
      <c r="EH150" s="368" t="str">
        <f t="shared" si="446"/>
        <v/>
      </c>
      <c r="EI150" s="65">
        <f t="shared" si="447"/>
        <v>0</v>
      </c>
      <c r="EJ150" s="65">
        <f t="shared" si="448"/>
        <v>0</v>
      </c>
      <c r="EK150" s="66" t="str">
        <f t="shared" si="449"/>
        <v/>
      </c>
      <c r="EL150" s="74" t="str">
        <f>IF('Marks Entry'!BD150="","",'Marks Entry'!BD150)</f>
        <v/>
      </c>
      <c r="EM150" s="74" t="str">
        <f>IF('Marks Entry'!BE150="","",'Marks Entry'!BE150)</f>
        <v/>
      </c>
      <c r="EN150" s="74" t="str">
        <f>IF('Marks Entry'!BF150="","",'Marks Entry'!BF150)</f>
        <v/>
      </c>
      <c r="EO150" s="527" t="str">
        <f t="shared" si="396"/>
        <v/>
      </c>
      <c r="EP150" s="74" t="str">
        <f>IF('Marks Entry'!BG150="","",'Marks Entry'!BG150)</f>
        <v/>
      </c>
      <c r="EQ150" s="74" t="str">
        <f>IF('Marks Entry'!BH150="","",'Marks Entry'!BH150)</f>
        <v/>
      </c>
      <c r="ER150" s="528" t="str">
        <f t="shared" si="397"/>
        <v/>
      </c>
      <c r="ES150" s="529" t="str">
        <f t="shared" si="398"/>
        <v/>
      </c>
      <c r="ET150" s="74" t="str">
        <f>IF('Marks Entry'!BI150="","",'Marks Entry'!BI150)</f>
        <v/>
      </c>
      <c r="EU150" s="74" t="str">
        <f>IF('Marks Entry'!BJ150="","",'Marks Entry'!BJ150)</f>
        <v/>
      </c>
      <c r="EV150" s="528" t="str">
        <f t="shared" si="399"/>
        <v/>
      </c>
      <c r="EW150" s="530" t="str">
        <f t="shared" si="400"/>
        <v/>
      </c>
      <c r="EX150" s="368" t="str">
        <f t="shared" si="450"/>
        <v/>
      </c>
      <c r="EY150" s="65">
        <f t="shared" si="451"/>
        <v>0</v>
      </c>
      <c r="EZ150" s="65">
        <f t="shared" si="452"/>
        <v>0</v>
      </c>
      <c r="FA150" s="66" t="str">
        <f t="shared" si="453"/>
        <v/>
      </c>
      <c r="FB150" s="74" t="str">
        <f>IF('Marks Entry'!BK150="","",'Marks Entry'!BK150)</f>
        <v/>
      </c>
      <c r="FC150" s="74" t="str">
        <f>IF('Marks Entry'!BL150="","",'Marks Entry'!BL150)</f>
        <v/>
      </c>
      <c r="FD150" s="74" t="str">
        <f>IF('Marks Entry'!BM150="","",'Marks Entry'!BM150)</f>
        <v/>
      </c>
      <c r="FE150" s="74" t="str">
        <f>IF('Marks Entry'!BN150="","",'Marks Entry'!BN150)</f>
        <v/>
      </c>
      <c r="FF150" s="74" t="str">
        <f>IF('Marks Entry'!BO150="","",'Marks Entry'!BO150)</f>
        <v/>
      </c>
      <c r="FG150" s="74" t="str">
        <f>IF('Marks Entry'!BP150="","",'Marks Entry'!BP150)</f>
        <v/>
      </c>
      <c r="FH150" s="527" t="str">
        <f t="shared" si="401"/>
        <v/>
      </c>
      <c r="FI150" s="74" t="str">
        <f>IF('Marks Entry'!BQ150="","",'Marks Entry'!BQ150)</f>
        <v/>
      </c>
      <c r="FJ150" s="74" t="str">
        <f>IF('Marks Entry'!BR150="","",'Marks Entry'!BR150)</f>
        <v/>
      </c>
      <c r="FK150" s="528" t="str">
        <f t="shared" si="402"/>
        <v/>
      </c>
      <c r="FL150" s="529" t="str">
        <f t="shared" si="403"/>
        <v/>
      </c>
      <c r="FM150" s="74" t="str">
        <f>IF('Marks Entry'!BS150="","",'Marks Entry'!BS150)</f>
        <v/>
      </c>
      <c r="FN150" s="74" t="str">
        <f>IF('Marks Entry'!BT150="","",'Marks Entry'!BT150)</f>
        <v/>
      </c>
      <c r="FO150" s="528" t="str">
        <f t="shared" si="404"/>
        <v/>
      </c>
      <c r="FP150" s="530" t="str">
        <f t="shared" si="405"/>
        <v/>
      </c>
      <c r="FQ150" s="368" t="str">
        <f t="shared" si="454"/>
        <v/>
      </c>
      <c r="FR150" s="65">
        <f t="shared" si="455"/>
        <v>0</v>
      </c>
      <c r="FS150" s="65">
        <f t="shared" si="456"/>
        <v>0</v>
      </c>
      <c r="FT150" s="66" t="str">
        <f t="shared" si="457"/>
        <v/>
      </c>
      <c r="FU150" s="74" t="str">
        <f>IF('Marks Entry'!BU150="","",'Marks Entry'!BU150)</f>
        <v/>
      </c>
      <c r="FV150" s="74" t="str">
        <f>IF('Marks Entry'!BV150="","",'Marks Entry'!BV150)</f>
        <v/>
      </c>
      <c r="FW150" s="74" t="str">
        <f>IF('Marks Entry'!BW150="","",'Marks Entry'!BW150)</f>
        <v/>
      </c>
      <c r="FX150" s="75" t="str">
        <f t="shared" si="406"/>
        <v/>
      </c>
      <c r="FY150" s="368" t="str">
        <f t="shared" si="458"/>
        <v/>
      </c>
      <c r="FZ150" s="65">
        <f t="shared" si="459"/>
        <v>0</v>
      </c>
      <c r="GA150" s="66">
        <f t="shared" si="460"/>
        <v>0</v>
      </c>
      <c r="GB150" s="66" t="str">
        <f t="shared" si="461"/>
        <v/>
      </c>
      <c r="GC150" s="74" t="str">
        <f>IF('Marks Entry'!BX150="","",'Marks Entry'!BX150)</f>
        <v/>
      </c>
      <c r="GD150" s="74" t="str">
        <f>IF('Marks Entry'!BY150="","",'Marks Entry'!BY150)</f>
        <v/>
      </c>
      <c r="GE150" s="74" t="str">
        <f>IF('Marks Entry'!BZ150="","",'Marks Entry'!BZ150)</f>
        <v/>
      </c>
      <c r="GF150" s="75" t="str">
        <f t="shared" si="462"/>
        <v/>
      </c>
      <c r="GG150" s="368" t="str">
        <f t="shared" si="463"/>
        <v/>
      </c>
      <c r="GH150" s="65">
        <f t="shared" si="464"/>
        <v>0</v>
      </c>
      <c r="GI150" s="66">
        <f t="shared" si="465"/>
        <v>0</v>
      </c>
      <c r="GJ150" s="66" t="str">
        <f t="shared" si="466"/>
        <v/>
      </c>
      <c r="GK150" s="100" t="str">
        <f>IF(AND(F150="",B150=""),"",IF('Student DATA Entry'!M147="","",'Student DATA Entry'!M147))</f>
        <v/>
      </c>
      <c r="GL150" s="101" t="str">
        <f>IF(AND(B150="",F150=""),"",IF('Student DATA Entry'!N147="","",'Student DATA Entry'!N147))</f>
        <v/>
      </c>
      <c r="GM150" s="581" t="str">
        <f t="shared" si="467"/>
        <v/>
      </c>
      <c r="GN150" s="94" t="str">
        <f t="shared" si="468"/>
        <v/>
      </c>
      <c r="GO150" s="94" t="str">
        <f t="shared" si="469"/>
        <v/>
      </c>
      <c r="GP150" s="102" t="str">
        <f t="shared" si="407"/>
        <v/>
      </c>
      <c r="GQ150" s="94" t="str">
        <f t="shared" si="470"/>
        <v/>
      </c>
      <c r="GR150" s="103" t="str">
        <f t="shared" si="471"/>
        <v/>
      </c>
      <c r="GS150" s="102" t="str">
        <f t="shared" si="408"/>
        <v/>
      </c>
      <c r="GT150" s="104" t="str">
        <f t="shared" si="472"/>
        <v/>
      </c>
      <c r="GU150" s="94" t="str">
        <f>IF('Marks Entry'!V150=1,GT150,"")</f>
        <v/>
      </c>
      <c r="GV150" s="94" t="str">
        <f>IF('Marks Entry'!V150=2,GT150,"")</f>
        <v/>
      </c>
      <c r="GW150" s="94" t="str">
        <f>IF('Marks Entry'!V150=3,GT150,"")</f>
        <v/>
      </c>
      <c r="GX150" s="94" t="str">
        <f>IF('Marks Entry'!V150=4,GT150,"")</f>
        <v/>
      </c>
      <c r="GY150" s="94" t="str">
        <f>IF('Marks Entry'!V150=5,GT150,"")</f>
        <v/>
      </c>
      <c r="GZ150" s="94" t="str">
        <f t="shared" si="473"/>
        <v/>
      </c>
      <c r="HA150" s="105" t="str">
        <f t="shared" si="409"/>
        <v/>
      </c>
      <c r="HB150" s="94" t="str">
        <f t="shared" si="474"/>
        <v/>
      </c>
      <c r="HC150" s="94" t="str">
        <f t="shared" si="475"/>
        <v/>
      </c>
      <c r="HD150" s="105" t="str">
        <f t="shared" si="410"/>
        <v/>
      </c>
      <c r="HE150" s="94" t="str">
        <f t="shared" si="476"/>
        <v/>
      </c>
      <c r="HF150" s="94" t="str">
        <f t="shared" si="477"/>
        <v/>
      </c>
      <c r="HG150" s="105" t="str">
        <f t="shared" si="411"/>
        <v/>
      </c>
      <c r="HH150" s="94" t="str">
        <f t="shared" si="478"/>
        <v/>
      </c>
      <c r="HI150" s="94" t="str">
        <f t="shared" si="479"/>
        <v/>
      </c>
      <c r="HJ150" s="105" t="str">
        <f t="shared" si="412"/>
        <v/>
      </c>
      <c r="HK150" s="94" t="str">
        <f t="shared" si="480"/>
        <v/>
      </c>
      <c r="HL150" s="94" t="str">
        <f t="shared" si="481"/>
        <v/>
      </c>
      <c r="HM150" s="105" t="str">
        <f t="shared" si="413"/>
        <v/>
      </c>
      <c r="HN150" s="367" t="str">
        <f t="shared" si="482"/>
        <v xml:space="preserve">      </v>
      </c>
      <c r="HO150" s="418" t="str">
        <f t="shared" si="414"/>
        <v xml:space="preserve">      </v>
      </c>
      <c r="HP150" s="367" t="str">
        <f t="shared" si="483"/>
        <v xml:space="preserve">      </v>
      </c>
      <c r="HQ150" s="107" t="str">
        <f t="shared" si="484"/>
        <v xml:space="preserve">      </v>
      </c>
      <c r="HR150" s="366" t="str">
        <f t="shared" si="485"/>
        <v xml:space="preserve">      </v>
      </c>
      <c r="HS150" s="544" t="str">
        <f t="shared" si="415"/>
        <v/>
      </c>
      <c r="HT150" s="542" t="str">
        <f t="shared" si="486"/>
        <v/>
      </c>
      <c r="HU150" s="541" t="str">
        <f t="shared" si="487"/>
        <v/>
      </c>
      <c r="HV150" s="540" t="str">
        <f t="shared" si="488"/>
        <v/>
      </c>
      <c r="HW150" s="537" t="str">
        <f t="shared" si="489"/>
        <v/>
      </c>
      <c r="HX150" s="539" t="str">
        <f t="shared" si="490"/>
        <v/>
      </c>
      <c r="HY150" s="553" t="str">
        <f>IFERROR(IF(OR(HS150="SUPPLEMENTARY",HS150="RE-EXAM"),'Supp. Result Entry'!AQ148,""),"")</f>
        <v/>
      </c>
      <c r="HZ150" s="538" t="str">
        <f t="shared" si="491"/>
        <v/>
      </c>
      <c r="IA150" s="415" t="str">
        <f t="shared" si="492"/>
        <v/>
      </c>
      <c r="IB150" s="415" t="str">
        <f>IF(AND(HZ150="",IA150=""),"",IF(OR(HS150="SUPPLEMENTARY",HS150="RE-EXAM"),'Supp. Result Entry'!AQ148,HS150))</f>
        <v/>
      </c>
      <c r="IC150" s="87"/>
      <c r="IS150" s="109" t="str">
        <f>IF('Supp. Result Entry'!T148="","",'Supp. Result Entry'!$T$4)</f>
        <v/>
      </c>
      <c r="IT150" s="110" t="str">
        <f>IF('Supp. Result Entry'!W148="","",'Supp. Result Entry'!$W$4)</f>
        <v/>
      </c>
      <c r="IU150" s="110" t="str">
        <f>IF('Supp. Result Entry'!Z148="","",'Supp. Result Entry'!$Z$4)</f>
        <v/>
      </c>
      <c r="IV150" s="110" t="str">
        <f>IF('Supp. Result Entry'!AC148="","",'Supp. Result Entry'!$AC$4)</f>
        <v/>
      </c>
      <c r="IW150" s="110" t="str">
        <f>IF('Supp. Result Entry'!AF148="","",'Supp. Result Entry'!$AF$4)</f>
        <v/>
      </c>
      <c r="IX150" s="110" t="str">
        <f>IF('Supp. Result Entry'!AI148="","",'Supp. Result Entry'!$AI$4)</f>
        <v/>
      </c>
      <c r="IY150" s="110" t="str">
        <f>IF('Supp. Result Entry'!AI148="","",'Supp. Result Entry'!$AL$4)</f>
        <v/>
      </c>
      <c r="IZ150" s="110" t="str">
        <f>IF('Supp. Result Entry'!U148="","",'Supp. Result Entry'!U148)</f>
        <v/>
      </c>
      <c r="JA150" s="110" t="str">
        <f>IF('Supp. Result Entry'!X148="","",'Supp. Result Entry'!X148)</f>
        <v/>
      </c>
      <c r="JB150" s="110" t="str">
        <f>IF('Supp. Result Entry'!AA148="","",'Supp. Result Entry'!AA148)</f>
        <v/>
      </c>
      <c r="JC150" s="110" t="str">
        <f>IF('Supp. Result Entry'!AD148="","",'Supp. Result Entry'!AD148)</f>
        <v/>
      </c>
      <c r="JD150" s="110" t="str">
        <f>IF('Supp. Result Entry'!AG148="","",'Supp. Result Entry'!AG148)</f>
        <v/>
      </c>
      <c r="JE150" s="110" t="str">
        <f>IF('Supp. Result Entry'!AJ148="","",'Supp. Result Entry'!AJ148)</f>
        <v/>
      </c>
      <c r="JF150" s="110" t="str">
        <f>IF('Supp. Result Entry'!AM148="","",'Supp. Result Entry'!AM148)</f>
        <v/>
      </c>
      <c r="JG150" s="110" t="str">
        <f>IF('Supp. Result Entry'!V148="","",'Supp. Result Entry'!V148)</f>
        <v/>
      </c>
      <c r="JH150" s="110" t="str">
        <f>IF('Supp. Result Entry'!Y148="","",'Supp. Result Entry'!Y148)</f>
        <v/>
      </c>
      <c r="JI150" s="110" t="str">
        <f>IF('Supp. Result Entry'!AB148="","",'Supp. Result Entry'!AB148)</f>
        <v/>
      </c>
      <c r="JJ150" s="110" t="str">
        <f>IF('Supp. Result Entry'!AE148="","",'Supp. Result Entry'!AE148)</f>
        <v/>
      </c>
      <c r="JK150" s="110" t="str">
        <f>IF('Supp. Result Entry'!AH148="","",'Supp. Result Entry'!AH148)</f>
        <v/>
      </c>
      <c r="JL150" s="110" t="str">
        <f>IF('Supp. Result Entry'!AK148="","",'Supp. Result Entry'!AK148)</f>
        <v/>
      </c>
      <c r="JM150" s="110" t="str">
        <f>IF('Supp. Result Entry'!AN148="","",'Supp. Result Entry'!AN148)</f>
        <v/>
      </c>
      <c r="JN150" s="110">
        <f>COUNTIF('Supp. Result Entry'!K148:Q148,"S")</f>
        <v>0</v>
      </c>
      <c r="JO150" s="110">
        <f t="shared" si="416"/>
        <v>0</v>
      </c>
      <c r="JP150" s="110">
        <f t="shared" si="493"/>
        <v>0</v>
      </c>
      <c r="JQ150" s="110" t="str">
        <f t="shared" si="417"/>
        <v/>
      </c>
      <c r="JR150" s="110" t="str">
        <f t="shared" si="418"/>
        <v/>
      </c>
      <c r="JS150" s="110" t="str">
        <f t="shared" si="419"/>
        <v/>
      </c>
      <c r="JT150" s="110" t="str">
        <f t="shared" si="420"/>
        <v/>
      </c>
      <c r="JU150" s="110" t="str">
        <f t="shared" si="421"/>
        <v/>
      </c>
      <c r="JV150" s="110" t="str">
        <f t="shared" si="422"/>
        <v/>
      </c>
      <c r="JW150" s="110" t="str">
        <f t="shared" si="423"/>
        <v/>
      </c>
      <c r="JX150" s="110" t="str">
        <f t="shared" si="494"/>
        <v/>
      </c>
      <c r="JY150" s="110" t="str">
        <f t="shared" si="495"/>
        <v/>
      </c>
      <c r="JZ150" s="110" t="str">
        <f t="shared" si="424"/>
        <v/>
      </c>
      <c r="KA150" s="108" t="str">
        <f t="shared" si="496"/>
        <v/>
      </c>
    </row>
    <row r="151" spans="1:287" s="108" customFormat="1" ht="21.95" customHeight="1">
      <c r="A151" s="89">
        <v>145</v>
      </c>
      <c r="B151" s="90" t="str">
        <f>IF('Marks Entry'!B151="","",'Marks Entry'!B151)</f>
        <v/>
      </c>
      <c r="C151" s="94" t="str">
        <f>IF('Marks Entry'!D151="","",'Marks Entry'!D151)</f>
        <v/>
      </c>
      <c r="D151" s="91" t="str">
        <f>IF('Marks Entry'!E151="","",'Marks Entry'!E151)</f>
        <v/>
      </c>
      <c r="E151" s="92" t="str">
        <f>IF('Marks Entry'!F151="","",'Marks Entry'!F151)</f>
        <v/>
      </c>
      <c r="F151" s="93" t="str">
        <f>IF('Marks Entry'!G151="","",'Marks Entry'!G151)</f>
        <v/>
      </c>
      <c r="G151" s="93" t="str">
        <f>IF('Marks Entry'!H151="","",'Marks Entry'!H151)</f>
        <v/>
      </c>
      <c r="H151" s="93" t="str">
        <f>IF('Marks Entry'!I151="","",'Marks Entry'!I151)</f>
        <v/>
      </c>
      <c r="I151" s="94" t="str">
        <f>IF('Marks Entry'!J151="","",'Marks Entry'!J151)</f>
        <v/>
      </c>
      <c r="J151" s="95" t="str">
        <f>IF('Marks Entry'!K151="","",'Marks Entry'!K151)</f>
        <v/>
      </c>
      <c r="K151" s="68" t="str">
        <f>IF('Marks Entry'!L151="","",'Marks Entry'!L151)</f>
        <v/>
      </c>
      <c r="L151" s="68" t="str">
        <f>IF('Marks Entry'!M151="","",'Marks Entry'!M151)</f>
        <v/>
      </c>
      <c r="M151" s="68" t="str">
        <f>IF('Marks Entry'!N151="","",'Marks Entry'!N151)</f>
        <v/>
      </c>
      <c r="N151" s="514" t="str">
        <f t="shared" si="425"/>
        <v/>
      </c>
      <c r="O151" s="68" t="str">
        <f>IF('Marks Entry'!O151="","",'Marks Entry'!O151)</f>
        <v/>
      </c>
      <c r="P151" s="515" t="str">
        <f t="shared" si="426"/>
        <v/>
      </c>
      <c r="Q151" s="68" t="str">
        <f>IF('Marks Entry'!P151="","",'Marks Entry'!P151)</f>
        <v/>
      </c>
      <c r="R151" s="96" t="str">
        <f t="shared" si="427"/>
        <v/>
      </c>
      <c r="S151" s="65">
        <f t="shared" si="428"/>
        <v>0</v>
      </c>
      <c r="T151" s="65">
        <f t="shared" si="429"/>
        <v>0</v>
      </c>
      <c r="U151" s="66" t="str">
        <f t="shared" si="339"/>
        <v/>
      </c>
      <c r="V151" s="65" t="str">
        <f t="shared" si="340"/>
        <v/>
      </c>
      <c r="W151" s="65" t="str">
        <f t="shared" si="430"/>
        <v/>
      </c>
      <c r="X151" s="65" t="str">
        <f t="shared" si="341"/>
        <v/>
      </c>
      <c r="Y151" s="68" t="str">
        <f>IF('Marks Entry'!Q151="","",'Marks Entry'!Q151)</f>
        <v/>
      </c>
      <c r="Z151" s="68" t="str">
        <f>IF('Marks Entry'!R151="","",'Marks Entry'!R151)</f>
        <v/>
      </c>
      <c r="AA151" s="68" t="str">
        <f>IF('Marks Entry'!S151="","",'Marks Entry'!S151)</f>
        <v/>
      </c>
      <c r="AB151" s="514" t="str">
        <f t="shared" si="342"/>
        <v/>
      </c>
      <c r="AC151" s="68" t="str">
        <f>IF('Marks Entry'!T151="","",'Marks Entry'!T151)</f>
        <v/>
      </c>
      <c r="AD151" s="515" t="str">
        <f t="shared" si="343"/>
        <v/>
      </c>
      <c r="AE151" s="68" t="str">
        <f>IF('Marks Entry'!U151="","",'Marks Entry'!U151)</f>
        <v/>
      </c>
      <c r="AF151" s="96" t="str">
        <f t="shared" si="344"/>
        <v/>
      </c>
      <c r="AG151" s="65">
        <f t="shared" si="345"/>
        <v>0</v>
      </c>
      <c r="AH151" s="65">
        <f t="shared" si="346"/>
        <v>0</v>
      </c>
      <c r="AI151" s="66" t="str">
        <f t="shared" si="347"/>
        <v/>
      </c>
      <c r="AJ151" s="65" t="str">
        <f t="shared" si="348"/>
        <v/>
      </c>
      <c r="AK151" s="65" t="str">
        <f t="shared" si="349"/>
        <v/>
      </c>
      <c r="AL151" s="65" t="str">
        <f t="shared" si="350"/>
        <v/>
      </c>
      <c r="AM151" s="524" t="str">
        <f>IF('Marks Entry'!V151="","",IF('Marks Entry'!V151=1,'School Profile'!$I$9,IF('Marks Entry'!V151=2,'School Profile'!$I$10,IF('Marks Entry'!V151=3,'School Profile'!$I$11,IF('Marks Entry'!V151=4,'School Profile'!$I$12,IF('Marks Entry'!V151=5,'School Profile'!$I$13,IF('Marks Entry'!V151=6,'School Profile'!$I$14,"")))))))</f>
        <v/>
      </c>
      <c r="AN151" s="68" t="str">
        <f>IF('Marks Entry'!W151="","",'Marks Entry'!W151)</f>
        <v/>
      </c>
      <c r="AO151" s="68" t="str">
        <f>IF('Marks Entry'!X151="","",'Marks Entry'!X151)</f>
        <v/>
      </c>
      <c r="AP151" s="68" t="str">
        <f>IF('Marks Entry'!Y151="","",'Marks Entry'!Y151)</f>
        <v/>
      </c>
      <c r="AQ151" s="514" t="str">
        <f t="shared" si="351"/>
        <v/>
      </c>
      <c r="AR151" s="68" t="str">
        <f>IF('Marks Entry'!Z151="","",'Marks Entry'!Z151)</f>
        <v/>
      </c>
      <c r="AS151" s="515" t="str">
        <f t="shared" si="352"/>
        <v/>
      </c>
      <c r="AT151" s="68" t="str">
        <f>IF('Marks Entry'!AA151="","",'Marks Entry'!AA151)</f>
        <v/>
      </c>
      <c r="AU151" s="96" t="str">
        <f t="shared" si="353"/>
        <v/>
      </c>
      <c r="AV151" s="65">
        <f t="shared" si="354"/>
        <v>0</v>
      </c>
      <c r="AW151" s="65">
        <f t="shared" si="355"/>
        <v>0</v>
      </c>
      <c r="AX151" s="66" t="str">
        <f t="shared" si="356"/>
        <v/>
      </c>
      <c r="AY151" s="65" t="str">
        <f t="shared" si="357"/>
        <v/>
      </c>
      <c r="AZ151" s="65" t="str">
        <f t="shared" si="358"/>
        <v/>
      </c>
      <c r="BA151" s="65" t="str">
        <f t="shared" si="359"/>
        <v/>
      </c>
      <c r="BB151" s="68" t="str">
        <f>IF('Marks Entry'!AB151="","",'Marks Entry'!AB151)</f>
        <v/>
      </c>
      <c r="BC151" s="68" t="str">
        <f>IF('Marks Entry'!AC151="","",'Marks Entry'!AC151)</f>
        <v/>
      </c>
      <c r="BD151" s="68" t="str">
        <f>IF('Marks Entry'!AD151="","",'Marks Entry'!AD151)</f>
        <v/>
      </c>
      <c r="BE151" s="514" t="str">
        <f t="shared" si="360"/>
        <v/>
      </c>
      <c r="BF151" s="68" t="str">
        <f>IF('Marks Entry'!AE151="","",'Marks Entry'!AE151)</f>
        <v/>
      </c>
      <c r="BG151" s="515" t="str">
        <f t="shared" si="361"/>
        <v/>
      </c>
      <c r="BH151" s="68" t="str">
        <f>IF('Marks Entry'!AF151="","",'Marks Entry'!AF151)</f>
        <v/>
      </c>
      <c r="BI151" s="96" t="str">
        <f t="shared" si="362"/>
        <v/>
      </c>
      <c r="BJ151" s="65">
        <f t="shared" si="363"/>
        <v>0</v>
      </c>
      <c r="BK151" s="65">
        <f t="shared" si="431"/>
        <v>0</v>
      </c>
      <c r="BL151" s="66" t="str">
        <f t="shared" si="364"/>
        <v/>
      </c>
      <c r="BM151" s="65" t="str">
        <f t="shared" si="365"/>
        <v/>
      </c>
      <c r="BN151" s="65" t="str">
        <f t="shared" si="366"/>
        <v/>
      </c>
      <c r="BO151" s="65" t="str">
        <f t="shared" si="367"/>
        <v/>
      </c>
      <c r="BP151" s="68" t="str">
        <f>IF('Marks Entry'!AG151="","",'Marks Entry'!AG151)</f>
        <v/>
      </c>
      <c r="BQ151" s="68" t="str">
        <f>IF('Marks Entry'!AH151="","",'Marks Entry'!AH151)</f>
        <v/>
      </c>
      <c r="BR151" s="68" t="str">
        <f>IF('Marks Entry'!AI151="","",'Marks Entry'!AI151)</f>
        <v/>
      </c>
      <c r="BS151" s="514" t="str">
        <f t="shared" si="368"/>
        <v/>
      </c>
      <c r="BT151" s="68" t="str">
        <f>IF('Marks Entry'!AJ151="","",'Marks Entry'!AJ151)</f>
        <v/>
      </c>
      <c r="BU151" s="515" t="str">
        <f t="shared" si="369"/>
        <v/>
      </c>
      <c r="BV151" s="68" t="str">
        <f>IF('Marks Entry'!AK151="","",'Marks Entry'!AK151)</f>
        <v/>
      </c>
      <c r="BW151" s="96" t="str">
        <f t="shared" si="370"/>
        <v/>
      </c>
      <c r="BX151" s="65">
        <f t="shared" si="371"/>
        <v>0</v>
      </c>
      <c r="BY151" s="65">
        <f t="shared" si="372"/>
        <v>0</v>
      </c>
      <c r="BZ151" s="66" t="str">
        <f t="shared" si="373"/>
        <v/>
      </c>
      <c r="CA151" s="65" t="str">
        <f t="shared" si="374"/>
        <v/>
      </c>
      <c r="CB151" s="65" t="str">
        <f t="shared" si="375"/>
        <v/>
      </c>
      <c r="CC151" s="65" t="str">
        <f t="shared" si="376"/>
        <v/>
      </c>
      <c r="CD151" s="66">
        <f t="shared" si="377"/>
        <v>0</v>
      </c>
      <c r="CE151" s="68" t="str">
        <f>IF('Marks Entry'!AL151="","",'Marks Entry'!AL151)</f>
        <v/>
      </c>
      <c r="CF151" s="68" t="str">
        <f>IF('Marks Entry'!AM151="","",'Marks Entry'!AM151)</f>
        <v/>
      </c>
      <c r="CG151" s="68" t="str">
        <f>IF('Marks Entry'!AN151="","",'Marks Entry'!AN151)</f>
        <v/>
      </c>
      <c r="CH151" s="514" t="str">
        <f t="shared" si="378"/>
        <v/>
      </c>
      <c r="CI151" s="68" t="str">
        <f>IF('Marks Entry'!AO151="","",'Marks Entry'!AO151)</f>
        <v/>
      </c>
      <c r="CJ151" s="515" t="str">
        <f t="shared" si="379"/>
        <v/>
      </c>
      <c r="CK151" s="68" t="str">
        <f>IF('Marks Entry'!AP151="","",'Marks Entry'!AP151)</f>
        <v/>
      </c>
      <c r="CL151" s="96" t="str">
        <f t="shared" si="380"/>
        <v/>
      </c>
      <c r="CM151" s="65">
        <f t="shared" si="381"/>
        <v>0</v>
      </c>
      <c r="CN151" s="65">
        <f t="shared" si="382"/>
        <v>0</v>
      </c>
      <c r="CO151" s="66" t="str">
        <f t="shared" si="383"/>
        <v/>
      </c>
      <c r="CP151" s="65" t="str">
        <f t="shared" si="384"/>
        <v/>
      </c>
      <c r="CQ151" s="65" t="str">
        <f t="shared" si="385"/>
        <v/>
      </c>
      <c r="CR151" s="65" t="str">
        <f t="shared" si="386"/>
        <v/>
      </c>
      <c r="CS151" s="616" t="str">
        <f>IF('School Profile'!$D$20="NO","",IF('Marks Entry'!AQ151="","",IF('Marks Entry'!AQ151=1,'School Profile'!$I$29,IF('Marks Entry'!AQ151=2,'School Profile'!$I$30,IF('Marks Entry'!AQ151=3,'School Profile'!$I$31,IF('Marks Entry'!AQ151=4,'School Profile'!$I$32,IF('Marks Entry'!AQ151=5,'School Profile'!$I$33,IF('Marks Entry'!AQ151=6,'School Profile'!$I$34,IF('Marks Entry'!AQ151=7,'School Profile'!$I$35,IF('Marks Entry'!AQ151=8,'School Profile'!$I$36,IF('Marks Entry'!AQ151=9,'School Profile'!$I$37,IF('Marks Entry'!AQ151=10,'School Profile'!$I$38,IF('Marks Entry'!AQ151=11,'School Profile'!$I$39,"")))))))))))))</f>
        <v/>
      </c>
      <c r="CT151" s="68" t="str">
        <f>IF('School Profile'!$D$20="NO","",IF('Marks Entry'!AR151="","",'Marks Entry'!AR151))</f>
        <v/>
      </c>
      <c r="CU151" s="68" t="str">
        <f>IF('School Profile'!$D$20="NO","",IF('Marks Entry'!AS151="","",'Marks Entry'!AS151))</f>
        <v/>
      </c>
      <c r="CV151" s="68" t="str">
        <f>IF('School Profile'!$D$20="NO","",IF('Marks Entry'!AT151="","",'Marks Entry'!AT151))</f>
        <v/>
      </c>
      <c r="CW151" s="514" t="str">
        <f>IF('School Profile'!$D$20="NO","",IF(AND(CT151="",CU151="",CV151=""),"",SUM(CT151:CV151)))</f>
        <v/>
      </c>
      <c r="CX151" s="68" t="str">
        <f>IF('School Profile'!$D$20="NO","",IF('Marks Entry'!AU151="","",'Marks Entry'!AU151))</f>
        <v/>
      </c>
      <c r="CY151" s="68" t="str">
        <f>IF('School Profile'!$D$20="NO","",IF('Marks Entry'!AV151="","",'Marks Entry'!AV151))</f>
        <v/>
      </c>
      <c r="CZ151" s="515" t="str">
        <f>IF('School Profile'!$D$20="NO","",IF(AND(CX151="",CY151=""),"",SUM(CX151,CY151)))</f>
        <v/>
      </c>
      <c r="DA151" s="69" t="str">
        <f>IF('School Profile'!$D$20="NO","",IF(AND(CW151="",CZ151=""),"",SUM(CW151+CZ151)))</f>
        <v/>
      </c>
      <c r="DB151" s="68" t="str">
        <f>IF('School Profile'!$D$20="NO","",IF('Marks Entry'!AW151="","",'Marks Entry'!AW151))</f>
        <v/>
      </c>
      <c r="DC151" s="68" t="str">
        <f>IF('School Profile'!$D$20="NO","",IF('Marks Entry'!AX151="","",'Marks Entry'!AX151))</f>
        <v/>
      </c>
      <c r="DD151" s="515" t="str">
        <f>IF('School Profile'!$D$20="NO","",IF(AND(DB151="",DC151=""),"",SUM(DB151,DC151)))</f>
        <v/>
      </c>
      <c r="DE151" s="96" t="str">
        <f>IF('School Profile'!$D$20="NO","",IF(AND(DA151="",DD151=""),"",SUM(DA151,DD151)))</f>
        <v/>
      </c>
      <c r="DF151" s="532">
        <f t="shared" si="387"/>
        <v>0</v>
      </c>
      <c r="DG151" s="65">
        <f t="shared" si="388"/>
        <v>0</v>
      </c>
      <c r="DH151" s="66" t="str">
        <f t="shared" si="389"/>
        <v/>
      </c>
      <c r="DI151" s="65" t="str">
        <f t="shared" si="390"/>
        <v/>
      </c>
      <c r="DJ151" s="65" t="str">
        <f t="shared" si="391"/>
        <v/>
      </c>
      <c r="DK151" s="65" t="str">
        <f t="shared" si="392"/>
        <v/>
      </c>
      <c r="DL151" s="97" t="str">
        <f t="shared" si="432"/>
        <v/>
      </c>
      <c r="DM151" s="97" t="str">
        <f t="shared" si="433"/>
        <v/>
      </c>
      <c r="DN151" s="97" t="str">
        <f t="shared" si="434"/>
        <v/>
      </c>
      <c r="DO151" s="97" t="str">
        <f t="shared" si="435"/>
        <v/>
      </c>
      <c r="DP151" s="97" t="str">
        <f t="shared" si="436"/>
        <v/>
      </c>
      <c r="DQ151" s="97" t="str">
        <f t="shared" si="437"/>
        <v/>
      </c>
      <c r="DR151" s="97" t="str">
        <f t="shared" si="438"/>
        <v/>
      </c>
      <c r="DS151" s="98">
        <f t="shared" si="439"/>
        <v>0</v>
      </c>
      <c r="DT151" s="98">
        <f t="shared" si="440"/>
        <v>0</v>
      </c>
      <c r="DU151" s="98">
        <f t="shared" si="441"/>
        <v>0</v>
      </c>
      <c r="DV151" s="98">
        <f t="shared" si="442"/>
        <v>0</v>
      </c>
      <c r="DW151" s="98">
        <f t="shared" si="443"/>
        <v>0</v>
      </c>
      <c r="DX151" s="98" t="str">
        <f t="shared" si="444"/>
        <v/>
      </c>
      <c r="DY151" s="99" t="str">
        <f t="shared" si="445"/>
        <v/>
      </c>
      <c r="DZ151" s="74" t="str">
        <f>IF('Marks Entry'!AY151="","",'Marks Entry'!AY151)</f>
        <v/>
      </c>
      <c r="EA151" s="74" t="str">
        <f>IF('Marks Entry'!AZ151="","",'Marks Entry'!AZ151)</f>
        <v/>
      </c>
      <c r="EB151" s="74" t="str">
        <f>IF('Marks Entry'!BA151="","",'Marks Entry'!BA151)</f>
        <v/>
      </c>
      <c r="EC151" s="527" t="str">
        <f t="shared" si="393"/>
        <v/>
      </c>
      <c r="ED151" s="74" t="str">
        <f>IF('Marks Entry'!BB151="","",'Marks Entry'!BB151)</f>
        <v/>
      </c>
      <c r="EE151" s="528" t="str">
        <f t="shared" si="394"/>
        <v/>
      </c>
      <c r="EF151" s="74" t="str">
        <f>IF('Marks Entry'!BC151="","",'Marks Entry'!BC151)</f>
        <v/>
      </c>
      <c r="EG151" s="530" t="str">
        <f t="shared" si="395"/>
        <v/>
      </c>
      <c r="EH151" s="368" t="str">
        <f t="shared" si="446"/>
        <v/>
      </c>
      <c r="EI151" s="65">
        <f t="shared" si="447"/>
        <v>0</v>
      </c>
      <c r="EJ151" s="65">
        <f t="shared" si="448"/>
        <v>0</v>
      </c>
      <c r="EK151" s="66" t="str">
        <f t="shared" si="449"/>
        <v/>
      </c>
      <c r="EL151" s="74" t="str">
        <f>IF('Marks Entry'!BD151="","",'Marks Entry'!BD151)</f>
        <v/>
      </c>
      <c r="EM151" s="74" t="str">
        <f>IF('Marks Entry'!BE151="","",'Marks Entry'!BE151)</f>
        <v/>
      </c>
      <c r="EN151" s="74" t="str">
        <f>IF('Marks Entry'!BF151="","",'Marks Entry'!BF151)</f>
        <v/>
      </c>
      <c r="EO151" s="527" t="str">
        <f t="shared" si="396"/>
        <v/>
      </c>
      <c r="EP151" s="74" t="str">
        <f>IF('Marks Entry'!BG151="","",'Marks Entry'!BG151)</f>
        <v/>
      </c>
      <c r="EQ151" s="74" t="str">
        <f>IF('Marks Entry'!BH151="","",'Marks Entry'!BH151)</f>
        <v/>
      </c>
      <c r="ER151" s="528" t="str">
        <f t="shared" si="397"/>
        <v/>
      </c>
      <c r="ES151" s="529" t="str">
        <f t="shared" si="398"/>
        <v/>
      </c>
      <c r="ET151" s="74" t="str">
        <f>IF('Marks Entry'!BI151="","",'Marks Entry'!BI151)</f>
        <v/>
      </c>
      <c r="EU151" s="74" t="str">
        <f>IF('Marks Entry'!BJ151="","",'Marks Entry'!BJ151)</f>
        <v/>
      </c>
      <c r="EV151" s="528" t="str">
        <f t="shared" si="399"/>
        <v/>
      </c>
      <c r="EW151" s="530" t="str">
        <f t="shared" si="400"/>
        <v/>
      </c>
      <c r="EX151" s="368" t="str">
        <f t="shared" si="450"/>
        <v/>
      </c>
      <c r="EY151" s="65">
        <f t="shared" si="451"/>
        <v>0</v>
      </c>
      <c r="EZ151" s="65">
        <f t="shared" si="452"/>
        <v>0</v>
      </c>
      <c r="FA151" s="66" t="str">
        <f t="shared" si="453"/>
        <v/>
      </c>
      <c r="FB151" s="74" t="str">
        <f>IF('Marks Entry'!BK151="","",'Marks Entry'!BK151)</f>
        <v/>
      </c>
      <c r="FC151" s="74" t="str">
        <f>IF('Marks Entry'!BL151="","",'Marks Entry'!BL151)</f>
        <v/>
      </c>
      <c r="FD151" s="74" t="str">
        <f>IF('Marks Entry'!BM151="","",'Marks Entry'!BM151)</f>
        <v/>
      </c>
      <c r="FE151" s="74" t="str">
        <f>IF('Marks Entry'!BN151="","",'Marks Entry'!BN151)</f>
        <v/>
      </c>
      <c r="FF151" s="74" t="str">
        <f>IF('Marks Entry'!BO151="","",'Marks Entry'!BO151)</f>
        <v/>
      </c>
      <c r="FG151" s="74" t="str">
        <f>IF('Marks Entry'!BP151="","",'Marks Entry'!BP151)</f>
        <v/>
      </c>
      <c r="FH151" s="527" t="str">
        <f t="shared" si="401"/>
        <v/>
      </c>
      <c r="FI151" s="74" t="str">
        <f>IF('Marks Entry'!BQ151="","",'Marks Entry'!BQ151)</f>
        <v/>
      </c>
      <c r="FJ151" s="74" t="str">
        <f>IF('Marks Entry'!BR151="","",'Marks Entry'!BR151)</f>
        <v/>
      </c>
      <c r="FK151" s="528" t="str">
        <f t="shared" si="402"/>
        <v/>
      </c>
      <c r="FL151" s="529" t="str">
        <f t="shared" si="403"/>
        <v/>
      </c>
      <c r="FM151" s="74" t="str">
        <f>IF('Marks Entry'!BS151="","",'Marks Entry'!BS151)</f>
        <v/>
      </c>
      <c r="FN151" s="74" t="str">
        <f>IF('Marks Entry'!BT151="","",'Marks Entry'!BT151)</f>
        <v/>
      </c>
      <c r="FO151" s="528" t="str">
        <f t="shared" si="404"/>
        <v/>
      </c>
      <c r="FP151" s="530" t="str">
        <f t="shared" si="405"/>
        <v/>
      </c>
      <c r="FQ151" s="368" t="str">
        <f t="shared" si="454"/>
        <v/>
      </c>
      <c r="FR151" s="65">
        <f t="shared" si="455"/>
        <v>0</v>
      </c>
      <c r="FS151" s="65">
        <f t="shared" si="456"/>
        <v>0</v>
      </c>
      <c r="FT151" s="66" t="str">
        <f t="shared" si="457"/>
        <v/>
      </c>
      <c r="FU151" s="74" t="str">
        <f>IF('Marks Entry'!BU151="","",'Marks Entry'!BU151)</f>
        <v/>
      </c>
      <c r="FV151" s="74" t="str">
        <f>IF('Marks Entry'!BV151="","",'Marks Entry'!BV151)</f>
        <v/>
      </c>
      <c r="FW151" s="74" t="str">
        <f>IF('Marks Entry'!BW151="","",'Marks Entry'!BW151)</f>
        <v/>
      </c>
      <c r="FX151" s="75" t="str">
        <f t="shared" si="406"/>
        <v/>
      </c>
      <c r="FY151" s="368" t="str">
        <f t="shared" si="458"/>
        <v/>
      </c>
      <c r="FZ151" s="65">
        <f t="shared" si="459"/>
        <v>0</v>
      </c>
      <c r="GA151" s="66">
        <f t="shared" si="460"/>
        <v>0</v>
      </c>
      <c r="GB151" s="66" t="str">
        <f t="shared" si="461"/>
        <v/>
      </c>
      <c r="GC151" s="74" t="str">
        <f>IF('Marks Entry'!BX151="","",'Marks Entry'!BX151)</f>
        <v/>
      </c>
      <c r="GD151" s="74" t="str">
        <f>IF('Marks Entry'!BY151="","",'Marks Entry'!BY151)</f>
        <v/>
      </c>
      <c r="GE151" s="74" t="str">
        <f>IF('Marks Entry'!BZ151="","",'Marks Entry'!BZ151)</f>
        <v/>
      </c>
      <c r="GF151" s="75" t="str">
        <f t="shared" si="462"/>
        <v/>
      </c>
      <c r="GG151" s="368" t="str">
        <f t="shared" si="463"/>
        <v/>
      </c>
      <c r="GH151" s="65">
        <f t="shared" si="464"/>
        <v>0</v>
      </c>
      <c r="GI151" s="66">
        <f t="shared" si="465"/>
        <v>0</v>
      </c>
      <c r="GJ151" s="66" t="str">
        <f t="shared" si="466"/>
        <v/>
      </c>
      <c r="GK151" s="100" t="str">
        <f>IF(AND(F151="",B151=""),"",IF('Student DATA Entry'!M148="","",'Student DATA Entry'!M148))</f>
        <v/>
      </c>
      <c r="GL151" s="101" t="str">
        <f>IF(AND(B151="",F151=""),"",IF('Student DATA Entry'!N148="","",'Student DATA Entry'!N148))</f>
        <v/>
      </c>
      <c r="GM151" s="581" t="str">
        <f t="shared" si="467"/>
        <v/>
      </c>
      <c r="GN151" s="94" t="str">
        <f t="shared" si="468"/>
        <v/>
      </c>
      <c r="GO151" s="94" t="str">
        <f t="shared" si="469"/>
        <v/>
      </c>
      <c r="GP151" s="102" t="str">
        <f t="shared" si="407"/>
        <v/>
      </c>
      <c r="GQ151" s="94" t="str">
        <f t="shared" si="470"/>
        <v/>
      </c>
      <c r="GR151" s="103" t="str">
        <f t="shared" si="471"/>
        <v/>
      </c>
      <c r="GS151" s="102" t="str">
        <f t="shared" si="408"/>
        <v/>
      </c>
      <c r="GT151" s="104" t="str">
        <f t="shared" si="472"/>
        <v/>
      </c>
      <c r="GU151" s="94" t="str">
        <f>IF('Marks Entry'!V151=1,GT151,"")</f>
        <v/>
      </c>
      <c r="GV151" s="94" t="str">
        <f>IF('Marks Entry'!V151=2,GT151,"")</f>
        <v/>
      </c>
      <c r="GW151" s="94" t="str">
        <f>IF('Marks Entry'!V151=3,GT151,"")</f>
        <v/>
      </c>
      <c r="GX151" s="94" t="str">
        <f>IF('Marks Entry'!V151=4,GT151,"")</f>
        <v/>
      </c>
      <c r="GY151" s="94" t="str">
        <f>IF('Marks Entry'!V151=5,GT151,"")</f>
        <v/>
      </c>
      <c r="GZ151" s="94" t="str">
        <f t="shared" si="473"/>
        <v/>
      </c>
      <c r="HA151" s="105" t="str">
        <f t="shared" si="409"/>
        <v/>
      </c>
      <c r="HB151" s="94" t="str">
        <f t="shared" si="474"/>
        <v/>
      </c>
      <c r="HC151" s="94" t="str">
        <f t="shared" si="475"/>
        <v/>
      </c>
      <c r="HD151" s="105" t="str">
        <f t="shared" si="410"/>
        <v/>
      </c>
      <c r="HE151" s="94" t="str">
        <f t="shared" si="476"/>
        <v/>
      </c>
      <c r="HF151" s="94" t="str">
        <f t="shared" si="477"/>
        <v/>
      </c>
      <c r="HG151" s="105" t="str">
        <f t="shared" si="411"/>
        <v/>
      </c>
      <c r="HH151" s="94" t="str">
        <f t="shared" si="478"/>
        <v/>
      </c>
      <c r="HI151" s="94" t="str">
        <f t="shared" si="479"/>
        <v/>
      </c>
      <c r="HJ151" s="105" t="str">
        <f t="shared" si="412"/>
        <v/>
      </c>
      <c r="HK151" s="94" t="str">
        <f t="shared" si="480"/>
        <v/>
      </c>
      <c r="HL151" s="94" t="str">
        <f t="shared" si="481"/>
        <v/>
      </c>
      <c r="HM151" s="105" t="str">
        <f t="shared" si="413"/>
        <v/>
      </c>
      <c r="HN151" s="367" t="str">
        <f t="shared" si="482"/>
        <v xml:space="preserve">      </v>
      </c>
      <c r="HO151" s="418" t="str">
        <f t="shared" si="414"/>
        <v xml:space="preserve">      </v>
      </c>
      <c r="HP151" s="367" t="str">
        <f t="shared" si="483"/>
        <v xml:space="preserve">      </v>
      </c>
      <c r="HQ151" s="107" t="str">
        <f t="shared" si="484"/>
        <v xml:space="preserve">      </v>
      </c>
      <c r="HR151" s="366" t="str">
        <f t="shared" si="485"/>
        <v xml:space="preserve">      </v>
      </c>
      <c r="HS151" s="544" t="str">
        <f t="shared" si="415"/>
        <v/>
      </c>
      <c r="HT151" s="542" t="str">
        <f t="shared" si="486"/>
        <v/>
      </c>
      <c r="HU151" s="541" t="str">
        <f t="shared" si="487"/>
        <v/>
      </c>
      <c r="HV151" s="540" t="str">
        <f t="shared" si="488"/>
        <v/>
      </c>
      <c r="HW151" s="537" t="str">
        <f t="shared" si="489"/>
        <v/>
      </c>
      <c r="HX151" s="539" t="str">
        <f t="shared" si="490"/>
        <v/>
      </c>
      <c r="HY151" s="553" t="str">
        <f>IFERROR(IF(OR(HS151="SUPPLEMENTARY",HS151="RE-EXAM"),'Supp. Result Entry'!AQ149,""),"")</f>
        <v/>
      </c>
      <c r="HZ151" s="538" t="str">
        <f t="shared" si="491"/>
        <v/>
      </c>
      <c r="IA151" s="415" t="str">
        <f t="shared" si="492"/>
        <v/>
      </c>
      <c r="IB151" s="415" t="str">
        <f>IF(AND(HZ151="",IA151=""),"",IF(OR(HS151="SUPPLEMENTARY",HS151="RE-EXAM"),'Supp. Result Entry'!AQ149,HS151))</f>
        <v/>
      </c>
      <c r="IC151" s="87"/>
      <c r="IS151" s="109" t="str">
        <f>IF('Supp. Result Entry'!T149="","",'Supp. Result Entry'!$T$4)</f>
        <v/>
      </c>
      <c r="IT151" s="110" t="str">
        <f>IF('Supp. Result Entry'!W149="","",'Supp. Result Entry'!$W$4)</f>
        <v/>
      </c>
      <c r="IU151" s="110" t="str">
        <f>IF('Supp. Result Entry'!Z149="","",'Supp. Result Entry'!$Z$4)</f>
        <v/>
      </c>
      <c r="IV151" s="110" t="str">
        <f>IF('Supp. Result Entry'!AC149="","",'Supp. Result Entry'!$AC$4)</f>
        <v/>
      </c>
      <c r="IW151" s="110" t="str">
        <f>IF('Supp. Result Entry'!AF149="","",'Supp. Result Entry'!$AF$4)</f>
        <v/>
      </c>
      <c r="IX151" s="110" t="str">
        <f>IF('Supp. Result Entry'!AI149="","",'Supp. Result Entry'!$AI$4)</f>
        <v/>
      </c>
      <c r="IY151" s="110" t="str">
        <f>IF('Supp. Result Entry'!AI149="","",'Supp. Result Entry'!$AL$4)</f>
        <v/>
      </c>
      <c r="IZ151" s="110" t="str">
        <f>IF('Supp. Result Entry'!U149="","",'Supp. Result Entry'!U149)</f>
        <v/>
      </c>
      <c r="JA151" s="110" t="str">
        <f>IF('Supp. Result Entry'!X149="","",'Supp. Result Entry'!X149)</f>
        <v/>
      </c>
      <c r="JB151" s="110" t="str">
        <f>IF('Supp. Result Entry'!AA149="","",'Supp. Result Entry'!AA149)</f>
        <v/>
      </c>
      <c r="JC151" s="110" t="str">
        <f>IF('Supp. Result Entry'!AD149="","",'Supp. Result Entry'!AD149)</f>
        <v/>
      </c>
      <c r="JD151" s="110" t="str">
        <f>IF('Supp. Result Entry'!AG149="","",'Supp. Result Entry'!AG149)</f>
        <v/>
      </c>
      <c r="JE151" s="110" t="str">
        <f>IF('Supp. Result Entry'!AJ149="","",'Supp. Result Entry'!AJ149)</f>
        <v/>
      </c>
      <c r="JF151" s="110" t="str">
        <f>IF('Supp. Result Entry'!AM149="","",'Supp. Result Entry'!AM149)</f>
        <v/>
      </c>
      <c r="JG151" s="110" t="str">
        <f>IF('Supp. Result Entry'!V149="","",'Supp. Result Entry'!V149)</f>
        <v/>
      </c>
      <c r="JH151" s="110" t="str">
        <f>IF('Supp. Result Entry'!Y149="","",'Supp. Result Entry'!Y149)</f>
        <v/>
      </c>
      <c r="JI151" s="110" t="str">
        <f>IF('Supp. Result Entry'!AB149="","",'Supp. Result Entry'!AB149)</f>
        <v/>
      </c>
      <c r="JJ151" s="110" t="str">
        <f>IF('Supp. Result Entry'!AE149="","",'Supp. Result Entry'!AE149)</f>
        <v/>
      </c>
      <c r="JK151" s="110" t="str">
        <f>IF('Supp. Result Entry'!AH149="","",'Supp. Result Entry'!AH149)</f>
        <v/>
      </c>
      <c r="JL151" s="110" t="str">
        <f>IF('Supp. Result Entry'!AK149="","",'Supp. Result Entry'!AK149)</f>
        <v/>
      </c>
      <c r="JM151" s="110" t="str">
        <f>IF('Supp. Result Entry'!AN149="","",'Supp. Result Entry'!AN149)</f>
        <v/>
      </c>
      <c r="JN151" s="110">
        <f>COUNTIF('Supp. Result Entry'!K149:Q149,"S")</f>
        <v>0</v>
      </c>
      <c r="JO151" s="110">
        <f t="shared" si="416"/>
        <v>0</v>
      </c>
      <c r="JP151" s="110">
        <f t="shared" si="493"/>
        <v>0</v>
      </c>
      <c r="JQ151" s="110" t="str">
        <f t="shared" si="417"/>
        <v/>
      </c>
      <c r="JR151" s="110" t="str">
        <f t="shared" si="418"/>
        <v/>
      </c>
      <c r="JS151" s="110" t="str">
        <f t="shared" si="419"/>
        <v/>
      </c>
      <c r="JT151" s="110" t="str">
        <f t="shared" si="420"/>
        <v/>
      </c>
      <c r="JU151" s="110" t="str">
        <f t="shared" si="421"/>
        <v/>
      </c>
      <c r="JV151" s="110" t="str">
        <f t="shared" si="422"/>
        <v/>
      </c>
      <c r="JW151" s="110" t="str">
        <f t="shared" si="423"/>
        <v/>
      </c>
      <c r="JX151" s="110" t="str">
        <f t="shared" si="494"/>
        <v/>
      </c>
      <c r="JY151" s="110" t="str">
        <f t="shared" si="495"/>
        <v/>
      </c>
      <c r="JZ151" s="110" t="str">
        <f t="shared" si="424"/>
        <v/>
      </c>
      <c r="KA151" s="108" t="str">
        <f t="shared" si="496"/>
        <v/>
      </c>
    </row>
    <row r="152" spans="1:287" s="108" customFormat="1" ht="21.95" customHeight="1">
      <c r="A152" s="89">
        <v>146</v>
      </c>
      <c r="B152" s="90" t="str">
        <f>IF('Marks Entry'!B152="","",'Marks Entry'!B152)</f>
        <v/>
      </c>
      <c r="C152" s="94" t="str">
        <f>IF('Marks Entry'!D152="","",'Marks Entry'!D152)</f>
        <v/>
      </c>
      <c r="D152" s="91" t="str">
        <f>IF('Marks Entry'!E152="","",'Marks Entry'!E152)</f>
        <v/>
      </c>
      <c r="E152" s="92" t="str">
        <f>IF('Marks Entry'!F152="","",'Marks Entry'!F152)</f>
        <v/>
      </c>
      <c r="F152" s="93" t="str">
        <f>IF('Marks Entry'!G152="","",'Marks Entry'!G152)</f>
        <v/>
      </c>
      <c r="G152" s="93" t="str">
        <f>IF('Marks Entry'!H152="","",'Marks Entry'!H152)</f>
        <v/>
      </c>
      <c r="H152" s="93" t="str">
        <f>IF('Marks Entry'!I152="","",'Marks Entry'!I152)</f>
        <v/>
      </c>
      <c r="I152" s="94" t="str">
        <f>IF('Marks Entry'!J152="","",'Marks Entry'!J152)</f>
        <v/>
      </c>
      <c r="J152" s="95" t="str">
        <f>IF('Marks Entry'!K152="","",'Marks Entry'!K152)</f>
        <v/>
      </c>
      <c r="K152" s="68" t="str">
        <f>IF('Marks Entry'!L152="","",'Marks Entry'!L152)</f>
        <v/>
      </c>
      <c r="L152" s="68" t="str">
        <f>IF('Marks Entry'!M152="","",'Marks Entry'!M152)</f>
        <v/>
      </c>
      <c r="M152" s="68" t="str">
        <f>IF('Marks Entry'!N152="","",'Marks Entry'!N152)</f>
        <v/>
      </c>
      <c r="N152" s="514" t="str">
        <f t="shared" si="425"/>
        <v/>
      </c>
      <c r="O152" s="68" t="str">
        <f>IF('Marks Entry'!O152="","",'Marks Entry'!O152)</f>
        <v/>
      </c>
      <c r="P152" s="515" t="str">
        <f t="shared" si="426"/>
        <v/>
      </c>
      <c r="Q152" s="68" t="str">
        <f>IF('Marks Entry'!P152="","",'Marks Entry'!P152)</f>
        <v/>
      </c>
      <c r="R152" s="96" t="str">
        <f t="shared" si="427"/>
        <v/>
      </c>
      <c r="S152" s="65">
        <f t="shared" si="428"/>
        <v>0</v>
      </c>
      <c r="T152" s="65">
        <f t="shared" si="429"/>
        <v>0</v>
      </c>
      <c r="U152" s="66" t="str">
        <f t="shared" si="339"/>
        <v/>
      </c>
      <c r="V152" s="65" t="str">
        <f t="shared" si="340"/>
        <v/>
      </c>
      <c r="W152" s="65" t="str">
        <f t="shared" si="430"/>
        <v/>
      </c>
      <c r="X152" s="65" t="str">
        <f t="shared" si="341"/>
        <v/>
      </c>
      <c r="Y152" s="68" t="str">
        <f>IF('Marks Entry'!Q152="","",'Marks Entry'!Q152)</f>
        <v/>
      </c>
      <c r="Z152" s="68" t="str">
        <f>IF('Marks Entry'!R152="","",'Marks Entry'!R152)</f>
        <v/>
      </c>
      <c r="AA152" s="68" t="str">
        <f>IF('Marks Entry'!S152="","",'Marks Entry'!S152)</f>
        <v/>
      </c>
      <c r="AB152" s="514" t="str">
        <f t="shared" si="342"/>
        <v/>
      </c>
      <c r="AC152" s="68" t="str">
        <f>IF('Marks Entry'!T152="","",'Marks Entry'!T152)</f>
        <v/>
      </c>
      <c r="AD152" s="515" t="str">
        <f t="shared" si="343"/>
        <v/>
      </c>
      <c r="AE152" s="68" t="str">
        <f>IF('Marks Entry'!U152="","",'Marks Entry'!U152)</f>
        <v/>
      </c>
      <c r="AF152" s="96" t="str">
        <f t="shared" si="344"/>
        <v/>
      </c>
      <c r="AG152" s="65">
        <f t="shared" si="345"/>
        <v>0</v>
      </c>
      <c r="AH152" s="65">
        <f t="shared" si="346"/>
        <v>0</v>
      </c>
      <c r="AI152" s="66" t="str">
        <f t="shared" si="347"/>
        <v/>
      </c>
      <c r="AJ152" s="65" t="str">
        <f t="shared" si="348"/>
        <v/>
      </c>
      <c r="AK152" s="65" t="str">
        <f t="shared" si="349"/>
        <v/>
      </c>
      <c r="AL152" s="65" t="str">
        <f t="shared" si="350"/>
        <v/>
      </c>
      <c r="AM152" s="524" t="str">
        <f>IF('Marks Entry'!V152="","",IF('Marks Entry'!V152=1,'School Profile'!$I$9,IF('Marks Entry'!V152=2,'School Profile'!$I$10,IF('Marks Entry'!V152=3,'School Profile'!$I$11,IF('Marks Entry'!V152=4,'School Profile'!$I$12,IF('Marks Entry'!V152=5,'School Profile'!$I$13,IF('Marks Entry'!V152=6,'School Profile'!$I$14,"")))))))</f>
        <v/>
      </c>
      <c r="AN152" s="68" t="str">
        <f>IF('Marks Entry'!W152="","",'Marks Entry'!W152)</f>
        <v/>
      </c>
      <c r="AO152" s="68" t="str">
        <f>IF('Marks Entry'!X152="","",'Marks Entry'!X152)</f>
        <v/>
      </c>
      <c r="AP152" s="68" t="str">
        <f>IF('Marks Entry'!Y152="","",'Marks Entry'!Y152)</f>
        <v/>
      </c>
      <c r="AQ152" s="514" t="str">
        <f t="shared" si="351"/>
        <v/>
      </c>
      <c r="AR152" s="68" t="str">
        <f>IF('Marks Entry'!Z152="","",'Marks Entry'!Z152)</f>
        <v/>
      </c>
      <c r="AS152" s="515" t="str">
        <f t="shared" si="352"/>
        <v/>
      </c>
      <c r="AT152" s="68" t="str">
        <f>IF('Marks Entry'!AA152="","",'Marks Entry'!AA152)</f>
        <v/>
      </c>
      <c r="AU152" s="96" t="str">
        <f t="shared" si="353"/>
        <v/>
      </c>
      <c r="AV152" s="65">
        <f t="shared" si="354"/>
        <v>0</v>
      </c>
      <c r="AW152" s="65">
        <f t="shared" si="355"/>
        <v>0</v>
      </c>
      <c r="AX152" s="66" t="str">
        <f t="shared" si="356"/>
        <v/>
      </c>
      <c r="AY152" s="65" t="str">
        <f t="shared" si="357"/>
        <v/>
      </c>
      <c r="AZ152" s="65" t="str">
        <f t="shared" si="358"/>
        <v/>
      </c>
      <c r="BA152" s="65" t="str">
        <f t="shared" si="359"/>
        <v/>
      </c>
      <c r="BB152" s="68" t="str">
        <f>IF('Marks Entry'!AB152="","",'Marks Entry'!AB152)</f>
        <v/>
      </c>
      <c r="BC152" s="68" t="str">
        <f>IF('Marks Entry'!AC152="","",'Marks Entry'!AC152)</f>
        <v/>
      </c>
      <c r="BD152" s="68" t="str">
        <f>IF('Marks Entry'!AD152="","",'Marks Entry'!AD152)</f>
        <v/>
      </c>
      <c r="BE152" s="514" t="str">
        <f t="shared" si="360"/>
        <v/>
      </c>
      <c r="BF152" s="68" t="str">
        <f>IF('Marks Entry'!AE152="","",'Marks Entry'!AE152)</f>
        <v/>
      </c>
      <c r="BG152" s="515" t="str">
        <f t="shared" si="361"/>
        <v/>
      </c>
      <c r="BH152" s="68" t="str">
        <f>IF('Marks Entry'!AF152="","",'Marks Entry'!AF152)</f>
        <v/>
      </c>
      <c r="BI152" s="96" t="str">
        <f t="shared" si="362"/>
        <v/>
      </c>
      <c r="BJ152" s="65">
        <f t="shared" si="363"/>
        <v>0</v>
      </c>
      <c r="BK152" s="65">
        <f t="shared" si="431"/>
        <v>0</v>
      </c>
      <c r="BL152" s="66" t="str">
        <f t="shared" si="364"/>
        <v/>
      </c>
      <c r="BM152" s="65" t="str">
        <f t="shared" si="365"/>
        <v/>
      </c>
      <c r="BN152" s="65" t="str">
        <f t="shared" si="366"/>
        <v/>
      </c>
      <c r="BO152" s="65" t="str">
        <f t="shared" si="367"/>
        <v/>
      </c>
      <c r="BP152" s="68" t="str">
        <f>IF('Marks Entry'!AG152="","",'Marks Entry'!AG152)</f>
        <v/>
      </c>
      <c r="BQ152" s="68" t="str">
        <f>IF('Marks Entry'!AH152="","",'Marks Entry'!AH152)</f>
        <v/>
      </c>
      <c r="BR152" s="68" t="str">
        <f>IF('Marks Entry'!AI152="","",'Marks Entry'!AI152)</f>
        <v/>
      </c>
      <c r="BS152" s="514" t="str">
        <f t="shared" si="368"/>
        <v/>
      </c>
      <c r="BT152" s="68" t="str">
        <f>IF('Marks Entry'!AJ152="","",'Marks Entry'!AJ152)</f>
        <v/>
      </c>
      <c r="BU152" s="515" t="str">
        <f t="shared" si="369"/>
        <v/>
      </c>
      <c r="BV152" s="68" t="str">
        <f>IF('Marks Entry'!AK152="","",'Marks Entry'!AK152)</f>
        <v/>
      </c>
      <c r="BW152" s="96" t="str">
        <f t="shared" si="370"/>
        <v/>
      </c>
      <c r="BX152" s="65">
        <f t="shared" si="371"/>
        <v>0</v>
      </c>
      <c r="BY152" s="65">
        <f t="shared" si="372"/>
        <v>0</v>
      </c>
      <c r="BZ152" s="66" t="str">
        <f t="shared" si="373"/>
        <v/>
      </c>
      <c r="CA152" s="65" t="str">
        <f t="shared" si="374"/>
        <v/>
      </c>
      <c r="CB152" s="65" t="str">
        <f t="shared" si="375"/>
        <v/>
      </c>
      <c r="CC152" s="65" t="str">
        <f t="shared" si="376"/>
        <v/>
      </c>
      <c r="CD152" s="66">
        <f t="shared" si="377"/>
        <v>0</v>
      </c>
      <c r="CE152" s="68" t="str">
        <f>IF('Marks Entry'!AL152="","",'Marks Entry'!AL152)</f>
        <v/>
      </c>
      <c r="CF152" s="68" t="str">
        <f>IF('Marks Entry'!AM152="","",'Marks Entry'!AM152)</f>
        <v/>
      </c>
      <c r="CG152" s="68" t="str">
        <f>IF('Marks Entry'!AN152="","",'Marks Entry'!AN152)</f>
        <v/>
      </c>
      <c r="CH152" s="514" t="str">
        <f t="shared" si="378"/>
        <v/>
      </c>
      <c r="CI152" s="68" t="str">
        <f>IF('Marks Entry'!AO152="","",'Marks Entry'!AO152)</f>
        <v/>
      </c>
      <c r="CJ152" s="515" t="str">
        <f t="shared" si="379"/>
        <v/>
      </c>
      <c r="CK152" s="68" t="str">
        <f>IF('Marks Entry'!AP152="","",'Marks Entry'!AP152)</f>
        <v/>
      </c>
      <c r="CL152" s="96" t="str">
        <f t="shared" si="380"/>
        <v/>
      </c>
      <c r="CM152" s="65">
        <f t="shared" si="381"/>
        <v>0</v>
      </c>
      <c r="CN152" s="65">
        <f t="shared" si="382"/>
        <v>0</v>
      </c>
      <c r="CO152" s="66" t="str">
        <f t="shared" si="383"/>
        <v/>
      </c>
      <c r="CP152" s="65" t="str">
        <f t="shared" si="384"/>
        <v/>
      </c>
      <c r="CQ152" s="65" t="str">
        <f t="shared" si="385"/>
        <v/>
      </c>
      <c r="CR152" s="65" t="str">
        <f t="shared" si="386"/>
        <v/>
      </c>
      <c r="CS152" s="616" t="str">
        <f>IF('School Profile'!$D$20="NO","",IF('Marks Entry'!AQ152="","",IF('Marks Entry'!AQ152=1,'School Profile'!$I$29,IF('Marks Entry'!AQ152=2,'School Profile'!$I$30,IF('Marks Entry'!AQ152=3,'School Profile'!$I$31,IF('Marks Entry'!AQ152=4,'School Profile'!$I$32,IF('Marks Entry'!AQ152=5,'School Profile'!$I$33,IF('Marks Entry'!AQ152=6,'School Profile'!$I$34,IF('Marks Entry'!AQ152=7,'School Profile'!$I$35,IF('Marks Entry'!AQ152=8,'School Profile'!$I$36,IF('Marks Entry'!AQ152=9,'School Profile'!$I$37,IF('Marks Entry'!AQ152=10,'School Profile'!$I$38,IF('Marks Entry'!AQ152=11,'School Profile'!$I$39,"")))))))))))))</f>
        <v/>
      </c>
      <c r="CT152" s="68" t="str">
        <f>IF('School Profile'!$D$20="NO","",IF('Marks Entry'!AR152="","",'Marks Entry'!AR152))</f>
        <v/>
      </c>
      <c r="CU152" s="68" t="str">
        <f>IF('School Profile'!$D$20="NO","",IF('Marks Entry'!AS152="","",'Marks Entry'!AS152))</f>
        <v/>
      </c>
      <c r="CV152" s="68" t="str">
        <f>IF('School Profile'!$D$20="NO","",IF('Marks Entry'!AT152="","",'Marks Entry'!AT152))</f>
        <v/>
      </c>
      <c r="CW152" s="514" t="str">
        <f>IF('School Profile'!$D$20="NO","",IF(AND(CT152="",CU152="",CV152=""),"",SUM(CT152:CV152)))</f>
        <v/>
      </c>
      <c r="CX152" s="68" t="str">
        <f>IF('School Profile'!$D$20="NO","",IF('Marks Entry'!AU152="","",'Marks Entry'!AU152))</f>
        <v/>
      </c>
      <c r="CY152" s="68" t="str">
        <f>IF('School Profile'!$D$20="NO","",IF('Marks Entry'!AV152="","",'Marks Entry'!AV152))</f>
        <v/>
      </c>
      <c r="CZ152" s="515" t="str">
        <f>IF('School Profile'!$D$20="NO","",IF(AND(CX152="",CY152=""),"",SUM(CX152,CY152)))</f>
        <v/>
      </c>
      <c r="DA152" s="69" t="str">
        <f>IF('School Profile'!$D$20="NO","",IF(AND(CW152="",CZ152=""),"",SUM(CW152+CZ152)))</f>
        <v/>
      </c>
      <c r="DB152" s="68" t="str">
        <f>IF('School Profile'!$D$20="NO","",IF('Marks Entry'!AW152="","",'Marks Entry'!AW152))</f>
        <v/>
      </c>
      <c r="DC152" s="68" t="str">
        <f>IF('School Profile'!$D$20="NO","",IF('Marks Entry'!AX152="","",'Marks Entry'!AX152))</f>
        <v/>
      </c>
      <c r="DD152" s="515" t="str">
        <f>IF('School Profile'!$D$20="NO","",IF(AND(DB152="",DC152=""),"",SUM(DB152,DC152)))</f>
        <v/>
      </c>
      <c r="DE152" s="96" t="str">
        <f>IF('School Profile'!$D$20="NO","",IF(AND(DA152="",DD152=""),"",SUM(DA152,DD152)))</f>
        <v/>
      </c>
      <c r="DF152" s="532">
        <f t="shared" si="387"/>
        <v>0</v>
      </c>
      <c r="DG152" s="65">
        <f t="shared" si="388"/>
        <v>0</v>
      </c>
      <c r="DH152" s="66" t="str">
        <f t="shared" si="389"/>
        <v/>
      </c>
      <c r="DI152" s="65" t="str">
        <f t="shared" si="390"/>
        <v/>
      </c>
      <c r="DJ152" s="65" t="str">
        <f t="shared" si="391"/>
        <v/>
      </c>
      <c r="DK152" s="65" t="str">
        <f t="shared" si="392"/>
        <v/>
      </c>
      <c r="DL152" s="97" t="str">
        <f t="shared" si="432"/>
        <v/>
      </c>
      <c r="DM152" s="97" t="str">
        <f t="shared" si="433"/>
        <v/>
      </c>
      <c r="DN152" s="97" t="str">
        <f t="shared" si="434"/>
        <v/>
      </c>
      <c r="DO152" s="97" t="str">
        <f t="shared" si="435"/>
        <v/>
      </c>
      <c r="DP152" s="97" t="str">
        <f t="shared" si="436"/>
        <v/>
      </c>
      <c r="DQ152" s="97" t="str">
        <f t="shared" si="437"/>
        <v/>
      </c>
      <c r="DR152" s="97" t="str">
        <f t="shared" si="438"/>
        <v/>
      </c>
      <c r="DS152" s="98">
        <f t="shared" si="439"/>
        <v>0</v>
      </c>
      <c r="DT152" s="98">
        <f t="shared" si="440"/>
        <v>0</v>
      </c>
      <c r="DU152" s="98">
        <f t="shared" si="441"/>
        <v>0</v>
      </c>
      <c r="DV152" s="98">
        <f t="shared" si="442"/>
        <v>0</v>
      </c>
      <c r="DW152" s="98">
        <f t="shared" si="443"/>
        <v>0</v>
      </c>
      <c r="DX152" s="98" t="str">
        <f t="shared" si="444"/>
        <v/>
      </c>
      <c r="DY152" s="99" t="str">
        <f t="shared" si="445"/>
        <v/>
      </c>
      <c r="DZ152" s="74" t="str">
        <f>IF('Marks Entry'!AY152="","",'Marks Entry'!AY152)</f>
        <v/>
      </c>
      <c r="EA152" s="74" t="str">
        <f>IF('Marks Entry'!AZ152="","",'Marks Entry'!AZ152)</f>
        <v/>
      </c>
      <c r="EB152" s="74" t="str">
        <f>IF('Marks Entry'!BA152="","",'Marks Entry'!BA152)</f>
        <v/>
      </c>
      <c r="EC152" s="527" t="str">
        <f t="shared" si="393"/>
        <v/>
      </c>
      <c r="ED152" s="74" t="str">
        <f>IF('Marks Entry'!BB152="","",'Marks Entry'!BB152)</f>
        <v/>
      </c>
      <c r="EE152" s="528" t="str">
        <f t="shared" si="394"/>
        <v/>
      </c>
      <c r="EF152" s="74" t="str">
        <f>IF('Marks Entry'!BC152="","",'Marks Entry'!BC152)</f>
        <v/>
      </c>
      <c r="EG152" s="530" t="str">
        <f t="shared" si="395"/>
        <v/>
      </c>
      <c r="EH152" s="368" t="str">
        <f t="shared" si="446"/>
        <v/>
      </c>
      <c r="EI152" s="65">
        <f t="shared" si="447"/>
        <v>0</v>
      </c>
      <c r="EJ152" s="65">
        <f t="shared" si="448"/>
        <v>0</v>
      </c>
      <c r="EK152" s="66" t="str">
        <f t="shared" si="449"/>
        <v/>
      </c>
      <c r="EL152" s="74" t="str">
        <f>IF('Marks Entry'!BD152="","",'Marks Entry'!BD152)</f>
        <v/>
      </c>
      <c r="EM152" s="74" t="str">
        <f>IF('Marks Entry'!BE152="","",'Marks Entry'!BE152)</f>
        <v/>
      </c>
      <c r="EN152" s="74" t="str">
        <f>IF('Marks Entry'!BF152="","",'Marks Entry'!BF152)</f>
        <v/>
      </c>
      <c r="EO152" s="527" t="str">
        <f t="shared" si="396"/>
        <v/>
      </c>
      <c r="EP152" s="74" t="str">
        <f>IF('Marks Entry'!BG152="","",'Marks Entry'!BG152)</f>
        <v/>
      </c>
      <c r="EQ152" s="74" t="str">
        <f>IF('Marks Entry'!BH152="","",'Marks Entry'!BH152)</f>
        <v/>
      </c>
      <c r="ER152" s="528" t="str">
        <f t="shared" si="397"/>
        <v/>
      </c>
      <c r="ES152" s="529" t="str">
        <f t="shared" si="398"/>
        <v/>
      </c>
      <c r="ET152" s="74" t="str">
        <f>IF('Marks Entry'!BI152="","",'Marks Entry'!BI152)</f>
        <v/>
      </c>
      <c r="EU152" s="74" t="str">
        <f>IF('Marks Entry'!BJ152="","",'Marks Entry'!BJ152)</f>
        <v/>
      </c>
      <c r="EV152" s="528" t="str">
        <f t="shared" si="399"/>
        <v/>
      </c>
      <c r="EW152" s="530" t="str">
        <f t="shared" si="400"/>
        <v/>
      </c>
      <c r="EX152" s="368" t="str">
        <f t="shared" si="450"/>
        <v/>
      </c>
      <c r="EY152" s="65">
        <f t="shared" si="451"/>
        <v>0</v>
      </c>
      <c r="EZ152" s="65">
        <f t="shared" si="452"/>
        <v>0</v>
      </c>
      <c r="FA152" s="66" t="str">
        <f t="shared" si="453"/>
        <v/>
      </c>
      <c r="FB152" s="74" t="str">
        <f>IF('Marks Entry'!BK152="","",'Marks Entry'!BK152)</f>
        <v/>
      </c>
      <c r="FC152" s="74" t="str">
        <f>IF('Marks Entry'!BL152="","",'Marks Entry'!BL152)</f>
        <v/>
      </c>
      <c r="FD152" s="74" t="str">
        <f>IF('Marks Entry'!BM152="","",'Marks Entry'!BM152)</f>
        <v/>
      </c>
      <c r="FE152" s="74" t="str">
        <f>IF('Marks Entry'!BN152="","",'Marks Entry'!BN152)</f>
        <v/>
      </c>
      <c r="FF152" s="74" t="str">
        <f>IF('Marks Entry'!BO152="","",'Marks Entry'!BO152)</f>
        <v/>
      </c>
      <c r="FG152" s="74" t="str">
        <f>IF('Marks Entry'!BP152="","",'Marks Entry'!BP152)</f>
        <v/>
      </c>
      <c r="FH152" s="527" t="str">
        <f t="shared" si="401"/>
        <v/>
      </c>
      <c r="FI152" s="74" t="str">
        <f>IF('Marks Entry'!BQ152="","",'Marks Entry'!BQ152)</f>
        <v/>
      </c>
      <c r="FJ152" s="74" t="str">
        <f>IF('Marks Entry'!BR152="","",'Marks Entry'!BR152)</f>
        <v/>
      </c>
      <c r="FK152" s="528" t="str">
        <f t="shared" si="402"/>
        <v/>
      </c>
      <c r="FL152" s="529" t="str">
        <f t="shared" si="403"/>
        <v/>
      </c>
      <c r="FM152" s="74" t="str">
        <f>IF('Marks Entry'!BS152="","",'Marks Entry'!BS152)</f>
        <v/>
      </c>
      <c r="FN152" s="74" t="str">
        <f>IF('Marks Entry'!BT152="","",'Marks Entry'!BT152)</f>
        <v/>
      </c>
      <c r="FO152" s="528" t="str">
        <f t="shared" si="404"/>
        <v/>
      </c>
      <c r="FP152" s="530" t="str">
        <f t="shared" si="405"/>
        <v/>
      </c>
      <c r="FQ152" s="368" t="str">
        <f t="shared" si="454"/>
        <v/>
      </c>
      <c r="FR152" s="65">
        <f t="shared" si="455"/>
        <v>0</v>
      </c>
      <c r="FS152" s="65">
        <f t="shared" si="456"/>
        <v>0</v>
      </c>
      <c r="FT152" s="66" t="str">
        <f t="shared" si="457"/>
        <v/>
      </c>
      <c r="FU152" s="74" t="str">
        <f>IF('Marks Entry'!BU152="","",'Marks Entry'!BU152)</f>
        <v/>
      </c>
      <c r="FV152" s="74" t="str">
        <f>IF('Marks Entry'!BV152="","",'Marks Entry'!BV152)</f>
        <v/>
      </c>
      <c r="FW152" s="74" t="str">
        <f>IF('Marks Entry'!BW152="","",'Marks Entry'!BW152)</f>
        <v/>
      </c>
      <c r="FX152" s="75" t="str">
        <f t="shared" si="406"/>
        <v/>
      </c>
      <c r="FY152" s="368" t="str">
        <f t="shared" si="458"/>
        <v/>
      </c>
      <c r="FZ152" s="65">
        <f t="shared" si="459"/>
        <v>0</v>
      </c>
      <c r="GA152" s="66">
        <f t="shared" si="460"/>
        <v>0</v>
      </c>
      <c r="GB152" s="66" t="str">
        <f t="shared" si="461"/>
        <v/>
      </c>
      <c r="GC152" s="74" t="str">
        <f>IF('Marks Entry'!BX152="","",'Marks Entry'!BX152)</f>
        <v/>
      </c>
      <c r="GD152" s="74" t="str">
        <f>IF('Marks Entry'!BY152="","",'Marks Entry'!BY152)</f>
        <v/>
      </c>
      <c r="GE152" s="74" t="str">
        <f>IF('Marks Entry'!BZ152="","",'Marks Entry'!BZ152)</f>
        <v/>
      </c>
      <c r="GF152" s="75" t="str">
        <f t="shared" si="462"/>
        <v/>
      </c>
      <c r="GG152" s="368" t="str">
        <f t="shared" si="463"/>
        <v/>
      </c>
      <c r="GH152" s="65">
        <f t="shared" si="464"/>
        <v>0</v>
      </c>
      <c r="GI152" s="66">
        <f t="shared" si="465"/>
        <v>0</v>
      </c>
      <c r="GJ152" s="66" t="str">
        <f t="shared" si="466"/>
        <v/>
      </c>
      <c r="GK152" s="100" t="str">
        <f>IF(AND(F152="",B152=""),"",IF('Student DATA Entry'!M149="","",'Student DATA Entry'!M149))</f>
        <v/>
      </c>
      <c r="GL152" s="101" t="str">
        <f>IF(AND(B152="",F152=""),"",IF('Student DATA Entry'!N149="","",'Student DATA Entry'!N149))</f>
        <v/>
      </c>
      <c r="GM152" s="581" t="str">
        <f t="shared" si="467"/>
        <v/>
      </c>
      <c r="GN152" s="94" t="str">
        <f t="shared" si="468"/>
        <v/>
      </c>
      <c r="GO152" s="94" t="str">
        <f t="shared" si="469"/>
        <v/>
      </c>
      <c r="GP152" s="102" t="str">
        <f t="shared" si="407"/>
        <v/>
      </c>
      <c r="GQ152" s="94" t="str">
        <f t="shared" si="470"/>
        <v/>
      </c>
      <c r="GR152" s="103" t="str">
        <f t="shared" si="471"/>
        <v/>
      </c>
      <c r="GS152" s="102" t="str">
        <f t="shared" si="408"/>
        <v/>
      </c>
      <c r="GT152" s="104" t="str">
        <f t="shared" si="472"/>
        <v/>
      </c>
      <c r="GU152" s="94" t="str">
        <f>IF('Marks Entry'!V152=1,GT152,"")</f>
        <v/>
      </c>
      <c r="GV152" s="94" t="str">
        <f>IF('Marks Entry'!V152=2,GT152,"")</f>
        <v/>
      </c>
      <c r="GW152" s="94" t="str">
        <f>IF('Marks Entry'!V152=3,GT152,"")</f>
        <v/>
      </c>
      <c r="GX152" s="94" t="str">
        <f>IF('Marks Entry'!V152=4,GT152,"")</f>
        <v/>
      </c>
      <c r="GY152" s="94" t="str">
        <f>IF('Marks Entry'!V152=5,GT152,"")</f>
        <v/>
      </c>
      <c r="GZ152" s="94" t="str">
        <f t="shared" si="473"/>
        <v/>
      </c>
      <c r="HA152" s="105" t="str">
        <f t="shared" si="409"/>
        <v/>
      </c>
      <c r="HB152" s="94" t="str">
        <f t="shared" si="474"/>
        <v/>
      </c>
      <c r="HC152" s="94" t="str">
        <f t="shared" si="475"/>
        <v/>
      </c>
      <c r="HD152" s="105" t="str">
        <f t="shared" si="410"/>
        <v/>
      </c>
      <c r="HE152" s="94" t="str">
        <f t="shared" si="476"/>
        <v/>
      </c>
      <c r="HF152" s="94" t="str">
        <f t="shared" si="477"/>
        <v/>
      </c>
      <c r="HG152" s="105" t="str">
        <f t="shared" si="411"/>
        <v/>
      </c>
      <c r="HH152" s="94" t="str">
        <f t="shared" si="478"/>
        <v/>
      </c>
      <c r="HI152" s="94" t="str">
        <f t="shared" si="479"/>
        <v/>
      </c>
      <c r="HJ152" s="105" t="str">
        <f t="shared" si="412"/>
        <v/>
      </c>
      <c r="HK152" s="94" t="str">
        <f t="shared" si="480"/>
        <v/>
      </c>
      <c r="HL152" s="94" t="str">
        <f t="shared" si="481"/>
        <v/>
      </c>
      <c r="HM152" s="105" t="str">
        <f t="shared" si="413"/>
        <v/>
      </c>
      <c r="HN152" s="367" t="str">
        <f t="shared" si="482"/>
        <v xml:space="preserve">      </v>
      </c>
      <c r="HO152" s="418" t="str">
        <f t="shared" si="414"/>
        <v xml:space="preserve">      </v>
      </c>
      <c r="HP152" s="367" t="str">
        <f t="shared" si="483"/>
        <v xml:space="preserve">      </v>
      </c>
      <c r="HQ152" s="107" t="str">
        <f t="shared" si="484"/>
        <v xml:space="preserve">      </v>
      </c>
      <c r="HR152" s="366" t="str">
        <f t="shared" si="485"/>
        <v xml:space="preserve">      </v>
      </c>
      <c r="HS152" s="544" t="str">
        <f t="shared" si="415"/>
        <v/>
      </c>
      <c r="HT152" s="542" t="str">
        <f t="shared" si="486"/>
        <v/>
      </c>
      <c r="HU152" s="541" t="str">
        <f t="shared" si="487"/>
        <v/>
      </c>
      <c r="HV152" s="540" t="str">
        <f t="shared" si="488"/>
        <v/>
      </c>
      <c r="HW152" s="537" t="str">
        <f t="shared" si="489"/>
        <v/>
      </c>
      <c r="HX152" s="539" t="str">
        <f t="shared" si="490"/>
        <v/>
      </c>
      <c r="HY152" s="553" t="str">
        <f>IFERROR(IF(OR(HS152="SUPPLEMENTARY",HS152="RE-EXAM"),'Supp. Result Entry'!AQ150,""),"")</f>
        <v/>
      </c>
      <c r="HZ152" s="538" t="str">
        <f t="shared" si="491"/>
        <v/>
      </c>
      <c r="IA152" s="415" t="str">
        <f t="shared" si="492"/>
        <v/>
      </c>
      <c r="IB152" s="415" t="str">
        <f>IF(AND(HZ152="",IA152=""),"",IF(OR(HS152="SUPPLEMENTARY",HS152="RE-EXAM"),'Supp. Result Entry'!AQ150,HS152))</f>
        <v/>
      </c>
      <c r="IC152" s="87"/>
      <c r="IS152" s="109" t="str">
        <f>IF('Supp. Result Entry'!T150="","",'Supp. Result Entry'!$T$4)</f>
        <v/>
      </c>
      <c r="IT152" s="110" t="str">
        <f>IF('Supp. Result Entry'!W150="","",'Supp. Result Entry'!$W$4)</f>
        <v/>
      </c>
      <c r="IU152" s="110" t="str">
        <f>IF('Supp. Result Entry'!Z150="","",'Supp. Result Entry'!$Z$4)</f>
        <v/>
      </c>
      <c r="IV152" s="110" t="str">
        <f>IF('Supp. Result Entry'!AC150="","",'Supp. Result Entry'!$AC$4)</f>
        <v/>
      </c>
      <c r="IW152" s="110" t="str">
        <f>IF('Supp. Result Entry'!AF150="","",'Supp. Result Entry'!$AF$4)</f>
        <v/>
      </c>
      <c r="IX152" s="110" t="str">
        <f>IF('Supp. Result Entry'!AI150="","",'Supp. Result Entry'!$AI$4)</f>
        <v/>
      </c>
      <c r="IY152" s="110" t="str">
        <f>IF('Supp. Result Entry'!AI150="","",'Supp. Result Entry'!$AL$4)</f>
        <v/>
      </c>
      <c r="IZ152" s="110" t="str">
        <f>IF('Supp. Result Entry'!U150="","",'Supp. Result Entry'!U150)</f>
        <v/>
      </c>
      <c r="JA152" s="110" t="str">
        <f>IF('Supp. Result Entry'!X150="","",'Supp. Result Entry'!X150)</f>
        <v/>
      </c>
      <c r="JB152" s="110" t="str">
        <f>IF('Supp. Result Entry'!AA150="","",'Supp. Result Entry'!AA150)</f>
        <v/>
      </c>
      <c r="JC152" s="110" t="str">
        <f>IF('Supp. Result Entry'!AD150="","",'Supp. Result Entry'!AD150)</f>
        <v/>
      </c>
      <c r="JD152" s="110" t="str">
        <f>IF('Supp. Result Entry'!AG150="","",'Supp. Result Entry'!AG150)</f>
        <v/>
      </c>
      <c r="JE152" s="110" t="str">
        <f>IF('Supp. Result Entry'!AJ150="","",'Supp. Result Entry'!AJ150)</f>
        <v/>
      </c>
      <c r="JF152" s="110" t="str">
        <f>IF('Supp. Result Entry'!AM150="","",'Supp. Result Entry'!AM150)</f>
        <v/>
      </c>
      <c r="JG152" s="110" t="str">
        <f>IF('Supp. Result Entry'!V150="","",'Supp. Result Entry'!V150)</f>
        <v/>
      </c>
      <c r="JH152" s="110" t="str">
        <f>IF('Supp. Result Entry'!Y150="","",'Supp. Result Entry'!Y150)</f>
        <v/>
      </c>
      <c r="JI152" s="110" t="str">
        <f>IF('Supp. Result Entry'!AB150="","",'Supp. Result Entry'!AB150)</f>
        <v/>
      </c>
      <c r="JJ152" s="110" t="str">
        <f>IF('Supp. Result Entry'!AE150="","",'Supp. Result Entry'!AE150)</f>
        <v/>
      </c>
      <c r="JK152" s="110" t="str">
        <f>IF('Supp. Result Entry'!AH150="","",'Supp. Result Entry'!AH150)</f>
        <v/>
      </c>
      <c r="JL152" s="110" t="str">
        <f>IF('Supp. Result Entry'!AK150="","",'Supp. Result Entry'!AK150)</f>
        <v/>
      </c>
      <c r="JM152" s="110" t="str">
        <f>IF('Supp. Result Entry'!AN150="","",'Supp. Result Entry'!AN150)</f>
        <v/>
      </c>
      <c r="JN152" s="110">
        <f>COUNTIF('Supp. Result Entry'!K150:Q150,"S")</f>
        <v>0</v>
      </c>
      <c r="JO152" s="110">
        <f t="shared" si="416"/>
        <v>0</v>
      </c>
      <c r="JP152" s="110">
        <f t="shared" si="493"/>
        <v>0</v>
      </c>
      <c r="JQ152" s="110" t="str">
        <f t="shared" si="417"/>
        <v/>
      </c>
      <c r="JR152" s="110" t="str">
        <f t="shared" si="418"/>
        <v/>
      </c>
      <c r="JS152" s="110" t="str">
        <f t="shared" si="419"/>
        <v/>
      </c>
      <c r="JT152" s="110" t="str">
        <f t="shared" si="420"/>
        <v/>
      </c>
      <c r="JU152" s="110" t="str">
        <f t="shared" si="421"/>
        <v/>
      </c>
      <c r="JV152" s="110" t="str">
        <f t="shared" si="422"/>
        <v/>
      </c>
      <c r="JW152" s="110" t="str">
        <f t="shared" si="423"/>
        <v/>
      </c>
      <c r="JX152" s="110" t="str">
        <f t="shared" si="494"/>
        <v/>
      </c>
      <c r="JY152" s="110" t="str">
        <f t="shared" si="495"/>
        <v/>
      </c>
      <c r="JZ152" s="110" t="str">
        <f t="shared" si="424"/>
        <v/>
      </c>
      <c r="KA152" s="108" t="str">
        <f t="shared" si="496"/>
        <v/>
      </c>
    </row>
    <row r="153" spans="1:287" s="108" customFormat="1" ht="21.95" customHeight="1">
      <c r="A153" s="89">
        <v>147</v>
      </c>
      <c r="B153" s="90" t="str">
        <f>IF('Marks Entry'!B153="","",'Marks Entry'!B153)</f>
        <v/>
      </c>
      <c r="C153" s="94" t="str">
        <f>IF('Marks Entry'!D153="","",'Marks Entry'!D153)</f>
        <v/>
      </c>
      <c r="D153" s="91" t="str">
        <f>IF('Marks Entry'!E153="","",'Marks Entry'!E153)</f>
        <v/>
      </c>
      <c r="E153" s="92" t="str">
        <f>IF('Marks Entry'!F153="","",'Marks Entry'!F153)</f>
        <v/>
      </c>
      <c r="F153" s="93" t="str">
        <f>IF('Marks Entry'!G153="","",'Marks Entry'!G153)</f>
        <v/>
      </c>
      <c r="G153" s="93" t="str">
        <f>IF('Marks Entry'!H153="","",'Marks Entry'!H153)</f>
        <v/>
      </c>
      <c r="H153" s="93" t="str">
        <f>IF('Marks Entry'!I153="","",'Marks Entry'!I153)</f>
        <v/>
      </c>
      <c r="I153" s="94" t="str">
        <f>IF('Marks Entry'!J153="","",'Marks Entry'!J153)</f>
        <v/>
      </c>
      <c r="J153" s="95" t="str">
        <f>IF('Marks Entry'!K153="","",'Marks Entry'!K153)</f>
        <v/>
      </c>
      <c r="K153" s="68" t="str">
        <f>IF('Marks Entry'!L153="","",'Marks Entry'!L153)</f>
        <v/>
      </c>
      <c r="L153" s="68" t="str">
        <f>IF('Marks Entry'!M153="","",'Marks Entry'!M153)</f>
        <v/>
      </c>
      <c r="M153" s="68" t="str">
        <f>IF('Marks Entry'!N153="","",'Marks Entry'!N153)</f>
        <v/>
      </c>
      <c r="N153" s="514" t="str">
        <f t="shared" si="425"/>
        <v/>
      </c>
      <c r="O153" s="68" t="str">
        <f>IF('Marks Entry'!O153="","",'Marks Entry'!O153)</f>
        <v/>
      </c>
      <c r="P153" s="515" t="str">
        <f t="shared" si="426"/>
        <v/>
      </c>
      <c r="Q153" s="68" t="str">
        <f>IF('Marks Entry'!P153="","",'Marks Entry'!P153)</f>
        <v/>
      </c>
      <c r="R153" s="96" t="str">
        <f t="shared" si="427"/>
        <v/>
      </c>
      <c r="S153" s="65">
        <f t="shared" si="428"/>
        <v>0</v>
      </c>
      <c r="T153" s="65">
        <f t="shared" si="429"/>
        <v>0</v>
      </c>
      <c r="U153" s="66" t="str">
        <f t="shared" si="339"/>
        <v/>
      </c>
      <c r="V153" s="65" t="str">
        <f t="shared" si="340"/>
        <v/>
      </c>
      <c r="W153" s="65" t="str">
        <f t="shared" si="430"/>
        <v/>
      </c>
      <c r="X153" s="65" t="str">
        <f t="shared" si="341"/>
        <v/>
      </c>
      <c r="Y153" s="68" t="str">
        <f>IF('Marks Entry'!Q153="","",'Marks Entry'!Q153)</f>
        <v/>
      </c>
      <c r="Z153" s="68" t="str">
        <f>IF('Marks Entry'!R153="","",'Marks Entry'!R153)</f>
        <v/>
      </c>
      <c r="AA153" s="68" t="str">
        <f>IF('Marks Entry'!S153="","",'Marks Entry'!S153)</f>
        <v/>
      </c>
      <c r="AB153" s="514" t="str">
        <f t="shared" si="342"/>
        <v/>
      </c>
      <c r="AC153" s="68" t="str">
        <f>IF('Marks Entry'!T153="","",'Marks Entry'!T153)</f>
        <v/>
      </c>
      <c r="AD153" s="515" t="str">
        <f t="shared" si="343"/>
        <v/>
      </c>
      <c r="AE153" s="68" t="str">
        <f>IF('Marks Entry'!U153="","",'Marks Entry'!U153)</f>
        <v/>
      </c>
      <c r="AF153" s="96" t="str">
        <f t="shared" si="344"/>
        <v/>
      </c>
      <c r="AG153" s="65">
        <f t="shared" si="345"/>
        <v>0</v>
      </c>
      <c r="AH153" s="65">
        <f t="shared" si="346"/>
        <v>0</v>
      </c>
      <c r="AI153" s="66" t="str">
        <f t="shared" si="347"/>
        <v/>
      </c>
      <c r="AJ153" s="65" t="str">
        <f t="shared" si="348"/>
        <v/>
      </c>
      <c r="AK153" s="65" t="str">
        <f t="shared" si="349"/>
        <v/>
      </c>
      <c r="AL153" s="65" t="str">
        <f t="shared" si="350"/>
        <v/>
      </c>
      <c r="AM153" s="524" t="str">
        <f>IF('Marks Entry'!V153="","",IF('Marks Entry'!V153=1,'School Profile'!$I$9,IF('Marks Entry'!V153=2,'School Profile'!$I$10,IF('Marks Entry'!V153=3,'School Profile'!$I$11,IF('Marks Entry'!V153=4,'School Profile'!$I$12,IF('Marks Entry'!V153=5,'School Profile'!$I$13,IF('Marks Entry'!V153=6,'School Profile'!$I$14,"")))))))</f>
        <v/>
      </c>
      <c r="AN153" s="68" t="str">
        <f>IF('Marks Entry'!W153="","",'Marks Entry'!W153)</f>
        <v/>
      </c>
      <c r="AO153" s="68" t="str">
        <f>IF('Marks Entry'!X153="","",'Marks Entry'!X153)</f>
        <v/>
      </c>
      <c r="AP153" s="68" t="str">
        <f>IF('Marks Entry'!Y153="","",'Marks Entry'!Y153)</f>
        <v/>
      </c>
      <c r="AQ153" s="514" t="str">
        <f t="shared" si="351"/>
        <v/>
      </c>
      <c r="AR153" s="68" t="str">
        <f>IF('Marks Entry'!Z153="","",'Marks Entry'!Z153)</f>
        <v/>
      </c>
      <c r="AS153" s="515" t="str">
        <f t="shared" si="352"/>
        <v/>
      </c>
      <c r="AT153" s="68" t="str">
        <f>IF('Marks Entry'!AA153="","",'Marks Entry'!AA153)</f>
        <v/>
      </c>
      <c r="AU153" s="96" t="str">
        <f t="shared" si="353"/>
        <v/>
      </c>
      <c r="AV153" s="65">
        <f t="shared" si="354"/>
        <v>0</v>
      </c>
      <c r="AW153" s="65">
        <f t="shared" si="355"/>
        <v>0</v>
      </c>
      <c r="AX153" s="66" t="str">
        <f t="shared" si="356"/>
        <v/>
      </c>
      <c r="AY153" s="65" t="str">
        <f t="shared" si="357"/>
        <v/>
      </c>
      <c r="AZ153" s="65" t="str">
        <f t="shared" si="358"/>
        <v/>
      </c>
      <c r="BA153" s="65" t="str">
        <f t="shared" si="359"/>
        <v/>
      </c>
      <c r="BB153" s="68" t="str">
        <f>IF('Marks Entry'!AB153="","",'Marks Entry'!AB153)</f>
        <v/>
      </c>
      <c r="BC153" s="68" t="str">
        <f>IF('Marks Entry'!AC153="","",'Marks Entry'!AC153)</f>
        <v/>
      </c>
      <c r="BD153" s="68" t="str">
        <f>IF('Marks Entry'!AD153="","",'Marks Entry'!AD153)</f>
        <v/>
      </c>
      <c r="BE153" s="514" t="str">
        <f t="shared" si="360"/>
        <v/>
      </c>
      <c r="BF153" s="68" t="str">
        <f>IF('Marks Entry'!AE153="","",'Marks Entry'!AE153)</f>
        <v/>
      </c>
      <c r="BG153" s="515" t="str">
        <f t="shared" si="361"/>
        <v/>
      </c>
      <c r="BH153" s="68" t="str">
        <f>IF('Marks Entry'!AF153="","",'Marks Entry'!AF153)</f>
        <v/>
      </c>
      <c r="BI153" s="96" t="str">
        <f t="shared" si="362"/>
        <v/>
      </c>
      <c r="BJ153" s="65">
        <f t="shared" si="363"/>
        <v>0</v>
      </c>
      <c r="BK153" s="65">
        <f t="shared" si="431"/>
        <v>0</v>
      </c>
      <c r="BL153" s="66" t="str">
        <f t="shared" si="364"/>
        <v/>
      </c>
      <c r="BM153" s="65" t="str">
        <f t="shared" si="365"/>
        <v/>
      </c>
      <c r="BN153" s="65" t="str">
        <f t="shared" si="366"/>
        <v/>
      </c>
      <c r="BO153" s="65" t="str">
        <f t="shared" si="367"/>
        <v/>
      </c>
      <c r="BP153" s="68" t="str">
        <f>IF('Marks Entry'!AG153="","",'Marks Entry'!AG153)</f>
        <v/>
      </c>
      <c r="BQ153" s="68" t="str">
        <f>IF('Marks Entry'!AH153="","",'Marks Entry'!AH153)</f>
        <v/>
      </c>
      <c r="BR153" s="68" t="str">
        <f>IF('Marks Entry'!AI153="","",'Marks Entry'!AI153)</f>
        <v/>
      </c>
      <c r="BS153" s="514" t="str">
        <f t="shared" si="368"/>
        <v/>
      </c>
      <c r="BT153" s="68" t="str">
        <f>IF('Marks Entry'!AJ153="","",'Marks Entry'!AJ153)</f>
        <v/>
      </c>
      <c r="BU153" s="515" t="str">
        <f t="shared" si="369"/>
        <v/>
      </c>
      <c r="BV153" s="68" t="str">
        <f>IF('Marks Entry'!AK153="","",'Marks Entry'!AK153)</f>
        <v/>
      </c>
      <c r="BW153" s="96" t="str">
        <f t="shared" si="370"/>
        <v/>
      </c>
      <c r="BX153" s="65">
        <f t="shared" si="371"/>
        <v>0</v>
      </c>
      <c r="BY153" s="65">
        <f t="shared" si="372"/>
        <v>0</v>
      </c>
      <c r="BZ153" s="66" t="str">
        <f t="shared" si="373"/>
        <v/>
      </c>
      <c r="CA153" s="65" t="str">
        <f t="shared" si="374"/>
        <v/>
      </c>
      <c r="CB153" s="65" t="str">
        <f t="shared" si="375"/>
        <v/>
      </c>
      <c r="CC153" s="65" t="str">
        <f t="shared" si="376"/>
        <v/>
      </c>
      <c r="CD153" s="66">
        <f t="shared" si="377"/>
        <v>0</v>
      </c>
      <c r="CE153" s="68" t="str">
        <f>IF('Marks Entry'!AL153="","",'Marks Entry'!AL153)</f>
        <v/>
      </c>
      <c r="CF153" s="68" t="str">
        <f>IF('Marks Entry'!AM153="","",'Marks Entry'!AM153)</f>
        <v/>
      </c>
      <c r="CG153" s="68" t="str">
        <f>IF('Marks Entry'!AN153="","",'Marks Entry'!AN153)</f>
        <v/>
      </c>
      <c r="CH153" s="514" t="str">
        <f t="shared" si="378"/>
        <v/>
      </c>
      <c r="CI153" s="68" t="str">
        <f>IF('Marks Entry'!AO153="","",'Marks Entry'!AO153)</f>
        <v/>
      </c>
      <c r="CJ153" s="515" t="str">
        <f t="shared" si="379"/>
        <v/>
      </c>
      <c r="CK153" s="68" t="str">
        <f>IF('Marks Entry'!AP153="","",'Marks Entry'!AP153)</f>
        <v/>
      </c>
      <c r="CL153" s="96" t="str">
        <f t="shared" si="380"/>
        <v/>
      </c>
      <c r="CM153" s="65">
        <f t="shared" si="381"/>
        <v>0</v>
      </c>
      <c r="CN153" s="65">
        <f t="shared" si="382"/>
        <v>0</v>
      </c>
      <c r="CO153" s="66" t="str">
        <f t="shared" si="383"/>
        <v/>
      </c>
      <c r="CP153" s="65" t="str">
        <f t="shared" si="384"/>
        <v/>
      </c>
      <c r="CQ153" s="65" t="str">
        <f t="shared" si="385"/>
        <v/>
      </c>
      <c r="CR153" s="65" t="str">
        <f t="shared" si="386"/>
        <v/>
      </c>
      <c r="CS153" s="616" t="str">
        <f>IF('School Profile'!$D$20="NO","",IF('Marks Entry'!AQ153="","",IF('Marks Entry'!AQ153=1,'School Profile'!$I$29,IF('Marks Entry'!AQ153=2,'School Profile'!$I$30,IF('Marks Entry'!AQ153=3,'School Profile'!$I$31,IF('Marks Entry'!AQ153=4,'School Profile'!$I$32,IF('Marks Entry'!AQ153=5,'School Profile'!$I$33,IF('Marks Entry'!AQ153=6,'School Profile'!$I$34,IF('Marks Entry'!AQ153=7,'School Profile'!$I$35,IF('Marks Entry'!AQ153=8,'School Profile'!$I$36,IF('Marks Entry'!AQ153=9,'School Profile'!$I$37,IF('Marks Entry'!AQ153=10,'School Profile'!$I$38,IF('Marks Entry'!AQ153=11,'School Profile'!$I$39,"")))))))))))))</f>
        <v/>
      </c>
      <c r="CT153" s="68" t="str">
        <f>IF('School Profile'!$D$20="NO","",IF('Marks Entry'!AR153="","",'Marks Entry'!AR153))</f>
        <v/>
      </c>
      <c r="CU153" s="68" t="str">
        <f>IF('School Profile'!$D$20="NO","",IF('Marks Entry'!AS153="","",'Marks Entry'!AS153))</f>
        <v/>
      </c>
      <c r="CV153" s="68" t="str">
        <f>IF('School Profile'!$D$20="NO","",IF('Marks Entry'!AT153="","",'Marks Entry'!AT153))</f>
        <v/>
      </c>
      <c r="CW153" s="514" t="str">
        <f>IF('School Profile'!$D$20="NO","",IF(AND(CT153="",CU153="",CV153=""),"",SUM(CT153:CV153)))</f>
        <v/>
      </c>
      <c r="CX153" s="68" t="str">
        <f>IF('School Profile'!$D$20="NO","",IF('Marks Entry'!AU153="","",'Marks Entry'!AU153))</f>
        <v/>
      </c>
      <c r="CY153" s="68" t="str">
        <f>IF('School Profile'!$D$20="NO","",IF('Marks Entry'!AV153="","",'Marks Entry'!AV153))</f>
        <v/>
      </c>
      <c r="CZ153" s="515" t="str">
        <f>IF('School Profile'!$D$20="NO","",IF(AND(CX153="",CY153=""),"",SUM(CX153,CY153)))</f>
        <v/>
      </c>
      <c r="DA153" s="69" t="str">
        <f>IF('School Profile'!$D$20="NO","",IF(AND(CW153="",CZ153=""),"",SUM(CW153+CZ153)))</f>
        <v/>
      </c>
      <c r="DB153" s="68" t="str">
        <f>IF('School Profile'!$D$20="NO","",IF('Marks Entry'!AW153="","",'Marks Entry'!AW153))</f>
        <v/>
      </c>
      <c r="DC153" s="68" t="str">
        <f>IF('School Profile'!$D$20="NO","",IF('Marks Entry'!AX153="","",'Marks Entry'!AX153))</f>
        <v/>
      </c>
      <c r="DD153" s="515" t="str">
        <f>IF('School Profile'!$D$20="NO","",IF(AND(DB153="",DC153=""),"",SUM(DB153,DC153)))</f>
        <v/>
      </c>
      <c r="DE153" s="96" t="str">
        <f>IF('School Profile'!$D$20="NO","",IF(AND(DA153="",DD153=""),"",SUM(DA153,DD153)))</f>
        <v/>
      </c>
      <c r="DF153" s="532">
        <f t="shared" si="387"/>
        <v>0</v>
      </c>
      <c r="DG153" s="65">
        <f t="shared" si="388"/>
        <v>0</v>
      </c>
      <c r="DH153" s="66" t="str">
        <f t="shared" si="389"/>
        <v/>
      </c>
      <c r="DI153" s="65" t="str">
        <f t="shared" si="390"/>
        <v/>
      </c>
      <c r="DJ153" s="65" t="str">
        <f t="shared" si="391"/>
        <v/>
      </c>
      <c r="DK153" s="65" t="str">
        <f t="shared" si="392"/>
        <v/>
      </c>
      <c r="DL153" s="97" t="str">
        <f t="shared" si="432"/>
        <v/>
      </c>
      <c r="DM153" s="97" t="str">
        <f t="shared" si="433"/>
        <v/>
      </c>
      <c r="DN153" s="97" t="str">
        <f t="shared" si="434"/>
        <v/>
      </c>
      <c r="DO153" s="97" t="str">
        <f t="shared" si="435"/>
        <v/>
      </c>
      <c r="DP153" s="97" t="str">
        <f t="shared" si="436"/>
        <v/>
      </c>
      <c r="DQ153" s="97" t="str">
        <f t="shared" si="437"/>
        <v/>
      </c>
      <c r="DR153" s="97" t="str">
        <f t="shared" si="438"/>
        <v/>
      </c>
      <c r="DS153" s="98">
        <f t="shared" si="439"/>
        <v>0</v>
      </c>
      <c r="DT153" s="98">
        <f t="shared" si="440"/>
        <v>0</v>
      </c>
      <c r="DU153" s="98">
        <f t="shared" si="441"/>
        <v>0</v>
      </c>
      <c r="DV153" s="98">
        <f t="shared" si="442"/>
        <v>0</v>
      </c>
      <c r="DW153" s="98">
        <f t="shared" si="443"/>
        <v>0</v>
      </c>
      <c r="DX153" s="98" t="str">
        <f t="shared" si="444"/>
        <v/>
      </c>
      <c r="DY153" s="99" t="str">
        <f t="shared" si="445"/>
        <v/>
      </c>
      <c r="DZ153" s="74" t="str">
        <f>IF('Marks Entry'!AY153="","",'Marks Entry'!AY153)</f>
        <v/>
      </c>
      <c r="EA153" s="74" t="str">
        <f>IF('Marks Entry'!AZ153="","",'Marks Entry'!AZ153)</f>
        <v/>
      </c>
      <c r="EB153" s="74" t="str">
        <f>IF('Marks Entry'!BA153="","",'Marks Entry'!BA153)</f>
        <v/>
      </c>
      <c r="EC153" s="527" t="str">
        <f t="shared" si="393"/>
        <v/>
      </c>
      <c r="ED153" s="74" t="str">
        <f>IF('Marks Entry'!BB153="","",'Marks Entry'!BB153)</f>
        <v/>
      </c>
      <c r="EE153" s="528" t="str">
        <f t="shared" si="394"/>
        <v/>
      </c>
      <c r="EF153" s="74" t="str">
        <f>IF('Marks Entry'!BC153="","",'Marks Entry'!BC153)</f>
        <v/>
      </c>
      <c r="EG153" s="530" t="str">
        <f t="shared" si="395"/>
        <v/>
      </c>
      <c r="EH153" s="368" t="str">
        <f t="shared" si="446"/>
        <v/>
      </c>
      <c r="EI153" s="65">
        <f t="shared" si="447"/>
        <v>0</v>
      </c>
      <c r="EJ153" s="65">
        <f t="shared" si="448"/>
        <v>0</v>
      </c>
      <c r="EK153" s="66" t="str">
        <f t="shared" si="449"/>
        <v/>
      </c>
      <c r="EL153" s="74" t="str">
        <f>IF('Marks Entry'!BD153="","",'Marks Entry'!BD153)</f>
        <v/>
      </c>
      <c r="EM153" s="74" t="str">
        <f>IF('Marks Entry'!BE153="","",'Marks Entry'!BE153)</f>
        <v/>
      </c>
      <c r="EN153" s="74" t="str">
        <f>IF('Marks Entry'!BF153="","",'Marks Entry'!BF153)</f>
        <v/>
      </c>
      <c r="EO153" s="527" t="str">
        <f t="shared" si="396"/>
        <v/>
      </c>
      <c r="EP153" s="74" t="str">
        <f>IF('Marks Entry'!BG153="","",'Marks Entry'!BG153)</f>
        <v/>
      </c>
      <c r="EQ153" s="74" t="str">
        <f>IF('Marks Entry'!BH153="","",'Marks Entry'!BH153)</f>
        <v/>
      </c>
      <c r="ER153" s="528" t="str">
        <f t="shared" si="397"/>
        <v/>
      </c>
      <c r="ES153" s="529" t="str">
        <f t="shared" si="398"/>
        <v/>
      </c>
      <c r="ET153" s="74" t="str">
        <f>IF('Marks Entry'!BI153="","",'Marks Entry'!BI153)</f>
        <v/>
      </c>
      <c r="EU153" s="74" t="str">
        <f>IF('Marks Entry'!BJ153="","",'Marks Entry'!BJ153)</f>
        <v/>
      </c>
      <c r="EV153" s="528" t="str">
        <f t="shared" si="399"/>
        <v/>
      </c>
      <c r="EW153" s="530" t="str">
        <f t="shared" si="400"/>
        <v/>
      </c>
      <c r="EX153" s="368" t="str">
        <f t="shared" si="450"/>
        <v/>
      </c>
      <c r="EY153" s="65">
        <f t="shared" si="451"/>
        <v>0</v>
      </c>
      <c r="EZ153" s="65">
        <f t="shared" si="452"/>
        <v>0</v>
      </c>
      <c r="FA153" s="66" t="str">
        <f t="shared" si="453"/>
        <v/>
      </c>
      <c r="FB153" s="74" t="str">
        <f>IF('Marks Entry'!BK153="","",'Marks Entry'!BK153)</f>
        <v/>
      </c>
      <c r="FC153" s="74" t="str">
        <f>IF('Marks Entry'!BL153="","",'Marks Entry'!BL153)</f>
        <v/>
      </c>
      <c r="FD153" s="74" t="str">
        <f>IF('Marks Entry'!BM153="","",'Marks Entry'!BM153)</f>
        <v/>
      </c>
      <c r="FE153" s="74" t="str">
        <f>IF('Marks Entry'!BN153="","",'Marks Entry'!BN153)</f>
        <v/>
      </c>
      <c r="FF153" s="74" t="str">
        <f>IF('Marks Entry'!BO153="","",'Marks Entry'!BO153)</f>
        <v/>
      </c>
      <c r="FG153" s="74" t="str">
        <f>IF('Marks Entry'!BP153="","",'Marks Entry'!BP153)</f>
        <v/>
      </c>
      <c r="FH153" s="527" t="str">
        <f t="shared" si="401"/>
        <v/>
      </c>
      <c r="FI153" s="74" t="str">
        <f>IF('Marks Entry'!BQ153="","",'Marks Entry'!BQ153)</f>
        <v/>
      </c>
      <c r="FJ153" s="74" t="str">
        <f>IF('Marks Entry'!BR153="","",'Marks Entry'!BR153)</f>
        <v/>
      </c>
      <c r="FK153" s="528" t="str">
        <f t="shared" si="402"/>
        <v/>
      </c>
      <c r="FL153" s="529" t="str">
        <f t="shared" si="403"/>
        <v/>
      </c>
      <c r="FM153" s="74" t="str">
        <f>IF('Marks Entry'!BS153="","",'Marks Entry'!BS153)</f>
        <v/>
      </c>
      <c r="FN153" s="74" t="str">
        <f>IF('Marks Entry'!BT153="","",'Marks Entry'!BT153)</f>
        <v/>
      </c>
      <c r="FO153" s="528" t="str">
        <f t="shared" si="404"/>
        <v/>
      </c>
      <c r="FP153" s="530" t="str">
        <f t="shared" si="405"/>
        <v/>
      </c>
      <c r="FQ153" s="368" t="str">
        <f t="shared" si="454"/>
        <v/>
      </c>
      <c r="FR153" s="65">
        <f t="shared" si="455"/>
        <v>0</v>
      </c>
      <c r="FS153" s="65">
        <f t="shared" si="456"/>
        <v>0</v>
      </c>
      <c r="FT153" s="66" t="str">
        <f t="shared" si="457"/>
        <v/>
      </c>
      <c r="FU153" s="74" t="str">
        <f>IF('Marks Entry'!BU153="","",'Marks Entry'!BU153)</f>
        <v/>
      </c>
      <c r="FV153" s="74" t="str">
        <f>IF('Marks Entry'!BV153="","",'Marks Entry'!BV153)</f>
        <v/>
      </c>
      <c r="FW153" s="74" t="str">
        <f>IF('Marks Entry'!BW153="","",'Marks Entry'!BW153)</f>
        <v/>
      </c>
      <c r="FX153" s="75" t="str">
        <f t="shared" si="406"/>
        <v/>
      </c>
      <c r="FY153" s="368" t="str">
        <f t="shared" si="458"/>
        <v/>
      </c>
      <c r="FZ153" s="65">
        <f t="shared" si="459"/>
        <v>0</v>
      </c>
      <c r="GA153" s="66">
        <f t="shared" si="460"/>
        <v>0</v>
      </c>
      <c r="GB153" s="66" t="str">
        <f t="shared" si="461"/>
        <v/>
      </c>
      <c r="GC153" s="74" t="str">
        <f>IF('Marks Entry'!BX153="","",'Marks Entry'!BX153)</f>
        <v/>
      </c>
      <c r="GD153" s="74" t="str">
        <f>IF('Marks Entry'!BY153="","",'Marks Entry'!BY153)</f>
        <v/>
      </c>
      <c r="GE153" s="74" t="str">
        <f>IF('Marks Entry'!BZ153="","",'Marks Entry'!BZ153)</f>
        <v/>
      </c>
      <c r="GF153" s="75" t="str">
        <f t="shared" si="462"/>
        <v/>
      </c>
      <c r="GG153" s="368" t="str">
        <f t="shared" si="463"/>
        <v/>
      </c>
      <c r="GH153" s="65">
        <f t="shared" si="464"/>
        <v>0</v>
      </c>
      <c r="GI153" s="66">
        <f t="shared" si="465"/>
        <v>0</v>
      </c>
      <c r="GJ153" s="66" t="str">
        <f t="shared" si="466"/>
        <v/>
      </c>
      <c r="GK153" s="100" t="str">
        <f>IF(AND(F153="",B153=""),"",IF('Student DATA Entry'!M150="","",'Student DATA Entry'!M150))</f>
        <v/>
      </c>
      <c r="GL153" s="101" t="str">
        <f>IF(AND(B153="",F153=""),"",IF('Student DATA Entry'!N150="","",'Student DATA Entry'!N150))</f>
        <v/>
      </c>
      <c r="GM153" s="581" t="str">
        <f t="shared" si="467"/>
        <v/>
      </c>
      <c r="GN153" s="94" t="str">
        <f t="shared" si="468"/>
        <v/>
      </c>
      <c r="GO153" s="94" t="str">
        <f t="shared" si="469"/>
        <v/>
      </c>
      <c r="GP153" s="102" t="str">
        <f t="shared" si="407"/>
        <v/>
      </c>
      <c r="GQ153" s="94" t="str">
        <f t="shared" si="470"/>
        <v/>
      </c>
      <c r="GR153" s="103" t="str">
        <f t="shared" si="471"/>
        <v/>
      </c>
      <c r="GS153" s="102" t="str">
        <f t="shared" si="408"/>
        <v/>
      </c>
      <c r="GT153" s="104" t="str">
        <f t="shared" si="472"/>
        <v/>
      </c>
      <c r="GU153" s="94" t="str">
        <f>IF('Marks Entry'!V153=1,GT153,"")</f>
        <v/>
      </c>
      <c r="GV153" s="94" t="str">
        <f>IF('Marks Entry'!V153=2,GT153,"")</f>
        <v/>
      </c>
      <c r="GW153" s="94" t="str">
        <f>IF('Marks Entry'!V153=3,GT153,"")</f>
        <v/>
      </c>
      <c r="GX153" s="94" t="str">
        <f>IF('Marks Entry'!V153=4,GT153,"")</f>
        <v/>
      </c>
      <c r="GY153" s="94" t="str">
        <f>IF('Marks Entry'!V153=5,GT153,"")</f>
        <v/>
      </c>
      <c r="GZ153" s="94" t="str">
        <f t="shared" si="473"/>
        <v/>
      </c>
      <c r="HA153" s="105" t="str">
        <f t="shared" si="409"/>
        <v/>
      </c>
      <c r="HB153" s="94" t="str">
        <f t="shared" si="474"/>
        <v/>
      </c>
      <c r="HC153" s="94" t="str">
        <f t="shared" si="475"/>
        <v/>
      </c>
      <c r="HD153" s="105" t="str">
        <f t="shared" si="410"/>
        <v/>
      </c>
      <c r="HE153" s="94" t="str">
        <f t="shared" si="476"/>
        <v/>
      </c>
      <c r="HF153" s="94" t="str">
        <f t="shared" si="477"/>
        <v/>
      </c>
      <c r="HG153" s="105" t="str">
        <f t="shared" si="411"/>
        <v/>
      </c>
      <c r="HH153" s="94" t="str">
        <f t="shared" si="478"/>
        <v/>
      </c>
      <c r="HI153" s="94" t="str">
        <f t="shared" si="479"/>
        <v/>
      </c>
      <c r="HJ153" s="105" t="str">
        <f t="shared" si="412"/>
        <v/>
      </c>
      <c r="HK153" s="94" t="str">
        <f t="shared" si="480"/>
        <v/>
      </c>
      <c r="HL153" s="94" t="str">
        <f t="shared" si="481"/>
        <v/>
      </c>
      <c r="HM153" s="105" t="str">
        <f t="shared" si="413"/>
        <v/>
      </c>
      <c r="HN153" s="367" t="str">
        <f t="shared" si="482"/>
        <v xml:space="preserve">      </v>
      </c>
      <c r="HO153" s="418" t="str">
        <f t="shared" si="414"/>
        <v xml:space="preserve">      </v>
      </c>
      <c r="HP153" s="367" t="str">
        <f t="shared" si="483"/>
        <v xml:space="preserve">      </v>
      </c>
      <c r="HQ153" s="107" t="str">
        <f t="shared" si="484"/>
        <v xml:space="preserve">      </v>
      </c>
      <c r="HR153" s="366" t="str">
        <f t="shared" si="485"/>
        <v xml:space="preserve">      </v>
      </c>
      <c r="HS153" s="544" t="str">
        <f t="shared" si="415"/>
        <v/>
      </c>
      <c r="HT153" s="542" t="str">
        <f t="shared" si="486"/>
        <v/>
      </c>
      <c r="HU153" s="541" t="str">
        <f t="shared" si="487"/>
        <v/>
      </c>
      <c r="HV153" s="540" t="str">
        <f t="shared" si="488"/>
        <v/>
      </c>
      <c r="HW153" s="537" t="str">
        <f t="shared" si="489"/>
        <v/>
      </c>
      <c r="HX153" s="539" t="str">
        <f t="shared" si="490"/>
        <v/>
      </c>
      <c r="HY153" s="553" t="str">
        <f>IFERROR(IF(OR(HS153="SUPPLEMENTARY",HS153="RE-EXAM"),'Supp. Result Entry'!AQ151,""),"")</f>
        <v/>
      </c>
      <c r="HZ153" s="538" t="str">
        <f t="shared" si="491"/>
        <v/>
      </c>
      <c r="IA153" s="415" t="str">
        <f t="shared" si="492"/>
        <v/>
      </c>
      <c r="IB153" s="415" t="str">
        <f>IF(AND(HZ153="",IA153=""),"",IF(OR(HS153="SUPPLEMENTARY",HS153="RE-EXAM"),'Supp. Result Entry'!AQ151,HS153))</f>
        <v/>
      </c>
      <c r="IC153" s="87"/>
      <c r="IS153" s="109" t="str">
        <f>IF('Supp. Result Entry'!T151="","",'Supp. Result Entry'!$T$4)</f>
        <v/>
      </c>
      <c r="IT153" s="110" t="str">
        <f>IF('Supp. Result Entry'!W151="","",'Supp. Result Entry'!$W$4)</f>
        <v/>
      </c>
      <c r="IU153" s="110" t="str">
        <f>IF('Supp. Result Entry'!Z151="","",'Supp. Result Entry'!$Z$4)</f>
        <v/>
      </c>
      <c r="IV153" s="110" t="str">
        <f>IF('Supp. Result Entry'!AC151="","",'Supp. Result Entry'!$AC$4)</f>
        <v/>
      </c>
      <c r="IW153" s="110" t="str">
        <f>IF('Supp. Result Entry'!AF151="","",'Supp. Result Entry'!$AF$4)</f>
        <v/>
      </c>
      <c r="IX153" s="110" t="str">
        <f>IF('Supp. Result Entry'!AI151="","",'Supp. Result Entry'!$AI$4)</f>
        <v/>
      </c>
      <c r="IY153" s="110" t="str">
        <f>IF('Supp. Result Entry'!AI151="","",'Supp. Result Entry'!$AL$4)</f>
        <v/>
      </c>
      <c r="IZ153" s="110" t="str">
        <f>IF('Supp. Result Entry'!U151="","",'Supp. Result Entry'!U151)</f>
        <v/>
      </c>
      <c r="JA153" s="110" t="str">
        <f>IF('Supp. Result Entry'!X151="","",'Supp. Result Entry'!X151)</f>
        <v/>
      </c>
      <c r="JB153" s="110" t="str">
        <f>IF('Supp. Result Entry'!AA151="","",'Supp. Result Entry'!AA151)</f>
        <v/>
      </c>
      <c r="JC153" s="110" t="str">
        <f>IF('Supp. Result Entry'!AD151="","",'Supp. Result Entry'!AD151)</f>
        <v/>
      </c>
      <c r="JD153" s="110" t="str">
        <f>IF('Supp. Result Entry'!AG151="","",'Supp. Result Entry'!AG151)</f>
        <v/>
      </c>
      <c r="JE153" s="110" t="str">
        <f>IF('Supp. Result Entry'!AJ151="","",'Supp. Result Entry'!AJ151)</f>
        <v/>
      </c>
      <c r="JF153" s="110" t="str">
        <f>IF('Supp. Result Entry'!AM151="","",'Supp. Result Entry'!AM151)</f>
        <v/>
      </c>
      <c r="JG153" s="110" t="str">
        <f>IF('Supp. Result Entry'!V151="","",'Supp. Result Entry'!V151)</f>
        <v/>
      </c>
      <c r="JH153" s="110" t="str">
        <f>IF('Supp. Result Entry'!Y151="","",'Supp. Result Entry'!Y151)</f>
        <v/>
      </c>
      <c r="JI153" s="110" t="str">
        <f>IF('Supp. Result Entry'!AB151="","",'Supp. Result Entry'!AB151)</f>
        <v/>
      </c>
      <c r="JJ153" s="110" t="str">
        <f>IF('Supp. Result Entry'!AE151="","",'Supp. Result Entry'!AE151)</f>
        <v/>
      </c>
      <c r="JK153" s="110" t="str">
        <f>IF('Supp. Result Entry'!AH151="","",'Supp. Result Entry'!AH151)</f>
        <v/>
      </c>
      <c r="JL153" s="110" t="str">
        <f>IF('Supp. Result Entry'!AK151="","",'Supp. Result Entry'!AK151)</f>
        <v/>
      </c>
      <c r="JM153" s="110" t="str">
        <f>IF('Supp. Result Entry'!AN151="","",'Supp. Result Entry'!AN151)</f>
        <v/>
      </c>
      <c r="JN153" s="110">
        <f>COUNTIF('Supp. Result Entry'!K151:Q151,"S")</f>
        <v>0</v>
      </c>
      <c r="JO153" s="110">
        <f t="shared" si="416"/>
        <v>0</v>
      </c>
      <c r="JP153" s="110">
        <f t="shared" si="493"/>
        <v>0</v>
      </c>
      <c r="JQ153" s="110" t="str">
        <f t="shared" si="417"/>
        <v/>
      </c>
      <c r="JR153" s="110" t="str">
        <f t="shared" si="418"/>
        <v/>
      </c>
      <c r="JS153" s="110" t="str">
        <f t="shared" si="419"/>
        <v/>
      </c>
      <c r="JT153" s="110" t="str">
        <f t="shared" si="420"/>
        <v/>
      </c>
      <c r="JU153" s="110" t="str">
        <f t="shared" si="421"/>
        <v/>
      </c>
      <c r="JV153" s="110" t="str">
        <f t="shared" si="422"/>
        <v/>
      </c>
      <c r="JW153" s="110" t="str">
        <f t="shared" si="423"/>
        <v/>
      </c>
      <c r="JX153" s="110" t="str">
        <f t="shared" si="494"/>
        <v/>
      </c>
      <c r="JY153" s="110" t="str">
        <f t="shared" si="495"/>
        <v/>
      </c>
      <c r="JZ153" s="110" t="str">
        <f t="shared" si="424"/>
        <v/>
      </c>
      <c r="KA153" s="108" t="str">
        <f t="shared" si="496"/>
        <v/>
      </c>
    </row>
    <row r="154" spans="1:287" s="108" customFormat="1" ht="21.95" customHeight="1">
      <c r="A154" s="89">
        <v>148</v>
      </c>
      <c r="B154" s="90" t="str">
        <f>IF('Marks Entry'!B154="","",'Marks Entry'!B154)</f>
        <v/>
      </c>
      <c r="C154" s="94" t="str">
        <f>IF('Marks Entry'!D154="","",'Marks Entry'!D154)</f>
        <v/>
      </c>
      <c r="D154" s="91" t="str">
        <f>IF('Marks Entry'!E154="","",'Marks Entry'!E154)</f>
        <v/>
      </c>
      <c r="E154" s="92" t="str">
        <f>IF('Marks Entry'!F154="","",'Marks Entry'!F154)</f>
        <v/>
      </c>
      <c r="F154" s="93" t="str">
        <f>IF('Marks Entry'!G154="","",'Marks Entry'!G154)</f>
        <v/>
      </c>
      <c r="G154" s="93" t="str">
        <f>IF('Marks Entry'!H154="","",'Marks Entry'!H154)</f>
        <v/>
      </c>
      <c r="H154" s="93" t="str">
        <f>IF('Marks Entry'!I154="","",'Marks Entry'!I154)</f>
        <v/>
      </c>
      <c r="I154" s="94" t="str">
        <f>IF('Marks Entry'!J154="","",'Marks Entry'!J154)</f>
        <v/>
      </c>
      <c r="J154" s="95" t="str">
        <f>IF('Marks Entry'!K154="","",'Marks Entry'!K154)</f>
        <v/>
      </c>
      <c r="K154" s="68" t="str">
        <f>IF('Marks Entry'!L154="","",'Marks Entry'!L154)</f>
        <v/>
      </c>
      <c r="L154" s="68" t="str">
        <f>IF('Marks Entry'!M154="","",'Marks Entry'!M154)</f>
        <v/>
      </c>
      <c r="M154" s="68" t="str">
        <f>IF('Marks Entry'!N154="","",'Marks Entry'!N154)</f>
        <v/>
      </c>
      <c r="N154" s="514" t="str">
        <f t="shared" si="425"/>
        <v/>
      </c>
      <c r="O154" s="68" t="str">
        <f>IF('Marks Entry'!O154="","",'Marks Entry'!O154)</f>
        <v/>
      </c>
      <c r="P154" s="515" t="str">
        <f t="shared" si="426"/>
        <v/>
      </c>
      <c r="Q154" s="68" t="str">
        <f>IF('Marks Entry'!P154="","",'Marks Entry'!P154)</f>
        <v/>
      </c>
      <c r="R154" s="96" t="str">
        <f t="shared" si="427"/>
        <v/>
      </c>
      <c r="S154" s="65">
        <f t="shared" si="428"/>
        <v>0</v>
      </c>
      <c r="T154" s="65">
        <f t="shared" si="429"/>
        <v>0</v>
      </c>
      <c r="U154" s="66" t="str">
        <f t="shared" si="339"/>
        <v/>
      </c>
      <c r="V154" s="65" t="str">
        <f t="shared" si="340"/>
        <v/>
      </c>
      <c r="W154" s="65" t="str">
        <f t="shared" si="430"/>
        <v/>
      </c>
      <c r="X154" s="65" t="str">
        <f t="shared" si="341"/>
        <v/>
      </c>
      <c r="Y154" s="68" t="str">
        <f>IF('Marks Entry'!Q154="","",'Marks Entry'!Q154)</f>
        <v/>
      </c>
      <c r="Z154" s="68" t="str">
        <f>IF('Marks Entry'!R154="","",'Marks Entry'!R154)</f>
        <v/>
      </c>
      <c r="AA154" s="68" t="str">
        <f>IF('Marks Entry'!S154="","",'Marks Entry'!S154)</f>
        <v/>
      </c>
      <c r="AB154" s="514" t="str">
        <f t="shared" si="342"/>
        <v/>
      </c>
      <c r="AC154" s="68" t="str">
        <f>IF('Marks Entry'!T154="","",'Marks Entry'!T154)</f>
        <v/>
      </c>
      <c r="AD154" s="515" t="str">
        <f t="shared" si="343"/>
        <v/>
      </c>
      <c r="AE154" s="68" t="str">
        <f>IF('Marks Entry'!U154="","",'Marks Entry'!U154)</f>
        <v/>
      </c>
      <c r="AF154" s="96" t="str">
        <f t="shared" si="344"/>
        <v/>
      </c>
      <c r="AG154" s="65">
        <f t="shared" si="345"/>
        <v>0</v>
      </c>
      <c r="AH154" s="65">
        <f t="shared" si="346"/>
        <v>0</v>
      </c>
      <c r="AI154" s="66" t="str">
        <f t="shared" si="347"/>
        <v/>
      </c>
      <c r="AJ154" s="65" t="str">
        <f t="shared" si="348"/>
        <v/>
      </c>
      <c r="AK154" s="65" t="str">
        <f t="shared" si="349"/>
        <v/>
      </c>
      <c r="AL154" s="65" t="str">
        <f t="shared" si="350"/>
        <v/>
      </c>
      <c r="AM154" s="524" t="str">
        <f>IF('Marks Entry'!V154="","",IF('Marks Entry'!V154=1,'School Profile'!$I$9,IF('Marks Entry'!V154=2,'School Profile'!$I$10,IF('Marks Entry'!V154=3,'School Profile'!$I$11,IF('Marks Entry'!V154=4,'School Profile'!$I$12,IF('Marks Entry'!V154=5,'School Profile'!$I$13,IF('Marks Entry'!V154=6,'School Profile'!$I$14,"")))))))</f>
        <v/>
      </c>
      <c r="AN154" s="68" t="str">
        <f>IF('Marks Entry'!W154="","",'Marks Entry'!W154)</f>
        <v/>
      </c>
      <c r="AO154" s="68" t="str">
        <f>IF('Marks Entry'!X154="","",'Marks Entry'!X154)</f>
        <v/>
      </c>
      <c r="AP154" s="68" t="str">
        <f>IF('Marks Entry'!Y154="","",'Marks Entry'!Y154)</f>
        <v/>
      </c>
      <c r="AQ154" s="514" t="str">
        <f t="shared" si="351"/>
        <v/>
      </c>
      <c r="AR154" s="68" t="str">
        <f>IF('Marks Entry'!Z154="","",'Marks Entry'!Z154)</f>
        <v/>
      </c>
      <c r="AS154" s="515" t="str">
        <f t="shared" si="352"/>
        <v/>
      </c>
      <c r="AT154" s="68" t="str">
        <f>IF('Marks Entry'!AA154="","",'Marks Entry'!AA154)</f>
        <v/>
      </c>
      <c r="AU154" s="96" t="str">
        <f t="shared" si="353"/>
        <v/>
      </c>
      <c r="AV154" s="65">
        <f t="shared" si="354"/>
        <v>0</v>
      </c>
      <c r="AW154" s="65">
        <f t="shared" si="355"/>
        <v>0</v>
      </c>
      <c r="AX154" s="66" t="str">
        <f t="shared" si="356"/>
        <v/>
      </c>
      <c r="AY154" s="65" t="str">
        <f t="shared" si="357"/>
        <v/>
      </c>
      <c r="AZ154" s="65" t="str">
        <f t="shared" si="358"/>
        <v/>
      </c>
      <c r="BA154" s="65" t="str">
        <f t="shared" si="359"/>
        <v/>
      </c>
      <c r="BB154" s="68" t="str">
        <f>IF('Marks Entry'!AB154="","",'Marks Entry'!AB154)</f>
        <v/>
      </c>
      <c r="BC154" s="68" t="str">
        <f>IF('Marks Entry'!AC154="","",'Marks Entry'!AC154)</f>
        <v/>
      </c>
      <c r="BD154" s="68" t="str">
        <f>IF('Marks Entry'!AD154="","",'Marks Entry'!AD154)</f>
        <v/>
      </c>
      <c r="BE154" s="514" t="str">
        <f t="shared" si="360"/>
        <v/>
      </c>
      <c r="BF154" s="68" t="str">
        <f>IF('Marks Entry'!AE154="","",'Marks Entry'!AE154)</f>
        <v/>
      </c>
      <c r="BG154" s="515" t="str">
        <f t="shared" si="361"/>
        <v/>
      </c>
      <c r="BH154" s="68" t="str">
        <f>IF('Marks Entry'!AF154="","",'Marks Entry'!AF154)</f>
        <v/>
      </c>
      <c r="BI154" s="96" t="str">
        <f t="shared" si="362"/>
        <v/>
      </c>
      <c r="BJ154" s="65">
        <f t="shared" si="363"/>
        <v>0</v>
      </c>
      <c r="BK154" s="65">
        <f t="shared" si="431"/>
        <v>0</v>
      </c>
      <c r="BL154" s="66" t="str">
        <f t="shared" si="364"/>
        <v/>
      </c>
      <c r="BM154" s="65" t="str">
        <f t="shared" si="365"/>
        <v/>
      </c>
      <c r="BN154" s="65" t="str">
        <f t="shared" si="366"/>
        <v/>
      </c>
      <c r="BO154" s="65" t="str">
        <f t="shared" si="367"/>
        <v/>
      </c>
      <c r="BP154" s="68" t="str">
        <f>IF('Marks Entry'!AG154="","",'Marks Entry'!AG154)</f>
        <v/>
      </c>
      <c r="BQ154" s="68" t="str">
        <f>IF('Marks Entry'!AH154="","",'Marks Entry'!AH154)</f>
        <v/>
      </c>
      <c r="BR154" s="68" t="str">
        <f>IF('Marks Entry'!AI154="","",'Marks Entry'!AI154)</f>
        <v/>
      </c>
      <c r="BS154" s="514" t="str">
        <f t="shared" si="368"/>
        <v/>
      </c>
      <c r="BT154" s="68" t="str">
        <f>IF('Marks Entry'!AJ154="","",'Marks Entry'!AJ154)</f>
        <v/>
      </c>
      <c r="BU154" s="515" t="str">
        <f t="shared" si="369"/>
        <v/>
      </c>
      <c r="BV154" s="68" t="str">
        <f>IF('Marks Entry'!AK154="","",'Marks Entry'!AK154)</f>
        <v/>
      </c>
      <c r="BW154" s="96" t="str">
        <f t="shared" si="370"/>
        <v/>
      </c>
      <c r="BX154" s="65">
        <f t="shared" si="371"/>
        <v>0</v>
      </c>
      <c r="BY154" s="65">
        <f t="shared" si="372"/>
        <v>0</v>
      </c>
      <c r="BZ154" s="66" t="str">
        <f t="shared" si="373"/>
        <v/>
      </c>
      <c r="CA154" s="65" t="str">
        <f t="shared" si="374"/>
        <v/>
      </c>
      <c r="CB154" s="65" t="str">
        <f t="shared" si="375"/>
        <v/>
      </c>
      <c r="CC154" s="65" t="str">
        <f t="shared" si="376"/>
        <v/>
      </c>
      <c r="CD154" s="66">
        <f t="shared" si="377"/>
        <v>0</v>
      </c>
      <c r="CE154" s="68" t="str">
        <f>IF('Marks Entry'!AL154="","",'Marks Entry'!AL154)</f>
        <v/>
      </c>
      <c r="CF154" s="68" t="str">
        <f>IF('Marks Entry'!AM154="","",'Marks Entry'!AM154)</f>
        <v/>
      </c>
      <c r="CG154" s="68" t="str">
        <f>IF('Marks Entry'!AN154="","",'Marks Entry'!AN154)</f>
        <v/>
      </c>
      <c r="CH154" s="514" t="str">
        <f t="shared" si="378"/>
        <v/>
      </c>
      <c r="CI154" s="68" t="str">
        <f>IF('Marks Entry'!AO154="","",'Marks Entry'!AO154)</f>
        <v/>
      </c>
      <c r="CJ154" s="515" t="str">
        <f t="shared" si="379"/>
        <v/>
      </c>
      <c r="CK154" s="68" t="str">
        <f>IF('Marks Entry'!AP154="","",'Marks Entry'!AP154)</f>
        <v/>
      </c>
      <c r="CL154" s="96" t="str">
        <f t="shared" si="380"/>
        <v/>
      </c>
      <c r="CM154" s="65">
        <f t="shared" si="381"/>
        <v>0</v>
      </c>
      <c r="CN154" s="65">
        <f t="shared" si="382"/>
        <v>0</v>
      </c>
      <c r="CO154" s="66" t="str">
        <f t="shared" si="383"/>
        <v/>
      </c>
      <c r="CP154" s="65" t="str">
        <f t="shared" si="384"/>
        <v/>
      </c>
      <c r="CQ154" s="65" t="str">
        <f t="shared" si="385"/>
        <v/>
      </c>
      <c r="CR154" s="65" t="str">
        <f t="shared" si="386"/>
        <v/>
      </c>
      <c r="CS154" s="616" t="str">
        <f>IF('School Profile'!$D$20="NO","",IF('Marks Entry'!AQ154="","",IF('Marks Entry'!AQ154=1,'School Profile'!$I$29,IF('Marks Entry'!AQ154=2,'School Profile'!$I$30,IF('Marks Entry'!AQ154=3,'School Profile'!$I$31,IF('Marks Entry'!AQ154=4,'School Profile'!$I$32,IF('Marks Entry'!AQ154=5,'School Profile'!$I$33,IF('Marks Entry'!AQ154=6,'School Profile'!$I$34,IF('Marks Entry'!AQ154=7,'School Profile'!$I$35,IF('Marks Entry'!AQ154=8,'School Profile'!$I$36,IF('Marks Entry'!AQ154=9,'School Profile'!$I$37,IF('Marks Entry'!AQ154=10,'School Profile'!$I$38,IF('Marks Entry'!AQ154=11,'School Profile'!$I$39,"")))))))))))))</f>
        <v/>
      </c>
      <c r="CT154" s="68" t="str">
        <f>IF('School Profile'!$D$20="NO","",IF('Marks Entry'!AR154="","",'Marks Entry'!AR154))</f>
        <v/>
      </c>
      <c r="CU154" s="68" t="str">
        <f>IF('School Profile'!$D$20="NO","",IF('Marks Entry'!AS154="","",'Marks Entry'!AS154))</f>
        <v/>
      </c>
      <c r="CV154" s="68" t="str">
        <f>IF('School Profile'!$D$20="NO","",IF('Marks Entry'!AT154="","",'Marks Entry'!AT154))</f>
        <v/>
      </c>
      <c r="CW154" s="514" t="str">
        <f>IF('School Profile'!$D$20="NO","",IF(AND(CT154="",CU154="",CV154=""),"",SUM(CT154:CV154)))</f>
        <v/>
      </c>
      <c r="CX154" s="68" t="str">
        <f>IF('School Profile'!$D$20="NO","",IF('Marks Entry'!AU154="","",'Marks Entry'!AU154))</f>
        <v/>
      </c>
      <c r="CY154" s="68" t="str">
        <f>IF('School Profile'!$D$20="NO","",IF('Marks Entry'!AV154="","",'Marks Entry'!AV154))</f>
        <v/>
      </c>
      <c r="CZ154" s="515" t="str">
        <f>IF('School Profile'!$D$20="NO","",IF(AND(CX154="",CY154=""),"",SUM(CX154,CY154)))</f>
        <v/>
      </c>
      <c r="DA154" s="69" t="str">
        <f>IF('School Profile'!$D$20="NO","",IF(AND(CW154="",CZ154=""),"",SUM(CW154+CZ154)))</f>
        <v/>
      </c>
      <c r="DB154" s="68" t="str">
        <f>IF('School Profile'!$D$20="NO","",IF('Marks Entry'!AW154="","",'Marks Entry'!AW154))</f>
        <v/>
      </c>
      <c r="DC154" s="68" t="str">
        <f>IF('School Profile'!$D$20="NO","",IF('Marks Entry'!AX154="","",'Marks Entry'!AX154))</f>
        <v/>
      </c>
      <c r="DD154" s="515" t="str">
        <f>IF('School Profile'!$D$20="NO","",IF(AND(DB154="",DC154=""),"",SUM(DB154,DC154)))</f>
        <v/>
      </c>
      <c r="DE154" s="96" t="str">
        <f>IF('School Profile'!$D$20="NO","",IF(AND(DA154="",DD154=""),"",SUM(DA154,DD154)))</f>
        <v/>
      </c>
      <c r="DF154" s="532">
        <f t="shared" si="387"/>
        <v>0</v>
      </c>
      <c r="DG154" s="65">
        <f t="shared" si="388"/>
        <v>0</v>
      </c>
      <c r="DH154" s="66" t="str">
        <f t="shared" si="389"/>
        <v/>
      </c>
      <c r="DI154" s="65" t="str">
        <f t="shared" si="390"/>
        <v/>
      </c>
      <c r="DJ154" s="65" t="str">
        <f t="shared" si="391"/>
        <v/>
      </c>
      <c r="DK154" s="65" t="str">
        <f t="shared" si="392"/>
        <v/>
      </c>
      <c r="DL154" s="97" t="str">
        <f t="shared" si="432"/>
        <v/>
      </c>
      <c r="DM154" s="97" t="str">
        <f t="shared" si="433"/>
        <v/>
      </c>
      <c r="DN154" s="97" t="str">
        <f t="shared" si="434"/>
        <v/>
      </c>
      <c r="DO154" s="97" t="str">
        <f t="shared" si="435"/>
        <v/>
      </c>
      <c r="DP154" s="97" t="str">
        <f t="shared" si="436"/>
        <v/>
      </c>
      <c r="DQ154" s="97" t="str">
        <f t="shared" si="437"/>
        <v/>
      </c>
      <c r="DR154" s="97" t="str">
        <f t="shared" si="438"/>
        <v/>
      </c>
      <c r="DS154" s="98">
        <f t="shared" si="439"/>
        <v>0</v>
      </c>
      <c r="DT154" s="98">
        <f t="shared" si="440"/>
        <v>0</v>
      </c>
      <c r="DU154" s="98">
        <f t="shared" si="441"/>
        <v>0</v>
      </c>
      <c r="DV154" s="98">
        <f t="shared" si="442"/>
        <v>0</v>
      </c>
      <c r="DW154" s="98">
        <f t="shared" si="443"/>
        <v>0</v>
      </c>
      <c r="DX154" s="98" t="str">
        <f t="shared" si="444"/>
        <v/>
      </c>
      <c r="DY154" s="99" t="str">
        <f t="shared" si="445"/>
        <v/>
      </c>
      <c r="DZ154" s="74" t="str">
        <f>IF('Marks Entry'!AY154="","",'Marks Entry'!AY154)</f>
        <v/>
      </c>
      <c r="EA154" s="74" t="str">
        <f>IF('Marks Entry'!AZ154="","",'Marks Entry'!AZ154)</f>
        <v/>
      </c>
      <c r="EB154" s="74" t="str">
        <f>IF('Marks Entry'!BA154="","",'Marks Entry'!BA154)</f>
        <v/>
      </c>
      <c r="EC154" s="527" t="str">
        <f t="shared" si="393"/>
        <v/>
      </c>
      <c r="ED154" s="74" t="str">
        <f>IF('Marks Entry'!BB154="","",'Marks Entry'!BB154)</f>
        <v/>
      </c>
      <c r="EE154" s="528" t="str">
        <f t="shared" si="394"/>
        <v/>
      </c>
      <c r="EF154" s="74" t="str">
        <f>IF('Marks Entry'!BC154="","",'Marks Entry'!BC154)</f>
        <v/>
      </c>
      <c r="EG154" s="530" t="str">
        <f t="shared" si="395"/>
        <v/>
      </c>
      <c r="EH154" s="368" t="str">
        <f t="shared" si="446"/>
        <v/>
      </c>
      <c r="EI154" s="65">
        <f t="shared" si="447"/>
        <v>0</v>
      </c>
      <c r="EJ154" s="65">
        <f t="shared" si="448"/>
        <v>0</v>
      </c>
      <c r="EK154" s="66" t="str">
        <f t="shared" si="449"/>
        <v/>
      </c>
      <c r="EL154" s="74" t="str">
        <f>IF('Marks Entry'!BD154="","",'Marks Entry'!BD154)</f>
        <v/>
      </c>
      <c r="EM154" s="74" t="str">
        <f>IF('Marks Entry'!BE154="","",'Marks Entry'!BE154)</f>
        <v/>
      </c>
      <c r="EN154" s="74" t="str">
        <f>IF('Marks Entry'!BF154="","",'Marks Entry'!BF154)</f>
        <v/>
      </c>
      <c r="EO154" s="527" t="str">
        <f t="shared" si="396"/>
        <v/>
      </c>
      <c r="EP154" s="74" t="str">
        <f>IF('Marks Entry'!BG154="","",'Marks Entry'!BG154)</f>
        <v/>
      </c>
      <c r="EQ154" s="74" t="str">
        <f>IF('Marks Entry'!BH154="","",'Marks Entry'!BH154)</f>
        <v/>
      </c>
      <c r="ER154" s="528" t="str">
        <f t="shared" si="397"/>
        <v/>
      </c>
      <c r="ES154" s="529" t="str">
        <f t="shared" si="398"/>
        <v/>
      </c>
      <c r="ET154" s="74" t="str">
        <f>IF('Marks Entry'!BI154="","",'Marks Entry'!BI154)</f>
        <v/>
      </c>
      <c r="EU154" s="74" t="str">
        <f>IF('Marks Entry'!BJ154="","",'Marks Entry'!BJ154)</f>
        <v/>
      </c>
      <c r="EV154" s="528" t="str">
        <f t="shared" si="399"/>
        <v/>
      </c>
      <c r="EW154" s="530" t="str">
        <f t="shared" si="400"/>
        <v/>
      </c>
      <c r="EX154" s="368" t="str">
        <f t="shared" si="450"/>
        <v/>
      </c>
      <c r="EY154" s="65">
        <f t="shared" si="451"/>
        <v>0</v>
      </c>
      <c r="EZ154" s="65">
        <f t="shared" si="452"/>
        <v>0</v>
      </c>
      <c r="FA154" s="66" t="str">
        <f t="shared" si="453"/>
        <v/>
      </c>
      <c r="FB154" s="74" t="str">
        <f>IF('Marks Entry'!BK154="","",'Marks Entry'!BK154)</f>
        <v/>
      </c>
      <c r="FC154" s="74" t="str">
        <f>IF('Marks Entry'!BL154="","",'Marks Entry'!BL154)</f>
        <v/>
      </c>
      <c r="FD154" s="74" t="str">
        <f>IF('Marks Entry'!BM154="","",'Marks Entry'!BM154)</f>
        <v/>
      </c>
      <c r="FE154" s="74" t="str">
        <f>IF('Marks Entry'!BN154="","",'Marks Entry'!BN154)</f>
        <v/>
      </c>
      <c r="FF154" s="74" t="str">
        <f>IF('Marks Entry'!BO154="","",'Marks Entry'!BO154)</f>
        <v/>
      </c>
      <c r="FG154" s="74" t="str">
        <f>IF('Marks Entry'!BP154="","",'Marks Entry'!BP154)</f>
        <v/>
      </c>
      <c r="FH154" s="527" t="str">
        <f t="shared" si="401"/>
        <v/>
      </c>
      <c r="FI154" s="74" t="str">
        <f>IF('Marks Entry'!BQ154="","",'Marks Entry'!BQ154)</f>
        <v/>
      </c>
      <c r="FJ154" s="74" t="str">
        <f>IF('Marks Entry'!BR154="","",'Marks Entry'!BR154)</f>
        <v/>
      </c>
      <c r="FK154" s="528" t="str">
        <f t="shared" si="402"/>
        <v/>
      </c>
      <c r="FL154" s="529" t="str">
        <f t="shared" si="403"/>
        <v/>
      </c>
      <c r="FM154" s="74" t="str">
        <f>IF('Marks Entry'!BS154="","",'Marks Entry'!BS154)</f>
        <v/>
      </c>
      <c r="FN154" s="74" t="str">
        <f>IF('Marks Entry'!BT154="","",'Marks Entry'!BT154)</f>
        <v/>
      </c>
      <c r="FO154" s="528" t="str">
        <f t="shared" si="404"/>
        <v/>
      </c>
      <c r="FP154" s="530" t="str">
        <f t="shared" si="405"/>
        <v/>
      </c>
      <c r="FQ154" s="368" t="str">
        <f t="shared" si="454"/>
        <v/>
      </c>
      <c r="FR154" s="65">
        <f t="shared" si="455"/>
        <v>0</v>
      </c>
      <c r="FS154" s="65">
        <f t="shared" si="456"/>
        <v>0</v>
      </c>
      <c r="FT154" s="66" t="str">
        <f t="shared" si="457"/>
        <v/>
      </c>
      <c r="FU154" s="74" t="str">
        <f>IF('Marks Entry'!BU154="","",'Marks Entry'!BU154)</f>
        <v/>
      </c>
      <c r="FV154" s="74" t="str">
        <f>IF('Marks Entry'!BV154="","",'Marks Entry'!BV154)</f>
        <v/>
      </c>
      <c r="FW154" s="74" t="str">
        <f>IF('Marks Entry'!BW154="","",'Marks Entry'!BW154)</f>
        <v/>
      </c>
      <c r="FX154" s="75" t="str">
        <f t="shared" si="406"/>
        <v/>
      </c>
      <c r="FY154" s="368" t="str">
        <f t="shared" si="458"/>
        <v/>
      </c>
      <c r="FZ154" s="65">
        <f t="shared" si="459"/>
        <v>0</v>
      </c>
      <c r="GA154" s="66">
        <f t="shared" si="460"/>
        <v>0</v>
      </c>
      <c r="GB154" s="66" t="str">
        <f t="shared" si="461"/>
        <v/>
      </c>
      <c r="GC154" s="74" t="str">
        <f>IF('Marks Entry'!BX154="","",'Marks Entry'!BX154)</f>
        <v/>
      </c>
      <c r="GD154" s="74" t="str">
        <f>IF('Marks Entry'!BY154="","",'Marks Entry'!BY154)</f>
        <v/>
      </c>
      <c r="GE154" s="74" t="str">
        <f>IF('Marks Entry'!BZ154="","",'Marks Entry'!BZ154)</f>
        <v/>
      </c>
      <c r="GF154" s="75" t="str">
        <f t="shared" si="462"/>
        <v/>
      </c>
      <c r="GG154" s="368" t="str">
        <f t="shared" si="463"/>
        <v/>
      </c>
      <c r="GH154" s="65">
        <f t="shared" si="464"/>
        <v>0</v>
      </c>
      <c r="GI154" s="66">
        <f t="shared" si="465"/>
        <v>0</v>
      </c>
      <c r="GJ154" s="66" t="str">
        <f t="shared" si="466"/>
        <v/>
      </c>
      <c r="GK154" s="100" t="str">
        <f>IF(AND(F154="",B154=""),"",IF('Student DATA Entry'!M151="","",'Student DATA Entry'!M151))</f>
        <v/>
      </c>
      <c r="GL154" s="101" t="str">
        <f>IF(AND(B154="",F154=""),"",IF('Student DATA Entry'!N151="","",'Student DATA Entry'!N151))</f>
        <v/>
      </c>
      <c r="GM154" s="581" t="str">
        <f t="shared" si="467"/>
        <v/>
      </c>
      <c r="GN154" s="94" t="str">
        <f t="shared" si="468"/>
        <v/>
      </c>
      <c r="GO154" s="94" t="str">
        <f t="shared" si="469"/>
        <v/>
      </c>
      <c r="GP154" s="102" t="str">
        <f t="shared" si="407"/>
        <v/>
      </c>
      <c r="GQ154" s="94" t="str">
        <f t="shared" si="470"/>
        <v/>
      </c>
      <c r="GR154" s="103" t="str">
        <f t="shared" si="471"/>
        <v/>
      </c>
      <c r="GS154" s="102" t="str">
        <f t="shared" si="408"/>
        <v/>
      </c>
      <c r="GT154" s="104" t="str">
        <f t="shared" si="472"/>
        <v/>
      </c>
      <c r="GU154" s="94" t="str">
        <f>IF('Marks Entry'!V154=1,GT154,"")</f>
        <v/>
      </c>
      <c r="GV154" s="94" t="str">
        <f>IF('Marks Entry'!V154=2,GT154,"")</f>
        <v/>
      </c>
      <c r="GW154" s="94" t="str">
        <f>IF('Marks Entry'!V154=3,GT154,"")</f>
        <v/>
      </c>
      <c r="GX154" s="94" t="str">
        <f>IF('Marks Entry'!V154=4,GT154,"")</f>
        <v/>
      </c>
      <c r="GY154" s="94" t="str">
        <f>IF('Marks Entry'!V154=5,GT154,"")</f>
        <v/>
      </c>
      <c r="GZ154" s="94" t="str">
        <f t="shared" si="473"/>
        <v/>
      </c>
      <c r="HA154" s="105" t="str">
        <f t="shared" si="409"/>
        <v/>
      </c>
      <c r="HB154" s="94" t="str">
        <f t="shared" si="474"/>
        <v/>
      </c>
      <c r="HC154" s="94" t="str">
        <f t="shared" si="475"/>
        <v/>
      </c>
      <c r="HD154" s="105" t="str">
        <f t="shared" si="410"/>
        <v/>
      </c>
      <c r="HE154" s="94" t="str">
        <f t="shared" si="476"/>
        <v/>
      </c>
      <c r="HF154" s="94" t="str">
        <f t="shared" si="477"/>
        <v/>
      </c>
      <c r="HG154" s="105" t="str">
        <f t="shared" si="411"/>
        <v/>
      </c>
      <c r="HH154" s="94" t="str">
        <f t="shared" si="478"/>
        <v/>
      </c>
      <c r="HI154" s="94" t="str">
        <f t="shared" si="479"/>
        <v/>
      </c>
      <c r="HJ154" s="105" t="str">
        <f t="shared" si="412"/>
        <v/>
      </c>
      <c r="HK154" s="94" t="str">
        <f t="shared" si="480"/>
        <v/>
      </c>
      <c r="HL154" s="94" t="str">
        <f t="shared" si="481"/>
        <v/>
      </c>
      <c r="HM154" s="105" t="str">
        <f t="shared" si="413"/>
        <v/>
      </c>
      <c r="HN154" s="367" t="str">
        <f t="shared" si="482"/>
        <v xml:space="preserve">      </v>
      </c>
      <c r="HO154" s="418" t="str">
        <f t="shared" si="414"/>
        <v xml:space="preserve">      </v>
      </c>
      <c r="HP154" s="367" t="str">
        <f t="shared" si="483"/>
        <v xml:space="preserve">      </v>
      </c>
      <c r="HQ154" s="107" t="str">
        <f t="shared" si="484"/>
        <v xml:space="preserve">      </v>
      </c>
      <c r="HR154" s="366" t="str">
        <f t="shared" si="485"/>
        <v xml:space="preserve">      </v>
      </c>
      <c r="HS154" s="544" t="str">
        <f t="shared" si="415"/>
        <v/>
      </c>
      <c r="HT154" s="542" t="str">
        <f t="shared" si="486"/>
        <v/>
      </c>
      <c r="HU154" s="541" t="str">
        <f t="shared" si="487"/>
        <v/>
      </c>
      <c r="HV154" s="540" t="str">
        <f t="shared" si="488"/>
        <v/>
      </c>
      <c r="HW154" s="537" t="str">
        <f t="shared" si="489"/>
        <v/>
      </c>
      <c r="HX154" s="539" t="str">
        <f t="shared" si="490"/>
        <v/>
      </c>
      <c r="HY154" s="553" t="str">
        <f>IFERROR(IF(OR(HS154="SUPPLEMENTARY",HS154="RE-EXAM"),'Supp. Result Entry'!AQ152,""),"")</f>
        <v/>
      </c>
      <c r="HZ154" s="538" t="str">
        <f t="shared" si="491"/>
        <v/>
      </c>
      <c r="IA154" s="415" t="str">
        <f t="shared" si="492"/>
        <v/>
      </c>
      <c r="IB154" s="415" t="str">
        <f>IF(AND(HZ154="",IA154=""),"",IF(OR(HS154="SUPPLEMENTARY",HS154="RE-EXAM"),'Supp. Result Entry'!AQ152,HS154))</f>
        <v/>
      </c>
      <c r="IC154" s="87"/>
      <c r="IS154" s="109" t="str">
        <f>IF('Supp. Result Entry'!T152="","",'Supp. Result Entry'!$T$4)</f>
        <v/>
      </c>
      <c r="IT154" s="110" t="str">
        <f>IF('Supp. Result Entry'!W152="","",'Supp. Result Entry'!$W$4)</f>
        <v/>
      </c>
      <c r="IU154" s="110" t="str">
        <f>IF('Supp. Result Entry'!Z152="","",'Supp. Result Entry'!$Z$4)</f>
        <v/>
      </c>
      <c r="IV154" s="110" t="str">
        <f>IF('Supp. Result Entry'!AC152="","",'Supp. Result Entry'!$AC$4)</f>
        <v/>
      </c>
      <c r="IW154" s="110" t="str">
        <f>IF('Supp. Result Entry'!AF152="","",'Supp. Result Entry'!$AF$4)</f>
        <v/>
      </c>
      <c r="IX154" s="110" t="str">
        <f>IF('Supp. Result Entry'!AI152="","",'Supp. Result Entry'!$AI$4)</f>
        <v/>
      </c>
      <c r="IY154" s="110" t="str">
        <f>IF('Supp. Result Entry'!AI152="","",'Supp. Result Entry'!$AL$4)</f>
        <v/>
      </c>
      <c r="IZ154" s="110" t="str">
        <f>IF('Supp. Result Entry'!U152="","",'Supp. Result Entry'!U152)</f>
        <v/>
      </c>
      <c r="JA154" s="110" t="str">
        <f>IF('Supp. Result Entry'!X152="","",'Supp. Result Entry'!X152)</f>
        <v/>
      </c>
      <c r="JB154" s="110" t="str">
        <f>IF('Supp. Result Entry'!AA152="","",'Supp. Result Entry'!AA152)</f>
        <v/>
      </c>
      <c r="JC154" s="110" t="str">
        <f>IF('Supp. Result Entry'!AD152="","",'Supp. Result Entry'!AD152)</f>
        <v/>
      </c>
      <c r="JD154" s="110" t="str">
        <f>IF('Supp. Result Entry'!AG152="","",'Supp. Result Entry'!AG152)</f>
        <v/>
      </c>
      <c r="JE154" s="110" t="str">
        <f>IF('Supp. Result Entry'!AJ152="","",'Supp. Result Entry'!AJ152)</f>
        <v/>
      </c>
      <c r="JF154" s="110" t="str">
        <f>IF('Supp. Result Entry'!AM152="","",'Supp. Result Entry'!AM152)</f>
        <v/>
      </c>
      <c r="JG154" s="110" t="str">
        <f>IF('Supp. Result Entry'!V152="","",'Supp. Result Entry'!V152)</f>
        <v/>
      </c>
      <c r="JH154" s="110" t="str">
        <f>IF('Supp. Result Entry'!Y152="","",'Supp. Result Entry'!Y152)</f>
        <v/>
      </c>
      <c r="JI154" s="110" t="str">
        <f>IF('Supp. Result Entry'!AB152="","",'Supp. Result Entry'!AB152)</f>
        <v/>
      </c>
      <c r="JJ154" s="110" t="str">
        <f>IF('Supp. Result Entry'!AE152="","",'Supp. Result Entry'!AE152)</f>
        <v/>
      </c>
      <c r="JK154" s="110" t="str">
        <f>IF('Supp. Result Entry'!AH152="","",'Supp. Result Entry'!AH152)</f>
        <v/>
      </c>
      <c r="JL154" s="110" t="str">
        <f>IF('Supp. Result Entry'!AK152="","",'Supp. Result Entry'!AK152)</f>
        <v/>
      </c>
      <c r="JM154" s="110" t="str">
        <f>IF('Supp. Result Entry'!AN152="","",'Supp. Result Entry'!AN152)</f>
        <v/>
      </c>
      <c r="JN154" s="110">
        <f>COUNTIF('Supp. Result Entry'!K152:Q152,"S")</f>
        <v>0</v>
      </c>
      <c r="JO154" s="110">
        <f t="shared" si="416"/>
        <v>0</v>
      </c>
      <c r="JP154" s="110">
        <f t="shared" si="493"/>
        <v>0</v>
      </c>
      <c r="JQ154" s="110" t="str">
        <f t="shared" si="417"/>
        <v/>
      </c>
      <c r="JR154" s="110" t="str">
        <f t="shared" si="418"/>
        <v/>
      </c>
      <c r="JS154" s="110" t="str">
        <f t="shared" si="419"/>
        <v/>
      </c>
      <c r="JT154" s="110" t="str">
        <f t="shared" si="420"/>
        <v/>
      </c>
      <c r="JU154" s="110" t="str">
        <f t="shared" si="421"/>
        <v/>
      </c>
      <c r="JV154" s="110" t="str">
        <f t="shared" si="422"/>
        <v/>
      </c>
      <c r="JW154" s="110" t="str">
        <f t="shared" si="423"/>
        <v/>
      </c>
      <c r="JX154" s="110" t="str">
        <f t="shared" si="494"/>
        <v/>
      </c>
      <c r="JY154" s="110" t="str">
        <f t="shared" si="495"/>
        <v/>
      </c>
      <c r="JZ154" s="110" t="str">
        <f t="shared" si="424"/>
        <v/>
      </c>
      <c r="KA154" s="108" t="str">
        <f t="shared" si="496"/>
        <v/>
      </c>
    </row>
    <row r="155" spans="1:287" s="108" customFormat="1" ht="21.95" customHeight="1">
      <c r="A155" s="89">
        <v>149</v>
      </c>
      <c r="B155" s="90" t="str">
        <f>IF('Marks Entry'!B155="","",'Marks Entry'!B155)</f>
        <v/>
      </c>
      <c r="C155" s="94" t="str">
        <f>IF('Marks Entry'!D155="","",'Marks Entry'!D155)</f>
        <v/>
      </c>
      <c r="D155" s="91" t="str">
        <f>IF('Marks Entry'!E155="","",'Marks Entry'!E155)</f>
        <v/>
      </c>
      <c r="E155" s="92" t="str">
        <f>IF('Marks Entry'!F155="","",'Marks Entry'!F155)</f>
        <v/>
      </c>
      <c r="F155" s="93" t="str">
        <f>IF('Marks Entry'!G155="","",'Marks Entry'!G155)</f>
        <v/>
      </c>
      <c r="G155" s="93" t="str">
        <f>IF('Marks Entry'!H155="","",'Marks Entry'!H155)</f>
        <v/>
      </c>
      <c r="H155" s="93" t="str">
        <f>IF('Marks Entry'!I155="","",'Marks Entry'!I155)</f>
        <v/>
      </c>
      <c r="I155" s="94" t="str">
        <f>IF('Marks Entry'!J155="","",'Marks Entry'!J155)</f>
        <v/>
      </c>
      <c r="J155" s="95" t="str">
        <f>IF('Marks Entry'!K155="","",'Marks Entry'!K155)</f>
        <v/>
      </c>
      <c r="K155" s="68" t="str">
        <f>IF('Marks Entry'!L155="","",'Marks Entry'!L155)</f>
        <v/>
      </c>
      <c r="L155" s="68" t="str">
        <f>IF('Marks Entry'!M155="","",'Marks Entry'!M155)</f>
        <v/>
      </c>
      <c r="M155" s="68" t="str">
        <f>IF('Marks Entry'!N155="","",'Marks Entry'!N155)</f>
        <v/>
      </c>
      <c r="N155" s="514" t="str">
        <f t="shared" si="425"/>
        <v/>
      </c>
      <c r="O155" s="68" t="str">
        <f>IF('Marks Entry'!O155="","",'Marks Entry'!O155)</f>
        <v/>
      </c>
      <c r="P155" s="515" t="str">
        <f t="shared" si="426"/>
        <v/>
      </c>
      <c r="Q155" s="68" t="str">
        <f>IF('Marks Entry'!P155="","",'Marks Entry'!P155)</f>
        <v/>
      </c>
      <c r="R155" s="96" t="str">
        <f t="shared" si="427"/>
        <v/>
      </c>
      <c r="S155" s="65">
        <f t="shared" si="428"/>
        <v>0</v>
      </c>
      <c r="T155" s="65">
        <f t="shared" si="429"/>
        <v>0</v>
      </c>
      <c r="U155" s="66" t="str">
        <f t="shared" si="339"/>
        <v/>
      </c>
      <c r="V155" s="65" t="str">
        <f t="shared" si="340"/>
        <v/>
      </c>
      <c r="W155" s="65" t="str">
        <f t="shared" si="430"/>
        <v/>
      </c>
      <c r="X155" s="65" t="str">
        <f t="shared" si="341"/>
        <v/>
      </c>
      <c r="Y155" s="68" t="str">
        <f>IF('Marks Entry'!Q155="","",'Marks Entry'!Q155)</f>
        <v/>
      </c>
      <c r="Z155" s="68" t="str">
        <f>IF('Marks Entry'!R155="","",'Marks Entry'!R155)</f>
        <v/>
      </c>
      <c r="AA155" s="68" t="str">
        <f>IF('Marks Entry'!S155="","",'Marks Entry'!S155)</f>
        <v/>
      </c>
      <c r="AB155" s="514" t="str">
        <f t="shared" si="342"/>
        <v/>
      </c>
      <c r="AC155" s="68" t="str">
        <f>IF('Marks Entry'!T155="","",'Marks Entry'!T155)</f>
        <v/>
      </c>
      <c r="AD155" s="515" t="str">
        <f t="shared" si="343"/>
        <v/>
      </c>
      <c r="AE155" s="68" t="str">
        <f>IF('Marks Entry'!U155="","",'Marks Entry'!U155)</f>
        <v/>
      </c>
      <c r="AF155" s="96" t="str">
        <f t="shared" si="344"/>
        <v/>
      </c>
      <c r="AG155" s="65">
        <f t="shared" si="345"/>
        <v>0</v>
      </c>
      <c r="AH155" s="65">
        <f t="shared" si="346"/>
        <v>0</v>
      </c>
      <c r="AI155" s="66" t="str">
        <f t="shared" si="347"/>
        <v/>
      </c>
      <c r="AJ155" s="65" t="str">
        <f t="shared" si="348"/>
        <v/>
      </c>
      <c r="AK155" s="65" t="str">
        <f t="shared" si="349"/>
        <v/>
      </c>
      <c r="AL155" s="65" t="str">
        <f t="shared" si="350"/>
        <v/>
      </c>
      <c r="AM155" s="524" t="str">
        <f>IF('Marks Entry'!V155="","",IF('Marks Entry'!V155=1,'School Profile'!$I$9,IF('Marks Entry'!V155=2,'School Profile'!$I$10,IF('Marks Entry'!V155=3,'School Profile'!$I$11,IF('Marks Entry'!V155=4,'School Profile'!$I$12,IF('Marks Entry'!V155=5,'School Profile'!$I$13,IF('Marks Entry'!V155=6,'School Profile'!$I$14,"")))))))</f>
        <v/>
      </c>
      <c r="AN155" s="68" t="str">
        <f>IF('Marks Entry'!W155="","",'Marks Entry'!W155)</f>
        <v/>
      </c>
      <c r="AO155" s="68" t="str">
        <f>IF('Marks Entry'!X155="","",'Marks Entry'!X155)</f>
        <v/>
      </c>
      <c r="AP155" s="68" t="str">
        <f>IF('Marks Entry'!Y155="","",'Marks Entry'!Y155)</f>
        <v/>
      </c>
      <c r="AQ155" s="514" t="str">
        <f t="shared" si="351"/>
        <v/>
      </c>
      <c r="AR155" s="68" t="str">
        <f>IF('Marks Entry'!Z155="","",'Marks Entry'!Z155)</f>
        <v/>
      </c>
      <c r="AS155" s="515" t="str">
        <f t="shared" si="352"/>
        <v/>
      </c>
      <c r="AT155" s="68" t="str">
        <f>IF('Marks Entry'!AA155="","",'Marks Entry'!AA155)</f>
        <v/>
      </c>
      <c r="AU155" s="96" t="str">
        <f t="shared" si="353"/>
        <v/>
      </c>
      <c r="AV155" s="65">
        <f t="shared" si="354"/>
        <v>0</v>
      </c>
      <c r="AW155" s="65">
        <f t="shared" si="355"/>
        <v>0</v>
      </c>
      <c r="AX155" s="66" t="str">
        <f t="shared" si="356"/>
        <v/>
      </c>
      <c r="AY155" s="65" t="str">
        <f t="shared" si="357"/>
        <v/>
      </c>
      <c r="AZ155" s="65" t="str">
        <f t="shared" si="358"/>
        <v/>
      </c>
      <c r="BA155" s="65" t="str">
        <f t="shared" si="359"/>
        <v/>
      </c>
      <c r="BB155" s="68" t="str">
        <f>IF('Marks Entry'!AB155="","",'Marks Entry'!AB155)</f>
        <v/>
      </c>
      <c r="BC155" s="68" t="str">
        <f>IF('Marks Entry'!AC155="","",'Marks Entry'!AC155)</f>
        <v/>
      </c>
      <c r="BD155" s="68" t="str">
        <f>IF('Marks Entry'!AD155="","",'Marks Entry'!AD155)</f>
        <v/>
      </c>
      <c r="BE155" s="514" t="str">
        <f t="shared" si="360"/>
        <v/>
      </c>
      <c r="BF155" s="68" t="str">
        <f>IF('Marks Entry'!AE155="","",'Marks Entry'!AE155)</f>
        <v/>
      </c>
      <c r="BG155" s="515" t="str">
        <f t="shared" si="361"/>
        <v/>
      </c>
      <c r="BH155" s="68" t="str">
        <f>IF('Marks Entry'!AF155="","",'Marks Entry'!AF155)</f>
        <v/>
      </c>
      <c r="BI155" s="96" t="str">
        <f t="shared" si="362"/>
        <v/>
      </c>
      <c r="BJ155" s="65">
        <f t="shared" si="363"/>
        <v>0</v>
      </c>
      <c r="BK155" s="65">
        <f t="shared" si="431"/>
        <v>0</v>
      </c>
      <c r="BL155" s="66" t="str">
        <f t="shared" si="364"/>
        <v/>
      </c>
      <c r="BM155" s="65" t="str">
        <f t="shared" si="365"/>
        <v/>
      </c>
      <c r="BN155" s="65" t="str">
        <f t="shared" si="366"/>
        <v/>
      </c>
      <c r="BO155" s="65" t="str">
        <f t="shared" si="367"/>
        <v/>
      </c>
      <c r="BP155" s="68" t="str">
        <f>IF('Marks Entry'!AG155="","",'Marks Entry'!AG155)</f>
        <v/>
      </c>
      <c r="BQ155" s="68" t="str">
        <f>IF('Marks Entry'!AH155="","",'Marks Entry'!AH155)</f>
        <v/>
      </c>
      <c r="BR155" s="68" t="str">
        <f>IF('Marks Entry'!AI155="","",'Marks Entry'!AI155)</f>
        <v/>
      </c>
      <c r="BS155" s="514" t="str">
        <f t="shared" si="368"/>
        <v/>
      </c>
      <c r="BT155" s="68" t="str">
        <f>IF('Marks Entry'!AJ155="","",'Marks Entry'!AJ155)</f>
        <v/>
      </c>
      <c r="BU155" s="515" t="str">
        <f t="shared" si="369"/>
        <v/>
      </c>
      <c r="BV155" s="68" t="str">
        <f>IF('Marks Entry'!AK155="","",'Marks Entry'!AK155)</f>
        <v/>
      </c>
      <c r="BW155" s="96" t="str">
        <f t="shared" si="370"/>
        <v/>
      </c>
      <c r="BX155" s="65">
        <f t="shared" si="371"/>
        <v>0</v>
      </c>
      <c r="BY155" s="65">
        <f t="shared" si="372"/>
        <v>0</v>
      </c>
      <c r="BZ155" s="66" t="str">
        <f t="shared" si="373"/>
        <v/>
      </c>
      <c r="CA155" s="65" t="str">
        <f t="shared" si="374"/>
        <v/>
      </c>
      <c r="CB155" s="65" t="str">
        <f t="shared" si="375"/>
        <v/>
      </c>
      <c r="CC155" s="65" t="str">
        <f t="shared" si="376"/>
        <v/>
      </c>
      <c r="CD155" s="66">
        <f t="shared" si="377"/>
        <v>0</v>
      </c>
      <c r="CE155" s="68" t="str">
        <f>IF('Marks Entry'!AL155="","",'Marks Entry'!AL155)</f>
        <v/>
      </c>
      <c r="CF155" s="68" t="str">
        <f>IF('Marks Entry'!AM155="","",'Marks Entry'!AM155)</f>
        <v/>
      </c>
      <c r="CG155" s="68" t="str">
        <f>IF('Marks Entry'!AN155="","",'Marks Entry'!AN155)</f>
        <v/>
      </c>
      <c r="CH155" s="514" t="str">
        <f t="shared" si="378"/>
        <v/>
      </c>
      <c r="CI155" s="68" t="str">
        <f>IF('Marks Entry'!AO155="","",'Marks Entry'!AO155)</f>
        <v/>
      </c>
      <c r="CJ155" s="515" t="str">
        <f t="shared" si="379"/>
        <v/>
      </c>
      <c r="CK155" s="68" t="str">
        <f>IF('Marks Entry'!AP155="","",'Marks Entry'!AP155)</f>
        <v/>
      </c>
      <c r="CL155" s="96" t="str">
        <f t="shared" si="380"/>
        <v/>
      </c>
      <c r="CM155" s="65">
        <f t="shared" si="381"/>
        <v>0</v>
      </c>
      <c r="CN155" s="65">
        <f t="shared" si="382"/>
        <v>0</v>
      </c>
      <c r="CO155" s="66" t="str">
        <f t="shared" si="383"/>
        <v/>
      </c>
      <c r="CP155" s="65" t="str">
        <f t="shared" si="384"/>
        <v/>
      </c>
      <c r="CQ155" s="65" t="str">
        <f t="shared" si="385"/>
        <v/>
      </c>
      <c r="CR155" s="65" t="str">
        <f t="shared" si="386"/>
        <v/>
      </c>
      <c r="CS155" s="616" t="str">
        <f>IF('School Profile'!$D$20="NO","",IF('Marks Entry'!AQ155="","",IF('Marks Entry'!AQ155=1,'School Profile'!$I$29,IF('Marks Entry'!AQ155=2,'School Profile'!$I$30,IF('Marks Entry'!AQ155=3,'School Profile'!$I$31,IF('Marks Entry'!AQ155=4,'School Profile'!$I$32,IF('Marks Entry'!AQ155=5,'School Profile'!$I$33,IF('Marks Entry'!AQ155=6,'School Profile'!$I$34,IF('Marks Entry'!AQ155=7,'School Profile'!$I$35,IF('Marks Entry'!AQ155=8,'School Profile'!$I$36,IF('Marks Entry'!AQ155=9,'School Profile'!$I$37,IF('Marks Entry'!AQ155=10,'School Profile'!$I$38,IF('Marks Entry'!AQ155=11,'School Profile'!$I$39,"")))))))))))))</f>
        <v/>
      </c>
      <c r="CT155" s="68" t="str">
        <f>IF('School Profile'!$D$20="NO","",IF('Marks Entry'!AR155="","",'Marks Entry'!AR155))</f>
        <v/>
      </c>
      <c r="CU155" s="68" t="str">
        <f>IF('School Profile'!$D$20="NO","",IF('Marks Entry'!AS155="","",'Marks Entry'!AS155))</f>
        <v/>
      </c>
      <c r="CV155" s="68" t="str">
        <f>IF('School Profile'!$D$20="NO","",IF('Marks Entry'!AT155="","",'Marks Entry'!AT155))</f>
        <v/>
      </c>
      <c r="CW155" s="514" t="str">
        <f>IF('School Profile'!$D$20="NO","",IF(AND(CT155="",CU155="",CV155=""),"",SUM(CT155:CV155)))</f>
        <v/>
      </c>
      <c r="CX155" s="68" t="str">
        <f>IF('School Profile'!$D$20="NO","",IF('Marks Entry'!AU155="","",'Marks Entry'!AU155))</f>
        <v/>
      </c>
      <c r="CY155" s="68" t="str">
        <f>IF('School Profile'!$D$20="NO","",IF('Marks Entry'!AV155="","",'Marks Entry'!AV155))</f>
        <v/>
      </c>
      <c r="CZ155" s="515" t="str">
        <f>IF('School Profile'!$D$20="NO","",IF(AND(CX155="",CY155=""),"",SUM(CX155,CY155)))</f>
        <v/>
      </c>
      <c r="DA155" s="69" t="str">
        <f>IF('School Profile'!$D$20="NO","",IF(AND(CW155="",CZ155=""),"",SUM(CW155+CZ155)))</f>
        <v/>
      </c>
      <c r="DB155" s="68" t="str">
        <f>IF('School Profile'!$D$20="NO","",IF('Marks Entry'!AW155="","",'Marks Entry'!AW155))</f>
        <v/>
      </c>
      <c r="DC155" s="68" t="str">
        <f>IF('School Profile'!$D$20="NO","",IF('Marks Entry'!AX155="","",'Marks Entry'!AX155))</f>
        <v/>
      </c>
      <c r="DD155" s="515" t="str">
        <f>IF('School Profile'!$D$20="NO","",IF(AND(DB155="",DC155=""),"",SUM(DB155,DC155)))</f>
        <v/>
      </c>
      <c r="DE155" s="96" t="str">
        <f>IF('School Profile'!$D$20="NO","",IF(AND(DA155="",DD155=""),"",SUM(DA155,DD155)))</f>
        <v/>
      </c>
      <c r="DF155" s="532">
        <f t="shared" si="387"/>
        <v>0</v>
      </c>
      <c r="DG155" s="65">
        <f t="shared" si="388"/>
        <v>0</v>
      </c>
      <c r="DH155" s="66" t="str">
        <f t="shared" si="389"/>
        <v/>
      </c>
      <c r="DI155" s="65" t="str">
        <f t="shared" si="390"/>
        <v/>
      </c>
      <c r="DJ155" s="65" t="str">
        <f t="shared" si="391"/>
        <v/>
      </c>
      <c r="DK155" s="65" t="str">
        <f t="shared" si="392"/>
        <v/>
      </c>
      <c r="DL155" s="97" t="str">
        <f t="shared" si="432"/>
        <v/>
      </c>
      <c r="DM155" s="97" t="str">
        <f t="shared" si="433"/>
        <v/>
      </c>
      <c r="DN155" s="97" t="str">
        <f t="shared" si="434"/>
        <v/>
      </c>
      <c r="DO155" s="97" t="str">
        <f t="shared" si="435"/>
        <v/>
      </c>
      <c r="DP155" s="97" t="str">
        <f t="shared" si="436"/>
        <v/>
      </c>
      <c r="DQ155" s="97" t="str">
        <f t="shared" si="437"/>
        <v/>
      </c>
      <c r="DR155" s="97" t="str">
        <f t="shared" si="438"/>
        <v/>
      </c>
      <c r="DS155" s="98">
        <f t="shared" si="439"/>
        <v>0</v>
      </c>
      <c r="DT155" s="98">
        <f t="shared" si="440"/>
        <v>0</v>
      </c>
      <c r="DU155" s="98">
        <f t="shared" si="441"/>
        <v>0</v>
      </c>
      <c r="DV155" s="98">
        <f t="shared" si="442"/>
        <v>0</v>
      </c>
      <c r="DW155" s="98">
        <f t="shared" si="443"/>
        <v>0</v>
      </c>
      <c r="DX155" s="98" t="str">
        <f t="shared" si="444"/>
        <v/>
      </c>
      <c r="DY155" s="99" t="str">
        <f t="shared" si="445"/>
        <v/>
      </c>
      <c r="DZ155" s="74" t="str">
        <f>IF('Marks Entry'!AY155="","",'Marks Entry'!AY155)</f>
        <v/>
      </c>
      <c r="EA155" s="74" t="str">
        <f>IF('Marks Entry'!AZ155="","",'Marks Entry'!AZ155)</f>
        <v/>
      </c>
      <c r="EB155" s="74" t="str">
        <f>IF('Marks Entry'!BA155="","",'Marks Entry'!BA155)</f>
        <v/>
      </c>
      <c r="EC155" s="527" t="str">
        <f t="shared" si="393"/>
        <v/>
      </c>
      <c r="ED155" s="74" t="str">
        <f>IF('Marks Entry'!BB155="","",'Marks Entry'!BB155)</f>
        <v/>
      </c>
      <c r="EE155" s="528" t="str">
        <f t="shared" si="394"/>
        <v/>
      </c>
      <c r="EF155" s="74" t="str">
        <f>IF('Marks Entry'!BC155="","",'Marks Entry'!BC155)</f>
        <v/>
      </c>
      <c r="EG155" s="530" t="str">
        <f t="shared" si="395"/>
        <v/>
      </c>
      <c r="EH155" s="368" t="str">
        <f t="shared" si="446"/>
        <v/>
      </c>
      <c r="EI155" s="65">
        <f t="shared" si="447"/>
        <v>0</v>
      </c>
      <c r="EJ155" s="65">
        <f t="shared" si="448"/>
        <v>0</v>
      </c>
      <c r="EK155" s="66" t="str">
        <f t="shared" si="449"/>
        <v/>
      </c>
      <c r="EL155" s="74" t="str">
        <f>IF('Marks Entry'!BD155="","",'Marks Entry'!BD155)</f>
        <v/>
      </c>
      <c r="EM155" s="74" t="str">
        <f>IF('Marks Entry'!BE155="","",'Marks Entry'!BE155)</f>
        <v/>
      </c>
      <c r="EN155" s="74" t="str">
        <f>IF('Marks Entry'!BF155="","",'Marks Entry'!BF155)</f>
        <v/>
      </c>
      <c r="EO155" s="527" t="str">
        <f t="shared" si="396"/>
        <v/>
      </c>
      <c r="EP155" s="74" t="str">
        <f>IF('Marks Entry'!BG155="","",'Marks Entry'!BG155)</f>
        <v/>
      </c>
      <c r="EQ155" s="74" t="str">
        <f>IF('Marks Entry'!BH155="","",'Marks Entry'!BH155)</f>
        <v/>
      </c>
      <c r="ER155" s="528" t="str">
        <f t="shared" si="397"/>
        <v/>
      </c>
      <c r="ES155" s="529" t="str">
        <f t="shared" si="398"/>
        <v/>
      </c>
      <c r="ET155" s="74" t="str">
        <f>IF('Marks Entry'!BI155="","",'Marks Entry'!BI155)</f>
        <v/>
      </c>
      <c r="EU155" s="74" t="str">
        <f>IF('Marks Entry'!BJ155="","",'Marks Entry'!BJ155)</f>
        <v/>
      </c>
      <c r="EV155" s="528" t="str">
        <f t="shared" si="399"/>
        <v/>
      </c>
      <c r="EW155" s="530" t="str">
        <f t="shared" si="400"/>
        <v/>
      </c>
      <c r="EX155" s="368" t="str">
        <f t="shared" si="450"/>
        <v/>
      </c>
      <c r="EY155" s="65">
        <f t="shared" si="451"/>
        <v>0</v>
      </c>
      <c r="EZ155" s="65">
        <f t="shared" si="452"/>
        <v>0</v>
      </c>
      <c r="FA155" s="66" t="str">
        <f t="shared" si="453"/>
        <v/>
      </c>
      <c r="FB155" s="74" t="str">
        <f>IF('Marks Entry'!BK155="","",'Marks Entry'!BK155)</f>
        <v/>
      </c>
      <c r="FC155" s="74" t="str">
        <f>IF('Marks Entry'!BL155="","",'Marks Entry'!BL155)</f>
        <v/>
      </c>
      <c r="FD155" s="74" t="str">
        <f>IF('Marks Entry'!BM155="","",'Marks Entry'!BM155)</f>
        <v/>
      </c>
      <c r="FE155" s="74" t="str">
        <f>IF('Marks Entry'!BN155="","",'Marks Entry'!BN155)</f>
        <v/>
      </c>
      <c r="FF155" s="74" t="str">
        <f>IF('Marks Entry'!BO155="","",'Marks Entry'!BO155)</f>
        <v/>
      </c>
      <c r="FG155" s="74" t="str">
        <f>IF('Marks Entry'!BP155="","",'Marks Entry'!BP155)</f>
        <v/>
      </c>
      <c r="FH155" s="527" t="str">
        <f t="shared" si="401"/>
        <v/>
      </c>
      <c r="FI155" s="74" t="str">
        <f>IF('Marks Entry'!BQ155="","",'Marks Entry'!BQ155)</f>
        <v/>
      </c>
      <c r="FJ155" s="74" t="str">
        <f>IF('Marks Entry'!BR155="","",'Marks Entry'!BR155)</f>
        <v/>
      </c>
      <c r="FK155" s="528" t="str">
        <f t="shared" si="402"/>
        <v/>
      </c>
      <c r="FL155" s="529" t="str">
        <f t="shared" si="403"/>
        <v/>
      </c>
      <c r="FM155" s="74" t="str">
        <f>IF('Marks Entry'!BS155="","",'Marks Entry'!BS155)</f>
        <v/>
      </c>
      <c r="FN155" s="74" t="str">
        <f>IF('Marks Entry'!BT155="","",'Marks Entry'!BT155)</f>
        <v/>
      </c>
      <c r="FO155" s="528" t="str">
        <f t="shared" si="404"/>
        <v/>
      </c>
      <c r="FP155" s="530" t="str">
        <f t="shared" si="405"/>
        <v/>
      </c>
      <c r="FQ155" s="368" t="str">
        <f t="shared" si="454"/>
        <v/>
      </c>
      <c r="FR155" s="65">
        <f t="shared" si="455"/>
        <v>0</v>
      </c>
      <c r="FS155" s="65">
        <f t="shared" si="456"/>
        <v>0</v>
      </c>
      <c r="FT155" s="66" t="str">
        <f t="shared" si="457"/>
        <v/>
      </c>
      <c r="FU155" s="74" t="str">
        <f>IF('Marks Entry'!BU155="","",'Marks Entry'!BU155)</f>
        <v/>
      </c>
      <c r="FV155" s="74" t="str">
        <f>IF('Marks Entry'!BV155="","",'Marks Entry'!BV155)</f>
        <v/>
      </c>
      <c r="FW155" s="74" t="str">
        <f>IF('Marks Entry'!BW155="","",'Marks Entry'!BW155)</f>
        <v/>
      </c>
      <c r="FX155" s="75" t="str">
        <f t="shared" si="406"/>
        <v/>
      </c>
      <c r="FY155" s="368" t="str">
        <f t="shared" si="458"/>
        <v/>
      </c>
      <c r="FZ155" s="65">
        <f t="shared" si="459"/>
        <v>0</v>
      </c>
      <c r="GA155" s="66">
        <f t="shared" si="460"/>
        <v>0</v>
      </c>
      <c r="GB155" s="66" t="str">
        <f t="shared" si="461"/>
        <v/>
      </c>
      <c r="GC155" s="74" t="str">
        <f>IF('Marks Entry'!BX155="","",'Marks Entry'!BX155)</f>
        <v/>
      </c>
      <c r="GD155" s="74" t="str">
        <f>IF('Marks Entry'!BY155="","",'Marks Entry'!BY155)</f>
        <v/>
      </c>
      <c r="GE155" s="74" t="str">
        <f>IF('Marks Entry'!BZ155="","",'Marks Entry'!BZ155)</f>
        <v/>
      </c>
      <c r="GF155" s="75" t="str">
        <f t="shared" si="462"/>
        <v/>
      </c>
      <c r="GG155" s="368" t="str">
        <f t="shared" si="463"/>
        <v/>
      </c>
      <c r="GH155" s="65">
        <f t="shared" si="464"/>
        <v>0</v>
      </c>
      <c r="GI155" s="66">
        <f t="shared" si="465"/>
        <v>0</v>
      </c>
      <c r="GJ155" s="66" t="str">
        <f t="shared" si="466"/>
        <v/>
      </c>
      <c r="GK155" s="100" t="str">
        <f>IF(AND(F155="",B155=""),"",IF('Student DATA Entry'!M152="","",'Student DATA Entry'!M152))</f>
        <v/>
      </c>
      <c r="GL155" s="101" t="str">
        <f>IF(AND(B155="",F155=""),"",IF('Student DATA Entry'!N152="","",'Student DATA Entry'!N152))</f>
        <v/>
      </c>
      <c r="GM155" s="581" t="str">
        <f t="shared" si="467"/>
        <v/>
      </c>
      <c r="GN155" s="94" t="str">
        <f t="shared" si="468"/>
        <v/>
      </c>
      <c r="GO155" s="94" t="str">
        <f t="shared" si="469"/>
        <v/>
      </c>
      <c r="GP155" s="102" t="str">
        <f t="shared" si="407"/>
        <v/>
      </c>
      <c r="GQ155" s="94" t="str">
        <f t="shared" si="470"/>
        <v/>
      </c>
      <c r="GR155" s="103" t="str">
        <f t="shared" si="471"/>
        <v/>
      </c>
      <c r="GS155" s="102" t="str">
        <f t="shared" si="408"/>
        <v/>
      </c>
      <c r="GT155" s="104" t="str">
        <f t="shared" si="472"/>
        <v/>
      </c>
      <c r="GU155" s="94" t="str">
        <f>IF('Marks Entry'!V155=1,GT155,"")</f>
        <v/>
      </c>
      <c r="GV155" s="94" t="str">
        <f>IF('Marks Entry'!V155=2,GT155,"")</f>
        <v/>
      </c>
      <c r="GW155" s="94" t="str">
        <f>IF('Marks Entry'!V155=3,GT155,"")</f>
        <v/>
      </c>
      <c r="GX155" s="94" t="str">
        <f>IF('Marks Entry'!V155=4,GT155,"")</f>
        <v/>
      </c>
      <c r="GY155" s="94" t="str">
        <f>IF('Marks Entry'!V155=5,GT155,"")</f>
        <v/>
      </c>
      <c r="GZ155" s="94" t="str">
        <f t="shared" si="473"/>
        <v/>
      </c>
      <c r="HA155" s="105" t="str">
        <f t="shared" si="409"/>
        <v/>
      </c>
      <c r="HB155" s="94" t="str">
        <f t="shared" si="474"/>
        <v/>
      </c>
      <c r="HC155" s="94" t="str">
        <f t="shared" si="475"/>
        <v/>
      </c>
      <c r="HD155" s="105" t="str">
        <f t="shared" si="410"/>
        <v/>
      </c>
      <c r="HE155" s="94" t="str">
        <f t="shared" si="476"/>
        <v/>
      </c>
      <c r="HF155" s="94" t="str">
        <f t="shared" si="477"/>
        <v/>
      </c>
      <c r="HG155" s="105" t="str">
        <f t="shared" si="411"/>
        <v/>
      </c>
      <c r="HH155" s="94" t="str">
        <f t="shared" si="478"/>
        <v/>
      </c>
      <c r="HI155" s="94" t="str">
        <f t="shared" si="479"/>
        <v/>
      </c>
      <c r="HJ155" s="105" t="str">
        <f t="shared" si="412"/>
        <v/>
      </c>
      <c r="HK155" s="94" t="str">
        <f t="shared" si="480"/>
        <v/>
      </c>
      <c r="HL155" s="94" t="str">
        <f t="shared" si="481"/>
        <v/>
      </c>
      <c r="HM155" s="105" t="str">
        <f t="shared" si="413"/>
        <v/>
      </c>
      <c r="HN155" s="367" t="str">
        <f t="shared" si="482"/>
        <v xml:space="preserve">      </v>
      </c>
      <c r="HO155" s="418" t="str">
        <f t="shared" si="414"/>
        <v xml:space="preserve">      </v>
      </c>
      <c r="HP155" s="367" t="str">
        <f t="shared" si="483"/>
        <v xml:space="preserve">      </v>
      </c>
      <c r="HQ155" s="107" t="str">
        <f t="shared" si="484"/>
        <v xml:space="preserve">      </v>
      </c>
      <c r="HR155" s="366" t="str">
        <f t="shared" si="485"/>
        <v xml:space="preserve">      </v>
      </c>
      <c r="HS155" s="544" t="str">
        <f t="shared" si="415"/>
        <v/>
      </c>
      <c r="HT155" s="542" t="str">
        <f t="shared" si="486"/>
        <v/>
      </c>
      <c r="HU155" s="541" t="str">
        <f t="shared" si="487"/>
        <v/>
      </c>
      <c r="HV155" s="540" t="str">
        <f t="shared" si="488"/>
        <v/>
      </c>
      <c r="HW155" s="537" t="str">
        <f t="shared" si="489"/>
        <v/>
      </c>
      <c r="HX155" s="539" t="str">
        <f t="shared" si="490"/>
        <v/>
      </c>
      <c r="HY155" s="553" t="str">
        <f>IFERROR(IF(OR(HS155="SUPPLEMENTARY",HS155="RE-EXAM"),'Supp. Result Entry'!AQ153,""),"")</f>
        <v/>
      </c>
      <c r="HZ155" s="538" t="str">
        <f t="shared" si="491"/>
        <v/>
      </c>
      <c r="IA155" s="415" t="str">
        <f t="shared" si="492"/>
        <v/>
      </c>
      <c r="IB155" s="415" t="str">
        <f>IF(AND(HZ155="",IA155=""),"",IF(OR(HS155="SUPPLEMENTARY",HS155="RE-EXAM"),'Supp. Result Entry'!AQ153,HS155))</f>
        <v/>
      </c>
      <c r="IC155" s="87"/>
      <c r="IS155" s="109" t="str">
        <f>IF('Supp. Result Entry'!T153="","",'Supp. Result Entry'!$T$4)</f>
        <v/>
      </c>
      <c r="IT155" s="110" t="str">
        <f>IF('Supp. Result Entry'!W153="","",'Supp. Result Entry'!$W$4)</f>
        <v/>
      </c>
      <c r="IU155" s="110" t="str">
        <f>IF('Supp. Result Entry'!Z153="","",'Supp. Result Entry'!$Z$4)</f>
        <v/>
      </c>
      <c r="IV155" s="110" t="str">
        <f>IF('Supp. Result Entry'!AC153="","",'Supp. Result Entry'!$AC$4)</f>
        <v/>
      </c>
      <c r="IW155" s="110" t="str">
        <f>IF('Supp. Result Entry'!AF153="","",'Supp. Result Entry'!$AF$4)</f>
        <v/>
      </c>
      <c r="IX155" s="110" t="str">
        <f>IF('Supp. Result Entry'!AI153="","",'Supp. Result Entry'!$AI$4)</f>
        <v/>
      </c>
      <c r="IY155" s="110" t="str">
        <f>IF('Supp. Result Entry'!AI153="","",'Supp. Result Entry'!$AL$4)</f>
        <v/>
      </c>
      <c r="IZ155" s="110" t="str">
        <f>IF('Supp. Result Entry'!U153="","",'Supp. Result Entry'!U153)</f>
        <v/>
      </c>
      <c r="JA155" s="110" t="str">
        <f>IF('Supp. Result Entry'!X153="","",'Supp. Result Entry'!X153)</f>
        <v/>
      </c>
      <c r="JB155" s="110" t="str">
        <f>IF('Supp. Result Entry'!AA153="","",'Supp. Result Entry'!AA153)</f>
        <v/>
      </c>
      <c r="JC155" s="110" t="str">
        <f>IF('Supp. Result Entry'!AD153="","",'Supp. Result Entry'!AD153)</f>
        <v/>
      </c>
      <c r="JD155" s="110" t="str">
        <f>IF('Supp. Result Entry'!AG153="","",'Supp. Result Entry'!AG153)</f>
        <v/>
      </c>
      <c r="JE155" s="110" t="str">
        <f>IF('Supp. Result Entry'!AJ153="","",'Supp. Result Entry'!AJ153)</f>
        <v/>
      </c>
      <c r="JF155" s="110" t="str">
        <f>IF('Supp. Result Entry'!AM153="","",'Supp. Result Entry'!AM153)</f>
        <v/>
      </c>
      <c r="JG155" s="110" t="str">
        <f>IF('Supp. Result Entry'!V153="","",'Supp. Result Entry'!V153)</f>
        <v/>
      </c>
      <c r="JH155" s="110" t="str">
        <f>IF('Supp. Result Entry'!Y153="","",'Supp. Result Entry'!Y153)</f>
        <v/>
      </c>
      <c r="JI155" s="110" t="str">
        <f>IF('Supp. Result Entry'!AB153="","",'Supp. Result Entry'!AB153)</f>
        <v/>
      </c>
      <c r="JJ155" s="110" t="str">
        <f>IF('Supp. Result Entry'!AE153="","",'Supp. Result Entry'!AE153)</f>
        <v/>
      </c>
      <c r="JK155" s="110" t="str">
        <f>IF('Supp. Result Entry'!AH153="","",'Supp. Result Entry'!AH153)</f>
        <v/>
      </c>
      <c r="JL155" s="110" t="str">
        <f>IF('Supp. Result Entry'!AK153="","",'Supp. Result Entry'!AK153)</f>
        <v/>
      </c>
      <c r="JM155" s="110" t="str">
        <f>IF('Supp. Result Entry'!AN153="","",'Supp. Result Entry'!AN153)</f>
        <v/>
      </c>
      <c r="JN155" s="110">
        <f>COUNTIF('Supp. Result Entry'!K153:Q153,"S")</f>
        <v>0</v>
      </c>
      <c r="JO155" s="110">
        <f t="shared" si="416"/>
        <v>0</v>
      </c>
      <c r="JP155" s="110">
        <f t="shared" si="493"/>
        <v>0</v>
      </c>
      <c r="JQ155" s="110" t="str">
        <f t="shared" si="417"/>
        <v/>
      </c>
      <c r="JR155" s="110" t="str">
        <f t="shared" si="418"/>
        <v/>
      </c>
      <c r="JS155" s="110" t="str">
        <f t="shared" si="419"/>
        <v/>
      </c>
      <c r="JT155" s="110" t="str">
        <f t="shared" si="420"/>
        <v/>
      </c>
      <c r="JU155" s="110" t="str">
        <f t="shared" si="421"/>
        <v/>
      </c>
      <c r="JV155" s="110" t="str">
        <f t="shared" si="422"/>
        <v/>
      </c>
      <c r="JW155" s="110" t="str">
        <f t="shared" si="423"/>
        <v/>
      </c>
      <c r="JX155" s="110" t="str">
        <f t="shared" si="494"/>
        <v/>
      </c>
      <c r="JY155" s="110" t="str">
        <f t="shared" si="495"/>
        <v/>
      </c>
      <c r="JZ155" s="110" t="str">
        <f t="shared" si="424"/>
        <v/>
      </c>
      <c r="KA155" s="108" t="str">
        <f t="shared" si="496"/>
        <v/>
      </c>
    </row>
    <row r="156" spans="1:287" s="108" customFormat="1" ht="21.95" customHeight="1">
      <c r="A156" s="89">
        <v>150</v>
      </c>
      <c r="B156" s="90" t="str">
        <f>IF('Marks Entry'!B156="","",'Marks Entry'!B156)</f>
        <v/>
      </c>
      <c r="C156" s="94" t="str">
        <f>IF('Marks Entry'!D156="","",'Marks Entry'!D156)</f>
        <v/>
      </c>
      <c r="D156" s="91" t="str">
        <f>IF('Marks Entry'!E156="","",'Marks Entry'!E156)</f>
        <v/>
      </c>
      <c r="E156" s="92" t="str">
        <f>IF('Marks Entry'!F156="","",'Marks Entry'!F156)</f>
        <v/>
      </c>
      <c r="F156" s="93" t="str">
        <f>IF('Marks Entry'!G156="","",'Marks Entry'!G156)</f>
        <v/>
      </c>
      <c r="G156" s="93" t="str">
        <f>IF('Marks Entry'!H156="","",'Marks Entry'!H156)</f>
        <v/>
      </c>
      <c r="H156" s="93" t="str">
        <f>IF('Marks Entry'!I156="","",'Marks Entry'!I156)</f>
        <v/>
      </c>
      <c r="I156" s="94" t="str">
        <f>IF('Marks Entry'!J156="","",'Marks Entry'!J156)</f>
        <v/>
      </c>
      <c r="J156" s="95" t="str">
        <f>IF('Marks Entry'!K156="","",'Marks Entry'!K156)</f>
        <v/>
      </c>
      <c r="K156" s="68" t="str">
        <f>IF('Marks Entry'!L156="","",'Marks Entry'!L156)</f>
        <v/>
      </c>
      <c r="L156" s="68" t="str">
        <f>IF('Marks Entry'!M156="","",'Marks Entry'!M156)</f>
        <v/>
      </c>
      <c r="M156" s="68" t="str">
        <f>IF('Marks Entry'!N156="","",'Marks Entry'!N156)</f>
        <v/>
      </c>
      <c r="N156" s="514" t="str">
        <f t="shared" si="425"/>
        <v/>
      </c>
      <c r="O156" s="68" t="str">
        <f>IF('Marks Entry'!O156="","",'Marks Entry'!O156)</f>
        <v/>
      </c>
      <c r="P156" s="515" t="str">
        <f t="shared" si="426"/>
        <v/>
      </c>
      <c r="Q156" s="68" t="str">
        <f>IF('Marks Entry'!P156="","",'Marks Entry'!P156)</f>
        <v/>
      </c>
      <c r="R156" s="96" t="str">
        <f t="shared" si="427"/>
        <v/>
      </c>
      <c r="S156" s="65">
        <f t="shared" si="428"/>
        <v>0</v>
      </c>
      <c r="T156" s="65">
        <f t="shared" si="429"/>
        <v>0</v>
      </c>
      <c r="U156" s="66" t="str">
        <f t="shared" si="339"/>
        <v/>
      </c>
      <c r="V156" s="65" t="str">
        <f t="shared" si="340"/>
        <v/>
      </c>
      <c r="W156" s="65" t="str">
        <f t="shared" si="430"/>
        <v/>
      </c>
      <c r="X156" s="65" t="str">
        <f t="shared" si="341"/>
        <v/>
      </c>
      <c r="Y156" s="68" t="str">
        <f>IF('Marks Entry'!Q156="","",'Marks Entry'!Q156)</f>
        <v/>
      </c>
      <c r="Z156" s="68" t="str">
        <f>IF('Marks Entry'!R156="","",'Marks Entry'!R156)</f>
        <v/>
      </c>
      <c r="AA156" s="68" t="str">
        <f>IF('Marks Entry'!S156="","",'Marks Entry'!S156)</f>
        <v/>
      </c>
      <c r="AB156" s="514" t="str">
        <f t="shared" si="342"/>
        <v/>
      </c>
      <c r="AC156" s="68" t="str">
        <f>IF('Marks Entry'!T156="","",'Marks Entry'!T156)</f>
        <v/>
      </c>
      <c r="AD156" s="515" t="str">
        <f t="shared" si="343"/>
        <v/>
      </c>
      <c r="AE156" s="68" t="str">
        <f>IF('Marks Entry'!U156="","",'Marks Entry'!U156)</f>
        <v/>
      </c>
      <c r="AF156" s="96" t="str">
        <f t="shared" si="344"/>
        <v/>
      </c>
      <c r="AG156" s="65">
        <f t="shared" si="345"/>
        <v>0</v>
      </c>
      <c r="AH156" s="65">
        <f t="shared" si="346"/>
        <v>0</v>
      </c>
      <c r="AI156" s="66" t="str">
        <f t="shared" si="347"/>
        <v/>
      </c>
      <c r="AJ156" s="65" t="str">
        <f t="shared" si="348"/>
        <v/>
      </c>
      <c r="AK156" s="65" t="str">
        <f t="shared" si="349"/>
        <v/>
      </c>
      <c r="AL156" s="65" t="str">
        <f t="shared" si="350"/>
        <v/>
      </c>
      <c r="AM156" s="524" t="str">
        <f>IF('Marks Entry'!V156="","",IF('Marks Entry'!V156=1,'School Profile'!$I$9,IF('Marks Entry'!V156=2,'School Profile'!$I$10,IF('Marks Entry'!V156=3,'School Profile'!$I$11,IF('Marks Entry'!V156=4,'School Profile'!$I$12,IF('Marks Entry'!V156=5,'School Profile'!$I$13,IF('Marks Entry'!V156=6,'School Profile'!$I$14,"")))))))</f>
        <v/>
      </c>
      <c r="AN156" s="68" t="str">
        <f>IF('Marks Entry'!W156="","",'Marks Entry'!W156)</f>
        <v/>
      </c>
      <c r="AO156" s="68" t="str">
        <f>IF('Marks Entry'!X156="","",'Marks Entry'!X156)</f>
        <v/>
      </c>
      <c r="AP156" s="68" t="str">
        <f>IF('Marks Entry'!Y156="","",'Marks Entry'!Y156)</f>
        <v/>
      </c>
      <c r="AQ156" s="514" t="str">
        <f t="shared" si="351"/>
        <v/>
      </c>
      <c r="AR156" s="68" t="str">
        <f>IF('Marks Entry'!Z156="","",'Marks Entry'!Z156)</f>
        <v/>
      </c>
      <c r="AS156" s="515" t="str">
        <f t="shared" si="352"/>
        <v/>
      </c>
      <c r="AT156" s="68" t="str">
        <f>IF('Marks Entry'!AA156="","",'Marks Entry'!AA156)</f>
        <v/>
      </c>
      <c r="AU156" s="96" t="str">
        <f t="shared" si="353"/>
        <v/>
      </c>
      <c r="AV156" s="65">
        <f t="shared" si="354"/>
        <v>0</v>
      </c>
      <c r="AW156" s="65">
        <f t="shared" si="355"/>
        <v>0</v>
      </c>
      <c r="AX156" s="66" t="str">
        <f t="shared" si="356"/>
        <v/>
      </c>
      <c r="AY156" s="65" t="str">
        <f t="shared" si="357"/>
        <v/>
      </c>
      <c r="AZ156" s="65" t="str">
        <f t="shared" si="358"/>
        <v/>
      </c>
      <c r="BA156" s="65" t="str">
        <f t="shared" si="359"/>
        <v/>
      </c>
      <c r="BB156" s="68" t="str">
        <f>IF('Marks Entry'!AB156="","",'Marks Entry'!AB156)</f>
        <v/>
      </c>
      <c r="BC156" s="68" t="str">
        <f>IF('Marks Entry'!AC156="","",'Marks Entry'!AC156)</f>
        <v/>
      </c>
      <c r="BD156" s="68" t="str">
        <f>IF('Marks Entry'!AD156="","",'Marks Entry'!AD156)</f>
        <v/>
      </c>
      <c r="BE156" s="514" t="str">
        <f t="shared" si="360"/>
        <v/>
      </c>
      <c r="BF156" s="68" t="str">
        <f>IF('Marks Entry'!AE156="","",'Marks Entry'!AE156)</f>
        <v/>
      </c>
      <c r="BG156" s="515" t="str">
        <f t="shared" si="361"/>
        <v/>
      </c>
      <c r="BH156" s="68" t="str">
        <f>IF('Marks Entry'!AF156="","",'Marks Entry'!AF156)</f>
        <v/>
      </c>
      <c r="BI156" s="96" t="str">
        <f t="shared" si="362"/>
        <v/>
      </c>
      <c r="BJ156" s="65">
        <f t="shared" si="363"/>
        <v>0</v>
      </c>
      <c r="BK156" s="65">
        <f t="shared" si="431"/>
        <v>0</v>
      </c>
      <c r="BL156" s="66" t="str">
        <f t="shared" si="364"/>
        <v/>
      </c>
      <c r="BM156" s="65" t="str">
        <f t="shared" si="365"/>
        <v/>
      </c>
      <c r="BN156" s="65" t="str">
        <f t="shared" si="366"/>
        <v/>
      </c>
      <c r="BO156" s="65" t="str">
        <f t="shared" si="367"/>
        <v/>
      </c>
      <c r="BP156" s="68" t="str">
        <f>IF('Marks Entry'!AG156="","",'Marks Entry'!AG156)</f>
        <v/>
      </c>
      <c r="BQ156" s="68" t="str">
        <f>IF('Marks Entry'!AH156="","",'Marks Entry'!AH156)</f>
        <v/>
      </c>
      <c r="BR156" s="68" t="str">
        <f>IF('Marks Entry'!AI156="","",'Marks Entry'!AI156)</f>
        <v/>
      </c>
      <c r="BS156" s="514" t="str">
        <f t="shared" si="368"/>
        <v/>
      </c>
      <c r="BT156" s="68" t="str">
        <f>IF('Marks Entry'!AJ156="","",'Marks Entry'!AJ156)</f>
        <v/>
      </c>
      <c r="BU156" s="515" t="str">
        <f t="shared" si="369"/>
        <v/>
      </c>
      <c r="BV156" s="68" t="str">
        <f>IF('Marks Entry'!AK156="","",'Marks Entry'!AK156)</f>
        <v/>
      </c>
      <c r="BW156" s="96" t="str">
        <f t="shared" si="370"/>
        <v/>
      </c>
      <c r="BX156" s="65">
        <f t="shared" si="371"/>
        <v>0</v>
      </c>
      <c r="BY156" s="65">
        <f t="shared" si="372"/>
        <v>0</v>
      </c>
      <c r="BZ156" s="66" t="str">
        <f t="shared" si="373"/>
        <v/>
      </c>
      <c r="CA156" s="65" t="str">
        <f t="shared" si="374"/>
        <v/>
      </c>
      <c r="CB156" s="65" t="str">
        <f t="shared" si="375"/>
        <v/>
      </c>
      <c r="CC156" s="65" t="str">
        <f t="shared" si="376"/>
        <v/>
      </c>
      <c r="CD156" s="66">
        <f t="shared" si="377"/>
        <v>0</v>
      </c>
      <c r="CE156" s="68" t="str">
        <f>IF('Marks Entry'!AL156="","",'Marks Entry'!AL156)</f>
        <v/>
      </c>
      <c r="CF156" s="68" t="str">
        <f>IF('Marks Entry'!AM156="","",'Marks Entry'!AM156)</f>
        <v/>
      </c>
      <c r="CG156" s="68" t="str">
        <f>IF('Marks Entry'!AN156="","",'Marks Entry'!AN156)</f>
        <v/>
      </c>
      <c r="CH156" s="514" t="str">
        <f t="shared" si="378"/>
        <v/>
      </c>
      <c r="CI156" s="68" t="str">
        <f>IF('Marks Entry'!AO156="","",'Marks Entry'!AO156)</f>
        <v/>
      </c>
      <c r="CJ156" s="515" t="str">
        <f t="shared" si="379"/>
        <v/>
      </c>
      <c r="CK156" s="68" t="str">
        <f>IF('Marks Entry'!AP156="","",'Marks Entry'!AP156)</f>
        <v/>
      </c>
      <c r="CL156" s="96" t="str">
        <f t="shared" si="380"/>
        <v/>
      </c>
      <c r="CM156" s="65">
        <f t="shared" si="381"/>
        <v>0</v>
      </c>
      <c r="CN156" s="65">
        <f t="shared" si="382"/>
        <v>0</v>
      </c>
      <c r="CO156" s="66" t="str">
        <f t="shared" si="383"/>
        <v/>
      </c>
      <c r="CP156" s="65" t="str">
        <f t="shared" si="384"/>
        <v/>
      </c>
      <c r="CQ156" s="65" t="str">
        <f t="shared" si="385"/>
        <v/>
      </c>
      <c r="CR156" s="65" t="str">
        <f t="shared" si="386"/>
        <v/>
      </c>
      <c r="CS156" s="616" t="str">
        <f>IF('School Profile'!$D$20="NO","",IF('Marks Entry'!AQ156="","",IF('Marks Entry'!AQ156=1,'School Profile'!$I$29,IF('Marks Entry'!AQ156=2,'School Profile'!$I$30,IF('Marks Entry'!AQ156=3,'School Profile'!$I$31,IF('Marks Entry'!AQ156=4,'School Profile'!$I$32,IF('Marks Entry'!AQ156=5,'School Profile'!$I$33,IF('Marks Entry'!AQ156=6,'School Profile'!$I$34,IF('Marks Entry'!AQ156=7,'School Profile'!$I$35,IF('Marks Entry'!AQ156=8,'School Profile'!$I$36,IF('Marks Entry'!AQ156=9,'School Profile'!$I$37,IF('Marks Entry'!AQ156=10,'School Profile'!$I$38,IF('Marks Entry'!AQ156=11,'School Profile'!$I$39,"")))))))))))))</f>
        <v/>
      </c>
      <c r="CT156" s="68" t="str">
        <f>IF('School Profile'!$D$20="NO","",IF('Marks Entry'!AR156="","",'Marks Entry'!AR156))</f>
        <v/>
      </c>
      <c r="CU156" s="68" t="str">
        <f>IF('School Profile'!$D$20="NO","",IF('Marks Entry'!AS156="","",'Marks Entry'!AS156))</f>
        <v/>
      </c>
      <c r="CV156" s="68" t="str">
        <f>IF('School Profile'!$D$20="NO","",IF('Marks Entry'!AT156="","",'Marks Entry'!AT156))</f>
        <v/>
      </c>
      <c r="CW156" s="514" t="str">
        <f>IF('School Profile'!$D$20="NO","",IF(AND(CT156="",CU156="",CV156=""),"",SUM(CT156:CV156)))</f>
        <v/>
      </c>
      <c r="CX156" s="68" t="str">
        <f>IF('School Profile'!$D$20="NO","",IF('Marks Entry'!AU156="","",'Marks Entry'!AU156))</f>
        <v/>
      </c>
      <c r="CY156" s="68" t="str">
        <f>IF('School Profile'!$D$20="NO","",IF('Marks Entry'!AV156="","",'Marks Entry'!AV156))</f>
        <v/>
      </c>
      <c r="CZ156" s="515" t="str">
        <f>IF('School Profile'!$D$20="NO","",IF(AND(CX156="",CY156=""),"",SUM(CX156,CY156)))</f>
        <v/>
      </c>
      <c r="DA156" s="69" t="str">
        <f>IF('School Profile'!$D$20="NO","",IF(AND(CW156="",CZ156=""),"",SUM(CW156+CZ156)))</f>
        <v/>
      </c>
      <c r="DB156" s="68" t="str">
        <f>IF('School Profile'!$D$20="NO","",IF('Marks Entry'!AW156="","",'Marks Entry'!AW156))</f>
        <v/>
      </c>
      <c r="DC156" s="68" t="str">
        <f>IF('School Profile'!$D$20="NO","",IF('Marks Entry'!AX156="","",'Marks Entry'!AX156))</f>
        <v/>
      </c>
      <c r="DD156" s="515" t="str">
        <f>IF('School Profile'!$D$20="NO","",IF(AND(DB156="",DC156=""),"",SUM(DB156,DC156)))</f>
        <v/>
      </c>
      <c r="DE156" s="96" t="str">
        <f>IF('School Profile'!$D$20="NO","",IF(AND(DA156="",DD156=""),"",SUM(DA156,DD156)))</f>
        <v/>
      </c>
      <c r="DF156" s="532">
        <f t="shared" si="387"/>
        <v>0</v>
      </c>
      <c r="DG156" s="65">
        <f t="shared" si="388"/>
        <v>0</v>
      </c>
      <c r="DH156" s="66" t="str">
        <f t="shared" si="389"/>
        <v/>
      </c>
      <c r="DI156" s="65" t="str">
        <f t="shared" si="390"/>
        <v/>
      </c>
      <c r="DJ156" s="65" t="str">
        <f t="shared" si="391"/>
        <v/>
      </c>
      <c r="DK156" s="65" t="str">
        <f t="shared" si="392"/>
        <v/>
      </c>
      <c r="DL156" s="97" t="str">
        <f t="shared" si="432"/>
        <v/>
      </c>
      <c r="DM156" s="97" t="str">
        <f t="shared" si="433"/>
        <v/>
      </c>
      <c r="DN156" s="97" t="str">
        <f t="shared" si="434"/>
        <v/>
      </c>
      <c r="DO156" s="97" t="str">
        <f t="shared" si="435"/>
        <v/>
      </c>
      <c r="DP156" s="97" t="str">
        <f t="shared" si="436"/>
        <v/>
      </c>
      <c r="DQ156" s="97" t="str">
        <f t="shared" si="437"/>
        <v/>
      </c>
      <c r="DR156" s="97" t="str">
        <f t="shared" si="438"/>
        <v/>
      </c>
      <c r="DS156" s="98">
        <f t="shared" si="439"/>
        <v>0</v>
      </c>
      <c r="DT156" s="98">
        <f t="shared" si="440"/>
        <v>0</v>
      </c>
      <c r="DU156" s="98">
        <f t="shared" si="441"/>
        <v>0</v>
      </c>
      <c r="DV156" s="98">
        <f t="shared" si="442"/>
        <v>0</v>
      </c>
      <c r="DW156" s="98">
        <f t="shared" si="443"/>
        <v>0</v>
      </c>
      <c r="DX156" s="98" t="str">
        <f t="shared" si="444"/>
        <v/>
      </c>
      <c r="DY156" s="99" t="str">
        <f t="shared" si="445"/>
        <v/>
      </c>
      <c r="DZ156" s="74" t="str">
        <f>IF('Marks Entry'!AY156="","",'Marks Entry'!AY156)</f>
        <v/>
      </c>
      <c r="EA156" s="74" t="str">
        <f>IF('Marks Entry'!AZ156="","",'Marks Entry'!AZ156)</f>
        <v/>
      </c>
      <c r="EB156" s="74" t="str">
        <f>IF('Marks Entry'!BA156="","",'Marks Entry'!BA156)</f>
        <v/>
      </c>
      <c r="EC156" s="527" t="str">
        <f t="shared" si="393"/>
        <v/>
      </c>
      <c r="ED156" s="74" t="str">
        <f>IF('Marks Entry'!BB156="","",'Marks Entry'!BB156)</f>
        <v/>
      </c>
      <c r="EE156" s="528" t="str">
        <f t="shared" si="394"/>
        <v/>
      </c>
      <c r="EF156" s="74" t="str">
        <f>IF('Marks Entry'!BC156="","",'Marks Entry'!BC156)</f>
        <v/>
      </c>
      <c r="EG156" s="530" t="str">
        <f t="shared" si="395"/>
        <v/>
      </c>
      <c r="EH156" s="368" t="str">
        <f t="shared" si="446"/>
        <v/>
      </c>
      <c r="EI156" s="65">
        <f t="shared" si="447"/>
        <v>0</v>
      </c>
      <c r="EJ156" s="65">
        <f t="shared" si="448"/>
        <v>0</v>
      </c>
      <c r="EK156" s="66" t="str">
        <f t="shared" si="449"/>
        <v/>
      </c>
      <c r="EL156" s="74" t="str">
        <f>IF('Marks Entry'!BD156="","",'Marks Entry'!BD156)</f>
        <v/>
      </c>
      <c r="EM156" s="74" t="str">
        <f>IF('Marks Entry'!BE156="","",'Marks Entry'!BE156)</f>
        <v/>
      </c>
      <c r="EN156" s="74" t="str">
        <f>IF('Marks Entry'!BF156="","",'Marks Entry'!BF156)</f>
        <v/>
      </c>
      <c r="EO156" s="527" t="str">
        <f t="shared" si="396"/>
        <v/>
      </c>
      <c r="EP156" s="74" t="str">
        <f>IF('Marks Entry'!BG156="","",'Marks Entry'!BG156)</f>
        <v/>
      </c>
      <c r="EQ156" s="74" t="str">
        <f>IF('Marks Entry'!BH156="","",'Marks Entry'!BH156)</f>
        <v/>
      </c>
      <c r="ER156" s="528" t="str">
        <f t="shared" si="397"/>
        <v/>
      </c>
      <c r="ES156" s="529" t="str">
        <f t="shared" si="398"/>
        <v/>
      </c>
      <c r="ET156" s="74" t="str">
        <f>IF('Marks Entry'!BI156="","",'Marks Entry'!BI156)</f>
        <v/>
      </c>
      <c r="EU156" s="74" t="str">
        <f>IF('Marks Entry'!BJ156="","",'Marks Entry'!BJ156)</f>
        <v/>
      </c>
      <c r="EV156" s="528" t="str">
        <f t="shared" si="399"/>
        <v/>
      </c>
      <c r="EW156" s="530" t="str">
        <f t="shared" si="400"/>
        <v/>
      </c>
      <c r="EX156" s="368" t="str">
        <f t="shared" si="450"/>
        <v/>
      </c>
      <c r="EY156" s="65">
        <f t="shared" si="451"/>
        <v>0</v>
      </c>
      <c r="EZ156" s="65">
        <f t="shared" si="452"/>
        <v>0</v>
      </c>
      <c r="FA156" s="66" t="str">
        <f t="shared" si="453"/>
        <v/>
      </c>
      <c r="FB156" s="74" t="str">
        <f>IF('Marks Entry'!BK156="","",'Marks Entry'!BK156)</f>
        <v/>
      </c>
      <c r="FC156" s="74" t="str">
        <f>IF('Marks Entry'!BL156="","",'Marks Entry'!BL156)</f>
        <v/>
      </c>
      <c r="FD156" s="74" t="str">
        <f>IF('Marks Entry'!BM156="","",'Marks Entry'!BM156)</f>
        <v/>
      </c>
      <c r="FE156" s="74" t="str">
        <f>IF('Marks Entry'!BN156="","",'Marks Entry'!BN156)</f>
        <v/>
      </c>
      <c r="FF156" s="74" t="str">
        <f>IF('Marks Entry'!BO156="","",'Marks Entry'!BO156)</f>
        <v/>
      </c>
      <c r="FG156" s="74" t="str">
        <f>IF('Marks Entry'!BP156="","",'Marks Entry'!BP156)</f>
        <v/>
      </c>
      <c r="FH156" s="527" t="str">
        <f t="shared" si="401"/>
        <v/>
      </c>
      <c r="FI156" s="74" t="str">
        <f>IF('Marks Entry'!BQ156="","",'Marks Entry'!BQ156)</f>
        <v/>
      </c>
      <c r="FJ156" s="74" t="str">
        <f>IF('Marks Entry'!BR156="","",'Marks Entry'!BR156)</f>
        <v/>
      </c>
      <c r="FK156" s="528" t="str">
        <f t="shared" si="402"/>
        <v/>
      </c>
      <c r="FL156" s="529" t="str">
        <f t="shared" si="403"/>
        <v/>
      </c>
      <c r="FM156" s="74" t="str">
        <f>IF('Marks Entry'!BS156="","",'Marks Entry'!BS156)</f>
        <v/>
      </c>
      <c r="FN156" s="74" t="str">
        <f>IF('Marks Entry'!BT156="","",'Marks Entry'!BT156)</f>
        <v/>
      </c>
      <c r="FO156" s="528" t="str">
        <f t="shared" si="404"/>
        <v/>
      </c>
      <c r="FP156" s="530" t="str">
        <f t="shared" si="405"/>
        <v/>
      </c>
      <c r="FQ156" s="368" t="str">
        <f t="shared" si="454"/>
        <v/>
      </c>
      <c r="FR156" s="65">
        <f t="shared" si="455"/>
        <v>0</v>
      </c>
      <c r="FS156" s="65">
        <f t="shared" si="456"/>
        <v>0</v>
      </c>
      <c r="FT156" s="66" t="str">
        <f t="shared" si="457"/>
        <v/>
      </c>
      <c r="FU156" s="74" t="str">
        <f>IF('Marks Entry'!BU156="","",'Marks Entry'!BU156)</f>
        <v/>
      </c>
      <c r="FV156" s="74" t="str">
        <f>IF('Marks Entry'!BV156="","",'Marks Entry'!BV156)</f>
        <v/>
      </c>
      <c r="FW156" s="74" t="str">
        <f>IF('Marks Entry'!BW156="","",'Marks Entry'!BW156)</f>
        <v/>
      </c>
      <c r="FX156" s="75" t="str">
        <f t="shared" si="406"/>
        <v/>
      </c>
      <c r="FY156" s="368" t="str">
        <f t="shared" si="458"/>
        <v/>
      </c>
      <c r="FZ156" s="65">
        <f t="shared" si="459"/>
        <v>0</v>
      </c>
      <c r="GA156" s="66">
        <f t="shared" si="460"/>
        <v>0</v>
      </c>
      <c r="GB156" s="66" t="str">
        <f t="shared" si="461"/>
        <v/>
      </c>
      <c r="GC156" s="74" t="str">
        <f>IF('Marks Entry'!BX156="","",'Marks Entry'!BX156)</f>
        <v/>
      </c>
      <c r="GD156" s="74" t="str">
        <f>IF('Marks Entry'!BY156="","",'Marks Entry'!BY156)</f>
        <v/>
      </c>
      <c r="GE156" s="74" t="str">
        <f>IF('Marks Entry'!BZ156="","",'Marks Entry'!BZ156)</f>
        <v/>
      </c>
      <c r="GF156" s="75" t="str">
        <f t="shared" si="462"/>
        <v/>
      </c>
      <c r="GG156" s="368" t="str">
        <f t="shared" si="463"/>
        <v/>
      </c>
      <c r="GH156" s="65">
        <f t="shared" si="464"/>
        <v>0</v>
      </c>
      <c r="GI156" s="66">
        <f t="shared" si="465"/>
        <v>0</v>
      </c>
      <c r="GJ156" s="66" t="str">
        <f t="shared" si="466"/>
        <v/>
      </c>
      <c r="GK156" s="100" t="str">
        <f>IF(AND(F156="",B156=""),"",IF('Student DATA Entry'!M153="","",'Student DATA Entry'!M153))</f>
        <v/>
      </c>
      <c r="GL156" s="101" t="str">
        <f>IF(AND(B156="",F156=""),"",IF('Student DATA Entry'!N153="","",'Student DATA Entry'!N153))</f>
        <v/>
      </c>
      <c r="GM156" s="581" t="str">
        <f t="shared" si="467"/>
        <v/>
      </c>
      <c r="GN156" s="94" t="str">
        <f t="shared" si="468"/>
        <v/>
      </c>
      <c r="GO156" s="94" t="str">
        <f t="shared" si="469"/>
        <v/>
      </c>
      <c r="GP156" s="102" t="str">
        <f t="shared" si="407"/>
        <v/>
      </c>
      <c r="GQ156" s="94" t="str">
        <f t="shared" si="470"/>
        <v/>
      </c>
      <c r="GR156" s="103" t="str">
        <f t="shared" si="471"/>
        <v/>
      </c>
      <c r="GS156" s="102" t="str">
        <f t="shared" si="408"/>
        <v/>
      </c>
      <c r="GT156" s="104" t="str">
        <f t="shared" si="472"/>
        <v/>
      </c>
      <c r="GU156" s="94" t="str">
        <f>IF('Marks Entry'!V156=1,GT156,"")</f>
        <v/>
      </c>
      <c r="GV156" s="94" t="str">
        <f>IF('Marks Entry'!V156=2,GT156,"")</f>
        <v/>
      </c>
      <c r="GW156" s="94" t="str">
        <f>IF('Marks Entry'!V156=3,GT156,"")</f>
        <v/>
      </c>
      <c r="GX156" s="94" t="str">
        <f>IF('Marks Entry'!V156=4,GT156,"")</f>
        <v/>
      </c>
      <c r="GY156" s="94" t="str">
        <f>IF('Marks Entry'!V156=5,GT156,"")</f>
        <v/>
      </c>
      <c r="GZ156" s="94" t="str">
        <f t="shared" si="473"/>
        <v/>
      </c>
      <c r="HA156" s="105" t="str">
        <f t="shared" si="409"/>
        <v/>
      </c>
      <c r="HB156" s="94" t="str">
        <f t="shared" si="474"/>
        <v/>
      </c>
      <c r="HC156" s="94" t="str">
        <f t="shared" si="475"/>
        <v/>
      </c>
      <c r="HD156" s="105" t="str">
        <f t="shared" si="410"/>
        <v/>
      </c>
      <c r="HE156" s="94" t="str">
        <f t="shared" si="476"/>
        <v/>
      </c>
      <c r="HF156" s="94" t="str">
        <f t="shared" si="477"/>
        <v/>
      </c>
      <c r="HG156" s="105" t="str">
        <f t="shared" si="411"/>
        <v/>
      </c>
      <c r="HH156" s="94" t="str">
        <f t="shared" si="478"/>
        <v/>
      </c>
      <c r="HI156" s="94" t="str">
        <f t="shared" si="479"/>
        <v/>
      </c>
      <c r="HJ156" s="105" t="str">
        <f t="shared" si="412"/>
        <v/>
      </c>
      <c r="HK156" s="94" t="str">
        <f t="shared" si="480"/>
        <v/>
      </c>
      <c r="HL156" s="94" t="str">
        <f t="shared" si="481"/>
        <v/>
      </c>
      <c r="HM156" s="105" t="str">
        <f t="shared" si="413"/>
        <v/>
      </c>
      <c r="HN156" s="367" t="str">
        <f t="shared" si="482"/>
        <v xml:space="preserve">      </v>
      </c>
      <c r="HO156" s="418" t="str">
        <f t="shared" si="414"/>
        <v xml:space="preserve">      </v>
      </c>
      <c r="HP156" s="367" t="str">
        <f t="shared" si="483"/>
        <v xml:space="preserve">      </v>
      </c>
      <c r="HQ156" s="107" t="str">
        <f t="shared" si="484"/>
        <v xml:space="preserve">      </v>
      </c>
      <c r="HR156" s="366" t="str">
        <f t="shared" si="485"/>
        <v xml:space="preserve">      </v>
      </c>
      <c r="HS156" s="544" t="str">
        <f t="shared" si="415"/>
        <v/>
      </c>
      <c r="HT156" s="542" t="str">
        <f t="shared" si="486"/>
        <v/>
      </c>
      <c r="HU156" s="541" t="str">
        <f t="shared" si="487"/>
        <v/>
      </c>
      <c r="HV156" s="540" t="str">
        <f t="shared" si="488"/>
        <v/>
      </c>
      <c r="HW156" s="537" t="str">
        <f t="shared" si="489"/>
        <v/>
      </c>
      <c r="HX156" s="539" t="str">
        <f t="shared" si="490"/>
        <v/>
      </c>
      <c r="HY156" s="553" t="str">
        <f>IFERROR(IF(OR(HS156="SUPPLEMENTARY",HS156="RE-EXAM"),'Supp. Result Entry'!AQ154,""),"")</f>
        <v/>
      </c>
      <c r="HZ156" s="538" t="str">
        <f t="shared" si="491"/>
        <v/>
      </c>
      <c r="IA156" s="415" t="str">
        <f t="shared" si="492"/>
        <v/>
      </c>
      <c r="IB156" s="415" t="str">
        <f>IF(AND(HZ156="",IA156=""),"",IF(OR(HS156="SUPPLEMENTARY",HS156="RE-EXAM"),'Supp. Result Entry'!AQ154,HS156))</f>
        <v/>
      </c>
      <c r="IC156" s="87"/>
      <c r="IS156" s="109" t="str">
        <f>IF('Supp. Result Entry'!T154="","",'Supp. Result Entry'!$T$4)</f>
        <v/>
      </c>
      <c r="IT156" s="110" t="str">
        <f>IF('Supp. Result Entry'!W154="","",'Supp. Result Entry'!$W$4)</f>
        <v/>
      </c>
      <c r="IU156" s="110" t="str">
        <f>IF('Supp. Result Entry'!Z154="","",'Supp. Result Entry'!$Z$4)</f>
        <v/>
      </c>
      <c r="IV156" s="110" t="str">
        <f>IF('Supp. Result Entry'!AC154="","",'Supp. Result Entry'!$AC$4)</f>
        <v/>
      </c>
      <c r="IW156" s="110" t="str">
        <f>IF('Supp. Result Entry'!AF154="","",'Supp. Result Entry'!$AF$4)</f>
        <v/>
      </c>
      <c r="IX156" s="110" t="str">
        <f>IF('Supp. Result Entry'!AI154="","",'Supp. Result Entry'!$AI$4)</f>
        <v/>
      </c>
      <c r="IY156" s="110" t="str">
        <f>IF('Supp. Result Entry'!AI154="","",'Supp. Result Entry'!$AL$4)</f>
        <v/>
      </c>
      <c r="IZ156" s="110" t="str">
        <f>IF('Supp. Result Entry'!U154="","",'Supp. Result Entry'!U154)</f>
        <v/>
      </c>
      <c r="JA156" s="110" t="str">
        <f>IF('Supp. Result Entry'!X154="","",'Supp. Result Entry'!X154)</f>
        <v/>
      </c>
      <c r="JB156" s="110" t="str">
        <f>IF('Supp. Result Entry'!AA154="","",'Supp. Result Entry'!AA154)</f>
        <v/>
      </c>
      <c r="JC156" s="110" t="str">
        <f>IF('Supp. Result Entry'!AD154="","",'Supp. Result Entry'!AD154)</f>
        <v/>
      </c>
      <c r="JD156" s="110" t="str">
        <f>IF('Supp. Result Entry'!AG154="","",'Supp. Result Entry'!AG154)</f>
        <v/>
      </c>
      <c r="JE156" s="110" t="str">
        <f>IF('Supp. Result Entry'!AJ154="","",'Supp. Result Entry'!AJ154)</f>
        <v/>
      </c>
      <c r="JF156" s="110" t="str">
        <f>IF('Supp. Result Entry'!AM154="","",'Supp. Result Entry'!AM154)</f>
        <v/>
      </c>
      <c r="JG156" s="110" t="str">
        <f>IF('Supp. Result Entry'!V154="","",'Supp. Result Entry'!V154)</f>
        <v/>
      </c>
      <c r="JH156" s="110" t="str">
        <f>IF('Supp. Result Entry'!Y154="","",'Supp. Result Entry'!Y154)</f>
        <v/>
      </c>
      <c r="JI156" s="110" t="str">
        <f>IF('Supp. Result Entry'!AB154="","",'Supp. Result Entry'!AB154)</f>
        <v/>
      </c>
      <c r="JJ156" s="110" t="str">
        <f>IF('Supp. Result Entry'!AE154="","",'Supp. Result Entry'!AE154)</f>
        <v/>
      </c>
      <c r="JK156" s="110" t="str">
        <f>IF('Supp. Result Entry'!AH154="","",'Supp. Result Entry'!AH154)</f>
        <v/>
      </c>
      <c r="JL156" s="110" t="str">
        <f>IF('Supp. Result Entry'!AK154="","",'Supp. Result Entry'!AK154)</f>
        <v/>
      </c>
      <c r="JM156" s="110" t="str">
        <f>IF('Supp. Result Entry'!AN154="","",'Supp. Result Entry'!AN154)</f>
        <v/>
      </c>
      <c r="JN156" s="110">
        <f>COUNTIF('Supp. Result Entry'!K154:Q154,"S")</f>
        <v>0</v>
      </c>
      <c r="JO156" s="110">
        <f t="shared" si="416"/>
        <v>0</v>
      </c>
      <c r="JP156" s="110">
        <f t="shared" si="493"/>
        <v>0</v>
      </c>
      <c r="JQ156" s="110" t="str">
        <f t="shared" si="417"/>
        <v/>
      </c>
      <c r="JR156" s="110" t="str">
        <f t="shared" si="418"/>
        <v/>
      </c>
      <c r="JS156" s="110" t="str">
        <f t="shared" si="419"/>
        <v/>
      </c>
      <c r="JT156" s="110" t="str">
        <f t="shared" si="420"/>
        <v/>
      </c>
      <c r="JU156" s="110" t="str">
        <f t="shared" si="421"/>
        <v/>
      </c>
      <c r="JV156" s="110" t="str">
        <f t="shared" si="422"/>
        <v/>
      </c>
      <c r="JW156" s="110" t="str">
        <f t="shared" si="423"/>
        <v/>
      </c>
      <c r="JX156" s="110" t="str">
        <f t="shared" si="494"/>
        <v/>
      </c>
      <c r="JY156" s="110" t="str">
        <f t="shared" si="495"/>
        <v/>
      </c>
      <c r="JZ156" s="110" t="str">
        <f t="shared" si="424"/>
        <v/>
      </c>
      <c r="KA156" s="108" t="str">
        <f t="shared" si="496"/>
        <v/>
      </c>
    </row>
    <row r="157" spans="1:287" s="108" customFormat="1" ht="21.95" customHeight="1">
      <c r="A157" s="89">
        <v>151</v>
      </c>
      <c r="B157" s="90" t="str">
        <f>IF('Marks Entry'!B157="","",'Marks Entry'!B157)</f>
        <v/>
      </c>
      <c r="C157" s="94" t="str">
        <f>IF('Marks Entry'!D157="","",'Marks Entry'!D157)</f>
        <v/>
      </c>
      <c r="D157" s="91" t="str">
        <f>IF('Marks Entry'!E157="","",'Marks Entry'!E157)</f>
        <v/>
      </c>
      <c r="E157" s="92" t="str">
        <f>IF('Marks Entry'!F157="","",'Marks Entry'!F157)</f>
        <v/>
      </c>
      <c r="F157" s="93" t="str">
        <f>IF('Marks Entry'!G157="","",'Marks Entry'!G157)</f>
        <v/>
      </c>
      <c r="G157" s="93" t="str">
        <f>IF('Marks Entry'!H157="","",'Marks Entry'!H157)</f>
        <v/>
      </c>
      <c r="H157" s="93" t="str">
        <f>IF('Marks Entry'!I157="","",'Marks Entry'!I157)</f>
        <v/>
      </c>
      <c r="I157" s="94" t="str">
        <f>IF('Marks Entry'!J157="","",'Marks Entry'!J157)</f>
        <v/>
      </c>
      <c r="J157" s="95" t="str">
        <f>IF('Marks Entry'!K157="","",'Marks Entry'!K157)</f>
        <v/>
      </c>
      <c r="K157" s="68" t="str">
        <f>IF('Marks Entry'!L157="","",'Marks Entry'!L157)</f>
        <v/>
      </c>
      <c r="L157" s="68" t="str">
        <f>IF('Marks Entry'!M157="","",'Marks Entry'!M157)</f>
        <v/>
      </c>
      <c r="M157" s="68" t="str">
        <f>IF('Marks Entry'!N157="","",'Marks Entry'!N157)</f>
        <v/>
      </c>
      <c r="N157" s="514" t="str">
        <f t="shared" si="425"/>
        <v/>
      </c>
      <c r="O157" s="68" t="str">
        <f>IF('Marks Entry'!O157="","",'Marks Entry'!O157)</f>
        <v/>
      </c>
      <c r="P157" s="515" t="str">
        <f t="shared" si="426"/>
        <v/>
      </c>
      <c r="Q157" s="68" t="str">
        <f>IF('Marks Entry'!P157="","",'Marks Entry'!P157)</f>
        <v/>
      </c>
      <c r="R157" s="96" t="str">
        <f t="shared" si="427"/>
        <v/>
      </c>
      <c r="S157" s="65">
        <f t="shared" si="428"/>
        <v>0</v>
      </c>
      <c r="T157" s="65">
        <f t="shared" si="429"/>
        <v>0</v>
      </c>
      <c r="U157" s="66" t="str">
        <f t="shared" si="339"/>
        <v/>
      </c>
      <c r="V157" s="65" t="str">
        <f t="shared" si="340"/>
        <v/>
      </c>
      <c r="W157" s="65" t="str">
        <f t="shared" si="430"/>
        <v/>
      </c>
      <c r="X157" s="65" t="str">
        <f t="shared" si="341"/>
        <v/>
      </c>
      <c r="Y157" s="68" t="str">
        <f>IF('Marks Entry'!Q157="","",'Marks Entry'!Q157)</f>
        <v/>
      </c>
      <c r="Z157" s="68" t="str">
        <f>IF('Marks Entry'!R157="","",'Marks Entry'!R157)</f>
        <v/>
      </c>
      <c r="AA157" s="68" t="str">
        <f>IF('Marks Entry'!S157="","",'Marks Entry'!S157)</f>
        <v/>
      </c>
      <c r="AB157" s="514" t="str">
        <f t="shared" si="342"/>
        <v/>
      </c>
      <c r="AC157" s="68" t="str">
        <f>IF('Marks Entry'!T157="","",'Marks Entry'!T157)</f>
        <v/>
      </c>
      <c r="AD157" s="515" t="str">
        <f t="shared" si="343"/>
        <v/>
      </c>
      <c r="AE157" s="68" t="str">
        <f>IF('Marks Entry'!U157="","",'Marks Entry'!U157)</f>
        <v/>
      </c>
      <c r="AF157" s="96" t="str">
        <f t="shared" si="344"/>
        <v/>
      </c>
      <c r="AG157" s="65">
        <f t="shared" si="345"/>
        <v>0</v>
      </c>
      <c r="AH157" s="65">
        <f t="shared" si="346"/>
        <v>0</v>
      </c>
      <c r="AI157" s="66" t="str">
        <f t="shared" si="347"/>
        <v/>
      </c>
      <c r="AJ157" s="65" t="str">
        <f t="shared" si="348"/>
        <v/>
      </c>
      <c r="AK157" s="65" t="str">
        <f t="shared" si="349"/>
        <v/>
      </c>
      <c r="AL157" s="65" t="str">
        <f t="shared" si="350"/>
        <v/>
      </c>
      <c r="AM157" s="524" t="str">
        <f>IF('Marks Entry'!V157="","",IF('Marks Entry'!V157=1,'School Profile'!$I$9,IF('Marks Entry'!V157=2,'School Profile'!$I$10,IF('Marks Entry'!V157=3,'School Profile'!$I$11,IF('Marks Entry'!V157=4,'School Profile'!$I$12,IF('Marks Entry'!V157=5,'School Profile'!$I$13,IF('Marks Entry'!V157=6,'School Profile'!$I$14,"")))))))</f>
        <v/>
      </c>
      <c r="AN157" s="68" t="str">
        <f>IF('Marks Entry'!W157="","",'Marks Entry'!W157)</f>
        <v/>
      </c>
      <c r="AO157" s="68" t="str">
        <f>IF('Marks Entry'!X157="","",'Marks Entry'!X157)</f>
        <v/>
      </c>
      <c r="AP157" s="68" t="str">
        <f>IF('Marks Entry'!Y157="","",'Marks Entry'!Y157)</f>
        <v/>
      </c>
      <c r="AQ157" s="514" t="str">
        <f t="shared" si="351"/>
        <v/>
      </c>
      <c r="AR157" s="68" t="str">
        <f>IF('Marks Entry'!Z157="","",'Marks Entry'!Z157)</f>
        <v/>
      </c>
      <c r="AS157" s="515" t="str">
        <f t="shared" si="352"/>
        <v/>
      </c>
      <c r="AT157" s="68" t="str">
        <f>IF('Marks Entry'!AA157="","",'Marks Entry'!AA157)</f>
        <v/>
      </c>
      <c r="AU157" s="96" t="str">
        <f t="shared" si="353"/>
        <v/>
      </c>
      <c r="AV157" s="65">
        <f t="shared" si="354"/>
        <v>0</v>
      </c>
      <c r="AW157" s="65">
        <f t="shared" si="355"/>
        <v>0</v>
      </c>
      <c r="AX157" s="66" t="str">
        <f t="shared" si="356"/>
        <v/>
      </c>
      <c r="AY157" s="65" t="str">
        <f t="shared" si="357"/>
        <v/>
      </c>
      <c r="AZ157" s="65" t="str">
        <f t="shared" si="358"/>
        <v/>
      </c>
      <c r="BA157" s="65" t="str">
        <f t="shared" si="359"/>
        <v/>
      </c>
      <c r="BB157" s="68" t="str">
        <f>IF('Marks Entry'!AB157="","",'Marks Entry'!AB157)</f>
        <v/>
      </c>
      <c r="BC157" s="68" t="str">
        <f>IF('Marks Entry'!AC157="","",'Marks Entry'!AC157)</f>
        <v/>
      </c>
      <c r="BD157" s="68" t="str">
        <f>IF('Marks Entry'!AD157="","",'Marks Entry'!AD157)</f>
        <v/>
      </c>
      <c r="BE157" s="514" t="str">
        <f t="shared" si="360"/>
        <v/>
      </c>
      <c r="BF157" s="68" t="str">
        <f>IF('Marks Entry'!AE157="","",'Marks Entry'!AE157)</f>
        <v/>
      </c>
      <c r="BG157" s="515" t="str">
        <f t="shared" si="361"/>
        <v/>
      </c>
      <c r="BH157" s="68" t="str">
        <f>IF('Marks Entry'!AF157="","",'Marks Entry'!AF157)</f>
        <v/>
      </c>
      <c r="BI157" s="96" t="str">
        <f t="shared" si="362"/>
        <v/>
      </c>
      <c r="BJ157" s="65">
        <f t="shared" si="363"/>
        <v>0</v>
      </c>
      <c r="BK157" s="65">
        <f t="shared" si="431"/>
        <v>0</v>
      </c>
      <c r="BL157" s="66" t="str">
        <f t="shared" si="364"/>
        <v/>
      </c>
      <c r="BM157" s="65" t="str">
        <f t="shared" si="365"/>
        <v/>
      </c>
      <c r="BN157" s="65" t="str">
        <f t="shared" si="366"/>
        <v/>
      </c>
      <c r="BO157" s="65" t="str">
        <f t="shared" si="367"/>
        <v/>
      </c>
      <c r="BP157" s="68" t="str">
        <f>IF('Marks Entry'!AG157="","",'Marks Entry'!AG157)</f>
        <v/>
      </c>
      <c r="BQ157" s="68" t="str">
        <f>IF('Marks Entry'!AH157="","",'Marks Entry'!AH157)</f>
        <v/>
      </c>
      <c r="BR157" s="68" t="str">
        <f>IF('Marks Entry'!AI157="","",'Marks Entry'!AI157)</f>
        <v/>
      </c>
      <c r="BS157" s="514" t="str">
        <f t="shared" si="368"/>
        <v/>
      </c>
      <c r="BT157" s="68" t="str">
        <f>IF('Marks Entry'!AJ157="","",'Marks Entry'!AJ157)</f>
        <v/>
      </c>
      <c r="BU157" s="515" t="str">
        <f t="shared" si="369"/>
        <v/>
      </c>
      <c r="BV157" s="68" t="str">
        <f>IF('Marks Entry'!AK157="","",'Marks Entry'!AK157)</f>
        <v/>
      </c>
      <c r="BW157" s="96" t="str">
        <f t="shared" si="370"/>
        <v/>
      </c>
      <c r="BX157" s="65">
        <f t="shared" si="371"/>
        <v>0</v>
      </c>
      <c r="BY157" s="65">
        <f t="shared" si="372"/>
        <v>0</v>
      </c>
      <c r="BZ157" s="66" t="str">
        <f t="shared" si="373"/>
        <v/>
      </c>
      <c r="CA157" s="65" t="str">
        <f t="shared" si="374"/>
        <v/>
      </c>
      <c r="CB157" s="65" t="str">
        <f t="shared" si="375"/>
        <v/>
      </c>
      <c r="CC157" s="65" t="str">
        <f t="shared" si="376"/>
        <v/>
      </c>
      <c r="CD157" s="66">
        <f t="shared" si="377"/>
        <v>0</v>
      </c>
      <c r="CE157" s="68" t="str">
        <f>IF('Marks Entry'!AL157="","",'Marks Entry'!AL157)</f>
        <v/>
      </c>
      <c r="CF157" s="68" t="str">
        <f>IF('Marks Entry'!AM157="","",'Marks Entry'!AM157)</f>
        <v/>
      </c>
      <c r="CG157" s="68" t="str">
        <f>IF('Marks Entry'!AN157="","",'Marks Entry'!AN157)</f>
        <v/>
      </c>
      <c r="CH157" s="514" t="str">
        <f t="shared" si="378"/>
        <v/>
      </c>
      <c r="CI157" s="68" t="str">
        <f>IF('Marks Entry'!AO157="","",'Marks Entry'!AO157)</f>
        <v/>
      </c>
      <c r="CJ157" s="515" t="str">
        <f t="shared" si="379"/>
        <v/>
      </c>
      <c r="CK157" s="68" t="str">
        <f>IF('Marks Entry'!AP157="","",'Marks Entry'!AP157)</f>
        <v/>
      </c>
      <c r="CL157" s="96" t="str">
        <f t="shared" si="380"/>
        <v/>
      </c>
      <c r="CM157" s="65">
        <f t="shared" si="381"/>
        <v>0</v>
      </c>
      <c r="CN157" s="65">
        <f t="shared" si="382"/>
        <v>0</v>
      </c>
      <c r="CO157" s="66" t="str">
        <f t="shared" si="383"/>
        <v/>
      </c>
      <c r="CP157" s="65" t="str">
        <f t="shared" si="384"/>
        <v/>
      </c>
      <c r="CQ157" s="65" t="str">
        <f t="shared" si="385"/>
        <v/>
      </c>
      <c r="CR157" s="65" t="str">
        <f t="shared" si="386"/>
        <v/>
      </c>
      <c r="CS157" s="616" t="str">
        <f>IF('School Profile'!$D$20="NO","",IF('Marks Entry'!AQ157="","",IF('Marks Entry'!AQ157=1,'School Profile'!$I$29,IF('Marks Entry'!AQ157=2,'School Profile'!$I$30,IF('Marks Entry'!AQ157=3,'School Profile'!$I$31,IF('Marks Entry'!AQ157=4,'School Profile'!$I$32,IF('Marks Entry'!AQ157=5,'School Profile'!$I$33,IF('Marks Entry'!AQ157=6,'School Profile'!$I$34,IF('Marks Entry'!AQ157=7,'School Profile'!$I$35,IF('Marks Entry'!AQ157=8,'School Profile'!$I$36,IF('Marks Entry'!AQ157=9,'School Profile'!$I$37,IF('Marks Entry'!AQ157=10,'School Profile'!$I$38,IF('Marks Entry'!AQ157=11,'School Profile'!$I$39,"")))))))))))))</f>
        <v/>
      </c>
      <c r="CT157" s="68" t="str">
        <f>IF('School Profile'!$D$20="NO","",IF('Marks Entry'!AR157="","",'Marks Entry'!AR157))</f>
        <v/>
      </c>
      <c r="CU157" s="68" t="str">
        <f>IF('School Profile'!$D$20="NO","",IF('Marks Entry'!AS157="","",'Marks Entry'!AS157))</f>
        <v/>
      </c>
      <c r="CV157" s="68" t="str">
        <f>IF('School Profile'!$D$20="NO","",IF('Marks Entry'!AT157="","",'Marks Entry'!AT157))</f>
        <v/>
      </c>
      <c r="CW157" s="514" t="str">
        <f>IF('School Profile'!$D$20="NO","",IF(AND(CT157="",CU157="",CV157=""),"",SUM(CT157:CV157)))</f>
        <v/>
      </c>
      <c r="CX157" s="68" t="str">
        <f>IF('School Profile'!$D$20="NO","",IF('Marks Entry'!AU157="","",'Marks Entry'!AU157))</f>
        <v/>
      </c>
      <c r="CY157" s="68" t="str">
        <f>IF('School Profile'!$D$20="NO","",IF('Marks Entry'!AV157="","",'Marks Entry'!AV157))</f>
        <v/>
      </c>
      <c r="CZ157" s="515" t="str">
        <f>IF('School Profile'!$D$20="NO","",IF(AND(CX157="",CY157=""),"",SUM(CX157,CY157)))</f>
        <v/>
      </c>
      <c r="DA157" s="69" t="str">
        <f>IF('School Profile'!$D$20="NO","",IF(AND(CW157="",CZ157=""),"",SUM(CW157+CZ157)))</f>
        <v/>
      </c>
      <c r="DB157" s="68" t="str">
        <f>IF('School Profile'!$D$20="NO","",IF('Marks Entry'!AW157="","",'Marks Entry'!AW157))</f>
        <v/>
      </c>
      <c r="DC157" s="68" t="str">
        <f>IF('School Profile'!$D$20="NO","",IF('Marks Entry'!AX157="","",'Marks Entry'!AX157))</f>
        <v/>
      </c>
      <c r="DD157" s="515" t="str">
        <f>IF('School Profile'!$D$20="NO","",IF(AND(DB157="",DC157=""),"",SUM(DB157,DC157)))</f>
        <v/>
      </c>
      <c r="DE157" s="96" t="str">
        <f>IF('School Profile'!$D$20="NO","",IF(AND(DA157="",DD157=""),"",SUM(DA157,DD157)))</f>
        <v/>
      </c>
      <c r="DF157" s="532">
        <f t="shared" si="387"/>
        <v>0</v>
      </c>
      <c r="DG157" s="65">
        <f t="shared" si="388"/>
        <v>0</v>
      </c>
      <c r="DH157" s="66" t="str">
        <f t="shared" si="389"/>
        <v/>
      </c>
      <c r="DI157" s="65" t="str">
        <f t="shared" si="390"/>
        <v/>
      </c>
      <c r="DJ157" s="65" t="str">
        <f t="shared" si="391"/>
        <v/>
      </c>
      <c r="DK157" s="65" t="str">
        <f t="shared" si="392"/>
        <v/>
      </c>
      <c r="DL157" s="97" t="str">
        <f t="shared" si="432"/>
        <v/>
      </c>
      <c r="DM157" s="97" t="str">
        <f t="shared" si="433"/>
        <v/>
      </c>
      <c r="DN157" s="97" t="str">
        <f t="shared" si="434"/>
        <v/>
      </c>
      <c r="DO157" s="97" t="str">
        <f t="shared" si="435"/>
        <v/>
      </c>
      <c r="DP157" s="97" t="str">
        <f t="shared" si="436"/>
        <v/>
      </c>
      <c r="DQ157" s="97" t="str">
        <f t="shared" si="437"/>
        <v/>
      </c>
      <c r="DR157" s="97" t="str">
        <f t="shared" si="438"/>
        <v/>
      </c>
      <c r="DS157" s="98">
        <f t="shared" si="439"/>
        <v>0</v>
      </c>
      <c r="DT157" s="98">
        <f t="shared" si="440"/>
        <v>0</v>
      </c>
      <c r="DU157" s="98">
        <f t="shared" si="441"/>
        <v>0</v>
      </c>
      <c r="DV157" s="98">
        <f t="shared" si="442"/>
        <v>0</v>
      </c>
      <c r="DW157" s="98">
        <f t="shared" si="443"/>
        <v>0</v>
      </c>
      <c r="DX157" s="98" t="str">
        <f t="shared" si="444"/>
        <v/>
      </c>
      <c r="DY157" s="99" t="str">
        <f t="shared" si="445"/>
        <v/>
      </c>
      <c r="DZ157" s="74" t="str">
        <f>IF('Marks Entry'!AY157="","",'Marks Entry'!AY157)</f>
        <v/>
      </c>
      <c r="EA157" s="74" t="str">
        <f>IF('Marks Entry'!AZ157="","",'Marks Entry'!AZ157)</f>
        <v/>
      </c>
      <c r="EB157" s="74" t="str">
        <f>IF('Marks Entry'!BA157="","",'Marks Entry'!BA157)</f>
        <v/>
      </c>
      <c r="EC157" s="527" t="str">
        <f t="shared" si="393"/>
        <v/>
      </c>
      <c r="ED157" s="74" t="str">
        <f>IF('Marks Entry'!BB157="","",'Marks Entry'!BB157)</f>
        <v/>
      </c>
      <c r="EE157" s="528" t="str">
        <f t="shared" si="394"/>
        <v/>
      </c>
      <c r="EF157" s="74" t="str">
        <f>IF('Marks Entry'!BC157="","",'Marks Entry'!BC157)</f>
        <v/>
      </c>
      <c r="EG157" s="530" t="str">
        <f t="shared" si="395"/>
        <v/>
      </c>
      <c r="EH157" s="368" t="str">
        <f t="shared" si="446"/>
        <v/>
      </c>
      <c r="EI157" s="65">
        <f t="shared" si="447"/>
        <v>0</v>
      </c>
      <c r="EJ157" s="65">
        <f t="shared" si="448"/>
        <v>0</v>
      </c>
      <c r="EK157" s="66" t="str">
        <f t="shared" si="449"/>
        <v/>
      </c>
      <c r="EL157" s="74" t="str">
        <f>IF('Marks Entry'!BD157="","",'Marks Entry'!BD157)</f>
        <v/>
      </c>
      <c r="EM157" s="74" t="str">
        <f>IF('Marks Entry'!BE157="","",'Marks Entry'!BE157)</f>
        <v/>
      </c>
      <c r="EN157" s="74" t="str">
        <f>IF('Marks Entry'!BF157="","",'Marks Entry'!BF157)</f>
        <v/>
      </c>
      <c r="EO157" s="527" t="str">
        <f t="shared" si="396"/>
        <v/>
      </c>
      <c r="EP157" s="74" t="str">
        <f>IF('Marks Entry'!BG157="","",'Marks Entry'!BG157)</f>
        <v/>
      </c>
      <c r="EQ157" s="74" t="str">
        <f>IF('Marks Entry'!BH157="","",'Marks Entry'!BH157)</f>
        <v/>
      </c>
      <c r="ER157" s="528" t="str">
        <f t="shared" si="397"/>
        <v/>
      </c>
      <c r="ES157" s="529" t="str">
        <f t="shared" si="398"/>
        <v/>
      </c>
      <c r="ET157" s="74" t="str">
        <f>IF('Marks Entry'!BI157="","",'Marks Entry'!BI157)</f>
        <v/>
      </c>
      <c r="EU157" s="74" t="str">
        <f>IF('Marks Entry'!BJ157="","",'Marks Entry'!BJ157)</f>
        <v/>
      </c>
      <c r="EV157" s="528" t="str">
        <f t="shared" si="399"/>
        <v/>
      </c>
      <c r="EW157" s="530" t="str">
        <f t="shared" si="400"/>
        <v/>
      </c>
      <c r="EX157" s="368" t="str">
        <f t="shared" si="450"/>
        <v/>
      </c>
      <c r="EY157" s="65">
        <f t="shared" si="451"/>
        <v>0</v>
      </c>
      <c r="EZ157" s="65">
        <f t="shared" si="452"/>
        <v>0</v>
      </c>
      <c r="FA157" s="66" t="str">
        <f t="shared" si="453"/>
        <v/>
      </c>
      <c r="FB157" s="74" t="str">
        <f>IF('Marks Entry'!BK157="","",'Marks Entry'!BK157)</f>
        <v/>
      </c>
      <c r="FC157" s="74" t="str">
        <f>IF('Marks Entry'!BL157="","",'Marks Entry'!BL157)</f>
        <v/>
      </c>
      <c r="FD157" s="74" t="str">
        <f>IF('Marks Entry'!BM157="","",'Marks Entry'!BM157)</f>
        <v/>
      </c>
      <c r="FE157" s="74" t="str">
        <f>IF('Marks Entry'!BN157="","",'Marks Entry'!BN157)</f>
        <v/>
      </c>
      <c r="FF157" s="74" t="str">
        <f>IF('Marks Entry'!BO157="","",'Marks Entry'!BO157)</f>
        <v/>
      </c>
      <c r="FG157" s="74" t="str">
        <f>IF('Marks Entry'!BP157="","",'Marks Entry'!BP157)</f>
        <v/>
      </c>
      <c r="FH157" s="527" t="str">
        <f t="shared" si="401"/>
        <v/>
      </c>
      <c r="FI157" s="74" t="str">
        <f>IF('Marks Entry'!BQ157="","",'Marks Entry'!BQ157)</f>
        <v/>
      </c>
      <c r="FJ157" s="74" t="str">
        <f>IF('Marks Entry'!BR157="","",'Marks Entry'!BR157)</f>
        <v/>
      </c>
      <c r="FK157" s="528" t="str">
        <f t="shared" si="402"/>
        <v/>
      </c>
      <c r="FL157" s="529" t="str">
        <f t="shared" si="403"/>
        <v/>
      </c>
      <c r="FM157" s="74" t="str">
        <f>IF('Marks Entry'!BS157="","",'Marks Entry'!BS157)</f>
        <v/>
      </c>
      <c r="FN157" s="74" t="str">
        <f>IF('Marks Entry'!BT157="","",'Marks Entry'!BT157)</f>
        <v/>
      </c>
      <c r="FO157" s="528" t="str">
        <f t="shared" si="404"/>
        <v/>
      </c>
      <c r="FP157" s="530" t="str">
        <f t="shared" si="405"/>
        <v/>
      </c>
      <c r="FQ157" s="368" t="str">
        <f t="shared" si="454"/>
        <v/>
      </c>
      <c r="FR157" s="65">
        <f t="shared" si="455"/>
        <v>0</v>
      </c>
      <c r="FS157" s="65">
        <f t="shared" si="456"/>
        <v>0</v>
      </c>
      <c r="FT157" s="66" t="str">
        <f t="shared" si="457"/>
        <v/>
      </c>
      <c r="FU157" s="74" t="str">
        <f>IF('Marks Entry'!BU157="","",'Marks Entry'!BU157)</f>
        <v/>
      </c>
      <c r="FV157" s="74" t="str">
        <f>IF('Marks Entry'!BV157="","",'Marks Entry'!BV157)</f>
        <v/>
      </c>
      <c r="FW157" s="74" t="str">
        <f>IF('Marks Entry'!BW157="","",'Marks Entry'!BW157)</f>
        <v/>
      </c>
      <c r="FX157" s="75" t="str">
        <f t="shared" si="406"/>
        <v/>
      </c>
      <c r="FY157" s="368" t="str">
        <f t="shared" si="458"/>
        <v/>
      </c>
      <c r="FZ157" s="65">
        <f t="shared" si="459"/>
        <v>0</v>
      </c>
      <c r="GA157" s="66">
        <f t="shared" si="460"/>
        <v>0</v>
      </c>
      <c r="GB157" s="66" t="str">
        <f t="shared" si="461"/>
        <v/>
      </c>
      <c r="GC157" s="74" t="str">
        <f>IF('Marks Entry'!BX157="","",'Marks Entry'!BX157)</f>
        <v/>
      </c>
      <c r="GD157" s="74" t="str">
        <f>IF('Marks Entry'!BY157="","",'Marks Entry'!BY157)</f>
        <v/>
      </c>
      <c r="GE157" s="74" t="str">
        <f>IF('Marks Entry'!BZ157="","",'Marks Entry'!BZ157)</f>
        <v/>
      </c>
      <c r="GF157" s="75" t="str">
        <f t="shared" si="462"/>
        <v/>
      </c>
      <c r="GG157" s="368" t="str">
        <f t="shared" si="463"/>
        <v/>
      </c>
      <c r="GH157" s="65">
        <f t="shared" si="464"/>
        <v>0</v>
      </c>
      <c r="GI157" s="66">
        <f t="shared" si="465"/>
        <v>0</v>
      </c>
      <c r="GJ157" s="66" t="str">
        <f t="shared" si="466"/>
        <v/>
      </c>
      <c r="GK157" s="100" t="str">
        <f>IF(AND(F157="",B157=""),"",IF('Student DATA Entry'!M154="","",'Student DATA Entry'!M154))</f>
        <v/>
      </c>
      <c r="GL157" s="101" t="str">
        <f>IF(AND(B157="",F157=""),"",IF('Student DATA Entry'!N154="","",'Student DATA Entry'!N154))</f>
        <v/>
      </c>
      <c r="GM157" s="581" t="str">
        <f t="shared" si="467"/>
        <v/>
      </c>
      <c r="GN157" s="94" t="str">
        <f t="shared" si="468"/>
        <v/>
      </c>
      <c r="GO157" s="94" t="str">
        <f t="shared" si="469"/>
        <v/>
      </c>
      <c r="GP157" s="102" t="str">
        <f t="shared" si="407"/>
        <v/>
      </c>
      <c r="GQ157" s="94" t="str">
        <f t="shared" si="470"/>
        <v/>
      </c>
      <c r="GR157" s="103" t="str">
        <f t="shared" si="471"/>
        <v/>
      </c>
      <c r="GS157" s="102" t="str">
        <f t="shared" si="408"/>
        <v/>
      </c>
      <c r="GT157" s="104" t="str">
        <f t="shared" si="472"/>
        <v/>
      </c>
      <c r="GU157" s="94" t="str">
        <f>IF('Marks Entry'!V157=1,GT157,"")</f>
        <v/>
      </c>
      <c r="GV157" s="94" t="str">
        <f>IF('Marks Entry'!V157=2,GT157,"")</f>
        <v/>
      </c>
      <c r="GW157" s="94" t="str">
        <f>IF('Marks Entry'!V157=3,GT157,"")</f>
        <v/>
      </c>
      <c r="GX157" s="94" t="str">
        <f>IF('Marks Entry'!V157=4,GT157,"")</f>
        <v/>
      </c>
      <c r="GY157" s="94" t="str">
        <f>IF('Marks Entry'!V157=5,GT157,"")</f>
        <v/>
      </c>
      <c r="GZ157" s="94" t="str">
        <f t="shared" si="473"/>
        <v/>
      </c>
      <c r="HA157" s="105" t="str">
        <f t="shared" si="409"/>
        <v/>
      </c>
      <c r="HB157" s="94" t="str">
        <f t="shared" si="474"/>
        <v/>
      </c>
      <c r="HC157" s="94" t="str">
        <f t="shared" si="475"/>
        <v/>
      </c>
      <c r="HD157" s="105" t="str">
        <f t="shared" si="410"/>
        <v/>
      </c>
      <c r="HE157" s="94" t="str">
        <f t="shared" si="476"/>
        <v/>
      </c>
      <c r="HF157" s="94" t="str">
        <f t="shared" si="477"/>
        <v/>
      </c>
      <c r="HG157" s="105" t="str">
        <f t="shared" si="411"/>
        <v/>
      </c>
      <c r="HH157" s="94" t="str">
        <f t="shared" si="478"/>
        <v/>
      </c>
      <c r="HI157" s="94" t="str">
        <f t="shared" si="479"/>
        <v/>
      </c>
      <c r="HJ157" s="105" t="str">
        <f t="shared" si="412"/>
        <v/>
      </c>
      <c r="HK157" s="94" t="str">
        <f t="shared" si="480"/>
        <v/>
      </c>
      <c r="HL157" s="94" t="str">
        <f t="shared" si="481"/>
        <v/>
      </c>
      <c r="HM157" s="105" t="str">
        <f t="shared" si="413"/>
        <v/>
      </c>
      <c r="HN157" s="367" t="str">
        <f t="shared" si="482"/>
        <v xml:space="preserve">      </v>
      </c>
      <c r="HO157" s="418" t="str">
        <f t="shared" si="414"/>
        <v xml:space="preserve">      </v>
      </c>
      <c r="HP157" s="367" t="str">
        <f t="shared" si="483"/>
        <v xml:space="preserve">      </v>
      </c>
      <c r="HQ157" s="107" t="str">
        <f t="shared" si="484"/>
        <v xml:space="preserve">      </v>
      </c>
      <c r="HR157" s="366" t="str">
        <f t="shared" si="485"/>
        <v xml:space="preserve">      </v>
      </c>
      <c r="HS157" s="544" t="str">
        <f t="shared" si="415"/>
        <v/>
      </c>
      <c r="HT157" s="542" t="str">
        <f t="shared" si="486"/>
        <v/>
      </c>
      <c r="HU157" s="541" t="str">
        <f t="shared" si="487"/>
        <v/>
      </c>
      <c r="HV157" s="540" t="str">
        <f t="shared" si="488"/>
        <v/>
      </c>
      <c r="HW157" s="537" t="str">
        <f t="shared" si="489"/>
        <v/>
      </c>
      <c r="HX157" s="539" t="str">
        <f t="shared" si="490"/>
        <v/>
      </c>
      <c r="HY157" s="553" t="str">
        <f>IFERROR(IF(OR(HS157="SUPPLEMENTARY",HS157="RE-EXAM"),'Supp. Result Entry'!AQ155,""),"")</f>
        <v/>
      </c>
      <c r="HZ157" s="538" t="str">
        <f t="shared" si="491"/>
        <v/>
      </c>
      <c r="IA157" s="415" t="str">
        <f t="shared" si="492"/>
        <v/>
      </c>
      <c r="IB157" s="415" t="str">
        <f>IF(AND(HZ157="",IA157=""),"",IF(OR(HS157="SUPPLEMENTARY",HS157="RE-EXAM"),'Supp. Result Entry'!AQ155,HS157))</f>
        <v/>
      </c>
      <c r="IC157" s="87"/>
      <c r="IS157" s="109" t="str">
        <f>IF('Supp. Result Entry'!T155="","",'Supp. Result Entry'!$T$4)</f>
        <v/>
      </c>
      <c r="IT157" s="110" t="str">
        <f>IF('Supp. Result Entry'!W155="","",'Supp. Result Entry'!$W$4)</f>
        <v/>
      </c>
      <c r="IU157" s="110" t="str">
        <f>IF('Supp. Result Entry'!Z155="","",'Supp. Result Entry'!$Z$4)</f>
        <v/>
      </c>
      <c r="IV157" s="110" t="str">
        <f>IF('Supp. Result Entry'!AC155="","",'Supp. Result Entry'!$AC$4)</f>
        <v/>
      </c>
      <c r="IW157" s="110" t="str">
        <f>IF('Supp. Result Entry'!AF155="","",'Supp. Result Entry'!$AF$4)</f>
        <v/>
      </c>
      <c r="IX157" s="110" t="str">
        <f>IF('Supp. Result Entry'!AI155="","",'Supp. Result Entry'!$AI$4)</f>
        <v/>
      </c>
      <c r="IY157" s="110" t="str">
        <f>IF('Supp. Result Entry'!AI155="","",'Supp. Result Entry'!$AL$4)</f>
        <v/>
      </c>
      <c r="IZ157" s="110" t="str">
        <f>IF('Supp. Result Entry'!U155="","",'Supp. Result Entry'!U155)</f>
        <v/>
      </c>
      <c r="JA157" s="110" t="str">
        <f>IF('Supp. Result Entry'!X155="","",'Supp. Result Entry'!X155)</f>
        <v/>
      </c>
      <c r="JB157" s="110" t="str">
        <f>IF('Supp. Result Entry'!AA155="","",'Supp. Result Entry'!AA155)</f>
        <v/>
      </c>
      <c r="JC157" s="110" t="str">
        <f>IF('Supp. Result Entry'!AD155="","",'Supp. Result Entry'!AD155)</f>
        <v/>
      </c>
      <c r="JD157" s="110" t="str">
        <f>IF('Supp. Result Entry'!AG155="","",'Supp. Result Entry'!AG155)</f>
        <v/>
      </c>
      <c r="JE157" s="110" t="str">
        <f>IF('Supp. Result Entry'!AJ155="","",'Supp. Result Entry'!AJ155)</f>
        <v/>
      </c>
      <c r="JF157" s="110" t="str">
        <f>IF('Supp. Result Entry'!AM155="","",'Supp. Result Entry'!AM155)</f>
        <v/>
      </c>
      <c r="JG157" s="110" t="str">
        <f>IF('Supp. Result Entry'!V155="","",'Supp. Result Entry'!V155)</f>
        <v/>
      </c>
      <c r="JH157" s="110" t="str">
        <f>IF('Supp. Result Entry'!Y155="","",'Supp. Result Entry'!Y155)</f>
        <v/>
      </c>
      <c r="JI157" s="110" t="str">
        <f>IF('Supp. Result Entry'!AB155="","",'Supp. Result Entry'!AB155)</f>
        <v/>
      </c>
      <c r="JJ157" s="110" t="str">
        <f>IF('Supp. Result Entry'!AE155="","",'Supp. Result Entry'!AE155)</f>
        <v/>
      </c>
      <c r="JK157" s="110" t="str">
        <f>IF('Supp. Result Entry'!AH155="","",'Supp. Result Entry'!AH155)</f>
        <v/>
      </c>
      <c r="JL157" s="110" t="str">
        <f>IF('Supp. Result Entry'!AK155="","",'Supp. Result Entry'!AK155)</f>
        <v/>
      </c>
      <c r="JM157" s="110" t="str">
        <f>IF('Supp. Result Entry'!AN155="","",'Supp. Result Entry'!AN155)</f>
        <v/>
      </c>
      <c r="JN157" s="110">
        <f>COUNTIF('Supp. Result Entry'!K155:Q155,"S")</f>
        <v>0</v>
      </c>
      <c r="JO157" s="110">
        <f t="shared" si="416"/>
        <v>0</v>
      </c>
      <c r="JP157" s="110">
        <f t="shared" si="493"/>
        <v>0</v>
      </c>
      <c r="JQ157" s="110" t="str">
        <f t="shared" si="417"/>
        <v/>
      </c>
      <c r="JR157" s="110" t="str">
        <f t="shared" si="418"/>
        <v/>
      </c>
      <c r="JS157" s="110" t="str">
        <f t="shared" si="419"/>
        <v/>
      </c>
      <c r="JT157" s="110" t="str">
        <f t="shared" si="420"/>
        <v/>
      </c>
      <c r="JU157" s="110" t="str">
        <f t="shared" si="421"/>
        <v/>
      </c>
      <c r="JV157" s="110" t="str">
        <f t="shared" si="422"/>
        <v/>
      </c>
      <c r="JW157" s="110" t="str">
        <f t="shared" si="423"/>
        <v/>
      </c>
      <c r="JX157" s="110" t="str">
        <f t="shared" si="494"/>
        <v/>
      </c>
      <c r="JY157" s="110" t="str">
        <f t="shared" si="495"/>
        <v/>
      </c>
      <c r="JZ157" s="110" t="str">
        <f t="shared" si="424"/>
        <v/>
      </c>
      <c r="KA157" s="108" t="str">
        <f t="shared" si="496"/>
        <v/>
      </c>
    </row>
    <row r="158" spans="1:287" s="108" customFormat="1" ht="21.95" customHeight="1">
      <c r="A158" s="89">
        <v>152</v>
      </c>
      <c r="B158" s="90" t="str">
        <f>IF('Marks Entry'!B158="","",'Marks Entry'!B158)</f>
        <v/>
      </c>
      <c r="C158" s="94" t="str">
        <f>IF('Marks Entry'!D158="","",'Marks Entry'!D158)</f>
        <v/>
      </c>
      <c r="D158" s="91" t="str">
        <f>IF('Marks Entry'!E158="","",'Marks Entry'!E158)</f>
        <v/>
      </c>
      <c r="E158" s="92" t="str">
        <f>IF('Marks Entry'!F158="","",'Marks Entry'!F158)</f>
        <v/>
      </c>
      <c r="F158" s="93" t="str">
        <f>IF('Marks Entry'!G158="","",'Marks Entry'!G158)</f>
        <v/>
      </c>
      <c r="G158" s="93" t="str">
        <f>IF('Marks Entry'!H158="","",'Marks Entry'!H158)</f>
        <v/>
      </c>
      <c r="H158" s="93" t="str">
        <f>IF('Marks Entry'!I158="","",'Marks Entry'!I158)</f>
        <v/>
      </c>
      <c r="I158" s="94" t="str">
        <f>IF('Marks Entry'!J158="","",'Marks Entry'!J158)</f>
        <v/>
      </c>
      <c r="J158" s="95" t="str">
        <f>IF('Marks Entry'!K158="","",'Marks Entry'!K158)</f>
        <v/>
      </c>
      <c r="K158" s="68" t="str">
        <f>IF('Marks Entry'!L158="","",'Marks Entry'!L158)</f>
        <v/>
      </c>
      <c r="L158" s="68" t="str">
        <f>IF('Marks Entry'!M158="","",'Marks Entry'!M158)</f>
        <v/>
      </c>
      <c r="M158" s="68" t="str">
        <f>IF('Marks Entry'!N158="","",'Marks Entry'!N158)</f>
        <v/>
      </c>
      <c r="N158" s="514" t="str">
        <f t="shared" si="425"/>
        <v/>
      </c>
      <c r="O158" s="68" t="str">
        <f>IF('Marks Entry'!O158="","",'Marks Entry'!O158)</f>
        <v/>
      </c>
      <c r="P158" s="515" t="str">
        <f t="shared" si="426"/>
        <v/>
      </c>
      <c r="Q158" s="68" t="str">
        <f>IF('Marks Entry'!P158="","",'Marks Entry'!P158)</f>
        <v/>
      </c>
      <c r="R158" s="96" t="str">
        <f t="shared" si="427"/>
        <v/>
      </c>
      <c r="S158" s="65">
        <f t="shared" si="428"/>
        <v>0</v>
      </c>
      <c r="T158" s="65">
        <f t="shared" si="429"/>
        <v>0</v>
      </c>
      <c r="U158" s="66" t="str">
        <f t="shared" si="339"/>
        <v/>
      </c>
      <c r="V158" s="65" t="str">
        <f t="shared" si="340"/>
        <v/>
      </c>
      <c r="W158" s="65" t="str">
        <f t="shared" si="430"/>
        <v/>
      </c>
      <c r="X158" s="65" t="str">
        <f t="shared" si="341"/>
        <v/>
      </c>
      <c r="Y158" s="68" t="str">
        <f>IF('Marks Entry'!Q158="","",'Marks Entry'!Q158)</f>
        <v/>
      </c>
      <c r="Z158" s="68" t="str">
        <f>IF('Marks Entry'!R158="","",'Marks Entry'!R158)</f>
        <v/>
      </c>
      <c r="AA158" s="68" t="str">
        <f>IF('Marks Entry'!S158="","",'Marks Entry'!S158)</f>
        <v/>
      </c>
      <c r="AB158" s="514" t="str">
        <f t="shared" si="342"/>
        <v/>
      </c>
      <c r="AC158" s="68" t="str">
        <f>IF('Marks Entry'!T158="","",'Marks Entry'!T158)</f>
        <v/>
      </c>
      <c r="AD158" s="515" t="str">
        <f t="shared" si="343"/>
        <v/>
      </c>
      <c r="AE158" s="68" t="str">
        <f>IF('Marks Entry'!U158="","",'Marks Entry'!U158)</f>
        <v/>
      </c>
      <c r="AF158" s="96" t="str">
        <f t="shared" si="344"/>
        <v/>
      </c>
      <c r="AG158" s="65">
        <f t="shared" si="345"/>
        <v>0</v>
      </c>
      <c r="AH158" s="65">
        <f t="shared" si="346"/>
        <v>0</v>
      </c>
      <c r="AI158" s="66" t="str">
        <f t="shared" si="347"/>
        <v/>
      </c>
      <c r="AJ158" s="65" t="str">
        <f t="shared" si="348"/>
        <v/>
      </c>
      <c r="AK158" s="65" t="str">
        <f t="shared" si="349"/>
        <v/>
      </c>
      <c r="AL158" s="65" t="str">
        <f t="shared" si="350"/>
        <v/>
      </c>
      <c r="AM158" s="524" t="str">
        <f>IF('Marks Entry'!V158="","",IF('Marks Entry'!V158=1,'School Profile'!$I$9,IF('Marks Entry'!V158=2,'School Profile'!$I$10,IF('Marks Entry'!V158=3,'School Profile'!$I$11,IF('Marks Entry'!V158=4,'School Profile'!$I$12,IF('Marks Entry'!V158=5,'School Profile'!$I$13,IF('Marks Entry'!V158=6,'School Profile'!$I$14,"")))))))</f>
        <v/>
      </c>
      <c r="AN158" s="68" t="str">
        <f>IF('Marks Entry'!W158="","",'Marks Entry'!W158)</f>
        <v/>
      </c>
      <c r="AO158" s="68" t="str">
        <f>IF('Marks Entry'!X158="","",'Marks Entry'!X158)</f>
        <v/>
      </c>
      <c r="AP158" s="68" t="str">
        <f>IF('Marks Entry'!Y158="","",'Marks Entry'!Y158)</f>
        <v/>
      </c>
      <c r="AQ158" s="514" t="str">
        <f t="shared" si="351"/>
        <v/>
      </c>
      <c r="AR158" s="68" t="str">
        <f>IF('Marks Entry'!Z158="","",'Marks Entry'!Z158)</f>
        <v/>
      </c>
      <c r="AS158" s="515" t="str">
        <f t="shared" si="352"/>
        <v/>
      </c>
      <c r="AT158" s="68" t="str">
        <f>IF('Marks Entry'!AA158="","",'Marks Entry'!AA158)</f>
        <v/>
      </c>
      <c r="AU158" s="96" t="str">
        <f t="shared" si="353"/>
        <v/>
      </c>
      <c r="AV158" s="65">
        <f t="shared" si="354"/>
        <v>0</v>
      </c>
      <c r="AW158" s="65">
        <f t="shared" si="355"/>
        <v>0</v>
      </c>
      <c r="AX158" s="66" t="str">
        <f t="shared" si="356"/>
        <v/>
      </c>
      <c r="AY158" s="65" t="str">
        <f t="shared" si="357"/>
        <v/>
      </c>
      <c r="AZ158" s="65" t="str">
        <f t="shared" si="358"/>
        <v/>
      </c>
      <c r="BA158" s="65" t="str">
        <f t="shared" si="359"/>
        <v/>
      </c>
      <c r="BB158" s="68" t="str">
        <f>IF('Marks Entry'!AB158="","",'Marks Entry'!AB158)</f>
        <v/>
      </c>
      <c r="BC158" s="68" t="str">
        <f>IF('Marks Entry'!AC158="","",'Marks Entry'!AC158)</f>
        <v/>
      </c>
      <c r="BD158" s="68" t="str">
        <f>IF('Marks Entry'!AD158="","",'Marks Entry'!AD158)</f>
        <v/>
      </c>
      <c r="BE158" s="514" t="str">
        <f t="shared" si="360"/>
        <v/>
      </c>
      <c r="BF158" s="68" t="str">
        <f>IF('Marks Entry'!AE158="","",'Marks Entry'!AE158)</f>
        <v/>
      </c>
      <c r="BG158" s="515" t="str">
        <f t="shared" si="361"/>
        <v/>
      </c>
      <c r="BH158" s="68" t="str">
        <f>IF('Marks Entry'!AF158="","",'Marks Entry'!AF158)</f>
        <v/>
      </c>
      <c r="BI158" s="96" t="str">
        <f t="shared" si="362"/>
        <v/>
      </c>
      <c r="BJ158" s="65">
        <f t="shared" si="363"/>
        <v>0</v>
      </c>
      <c r="BK158" s="65">
        <f t="shared" si="431"/>
        <v>0</v>
      </c>
      <c r="BL158" s="66" t="str">
        <f t="shared" si="364"/>
        <v/>
      </c>
      <c r="BM158" s="65" t="str">
        <f t="shared" si="365"/>
        <v/>
      </c>
      <c r="BN158" s="65" t="str">
        <f t="shared" si="366"/>
        <v/>
      </c>
      <c r="BO158" s="65" t="str">
        <f t="shared" si="367"/>
        <v/>
      </c>
      <c r="BP158" s="68" t="str">
        <f>IF('Marks Entry'!AG158="","",'Marks Entry'!AG158)</f>
        <v/>
      </c>
      <c r="BQ158" s="68" t="str">
        <f>IF('Marks Entry'!AH158="","",'Marks Entry'!AH158)</f>
        <v/>
      </c>
      <c r="BR158" s="68" t="str">
        <f>IF('Marks Entry'!AI158="","",'Marks Entry'!AI158)</f>
        <v/>
      </c>
      <c r="BS158" s="514" t="str">
        <f t="shared" si="368"/>
        <v/>
      </c>
      <c r="BT158" s="68" t="str">
        <f>IF('Marks Entry'!AJ158="","",'Marks Entry'!AJ158)</f>
        <v/>
      </c>
      <c r="BU158" s="515" t="str">
        <f t="shared" si="369"/>
        <v/>
      </c>
      <c r="BV158" s="68" t="str">
        <f>IF('Marks Entry'!AK158="","",'Marks Entry'!AK158)</f>
        <v/>
      </c>
      <c r="BW158" s="96" t="str">
        <f t="shared" si="370"/>
        <v/>
      </c>
      <c r="BX158" s="65">
        <f t="shared" si="371"/>
        <v>0</v>
      </c>
      <c r="BY158" s="65">
        <f t="shared" si="372"/>
        <v>0</v>
      </c>
      <c r="BZ158" s="66" t="str">
        <f t="shared" si="373"/>
        <v/>
      </c>
      <c r="CA158" s="65" t="str">
        <f t="shared" si="374"/>
        <v/>
      </c>
      <c r="CB158" s="65" t="str">
        <f t="shared" si="375"/>
        <v/>
      </c>
      <c r="CC158" s="65" t="str">
        <f t="shared" si="376"/>
        <v/>
      </c>
      <c r="CD158" s="66">
        <f t="shared" si="377"/>
        <v>0</v>
      </c>
      <c r="CE158" s="68" t="str">
        <f>IF('Marks Entry'!AL158="","",'Marks Entry'!AL158)</f>
        <v/>
      </c>
      <c r="CF158" s="68" t="str">
        <f>IF('Marks Entry'!AM158="","",'Marks Entry'!AM158)</f>
        <v/>
      </c>
      <c r="CG158" s="68" t="str">
        <f>IF('Marks Entry'!AN158="","",'Marks Entry'!AN158)</f>
        <v/>
      </c>
      <c r="CH158" s="514" t="str">
        <f t="shared" si="378"/>
        <v/>
      </c>
      <c r="CI158" s="68" t="str">
        <f>IF('Marks Entry'!AO158="","",'Marks Entry'!AO158)</f>
        <v/>
      </c>
      <c r="CJ158" s="515" t="str">
        <f t="shared" si="379"/>
        <v/>
      </c>
      <c r="CK158" s="68" t="str">
        <f>IF('Marks Entry'!AP158="","",'Marks Entry'!AP158)</f>
        <v/>
      </c>
      <c r="CL158" s="96" t="str">
        <f t="shared" si="380"/>
        <v/>
      </c>
      <c r="CM158" s="65">
        <f t="shared" si="381"/>
        <v>0</v>
      </c>
      <c r="CN158" s="65">
        <f t="shared" si="382"/>
        <v>0</v>
      </c>
      <c r="CO158" s="66" t="str">
        <f t="shared" si="383"/>
        <v/>
      </c>
      <c r="CP158" s="65" t="str">
        <f t="shared" si="384"/>
        <v/>
      </c>
      <c r="CQ158" s="65" t="str">
        <f t="shared" si="385"/>
        <v/>
      </c>
      <c r="CR158" s="65" t="str">
        <f t="shared" si="386"/>
        <v/>
      </c>
      <c r="CS158" s="616" t="str">
        <f>IF('School Profile'!$D$20="NO","",IF('Marks Entry'!AQ158="","",IF('Marks Entry'!AQ158=1,'School Profile'!$I$29,IF('Marks Entry'!AQ158=2,'School Profile'!$I$30,IF('Marks Entry'!AQ158=3,'School Profile'!$I$31,IF('Marks Entry'!AQ158=4,'School Profile'!$I$32,IF('Marks Entry'!AQ158=5,'School Profile'!$I$33,IF('Marks Entry'!AQ158=6,'School Profile'!$I$34,IF('Marks Entry'!AQ158=7,'School Profile'!$I$35,IF('Marks Entry'!AQ158=8,'School Profile'!$I$36,IF('Marks Entry'!AQ158=9,'School Profile'!$I$37,IF('Marks Entry'!AQ158=10,'School Profile'!$I$38,IF('Marks Entry'!AQ158=11,'School Profile'!$I$39,"")))))))))))))</f>
        <v/>
      </c>
      <c r="CT158" s="68" t="str">
        <f>IF('School Profile'!$D$20="NO","",IF('Marks Entry'!AR158="","",'Marks Entry'!AR158))</f>
        <v/>
      </c>
      <c r="CU158" s="68" t="str">
        <f>IF('School Profile'!$D$20="NO","",IF('Marks Entry'!AS158="","",'Marks Entry'!AS158))</f>
        <v/>
      </c>
      <c r="CV158" s="68" t="str">
        <f>IF('School Profile'!$D$20="NO","",IF('Marks Entry'!AT158="","",'Marks Entry'!AT158))</f>
        <v/>
      </c>
      <c r="CW158" s="514" t="str">
        <f>IF('School Profile'!$D$20="NO","",IF(AND(CT158="",CU158="",CV158=""),"",SUM(CT158:CV158)))</f>
        <v/>
      </c>
      <c r="CX158" s="68" t="str">
        <f>IF('School Profile'!$D$20="NO","",IF('Marks Entry'!AU158="","",'Marks Entry'!AU158))</f>
        <v/>
      </c>
      <c r="CY158" s="68" t="str">
        <f>IF('School Profile'!$D$20="NO","",IF('Marks Entry'!AV158="","",'Marks Entry'!AV158))</f>
        <v/>
      </c>
      <c r="CZ158" s="515" t="str">
        <f>IF('School Profile'!$D$20="NO","",IF(AND(CX158="",CY158=""),"",SUM(CX158,CY158)))</f>
        <v/>
      </c>
      <c r="DA158" s="69" t="str">
        <f>IF('School Profile'!$D$20="NO","",IF(AND(CW158="",CZ158=""),"",SUM(CW158+CZ158)))</f>
        <v/>
      </c>
      <c r="DB158" s="68" t="str">
        <f>IF('School Profile'!$D$20="NO","",IF('Marks Entry'!AW158="","",'Marks Entry'!AW158))</f>
        <v/>
      </c>
      <c r="DC158" s="68" t="str">
        <f>IF('School Profile'!$D$20="NO","",IF('Marks Entry'!AX158="","",'Marks Entry'!AX158))</f>
        <v/>
      </c>
      <c r="DD158" s="515" t="str">
        <f>IF('School Profile'!$D$20="NO","",IF(AND(DB158="",DC158=""),"",SUM(DB158,DC158)))</f>
        <v/>
      </c>
      <c r="DE158" s="96" t="str">
        <f>IF('School Profile'!$D$20="NO","",IF(AND(DA158="",DD158=""),"",SUM(DA158,DD158)))</f>
        <v/>
      </c>
      <c r="DF158" s="532">
        <f t="shared" si="387"/>
        <v>0</v>
      </c>
      <c r="DG158" s="65">
        <f t="shared" si="388"/>
        <v>0</v>
      </c>
      <c r="DH158" s="66" t="str">
        <f t="shared" si="389"/>
        <v/>
      </c>
      <c r="DI158" s="65" t="str">
        <f t="shared" si="390"/>
        <v/>
      </c>
      <c r="DJ158" s="65" t="str">
        <f t="shared" si="391"/>
        <v/>
      </c>
      <c r="DK158" s="65" t="str">
        <f t="shared" si="392"/>
        <v/>
      </c>
      <c r="DL158" s="97" t="str">
        <f t="shared" si="432"/>
        <v/>
      </c>
      <c r="DM158" s="97" t="str">
        <f t="shared" si="433"/>
        <v/>
      </c>
      <c r="DN158" s="97" t="str">
        <f t="shared" si="434"/>
        <v/>
      </c>
      <c r="DO158" s="97" t="str">
        <f t="shared" si="435"/>
        <v/>
      </c>
      <c r="DP158" s="97" t="str">
        <f t="shared" si="436"/>
        <v/>
      </c>
      <c r="DQ158" s="97" t="str">
        <f t="shared" si="437"/>
        <v/>
      </c>
      <c r="DR158" s="97" t="str">
        <f t="shared" si="438"/>
        <v/>
      </c>
      <c r="DS158" s="98">
        <f t="shared" si="439"/>
        <v>0</v>
      </c>
      <c r="DT158" s="98">
        <f t="shared" si="440"/>
        <v>0</v>
      </c>
      <c r="DU158" s="98">
        <f t="shared" si="441"/>
        <v>0</v>
      </c>
      <c r="DV158" s="98">
        <f t="shared" si="442"/>
        <v>0</v>
      </c>
      <c r="DW158" s="98">
        <f t="shared" si="443"/>
        <v>0</v>
      </c>
      <c r="DX158" s="98" t="str">
        <f t="shared" si="444"/>
        <v/>
      </c>
      <c r="DY158" s="99" t="str">
        <f t="shared" si="445"/>
        <v/>
      </c>
      <c r="DZ158" s="74" t="str">
        <f>IF('Marks Entry'!AY158="","",'Marks Entry'!AY158)</f>
        <v/>
      </c>
      <c r="EA158" s="74" t="str">
        <f>IF('Marks Entry'!AZ158="","",'Marks Entry'!AZ158)</f>
        <v/>
      </c>
      <c r="EB158" s="74" t="str">
        <f>IF('Marks Entry'!BA158="","",'Marks Entry'!BA158)</f>
        <v/>
      </c>
      <c r="EC158" s="527" t="str">
        <f t="shared" si="393"/>
        <v/>
      </c>
      <c r="ED158" s="74" t="str">
        <f>IF('Marks Entry'!BB158="","",'Marks Entry'!BB158)</f>
        <v/>
      </c>
      <c r="EE158" s="528" t="str">
        <f t="shared" si="394"/>
        <v/>
      </c>
      <c r="EF158" s="74" t="str">
        <f>IF('Marks Entry'!BC158="","",'Marks Entry'!BC158)</f>
        <v/>
      </c>
      <c r="EG158" s="530" t="str">
        <f t="shared" si="395"/>
        <v/>
      </c>
      <c r="EH158" s="368" t="str">
        <f t="shared" si="446"/>
        <v/>
      </c>
      <c r="EI158" s="65">
        <f t="shared" si="447"/>
        <v>0</v>
      </c>
      <c r="EJ158" s="65">
        <f t="shared" si="448"/>
        <v>0</v>
      </c>
      <c r="EK158" s="66" t="str">
        <f t="shared" si="449"/>
        <v/>
      </c>
      <c r="EL158" s="74" t="str">
        <f>IF('Marks Entry'!BD158="","",'Marks Entry'!BD158)</f>
        <v/>
      </c>
      <c r="EM158" s="74" t="str">
        <f>IF('Marks Entry'!BE158="","",'Marks Entry'!BE158)</f>
        <v/>
      </c>
      <c r="EN158" s="74" t="str">
        <f>IF('Marks Entry'!BF158="","",'Marks Entry'!BF158)</f>
        <v/>
      </c>
      <c r="EO158" s="527" t="str">
        <f t="shared" si="396"/>
        <v/>
      </c>
      <c r="EP158" s="74" t="str">
        <f>IF('Marks Entry'!BG158="","",'Marks Entry'!BG158)</f>
        <v/>
      </c>
      <c r="EQ158" s="74" t="str">
        <f>IF('Marks Entry'!BH158="","",'Marks Entry'!BH158)</f>
        <v/>
      </c>
      <c r="ER158" s="528" t="str">
        <f t="shared" si="397"/>
        <v/>
      </c>
      <c r="ES158" s="529" t="str">
        <f t="shared" si="398"/>
        <v/>
      </c>
      <c r="ET158" s="74" t="str">
        <f>IF('Marks Entry'!BI158="","",'Marks Entry'!BI158)</f>
        <v/>
      </c>
      <c r="EU158" s="74" t="str">
        <f>IF('Marks Entry'!BJ158="","",'Marks Entry'!BJ158)</f>
        <v/>
      </c>
      <c r="EV158" s="528" t="str">
        <f t="shared" si="399"/>
        <v/>
      </c>
      <c r="EW158" s="530" t="str">
        <f t="shared" si="400"/>
        <v/>
      </c>
      <c r="EX158" s="368" t="str">
        <f t="shared" si="450"/>
        <v/>
      </c>
      <c r="EY158" s="65">
        <f t="shared" si="451"/>
        <v>0</v>
      </c>
      <c r="EZ158" s="65">
        <f t="shared" si="452"/>
        <v>0</v>
      </c>
      <c r="FA158" s="66" t="str">
        <f t="shared" si="453"/>
        <v/>
      </c>
      <c r="FB158" s="74" t="str">
        <f>IF('Marks Entry'!BK158="","",'Marks Entry'!BK158)</f>
        <v/>
      </c>
      <c r="FC158" s="74" t="str">
        <f>IF('Marks Entry'!BL158="","",'Marks Entry'!BL158)</f>
        <v/>
      </c>
      <c r="FD158" s="74" t="str">
        <f>IF('Marks Entry'!BM158="","",'Marks Entry'!BM158)</f>
        <v/>
      </c>
      <c r="FE158" s="74" t="str">
        <f>IF('Marks Entry'!BN158="","",'Marks Entry'!BN158)</f>
        <v/>
      </c>
      <c r="FF158" s="74" t="str">
        <f>IF('Marks Entry'!BO158="","",'Marks Entry'!BO158)</f>
        <v/>
      </c>
      <c r="FG158" s="74" t="str">
        <f>IF('Marks Entry'!BP158="","",'Marks Entry'!BP158)</f>
        <v/>
      </c>
      <c r="FH158" s="527" t="str">
        <f t="shared" si="401"/>
        <v/>
      </c>
      <c r="FI158" s="74" t="str">
        <f>IF('Marks Entry'!BQ158="","",'Marks Entry'!BQ158)</f>
        <v/>
      </c>
      <c r="FJ158" s="74" t="str">
        <f>IF('Marks Entry'!BR158="","",'Marks Entry'!BR158)</f>
        <v/>
      </c>
      <c r="FK158" s="528" t="str">
        <f t="shared" si="402"/>
        <v/>
      </c>
      <c r="FL158" s="529" t="str">
        <f t="shared" si="403"/>
        <v/>
      </c>
      <c r="FM158" s="74" t="str">
        <f>IF('Marks Entry'!BS158="","",'Marks Entry'!BS158)</f>
        <v/>
      </c>
      <c r="FN158" s="74" t="str">
        <f>IF('Marks Entry'!BT158="","",'Marks Entry'!BT158)</f>
        <v/>
      </c>
      <c r="FO158" s="528" t="str">
        <f t="shared" si="404"/>
        <v/>
      </c>
      <c r="FP158" s="530" t="str">
        <f t="shared" si="405"/>
        <v/>
      </c>
      <c r="FQ158" s="368" t="str">
        <f t="shared" si="454"/>
        <v/>
      </c>
      <c r="FR158" s="65">
        <f t="shared" si="455"/>
        <v>0</v>
      </c>
      <c r="FS158" s="65">
        <f t="shared" si="456"/>
        <v>0</v>
      </c>
      <c r="FT158" s="66" t="str">
        <f t="shared" si="457"/>
        <v/>
      </c>
      <c r="FU158" s="74" t="str">
        <f>IF('Marks Entry'!BU158="","",'Marks Entry'!BU158)</f>
        <v/>
      </c>
      <c r="FV158" s="74" t="str">
        <f>IF('Marks Entry'!BV158="","",'Marks Entry'!BV158)</f>
        <v/>
      </c>
      <c r="FW158" s="74" t="str">
        <f>IF('Marks Entry'!BW158="","",'Marks Entry'!BW158)</f>
        <v/>
      </c>
      <c r="FX158" s="75" t="str">
        <f t="shared" si="406"/>
        <v/>
      </c>
      <c r="FY158" s="368" t="str">
        <f t="shared" si="458"/>
        <v/>
      </c>
      <c r="FZ158" s="65">
        <f t="shared" si="459"/>
        <v>0</v>
      </c>
      <c r="GA158" s="66">
        <f t="shared" si="460"/>
        <v>0</v>
      </c>
      <c r="GB158" s="66" t="str">
        <f t="shared" si="461"/>
        <v/>
      </c>
      <c r="GC158" s="74" t="str">
        <f>IF('Marks Entry'!BX158="","",'Marks Entry'!BX158)</f>
        <v/>
      </c>
      <c r="GD158" s="74" t="str">
        <f>IF('Marks Entry'!BY158="","",'Marks Entry'!BY158)</f>
        <v/>
      </c>
      <c r="GE158" s="74" t="str">
        <f>IF('Marks Entry'!BZ158="","",'Marks Entry'!BZ158)</f>
        <v/>
      </c>
      <c r="GF158" s="75" t="str">
        <f t="shared" si="462"/>
        <v/>
      </c>
      <c r="GG158" s="368" t="str">
        <f t="shared" si="463"/>
        <v/>
      </c>
      <c r="GH158" s="65">
        <f t="shared" si="464"/>
        <v>0</v>
      </c>
      <c r="GI158" s="66">
        <f t="shared" si="465"/>
        <v>0</v>
      </c>
      <c r="GJ158" s="66" t="str">
        <f t="shared" si="466"/>
        <v/>
      </c>
      <c r="GK158" s="100" t="str">
        <f>IF(AND(F158="",B158=""),"",IF('Student DATA Entry'!M155="","",'Student DATA Entry'!M155))</f>
        <v/>
      </c>
      <c r="GL158" s="101" t="str">
        <f>IF(AND(B158="",F158=""),"",IF('Student DATA Entry'!N155="","",'Student DATA Entry'!N155))</f>
        <v/>
      </c>
      <c r="GM158" s="581" t="str">
        <f t="shared" si="467"/>
        <v/>
      </c>
      <c r="GN158" s="94" t="str">
        <f t="shared" si="468"/>
        <v/>
      </c>
      <c r="GO158" s="94" t="str">
        <f t="shared" si="469"/>
        <v/>
      </c>
      <c r="GP158" s="102" t="str">
        <f t="shared" si="407"/>
        <v/>
      </c>
      <c r="GQ158" s="94" t="str">
        <f t="shared" si="470"/>
        <v/>
      </c>
      <c r="GR158" s="103" t="str">
        <f t="shared" si="471"/>
        <v/>
      </c>
      <c r="GS158" s="102" t="str">
        <f t="shared" si="408"/>
        <v/>
      </c>
      <c r="GT158" s="104" t="str">
        <f t="shared" si="472"/>
        <v/>
      </c>
      <c r="GU158" s="94" t="str">
        <f>IF('Marks Entry'!V158=1,GT158,"")</f>
        <v/>
      </c>
      <c r="GV158" s="94" t="str">
        <f>IF('Marks Entry'!V158=2,GT158,"")</f>
        <v/>
      </c>
      <c r="GW158" s="94" t="str">
        <f>IF('Marks Entry'!V158=3,GT158,"")</f>
        <v/>
      </c>
      <c r="GX158" s="94" t="str">
        <f>IF('Marks Entry'!V158=4,GT158,"")</f>
        <v/>
      </c>
      <c r="GY158" s="94" t="str">
        <f>IF('Marks Entry'!V158=5,GT158,"")</f>
        <v/>
      </c>
      <c r="GZ158" s="94" t="str">
        <f t="shared" si="473"/>
        <v/>
      </c>
      <c r="HA158" s="105" t="str">
        <f t="shared" si="409"/>
        <v/>
      </c>
      <c r="HB158" s="94" t="str">
        <f t="shared" si="474"/>
        <v/>
      </c>
      <c r="HC158" s="94" t="str">
        <f t="shared" si="475"/>
        <v/>
      </c>
      <c r="HD158" s="105" t="str">
        <f t="shared" si="410"/>
        <v/>
      </c>
      <c r="HE158" s="94" t="str">
        <f t="shared" si="476"/>
        <v/>
      </c>
      <c r="HF158" s="94" t="str">
        <f t="shared" si="477"/>
        <v/>
      </c>
      <c r="HG158" s="105" t="str">
        <f t="shared" si="411"/>
        <v/>
      </c>
      <c r="HH158" s="94" t="str">
        <f t="shared" si="478"/>
        <v/>
      </c>
      <c r="HI158" s="94" t="str">
        <f t="shared" si="479"/>
        <v/>
      </c>
      <c r="HJ158" s="105" t="str">
        <f t="shared" si="412"/>
        <v/>
      </c>
      <c r="HK158" s="94" t="str">
        <f t="shared" si="480"/>
        <v/>
      </c>
      <c r="HL158" s="94" t="str">
        <f t="shared" si="481"/>
        <v/>
      </c>
      <c r="HM158" s="105" t="str">
        <f t="shared" si="413"/>
        <v/>
      </c>
      <c r="HN158" s="367" t="str">
        <f t="shared" si="482"/>
        <v xml:space="preserve">      </v>
      </c>
      <c r="HO158" s="418" t="str">
        <f t="shared" si="414"/>
        <v xml:space="preserve">      </v>
      </c>
      <c r="HP158" s="367" t="str">
        <f t="shared" si="483"/>
        <v xml:space="preserve">      </v>
      </c>
      <c r="HQ158" s="107" t="str">
        <f t="shared" si="484"/>
        <v xml:space="preserve">      </v>
      </c>
      <c r="HR158" s="366" t="str">
        <f t="shared" si="485"/>
        <v xml:space="preserve">      </v>
      </c>
      <c r="HS158" s="544" t="str">
        <f t="shared" si="415"/>
        <v/>
      </c>
      <c r="HT158" s="542" t="str">
        <f t="shared" si="486"/>
        <v/>
      </c>
      <c r="HU158" s="541" t="str">
        <f t="shared" si="487"/>
        <v/>
      </c>
      <c r="HV158" s="540" t="str">
        <f t="shared" si="488"/>
        <v/>
      </c>
      <c r="HW158" s="537" t="str">
        <f t="shared" si="489"/>
        <v/>
      </c>
      <c r="HX158" s="539" t="str">
        <f t="shared" si="490"/>
        <v/>
      </c>
      <c r="HY158" s="553" t="str">
        <f>IFERROR(IF(OR(HS158="SUPPLEMENTARY",HS158="RE-EXAM"),'Supp. Result Entry'!AQ156,""),"")</f>
        <v/>
      </c>
      <c r="HZ158" s="538" t="str">
        <f t="shared" si="491"/>
        <v/>
      </c>
      <c r="IA158" s="415" t="str">
        <f t="shared" si="492"/>
        <v/>
      </c>
      <c r="IB158" s="415" t="str">
        <f>IF(AND(HZ158="",IA158=""),"",IF(OR(HS158="SUPPLEMENTARY",HS158="RE-EXAM"),'Supp. Result Entry'!AQ156,HS158))</f>
        <v/>
      </c>
      <c r="IC158" s="87"/>
      <c r="IS158" s="109" t="str">
        <f>IF('Supp. Result Entry'!T156="","",'Supp. Result Entry'!$T$4)</f>
        <v/>
      </c>
      <c r="IT158" s="110" t="str">
        <f>IF('Supp. Result Entry'!W156="","",'Supp. Result Entry'!$W$4)</f>
        <v/>
      </c>
      <c r="IU158" s="110" t="str">
        <f>IF('Supp. Result Entry'!Z156="","",'Supp. Result Entry'!$Z$4)</f>
        <v/>
      </c>
      <c r="IV158" s="110" t="str">
        <f>IF('Supp. Result Entry'!AC156="","",'Supp. Result Entry'!$AC$4)</f>
        <v/>
      </c>
      <c r="IW158" s="110" t="str">
        <f>IF('Supp. Result Entry'!AF156="","",'Supp. Result Entry'!$AF$4)</f>
        <v/>
      </c>
      <c r="IX158" s="110" t="str">
        <f>IF('Supp. Result Entry'!AI156="","",'Supp. Result Entry'!$AI$4)</f>
        <v/>
      </c>
      <c r="IY158" s="110" t="str">
        <f>IF('Supp. Result Entry'!AI156="","",'Supp. Result Entry'!$AL$4)</f>
        <v/>
      </c>
      <c r="IZ158" s="110" t="str">
        <f>IF('Supp. Result Entry'!U156="","",'Supp. Result Entry'!U156)</f>
        <v/>
      </c>
      <c r="JA158" s="110" t="str">
        <f>IF('Supp. Result Entry'!X156="","",'Supp. Result Entry'!X156)</f>
        <v/>
      </c>
      <c r="JB158" s="110" t="str">
        <f>IF('Supp. Result Entry'!AA156="","",'Supp. Result Entry'!AA156)</f>
        <v/>
      </c>
      <c r="JC158" s="110" t="str">
        <f>IF('Supp. Result Entry'!AD156="","",'Supp. Result Entry'!AD156)</f>
        <v/>
      </c>
      <c r="JD158" s="110" t="str">
        <f>IF('Supp. Result Entry'!AG156="","",'Supp. Result Entry'!AG156)</f>
        <v/>
      </c>
      <c r="JE158" s="110" t="str">
        <f>IF('Supp. Result Entry'!AJ156="","",'Supp. Result Entry'!AJ156)</f>
        <v/>
      </c>
      <c r="JF158" s="110" t="str">
        <f>IF('Supp. Result Entry'!AM156="","",'Supp. Result Entry'!AM156)</f>
        <v/>
      </c>
      <c r="JG158" s="110" t="str">
        <f>IF('Supp. Result Entry'!V156="","",'Supp. Result Entry'!V156)</f>
        <v/>
      </c>
      <c r="JH158" s="110" t="str">
        <f>IF('Supp. Result Entry'!Y156="","",'Supp. Result Entry'!Y156)</f>
        <v/>
      </c>
      <c r="JI158" s="110" t="str">
        <f>IF('Supp. Result Entry'!AB156="","",'Supp. Result Entry'!AB156)</f>
        <v/>
      </c>
      <c r="JJ158" s="110" t="str">
        <f>IF('Supp. Result Entry'!AE156="","",'Supp. Result Entry'!AE156)</f>
        <v/>
      </c>
      <c r="JK158" s="110" t="str">
        <f>IF('Supp. Result Entry'!AH156="","",'Supp. Result Entry'!AH156)</f>
        <v/>
      </c>
      <c r="JL158" s="110" t="str">
        <f>IF('Supp. Result Entry'!AK156="","",'Supp. Result Entry'!AK156)</f>
        <v/>
      </c>
      <c r="JM158" s="110" t="str">
        <f>IF('Supp. Result Entry'!AN156="","",'Supp. Result Entry'!AN156)</f>
        <v/>
      </c>
      <c r="JN158" s="110">
        <f>COUNTIF('Supp. Result Entry'!K156:Q156,"S")</f>
        <v>0</v>
      </c>
      <c r="JO158" s="110">
        <f t="shared" si="416"/>
        <v>0</v>
      </c>
      <c r="JP158" s="110">
        <f t="shared" si="493"/>
        <v>0</v>
      </c>
      <c r="JQ158" s="110" t="str">
        <f t="shared" si="417"/>
        <v/>
      </c>
      <c r="JR158" s="110" t="str">
        <f t="shared" si="418"/>
        <v/>
      </c>
      <c r="JS158" s="110" t="str">
        <f t="shared" si="419"/>
        <v/>
      </c>
      <c r="JT158" s="110" t="str">
        <f t="shared" si="420"/>
        <v/>
      </c>
      <c r="JU158" s="110" t="str">
        <f t="shared" si="421"/>
        <v/>
      </c>
      <c r="JV158" s="110" t="str">
        <f t="shared" si="422"/>
        <v/>
      </c>
      <c r="JW158" s="110" t="str">
        <f t="shared" si="423"/>
        <v/>
      </c>
      <c r="JX158" s="110" t="str">
        <f t="shared" si="494"/>
        <v/>
      </c>
      <c r="JY158" s="110" t="str">
        <f t="shared" si="495"/>
        <v/>
      </c>
      <c r="JZ158" s="110" t="str">
        <f t="shared" si="424"/>
        <v/>
      </c>
      <c r="KA158" s="108" t="str">
        <f t="shared" si="496"/>
        <v/>
      </c>
    </row>
    <row r="159" spans="1:287" s="108" customFormat="1" ht="21.95" customHeight="1">
      <c r="A159" s="89">
        <v>153</v>
      </c>
      <c r="B159" s="90" t="str">
        <f>IF('Marks Entry'!B159="","",'Marks Entry'!B159)</f>
        <v/>
      </c>
      <c r="C159" s="94" t="str">
        <f>IF('Marks Entry'!D159="","",'Marks Entry'!D159)</f>
        <v/>
      </c>
      <c r="D159" s="91" t="str">
        <f>IF('Marks Entry'!E159="","",'Marks Entry'!E159)</f>
        <v/>
      </c>
      <c r="E159" s="92" t="str">
        <f>IF('Marks Entry'!F159="","",'Marks Entry'!F159)</f>
        <v/>
      </c>
      <c r="F159" s="93" t="str">
        <f>IF('Marks Entry'!G159="","",'Marks Entry'!G159)</f>
        <v/>
      </c>
      <c r="G159" s="93" t="str">
        <f>IF('Marks Entry'!H159="","",'Marks Entry'!H159)</f>
        <v/>
      </c>
      <c r="H159" s="93" t="str">
        <f>IF('Marks Entry'!I159="","",'Marks Entry'!I159)</f>
        <v/>
      </c>
      <c r="I159" s="94" t="str">
        <f>IF('Marks Entry'!J159="","",'Marks Entry'!J159)</f>
        <v/>
      </c>
      <c r="J159" s="95" t="str">
        <f>IF('Marks Entry'!K159="","",'Marks Entry'!K159)</f>
        <v/>
      </c>
      <c r="K159" s="68" t="str">
        <f>IF('Marks Entry'!L159="","",'Marks Entry'!L159)</f>
        <v/>
      </c>
      <c r="L159" s="68" t="str">
        <f>IF('Marks Entry'!M159="","",'Marks Entry'!M159)</f>
        <v/>
      </c>
      <c r="M159" s="68" t="str">
        <f>IF('Marks Entry'!N159="","",'Marks Entry'!N159)</f>
        <v/>
      </c>
      <c r="N159" s="514" t="str">
        <f t="shared" si="425"/>
        <v/>
      </c>
      <c r="O159" s="68" t="str">
        <f>IF('Marks Entry'!O159="","",'Marks Entry'!O159)</f>
        <v/>
      </c>
      <c r="P159" s="515" t="str">
        <f t="shared" si="426"/>
        <v/>
      </c>
      <c r="Q159" s="68" t="str">
        <f>IF('Marks Entry'!P159="","",'Marks Entry'!P159)</f>
        <v/>
      </c>
      <c r="R159" s="96" t="str">
        <f t="shared" si="427"/>
        <v/>
      </c>
      <c r="S159" s="65">
        <f t="shared" si="428"/>
        <v>0</v>
      </c>
      <c r="T159" s="65">
        <f t="shared" si="429"/>
        <v>0</v>
      </c>
      <c r="U159" s="66" t="str">
        <f t="shared" si="339"/>
        <v/>
      </c>
      <c r="V159" s="65" t="str">
        <f t="shared" si="340"/>
        <v/>
      </c>
      <c r="W159" s="65" t="str">
        <f t="shared" si="430"/>
        <v/>
      </c>
      <c r="X159" s="65" t="str">
        <f t="shared" si="341"/>
        <v/>
      </c>
      <c r="Y159" s="68" t="str">
        <f>IF('Marks Entry'!Q159="","",'Marks Entry'!Q159)</f>
        <v/>
      </c>
      <c r="Z159" s="68" t="str">
        <f>IF('Marks Entry'!R159="","",'Marks Entry'!R159)</f>
        <v/>
      </c>
      <c r="AA159" s="68" t="str">
        <f>IF('Marks Entry'!S159="","",'Marks Entry'!S159)</f>
        <v/>
      </c>
      <c r="AB159" s="514" t="str">
        <f t="shared" si="342"/>
        <v/>
      </c>
      <c r="AC159" s="68" t="str">
        <f>IF('Marks Entry'!T159="","",'Marks Entry'!T159)</f>
        <v/>
      </c>
      <c r="AD159" s="515" t="str">
        <f t="shared" si="343"/>
        <v/>
      </c>
      <c r="AE159" s="68" t="str">
        <f>IF('Marks Entry'!U159="","",'Marks Entry'!U159)</f>
        <v/>
      </c>
      <c r="AF159" s="96" t="str">
        <f t="shared" si="344"/>
        <v/>
      </c>
      <c r="AG159" s="65">
        <f t="shared" si="345"/>
        <v>0</v>
      </c>
      <c r="AH159" s="65">
        <f t="shared" si="346"/>
        <v>0</v>
      </c>
      <c r="AI159" s="66" t="str">
        <f t="shared" si="347"/>
        <v/>
      </c>
      <c r="AJ159" s="65" t="str">
        <f t="shared" si="348"/>
        <v/>
      </c>
      <c r="AK159" s="65" t="str">
        <f t="shared" si="349"/>
        <v/>
      </c>
      <c r="AL159" s="65" t="str">
        <f t="shared" si="350"/>
        <v/>
      </c>
      <c r="AM159" s="524" t="str">
        <f>IF('Marks Entry'!V159="","",IF('Marks Entry'!V159=1,'School Profile'!$I$9,IF('Marks Entry'!V159=2,'School Profile'!$I$10,IF('Marks Entry'!V159=3,'School Profile'!$I$11,IF('Marks Entry'!V159=4,'School Profile'!$I$12,IF('Marks Entry'!V159=5,'School Profile'!$I$13,IF('Marks Entry'!V159=6,'School Profile'!$I$14,"")))))))</f>
        <v/>
      </c>
      <c r="AN159" s="68" t="str">
        <f>IF('Marks Entry'!W159="","",'Marks Entry'!W159)</f>
        <v/>
      </c>
      <c r="AO159" s="68" t="str">
        <f>IF('Marks Entry'!X159="","",'Marks Entry'!X159)</f>
        <v/>
      </c>
      <c r="AP159" s="68" t="str">
        <f>IF('Marks Entry'!Y159="","",'Marks Entry'!Y159)</f>
        <v/>
      </c>
      <c r="AQ159" s="514" t="str">
        <f t="shared" si="351"/>
        <v/>
      </c>
      <c r="AR159" s="68" t="str">
        <f>IF('Marks Entry'!Z159="","",'Marks Entry'!Z159)</f>
        <v/>
      </c>
      <c r="AS159" s="515" t="str">
        <f t="shared" si="352"/>
        <v/>
      </c>
      <c r="AT159" s="68" t="str">
        <f>IF('Marks Entry'!AA159="","",'Marks Entry'!AA159)</f>
        <v/>
      </c>
      <c r="AU159" s="96" t="str">
        <f t="shared" si="353"/>
        <v/>
      </c>
      <c r="AV159" s="65">
        <f t="shared" si="354"/>
        <v>0</v>
      </c>
      <c r="AW159" s="65">
        <f t="shared" si="355"/>
        <v>0</v>
      </c>
      <c r="AX159" s="66" t="str">
        <f t="shared" si="356"/>
        <v/>
      </c>
      <c r="AY159" s="65" t="str">
        <f t="shared" si="357"/>
        <v/>
      </c>
      <c r="AZ159" s="65" t="str">
        <f t="shared" si="358"/>
        <v/>
      </c>
      <c r="BA159" s="65" t="str">
        <f t="shared" si="359"/>
        <v/>
      </c>
      <c r="BB159" s="68" t="str">
        <f>IF('Marks Entry'!AB159="","",'Marks Entry'!AB159)</f>
        <v/>
      </c>
      <c r="BC159" s="68" t="str">
        <f>IF('Marks Entry'!AC159="","",'Marks Entry'!AC159)</f>
        <v/>
      </c>
      <c r="BD159" s="68" t="str">
        <f>IF('Marks Entry'!AD159="","",'Marks Entry'!AD159)</f>
        <v/>
      </c>
      <c r="BE159" s="514" t="str">
        <f t="shared" si="360"/>
        <v/>
      </c>
      <c r="BF159" s="68" t="str">
        <f>IF('Marks Entry'!AE159="","",'Marks Entry'!AE159)</f>
        <v/>
      </c>
      <c r="BG159" s="515" t="str">
        <f t="shared" si="361"/>
        <v/>
      </c>
      <c r="BH159" s="68" t="str">
        <f>IF('Marks Entry'!AF159="","",'Marks Entry'!AF159)</f>
        <v/>
      </c>
      <c r="BI159" s="96" t="str">
        <f t="shared" si="362"/>
        <v/>
      </c>
      <c r="BJ159" s="65">
        <f t="shared" si="363"/>
        <v>0</v>
      </c>
      <c r="BK159" s="65">
        <f t="shared" si="431"/>
        <v>0</v>
      </c>
      <c r="BL159" s="66" t="str">
        <f t="shared" si="364"/>
        <v/>
      </c>
      <c r="BM159" s="65" t="str">
        <f t="shared" si="365"/>
        <v/>
      </c>
      <c r="BN159" s="65" t="str">
        <f t="shared" si="366"/>
        <v/>
      </c>
      <c r="BO159" s="65" t="str">
        <f t="shared" si="367"/>
        <v/>
      </c>
      <c r="BP159" s="68" t="str">
        <f>IF('Marks Entry'!AG159="","",'Marks Entry'!AG159)</f>
        <v/>
      </c>
      <c r="BQ159" s="68" t="str">
        <f>IF('Marks Entry'!AH159="","",'Marks Entry'!AH159)</f>
        <v/>
      </c>
      <c r="BR159" s="68" t="str">
        <f>IF('Marks Entry'!AI159="","",'Marks Entry'!AI159)</f>
        <v/>
      </c>
      <c r="BS159" s="514" t="str">
        <f t="shared" si="368"/>
        <v/>
      </c>
      <c r="BT159" s="68" t="str">
        <f>IF('Marks Entry'!AJ159="","",'Marks Entry'!AJ159)</f>
        <v/>
      </c>
      <c r="BU159" s="515" t="str">
        <f t="shared" si="369"/>
        <v/>
      </c>
      <c r="BV159" s="68" t="str">
        <f>IF('Marks Entry'!AK159="","",'Marks Entry'!AK159)</f>
        <v/>
      </c>
      <c r="BW159" s="96" t="str">
        <f t="shared" si="370"/>
        <v/>
      </c>
      <c r="BX159" s="65">
        <f t="shared" si="371"/>
        <v>0</v>
      </c>
      <c r="BY159" s="65">
        <f t="shared" si="372"/>
        <v>0</v>
      </c>
      <c r="BZ159" s="66" t="str">
        <f t="shared" si="373"/>
        <v/>
      </c>
      <c r="CA159" s="65" t="str">
        <f t="shared" si="374"/>
        <v/>
      </c>
      <c r="CB159" s="65" t="str">
        <f t="shared" si="375"/>
        <v/>
      </c>
      <c r="CC159" s="65" t="str">
        <f t="shared" si="376"/>
        <v/>
      </c>
      <c r="CD159" s="66">
        <f t="shared" si="377"/>
        <v>0</v>
      </c>
      <c r="CE159" s="68" t="str">
        <f>IF('Marks Entry'!AL159="","",'Marks Entry'!AL159)</f>
        <v/>
      </c>
      <c r="CF159" s="68" t="str">
        <f>IF('Marks Entry'!AM159="","",'Marks Entry'!AM159)</f>
        <v/>
      </c>
      <c r="CG159" s="68" t="str">
        <f>IF('Marks Entry'!AN159="","",'Marks Entry'!AN159)</f>
        <v/>
      </c>
      <c r="CH159" s="514" t="str">
        <f t="shared" si="378"/>
        <v/>
      </c>
      <c r="CI159" s="68" t="str">
        <f>IF('Marks Entry'!AO159="","",'Marks Entry'!AO159)</f>
        <v/>
      </c>
      <c r="CJ159" s="515" t="str">
        <f t="shared" si="379"/>
        <v/>
      </c>
      <c r="CK159" s="68" t="str">
        <f>IF('Marks Entry'!AP159="","",'Marks Entry'!AP159)</f>
        <v/>
      </c>
      <c r="CL159" s="96" t="str">
        <f t="shared" si="380"/>
        <v/>
      </c>
      <c r="CM159" s="65">
        <f t="shared" si="381"/>
        <v>0</v>
      </c>
      <c r="CN159" s="65">
        <f t="shared" si="382"/>
        <v>0</v>
      </c>
      <c r="CO159" s="66" t="str">
        <f t="shared" si="383"/>
        <v/>
      </c>
      <c r="CP159" s="65" t="str">
        <f t="shared" si="384"/>
        <v/>
      </c>
      <c r="CQ159" s="65" t="str">
        <f t="shared" si="385"/>
        <v/>
      </c>
      <c r="CR159" s="65" t="str">
        <f t="shared" si="386"/>
        <v/>
      </c>
      <c r="CS159" s="616" t="str">
        <f>IF('School Profile'!$D$20="NO","",IF('Marks Entry'!AQ159="","",IF('Marks Entry'!AQ159=1,'School Profile'!$I$29,IF('Marks Entry'!AQ159=2,'School Profile'!$I$30,IF('Marks Entry'!AQ159=3,'School Profile'!$I$31,IF('Marks Entry'!AQ159=4,'School Profile'!$I$32,IF('Marks Entry'!AQ159=5,'School Profile'!$I$33,IF('Marks Entry'!AQ159=6,'School Profile'!$I$34,IF('Marks Entry'!AQ159=7,'School Profile'!$I$35,IF('Marks Entry'!AQ159=8,'School Profile'!$I$36,IF('Marks Entry'!AQ159=9,'School Profile'!$I$37,IF('Marks Entry'!AQ159=10,'School Profile'!$I$38,IF('Marks Entry'!AQ159=11,'School Profile'!$I$39,"")))))))))))))</f>
        <v/>
      </c>
      <c r="CT159" s="68" t="str">
        <f>IF('School Profile'!$D$20="NO","",IF('Marks Entry'!AR159="","",'Marks Entry'!AR159))</f>
        <v/>
      </c>
      <c r="CU159" s="68" t="str">
        <f>IF('School Profile'!$D$20="NO","",IF('Marks Entry'!AS159="","",'Marks Entry'!AS159))</f>
        <v/>
      </c>
      <c r="CV159" s="68" t="str">
        <f>IF('School Profile'!$D$20="NO","",IF('Marks Entry'!AT159="","",'Marks Entry'!AT159))</f>
        <v/>
      </c>
      <c r="CW159" s="514" t="str">
        <f>IF('School Profile'!$D$20="NO","",IF(AND(CT159="",CU159="",CV159=""),"",SUM(CT159:CV159)))</f>
        <v/>
      </c>
      <c r="CX159" s="68" t="str">
        <f>IF('School Profile'!$D$20="NO","",IF('Marks Entry'!AU159="","",'Marks Entry'!AU159))</f>
        <v/>
      </c>
      <c r="CY159" s="68" t="str">
        <f>IF('School Profile'!$D$20="NO","",IF('Marks Entry'!AV159="","",'Marks Entry'!AV159))</f>
        <v/>
      </c>
      <c r="CZ159" s="515" t="str">
        <f>IF('School Profile'!$D$20="NO","",IF(AND(CX159="",CY159=""),"",SUM(CX159,CY159)))</f>
        <v/>
      </c>
      <c r="DA159" s="69" t="str">
        <f>IF('School Profile'!$D$20="NO","",IF(AND(CW159="",CZ159=""),"",SUM(CW159+CZ159)))</f>
        <v/>
      </c>
      <c r="DB159" s="68" t="str">
        <f>IF('School Profile'!$D$20="NO","",IF('Marks Entry'!AW159="","",'Marks Entry'!AW159))</f>
        <v/>
      </c>
      <c r="DC159" s="68" t="str">
        <f>IF('School Profile'!$D$20="NO","",IF('Marks Entry'!AX159="","",'Marks Entry'!AX159))</f>
        <v/>
      </c>
      <c r="DD159" s="515" t="str">
        <f>IF('School Profile'!$D$20="NO","",IF(AND(DB159="",DC159=""),"",SUM(DB159,DC159)))</f>
        <v/>
      </c>
      <c r="DE159" s="96" t="str">
        <f>IF('School Profile'!$D$20="NO","",IF(AND(DA159="",DD159=""),"",SUM(DA159,DD159)))</f>
        <v/>
      </c>
      <c r="DF159" s="532">
        <f t="shared" si="387"/>
        <v>0</v>
      </c>
      <c r="DG159" s="65">
        <f t="shared" si="388"/>
        <v>0</v>
      </c>
      <c r="DH159" s="66" t="str">
        <f t="shared" si="389"/>
        <v/>
      </c>
      <c r="DI159" s="65" t="str">
        <f t="shared" si="390"/>
        <v/>
      </c>
      <c r="DJ159" s="65" t="str">
        <f t="shared" si="391"/>
        <v/>
      </c>
      <c r="DK159" s="65" t="str">
        <f t="shared" si="392"/>
        <v/>
      </c>
      <c r="DL159" s="97" t="str">
        <f t="shared" si="432"/>
        <v/>
      </c>
      <c r="DM159" s="97" t="str">
        <f t="shared" si="433"/>
        <v/>
      </c>
      <c r="DN159" s="97" t="str">
        <f t="shared" si="434"/>
        <v/>
      </c>
      <c r="DO159" s="97" t="str">
        <f t="shared" si="435"/>
        <v/>
      </c>
      <c r="DP159" s="97" t="str">
        <f t="shared" si="436"/>
        <v/>
      </c>
      <c r="DQ159" s="97" t="str">
        <f t="shared" si="437"/>
        <v/>
      </c>
      <c r="DR159" s="97" t="str">
        <f t="shared" si="438"/>
        <v/>
      </c>
      <c r="DS159" s="98">
        <f t="shared" si="439"/>
        <v>0</v>
      </c>
      <c r="DT159" s="98">
        <f t="shared" si="440"/>
        <v>0</v>
      </c>
      <c r="DU159" s="98">
        <f t="shared" si="441"/>
        <v>0</v>
      </c>
      <c r="DV159" s="98">
        <f t="shared" si="442"/>
        <v>0</v>
      </c>
      <c r="DW159" s="98">
        <f t="shared" si="443"/>
        <v>0</v>
      </c>
      <c r="DX159" s="98" t="str">
        <f t="shared" si="444"/>
        <v/>
      </c>
      <c r="DY159" s="99" t="str">
        <f t="shared" si="445"/>
        <v/>
      </c>
      <c r="DZ159" s="74" t="str">
        <f>IF('Marks Entry'!AY159="","",'Marks Entry'!AY159)</f>
        <v/>
      </c>
      <c r="EA159" s="74" t="str">
        <f>IF('Marks Entry'!AZ159="","",'Marks Entry'!AZ159)</f>
        <v/>
      </c>
      <c r="EB159" s="74" t="str">
        <f>IF('Marks Entry'!BA159="","",'Marks Entry'!BA159)</f>
        <v/>
      </c>
      <c r="EC159" s="527" t="str">
        <f t="shared" si="393"/>
        <v/>
      </c>
      <c r="ED159" s="74" t="str">
        <f>IF('Marks Entry'!BB159="","",'Marks Entry'!BB159)</f>
        <v/>
      </c>
      <c r="EE159" s="528" t="str">
        <f t="shared" si="394"/>
        <v/>
      </c>
      <c r="EF159" s="74" t="str">
        <f>IF('Marks Entry'!BC159="","",'Marks Entry'!BC159)</f>
        <v/>
      </c>
      <c r="EG159" s="530" t="str">
        <f t="shared" si="395"/>
        <v/>
      </c>
      <c r="EH159" s="368" t="str">
        <f t="shared" si="446"/>
        <v/>
      </c>
      <c r="EI159" s="65">
        <f t="shared" si="447"/>
        <v>0</v>
      </c>
      <c r="EJ159" s="65">
        <f t="shared" si="448"/>
        <v>0</v>
      </c>
      <c r="EK159" s="66" t="str">
        <f t="shared" si="449"/>
        <v/>
      </c>
      <c r="EL159" s="74" t="str">
        <f>IF('Marks Entry'!BD159="","",'Marks Entry'!BD159)</f>
        <v/>
      </c>
      <c r="EM159" s="74" t="str">
        <f>IF('Marks Entry'!BE159="","",'Marks Entry'!BE159)</f>
        <v/>
      </c>
      <c r="EN159" s="74" t="str">
        <f>IF('Marks Entry'!BF159="","",'Marks Entry'!BF159)</f>
        <v/>
      </c>
      <c r="EO159" s="527" t="str">
        <f t="shared" si="396"/>
        <v/>
      </c>
      <c r="EP159" s="74" t="str">
        <f>IF('Marks Entry'!BG159="","",'Marks Entry'!BG159)</f>
        <v/>
      </c>
      <c r="EQ159" s="74" t="str">
        <f>IF('Marks Entry'!BH159="","",'Marks Entry'!BH159)</f>
        <v/>
      </c>
      <c r="ER159" s="528" t="str">
        <f t="shared" si="397"/>
        <v/>
      </c>
      <c r="ES159" s="529" t="str">
        <f t="shared" si="398"/>
        <v/>
      </c>
      <c r="ET159" s="74" t="str">
        <f>IF('Marks Entry'!BI159="","",'Marks Entry'!BI159)</f>
        <v/>
      </c>
      <c r="EU159" s="74" t="str">
        <f>IF('Marks Entry'!BJ159="","",'Marks Entry'!BJ159)</f>
        <v/>
      </c>
      <c r="EV159" s="528" t="str">
        <f t="shared" si="399"/>
        <v/>
      </c>
      <c r="EW159" s="530" t="str">
        <f t="shared" si="400"/>
        <v/>
      </c>
      <c r="EX159" s="368" t="str">
        <f t="shared" si="450"/>
        <v/>
      </c>
      <c r="EY159" s="65">
        <f t="shared" si="451"/>
        <v>0</v>
      </c>
      <c r="EZ159" s="65">
        <f t="shared" si="452"/>
        <v>0</v>
      </c>
      <c r="FA159" s="66" t="str">
        <f t="shared" si="453"/>
        <v/>
      </c>
      <c r="FB159" s="74" t="str">
        <f>IF('Marks Entry'!BK159="","",'Marks Entry'!BK159)</f>
        <v/>
      </c>
      <c r="FC159" s="74" t="str">
        <f>IF('Marks Entry'!BL159="","",'Marks Entry'!BL159)</f>
        <v/>
      </c>
      <c r="FD159" s="74" t="str">
        <f>IF('Marks Entry'!BM159="","",'Marks Entry'!BM159)</f>
        <v/>
      </c>
      <c r="FE159" s="74" t="str">
        <f>IF('Marks Entry'!BN159="","",'Marks Entry'!BN159)</f>
        <v/>
      </c>
      <c r="FF159" s="74" t="str">
        <f>IF('Marks Entry'!BO159="","",'Marks Entry'!BO159)</f>
        <v/>
      </c>
      <c r="FG159" s="74" t="str">
        <f>IF('Marks Entry'!BP159="","",'Marks Entry'!BP159)</f>
        <v/>
      </c>
      <c r="FH159" s="527" t="str">
        <f t="shared" si="401"/>
        <v/>
      </c>
      <c r="FI159" s="74" t="str">
        <f>IF('Marks Entry'!BQ159="","",'Marks Entry'!BQ159)</f>
        <v/>
      </c>
      <c r="FJ159" s="74" t="str">
        <f>IF('Marks Entry'!BR159="","",'Marks Entry'!BR159)</f>
        <v/>
      </c>
      <c r="FK159" s="528" t="str">
        <f t="shared" si="402"/>
        <v/>
      </c>
      <c r="FL159" s="529" t="str">
        <f t="shared" si="403"/>
        <v/>
      </c>
      <c r="FM159" s="74" t="str">
        <f>IF('Marks Entry'!BS159="","",'Marks Entry'!BS159)</f>
        <v/>
      </c>
      <c r="FN159" s="74" t="str">
        <f>IF('Marks Entry'!BT159="","",'Marks Entry'!BT159)</f>
        <v/>
      </c>
      <c r="FO159" s="528" t="str">
        <f t="shared" si="404"/>
        <v/>
      </c>
      <c r="FP159" s="530" t="str">
        <f t="shared" si="405"/>
        <v/>
      </c>
      <c r="FQ159" s="368" t="str">
        <f t="shared" si="454"/>
        <v/>
      </c>
      <c r="FR159" s="65">
        <f t="shared" si="455"/>
        <v>0</v>
      </c>
      <c r="FS159" s="65">
        <f t="shared" si="456"/>
        <v>0</v>
      </c>
      <c r="FT159" s="66" t="str">
        <f t="shared" si="457"/>
        <v/>
      </c>
      <c r="FU159" s="74" t="str">
        <f>IF('Marks Entry'!BU159="","",'Marks Entry'!BU159)</f>
        <v/>
      </c>
      <c r="FV159" s="74" t="str">
        <f>IF('Marks Entry'!BV159="","",'Marks Entry'!BV159)</f>
        <v/>
      </c>
      <c r="FW159" s="74" t="str">
        <f>IF('Marks Entry'!BW159="","",'Marks Entry'!BW159)</f>
        <v/>
      </c>
      <c r="FX159" s="75" t="str">
        <f t="shared" si="406"/>
        <v/>
      </c>
      <c r="FY159" s="368" t="str">
        <f t="shared" si="458"/>
        <v/>
      </c>
      <c r="FZ159" s="65">
        <f t="shared" si="459"/>
        <v>0</v>
      </c>
      <c r="GA159" s="66">
        <f t="shared" si="460"/>
        <v>0</v>
      </c>
      <c r="GB159" s="66" t="str">
        <f t="shared" si="461"/>
        <v/>
      </c>
      <c r="GC159" s="74" t="str">
        <f>IF('Marks Entry'!BX159="","",'Marks Entry'!BX159)</f>
        <v/>
      </c>
      <c r="GD159" s="74" t="str">
        <f>IF('Marks Entry'!BY159="","",'Marks Entry'!BY159)</f>
        <v/>
      </c>
      <c r="GE159" s="74" t="str">
        <f>IF('Marks Entry'!BZ159="","",'Marks Entry'!BZ159)</f>
        <v/>
      </c>
      <c r="GF159" s="75" t="str">
        <f t="shared" si="462"/>
        <v/>
      </c>
      <c r="GG159" s="368" t="str">
        <f t="shared" si="463"/>
        <v/>
      </c>
      <c r="GH159" s="65">
        <f t="shared" si="464"/>
        <v>0</v>
      </c>
      <c r="GI159" s="66">
        <f t="shared" si="465"/>
        <v>0</v>
      </c>
      <c r="GJ159" s="66" t="str">
        <f t="shared" si="466"/>
        <v/>
      </c>
      <c r="GK159" s="100" t="str">
        <f>IF(AND(F159="",B159=""),"",IF('Student DATA Entry'!M156="","",'Student DATA Entry'!M156))</f>
        <v/>
      </c>
      <c r="GL159" s="101" t="str">
        <f>IF(AND(B159="",F159=""),"",IF('Student DATA Entry'!N156="","",'Student DATA Entry'!N156))</f>
        <v/>
      </c>
      <c r="GM159" s="581" t="str">
        <f t="shared" si="467"/>
        <v/>
      </c>
      <c r="GN159" s="94" t="str">
        <f t="shared" si="468"/>
        <v/>
      </c>
      <c r="GO159" s="94" t="str">
        <f t="shared" si="469"/>
        <v/>
      </c>
      <c r="GP159" s="102" t="str">
        <f t="shared" si="407"/>
        <v/>
      </c>
      <c r="GQ159" s="94" t="str">
        <f t="shared" si="470"/>
        <v/>
      </c>
      <c r="GR159" s="103" t="str">
        <f t="shared" si="471"/>
        <v/>
      </c>
      <c r="GS159" s="102" t="str">
        <f t="shared" si="408"/>
        <v/>
      </c>
      <c r="GT159" s="104" t="str">
        <f t="shared" si="472"/>
        <v/>
      </c>
      <c r="GU159" s="94" t="str">
        <f>IF('Marks Entry'!V159=1,GT159,"")</f>
        <v/>
      </c>
      <c r="GV159" s="94" t="str">
        <f>IF('Marks Entry'!V159=2,GT159,"")</f>
        <v/>
      </c>
      <c r="GW159" s="94" t="str">
        <f>IF('Marks Entry'!V159=3,GT159,"")</f>
        <v/>
      </c>
      <c r="GX159" s="94" t="str">
        <f>IF('Marks Entry'!V159=4,GT159,"")</f>
        <v/>
      </c>
      <c r="GY159" s="94" t="str">
        <f>IF('Marks Entry'!V159=5,GT159,"")</f>
        <v/>
      </c>
      <c r="GZ159" s="94" t="str">
        <f t="shared" si="473"/>
        <v/>
      </c>
      <c r="HA159" s="105" t="str">
        <f t="shared" si="409"/>
        <v/>
      </c>
      <c r="HB159" s="94" t="str">
        <f t="shared" si="474"/>
        <v/>
      </c>
      <c r="HC159" s="94" t="str">
        <f t="shared" si="475"/>
        <v/>
      </c>
      <c r="HD159" s="105" t="str">
        <f t="shared" si="410"/>
        <v/>
      </c>
      <c r="HE159" s="94" t="str">
        <f t="shared" si="476"/>
        <v/>
      </c>
      <c r="HF159" s="94" t="str">
        <f t="shared" si="477"/>
        <v/>
      </c>
      <c r="HG159" s="105" t="str">
        <f t="shared" si="411"/>
        <v/>
      </c>
      <c r="HH159" s="94" t="str">
        <f t="shared" si="478"/>
        <v/>
      </c>
      <c r="HI159" s="94" t="str">
        <f t="shared" si="479"/>
        <v/>
      </c>
      <c r="HJ159" s="105" t="str">
        <f t="shared" si="412"/>
        <v/>
      </c>
      <c r="HK159" s="94" t="str">
        <f t="shared" si="480"/>
        <v/>
      </c>
      <c r="HL159" s="94" t="str">
        <f t="shared" si="481"/>
        <v/>
      </c>
      <c r="HM159" s="105" t="str">
        <f t="shared" si="413"/>
        <v/>
      </c>
      <c r="HN159" s="367" t="str">
        <f t="shared" si="482"/>
        <v xml:space="preserve">      </v>
      </c>
      <c r="HO159" s="418" t="str">
        <f t="shared" si="414"/>
        <v xml:space="preserve">      </v>
      </c>
      <c r="HP159" s="367" t="str">
        <f t="shared" si="483"/>
        <v xml:space="preserve">      </v>
      </c>
      <c r="HQ159" s="107" t="str">
        <f t="shared" si="484"/>
        <v xml:space="preserve">      </v>
      </c>
      <c r="HR159" s="366" t="str">
        <f t="shared" si="485"/>
        <v xml:space="preserve">      </v>
      </c>
      <c r="HS159" s="544" t="str">
        <f t="shared" si="415"/>
        <v/>
      </c>
      <c r="HT159" s="542" t="str">
        <f t="shared" si="486"/>
        <v/>
      </c>
      <c r="HU159" s="541" t="str">
        <f t="shared" si="487"/>
        <v/>
      </c>
      <c r="HV159" s="540" t="str">
        <f t="shared" si="488"/>
        <v/>
      </c>
      <c r="HW159" s="537" t="str">
        <f t="shared" si="489"/>
        <v/>
      </c>
      <c r="HX159" s="539" t="str">
        <f t="shared" si="490"/>
        <v/>
      </c>
      <c r="HY159" s="553" t="str">
        <f>IFERROR(IF(OR(HS159="SUPPLEMENTARY",HS159="RE-EXAM"),'Supp. Result Entry'!AQ157,""),"")</f>
        <v/>
      </c>
      <c r="HZ159" s="538" t="str">
        <f t="shared" si="491"/>
        <v/>
      </c>
      <c r="IA159" s="415" t="str">
        <f t="shared" si="492"/>
        <v/>
      </c>
      <c r="IB159" s="415" t="str">
        <f>IF(AND(HZ159="",IA159=""),"",IF(OR(HS159="SUPPLEMENTARY",HS159="RE-EXAM"),'Supp. Result Entry'!AQ157,HS159))</f>
        <v/>
      </c>
      <c r="IC159" s="87"/>
      <c r="IS159" s="109" t="str">
        <f>IF('Supp. Result Entry'!T157="","",'Supp. Result Entry'!$T$4)</f>
        <v/>
      </c>
      <c r="IT159" s="110" t="str">
        <f>IF('Supp. Result Entry'!W157="","",'Supp. Result Entry'!$W$4)</f>
        <v/>
      </c>
      <c r="IU159" s="110" t="str">
        <f>IF('Supp. Result Entry'!Z157="","",'Supp. Result Entry'!$Z$4)</f>
        <v/>
      </c>
      <c r="IV159" s="110" t="str">
        <f>IF('Supp. Result Entry'!AC157="","",'Supp. Result Entry'!$AC$4)</f>
        <v/>
      </c>
      <c r="IW159" s="110" t="str">
        <f>IF('Supp. Result Entry'!AF157="","",'Supp. Result Entry'!$AF$4)</f>
        <v/>
      </c>
      <c r="IX159" s="110" t="str">
        <f>IF('Supp. Result Entry'!AI157="","",'Supp. Result Entry'!$AI$4)</f>
        <v/>
      </c>
      <c r="IY159" s="110" t="str">
        <f>IF('Supp. Result Entry'!AI157="","",'Supp. Result Entry'!$AL$4)</f>
        <v/>
      </c>
      <c r="IZ159" s="110" t="str">
        <f>IF('Supp. Result Entry'!U157="","",'Supp. Result Entry'!U157)</f>
        <v/>
      </c>
      <c r="JA159" s="110" t="str">
        <f>IF('Supp. Result Entry'!X157="","",'Supp. Result Entry'!X157)</f>
        <v/>
      </c>
      <c r="JB159" s="110" t="str">
        <f>IF('Supp. Result Entry'!AA157="","",'Supp. Result Entry'!AA157)</f>
        <v/>
      </c>
      <c r="JC159" s="110" t="str">
        <f>IF('Supp. Result Entry'!AD157="","",'Supp. Result Entry'!AD157)</f>
        <v/>
      </c>
      <c r="JD159" s="110" t="str">
        <f>IF('Supp. Result Entry'!AG157="","",'Supp. Result Entry'!AG157)</f>
        <v/>
      </c>
      <c r="JE159" s="110" t="str">
        <f>IF('Supp. Result Entry'!AJ157="","",'Supp. Result Entry'!AJ157)</f>
        <v/>
      </c>
      <c r="JF159" s="110" t="str">
        <f>IF('Supp. Result Entry'!AM157="","",'Supp. Result Entry'!AM157)</f>
        <v/>
      </c>
      <c r="JG159" s="110" t="str">
        <f>IF('Supp. Result Entry'!V157="","",'Supp. Result Entry'!V157)</f>
        <v/>
      </c>
      <c r="JH159" s="110" t="str">
        <f>IF('Supp. Result Entry'!Y157="","",'Supp. Result Entry'!Y157)</f>
        <v/>
      </c>
      <c r="JI159" s="110" t="str">
        <f>IF('Supp. Result Entry'!AB157="","",'Supp. Result Entry'!AB157)</f>
        <v/>
      </c>
      <c r="JJ159" s="110" t="str">
        <f>IF('Supp. Result Entry'!AE157="","",'Supp. Result Entry'!AE157)</f>
        <v/>
      </c>
      <c r="JK159" s="110" t="str">
        <f>IF('Supp. Result Entry'!AH157="","",'Supp. Result Entry'!AH157)</f>
        <v/>
      </c>
      <c r="JL159" s="110" t="str">
        <f>IF('Supp. Result Entry'!AK157="","",'Supp. Result Entry'!AK157)</f>
        <v/>
      </c>
      <c r="JM159" s="110" t="str">
        <f>IF('Supp. Result Entry'!AN157="","",'Supp. Result Entry'!AN157)</f>
        <v/>
      </c>
      <c r="JN159" s="110">
        <f>COUNTIF('Supp. Result Entry'!K157:Q157,"S")</f>
        <v>0</v>
      </c>
      <c r="JO159" s="110">
        <f t="shared" si="416"/>
        <v>0</v>
      </c>
      <c r="JP159" s="110">
        <f t="shared" si="493"/>
        <v>0</v>
      </c>
      <c r="JQ159" s="110" t="str">
        <f t="shared" si="417"/>
        <v/>
      </c>
      <c r="JR159" s="110" t="str">
        <f t="shared" si="418"/>
        <v/>
      </c>
      <c r="JS159" s="110" t="str">
        <f t="shared" si="419"/>
        <v/>
      </c>
      <c r="JT159" s="110" t="str">
        <f t="shared" si="420"/>
        <v/>
      </c>
      <c r="JU159" s="110" t="str">
        <f t="shared" si="421"/>
        <v/>
      </c>
      <c r="JV159" s="110" t="str">
        <f t="shared" si="422"/>
        <v/>
      </c>
      <c r="JW159" s="110" t="str">
        <f t="shared" si="423"/>
        <v/>
      </c>
      <c r="JX159" s="110" t="str">
        <f t="shared" si="494"/>
        <v/>
      </c>
      <c r="JY159" s="110" t="str">
        <f t="shared" si="495"/>
        <v/>
      </c>
      <c r="JZ159" s="110" t="str">
        <f t="shared" si="424"/>
        <v/>
      </c>
      <c r="KA159" s="108" t="str">
        <f t="shared" si="496"/>
        <v/>
      </c>
    </row>
    <row r="160" spans="1:287" s="108" customFormat="1" ht="21.95" customHeight="1">
      <c r="A160" s="89">
        <v>154</v>
      </c>
      <c r="B160" s="90" t="str">
        <f>IF('Marks Entry'!B160="","",'Marks Entry'!B160)</f>
        <v/>
      </c>
      <c r="C160" s="94" t="str">
        <f>IF('Marks Entry'!D160="","",'Marks Entry'!D160)</f>
        <v/>
      </c>
      <c r="D160" s="91" t="str">
        <f>IF('Marks Entry'!E160="","",'Marks Entry'!E160)</f>
        <v/>
      </c>
      <c r="E160" s="92" t="str">
        <f>IF('Marks Entry'!F160="","",'Marks Entry'!F160)</f>
        <v/>
      </c>
      <c r="F160" s="93" t="str">
        <f>IF('Marks Entry'!G160="","",'Marks Entry'!G160)</f>
        <v/>
      </c>
      <c r="G160" s="93" t="str">
        <f>IF('Marks Entry'!H160="","",'Marks Entry'!H160)</f>
        <v/>
      </c>
      <c r="H160" s="93" t="str">
        <f>IF('Marks Entry'!I160="","",'Marks Entry'!I160)</f>
        <v/>
      </c>
      <c r="I160" s="94" t="str">
        <f>IF('Marks Entry'!J160="","",'Marks Entry'!J160)</f>
        <v/>
      </c>
      <c r="J160" s="95" t="str">
        <f>IF('Marks Entry'!K160="","",'Marks Entry'!K160)</f>
        <v/>
      </c>
      <c r="K160" s="68" t="str">
        <f>IF('Marks Entry'!L160="","",'Marks Entry'!L160)</f>
        <v/>
      </c>
      <c r="L160" s="68" t="str">
        <f>IF('Marks Entry'!M160="","",'Marks Entry'!M160)</f>
        <v/>
      </c>
      <c r="M160" s="68" t="str">
        <f>IF('Marks Entry'!N160="","",'Marks Entry'!N160)</f>
        <v/>
      </c>
      <c r="N160" s="514" t="str">
        <f t="shared" si="425"/>
        <v/>
      </c>
      <c r="O160" s="68" t="str">
        <f>IF('Marks Entry'!O160="","",'Marks Entry'!O160)</f>
        <v/>
      </c>
      <c r="P160" s="515" t="str">
        <f t="shared" si="426"/>
        <v/>
      </c>
      <c r="Q160" s="68" t="str">
        <f>IF('Marks Entry'!P160="","",'Marks Entry'!P160)</f>
        <v/>
      </c>
      <c r="R160" s="96" t="str">
        <f t="shared" si="427"/>
        <v/>
      </c>
      <c r="S160" s="65">
        <f t="shared" si="428"/>
        <v>0</v>
      </c>
      <c r="T160" s="65">
        <f t="shared" si="429"/>
        <v>0</v>
      </c>
      <c r="U160" s="66" t="str">
        <f t="shared" si="339"/>
        <v/>
      </c>
      <c r="V160" s="65" t="str">
        <f t="shared" si="340"/>
        <v/>
      </c>
      <c r="W160" s="65" t="str">
        <f t="shared" si="430"/>
        <v/>
      </c>
      <c r="X160" s="65" t="str">
        <f t="shared" si="341"/>
        <v/>
      </c>
      <c r="Y160" s="68" t="str">
        <f>IF('Marks Entry'!Q160="","",'Marks Entry'!Q160)</f>
        <v/>
      </c>
      <c r="Z160" s="68" t="str">
        <f>IF('Marks Entry'!R160="","",'Marks Entry'!R160)</f>
        <v/>
      </c>
      <c r="AA160" s="68" t="str">
        <f>IF('Marks Entry'!S160="","",'Marks Entry'!S160)</f>
        <v/>
      </c>
      <c r="AB160" s="514" t="str">
        <f t="shared" si="342"/>
        <v/>
      </c>
      <c r="AC160" s="68" t="str">
        <f>IF('Marks Entry'!T160="","",'Marks Entry'!T160)</f>
        <v/>
      </c>
      <c r="AD160" s="515" t="str">
        <f t="shared" si="343"/>
        <v/>
      </c>
      <c r="AE160" s="68" t="str">
        <f>IF('Marks Entry'!U160="","",'Marks Entry'!U160)</f>
        <v/>
      </c>
      <c r="AF160" s="96" t="str">
        <f t="shared" si="344"/>
        <v/>
      </c>
      <c r="AG160" s="65">
        <f t="shared" si="345"/>
        <v>0</v>
      </c>
      <c r="AH160" s="65">
        <f t="shared" si="346"/>
        <v>0</v>
      </c>
      <c r="AI160" s="66" t="str">
        <f t="shared" si="347"/>
        <v/>
      </c>
      <c r="AJ160" s="65" t="str">
        <f t="shared" si="348"/>
        <v/>
      </c>
      <c r="AK160" s="65" t="str">
        <f t="shared" si="349"/>
        <v/>
      </c>
      <c r="AL160" s="65" t="str">
        <f t="shared" si="350"/>
        <v/>
      </c>
      <c r="AM160" s="524" t="str">
        <f>IF('Marks Entry'!V160="","",IF('Marks Entry'!V160=1,'School Profile'!$I$9,IF('Marks Entry'!V160=2,'School Profile'!$I$10,IF('Marks Entry'!V160=3,'School Profile'!$I$11,IF('Marks Entry'!V160=4,'School Profile'!$I$12,IF('Marks Entry'!V160=5,'School Profile'!$I$13,IF('Marks Entry'!V160=6,'School Profile'!$I$14,"")))))))</f>
        <v/>
      </c>
      <c r="AN160" s="68" t="str">
        <f>IF('Marks Entry'!W160="","",'Marks Entry'!W160)</f>
        <v/>
      </c>
      <c r="AO160" s="68" t="str">
        <f>IF('Marks Entry'!X160="","",'Marks Entry'!X160)</f>
        <v/>
      </c>
      <c r="AP160" s="68" t="str">
        <f>IF('Marks Entry'!Y160="","",'Marks Entry'!Y160)</f>
        <v/>
      </c>
      <c r="AQ160" s="514" t="str">
        <f t="shared" si="351"/>
        <v/>
      </c>
      <c r="AR160" s="68" t="str">
        <f>IF('Marks Entry'!Z160="","",'Marks Entry'!Z160)</f>
        <v/>
      </c>
      <c r="AS160" s="515" t="str">
        <f t="shared" si="352"/>
        <v/>
      </c>
      <c r="AT160" s="68" t="str">
        <f>IF('Marks Entry'!AA160="","",'Marks Entry'!AA160)</f>
        <v/>
      </c>
      <c r="AU160" s="96" t="str">
        <f t="shared" si="353"/>
        <v/>
      </c>
      <c r="AV160" s="65">
        <f t="shared" si="354"/>
        <v>0</v>
      </c>
      <c r="AW160" s="65">
        <f t="shared" si="355"/>
        <v>0</v>
      </c>
      <c r="AX160" s="66" t="str">
        <f t="shared" si="356"/>
        <v/>
      </c>
      <c r="AY160" s="65" t="str">
        <f t="shared" si="357"/>
        <v/>
      </c>
      <c r="AZ160" s="65" t="str">
        <f t="shared" si="358"/>
        <v/>
      </c>
      <c r="BA160" s="65" t="str">
        <f t="shared" si="359"/>
        <v/>
      </c>
      <c r="BB160" s="68" t="str">
        <f>IF('Marks Entry'!AB160="","",'Marks Entry'!AB160)</f>
        <v/>
      </c>
      <c r="BC160" s="68" t="str">
        <f>IF('Marks Entry'!AC160="","",'Marks Entry'!AC160)</f>
        <v/>
      </c>
      <c r="BD160" s="68" t="str">
        <f>IF('Marks Entry'!AD160="","",'Marks Entry'!AD160)</f>
        <v/>
      </c>
      <c r="BE160" s="514" t="str">
        <f t="shared" si="360"/>
        <v/>
      </c>
      <c r="BF160" s="68" t="str">
        <f>IF('Marks Entry'!AE160="","",'Marks Entry'!AE160)</f>
        <v/>
      </c>
      <c r="BG160" s="515" t="str">
        <f t="shared" si="361"/>
        <v/>
      </c>
      <c r="BH160" s="68" t="str">
        <f>IF('Marks Entry'!AF160="","",'Marks Entry'!AF160)</f>
        <v/>
      </c>
      <c r="BI160" s="96" t="str">
        <f t="shared" si="362"/>
        <v/>
      </c>
      <c r="BJ160" s="65">
        <f t="shared" si="363"/>
        <v>0</v>
      </c>
      <c r="BK160" s="65">
        <f t="shared" si="431"/>
        <v>0</v>
      </c>
      <c r="BL160" s="66" t="str">
        <f t="shared" si="364"/>
        <v/>
      </c>
      <c r="BM160" s="65" t="str">
        <f t="shared" si="365"/>
        <v/>
      </c>
      <c r="BN160" s="65" t="str">
        <f t="shared" si="366"/>
        <v/>
      </c>
      <c r="BO160" s="65" t="str">
        <f t="shared" si="367"/>
        <v/>
      </c>
      <c r="BP160" s="68" t="str">
        <f>IF('Marks Entry'!AG160="","",'Marks Entry'!AG160)</f>
        <v/>
      </c>
      <c r="BQ160" s="68" t="str">
        <f>IF('Marks Entry'!AH160="","",'Marks Entry'!AH160)</f>
        <v/>
      </c>
      <c r="BR160" s="68" t="str">
        <f>IF('Marks Entry'!AI160="","",'Marks Entry'!AI160)</f>
        <v/>
      </c>
      <c r="BS160" s="514" t="str">
        <f t="shared" si="368"/>
        <v/>
      </c>
      <c r="BT160" s="68" t="str">
        <f>IF('Marks Entry'!AJ160="","",'Marks Entry'!AJ160)</f>
        <v/>
      </c>
      <c r="BU160" s="515" t="str">
        <f t="shared" si="369"/>
        <v/>
      </c>
      <c r="BV160" s="68" t="str">
        <f>IF('Marks Entry'!AK160="","",'Marks Entry'!AK160)</f>
        <v/>
      </c>
      <c r="BW160" s="96" t="str">
        <f t="shared" si="370"/>
        <v/>
      </c>
      <c r="BX160" s="65">
        <f t="shared" si="371"/>
        <v>0</v>
      </c>
      <c r="BY160" s="65">
        <f t="shared" si="372"/>
        <v>0</v>
      </c>
      <c r="BZ160" s="66" t="str">
        <f t="shared" si="373"/>
        <v/>
      </c>
      <c r="CA160" s="65" t="str">
        <f t="shared" si="374"/>
        <v/>
      </c>
      <c r="CB160" s="65" t="str">
        <f t="shared" si="375"/>
        <v/>
      </c>
      <c r="CC160" s="65" t="str">
        <f t="shared" si="376"/>
        <v/>
      </c>
      <c r="CD160" s="66">
        <f t="shared" si="377"/>
        <v>0</v>
      </c>
      <c r="CE160" s="68" t="str">
        <f>IF('Marks Entry'!AL160="","",'Marks Entry'!AL160)</f>
        <v/>
      </c>
      <c r="CF160" s="68" t="str">
        <f>IF('Marks Entry'!AM160="","",'Marks Entry'!AM160)</f>
        <v/>
      </c>
      <c r="CG160" s="68" t="str">
        <f>IF('Marks Entry'!AN160="","",'Marks Entry'!AN160)</f>
        <v/>
      </c>
      <c r="CH160" s="514" t="str">
        <f t="shared" si="378"/>
        <v/>
      </c>
      <c r="CI160" s="68" t="str">
        <f>IF('Marks Entry'!AO160="","",'Marks Entry'!AO160)</f>
        <v/>
      </c>
      <c r="CJ160" s="515" t="str">
        <f t="shared" si="379"/>
        <v/>
      </c>
      <c r="CK160" s="68" t="str">
        <f>IF('Marks Entry'!AP160="","",'Marks Entry'!AP160)</f>
        <v/>
      </c>
      <c r="CL160" s="96" t="str">
        <f t="shared" si="380"/>
        <v/>
      </c>
      <c r="CM160" s="65">
        <f t="shared" si="381"/>
        <v>0</v>
      </c>
      <c r="CN160" s="65">
        <f t="shared" si="382"/>
        <v>0</v>
      </c>
      <c r="CO160" s="66" t="str">
        <f t="shared" si="383"/>
        <v/>
      </c>
      <c r="CP160" s="65" t="str">
        <f t="shared" si="384"/>
        <v/>
      </c>
      <c r="CQ160" s="65" t="str">
        <f t="shared" si="385"/>
        <v/>
      </c>
      <c r="CR160" s="65" t="str">
        <f t="shared" si="386"/>
        <v/>
      </c>
      <c r="CS160" s="616" t="str">
        <f>IF('School Profile'!$D$20="NO","",IF('Marks Entry'!AQ160="","",IF('Marks Entry'!AQ160=1,'School Profile'!$I$29,IF('Marks Entry'!AQ160=2,'School Profile'!$I$30,IF('Marks Entry'!AQ160=3,'School Profile'!$I$31,IF('Marks Entry'!AQ160=4,'School Profile'!$I$32,IF('Marks Entry'!AQ160=5,'School Profile'!$I$33,IF('Marks Entry'!AQ160=6,'School Profile'!$I$34,IF('Marks Entry'!AQ160=7,'School Profile'!$I$35,IF('Marks Entry'!AQ160=8,'School Profile'!$I$36,IF('Marks Entry'!AQ160=9,'School Profile'!$I$37,IF('Marks Entry'!AQ160=10,'School Profile'!$I$38,IF('Marks Entry'!AQ160=11,'School Profile'!$I$39,"")))))))))))))</f>
        <v/>
      </c>
      <c r="CT160" s="68" t="str">
        <f>IF('School Profile'!$D$20="NO","",IF('Marks Entry'!AR160="","",'Marks Entry'!AR160))</f>
        <v/>
      </c>
      <c r="CU160" s="68" t="str">
        <f>IF('School Profile'!$D$20="NO","",IF('Marks Entry'!AS160="","",'Marks Entry'!AS160))</f>
        <v/>
      </c>
      <c r="CV160" s="68" t="str">
        <f>IF('School Profile'!$D$20="NO","",IF('Marks Entry'!AT160="","",'Marks Entry'!AT160))</f>
        <v/>
      </c>
      <c r="CW160" s="514" t="str">
        <f>IF('School Profile'!$D$20="NO","",IF(AND(CT160="",CU160="",CV160=""),"",SUM(CT160:CV160)))</f>
        <v/>
      </c>
      <c r="CX160" s="68" t="str">
        <f>IF('School Profile'!$D$20="NO","",IF('Marks Entry'!AU160="","",'Marks Entry'!AU160))</f>
        <v/>
      </c>
      <c r="CY160" s="68" t="str">
        <f>IF('School Profile'!$D$20="NO","",IF('Marks Entry'!AV160="","",'Marks Entry'!AV160))</f>
        <v/>
      </c>
      <c r="CZ160" s="515" t="str">
        <f>IF('School Profile'!$D$20="NO","",IF(AND(CX160="",CY160=""),"",SUM(CX160,CY160)))</f>
        <v/>
      </c>
      <c r="DA160" s="69" t="str">
        <f>IF('School Profile'!$D$20="NO","",IF(AND(CW160="",CZ160=""),"",SUM(CW160+CZ160)))</f>
        <v/>
      </c>
      <c r="DB160" s="68" t="str">
        <f>IF('School Profile'!$D$20="NO","",IF('Marks Entry'!AW160="","",'Marks Entry'!AW160))</f>
        <v/>
      </c>
      <c r="DC160" s="68" t="str">
        <f>IF('School Profile'!$D$20="NO","",IF('Marks Entry'!AX160="","",'Marks Entry'!AX160))</f>
        <v/>
      </c>
      <c r="DD160" s="515" t="str">
        <f>IF('School Profile'!$D$20="NO","",IF(AND(DB160="",DC160=""),"",SUM(DB160,DC160)))</f>
        <v/>
      </c>
      <c r="DE160" s="96" t="str">
        <f>IF('School Profile'!$D$20="NO","",IF(AND(DA160="",DD160=""),"",SUM(DA160,DD160)))</f>
        <v/>
      </c>
      <c r="DF160" s="532">
        <f t="shared" si="387"/>
        <v>0</v>
      </c>
      <c r="DG160" s="65">
        <f t="shared" si="388"/>
        <v>0</v>
      </c>
      <c r="DH160" s="66" t="str">
        <f t="shared" si="389"/>
        <v/>
      </c>
      <c r="DI160" s="65" t="str">
        <f t="shared" si="390"/>
        <v/>
      </c>
      <c r="DJ160" s="65" t="str">
        <f t="shared" si="391"/>
        <v/>
      </c>
      <c r="DK160" s="65" t="str">
        <f t="shared" si="392"/>
        <v/>
      </c>
      <c r="DL160" s="97" t="str">
        <f t="shared" si="432"/>
        <v/>
      </c>
      <c r="DM160" s="97" t="str">
        <f t="shared" si="433"/>
        <v/>
      </c>
      <c r="DN160" s="97" t="str">
        <f t="shared" si="434"/>
        <v/>
      </c>
      <c r="DO160" s="97" t="str">
        <f t="shared" si="435"/>
        <v/>
      </c>
      <c r="DP160" s="97" t="str">
        <f t="shared" si="436"/>
        <v/>
      </c>
      <c r="DQ160" s="97" t="str">
        <f t="shared" si="437"/>
        <v/>
      </c>
      <c r="DR160" s="97" t="str">
        <f t="shared" si="438"/>
        <v/>
      </c>
      <c r="DS160" s="98">
        <f t="shared" si="439"/>
        <v>0</v>
      </c>
      <c r="DT160" s="98">
        <f t="shared" si="440"/>
        <v>0</v>
      </c>
      <c r="DU160" s="98">
        <f t="shared" si="441"/>
        <v>0</v>
      </c>
      <c r="DV160" s="98">
        <f t="shared" si="442"/>
        <v>0</v>
      </c>
      <c r="DW160" s="98">
        <f t="shared" si="443"/>
        <v>0</v>
      </c>
      <c r="DX160" s="98" t="str">
        <f t="shared" si="444"/>
        <v/>
      </c>
      <c r="DY160" s="99" t="str">
        <f t="shared" si="445"/>
        <v/>
      </c>
      <c r="DZ160" s="74" t="str">
        <f>IF('Marks Entry'!AY160="","",'Marks Entry'!AY160)</f>
        <v/>
      </c>
      <c r="EA160" s="74" t="str">
        <f>IF('Marks Entry'!AZ160="","",'Marks Entry'!AZ160)</f>
        <v/>
      </c>
      <c r="EB160" s="74" t="str">
        <f>IF('Marks Entry'!BA160="","",'Marks Entry'!BA160)</f>
        <v/>
      </c>
      <c r="EC160" s="527" t="str">
        <f t="shared" si="393"/>
        <v/>
      </c>
      <c r="ED160" s="74" t="str">
        <f>IF('Marks Entry'!BB160="","",'Marks Entry'!BB160)</f>
        <v/>
      </c>
      <c r="EE160" s="528" t="str">
        <f t="shared" si="394"/>
        <v/>
      </c>
      <c r="EF160" s="74" t="str">
        <f>IF('Marks Entry'!BC160="","",'Marks Entry'!BC160)</f>
        <v/>
      </c>
      <c r="EG160" s="530" t="str">
        <f t="shared" si="395"/>
        <v/>
      </c>
      <c r="EH160" s="368" t="str">
        <f t="shared" si="446"/>
        <v/>
      </c>
      <c r="EI160" s="65">
        <f t="shared" si="447"/>
        <v>0</v>
      </c>
      <c r="EJ160" s="65">
        <f t="shared" si="448"/>
        <v>0</v>
      </c>
      <c r="EK160" s="66" t="str">
        <f t="shared" si="449"/>
        <v/>
      </c>
      <c r="EL160" s="74" t="str">
        <f>IF('Marks Entry'!BD160="","",'Marks Entry'!BD160)</f>
        <v/>
      </c>
      <c r="EM160" s="74" t="str">
        <f>IF('Marks Entry'!BE160="","",'Marks Entry'!BE160)</f>
        <v/>
      </c>
      <c r="EN160" s="74" t="str">
        <f>IF('Marks Entry'!BF160="","",'Marks Entry'!BF160)</f>
        <v/>
      </c>
      <c r="EO160" s="527" t="str">
        <f t="shared" si="396"/>
        <v/>
      </c>
      <c r="EP160" s="74" t="str">
        <f>IF('Marks Entry'!BG160="","",'Marks Entry'!BG160)</f>
        <v/>
      </c>
      <c r="EQ160" s="74" t="str">
        <f>IF('Marks Entry'!BH160="","",'Marks Entry'!BH160)</f>
        <v/>
      </c>
      <c r="ER160" s="528" t="str">
        <f t="shared" si="397"/>
        <v/>
      </c>
      <c r="ES160" s="529" t="str">
        <f t="shared" si="398"/>
        <v/>
      </c>
      <c r="ET160" s="74" t="str">
        <f>IF('Marks Entry'!BI160="","",'Marks Entry'!BI160)</f>
        <v/>
      </c>
      <c r="EU160" s="74" t="str">
        <f>IF('Marks Entry'!BJ160="","",'Marks Entry'!BJ160)</f>
        <v/>
      </c>
      <c r="EV160" s="528" t="str">
        <f t="shared" si="399"/>
        <v/>
      </c>
      <c r="EW160" s="530" t="str">
        <f t="shared" si="400"/>
        <v/>
      </c>
      <c r="EX160" s="368" t="str">
        <f t="shared" si="450"/>
        <v/>
      </c>
      <c r="EY160" s="65">
        <f t="shared" si="451"/>
        <v>0</v>
      </c>
      <c r="EZ160" s="65">
        <f t="shared" si="452"/>
        <v>0</v>
      </c>
      <c r="FA160" s="66" t="str">
        <f t="shared" si="453"/>
        <v/>
      </c>
      <c r="FB160" s="74" t="str">
        <f>IF('Marks Entry'!BK160="","",'Marks Entry'!BK160)</f>
        <v/>
      </c>
      <c r="FC160" s="74" t="str">
        <f>IF('Marks Entry'!BL160="","",'Marks Entry'!BL160)</f>
        <v/>
      </c>
      <c r="FD160" s="74" t="str">
        <f>IF('Marks Entry'!BM160="","",'Marks Entry'!BM160)</f>
        <v/>
      </c>
      <c r="FE160" s="74" t="str">
        <f>IF('Marks Entry'!BN160="","",'Marks Entry'!BN160)</f>
        <v/>
      </c>
      <c r="FF160" s="74" t="str">
        <f>IF('Marks Entry'!BO160="","",'Marks Entry'!BO160)</f>
        <v/>
      </c>
      <c r="FG160" s="74" t="str">
        <f>IF('Marks Entry'!BP160="","",'Marks Entry'!BP160)</f>
        <v/>
      </c>
      <c r="FH160" s="527" t="str">
        <f t="shared" si="401"/>
        <v/>
      </c>
      <c r="FI160" s="74" t="str">
        <f>IF('Marks Entry'!BQ160="","",'Marks Entry'!BQ160)</f>
        <v/>
      </c>
      <c r="FJ160" s="74" t="str">
        <f>IF('Marks Entry'!BR160="","",'Marks Entry'!BR160)</f>
        <v/>
      </c>
      <c r="FK160" s="528" t="str">
        <f t="shared" si="402"/>
        <v/>
      </c>
      <c r="FL160" s="529" t="str">
        <f t="shared" si="403"/>
        <v/>
      </c>
      <c r="FM160" s="74" t="str">
        <f>IF('Marks Entry'!BS160="","",'Marks Entry'!BS160)</f>
        <v/>
      </c>
      <c r="FN160" s="74" t="str">
        <f>IF('Marks Entry'!BT160="","",'Marks Entry'!BT160)</f>
        <v/>
      </c>
      <c r="FO160" s="528" t="str">
        <f t="shared" si="404"/>
        <v/>
      </c>
      <c r="FP160" s="530" t="str">
        <f t="shared" si="405"/>
        <v/>
      </c>
      <c r="FQ160" s="368" t="str">
        <f t="shared" si="454"/>
        <v/>
      </c>
      <c r="FR160" s="65">
        <f t="shared" si="455"/>
        <v>0</v>
      </c>
      <c r="FS160" s="65">
        <f t="shared" si="456"/>
        <v>0</v>
      </c>
      <c r="FT160" s="66" t="str">
        <f t="shared" si="457"/>
        <v/>
      </c>
      <c r="FU160" s="74" t="str">
        <f>IF('Marks Entry'!BU160="","",'Marks Entry'!BU160)</f>
        <v/>
      </c>
      <c r="FV160" s="74" t="str">
        <f>IF('Marks Entry'!BV160="","",'Marks Entry'!BV160)</f>
        <v/>
      </c>
      <c r="FW160" s="74" t="str">
        <f>IF('Marks Entry'!BW160="","",'Marks Entry'!BW160)</f>
        <v/>
      </c>
      <c r="FX160" s="75" t="str">
        <f t="shared" si="406"/>
        <v/>
      </c>
      <c r="FY160" s="368" t="str">
        <f t="shared" si="458"/>
        <v/>
      </c>
      <c r="FZ160" s="65">
        <f t="shared" si="459"/>
        <v>0</v>
      </c>
      <c r="GA160" s="66">
        <f t="shared" si="460"/>
        <v>0</v>
      </c>
      <c r="GB160" s="66" t="str">
        <f t="shared" si="461"/>
        <v/>
      </c>
      <c r="GC160" s="74" t="str">
        <f>IF('Marks Entry'!BX160="","",'Marks Entry'!BX160)</f>
        <v/>
      </c>
      <c r="GD160" s="74" t="str">
        <f>IF('Marks Entry'!BY160="","",'Marks Entry'!BY160)</f>
        <v/>
      </c>
      <c r="GE160" s="74" t="str">
        <f>IF('Marks Entry'!BZ160="","",'Marks Entry'!BZ160)</f>
        <v/>
      </c>
      <c r="GF160" s="75" t="str">
        <f t="shared" si="462"/>
        <v/>
      </c>
      <c r="GG160" s="368" t="str">
        <f t="shared" si="463"/>
        <v/>
      </c>
      <c r="GH160" s="65">
        <f t="shared" si="464"/>
        <v>0</v>
      </c>
      <c r="GI160" s="66">
        <f t="shared" si="465"/>
        <v>0</v>
      </c>
      <c r="GJ160" s="66" t="str">
        <f t="shared" si="466"/>
        <v/>
      </c>
      <c r="GK160" s="100" t="str">
        <f>IF(AND(F160="",B160=""),"",IF('Student DATA Entry'!M157="","",'Student DATA Entry'!M157))</f>
        <v/>
      </c>
      <c r="GL160" s="101" t="str">
        <f>IF(AND(B160="",F160=""),"",IF('Student DATA Entry'!N157="","",'Student DATA Entry'!N157))</f>
        <v/>
      </c>
      <c r="GM160" s="581" t="str">
        <f t="shared" si="467"/>
        <v/>
      </c>
      <c r="GN160" s="94" t="str">
        <f t="shared" si="468"/>
        <v/>
      </c>
      <c r="GO160" s="94" t="str">
        <f t="shared" si="469"/>
        <v/>
      </c>
      <c r="GP160" s="102" t="str">
        <f t="shared" si="407"/>
        <v/>
      </c>
      <c r="GQ160" s="94" t="str">
        <f t="shared" si="470"/>
        <v/>
      </c>
      <c r="GR160" s="103" t="str">
        <f t="shared" si="471"/>
        <v/>
      </c>
      <c r="GS160" s="102" t="str">
        <f t="shared" si="408"/>
        <v/>
      </c>
      <c r="GT160" s="104" t="str">
        <f t="shared" si="472"/>
        <v/>
      </c>
      <c r="GU160" s="94" t="str">
        <f>IF('Marks Entry'!V160=1,GT160,"")</f>
        <v/>
      </c>
      <c r="GV160" s="94" t="str">
        <f>IF('Marks Entry'!V160=2,GT160,"")</f>
        <v/>
      </c>
      <c r="GW160" s="94" t="str">
        <f>IF('Marks Entry'!V160=3,GT160,"")</f>
        <v/>
      </c>
      <c r="GX160" s="94" t="str">
        <f>IF('Marks Entry'!V160=4,GT160,"")</f>
        <v/>
      </c>
      <c r="GY160" s="94" t="str">
        <f>IF('Marks Entry'!V160=5,GT160,"")</f>
        <v/>
      </c>
      <c r="GZ160" s="94" t="str">
        <f t="shared" si="473"/>
        <v/>
      </c>
      <c r="HA160" s="105" t="str">
        <f t="shared" si="409"/>
        <v/>
      </c>
      <c r="HB160" s="94" t="str">
        <f t="shared" si="474"/>
        <v/>
      </c>
      <c r="HC160" s="94" t="str">
        <f t="shared" si="475"/>
        <v/>
      </c>
      <c r="HD160" s="105" t="str">
        <f t="shared" si="410"/>
        <v/>
      </c>
      <c r="HE160" s="94" t="str">
        <f t="shared" si="476"/>
        <v/>
      </c>
      <c r="HF160" s="94" t="str">
        <f t="shared" si="477"/>
        <v/>
      </c>
      <c r="HG160" s="105" t="str">
        <f t="shared" si="411"/>
        <v/>
      </c>
      <c r="HH160" s="94" t="str">
        <f t="shared" si="478"/>
        <v/>
      </c>
      <c r="HI160" s="94" t="str">
        <f t="shared" si="479"/>
        <v/>
      </c>
      <c r="HJ160" s="105" t="str">
        <f t="shared" si="412"/>
        <v/>
      </c>
      <c r="HK160" s="94" t="str">
        <f t="shared" si="480"/>
        <v/>
      </c>
      <c r="HL160" s="94" t="str">
        <f t="shared" si="481"/>
        <v/>
      </c>
      <c r="HM160" s="105" t="str">
        <f t="shared" si="413"/>
        <v/>
      </c>
      <c r="HN160" s="367" t="str">
        <f t="shared" si="482"/>
        <v xml:space="preserve">      </v>
      </c>
      <c r="HO160" s="418" t="str">
        <f t="shared" si="414"/>
        <v xml:space="preserve">      </v>
      </c>
      <c r="HP160" s="367" t="str">
        <f t="shared" si="483"/>
        <v xml:space="preserve">      </v>
      </c>
      <c r="HQ160" s="107" t="str">
        <f t="shared" si="484"/>
        <v xml:space="preserve">      </v>
      </c>
      <c r="HR160" s="366" t="str">
        <f t="shared" si="485"/>
        <v xml:space="preserve">      </v>
      </c>
      <c r="HS160" s="544" t="str">
        <f t="shared" si="415"/>
        <v/>
      </c>
      <c r="HT160" s="542" t="str">
        <f t="shared" si="486"/>
        <v/>
      </c>
      <c r="HU160" s="541" t="str">
        <f t="shared" si="487"/>
        <v/>
      </c>
      <c r="HV160" s="540" t="str">
        <f t="shared" si="488"/>
        <v/>
      </c>
      <c r="HW160" s="537" t="str">
        <f t="shared" si="489"/>
        <v/>
      </c>
      <c r="HX160" s="539" t="str">
        <f t="shared" si="490"/>
        <v/>
      </c>
      <c r="HY160" s="553" t="str">
        <f>IFERROR(IF(OR(HS160="SUPPLEMENTARY",HS160="RE-EXAM"),'Supp. Result Entry'!AQ158,""),"")</f>
        <v/>
      </c>
      <c r="HZ160" s="538" t="str">
        <f t="shared" si="491"/>
        <v/>
      </c>
      <c r="IA160" s="415" t="str">
        <f t="shared" si="492"/>
        <v/>
      </c>
      <c r="IB160" s="415" t="str">
        <f>IF(AND(HZ160="",IA160=""),"",IF(OR(HS160="SUPPLEMENTARY",HS160="RE-EXAM"),'Supp. Result Entry'!AQ158,HS160))</f>
        <v/>
      </c>
      <c r="IC160" s="87"/>
      <c r="IS160" s="109" t="str">
        <f>IF('Supp. Result Entry'!T158="","",'Supp. Result Entry'!$T$4)</f>
        <v/>
      </c>
      <c r="IT160" s="110" t="str">
        <f>IF('Supp. Result Entry'!W158="","",'Supp. Result Entry'!$W$4)</f>
        <v/>
      </c>
      <c r="IU160" s="110" t="str">
        <f>IF('Supp. Result Entry'!Z158="","",'Supp. Result Entry'!$Z$4)</f>
        <v/>
      </c>
      <c r="IV160" s="110" t="str">
        <f>IF('Supp. Result Entry'!AC158="","",'Supp. Result Entry'!$AC$4)</f>
        <v/>
      </c>
      <c r="IW160" s="110" t="str">
        <f>IF('Supp. Result Entry'!AF158="","",'Supp. Result Entry'!$AF$4)</f>
        <v/>
      </c>
      <c r="IX160" s="110" t="str">
        <f>IF('Supp. Result Entry'!AI158="","",'Supp. Result Entry'!$AI$4)</f>
        <v/>
      </c>
      <c r="IY160" s="110" t="str">
        <f>IF('Supp. Result Entry'!AI158="","",'Supp. Result Entry'!$AL$4)</f>
        <v/>
      </c>
      <c r="IZ160" s="110" t="str">
        <f>IF('Supp. Result Entry'!U158="","",'Supp. Result Entry'!U158)</f>
        <v/>
      </c>
      <c r="JA160" s="110" t="str">
        <f>IF('Supp. Result Entry'!X158="","",'Supp. Result Entry'!X158)</f>
        <v/>
      </c>
      <c r="JB160" s="110" t="str">
        <f>IF('Supp. Result Entry'!AA158="","",'Supp. Result Entry'!AA158)</f>
        <v/>
      </c>
      <c r="JC160" s="110" t="str">
        <f>IF('Supp. Result Entry'!AD158="","",'Supp. Result Entry'!AD158)</f>
        <v/>
      </c>
      <c r="JD160" s="110" t="str">
        <f>IF('Supp. Result Entry'!AG158="","",'Supp. Result Entry'!AG158)</f>
        <v/>
      </c>
      <c r="JE160" s="110" t="str">
        <f>IF('Supp. Result Entry'!AJ158="","",'Supp. Result Entry'!AJ158)</f>
        <v/>
      </c>
      <c r="JF160" s="110" t="str">
        <f>IF('Supp. Result Entry'!AM158="","",'Supp. Result Entry'!AM158)</f>
        <v/>
      </c>
      <c r="JG160" s="110" t="str">
        <f>IF('Supp. Result Entry'!V158="","",'Supp. Result Entry'!V158)</f>
        <v/>
      </c>
      <c r="JH160" s="110" t="str">
        <f>IF('Supp. Result Entry'!Y158="","",'Supp. Result Entry'!Y158)</f>
        <v/>
      </c>
      <c r="JI160" s="110" t="str">
        <f>IF('Supp. Result Entry'!AB158="","",'Supp. Result Entry'!AB158)</f>
        <v/>
      </c>
      <c r="JJ160" s="110" t="str">
        <f>IF('Supp. Result Entry'!AE158="","",'Supp. Result Entry'!AE158)</f>
        <v/>
      </c>
      <c r="JK160" s="110" t="str">
        <f>IF('Supp. Result Entry'!AH158="","",'Supp. Result Entry'!AH158)</f>
        <v/>
      </c>
      <c r="JL160" s="110" t="str">
        <f>IF('Supp. Result Entry'!AK158="","",'Supp. Result Entry'!AK158)</f>
        <v/>
      </c>
      <c r="JM160" s="110" t="str">
        <f>IF('Supp. Result Entry'!AN158="","",'Supp. Result Entry'!AN158)</f>
        <v/>
      </c>
      <c r="JN160" s="110">
        <f>COUNTIF('Supp. Result Entry'!K158:Q158,"S")</f>
        <v>0</v>
      </c>
      <c r="JO160" s="110">
        <f t="shared" si="416"/>
        <v>0</v>
      </c>
      <c r="JP160" s="110">
        <f t="shared" si="493"/>
        <v>0</v>
      </c>
      <c r="JQ160" s="110" t="str">
        <f t="shared" si="417"/>
        <v/>
      </c>
      <c r="JR160" s="110" t="str">
        <f t="shared" si="418"/>
        <v/>
      </c>
      <c r="JS160" s="110" t="str">
        <f t="shared" si="419"/>
        <v/>
      </c>
      <c r="JT160" s="110" t="str">
        <f t="shared" si="420"/>
        <v/>
      </c>
      <c r="JU160" s="110" t="str">
        <f t="shared" si="421"/>
        <v/>
      </c>
      <c r="JV160" s="110" t="str">
        <f t="shared" si="422"/>
        <v/>
      </c>
      <c r="JW160" s="110" t="str">
        <f t="shared" si="423"/>
        <v/>
      </c>
      <c r="JX160" s="110" t="str">
        <f t="shared" si="494"/>
        <v/>
      </c>
      <c r="JY160" s="110" t="str">
        <f t="shared" si="495"/>
        <v/>
      </c>
      <c r="JZ160" s="110" t="str">
        <f t="shared" si="424"/>
        <v/>
      </c>
      <c r="KA160" s="108" t="str">
        <f t="shared" si="496"/>
        <v/>
      </c>
    </row>
    <row r="161" spans="1:287" s="108" customFormat="1" ht="21.95" customHeight="1">
      <c r="A161" s="89">
        <v>155</v>
      </c>
      <c r="B161" s="90" t="str">
        <f>IF('Marks Entry'!B161="","",'Marks Entry'!B161)</f>
        <v/>
      </c>
      <c r="C161" s="94" t="str">
        <f>IF('Marks Entry'!D161="","",'Marks Entry'!D161)</f>
        <v/>
      </c>
      <c r="D161" s="91" t="str">
        <f>IF('Marks Entry'!E161="","",'Marks Entry'!E161)</f>
        <v/>
      </c>
      <c r="E161" s="92" t="str">
        <f>IF('Marks Entry'!F161="","",'Marks Entry'!F161)</f>
        <v/>
      </c>
      <c r="F161" s="93" t="str">
        <f>IF('Marks Entry'!G161="","",'Marks Entry'!G161)</f>
        <v/>
      </c>
      <c r="G161" s="93" t="str">
        <f>IF('Marks Entry'!H161="","",'Marks Entry'!H161)</f>
        <v/>
      </c>
      <c r="H161" s="93" t="str">
        <f>IF('Marks Entry'!I161="","",'Marks Entry'!I161)</f>
        <v/>
      </c>
      <c r="I161" s="94" t="str">
        <f>IF('Marks Entry'!J161="","",'Marks Entry'!J161)</f>
        <v/>
      </c>
      <c r="J161" s="95" t="str">
        <f>IF('Marks Entry'!K161="","",'Marks Entry'!K161)</f>
        <v/>
      </c>
      <c r="K161" s="68" t="str">
        <f>IF('Marks Entry'!L161="","",'Marks Entry'!L161)</f>
        <v/>
      </c>
      <c r="L161" s="68" t="str">
        <f>IF('Marks Entry'!M161="","",'Marks Entry'!M161)</f>
        <v/>
      </c>
      <c r="M161" s="68" t="str">
        <f>IF('Marks Entry'!N161="","",'Marks Entry'!N161)</f>
        <v/>
      </c>
      <c r="N161" s="514" t="str">
        <f t="shared" si="425"/>
        <v/>
      </c>
      <c r="O161" s="68" t="str">
        <f>IF('Marks Entry'!O161="","",'Marks Entry'!O161)</f>
        <v/>
      </c>
      <c r="P161" s="515" t="str">
        <f t="shared" si="426"/>
        <v/>
      </c>
      <c r="Q161" s="68" t="str">
        <f>IF('Marks Entry'!P161="","",'Marks Entry'!P161)</f>
        <v/>
      </c>
      <c r="R161" s="96" t="str">
        <f t="shared" si="427"/>
        <v/>
      </c>
      <c r="S161" s="65">
        <f t="shared" si="428"/>
        <v>0</v>
      </c>
      <c r="T161" s="65">
        <f t="shared" si="429"/>
        <v>0</v>
      </c>
      <c r="U161" s="66" t="str">
        <f t="shared" si="339"/>
        <v/>
      </c>
      <c r="V161" s="65" t="str">
        <f t="shared" si="340"/>
        <v/>
      </c>
      <c r="W161" s="65" t="str">
        <f t="shared" si="430"/>
        <v/>
      </c>
      <c r="X161" s="65" t="str">
        <f t="shared" si="341"/>
        <v/>
      </c>
      <c r="Y161" s="68" t="str">
        <f>IF('Marks Entry'!Q161="","",'Marks Entry'!Q161)</f>
        <v/>
      </c>
      <c r="Z161" s="68" t="str">
        <f>IF('Marks Entry'!R161="","",'Marks Entry'!R161)</f>
        <v/>
      </c>
      <c r="AA161" s="68" t="str">
        <f>IF('Marks Entry'!S161="","",'Marks Entry'!S161)</f>
        <v/>
      </c>
      <c r="AB161" s="514" t="str">
        <f t="shared" si="342"/>
        <v/>
      </c>
      <c r="AC161" s="68" t="str">
        <f>IF('Marks Entry'!T161="","",'Marks Entry'!T161)</f>
        <v/>
      </c>
      <c r="AD161" s="515" t="str">
        <f t="shared" si="343"/>
        <v/>
      </c>
      <c r="AE161" s="68" t="str">
        <f>IF('Marks Entry'!U161="","",'Marks Entry'!U161)</f>
        <v/>
      </c>
      <c r="AF161" s="96" t="str">
        <f t="shared" si="344"/>
        <v/>
      </c>
      <c r="AG161" s="65">
        <f t="shared" si="345"/>
        <v>0</v>
      </c>
      <c r="AH161" s="65">
        <f t="shared" si="346"/>
        <v>0</v>
      </c>
      <c r="AI161" s="66" t="str">
        <f t="shared" si="347"/>
        <v/>
      </c>
      <c r="AJ161" s="65" t="str">
        <f t="shared" si="348"/>
        <v/>
      </c>
      <c r="AK161" s="65" t="str">
        <f t="shared" si="349"/>
        <v/>
      </c>
      <c r="AL161" s="65" t="str">
        <f t="shared" si="350"/>
        <v/>
      </c>
      <c r="AM161" s="524" t="str">
        <f>IF('Marks Entry'!V161="","",IF('Marks Entry'!V161=1,'School Profile'!$I$9,IF('Marks Entry'!V161=2,'School Profile'!$I$10,IF('Marks Entry'!V161=3,'School Profile'!$I$11,IF('Marks Entry'!V161=4,'School Profile'!$I$12,IF('Marks Entry'!V161=5,'School Profile'!$I$13,IF('Marks Entry'!V161=6,'School Profile'!$I$14,"")))))))</f>
        <v/>
      </c>
      <c r="AN161" s="68" t="str">
        <f>IF('Marks Entry'!W161="","",'Marks Entry'!W161)</f>
        <v/>
      </c>
      <c r="AO161" s="68" t="str">
        <f>IF('Marks Entry'!X161="","",'Marks Entry'!X161)</f>
        <v/>
      </c>
      <c r="AP161" s="68" t="str">
        <f>IF('Marks Entry'!Y161="","",'Marks Entry'!Y161)</f>
        <v/>
      </c>
      <c r="AQ161" s="514" t="str">
        <f t="shared" si="351"/>
        <v/>
      </c>
      <c r="AR161" s="68" t="str">
        <f>IF('Marks Entry'!Z161="","",'Marks Entry'!Z161)</f>
        <v/>
      </c>
      <c r="AS161" s="515" t="str">
        <f t="shared" si="352"/>
        <v/>
      </c>
      <c r="AT161" s="68" t="str">
        <f>IF('Marks Entry'!AA161="","",'Marks Entry'!AA161)</f>
        <v/>
      </c>
      <c r="AU161" s="96" t="str">
        <f t="shared" si="353"/>
        <v/>
      </c>
      <c r="AV161" s="65">
        <f t="shared" si="354"/>
        <v>0</v>
      </c>
      <c r="AW161" s="65">
        <f t="shared" si="355"/>
        <v>0</v>
      </c>
      <c r="AX161" s="66" t="str">
        <f t="shared" si="356"/>
        <v/>
      </c>
      <c r="AY161" s="65" t="str">
        <f t="shared" si="357"/>
        <v/>
      </c>
      <c r="AZ161" s="65" t="str">
        <f t="shared" si="358"/>
        <v/>
      </c>
      <c r="BA161" s="65" t="str">
        <f t="shared" si="359"/>
        <v/>
      </c>
      <c r="BB161" s="68" t="str">
        <f>IF('Marks Entry'!AB161="","",'Marks Entry'!AB161)</f>
        <v/>
      </c>
      <c r="BC161" s="68" t="str">
        <f>IF('Marks Entry'!AC161="","",'Marks Entry'!AC161)</f>
        <v/>
      </c>
      <c r="BD161" s="68" t="str">
        <f>IF('Marks Entry'!AD161="","",'Marks Entry'!AD161)</f>
        <v/>
      </c>
      <c r="BE161" s="514" t="str">
        <f t="shared" si="360"/>
        <v/>
      </c>
      <c r="BF161" s="68" t="str">
        <f>IF('Marks Entry'!AE161="","",'Marks Entry'!AE161)</f>
        <v/>
      </c>
      <c r="BG161" s="515" t="str">
        <f t="shared" si="361"/>
        <v/>
      </c>
      <c r="BH161" s="68" t="str">
        <f>IF('Marks Entry'!AF161="","",'Marks Entry'!AF161)</f>
        <v/>
      </c>
      <c r="BI161" s="96" t="str">
        <f t="shared" si="362"/>
        <v/>
      </c>
      <c r="BJ161" s="65">
        <f t="shared" si="363"/>
        <v>0</v>
      </c>
      <c r="BK161" s="65">
        <f t="shared" si="431"/>
        <v>0</v>
      </c>
      <c r="BL161" s="66" t="str">
        <f t="shared" si="364"/>
        <v/>
      </c>
      <c r="BM161" s="65" t="str">
        <f t="shared" si="365"/>
        <v/>
      </c>
      <c r="BN161" s="65" t="str">
        <f t="shared" si="366"/>
        <v/>
      </c>
      <c r="BO161" s="65" t="str">
        <f t="shared" si="367"/>
        <v/>
      </c>
      <c r="BP161" s="68" t="str">
        <f>IF('Marks Entry'!AG161="","",'Marks Entry'!AG161)</f>
        <v/>
      </c>
      <c r="BQ161" s="68" t="str">
        <f>IF('Marks Entry'!AH161="","",'Marks Entry'!AH161)</f>
        <v/>
      </c>
      <c r="BR161" s="68" t="str">
        <f>IF('Marks Entry'!AI161="","",'Marks Entry'!AI161)</f>
        <v/>
      </c>
      <c r="BS161" s="514" t="str">
        <f t="shared" si="368"/>
        <v/>
      </c>
      <c r="BT161" s="68" t="str">
        <f>IF('Marks Entry'!AJ161="","",'Marks Entry'!AJ161)</f>
        <v/>
      </c>
      <c r="BU161" s="515" t="str">
        <f t="shared" si="369"/>
        <v/>
      </c>
      <c r="BV161" s="68" t="str">
        <f>IF('Marks Entry'!AK161="","",'Marks Entry'!AK161)</f>
        <v/>
      </c>
      <c r="BW161" s="96" t="str">
        <f t="shared" si="370"/>
        <v/>
      </c>
      <c r="BX161" s="65">
        <f t="shared" si="371"/>
        <v>0</v>
      </c>
      <c r="BY161" s="65">
        <f t="shared" si="372"/>
        <v>0</v>
      </c>
      <c r="BZ161" s="66" t="str">
        <f t="shared" si="373"/>
        <v/>
      </c>
      <c r="CA161" s="65" t="str">
        <f t="shared" si="374"/>
        <v/>
      </c>
      <c r="CB161" s="65" t="str">
        <f t="shared" si="375"/>
        <v/>
      </c>
      <c r="CC161" s="65" t="str">
        <f t="shared" si="376"/>
        <v/>
      </c>
      <c r="CD161" s="66">
        <f t="shared" si="377"/>
        <v>0</v>
      </c>
      <c r="CE161" s="68" t="str">
        <f>IF('Marks Entry'!AL161="","",'Marks Entry'!AL161)</f>
        <v/>
      </c>
      <c r="CF161" s="68" t="str">
        <f>IF('Marks Entry'!AM161="","",'Marks Entry'!AM161)</f>
        <v/>
      </c>
      <c r="CG161" s="68" t="str">
        <f>IF('Marks Entry'!AN161="","",'Marks Entry'!AN161)</f>
        <v/>
      </c>
      <c r="CH161" s="514" t="str">
        <f t="shared" si="378"/>
        <v/>
      </c>
      <c r="CI161" s="68" t="str">
        <f>IF('Marks Entry'!AO161="","",'Marks Entry'!AO161)</f>
        <v/>
      </c>
      <c r="CJ161" s="515" t="str">
        <f t="shared" si="379"/>
        <v/>
      </c>
      <c r="CK161" s="68" t="str">
        <f>IF('Marks Entry'!AP161="","",'Marks Entry'!AP161)</f>
        <v/>
      </c>
      <c r="CL161" s="96" t="str">
        <f t="shared" si="380"/>
        <v/>
      </c>
      <c r="CM161" s="65">
        <f t="shared" si="381"/>
        <v>0</v>
      </c>
      <c r="CN161" s="65">
        <f t="shared" si="382"/>
        <v>0</v>
      </c>
      <c r="CO161" s="66" t="str">
        <f t="shared" si="383"/>
        <v/>
      </c>
      <c r="CP161" s="65" t="str">
        <f t="shared" si="384"/>
        <v/>
      </c>
      <c r="CQ161" s="65" t="str">
        <f t="shared" si="385"/>
        <v/>
      </c>
      <c r="CR161" s="65" t="str">
        <f t="shared" si="386"/>
        <v/>
      </c>
      <c r="CS161" s="616" t="str">
        <f>IF('School Profile'!$D$20="NO","",IF('Marks Entry'!AQ161="","",IF('Marks Entry'!AQ161=1,'School Profile'!$I$29,IF('Marks Entry'!AQ161=2,'School Profile'!$I$30,IF('Marks Entry'!AQ161=3,'School Profile'!$I$31,IF('Marks Entry'!AQ161=4,'School Profile'!$I$32,IF('Marks Entry'!AQ161=5,'School Profile'!$I$33,IF('Marks Entry'!AQ161=6,'School Profile'!$I$34,IF('Marks Entry'!AQ161=7,'School Profile'!$I$35,IF('Marks Entry'!AQ161=8,'School Profile'!$I$36,IF('Marks Entry'!AQ161=9,'School Profile'!$I$37,IF('Marks Entry'!AQ161=10,'School Profile'!$I$38,IF('Marks Entry'!AQ161=11,'School Profile'!$I$39,"")))))))))))))</f>
        <v/>
      </c>
      <c r="CT161" s="68" t="str">
        <f>IF('School Profile'!$D$20="NO","",IF('Marks Entry'!AR161="","",'Marks Entry'!AR161))</f>
        <v/>
      </c>
      <c r="CU161" s="68" t="str">
        <f>IF('School Profile'!$D$20="NO","",IF('Marks Entry'!AS161="","",'Marks Entry'!AS161))</f>
        <v/>
      </c>
      <c r="CV161" s="68" t="str">
        <f>IF('School Profile'!$D$20="NO","",IF('Marks Entry'!AT161="","",'Marks Entry'!AT161))</f>
        <v/>
      </c>
      <c r="CW161" s="514" t="str">
        <f>IF('School Profile'!$D$20="NO","",IF(AND(CT161="",CU161="",CV161=""),"",SUM(CT161:CV161)))</f>
        <v/>
      </c>
      <c r="CX161" s="68" t="str">
        <f>IF('School Profile'!$D$20="NO","",IF('Marks Entry'!AU161="","",'Marks Entry'!AU161))</f>
        <v/>
      </c>
      <c r="CY161" s="68" t="str">
        <f>IF('School Profile'!$D$20="NO","",IF('Marks Entry'!AV161="","",'Marks Entry'!AV161))</f>
        <v/>
      </c>
      <c r="CZ161" s="515" t="str">
        <f>IF('School Profile'!$D$20="NO","",IF(AND(CX161="",CY161=""),"",SUM(CX161,CY161)))</f>
        <v/>
      </c>
      <c r="DA161" s="69" t="str">
        <f>IF('School Profile'!$D$20="NO","",IF(AND(CW161="",CZ161=""),"",SUM(CW161+CZ161)))</f>
        <v/>
      </c>
      <c r="DB161" s="68" t="str">
        <f>IF('School Profile'!$D$20="NO","",IF('Marks Entry'!AW161="","",'Marks Entry'!AW161))</f>
        <v/>
      </c>
      <c r="DC161" s="68" t="str">
        <f>IF('School Profile'!$D$20="NO","",IF('Marks Entry'!AX161="","",'Marks Entry'!AX161))</f>
        <v/>
      </c>
      <c r="DD161" s="515" t="str">
        <f>IF('School Profile'!$D$20="NO","",IF(AND(DB161="",DC161=""),"",SUM(DB161,DC161)))</f>
        <v/>
      </c>
      <c r="DE161" s="96" t="str">
        <f>IF('School Profile'!$D$20="NO","",IF(AND(DA161="",DD161=""),"",SUM(DA161,DD161)))</f>
        <v/>
      </c>
      <c r="DF161" s="532">
        <f t="shared" si="387"/>
        <v>0</v>
      </c>
      <c r="DG161" s="65">
        <f t="shared" si="388"/>
        <v>0</v>
      </c>
      <c r="DH161" s="66" t="str">
        <f t="shared" si="389"/>
        <v/>
      </c>
      <c r="DI161" s="65" t="str">
        <f t="shared" si="390"/>
        <v/>
      </c>
      <c r="DJ161" s="65" t="str">
        <f t="shared" si="391"/>
        <v/>
      </c>
      <c r="DK161" s="65" t="str">
        <f t="shared" si="392"/>
        <v/>
      </c>
      <c r="DL161" s="97" t="str">
        <f t="shared" si="432"/>
        <v/>
      </c>
      <c r="DM161" s="97" t="str">
        <f t="shared" si="433"/>
        <v/>
      </c>
      <c r="DN161" s="97" t="str">
        <f t="shared" si="434"/>
        <v/>
      </c>
      <c r="DO161" s="97" t="str">
        <f t="shared" si="435"/>
        <v/>
      </c>
      <c r="DP161" s="97" t="str">
        <f t="shared" si="436"/>
        <v/>
      </c>
      <c r="DQ161" s="97" t="str">
        <f t="shared" si="437"/>
        <v/>
      </c>
      <c r="DR161" s="97" t="str">
        <f t="shared" si="438"/>
        <v/>
      </c>
      <c r="DS161" s="98">
        <f t="shared" si="439"/>
        <v>0</v>
      </c>
      <c r="DT161" s="98">
        <f t="shared" si="440"/>
        <v>0</v>
      </c>
      <c r="DU161" s="98">
        <f t="shared" si="441"/>
        <v>0</v>
      </c>
      <c r="DV161" s="98">
        <f t="shared" si="442"/>
        <v>0</v>
      </c>
      <c r="DW161" s="98">
        <f t="shared" si="443"/>
        <v>0</v>
      </c>
      <c r="DX161" s="98" t="str">
        <f t="shared" si="444"/>
        <v/>
      </c>
      <c r="DY161" s="99" t="str">
        <f t="shared" si="445"/>
        <v/>
      </c>
      <c r="DZ161" s="74" t="str">
        <f>IF('Marks Entry'!AY161="","",'Marks Entry'!AY161)</f>
        <v/>
      </c>
      <c r="EA161" s="74" t="str">
        <f>IF('Marks Entry'!AZ161="","",'Marks Entry'!AZ161)</f>
        <v/>
      </c>
      <c r="EB161" s="74" t="str">
        <f>IF('Marks Entry'!BA161="","",'Marks Entry'!BA161)</f>
        <v/>
      </c>
      <c r="EC161" s="527" t="str">
        <f t="shared" si="393"/>
        <v/>
      </c>
      <c r="ED161" s="74" t="str">
        <f>IF('Marks Entry'!BB161="","",'Marks Entry'!BB161)</f>
        <v/>
      </c>
      <c r="EE161" s="528" t="str">
        <f t="shared" si="394"/>
        <v/>
      </c>
      <c r="EF161" s="74" t="str">
        <f>IF('Marks Entry'!BC161="","",'Marks Entry'!BC161)</f>
        <v/>
      </c>
      <c r="EG161" s="530" t="str">
        <f t="shared" si="395"/>
        <v/>
      </c>
      <c r="EH161" s="368" t="str">
        <f t="shared" si="446"/>
        <v/>
      </c>
      <c r="EI161" s="65">
        <f t="shared" si="447"/>
        <v>0</v>
      </c>
      <c r="EJ161" s="65">
        <f t="shared" si="448"/>
        <v>0</v>
      </c>
      <c r="EK161" s="66" t="str">
        <f t="shared" si="449"/>
        <v/>
      </c>
      <c r="EL161" s="74" t="str">
        <f>IF('Marks Entry'!BD161="","",'Marks Entry'!BD161)</f>
        <v/>
      </c>
      <c r="EM161" s="74" t="str">
        <f>IF('Marks Entry'!BE161="","",'Marks Entry'!BE161)</f>
        <v/>
      </c>
      <c r="EN161" s="74" t="str">
        <f>IF('Marks Entry'!BF161="","",'Marks Entry'!BF161)</f>
        <v/>
      </c>
      <c r="EO161" s="527" t="str">
        <f t="shared" si="396"/>
        <v/>
      </c>
      <c r="EP161" s="74" t="str">
        <f>IF('Marks Entry'!BG161="","",'Marks Entry'!BG161)</f>
        <v/>
      </c>
      <c r="EQ161" s="74" t="str">
        <f>IF('Marks Entry'!BH161="","",'Marks Entry'!BH161)</f>
        <v/>
      </c>
      <c r="ER161" s="528" t="str">
        <f t="shared" si="397"/>
        <v/>
      </c>
      <c r="ES161" s="529" t="str">
        <f t="shared" si="398"/>
        <v/>
      </c>
      <c r="ET161" s="74" t="str">
        <f>IF('Marks Entry'!BI161="","",'Marks Entry'!BI161)</f>
        <v/>
      </c>
      <c r="EU161" s="74" t="str">
        <f>IF('Marks Entry'!BJ161="","",'Marks Entry'!BJ161)</f>
        <v/>
      </c>
      <c r="EV161" s="528" t="str">
        <f t="shared" si="399"/>
        <v/>
      </c>
      <c r="EW161" s="530" t="str">
        <f t="shared" si="400"/>
        <v/>
      </c>
      <c r="EX161" s="368" t="str">
        <f t="shared" si="450"/>
        <v/>
      </c>
      <c r="EY161" s="65">
        <f t="shared" si="451"/>
        <v>0</v>
      </c>
      <c r="EZ161" s="65">
        <f t="shared" si="452"/>
        <v>0</v>
      </c>
      <c r="FA161" s="66" t="str">
        <f t="shared" si="453"/>
        <v/>
      </c>
      <c r="FB161" s="74" t="str">
        <f>IF('Marks Entry'!BK161="","",'Marks Entry'!BK161)</f>
        <v/>
      </c>
      <c r="FC161" s="74" t="str">
        <f>IF('Marks Entry'!BL161="","",'Marks Entry'!BL161)</f>
        <v/>
      </c>
      <c r="FD161" s="74" t="str">
        <f>IF('Marks Entry'!BM161="","",'Marks Entry'!BM161)</f>
        <v/>
      </c>
      <c r="FE161" s="74" t="str">
        <f>IF('Marks Entry'!BN161="","",'Marks Entry'!BN161)</f>
        <v/>
      </c>
      <c r="FF161" s="74" t="str">
        <f>IF('Marks Entry'!BO161="","",'Marks Entry'!BO161)</f>
        <v/>
      </c>
      <c r="FG161" s="74" t="str">
        <f>IF('Marks Entry'!BP161="","",'Marks Entry'!BP161)</f>
        <v/>
      </c>
      <c r="FH161" s="527" t="str">
        <f t="shared" si="401"/>
        <v/>
      </c>
      <c r="FI161" s="74" t="str">
        <f>IF('Marks Entry'!BQ161="","",'Marks Entry'!BQ161)</f>
        <v/>
      </c>
      <c r="FJ161" s="74" t="str">
        <f>IF('Marks Entry'!BR161="","",'Marks Entry'!BR161)</f>
        <v/>
      </c>
      <c r="FK161" s="528" t="str">
        <f t="shared" si="402"/>
        <v/>
      </c>
      <c r="FL161" s="529" t="str">
        <f t="shared" si="403"/>
        <v/>
      </c>
      <c r="FM161" s="74" t="str">
        <f>IF('Marks Entry'!BS161="","",'Marks Entry'!BS161)</f>
        <v/>
      </c>
      <c r="FN161" s="74" t="str">
        <f>IF('Marks Entry'!BT161="","",'Marks Entry'!BT161)</f>
        <v/>
      </c>
      <c r="FO161" s="528" t="str">
        <f t="shared" si="404"/>
        <v/>
      </c>
      <c r="FP161" s="530" t="str">
        <f t="shared" si="405"/>
        <v/>
      </c>
      <c r="FQ161" s="368" t="str">
        <f t="shared" si="454"/>
        <v/>
      </c>
      <c r="FR161" s="65">
        <f t="shared" si="455"/>
        <v>0</v>
      </c>
      <c r="FS161" s="65">
        <f t="shared" si="456"/>
        <v>0</v>
      </c>
      <c r="FT161" s="66" t="str">
        <f t="shared" si="457"/>
        <v/>
      </c>
      <c r="FU161" s="74" t="str">
        <f>IF('Marks Entry'!BU161="","",'Marks Entry'!BU161)</f>
        <v/>
      </c>
      <c r="FV161" s="74" t="str">
        <f>IF('Marks Entry'!BV161="","",'Marks Entry'!BV161)</f>
        <v/>
      </c>
      <c r="FW161" s="74" t="str">
        <f>IF('Marks Entry'!BW161="","",'Marks Entry'!BW161)</f>
        <v/>
      </c>
      <c r="FX161" s="75" t="str">
        <f t="shared" si="406"/>
        <v/>
      </c>
      <c r="FY161" s="368" t="str">
        <f t="shared" si="458"/>
        <v/>
      </c>
      <c r="FZ161" s="65">
        <f t="shared" si="459"/>
        <v>0</v>
      </c>
      <c r="GA161" s="66">
        <f t="shared" si="460"/>
        <v>0</v>
      </c>
      <c r="GB161" s="66" t="str">
        <f t="shared" si="461"/>
        <v/>
      </c>
      <c r="GC161" s="74" t="str">
        <f>IF('Marks Entry'!BX161="","",'Marks Entry'!BX161)</f>
        <v/>
      </c>
      <c r="GD161" s="74" t="str">
        <f>IF('Marks Entry'!BY161="","",'Marks Entry'!BY161)</f>
        <v/>
      </c>
      <c r="GE161" s="74" t="str">
        <f>IF('Marks Entry'!BZ161="","",'Marks Entry'!BZ161)</f>
        <v/>
      </c>
      <c r="GF161" s="75" t="str">
        <f t="shared" si="462"/>
        <v/>
      </c>
      <c r="GG161" s="368" t="str">
        <f t="shared" si="463"/>
        <v/>
      </c>
      <c r="GH161" s="65">
        <f t="shared" si="464"/>
        <v>0</v>
      </c>
      <c r="GI161" s="66">
        <f t="shared" si="465"/>
        <v>0</v>
      </c>
      <c r="GJ161" s="66" t="str">
        <f t="shared" si="466"/>
        <v/>
      </c>
      <c r="GK161" s="100" t="str">
        <f>IF(AND(F161="",B161=""),"",IF('Student DATA Entry'!M158="","",'Student DATA Entry'!M158))</f>
        <v/>
      </c>
      <c r="GL161" s="101" t="str">
        <f>IF(AND(B161="",F161=""),"",IF('Student DATA Entry'!N158="","",'Student DATA Entry'!N158))</f>
        <v/>
      </c>
      <c r="GM161" s="581" t="str">
        <f t="shared" si="467"/>
        <v/>
      </c>
      <c r="GN161" s="94" t="str">
        <f t="shared" si="468"/>
        <v/>
      </c>
      <c r="GO161" s="94" t="str">
        <f t="shared" si="469"/>
        <v/>
      </c>
      <c r="GP161" s="102" t="str">
        <f t="shared" si="407"/>
        <v/>
      </c>
      <c r="GQ161" s="94" t="str">
        <f t="shared" si="470"/>
        <v/>
      </c>
      <c r="GR161" s="103" t="str">
        <f t="shared" si="471"/>
        <v/>
      </c>
      <c r="GS161" s="102" t="str">
        <f t="shared" si="408"/>
        <v/>
      </c>
      <c r="GT161" s="104" t="str">
        <f t="shared" si="472"/>
        <v/>
      </c>
      <c r="GU161" s="94" t="str">
        <f>IF('Marks Entry'!V161=1,GT161,"")</f>
        <v/>
      </c>
      <c r="GV161" s="94" t="str">
        <f>IF('Marks Entry'!V161=2,GT161,"")</f>
        <v/>
      </c>
      <c r="GW161" s="94" t="str">
        <f>IF('Marks Entry'!V161=3,GT161,"")</f>
        <v/>
      </c>
      <c r="GX161" s="94" t="str">
        <f>IF('Marks Entry'!V161=4,GT161,"")</f>
        <v/>
      </c>
      <c r="GY161" s="94" t="str">
        <f>IF('Marks Entry'!V161=5,GT161,"")</f>
        <v/>
      </c>
      <c r="GZ161" s="94" t="str">
        <f t="shared" si="473"/>
        <v/>
      </c>
      <c r="HA161" s="105" t="str">
        <f t="shared" si="409"/>
        <v/>
      </c>
      <c r="HB161" s="94" t="str">
        <f t="shared" si="474"/>
        <v/>
      </c>
      <c r="HC161" s="94" t="str">
        <f t="shared" si="475"/>
        <v/>
      </c>
      <c r="HD161" s="105" t="str">
        <f t="shared" si="410"/>
        <v/>
      </c>
      <c r="HE161" s="94" t="str">
        <f t="shared" si="476"/>
        <v/>
      </c>
      <c r="HF161" s="94" t="str">
        <f t="shared" si="477"/>
        <v/>
      </c>
      <c r="HG161" s="105" t="str">
        <f t="shared" si="411"/>
        <v/>
      </c>
      <c r="HH161" s="94" t="str">
        <f t="shared" si="478"/>
        <v/>
      </c>
      <c r="HI161" s="94" t="str">
        <f t="shared" si="479"/>
        <v/>
      </c>
      <c r="HJ161" s="105" t="str">
        <f t="shared" si="412"/>
        <v/>
      </c>
      <c r="HK161" s="94" t="str">
        <f t="shared" si="480"/>
        <v/>
      </c>
      <c r="HL161" s="94" t="str">
        <f t="shared" si="481"/>
        <v/>
      </c>
      <c r="HM161" s="105" t="str">
        <f t="shared" si="413"/>
        <v/>
      </c>
      <c r="HN161" s="367" t="str">
        <f t="shared" si="482"/>
        <v xml:space="preserve">      </v>
      </c>
      <c r="HO161" s="418" t="str">
        <f t="shared" si="414"/>
        <v xml:space="preserve">      </v>
      </c>
      <c r="HP161" s="367" t="str">
        <f t="shared" si="483"/>
        <v xml:space="preserve">      </v>
      </c>
      <c r="HQ161" s="107" t="str">
        <f t="shared" si="484"/>
        <v xml:space="preserve">      </v>
      </c>
      <c r="HR161" s="366" t="str">
        <f t="shared" si="485"/>
        <v xml:space="preserve">      </v>
      </c>
      <c r="HS161" s="544" t="str">
        <f t="shared" si="415"/>
        <v/>
      </c>
      <c r="HT161" s="542" t="str">
        <f t="shared" si="486"/>
        <v/>
      </c>
      <c r="HU161" s="541" t="str">
        <f t="shared" si="487"/>
        <v/>
      </c>
      <c r="HV161" s="540" t="str">
        <f t="shared" si="488"/>
        <v/>
      </c>
      <c r="HW161" s="537" t="str">
        <f t="shared" si="489"/>
        <v/>
      </c>
      <c r="HX161" s="539" t="str">
        <f t="shared" si="490"/>
        <v/>
      </c>
      <c r="HY161" s="553" t="str">
        <f>IFERROR(IF(OR(HS161="SUPPLEMENTARY",HS161="RE-EXAM"),'Supp. Result Entry'!AQ159,""),"")</f>
        <v/>
      </c>
      <c r="HZ161" s="538" t="str">
        <f t="shared" si="491"/>
        <v/>
      </c>
      <c r="IA161" s="415" t="str">
        <f t="shared" si="492"/>
        <v/>
      </c>
      <c r="IB161" s="415" t="str">
        <f>IF(AND(HZ161="",IA161=""),"",IF(OR(HS161="SUPPLEMENTARY",HS161="RE-EXAM"),'Supp. Result Entry'!AQ159,HS161))</f>
        <v/>
      </c>
      <c r="IC161" s="87"/>
      <c r="IS161" s="109" t="str">
        <f>IF('Supp. Result Entry'!T159="","",'Supp. Result Entry'!$T$4)</f>
        <v/>
      </c>
      <c r="IT161" s="110" t="str">
        <f>IF('Supp. Result Entry'!W159="","",'Supp. Result Entry'!$W$4)</f>
        <v/>
      </c>
      <c r="IU161" s="110" t="str">
        <f>IF('Supp. Result Entry'!Z159="","",'Supp. Result Entry'!$Z$4)</f>
        <v/>
      </c>
      <c r="IV161" s="110" t="str">
        <f>IF('Supp. Result Entry'!AC159="","",'Supp. Result Entry'!$AC$4)</f>
        <v/>
      </c>
      <c r="IW161" s="110" t="str">
        <f>IF('Supp. Result Entry'!AF159="","",'Supp. Result Entry'!$AF$4)</f>
        <v/>
      </c>
      <c r="IX161" s="110" t="str">
        <f>IF('Supp. Result Entry'!AI159="","",'Supp. Result Entry'!$AI$4)</f>
        <v/>
      </c>
      <c r="IY161" s="110" t="str">
        <f>IF('Supp. Result Entry'!AI159="","",'Supp. Result Entry'!$AL$4)</f>
        <v/>
      </c>
      <c r="IZ161" s="110" t="str">
        <f>IF('Supp. Result Entry'!U159="","",'Supp. Result Entry'!U159)</f>
        <v/>
      </c>
      <c r="JA161" s="110" t="str">
        <f>IF('Supp. Result Entry'!X159="","",'Supp. Result Entry'!X159)</f>
        <v/>
      </c>
      <c r="JB161" s="110" t="str">
        <f>IF('Supp. Result Entry'!AA159="","",'Supp. Result Entry'!AA159)</f>
        <v/>
      </c>
      <c r="JC161" s="110" t="str">
        <f>IF('Supp. Result Entry'!AD159="","",'Supp. Result Entry'!AD159)</f>
        <v/>
      </c>
      <c r="JD161" s="110" t="str">
        <f>IF('Supp. Result Entry'!AG159="","",'Supp. Result Entry'!AG159)</f>
        <v/>
      </c>
      <c r="JE161" s="110" t="str">
        <f>IF('Supp. Result Entry'!AJ159="","",'Supp. Result Entry'!AJ159)</f>
        <v/>
      </c>
      <c r="JF161" s="110" t="str">
        <f>IF('Supp. Result Entry'!AM159="","",'Supp. Result Entry'!AM159)</f>
        <v/>
      </c>
      <c r="JG161" s="110" t="str">
        <f>IF('Supp. Result Entry'!V159="","",'Supp. Result Entry'!V159)</f>
        <v/>
      </c>
      <c r="JH161" s="110" t="str">
        <f>IF('Supp. Result Entry'!Y159="","",'Supp. Result Entry'!Y159)</f>
        <v/>
      </c>
      <c r="JI161" s="110" t="str">
        <f>IF('Supp. Result Entry'!AB159="","",'Supp. Result Entry'!AB159)</f>
        <v/>
      </c>
      <c r="JJ161" s="110" t="str">
        <f>IF('Supp. Result Entry'!AE159="","",'Supp. Result Entry'!AE159)</f>
        <v/>
      </c>
      <c r="JK161" s="110" t="str">
        <f>IF('Supp. Result Entry'!AH159="","",'Supp. Result Entry'!AH159)</f>
        <v/>
      </c>
      <c r="JL161" s="110" t="str">
        <f>IF('Supp. Result Entry'!AK159="","",'Supp. Result Entry'!AK159)</f>
        <v/>
      </c>
      <c r="JM161" s="110" t="str">
        <f>IF('Supp. Result Entry'!AN159="","",'Supp. Result Entry'!AN159)</f>
        <v/>
      </c>
      <c r="JN161" s="110">
        <f>COUNTIF('Supp. Result Entry'!K159:Q159,"S")</f>
        <v>0</v>
      </c>
      <c r="JO161" s="110">
        <f t="shared" si="416"/>
        <v>0</v>
      </c>
      <c r="JP161" s="110">
        <f t="shared" si="493"/>
        <v>0</v>
      </c>
      <c r="JQ161" s="110" t="str">
        <f t="shared" si="417"/>
        <v/>
      </c>
      <c r="JR161" s="110" t="str">
        <f t="shared" si="418"/>
        <v/>
      </c>
      <c r="JS161" s="110" t="str">
        <f t="shared" si="419"/>
        <v/>
      </c>
      <c r="JT161" s="110" t="str">
        <f t="shared" si="420"/>
        <v/>
      </c>
      <c r="JU161" s="110" t="str">
        <f t="shared" si="421"/>
        <v/>
      </c>
      <c r="JV161" s="110" t="str">
        <f t="shared" si="422"/>
        <v/>
      </c>
      <c r="JW161" s="110" t="str">
        <f t="shared" si="423"/>
        <v/>
      </c>
      <c r="JX161" s="110" t="str">
        <f t="shared" si="494"/>
        <v/>
      </c>
      <c r="JY161" s="110" t="str">
        <f t="shared" si="495"/>
        <v/>
      </c>
      <c r="JZ161" s="110" t="str">
        <f t="shared" si="424"/>
        <v/>
      </c>
      <c r="KA161" s="108" t="str">
        <f t="shared" si="496"/>
        <v/>
      </c>
    </row>
    <row r="162" spans="1:287" s="108" customFormat="1" ht="21.95" customHeight="1">
      <c r="A162" s="89">
        <v>156</v>
      </c>
      <c r="B162" s="90" t="str">
        <f>IF('Marks Entry'!B162="","",'Marks Entry'!B162)</f>
        <v/>
      </c>
      <c r="C162" s="94" t="str">
        <f>IF('Marks Entry'!D162="","",'Marks Entry'!D162)</f>
        <v/>
      </c>
      <c r="D162" s="91" t="str">
        <f>IF('Marks Entry'!E162="","",'Marks Entry'!E162)</f>
        <v/>
      </c>
      <c r="E162" s="92" t="str">
        <f>IF('Marks Entry'!F162="","",'Marks Entry'!F162)</f>
        <v/>
      </c>
      <c r="F162" s="93" t="str">
        <f>IF('Marks Entry'!G162="","",'Marks Entry'!G162)</f>
        <v/>
      </c>
      <c r="G162" s="93" t="str">
        <f>IF('Marks Entry'!H162="","",'Marks Entry'!H162)</f>
        <v/>
      </c>
      <c r="H162" s="93" t="str">
        <f>IF('Marks Entry'!I162="","",'Marks Entry'!I162)</f>
        <v/>
      </c>
      <c r="I162" s="94" t="str">
        <f>IF('Marks Entry'!J162="","",'Marks Entry'!J162)</f>
        <v/>
      </c>
      <c r="J162" s="95" t="str">
        <f>IF('Marks Entry'!K162="","",'Marks Entry'!K162)</f>
        <v/>
      </c>
      <c r="K162" s="68" t="str">
        <f>IF('Marks Entry'!L162="","",'Marks Entry'!L162)</f>
        <v/>
      </c>
      <c r="L162" s="68" t="str">
        <f>IF('Marks Entry'!M162="","",'Marks Entry'!M162)</f>
        <v/>
      </c>
      <c r="M162" s="68" t="str">
        <f>IF('Marks Entry'!N162="","",'Marks Entry'!N162)</f>
        <v/>
      </c>
      <c r="N162" s="514" t="str">
        <f t="shared" si="425"/>
        <v/>
      </c>
      <c r="O162" s="68" t="str">
        <f>IF('Marks Entry'!O162="","",'Marks Entry'!O162)</f>
        <v/>
      </c>
      <c r="P162" s="515" t="str">
        <f t="shared" si="426"/>
        <v/>
      </c>
      <c r="Q162" s="68" t="str">
        <f>IF('Marks Entry'!P162="","",'Marks Entry'!P162)</f>
        <v/>
      </c>
      <c r="R162" s="96" t="str">
        <f t="shared" si="427"/>
        <v/>
      </c>
      <c r="S162" s="65">
        <f t="shared" si="428"/>
        <v>0</v>
      </c>
      <c r="T162" s="65">
        <f t="shared" si="429"/>
        <v>0</v>
      </c>
      <c r="U162" s="66" t="str">
        <f t="shared" si="339"/>
        <v/>
      </c>
      <c r="V162" s="65" t="str">
        <f t="shared" si="340"/>
        <v/>
      </c>
      <c r="W162" s="65" t="str">
        <f t="shared" si="430"/>
        <v/>
      </c>
      <c r="X162" s="65" t="str">
        <f t="shared" si="341"/>
        <v/>
      </c>
      <c r="Y162" s="68" t="str">
        <f>IF('Marks Entry'!Q162="","",'Marks Entry'!Q162)</f>
        <v/>
      </c>
      <c r="Z162" s="68" t="str">
        <f>IF('Marks Entry'!R162="","",'Marks Entry'!R162)</f>
        <v/>
      </c>
      <c r="AA162" s="68" t="str">
        <f>IF('Marks Entry'!S162="","",'Marks Entry'!S162)</f>
        <v/>
      </c>
      <c r="AB162" s="514" t="str">
        <f t="shared" si="342"/>
        <v/>
      </c>
      <c r="AC162" s="68" t="str">
        <f>IF('Marks Entry'!T162="","",'Marks Entry'!T162)</f>
        <v/>
      </c>
      <c r="AD162" s="515" t="str">
        <f t="shared" si="343"/>
        <v/>
      </c>
      <c r="AE162" s="68" t="str">
        <f>IF('Marks Entry'!U162="","",'Marks Entry'!U162)</f>
        <v/>
      </c>
      <c r="AF162" s="96" t="str">
        <f t="shared" si="344"/>
        <v/>
      </c>
      <c r="AG162" s="65">
        <f t="shared" si="345"/>
        <v>0</v>
      </c>
      <c r="AH162" s="65">
        <f t="shared" si="346"/>
        <v>0</v>
      </c>
      <c r="AI162" s="66" t="str">
        <f t="shared" si="347"/>
        <v/>
      </c>
      <c r="AJ162" s="65" t="str">
        <f t="shared" si="348"/>
        <v/>
      </c>
      <c r="AK162" s="65" t="str">
        <f t="shared" si="349"/>
        <v/>
      </c>
      <c r="AL162" s="65" t="str">
        <f t="shared" si="350"/>
        <v/>
      </c>
      <c r="AM162" s="524" t="str">
        <f>IF('Marks Entry'!V162="","",IF('Marks Entry'!V162=1,'School Profile'!$I$9,IF('Marks Entry'!V162=2,'School Profile'!$I$10,IF('Marks Entry'!V162=3,'School Profile'!$I$11,IF('Marks Entry'!V162=4,'School Profile'!$I$12,IF('Marks Entry'!V162=5,'School Profile'!$I$13,IF('Marks Entry'!V162=6,'School Profile'!$I$14,"")))))))</f>
        <v/>
      </c>
      <c r="AN162" s="68" t="str">
        <f>IF('Marks Entry'!W162="","",'Marks Entry'!W162)</f>
        <v/>
      </c>
      <c r="AO162" s="68" t="str">
        <f>IF('Marks Entry'!X162="","",'Marks Entry'!X162)</f>
        <v/>
      </c>
      <c r="AP162" s="68" t="str">
        <f>IF('Marks Entry'!Y162="","",'Marks Entry'!Y162)</f>
        <v/>
      </c>
      <c r="AQ162" s="514" t="str">
        <f t="shared" si="351"/>
        <v/>
      </c>
      <c r="AR162" s="68" t="str">
        <f>IF('Marks Entry'!Z162="","",'Marks Entry'!Z162)</f>
        <v/>
      </c>
      <c r="AS162" s="515" t="str">
        <f t="shared" si="352"/>
        <v/>
      </c>
      <c r="AT162" s="68" t="str">
        <f>IF('Marks Entry'!AA162="","",'Marks Entry'!AA162)</f>
        <v/>
      </c>
      <c r="AU162" s="96" t="str">
        <f t="shared" si="353"/>
        <v/>
      </c>
      <c r="AV162" s="65">
        <f t="shared" si="354"/>
        <v>0</v>
      </c>
      <c r="AW162" s="65">
        <f t="shared" si="355"/>
        <v>0</v>
      </c>
      <c r="AX162" s="66" t="str">
        <f t="shared" si="356"/>
        <v/>
      </c>
      <c r="AY162" s="65" t="str">
        <f t="shared" si="357"/>
        <v/>
      </c>
      <c r="AZ162" s="65" t="str">
        <f t="shared" si="358"/>
        <v/>
      </c>
      <c r="BA162" s="65" t="str">
        <f t="shared" si="359"/>
        <v/>
      </c>
      <c r="BB162" s="68" t="str">
        <f>IF('Marks Entry'!AB162="","",'Marks Entry'!AB162)</f>
        <v/>
      </c>
      <c r="BC162" s="68" t="str">
        <f>IF('Marks Entry'!AC162="","",'Marks Entry'!AC162)</f>
        <v/>
      </c>
      <c r="BD162" s="68" t="str">
        <f>IF('Marks Entry'!AD162="","",'Marks Entry'!AD162)</f>
        <v/>
      </c>
      <c r="BE162" s="514" t="str">
        <f t="shared" si="360"/>
        <v/>
      </c>
      <c r="BF162" s="68" t="str">
        <f>IF('Marks Entry'!AE162="","",'Marks Entry'!AE162)</f>
        <v/>
      </c>
      <c r="BG162" s="515" t="str">
        <f t="shared" si="361"/>
        <v/>
      </c>
      <c r="BH162" s="68" t="str">
        <f>IF('Marks Entry'!AF162="","",'Marks Entry'!AF162)</f>
        <v/>
      </c>
      <c r="BI162" s="96" t="str">
        <f t="shared" si="362"/>
        <v/>
      </c>
      <c r="BJ162" s="65">
        <f t="shared" si="363"/>
        <v>0</v>
      </c>
      <c r="BK162" s="65">
        <f t="shared" si="431"/>
        <v>0</v>
      </c>
      <c r="BL162" s="66" t="str">
        <f t="shared" si="364"/>
        <v/>
      </c>
      <c r="BM162" s="65" t="str">
        <f t="shared" si="365"/>
        <v/>
      </c>
      <c r="BN162" s="65" t="str">
        <f t="shared" si="366"/>
        <v/>
      </c>
      <c r="BO162" s="65" t="str">
        <f t="shared" si="367"/>
        <v/>
      </c>
      <c r="BP162" s="68" t="str">
        <f>IF('Marks Entry'!AG162="","",'Marks Entry'!AG162)</f>
        <v/>
      </c>
      <c r="BQ162" s="68" t="str">
        <f>IF('Marks Entry'!AH162="","",'Marks Entry'!AH162)</f>
        <v/>
      </c>
      <c r="BR162" s="68" t="str">
        <f>IF('Marks Entry'!AI162="","",'Marks Entry'!AI162)</f>
        <v/>
      </c>
      <c r="BS162" s="514" t="str">
        <f t="shared" si="368"/>
        <v/>
      </c>
      <c r="BT162" s="68" t="str">
        <f>IF('Marks Entry'!AJ162="","",'Marks Entry'!AJ162)</f>
        <v/>
      </c>
      <c r="BU162" s="515" t="str">
        <f t="shared" si="369"/>
        <v/>
      </c>
      <c r="BV162" s="68" t="str">
        <f>IF('Marks Entry'!AK162="","",'Marks Entry'!AK162)</f>
        <v/>
      </c>
      <c r="BW162" s="96" t="str">
        <f t="shared" si="370"/>
        <v/>
      </c>
      <c r="BX162" s="65">
        <f t="shared" si="371"/>
        <v>0</v>
      </c>
      <c r="BY162" s="65">
        <f t="shared" si="372"/>
        <v>0</v>
      </c>
      <c r="BZ162" s="66" t="str">
        <f t="shared" si="373"/>
        <v/>
      </c>
      <c r="CA162" s="65" t="str">
        <f t="shared" si="374"/>
        <v/>
      </c>
      <c r="CB162" s="65" t="str">
        <f t="shared" si="375"/>
        <v/>
      </c>
      <c r="CC162" s="65" t="str">
        <f t="shared" si="376"/>
        <v/>
      </c>
      <c r="CD162" s="66">
        <f t="shared" si="377"/>
        <v>0</v>
      </c>
      <c r="CE162" s="68" t="str">
        <f>IF('Marks Entry'!AL162="","",'Marks Entry'!AL162)</f>
        <v/>
      </c>
      <c r="CF162" s="68" t="str">
        <f>IF('Marks Entry'!AM162="","",'Marks Entry'!AM162)</f>
        <v/>
      </c>
      <c r="CG162" s="68" t="str">
        <f>IF('Marks Entry'!AN162="","",'Marks Entry'!AN162)</f>
        <v/>
      </c>
      <c r="CH162" s="514" t="str">
        <f t="shared" si="378"/>
        <v/>
      </c>
      <c r="CI162" s="68" t="str">
        <f>IF('Marks Entry'!AO162="","",'Marks Entry'!AO162)</f>
        <v/>
      </c>
      <c r="CJ162" s="515" t="str">
        <f t="shared" si="379"/>
        <v/>
      </c>
      <c r="CK162" s="68" t="str">
        <f>IF('Marks Entry'!AP162="","",'Marks Entry'!AP162)</f>
        <v/>
      </c>
      <c r="CL162" s="96" t="str">
        <f t="shared" si="380"/>
        <v/>
      </c>
      <c r="CM162" s="65">
        <f t="shared" si="381"/>
        <v>0</v>
      </c>
      <c r="CN162" s="65">
        <f t="shared" si="382"/>
        <v>0</v>
      </c>
      <c r="CO162" s="66" t="str">
        <f t="shared" si="383"/>
        <v/>
      </c>
      <c r="CP162" s="65" t="str">
        <f t="shared" si="384"/>
        <v/>
      </c>
      <c r="CQ162" s="65" t="str">
        <f t="shared" si="385"/>
        <v/>
      </c>
      <c r="CR162" s="65" t="str">
        <f t="shared" si="386"/>
        <v/>
      </c>
      <c r="CS162" s="616" t="str">
        <f>IF('School Profile'!$D$20="NO","",IF('Marks Entry'!AQ162="","",IF('Marks Entry'!AQ162=1,'School Profile'!$I$29,IF('Marks Entry'!AQ162=2,'School Profile'!$I$30,IF('Marks Entry'!AQ162=3,'School Profile'!$I$31,IF('Marks Entry'!AQ162=4,'School Profile'!$I$32,IF('Marks Entry'!AQ162=5,'School Profile'!$I$33,IF('Marks Entry'!AQ162=6,'School Profile'!$I$34,IF('Marks Entry'!AQ162=7,'School Profile'!$I$35,IF('Marks Entry'!AQ162=8,'School Profile'!$I$36,IF('Marks Entry'!AQ162=9,'School Profile'!$I$37,IF('Marks Entry'!AQ162=10,'School Profile'!$I$38,IF('Marks Entry'!AQ162=11,'School Profile'!$I$39,"")))))))))))))</f>
        <v/>
      </c>
      <c r="CT162" s="68" t="str">
        <f>IF('School Profile'!$D$20="NO","",IF('Marks Entry'!AR162="","",'Marks Entry'!AR162))</f>
        <v/>
      </c>
      <c r="CU162" s="68" t="str">
        <f>IF('School Profile'!$D$20="NO","",IF('Marks Entry'!AS162="","",'Marks Entry'!AS162))</f>
        <v/>
      </c>
      <c r="CV162" s="68" t="str">
        <f>IF('School Profile'!$D$20="NO","",IF('Marks Entry'!AT162="","",'Marks Entry'!AT162))</f>
        <v/>
      </c>
      <c r="CW162" s="514" t="str">
        <f>IF('School Profile'!$D$20="NO","",IF(AND(CT162="",CU162="",CV162=""),"",SUM(CT162:CV162)))</f>
        <v/>
      </c>
      <c r="CX162" s="68" t="str">
        <f>IF('School Profile'!$D$20="NO","",IF('Marks Entry'!AU162="","",'Marks Entry'!AU162))</f>
        <v/>
      </c>
      <c r="CY162" s="68" t="str">
        <f>IF('School Profile'!$D$20="NO","",IF('Marks Entry'!AV162="","",'Marks Entry'!AV162))</f>
        <v/>
      </c>
      <c r="CZ162" s="515" t="str">
        <f>IF('School Profile'!$D$20="NO","",IF(AND(CX162="",CY162=""),"",SUM(CX162,CY162)))</f>
        <v/>
      </c>
      <c r="DA162" s="69" t="str">
        <f>IF('School Profile'!$D$20="NO","",IF(AND(CW162="",CZ162=""),"",SUM(CW162+CZ162)))</f>
        <v/>
      </c>
      <c r="DB162" s="68" t="str">
        <f>IF('School Profile'!$D$20="NO","",IF('Marks Entry'!AW162="","",'Marks Entry'!AW162))</f>
        <v/>
      </c>
      <c r="DC162" s="68" t="str">
        <f>IF('School Profile'!$D$20="NO","",IF('Marks Entry'!AX162="","",'Marks Entry'!AX162))</f>
        <v/>
      </c>
      <c r="DD162" s="515" t="str">
        <f>IF('School Profile'!$D$20="NO","",IF(AND(DB162="",DC162=""),"",SUM(DB162,DC162)))</f>
        <v/>
      </c>
      <c r="DE162" s="96" t="str">
        <f>IF('School Profile'!$D$20="NO","",IF(AND(DA162="",DD162=""),"",SUM(DA162,DD162)))</f>
        <v/>
      </c>
      <c r="DF162" s="532">
        <f t="shared" si="387"/>
        <v>0</v>
      </c>
      <c r="DG162" s="65">
        <f t="shared" si="388"/>
        <v>0</v>
      </c>
      <c r="DH162" s="66" t="str">
        <f t="shared" si="389"/>
        <v/>
      </c>
      <c r="DI162" s="65" t="str">
        <f t="shared" si="390"/>
        <v/>
      </c>
      <c r="DJ162" s="65" t="str">
        <f t="shared" si="391"/>
        <v/>
      </c>
      <c r="DK162" s="65" t="str">
        <f t="shared" si="392"/>
        <v/>
      </c>
      <c r="DL162" s="97" t="str">
        <f t="shared" si="432"/>
        <v/>
      </c>
      <c r="DM162" s="97" t="str">
        <f t="shared" si="433"/>
        <v/>
      </c>
      <c r="DN162" s="97" t="str">
        <f t="shared" si="434"/>
        <v/>
      </c>
      <c r="DO162" s="97" t="str">
        <f t="shared" si="435"/>
        <v/>
      </c>
      <c r="DP162" s="97" t="str">
        <f t="shared" si="436"/>
        <v/>
      </c>
      <c r="DQ162" s="97" t="str">
        <f t="shared" si="437"/>
        <v/>
      </c>
      <c r="DR162" s="97" t="str">
        <f t="shared" si="438"/>
        <v/>
      </c>
      <c r="DS162" s="98">
        <f t="shared" si="439"/>
        <v>0</v>
      </c>
      <c r="DT162" s="98">
        <f t="shared" si="440"/>
        <v>0</v>
      </c>
      <c r="DU162" s="98">
        <f t="shared" si="441"/>
        <v>0</v>
      </c>
      <c r="DV162" s="98">
        <f t="shared" si="442"/>
        <v>0</v>
      </c>
      <c r="DW162" s="98">
        <f t="shared" si="443"/>
        <v>0</v>
      </c>
      <c r="DX162" s="98" t="str">
        <f t="shared" si="444"/>
        <v/>
      </c>
      <c r="DY162" s="99" t="str">
        <f t="shared" si="445"/>
        <v/>
      </c>
      <c r="DZ162" s="74" t="str">
        <f>IF('Marks Entry'!AY162="","",'Marks Entry'!AY162)</f>
        <v/>
      </c>
      <c r="EA162" s="74" t="str">
        <f>IF('Marks Entry'!AZ162="","",'Marks Entry'!AZ162)</f>
        <v/>
      </c>
      <c r="EB162" s="74" t="str">
        <f>IF('Marks Entry'!BA162="","",'Marks Entry'!BA162)</f>
        <v/>
      </c>
      <c r="EC162" s="527" t="str">
        <f t="shared" si="393"/>
        <v/>
      </c>
      <c r="ED162" s="74" t="str">
        <f>IF('Marks Entry'!BB162="","",'Marks Entry'!BB162)</f>
        <v/>
      </c>
      <c r="EE162" s="528" t="str">
        <f t="shared" si="394"/>
        <v/>
      </c>
      <c r="EF162" s="74" t="str">
        <f>IF('Marks Entry'!BC162="","",'Marks Entry'!BC162)</f>
        <v/>
      </c>
      <c r="EG162" s="530" t="str">
        <f t="shared" si="395"/>
        <v/>
      </c>
      <c r="EH162" s="368" t="str">
        <f t="shared" si="446"/>
        <v/>
      </c>
      <c r="EI162" s="65">
        <f t="shared" si="447"/>
        <v>0</v>
      </c>
      <c r="EJ162" s="65">
        <f t="shared" si="448"/>
        <v>0</v>
      </c>
      <c r="EK162" s="66" t="str">
        <f t="shared" si="449"/>
        <v/>
      </c>
      <c r="EL162" s="74" t="str">
        <f>IF('Marks Entry'!BD162="","",'Marks Entry'!BD162)</f>
        <v/>
      </c>
      <c r="EM162" s="74" t="str">
        <f>IF('Marks Entry'!BE162="","",'Marks Entry'!BE162)</f>
        <v/>
      </c>
      <c r="EN162" s="74" t="str">
        <f>IF('Marks Entry'!BF162="","",'Marks Entry'!BF162)</f>
        <v/>
      </c>
      <c r="EO162" s="527" t="str">
        <f t="shared" si="396"/>
        <v/>
      </c>
      <c r="EP162" s="74" t="str">
        <f>IF('Marks Entry'!BG162="","",'Marks Entry'!BG162)</f>
        <v/>
      </c>
      <c r="EQ162" s="74" t="str">
        <f>IF('Marks Entry'!BH162="","",'Marks Entry'!BH162)</f>
        <v/>
      </c>
      <c r="ER162" s="528" t="str">
        <f t="shared" si="397"/>
        <v/>
      </c>
      <c r="ES162" s="529" t="str">
        <f t="shared" si="398"/>
        <v/>
      </c>
      <c r="ET162" s="74" t="str">
        <f>IF('Marks Entry'!BI162="","",'Marks Entry'!BI162)</f>
        <v/>
      </c>
      <c r="EU162" s="74" t="str">
        <f>IF('Marks Entry'!BJ162="","",'Marks Entry'!BJ162)</f>
        <v/>
      </c>
      <c r="EV162" s="528" t="str">
        <f t="shared" si="399"/>
        <v/>
      </c>
      <c r="EW162" s="530" t="str">
        <f t="shared" si="400"/>
        <v/>
      </c>
      <c r="EX162" s="368" t="str">
        <f t="shared" si="450"/>
        <v/>
      </c>
      <c r="EY162" s="65">
        <f t="shared" si="451"/>
        <v>0</v>
      </c>
      <c r="EZ162" s="65">
        <f t="shared" si="452"/>
        <v>0</v>
      </c>
      <c r="FA162" s="66" t="str">
        <f t="shared" si="453"/>
        <v/>
      </c>
      <c r="FB162" s="74" t="str">
        <f>IF('Marks Entry'!BK162="","",'Marks Entry'!BK162)</f>
        <v/>
      </c>
      <c r="FC162" s="74" t="str">
        <f>IF('Marks Entry'!BL162="","",'Marks Entry'!BL162)</f>
        <v/>
      </c>
      <c r="FD162" s="74" t="str">
        <f>IF('Marks Entry'!BM162="","",'Marks Entry'!BM162)</f>
        <v/>
      </c>
      <c r="FE162" s="74" t="str">
        <f>IF('Marks Entry'!BN162="","",'Marks Entry'!BN162)</f>
        <v/>
      </c>
      <c r="FF162" s="74" t="str">
        <f>IF('Marks Entry'!BO162="","",'Marks Entry'!BO162)</f>
        <v/>
      </c>
      <c r="FG162" s="74" t="str">
        <f>IF('Marks Entry'!BP162="","",'Marks Entry'!BP162)</f>
        <v/>
      </c>
      <c r="FH162" s="527" t="str">
        <f t="shared" si="401"/>
        <v/>
      </c>
      <c r="FI162" s="74" t="str">
        <f>IF('Marks Entry'!BQ162="","",'Marks Entry'!BQ162)</f>
        <v/>
      </c>
      <c r="FJ162" s="74" t="str">
        <f>IF('Marks Entry'!BR162="","",'Marks Entry'!BR162)</f>
        <v/>
      </c>
      <c r="FK162" s="528" t="str">
        <f t="shared" si="402"/>
        <v/>
      </c>
      <c r="FL162" s="529" t="str">
        <f t="shared" si="403"/>
        <v/>
      </c>
      <c r="FM162" s="74" t="str">
        <f>IF('Marks Entry'!BS162="","",'Marks Entry'!BS162)</f>
        <v/>
      </c>
      <c r="FN162" s="74" t="str">
        <f>IF('Marks Entry'!BT162="","",'Marks Entry'!BT162)</f>
        <v/>
      </c>
      <c r="FO162" s="528" t="str">
        <f t="shared" si="404"/>
        <v/>
      </c>
      <c r="FP162" s="530" t="str">
        <f t="shared" si="405"/>
        <v/>
      </c>
      <c r="FQ162" s="368" t="str">
        <f t="shared" si="454"/>
        <v/>
      </c>
      <c r="FR162" s="65">
        <f t="shared" si="455"/>
        <v>0</v>
      </c>
      <c r="FS162" s="65">
        <f t="shared" si="456"/>
        <v>0</v>
      </c>
      <c r="FT162" s="66" t="str">
        <f t="shared" si="457"/>
        <v/>
      </c>
      <c r="FU162" s="74" t="str">
        <f>IF('Marks Entry'!BU162="","",'Marks Entry'!BU162)</f>
        <v/>
      </c>
      <c r="FV162" s="74" t="str">
        <f>IF('Marks Entry'!BV162="","",'Marks Entry'!BV162)</f>
        <v/>
      </c>
      <c r="FW162" s="74" t="str">
        <f>IF('Marks Entry'!BW162="","",'Marks Entry'!BW162)</f>
        <v/>
      </c>
      <c r="FX162" s="75" t="str">
        <f t="shared" si="406"/>
        <v/>
      </c>
      <c r="FY162" s="368" t="str">
        <f t="shared" si="458"/>
        <v/>
      </c>
      <c r="FZ162" s="65">
        <f t="shared" si="459"/>
        <v>0</v>
      </c>
      <c r="GA162" s="66">
        <f t="shared" si="460"/>
        <v>0</v>
      </c>
      <c r="GB162" s="66" t="str">
        <f t="shared" si="461"/>
        <v/>
      </c>
      <c r="GC162" s="74" t="str">
        <f>IF('Marks Entry'!BX162="","",'Marks Entry'!BX162)</f>
        <v/>
      </c>
      <c r="GD162" s="74" t="str">
        <f>IF('Marks Entry'!BY162="","",'Marks Entry'!BY162)</f>
        <v/>
      </c>
      <c r="GE162" s="74" t="str">
        <f>IF('Marks Entry'!BZ162="","",'Marks Entry'!BZ162)</f>
        <v/>
      </c>
      <c r="GF162" s="75" t="str">
        <f t="shared" si="462"/>
        <v/>
      </c>
      <c r="GG162" s="368" t="str">
        <f t="shared" si="463"/>
        <v/>
      </c>
      <c r="GH162" s="65">
        <f t="shared" si="464"/>
        <v>0</v>
      </c>
      <c r="GI162" s="66">
        <f t="shared" si="465"/>
        <v>0</v>
      </c>
      <c r="GJ162" s="66" t="str">
        <f t="shared" si="466"/>
        <v/>
      </c>
      <c r="GK162" s="100" t="str">
        <f>IF(AND(F162="",B162=""),"",IF('Student DATA Entry'!M159="","",'Student DATA Entry'!M159))</f>
        <v/>
      </c>
      <c r="GL162" s="101" t="str">
        <f>IF(AND(B162="",F162=""),"",IF('Student DATA Entry'!N159="","",'Student DATA Entry'!N159))</f>
        <v/>
      </c>
      <c r="GM162" s="581" t="str">
        <f t="shared" si="467"/>
        <v/>
      </c>
      <c r="GN162" s="94" t="str">
        <f t="shared" si="468"/>
        <v/>
      </c>
      <c r="GO162" s="94" t="str">
        <f t="shared" si="469"/>
        <v/>
      </c>
      <c r="GP162" s="102" t="str">
        <f t="shared" si="407"/>
        <v/>
      </c>
      <c r="GQ162" s="94" t="str">
        <f t="shared" si="470"/>
        <v/>
      </c>
      <c r="GR162" s="103" t="str">
        <f t="shared" si="471"/>
        <v/>
      </c>
      <c r="GS162" s="102" t="str">
        <f t="shared" si="408"/>
        <v/>
      </c>
      <c r="GT162" s="104" t="str">
        <f t="shared" si="472"/>
        <v/>
      </c>
      <c r="GU162" s="94" t="str">
        <f>IF('Marks Entry'!V162=1,GT162,"")</f>
        <v/>
      </c>
      <c r="GV162" s="94" t="str">
        <f>IF('Marks Entry'!V162=2,GT162,"")</f>
        <v/>
      </c>
      <c r="GW162" s="94" t="str">
        <f>IF('Marks Entry'!V162=3,GT162,"")</f>
        <v/>
      </c>
      <c r="GX162" s="94" t="str">
        <f>IF('Marks Entry'!V162=4,GT162,"")</f>
        <v/>
      </c>
      <c r="GY162" s="94" t="str">
        <f>IF('Marks Entry'!V162=5,GT162,"")</f>
        <v/>
      </c>
      <c r="GZ162" s="94" t="str">
        <f t="shared" si="473"/>
        <v/>
      </c>
      <c r="HA162" s="105" t="str">
        <f t="shared" si="409"/>
        <v/>
      </c>
      <c r="HB162" s="94" t="str">
        <f t="shared" si="474"/>
        <v/>
      </c>
      <c r="HC162" s="94" t="str">
        <f t="shared" si="475"/>
        <v/>
      </c>
      <c r="HD162" s="105" t="str">
        <f t="shared" si="410"/>
        <v/>
      </c>
      <c r="HE162" s="94" t="str">
        <f t="shared" si="476"/>
        <v/>
      </c>
      <c r="HF162" s="94" t="str">
        <f t="shared" si="477"/>
        <v/>
      </c>
      <c r="HG162" s="105" t="str">
        <f t="shared" si="411"/>
        <v/>
      </c>
      <c r="HH162" s="94" t="str">
        <f t="shared" si="478"/>
        <v/>
      </c>
      <c r="HI162" s="94" t="str">
        <f t="shared" si="479"/>
        <v/>
      </c>
      <c r="HJ162" s="105" t="str">
        <f t="shared" si="412"/>
        <v/>
      </c>
      <c r="HK162" s="94" t="str">
        <f t="shared" si="480"/>
        <v/>
      </c>
      <c r="HL162" s="94" t="str">
        <f t="shared" si="481"/>
        <v/>
      </c>
      <c r="HM162" s="105" t="str">
        <f t="shared" si="413"/>
        <v/>
      </c>
      <c r="HN162" s="367" t="str">
        <f t="shared" si="482"/>
        <v xml:space="preserve">      </v>
      </c>
      <c r="HO162" s="418" t="str">
        <f t="shared" si="414"/>
        <v xml:space="preserve">      </v>
      </c>
      <c r="HP162" s="367" t="str">
        <f t="shared" si="483"/>
        <v xml:space="preserve">      </v>
      </c>
      <c r="HQ162" s="107" t="str">
        <f t="shared" si="484"/>
        <v xml:space="preserve">      </v>
      </c>
      <c r="HR162" s="366" t="str">
        <f t="shared" si="485"/>
        <v xml:space="preserve">      </v>
      </c>
      <c r="HS162" s="544" t="str">
        <f t="shared" si="415"/>
        <v/>
      </c>
      <c r="HT162" s="542" t="str">
        <f t="shared" si="486"/>
        <v/>
      </c>
      <c r="HU162" s="541" t="str">
        <f t="shared" si="487"/>
        <v/>
      </c>
      <c r="HV162" s="540" t="str">
        <f t="shared" si="488"/>
        <v/>
      </c>
      <c r="HW162" s="537" t="str">
        <f t="shared" si="489"/>
        <v/>
      </c>
      <c r="HX162" s="539" t="str">
        <f t="shared" si="490"/>
        <v/>
      </c>
      <c r="HY162" s="553" t="str">
        <f>IFERROR(IF(OR(HS162="SUPPLEMENTARY",HS162="RE-EXAM"),'Supp. Result Entry'!AQ160,""),"")</f>
        <v/>
      </c>
      <c r="HZ162" s="538" t="str">
        <f t="shared" si="491"/>
        <v/>
      </c>
      <c r="IA162" s="415" t="str">
        <f t="shared" si="492"/>
        <v/>
      </c>
      <c r="IB162" s="415" t="str">
        <f>IF(AND(HZ162="",IA162=""),"",IF(OR(HS162="SUPPLEMENTARY",HS162="RE-EXAM"),'Supp. Result Entry'!AQ160,HS162))</f>
        <v/>
      </c>
      <c r="IC162" s="87"/>
      <c r="IS162" s="109" t="str">
        <f>IF('Supp. Result Entry'!T160="","",'Supp. Result Entry'!$T$4)</f>
        <v/>
      </c>
      <c r="IT162" s="110" t="str">
        <f>IF('Supp. Result Entry'!W160="","",'Supp. Result Entry'!$W$4)</f>
        <v/>
      </c>
      <c r="IU162" s="110" t="str">
        <f>IF('Supp. Result Entry'!Z160="","",'Supp. Result Entry'!$Z$4)</f>
        <v/>
      </c>
      <c r="IV162" s="110" t="str">
        <f>IF('Supp. Result Entry'!AC160="","",'Supp. Result Entry'!$AC$4)</f>
        <v/>
      </c>
      <c r="IW162" s="110" t="str">
        <f>IF('Supp. Result Entry'!AF160="","",'Supp. Result Entry'!$AF$4)</f>
        <v/>
      </c>
      <c r="IX162" s="110" t="str">
        <f>IF('Supp. Result Entry'!AI160="","",'Supp. Result Entry'!$AI$4)</f>
        <v/>
      </c>
      <c r="IY162" s="110" t="str">
        <f>IF('Supp. Result Entry'!AI160="","",'Supp. Result Entry'!$AL$4)</f>
        <v/>
      </c>
      <c r="IZ162" s="110" t="str">
        <f>IF('Supp. Result Entry'!U160="","",'Supp. Result Entry'!U160)</f>
        <v/>
      </c>
      <c r="JA162" s="110" t="str">
        <f>IF('Supp. Result Entry'!X160="","",'Supp. Result Entry'!X160)</f>
        <v/>
      </c>
      <c r="JB162" s="110" t="str">
        <f>IF('Supp. Result Entry'!AA160="","",'Supp. Result Entry'!AA160)</f>
        <v/>
      </c>
      <c r="JC162" s="110" t="str">
        <f>IF('Supp. Result Entry'!AD160="","",'Supp. Result Entry'!AD160)</f>
        <v/>
      </c>
      <c r="JD162" s="110" t="str">
        <f>IF('Supp. Result Entry'!AG160="","",'Supp. Result Entry'!AG160)</f>
        <v/>
      </c>
      <c r="JE162" s="110" t="str">
        <f>IF('Supp. Result Entry'!AJ160="","",'Supp. Result Entry'!AJ160)</f>
        <v/>
      </c>
      <c r="JF162" s="110" t="str">
        <f>IF('Supp. Result Entry'!AM160="","",'Supp. Result Entry'!AM160)</f>
        <v/>
      </c>
      <c r="JG162" s="110" t="str">
        <f>IF('Supp. Result Entry'!V160="","",'Supp. Result Entry'!V160)</f>
        <v/>
      </c>
      <c r="JH162" s="110" t="str">
        <f>IF('Supp. Result Entry'!Y160="","",'Supp. Result Entry'!Y160)</f>
        <v/>
      </c>
      <c r="JI162" s="110" t="str">
        <f>IF('Supp. Result Entry'!AB160="","",'Supp. Result Entry'!AB160)</f>
        <v/>
      </c>
      <c r="JJ162" s="110" t="str">
        <f>IF('Supp. Result Entry'!AE160="","",'Supp. Result Entry'!AE160)</f>
        <v/>
      </c>
      <c r="JK162" s="110" t="str">
        <f>IF('Supp. Result Entry'!AH160="","",'Supp. Result Entry'!AH160)</f>
        <v/>
      </c>
      <c r="JL162" s="110" t="str">
        <f>IF('Supp. Result Entry'!AK160="","",'Supp. Result Entry'!AK160)</f>
        <v/>
      </c>
      <c r="JM162" s="110" t="str">
        <f>IF('Supp. Result Entry'!AN160="","",'Supp. Result Entry'!AN160)</f>
        <v/>
      </c>
      <c r="JN162" s="110">
        <f>COUNTIF('Supp. Result Entry'!K160:Q160,"S")</f>
        <v>0</v>
      </c>
      <c r="JO162" s="110">
        <f t="shared" si="416"/>
        <v>0</v>
      </c>
      <c r="JP162" s="110">
        <f t="shared" si="493"/>
        <v>0</v>
      </c>
      <c r="JQ162" s="110" t="str">
        <f t="shared" si="417"/>
        <v/>
      </c>
      <c r="JR162" s="110" t="str">
        <f t="shared" si="418"/>
        <v/>
      </c>
      <c r="JS162" s="110" t="str">
        <f t="shared" si="419"/>
        <v/>
      </c>
      <c r="JT162" s="110" t="str">
        <f t="shared" si="420"/>
        <v/>
      </c>
      <c r="JU162" s="110" t="str">
        <f t="shared" si="421"/>
        <v/>
      </c>
      <c r="JV162" s="110" t="str">
        <f t="shared" si="422"/>
        <v/>
      </c>
      <c r="JW162" s="110" t="str">
        <f t="shared" si="423"/>
        <v/>
      </c>
      <c r="JX162" s="110" t="str">
        <f t="shared" si="494"/>
        <v/>
      </c>
      <c r="JY162" s="110" t="str">
        <f t="shared" si="495"/>
        <v/>
      </c>
      <c r="JZ162" s="110" t="str">
        <f t="shared" si="424"/>
        <v/>
      </c>
      <c r="KA162" s="108" t="str">
        <f t="shared" si="496"/>
        <v/>
      </c>
    </row>
    <row r="163" spans="1:287" s="108" customFormat="1" ht="21.95" customHeight="1">
      <c r="A163" s="89">
        <v>157</v>
      </c>
      <c r="B163" s="90" t="str">
        <f>IF('Marks Entry'!B163="","",'Marks Entry'!B163)</f>
        <v/>
      </c>
      <c r="C163" s="94" t="str">
        <f>IF('Marks Entry'!D163="","",'Marks Entry'!D163)</f>
        <v/>
      </c>
      <c r="D163" s="91" t="str">
        <f>IF('Marks Entry'!E163="","",'Marks Entry'!E163)</f>
        <v/>
      </c>
      <c r="E163" s="92" t="str">
        <f>IF('Marks Entry'!F163="","",'Marks Entry'!F163)</f>
        <v/>
      </c>
      <c r="F163" s="93" t="str">
        <f>IF('Marks Entry'!G163="","",'Marks Entry'!G163)</f>
        <v/>
      </c>
      <c r="G163" s="93" t="str">
        <f>IF('Marks Entry'!H163="","",'Marks Entry'!H163)</f>
        <v/>
      </c>
      <c r="H163" s="93" t="str">
        <f>IF('Marks Entry'!I163="","",'Marks Entry'!I163)</f>
        <v/>
      </c>
      <c r="I163" s="94" t="str">
        <f>IF('Marks Entry'!J163="","",'Marks Entry'!J163)</f>
        <v/>
      </c>
      <c r="J163" s="95" t="str">
        <f>IF('Marks Entry'!K163="","",'Marks Entry'!K163)</f>
        <v/>
      </c>
      <c r="K163" s="68" t="str">
        <f>IF('Marks Entry'!L163="","",'Marks Entry'!L163)</f>
        <v/>
      </c>
      <c r="L163" s="68" t="str">
        <f>IF('Marks Entry'!M163="","",'Marks Entry'!M163)</f>
        <v/>
      </c>
      <c r="M163" s="68" t="str">
        <f>IF('Marks Entry'!N163="","",'Marks Entry'!N163)</f>
        <v/>
      </c>
      <c r="N163" s="514" t="str">
        <f t="shared" si="425"/>
        <v/>
      </c>
      <c r="O163" s="68" t="str">
        <f>IF('Marks Entry'!O163="","",'Marks Entry'!O163)</f>
        <v/>
      </c>
      <c r="P163" s="515" t="str">
        <f t="shared" si="426"/>
        <v/>
      </c>
      <c r="Q163" s="68" t="str">
        <f>IF('Marks Entry'!P163="","",'Marks Entry'!P163)</f>
        <v/>
      </c>
      <c r="R163" s="96" t="str">
        <f t="shared" si="427"/>
        <v/>
      </c>
      <c r="S163" s="65">
        <f t="shared" si="428"/>
        <v>0</v>
      </c>
      <c r="T163" s="65">
        <f t="shared" si="429"/>
        <v>0</v>
      </c>
      <c r="U163" s="66" t="str">
        <f t="shared" si="339"/>
        <v/>
      </c>
      <c r="V163" s="65" t="str">
        <f t="shared" si="340"/>
        <v/>
      </c>
      <c r="W163" s="65" t="str">
        <f t="shared" si="430"/>
        <v/>
      </c>
      <c r="X163" s="65" t="str">
        <f t="shared" si="341"/>
        <v/>
      </c>
      <c r="Y163" s="68" t="str">
        <f>IF('Marks Entry'!Q163="","",'Marks Entry'!Q163)</f>
        <v/>
      </c>
      <c r="Z163" s="68" t="str">
        <f>IF('Marks Entry'!R163="","",'Marks Entry'!R163)</f>
        <v/>
      </c>
      <c r="AA163" s="68" t="str">
        <f>IF('Marks Entry'!S163="","",'Marks Entry'!S163)</f>
        <v/>
      </c>
      <c r="AB163" s="514" t="str">
        <f t="shared" si="342"/>
        <v/>
      </c>
      <c r="AC163" s="68" t="str">
        <f>IF('Marks Entry'!T163="","",'Marks Entry'!T163)</f>
        <v/>
      </c>
      <c r="AD163" s="515" t="str">
        <f t="shared" si="343"/>
        <v/>
      </c>
      <c r="AE163" s="68" t="str">
        <f>IF('Marks Entry'!U163="","",'Marks Entry'!U163)</f>
        <v/>
      </c>
      <c r="AF163" s="96" t="str">
        <f t="shared" si="344"/>
        <v/>
      </c>
      <c r="AG163" s="65">
        <f t="shared" si="345"/>
        <v>0</v>
      </c>
      <c r="AH163" s="65">
        <f t="shared" si="346"/>
        <v>0</v>
      </c>
      <c r="AI163" s="66" t="str">
        <f t="shared" si="347"/>
        <v/>
      </c>
      <c r="AJ163" s="65" t="str">
        <f t="shared" si="348"/>
        <v/>
      </c>
      <c r="AK163" s="65" t="str">
        <f t="shared" si="349"/>
        <v/>
      </c>
      <c r="AL163" s="65" t="str">
        <f t="shared" si="350"/>
        <v/>
      </c>
      <c r="AM163" s="524" t="str">
        <f>IF('Marks Entry'!V163="","",IF('Marks Entry'!V163=1,'School Profile'!$I$9,IF('Marks Entry'!V163=2,'School Profile'!$I$10,IF('Marks Entry'!V163=3,'School Profile'!$I$11,IF('Marks Entry'!V163=4,'School Profile'!$I$12,IF('Marks Entry'!V163=5,'School Profile'!$I$13,IF('Marks Entry'!V163=6,'School Profile'!$I$14,"")))))))</f>
        <v/>
      </c>
      <c r="AN163" s="68" t="str">
        <f>IF('Marks Entry'!W163="","",'Marks Entry'!W163)</f>
        <v/>
      </c>
      <c r="AO163" s="68" t="str">
        <f>IF('Marks Entry'!X163="","",'Marks Entry'!X163)</f>
        <v/>
      </c>
      <c r="AP163" s="68" t="str">
        <f>IF('Marks Entry'!Y163="","",'Marks Entry'!Y163)</f>
        <v/>
      </c>
      <c r="AQ163" s="514" t="str">
        <f t="shared" si="351"/>
        <v/>
      </c>
      <c r="AR163" s="68" t="str">
        <f>IF('Marks Entry'!Z163="","",'Marks Entry'!Z163)</f>
        <v/>
      </c>
      <c r="AS163" s="515" t="str">
        <f t="shared" si="352"/>
        <v/>
      </c>
      <c r="AT163" s="68" t="str">
        <f>IF('Marks Entry'!AA163="","",'Marks Entry'!AA163)</f>
        <v/>
      </c>
      <c r="AU163" s="96" t="str">
        <f t="shared" si="353"/>
        <v/>
      </c>
      <c r="AV163" s="65">
        <f t="shared" si="354"/>
        <v>0</v>
      </c>
      <c r="AW163" s="65">
        <f t="shared" si="355"/>
        <v>0</v>
      </c>
      <c r="AX163" s="66" t="str">
        <f t="shared" si="356"/>
        <v/>
      </c>
      <c r="AY163" s="65" t="str">
        <f t="shared" si="357"/>
        <v/>
      </c>
      <c r="AZ163" s="65" t="str">
        <f t="shared" si="358"/>
        <v/>
      </c>
      <c r="BA163" s="65" t="str">
        <f t="shared" si="359"/>
        <v/>
      </c>
      <c r="BB163" s="68" t="str">
        <f>IF('Marks Entry'!AB163="","",'Marks Entry'!AB163)</f>
        <v/>
      </c>
      <c r="BC163" s="68" t="str">
        <f>IF('Marks Entry'!AC163="","",'Marks Entry'!AC163)</f>
        <v/>
      </c>
      <c r="BD163" s="68" t="str">
        <f>IF('Marks Entry'!AD163="","",'Marks Entry'!AD163)</f>
        <v/>
      </c>
      <c r="BE163" s="514" t="str">
        <f t="shared" si="360"/>
        <v/>
      </c>
      <c r="BF163" s="68" t="str">
        <f>IF('Marks Entry'!AE163="","",'Marks Entry'!AE163)</f>
        <v/>
      </c>
      <c r="BG163" s="515" t="str">
        <f t="shared" si="361"/>
        <v/>
      </c>
      <c r="BH163" s="68" t="str">
        <f>IF('Marks Entry'!AF163="","",'Marks Entry'!AF163)</f>
        <v/>
      </c>
      <c r="BI163" s="96" t="str">
        <f t="shared" si="362"/>
        <v/>
      </c>
      <c r="BJ163" s="65">
        <f t="shared" si="363"/>
        <v>0</v>
      </c>
      <c r="BK163" s="65">
        <f t="shared" si="431"/>
        <v>0</v>
      </c>
      <c r="BL163" s="66" t="str">
        <f t="shared" si="364"/>
        <v/>
      </c>
      <c r="BM163" s="65" t="str">
        <f t="shared" si="365"/>
        <v/>
      </c>
      <c r="BN163" s="65" t="str">
        <f t="shared" si="366"/>
        <v/>
      </c>
      <c r="BO163" s="65" t="str">
        <f t="shared" si="367"/>
        <v/>
      </c>
      <c r="BP163" s="68" t="str">
        <f>IF('Marks Entry'!AG163="","",'Marks Entry'!AG163)</f>
        <v/>
      </c>
      <c r="BQ163" s="68" t="str">
        <f>IF('Marks Entry'!AH163="","",'Marks Entry'!AH163)</f>
        <v/>
      </c>
      <c r="BR163" s="68" t="str">
        <f>IF('Marks Entry'!AI163="","",'Marks Entry'!AI163)</f>
        <v/>
      </c>
      <c r="BS163" s="514" t="str">
        <f t="shared" si="368"/>
        <v/>
      </c>
      <c r="BT163" s="68" t="str">
        <f>IF('Marks Entry'!AJ163="","",'Marks Entry'!AJ163)</f>
        <v/>
      </c>
      <c r="BU163" s="515" t="str">
        <f t="shared" si="369"/>
        <v/>
      </c>
      <c r="BV163" s="68" t="str">
        <f>IF('Marks Entry'!AK163="","",'Marks Entry'!AK163)</f>
        <v/>
      </c>
      <c r="BW163" s="96" t="str">
        <f t="shared" si="370"/>
        <v/>
      </c>
      <c r="BX163" s="65">
        <f t="shared" si="371"/>
        <v>0</v>
      </c>
      <c r="BY163" s="65">
        <f t="shared" si="372"/>
        <v>0</v>
      </c>
      <c r="BZ163" s="66" t="str">
        <f t="shared" si="373"/>
        <v/>
      </c>
      <c r="CA163" s="65" t="str">
        <f t="shared" si="374"/>
        <v/>
      </c>
      <c r="CB163" s="65" t="str">
        <f t="shared" si="375"/>
        <v/>
      </c>
      <c r="CC163" s="65" t="str">
        <f t="shared" si="376"/>
        <v/>
      </c>
      <c r="CD163" s="66">
        <f t="shared" si="377"/>
        <v>0</v>
      </c>
      <c r="CE163" s="68" t="str">
        <f>IF('Marks Entry'!AL163="","",'Marks Entry'!AL163)</f>
        <v/>
      </c>
      <c r="CF163" s="68" t="str">
        <f>IF('Marks Entry'!AM163="","",'Marks Entry'!AM163)</f>
        <v/>
      </c>
      <c r="CG163" s="68" t="str">
        <f>IF('Marks Entry'!AN163="","",'Marks Entry'!AN163)</f>
        <v/>
      </c>
      <c r="CH163" s="514" t="str">
        <f t="shared" si="378"/>
        <v/>
      </c>
      <c r="CI163" s="68" t="str">
        <f>IF('Marks Entry'!AO163="","",'Marks Entry'!AO163)</f>
        <v/>
      </c>
      <c r="CJ163" s="515" t="str">
        <f t="shared" si="379"/>
        <v/>
      </c>
      <c r="CK163" s="68" t="str">
        <f>IF('Marks Entry'!AP163="","",'Marks Entry'!AP163)</f>
        <v/>
      </c>
      <c r="CL163" s="96" t="str">
        <f t="shared" si="380"/>
        <v/>
      </c>
      <c r="CM163" s="65">
        <f t="shared" si="381"/>
        <v>0</v>
      </c>
      <c r="CN163" s="65">
        <f t="shared" si="382"/>
        <v>0</v>
      </c>
      <c r="CO163" s="66" t="str">
        <f t="shared" si="383"/>
        <v/>
      </c>
      <c r="CP163" s="65" t="str">
        <f t="shared" si="384"/>
        <v/>
      </c>
      <c r="CQ163" s="65" t="str">
        <f t="shared" si="385"/>
        <v/>
      </c>
      <c r="CR163" s="65" t="str">
        <f t="shared" si="386"/>
        <v/>
      </c>
      <c r="CS163" s="616" t="str">
        <f>IF('School Profile'!$D$20="NO","",IF('Marks Entry'!AQ163="","",IF('Marks Entry'!AQ163=1,'School Profile'!$I$29,IF('Marks Entry'!AQ163=2,'School Profile'!$I$30,IF('Marks Entry'!AQ163=3,'School Profile'!$I$31,IF('Marks Entry'!AQ163=4,'School Profile'!$I$32,IF('Marks Entry'!AQ163=5,'School Profile'!$I$33,IF('Marks Entry'!AQ163=6,'School Profile'!$I$34,IF('Marks Entry'!AQ163=7,'School Profile'!$I$35,IF('Marks Entry'!AQ163=8,'School Profile'!$I$36,IF('Marks Entry'!AQ163=9,'School Profile'!$I$37,IF('Marks Entry'!AQ163=10,'School Profile'!$I$38,IF('Marks Entry'!AQ163=11,'School Profile'!$I$39,"")))))))))))))</f>
        <v/>
      </c>
      <c r="CT163" s="68" t="str">
        <f>IF('School Profile'!$D$20="NO","",IF('Marks Entry'!AR163="","",'Marks Entry'!AR163))</f>
        <v/>
      </c>
      <c r="CU163" s="68" t="str">
        <f>IF('School Profile'!$D$20="NO","",IF('Marks Entry'!AS163="","",'Marks Entry'!AS163))</f>
        <v/>
      </c>
      <c r="CV163" s="68" t="str">
        <f>IF('School Profile'!$D$20="NO","",IF('Marks Entry'!AT163="","",'Marks Entry'!AT163))</f>
        <v/>
      </c>
      <c r="CW163" s="514" t="str">
        <f>IF('School Profile'!$D$20="NO","",IF(AND(CT163="",CU163="",CV163=""),"",SUM(CT163:CV163)))</f>
        <v/>
      </c>
      <c r="CX163" s="68" t="str">
        <f>IF('School Profile'!$D$20="NO","",IF('Marks Entry'!AU163="","",'Marks Entry'!AU163))</f>
        <v/>
      </c>
      <c r="CY163" s="68" t="str">
        <f>IF('School Profile'!$D$20="NO","",IF('Marks Entry'!AV163="","",'Marks Entry'!AV163))</f>
        <v/>
      </c>
      <c r="CZ163" s="515" t="str">
        <f>IF('School Profile'!$D$20="NO","",IF(AND(CX163="",CY163=""),"",SUM(CX163,CY163)))</f>
        <v/>
      </c>
      <c r="DA163" s="69" t="str">
        <f>IF('School Profile'!$D$20="NO","",IF(AND(CW163="",CZ163=""),"",SUM(CW163+CZ163)))</f>
        <v/>
      </c>
      <c r="DB163" s="68" t="str">
        <f>IF('School Profile'!$D$20="NO","",IF('Marks Entry'!AW163="","",'Marks Entry'!AW163))</f>
        <v/>
      </c>
      <c r="DC163" s="68" t="str">
        <f>IF('School Profile'!$D$20="NO","",IF('Marks Entry'!AX163="","",'Marks Entry'!AX163))</f>
        <v/>
      </c>
      <c r="DD163" s="515" t="str">
        <f>IF('School Profile'!$D$20="NO","",IF(AND(DB163="",DC163=""),"",SUM(DB163,DC163)))</f>
        <v/>
      </c>
      <c r="DE163" s="96" t="str">
        <f>IF('School Profile'!$D$20="NO","",IF(AND(DA163="",DD163=""),"",SUM(DA163,DD163)))</f>
        <v/>
      </c>
      <c r="DF163" s="532">
        <f t="shared" si="387"/>
        <v>0</v>
      </c>
      <c r="DG163" s="65">
        <f t="shared" si="388"/>
        <v>0</v>
      </c>
      <c r="DH163" s="66" t="str">
        <f t="shared" si="389"/>
        <v/>
      </c>
      <c r="DI163" s="65" t="str">
        <f t="shared" si="390"/>
        <v/>
      </c>
      <c r="DJ163" s="65" t="str">
        <f t="shared" si="391"/>
        <v/>
      </c>
      <c r="DK163" s="65" t="str">
        <f t="shared" si="392"/>
        <v/>
      </c>
      <c r="DL163" s="97" t="str">
        <f t="shared" si="432"/>
        <v/>
      </c>
      <c r="DM163" s="97" t="str">
        <f t="shared" si="433"/>
        <v/>
      </c>
      <c r="DN163" s="97" t="str">
        <f t="shared" si="434"/>
        <v/>
      </c>
      <c r="DO163" s="97" t="str">
        <f t="shared" si="435"/>
        <v/>
      </c>
      <c r="DP163" s="97" t="str">
        <f t="shared" si="436"/>
        <v/>
      </c>
      <c r="DQ163" s="97" t="str">
        <f t="shared" si="437"/>
        <v/>
      </c>
      <c r="DR163" s="97" t="str">
        <f t="shared" si="438"/>
        <v/>
      </c>
      <c r="DS163" s="98">
        <f t="shared" si="439"/>
        <v>0</v>
      </c>
      <c r="DT163" s="98">
        <f t="shared" si="440"/>
        <v>0</v>
      </c>
      <c r="DU163" s="98">
        <f t="shared" si="441"/>
        <v>0</v>
      </c>
      <c r="DV163" s="98">
        <f t="shared" si="442"/>
        <v>0</v>
      </c>
      <c r="DW163" s="98">
        <f t="shared" si="443"/>
        <v>0</v>
      </c>
      <c r="DX163" s="98" t="str">
        <f t="shared" si="444"/>
        <v/>
      </c>
      <c r="DY163" s="99" t="str">
        <f t="shared" si="445"/>
        <v/>
      </c>
      <c r="DZ163" s="74" t="str">
        <f>IF('Marks Entry'!AY163="","",'Marks Entry'!AY163)</f>
        <v/>
      </c>
      <c r="EA163" s="74" t="str">
        <f>IF('Marks Entry'!AZ163="","",'Marks Entry'!AZ163)</f>
        <v/>
      </c>
      <c r="EB163" s="74" t="str">
        <f>IF('Marks Entry'!BA163="","",'Marks Entry'!BA163)</f>
        <v/>
      </c>
      <c r="EC163" s="527" t="str">
        <f t="shared" si="393"/>
        <v/>
      </c>
      <c r="ED163" s="74" t="str">
        <f>IF('Marks Entry'!BB163="","",'Marks Entry'!BB163)</f>
        <v/>
      </c>
      <c r="EE163" s="528" t="str">
        <f t="shared" si="394"/>
        <v/>
      </c>
      <c r="EF163" s="74" t="str">
        <f>IF('Marks Entry'!BC163="","",'Marks Entry'!BC163)</f>
        <v/>
      </c>
      <c r="EG163" s="530" t="str">
        <f t="shared" si="395"/>
        <v/>
      </c>
      <c r="EH163" s="368" t="str">
        <f t="shared" si="446"/>
        <v/>
      </c>
      <c r="EI163" s="65">
        <f t="shared" si="447"/>
        <v>0</v>
      </c>
      <c r="EJ163" s="65">
        <f t="shared" si="448"/>
        <v>0</v>
      </c>
      <c r="EK163" s="66" t="str">
        <f t="shared" si="449"/>
        <v/>
      </c>
      <c r="EL163" s="74" t="str">
        <f>IF('Marks Entry'!BD163="","",'Marks Entry'!BD163)</f>
        <v/>
      </c>
      <c r="EM163" s="74" t="str">
        <f>IF('Marks Entry'!BE163="","",'Marks Entry'!BE163)</f>
        <v/>
      </c>
      <c r="EN163" s="74" t="str">
        <f>IF('Marks Entry'!BF163="","",'Marks Entry'!BF163)</f>
        <v/>
      </c>
      <c r="EO163" s="527" t="str">
        <f t="shared" si="396"/>
        <v/>
      </c>
      <c r="EP163" s="74" t="str">
        <f>IF('Marks Entry'!BG163="","",'Marks Entry'!BG163)</f>
        <v/>
      </c>
      <c r="EQ163" s="74" t="str">
        <f>IF('Marks Entry'!BH163="","",'Marks Entry'!BH163)</f>
        <v/>
      </c>
      <c r="ER163" s="528" t="str">
        <f t="shared" si="397"/>
        <v/>
      </c>
      <c r="ES163" s="529" t="str">
        <f t="shared" si="398"/>
        <v/>
      </c>
      <c r="ET163" s="74" t="str">
        <f>IF('Marks Entry'!BI163="","",'Marks Entry'!BI163)</f>
        <v/>
      </c>
      <c r="EU163" s="74" t="str">
        <f>IF('Marks Entry'!BJ163="","",'Marks Entry'!BJ163)</f>
        <v/>
      </c>
      <c r="EV163" s="528" t="str">
        <f t="shared" si="399"/>
        <v/>
      </c>
      <c r="EW163" s="530" t="str">
        <f t="shared" si="400"/>
        <v/>
      </c>
      <c r="EX163" s="368" t="str">
        <f t="shared" si="450"/>
        <v/>
      </c>
      <c r="EY163" s="65">
        <f t="shared" si="451"/>
        <v>0</v>
      </c>
      <c r="EZ163" s="65">
        <f t="shared" si="452"/>
        <v>0</v>
      </c>
      <c r="FA163" s="66" t="str">
        <f t="shared" si="453"/>
        <v/>
      </c>
      <c r="FB163" s="74" t="str">
        <f>IF('Marks Entry'!BK163="","",'Marks Entry'!BK163)</f>
        <v/>
      </c>
      <c r="FC163" s="74" t="str">
        <f>IF('Marks Entry'!BL163="","",'Marks Entry'!BL163)</f>
        <v/>
      </c>
      <c r="FD163" s="74" t="str">
        <f>IF('Marks Entry'!BM163="","",'Marks Entry'!BM163)</f>
        <v/>
      </c>
      <c r="FE163" s="74" t="str">
        <f>IF('Marks Entry'!BN163="","",'Marks Entry'!BN163)</f>
        <v/>
      </c>
      <c r="FF163" s="74" t="str">
        <f>IF('Marks Entry'!BO163="","",'Marks Entry'!BO163)</f>
        <v/>
      </c>
      <c r="FG163" s="74" t="str">
        <f>IF('Marks Entry'!BP163="","",'Marks Entry'!BP163)</f>
        <v/>
      </c>
      <c r="FH163" s="527" t="str">
        <f t="shared" si="401"/>
        <v/>
      </c>
      <c r="FI163" s="74" t="str">
        <f>IF('Marks Entry'!BQ163="","",'Marks Entry'!BQ163)</f>
        <v/>
      </c>
      <c r="FJ163" s="74" t="str">
        <f>IF('Marks Entry'!BR163="","",'Marks Entry'!BR163)</f>
        <v/>
      </c>
      <c r="FK163" s="528" t="str">
        <f t="shared" si="402"/>
        <v/>
      </c>
      <c r="FL163" s="529" t="str">
        <f t="shared" si="403"/>
        <v/>
      </c>
      <c r="FM163" s="74" t="str">
        <f>IF('Marks Entry'!BS163="","",'Marks Entry'!BS163)</f>
        <v/>
      </c>
      <c r="FN163" s="74" t="str">
        <f>IF('Marks Entry'!BT163="","",'Marks Entry'!BT163)</f>
        <v/>
      </c>
      <c r="FO163" s="528" t="str">
        <f t="shared" si="404"/>
        <v/>
      </c>
      <c r="FP163" s="530" t="str">
        <f t="shared" si="405"/>
        <v/>
      </c>
      <c r="FQ163" s="368" t="str">
        <f t="shared" si="454"/>
        <v/>
      </c>
      <c r="FR163" s="65">
        <f t="shared" si="455"/>
        <v>0</v>
      </c>
      <c r="FS163" s="65">
        <f t="shared" si="456"/>
        <v>0</v>
      </c>
      <c r="FT163" s="66" t="str">
        <f t="shared" si="457"/>
        <v/>
      </c>
      <c r="FU163" s="74" t="str">
        <f>IF('Marks Entry'!BU163="","",'Marks Entry'!BU163)</f>
        <v/>
      </c>
      <c r="FV163" s="74" t="str">
        <f>IF('Marks Entry'!BV163="","",'Marks Entry'!BV163)</f>
        <v/>
      </c>
      <c r="FW163" s="74" t="str">
        <f>IF('Marks Entry'!BW163="","",'Marks Entry'!BW163)</f>
        <v/>
      </c>
      <c r="FX163" s="75" t="str">
        <f t="shared" si="406"/>
        <v/>
      </c>
      <c r="FY163" s="368" t="str">
        <f t="shared" si="458"/>
        <v/>
      </c>
      <c r="FZ163" s="65">
        <f t="shared" si="459"/>
        <v>0</v>
      </c>
      <c r="GA163" s="66">
        <f t="shared" si="460"/>
        <v>0</v>
      </c>
      <c r="GB163" s="66" t="str">
        <f t="shared" si="461"/>
        <v/>
      </c>
      <c r="GC163" s="74" t="str">
        <f>IF('Marks Entry'!BX163="","",'Marks Entry'!BX163)</f>
        <v/>
      </c>
      <c r="GD163" s="74" t="str">
        <f>IF('Marks Entry'!BY163="","",'Marks Entry'!BY163)</f>
        <v/>
      </c>
      <c r="GE163" s="74" t="str">
        <f>IF('Marks Entry'!BZ163="","",'Marks Entry'!BZ163)</f>
        <v/>
      </c>
      <c r="GF163" s="75" t="str">
        <f t="shared" si="462"/>
        <v/>
      </c>
      <c r="GG163" s="368" t="str">
        <f t="shared" si="463"/>
        <v/>
      </c>
      <c r="GH163" s="65">
        <f t="shared" si="464"/>
        <v>0</v>
      </c>
      <c r="GI163" s="66">
        <f t="shared" si="465"/>
        <v>0</v>
      </c>
      <c r="GJ163" s="66" t="str">
        <f t="shared" si="466"/>
        <v/>
      </c>
      <c r="GK163" s="100" t="str">
        <f>IF(AND(F163="",B163=""),"",IF('Student DATA Entry'!M160="","",'Student DATA Entry'!M160))</f>
        <v/>
      </c>
      <c r="GL163" s="101" t="str">
        <f>IF(AND(B163="",F163=""),"",IF('Student DATA Entry'!N160="","",'Student DATA Entry'!N160))</f>
        <v/>
      </c>
      <c r="GM163" s="581" t="str">
        <f t="shared" si="467"/>
        <v/>
      </c>
      <c r="GN163" s="94" t="str">
        <f t="shared" si="468"/>
        <v/>
      </c>
      <c r="GO163" s="94" t="str">
        <f t="shared" si="469"/>
        <v/>
      </c>
      <c r="GP163" s="102" t="str">
        <f t="shared" si="407"/>
        <v/>
      </c>
      <c r="GQ163" s="94" t="str">
        <f t="shared" si="470"/>
        <v/>
      </c>
      <c r="GR163" s="103" t="str">
        <f t="shared" si="471"/>
        <v/>
      </c>
      <c r="GS163" s="102" t="str">
        <f t="shared" si="408"/>
        <v/>
      </c>
      <c r="GT163" s="104" t="str">
        <f t="shared" si="472"/>
        <v/>
      </c>
      <c r="GU163" s="94" t="str">
        <f>IF('Marks Entry'!V163=1,GT163,"")</f>
        <v/>
      </c>
      <c r="GV163" s="94" t="str">
        <f>IF('Marks Entry'!V163=2,GT163,"")</f>
        <v/>
      </c>
      <c r="GW163" s="94" t="str">
        <f>IF('Marks Entry'!V163=3,GT163,"")</f>
        <v/>
      </c>
      <c r="GX163" s="94" t="str">
        <f>IF('Marks Entry'!V163=4,GT163,"")</f>
        <v/>
      </c>
      <c r="GY163" s="94" t="str">
        <f>IF('Marks Entry'!V163=5,GT163,"")</f>
        <v/>
      </c>
      <c r="GZ163" s="94" t="str">
        <f t="shared" si="473"/>
        <v/>
      </c>
      <c r="HA163" s="105" t="str">
        <f t="shared" si="409"/>
        <v/>
      </c>
      <c r="HB163" s="94" t="str">
        <f t="shared" si="474"/>
        <v/>
      </c>
      <c r="HC163" s="94" t="str">
        <f t="shared" si="475"/>
        <v/>
      </c>
      <c r="HD163" s="105" t="str">
        <f t="shared" si="410"/>
        <v/>
      </c>
      <c r="HE163" s="94" t="str">
        <f t="shared" si="476"/>
        <v/>
      </c>
      <c r="HF163" s="94" t="str">
        <f t="shared" si="477"/>
        <v/>
      </c>
      <c r="HG163" s="105" t="str">
        <f t="shared" si="411"/>
        <v/>
      </c>
      <c r="HH163" s="94" t="str">
        <f t="shared" si="478"/>
        <v/>
      </c>
      <c r="HI163" s="94" t="str">
        <f t="shared" si="479"/>
        <v/>
      </c>
      <c r="HJ163" s="105" t="str">
        <f t="shared" si="412"/>
        <v/>
      </c>
      <c r="HK163" s="94" t="str">
        <f t="shared" si="480"/>
        <v/>
      </c>
      <c r="HL163" s="94" t="str">
        <f t="shared" si="481"/>
        <v/>
      </c>
      <c r="HM163" s="105" t="str">
        <f t="shared" si="413"/>
        <v/>
      </c>
      <c r="HN163" s="367" t="str">
        <f t="shared" si="482"/>
        <v xml:space="preserve">      </v>
      </c>
      <c r="HO163" s="418" t="str">
        <f t="shared" si="414"/>
        <v xml:space="preserve">      </v>
      </c>
      <c r="HP163" s="367" t="str">
        <f t="shared" si="483"/>
        <v xml:space="preserve">      </v>
      </c>
      <c r="HQ163" s="107" t="str">
        <f t="shared" si="484"/>
        <v xml:space="preserve">      </v>
      </c>
      <c r="HR163" s="366" t="str">
        <f t="shared" si="485"/>
        <v xml:space="preserve">      </v>
      </c>
      <c r="HS163" s="544" t="str">
        <f t="shared" si="415"/>
        <v/>
      </c>
      <c r="HT163" s="542" t="str">
        <f t="shared" si="486"/>
        <v/>
      </c>
      <c r="HU163" s="541" t="str">
        <f t="shared" si="487"/>
        <v/>
      </c>
      <c r="HV163" s="540" t="str">
        <f t="shared" si="488"/>
        <v/>
      </c>
      <c r="HW163" s="537" t="str">
        <f t="shared" si="489"/>
        <v/>
      </c>
      <c r="HX163" s="539" t="str">
        <f t="shared" si="490"/>
        <v/>
      </c>
      <c r="HY163" s="553" t="str">
        <f>IFERROR(IF(OR(HS163="SUPPLEMENTARY",HS163="RE-EXAM"),'Supp. Result Entry'!AQ161,""),"")</f>
        <v/>
      </c>
      <c r="HZ163" s="538" t="str">
        <f t="shared" si="491"/>
        <v/>
      </c>
      <c r="IA163" s="415" t="str">
        <f t="shared" si="492"/>
        <v/>
      </c>
      <c r="IB163" s="415" t="str">
        <f>IF(AND(HZ163="",IA163=""),"",IF(OR(HS163="SUPPLEMENTARY",HS163="RE-EXAM"),'Supp. Result Entry'!AQ161,HS163))</f>
        <v/>
      </c>
      <c r="IC163" s="87"/>
      <c r="IS163" s="109" t="str">
        <f>IF('Supp. Result Entry'!T161="","",'Supp. Result Entry'!$T$4)</f>
        <v/>
      </c>
      <c r="IT163" s="110" t="str">
        <f>IF('Supp. Result Entry'!W161="","",'Supp. Result Entry'!$W$4)</f>
        <v/>
      </c>
      <c r="IU163" s="110" t="str">
        <f>IF('Supp. Result Entry'!Z161="","",'Supp. Result Entry'!$Z$4)</f>
        <v/>
      </c>
      <c r="IV163" s="110" t="str">
        <f>IF('Supp. Result Entry'!AC161="","",'Supp. Result Entry'!$AC$4)</f>
        <v/>
      </c>
      <c r="IW163" s="110" t="str">
        <f>IF('Supp. Result Entry'!AF161="","",'Supp. Result Entry'!$AF$4)</f>
        <v/>
      </c>
      <c r="IX163" s="110" t="str">
        <f>IF('Supp. Result Entry'!AI161="","",'Supp. Result Entry'!$AI$4)</f>
        <v/>
      </c>
      <c r="IY163" s="110" t="str">
        <f>IF('Supp. Result Entry'!AI161="","",'Supp. Result Entry'!$AL$4)</f>
        <v/>
      </c>
      <c r="IZ163" s="110" t="str">
        <f>IF('Supp. Result Entry'!U161="","",'Supp. Result Entry'!U161)</f>
        <v/>
      </c>
      <c r="JA163" s="110" t="str">
        <f>IF('Supp. Result Entry'!X161="","",'Supp. Result Entry'!X161)</f>
        <v/>
      </c>
      <c r="JB163" s="110" t="str">
        <f>IF('Supp. Result Entry'!AA161="","",'Supp. Result Entry'!AA161)</f>
        <v/>
      </c>
      <c r="JC163" s="110" t="str">
        <f>IF('Supp. Result Entry'!AD161="","",'Supp. Result Entry'!AD161)</f>
        <v/>
      </c>
      <c r="JD163" s="110" t="str">
        <f>IF('Supp. Result Entry'!AG161="","",'Supp. Result Entry'!AG161)</f>
        <v/>
      </c>
      <c r="JE163" s="110" t="str">
        <f>IF('Supp. Result Entry'!AJ161="","",'Supp. Result Entry'!AJ161)</f>
        <v/>
      </c>
      <c r="JF163" s="110" t="str">
        <f>IF('Supp. Result Entry'!AM161="","",'Supp. Result Entry'!AM161)</f>
        <v/>
      </c>
      <c r="JG163" s="110" t="str">
        <f>IF('Supp. Result Entry'!V161="","",'Supp. Result Entry'!V161)</f>
        <v/>
      </c>
      <c r="JH163" s="110" t="str">
        <f>IF('Supp. Result Entry'!Y161="","",'Supp. Result Entry'!Y161)</f>
        <v/>
      </c>
      <c r="JI163" s="110" t="str">
        <f>IF('Supp. Result Entry'!AB161="","",'Supp. Result Entry'!AB161)</f>
        <v/>
      </c>
      <c r="JJ163" s="110" t="str">
        <f>IF('Supp. Result Entry'!AE161="","",'Supp. Result Entry'!AE161)</f>
        <v/>
      </c>
      <c r="JK163" s="110" t="str">
        <f>IF('Supp. Result Entry'!AH161="","",'Supp. Result Entry'!AH161)</f>
        <v/>
      </c>
      <c r="JL163" s="110" t="str">
        <f>IF('Supp. Result Entry'!AK161="","",'Supp. Result Entry'!AK161)</f>
        <v/>
      </c>
      <c r="JM163" s="110" t="str">
        <f>IF('Supp. Result Entry'!AN161="","",'Supp. Result Entry'!AN161)</f>
        <v/>
      </c>
      <c r="JN163" s="110">
        <f>COUNTIF('Supp. Result Entry'!K161:Q161,"S")</f>
        <v>0</v>
      </c>
      <c r="JO163" s="110">
        <f t="shared" si="416"/>
        <v>0</v>
      </c>
      <c r="JP163" s="110">
        <f t="shared" si="493"/>
        <v>0</v>
      </c>
      <c r="JQ163" s="110" t="str">
        <f t="shared" si="417"/>
        <v/>
      </c>
      <c r="JR163" s="110" t="str">
        <f t="shared" si="418"/>
        <v/>
      </c>
      <c r="JS163" s="110" t="str">
        <f t="shared" si="419"/>
        <v/>
      </c>
      <c r="JT163" s="110" t="str">
        <f t="shared" si="420"/>
        <v/>
      </c>
      <c r="JU163" s="110" t="str">
        <f t="shared" si="421"/>
        <v/>
      </c>
      <c r="JV163" s="110" t="str">
        <f t="shared" si="422"/>
        <v/>
      </c>
      <c r="JW163" s="110" t="str">
        <f t="shared" si="423"/>
        <v/>
      </c>
      <c r="JX163" s="110" t="str">
        <f t="shared" si="494"/>
        <v/>
      </c>
      <c r="JY163" s="110" t="str">
        <f t="shared" si="495"/>
        <v/>
      </c>
      <c r="JZ163" s="110" t="str">
        <f t="shared" si="424"/>
        <v/>
      </c>
      <c r="KA163" s="108" t="str">
        <f t="shared" si="496"/>
        <v/>
      </c>
    </row>
    <row r="164" spans="1:287" s="108" customFormat="1" ht="21.95" customHeight="1">
      <c r="A164" s="89">
        <v>158</v>
      </c>
      <c r="B164" s="90" t="str">
        <f>IF('Marks Entry'!B164="","",'Marks Entry'!B164)</f>
        <v/>
      </c>
      <c r="C164" s="94" t="str">
        <f>IF('Marks Entry'!D164="","",'Marks Entry'!D164)</f>
        <v/>
      </c>
      <c r="D164" s="91" t="str">
        <f>IF('Marks Entry'!E164="","",'Marks Entry'!E164)</f>
        <v/>
      </c>
      <c r="E164" s="92" t="str">
        <f>IF('Marks Entry'!F164="","",'Marks Entry'!F164)</f>
        <v/>
      </c>
      <c r="F164" s="93" t="str">
        <f>IF('Marks Entry'!G164="","",'Marks Entry'!G164)</f>
        <v/>
      </c>
      <c r="G164" s="93" t="str">
        <f>IF('Marks Entry'!H164="","",'Marks Entry'!H164)</f>
        <v/>
      </c>
      <c r="H164" s="93" t="str">
        <f>IF('Marks Entry'!I164="","",'Marks Entry'!I164)</f>
        <v/>
      </c>
      <c r="I164" s="94" t="str">
        <f>IF('Marks Entry'!J164="","",'Marks Entry'!J164)</f>
        <v/>
      </c>
      <c r="J164" s="95" t="str">
        <f>IF('Marks Entry'!K164="","",'Marks Entry'!K164)</f>
        <v/>
      </c>
      <c r="K164" s="68" t="str">
        <f>IF('Marks Entry'!L164="","",'Marks Entry'!L164)</f>
        <v/>
      </c>
      <c r="L164" s="68" t="str">
        <f>IF('Marks Entry'!M164="","",'Marks Entry'!M164)</f>
        <v/>
      </c>
      <c r="M164" s="68" t="str">
        <f>IF('Marks Entry'!N164="","",'Marks Entry'!N164)</f>
        <v/>
      </c>
      <c r="N164" s="514" t="str">
        <f t="shared" si="425"/>
        <v/>
      </c>
      <c r="O164" s="68" t="str">
        <f>IF('Marks Entry'!O164="","",'Marks Entry'!O164)</f>
        <v/>
      </c>
      <c r="P164" s="515" t="str">
        <f t="shared" si="426"/>
        <v/>
      </c>
      <c r="Q164" s="68" t="str">
        <f>IF('Marks Entry'!P164="","",'Marks Entry'!P164)</f>
        <v/>
      </c>
      <c r="R164" s="96" t="str">
        <f t="shared" si="427"/>
        <v/>
      </c>
      <c r="S164" s="65">
        <f t="shared" si="428"/>
        <v>0</v>
      </c>
      <c r="T164" s="65">
        <f t="shared" si="429"/>
        <v>0</v>
      </c>
      <c r="U164" s="66" t="str">
        <f t="shared" si="339"/>
        <v/>
      </c>
      <c r="V164" s="65" t="str">
        <f t="shared" si="340"/>
        <v/>
      </c>
      <c r="W164" s="65" t="str">
        <f t="shared" si="430"/>
        <v/>
      </c>
      <c r="X164" s="65" t="str">
        <f t="shared" si="341"/>
        <v/>
      </c>
      <c r="Y164" s="68" t="str">
        <f>IF('Marks Entry'!Q164="","",'Marks Entry'!Q164)</f>
        <v/>
      </c>
      <c r="Z164" s="68" t="str">
        <f>IF('Marks Entry'!R164="","",'Marks Entry'!R164)</f>
        <v/>
      </c>
      <c r="AA164" s="68" t="str">
        <f>IF('Marks Entry'!S164="","",'Marks Entry'!S164)</f>
        <v/>
      </c>
      <c r="AB164" s="514" t="str">
        <f t="shared" si="342"/>
        <v/>
      </c>
      <c r="AC164" s="68" t="str">
        <f>IF('Marks Entry'!T164="","",'Marks Entry'!T164)</f>
        <v/>
      </c>
      <c r="AD164" s="515" t="str">
        <f t="shared" si="343"/>
        <v/>
      </c>
      <c r="AE164" s="68" t="str">
        <f>IF('Marks Entry'!U164="","",'Marks Entry'!U164)</f>
        <v/>
      </c>
      <c r="AF164" s="96" t="str">
        <f t="shared" si="344"/>
        <v/>
      </c>
      <c r="AG164" s="65">
        <f t="shared" si="345"/>
        <v>0</v>
      </c>
      <c r="AH164" s="65">
        <f t="shared" si="346"/>
        <v>0</v>
      </c>
      <c r="AI164" s="66" t="str">
        <f t="shared" si="347"/>
        <v/>
      </c>
      <c r="AJ164" s="65" t="str">
        <f t="shared" si="348"/>
        <v/>
      </c>
      <c r="AK164" s="65" t="str">
        <f t="shared" si="349"/>
        <v/>
      </c>
      <c r="AL164" s="65" t="str">
        <f t="shared" si="350"/>
        <v/>
      </c>
      <c r="AM164" s="524" t="str">
        <f>IF('Marks Entry'!V164="","",IF('Marks Entry'!V164=1,'School Profile'!$I$9,IF('Marks Entry'!V164=2,'School Profile'!$I$10,IF('Marks Entry'!V164=3,'School Profile'!$I$11,IF('Marks Entry'!V164=4,'School Profile'!$I$12,IF('Marks Entry'!V164=5,'School Profile'!$I$13,IF('Marks Entry'!V164=6,'School Profile'!$I$14,"")))))))</f>
        <v/>
      </c>
      <c r="AN164" s="68" t="str">
        <f>IF('Marks Entry'!W164="","",'Marks Entry'!W164)</f>
        <v/>
      </c>
      <c r="AO164" s="68" t="str">
        <f>IF('Marks Entry'!X164="","",'Marks Entry'!X164)</f>
        <v/>
      </c>
      <c r="AP164" s="68" t="str">
        <f>IF('Marks Entry'!Y164="","",'Marks Entry'!Y164)</f>
        <v/>
      </c>
      <c r="AQ164" s="514" t="str">
        <f t="shared" si="351"/>
        <v/>
      </c>
      <c r="AR164" s="68" t="str">
        <f>IF('Marks Entry'!Z164="","",'Marks Entry'!Z164)</f>
        <v/>
      </c>
      <c r="AS164" s="515" t="str">
        <f t="shared" si="352"/>
        <v/>
      </c>
      <c r="AT164" s="68" t="str">
        <f>IF('Marks Entry'!AA164="","",'Marks Entry'!AA164)</f>
        <v/>
      </c>
      <c r="AU164" s="96" t="str">
        <f t="shared" si="353"/>
        <v/>
      </c>
      <c r="AV164" s="65">
        <f t="shared" si="354"/>
        <v>0</v>
      </c>
      <c r="AW164" s="65">
        <f t="shared" si="355"/>
        <v>0</v>
      </c>
      <c r="AX164" s="66" t="str">
        <f t="shared" si="356"/>
        <v/>
      </c>
      <c r="AY164" s="65" t="str">
        <f t="shared" si="357"/>
        <v/>
      </c>
      <c r="AZ164" s="65" t="str">
        <f t="shared" si="358"/>
        <v/>
      </c>
      <c r="BA164" s="65" t="str">
        <f t="shared" si="359"/>
        <v/>
      </c>
      <c r="BB164" s="68" t="str">
        <f>IF('Marks Entry'!AB164="","",'Marks Entry'!AB164)</f>
        <v/>
      </c>
      <c r="BC164" s="68" t="str">
        <f>IF('Marks Entry'!AC164="","",'Marks Entry'!AC164)</f>
        <v/>
      </c>
      <c r="BD164" s="68" t="str">
        <f>IF('Marks Entry'!AD164="","",'Marks Entry'!AD164)</f>
        <v/>
      </c>
      <c r="BE164" s="514" t="str">
        <f t="shared" si="360"/>
        <v/>
      </c>
      <c r="BF164" s="68" t="str">
        <f>IF('Marks Entry'!AE164="","",'Marks Entry'!AE164)</f>
        <v/>
      </c>
      <c r="BG164" s="515" t="str">
        <f t="shared" si="361"/>
        <v/>
      </c>
      <c r="BH164" s="68" t="str">
        <f>IF('Marks Entry'!AF164="","",'Marks Entry'!AF164)</f>
        <v/>
      </c>
      <c r="BI164" s="96" t="str">
        <f t="shared" si="362"/>
        <v/>
      </c>
      <c r="BJ164" s="65">
        <f t="shared" si="363"/>
        <v>0</v>
      </c>
      <c r="BK164" s="65">
        <f t="shared" si="431"/>
        <v>0</v>
      </c>
      <c r="BL164" s="66" t="str">
        <f t="shared" si="364"/>
        <v/>
      </c>
      <c r="BM164" s="65" t="str">
        <f t="shared" si="365"/>
        <v/>
      </c>
      <c r="BN164" s="65" t="str">
        <f t="shared" si="366"/>
        <v/>
      </c>
      <c r="BO164" s="65" t="str">
        <f t="shared" si="367"/>
        <v/>
      </c>
      <c r="BP164" s="68" t="str">
        <f>IF('Marks Entry'!AG164="","",'Marks Entry'!AG164)</f>
        <v/>
      </c>
      <c r="BQ164" s="68" t="str">
        <f>IF('Marks Entry'!AH164="","",'Marks Entry'!AH164)</f>
        <v/>
      </c>
      <c r="BR164" s="68" t="str">
        <f>IF('Marks Entry'!AI164="","",'Marks Entry'!AI164)</f>
        <v/>
      </c>
      <c r="BS164" s="514" t="str">
        <f t="shared" si="368"/>
        <v/>
      </c>
      <c r="BT164" s="68" t="str">
        <f>IF('Marks Entry'!AJ164="","",'Marks Entry'!AJ164)</f>
        <v/>
      </c>
      <c r="BU164" s="515" t="str">
        <f t="shared" si="369"/>
        <v/>
      </c>
      <c r="BV164" s="68" t="str">
        <f>IF('Marks Entry'!AK164="","",'Marks Entry'!AK164)</f>
        <v/>
      </c>
      <c r="BW164" s="96" t="str">
        <f t="shared" si="370"/>
        <v/>
      </c>
      <c r="BX164" s="65">
        <f t="shared" si="371"/>
        <v>0</v>
      </c>
      <c r="BY164" s="65">
        <f t="shared" si="372"/>
        <v>0</v>
      </c>
      <c r="BZ164" s="66" t="str">
        <f t="shared" si="373"/>
        <v/>
      </c>
      <c r="CA164" s="65" t="str">
        <f t="shared" si="374"/>
        <v/>
      </c>
      <c r="CB164" s="65" t="str">
        <f t="shared" si="375"/>
        <v/>
      </c>
      <c r="CC164" s="65" t="str">
        <f t="shared" si="376"/>
        <v/>
      </c>
      <c r="CD164" s="66">
        <f t="shared" si="377"/>
        <v>0</v>
      </c>
      <c r="CE164" s="68" t="str">
        <f>IF('Marks Entry'!AL164="","",'Marks Entry'!AL164)</f>
        <v/>
      </c>
      <c r="CF164" s="68" t="str">
        <f>IF('Marks Entry'!AM164="","",'Marks Entry'!AM164)</f>
        <v/>
      </c>
      <c r="CG164" s="68" t="str">
        <f>IF('Marks Entry'!AN164="","",'Marks Entry'!AN164)</f>
        <v/>
      </c>
      <c r="CH164" s="514" t="str">
        <f t="shared" si="378"/>
        <v/>
      </c>
      <c r="CI164" s="68" t="str">
        <f>IF('Marks Entry'!AO164="","",'Marks Entry'!AO164)</f>
        <v/>
      </c>
      <c r="CJ164" s="515" t="str">
        <f t="shared" si="379"/>
        <v/>
      </c>
      <c r="CK164" s="68" t="str">
        <f>IF('Marks Entry'!AP164="","",'Marks Entry'!AP164)</f>
        <v/>
      </c>
      <c r="CL164" s="96" t="str">
        <f t="shared" si="380"/>
        <v/>
      </c>
      <c r="CM164" s="65">
        <f t="shared" si="381"/>
        <v>0</v>
      </c>
      <c r="CN164" s="65">
        <f t="shared" si="382"/>
        <v>0</v>
      </c>
      <c r="CO164" s="66" t="str">
        <f t="shared" si="383"/>
        <v/>
      </c>
      <c r="CP164" s="65" t="str">
        <f t="shared" si="384"/>
        <v/>
      </c>
      <c r="CQ164" s="65" t="str">
        <f t="shared" si="385"/>
        <v/>
      </c>
      <c r="CR164" s="65" t="str">
        <f t="shared" si="386"/>
        <v/>
      </c>
      <c r="CS164" s="616" t="str">
        <f>IF('School Profile'!$D$20="NO","",IF('Marks Entry'!AQ164="","",IF('Marks Entry'!AQ164=1,'School Profile'!$I$29,IF('Marks Entry'!AQ164=2,'School Profile'!$I$30,IF('Marks Entry'!AQ164=3,'School Profile'!$I$31,IF('Marks Entry'!AQ164=4,'School Profile'!$I$32,IF('Marks Entry'!AQ164=5,'School Profile'!$I$33,IF('Marks Entry'!AQ164=6,'School Profile'!$I$34,IF('Marks Entry'!AQ164=7,'School Profile'!$I$35,IF('Marks Entry'!AQ164=8,'School Profile'!$I$36,IF('Marks Entry'!AQ164=9,'School Profile'!$I$37,IF('Marks Entry'!AQ164=10,'School Profile'!$I$38,IF('Marks Entry'!AQ164=11,'School Profile'!$I$39,"")))))))))))))</f>
        <v/>
      </c>
      <c r="CT164" s="68" t="str">
        <f>IF('School Profile'!$D$20="NO","",IF('Marks Entry'!AR164="","",'Marks Entry'!AR164))</f>
        <v/>
      </c>
      <c r="CU164" s="68" t="str">
        <f>IF('School Profile'!$D$20="NO","",IF('Marks Entry'!AS164="","",'Marks Entry'!AS164))</f>
        <v/>
      </c>
      <c r="CV164" s="68" t="str">
        <f>IF('School Profile'!$D$20="NO","",IF('Marks Entry'!AT164="","",'Marks Entry'!AT164))</f>
        <v/>
      </c>
      <c r="CW164" s="514" t="str">
        <f>IF('School Profile'!$D$20="NO","",IF(AND(CT164="",CU164="",CV164=""),"",SUM(CT164:CV164)))</f>
        <v/>
      </c>
      <c r="CX164" s="68" t="str">
        <f>IF('School Profile'!$D$20="NO","",IF('Marks Entry'!AU164="","",'Marks Entry'!AU164))</f>
        <v/>
      </c>
      <c r="CY164" s="68" t="str">
        <f>IF('School Profile'!$D$20="NO","",IF('Marks Entry'!AV164="","",'Marks Entry'!AV164))</f>
        <v/>
      </c>
      <c r="CZ164" s="515" t="str">
        <f>IF('School Profile'!$D$20="NO","",IF(AND(CX164="",CY164=""),"",SUM(CX164,CY164)))</f>
        <v/>
      </c>
      <c r="DA164" s="69" t="str">
        <f>IF('School Profile'!$D$20="NO","",IF(AND(CW164="",CZ164=""),"",SUM(CW164+CZ164)))</f>
        <v/>
      </c>
      <c r="DB164" s="68" t="str">
        <f>IF('School Profile'!$D$20="NO","",IF('Marks Entry'!AW164="","",'Marks Entry'!AW164))</f>
        <v/>
      </c>
      <c r="DC164" s="68" t="str">
        <f>IF('School Profile'!$D$20="NO","",IF('Marks Entry'!AX164="","",'Marks Entry'!AX164))</f>
        <v/>
      </c>
      <c r="DD164" s="515" t="str">
        <f>IF('School Profile'!$D$20="NO","",IF(AND(DB164="",DC164=""),"",SUM(DB164,DC164)))</f>
        <v/>
      </c>
      <c r="DE164" s="96" t="str">
        <f>IF('School Profile'!$D$20="NO","",IF(AND(DA164="",DD164=""),"",SUM(DA164,DD164)))</f>
        <v/>
      </c>
      <c r="DF164" s="532">
        <f t="shared" si="387"/>
        <v>0</v>
      </c>
      <c r="DG164" s="65">
        <f t="shared" si="388"/>
        <v>0</v>
      </c>
      <c r="DH164" s="66" t="str">
        <f t="shared" si="389"/>
        <v/>
      </c>
      <c r="DI164" s="65" t="str">
        <f t="shared" si="390"/>
        <v/>
      </c>
      <c r="DJ164" s="65" t="str">
        <f t="shared" si="391"/>
        <v/>
      </c>
      <c r="DK164" s="65" t="str">
        <f t="shared" si="392"/>
        <v/>
      </c>
      <c r="DL164" s="97" t="str">
        <f t="shared" si="432"/>
        <v/>
      </c>
      <c r="DM164" s="97" t="str">
        <f t="shared" si="433"/>
        <v/>
      </c>
      <c r="DN164" s="97" t="str">
        <f t="shared" si="434"/>
        <v/>
      </c>
      <c r="DO164" s="97" t="str">
        <f t="shared" si="435"/>
        <v/>
      </c>
      <c r="DP164" s="97" t="str">
        <f t="shared" si="436"/>
        <v/>
      </c>
      <c r="DQ164" s="97" t="str">
        <f t="shared" si="437"/>
        <v/>
      </c>
      <c r="DR164" s="97" t="str">
        <f t="shared" si="438"/>
        <v/>
      </c>
      <c r="DS164" s="98">
        <f t="shared" si="439"/>
        <v>0</v>
      </c>
      <c r="DT164" s="98">
        <f t="shared" si="440"/>
        <v>0</v>
      </c>
      <c r="DU164" s="98">
        <f t="shared" si="441"/>
        <v>0</v>
      </c>
      <c r="DV164" s="98">
        <f t="shared" si="442"/>
        <v>0</v>
      </c>
      <c r="DW164" s="98">
        <f t="shared" si="443"/>
        <v>0</v>
      </c>
      <c r="DX164" s="98" t="str">
        <f t="shared" si="444"/>
        <v/>
      </c>
      <c r="DY164" s="99" t="str">
        <f t="shared" si="445"/>
        <v/>
      </c>
      <c r="DZ164" s="74" t="str">
        <f>IF('Marks Entry'!AY164="","",'Marks Entry'!AY164)</f>
        <v/>
      </c>
      <c r="EA164" s="74" t="str">
        <f>IF('Marks Entry'!AZ164="","",'Marks Entry'!AZ164)</f>
        <v/>
      </c>
      <c r="EB164" s="74" t="str">
        <f>IF('Marks Entry'!BA164="","",'Marks Entry'!BA164)</f>
        <v/>
      </c>
      <c r="EC164" s="527" t="str">
        <f t="shared" si="393"/>
        <v/>
      </c>
      <c r="ED164" s="74" t="str">
        <f>IF('Marks Entry'!BB164="","",'Marks Entry'!BB164)</f>
        <v/>
      </c>
      <c r="EE164" s="528" t="str">
        <f t="shared" si="394"/>
        <v/>
      </c>
      <c r="EF164" s="74" t="str">
        <f>IF('Marks Entry'!BC164="","",'Marks Entry'!BC164)</f>
        <v/>
      </c>
      <c r="EG164" s="530" t="str">
        <f t="shared" si="395"/>
        <v/>
      </c>
      <c r="EH164" s="368" t="str">
        <f t="shared" si="446"/>
        <v/>
      </c>
      <c r="EI164" s="65">
        <f t="shared" si="447"/>
        <v>0</v>
      </c>
      <c r="EJ164" s="65">
        <f t="shared" si="448"/>
        <v>0</v>
      </c>
      <c r="EK164" s="66" t="str">
        <f t="shared" si="449"/>
        <v/>
      </c>
      <c r="EL164" s="74" t="str">
        <f>IF('Marks Entry'!BD164="","",'Marks Entry'!BD164)</f>
        <v/>
      </c>
      <c r="EM164" s="74" t="str">
        <f>IF('Marks Entry'!BE164="","",'Marks Entry'!BE164)</f>
        <v/>
      </c>
      <c r="EN164" s="74" t="str">
        <f>IF('Marks Entry'!BF164="","",'Marks Entry'!BF164)</f>
        <v/>
      </c>
      <c r="EO164" s="527" t="str">
        <f t="shared" si="396"/>
        <v/>
      </c>
      <c r="EP164" s="74" t="str">
        <f>IF('Marks Entry'!BG164="","",'Marks Entry'!BG164)</f>
        <v/>
      </c>
      <c r="EQ164" s="74" t="str">
        <f>IF('Marks Entry'!BH164="","",'Marks Entry'!BH164)</f>
        <v/>
      </c>
      <c r="ER164" s="528" t="str">
        <f t="shared" si="397"/>
        <v/>
      </c>
      <c r="ES164" s="529" t="str">
        <f t="shared" si="398"/>
        <v/>
      </c>
      <c r="ET164" s="74" t="str">
        <f>IF('Marks Entry'!BI164="","",'Marks Entry'!BI164)</f>
        <v/>
      </c>
      <c r="EU164" s="74" t="str">
        <f>IF('Marks Entry'!BJ164="","",'Marks Entry'!BJ164)</f>
        <v/>
      </c>
      <c r="EV164" s="528" t="str">
        <f t="shared" si="399"/>
        <v/>
      </c>
      <c r="EW164" s="530" t="str">
        <f t="shared" si="400"/>
        <v/>
      </c>
      <c r="EX164" s="368" t="str">
        <f t="shared" si="450"/>
        <v/>
      </c>
      <c r="EY164" s="65">
        <f t="shared" si="451"/>
        <v>0</v>
      </c>
      <c r="EZ164" s="65">
        <f t="shared" si="452"/>
        <v>0</v>
      </c>
      <c r="FA164" s="66" t="str">
        <f t="shared" si="453"/>
        <v/>
      </c>
      <c r="FB164" s="74" t="str">
        <f>IF('Marks Entry'!BK164="","",'Marks Entry'!BK164)</f>
        <v/>
      </c>
      <c r="FC164" s="74" t="str">
        <f>IF('Marks Entry'!BL164="","",'Marks Entry'!BL164)</f>
        <v/>
      </c>
      <c r="FD164" s="74" t="str">
        <f>IF('Marks Entry'!BM164="","",'Marks Entry'!BM164)</f>
        <v/>
      </c>
      <c r="FE164" s="74" t="str">
        <f>IF('Marks Entry'!BN164="","",'Marks Entry'!BN164)</f>
        <v/>
      </c>
      <c r="FF164" s="74" t="str">
        <f>IF('Marks Entry'!BO164="","",'Marks Entry'!BO164)</f>
        <v/>
      </c>
      <c r="FG164" s="74" t="str">
        <f>IF('Marks Entry'!BP164="","",'Marks Entry'!BP164)</f>
        <v/>
      </c>
      <c r="FH164" s="527" t="str">
        <f t="shared" si="401"/>
        <v/>
      </c>
      <c r="FI164" s="74" t="str">
        <f>IF('Marks Entry'!BQ164="","",'Marks Entry'!BQ164)</f>
        <v/>
      </c>
      <c r="FJ164" s="74" t="str">
        <f>IF('Marks Entry'!BR164="","",'Marks Entry'!BR164)</f>
        <v/>
      </c>
      <c r="FK164" s="528" t="str">
        <f t="shared" si="402"/>
        <v/>
      </c>
      <c r="FL164" s="529" t="str">
        <f t="shared" si="403"/>
        <v/>
      </c>
      <c r="FM164" s="74" t="str">
        <f>IF('Marks Entry'!BS164="","",'Marks Entry'!BS164)</f>
        <v/>
      </c>
      <c r="FN164" s="74" t="str">
        <f>IF('Marks Entry'!BT164="","",'Marks Entry'!BT164)</f>
        <v/>
      </c>
      <c r="FO164" s="528" t="str">
        <f t="shared" si="404"/>
        <v/>
      </c>
      <c r="FP164" s="530" t="str">
        <f t="shared" si="405"/>
        <v/>
      </c>
      <c r="FQ164" s="368" t="str">
        <f t="shared" si="454"/>
        <v/>
      </c>
      <c r="FR164" s="65">
        <f t="shared" si="455"/>
        <v>0</v>
      </c>
      <c r="FS164" s="65">
        <f t="shared" si="456"/>
        <v>0</v>
      </c>
      <c r="FT164" s="66" t="str">
        <f t="shared" si="457"/>
        <v/>
      </c>
      <c r="FU164" s="74" t="str">
        <f>IF('Marks Entry'!BU164="","",'Marks Entry'!BU164)</f>
        <v/>
      </c>
      <c r="FV164" s="74" t="str">
        <f>IF('Marks Entry'!BV164="","",'Marks Entry'!BV164)</f>
        <v/>
      </c>
      <c r="FW164" s="74" t="str">
        <f>IF('Marks Entry'!BW164="","",'Marks Entry'!BW164)</f>
        <v/>
      </c>
      <c r="FX164" s="75" t="str">
        <f t="shared" si="406"/>
        <v/>
      </c>
      <c r="FY164" s="368" t="str">
        <f t="shared" si="458"/>
        <v/>
      </c>
      <c r="FZ164" s="65">
        <f t="shared" si="459"/>
        <v>0</v>
      </c>
      <c r="GA164" s="66">
        <f t="shared" si="460"/>
        <v>0</v>
      </c>
      <c r="GB164" s="66" t="str">
        <f t="shared" si="461"/>
        <v/>
      </c>
      <c r="GC164" s="74" t="str">
        <f>IF('Marks Entry'!BX164="","",'Marks Entry'!BX164)</f>
        <v/>
      </c>
      <c r="GD164" s="74" t="str">
        <f>IF('Marks Entry'!BY164="","",'Marks Entry'!BY164)</f>
        <v/>
      </c>
      <c r="GE164" s="74" t="str">
        <f>IF('Marks Entry'!BZ164="","",'Marks Entry'!BZ164)</f>
        <v/>
      </c>
      <c r="GF164" s="75" t="str">
        <f t="shared" si="462"/>
        <v/>
      </c>
      <c r="GG164" s="368" t="str">
        <f t="shared" si="463"/>
        <v/>
      </c>
      <c r="GH164" s="65">
        <f t="shared" si="464"/>
        <v>0</v>
      </c>
      <c r="GI164" s="66">
        <f t="shared" si="465"/>
        <v>0</v>
      </c>
      <c r="GJ164" s="66" t="str">
        <f t="shared" si="466"/>
        <v/>
      </c>
      <c r="GK164" s="100" t="str">
        <f>IF(AND(F164="",B164=""),"",IF('Student DATA Entry'!M161="","",'Student DATA Entry'!M161))</f>
        <v/>
      </c>
      <c r="GL164" s="101" t="str">
        <f>IF(AND(B164="",F164=""),"",IF('Student DATA Entry'!N161="","",'Student DATA Entry'!N161))</f>
        <v/>
      </c>
      <c r="GM164" s="581" t="str">
        <f t="shared" si="467"/>
        <v/>
      </c>
      <c r="GN164" s="94" t="str">
        <f t="shared" si="468"/>
        <v/>
      </c>
      <c r="GO164" s="94" t="str">
        <f t="shared" si="469"/>
        <v/>
      </c>
      <c r="GP164" s="102" t="str">
        <f t="shared" si="407"/>
        <v/>
      </c>
      <c r="GQ164" s="94" t="str">
        <f t="shared" si="470"/>
        <v/>
      </c>
      <c r="GR164" s="103" t="str">
        <f t="shared" si="471"/>
        <v/>
      </c>
      <c r="GS164" s="102" t="str">
        <f t="shared" si="408"/>
        <v/>
      </c>
      <c r="GT164" s="104" t="str">
        <f t="shared" si="472"/>
        <v/>
      </c>
      <c r="GU164" s="94" t="str">
        <f>IF('Marks Entry'!V164=1,GT164,"")</f>
        <v/>
      </c>
      <c r="GV164" s="94" t="str">
        <f>IF('Marks Entry'!V164=2,GT164,"")</f>
        <v/>
      </c>
      <c r="GW164" s="94" t="str">
        <f>IF('Marks Entry'!V164=3,GT164,"")</f>
        <v/>
      </c>
      <c r="GX164" s="94" t="str">
        <f>IF('Marks Entry'!V164=4,GT164,"")</f>
        <v/>
      </c>
      <c r="GY164" s="94" t="str">
        <f>IF('Marks Entry'!V164=5,GT164,"")</f>
        <v/>
      </c>
      <c r="GZ164" s="94" t="str">
        <f t="shared" si="473"/>
        <v/>
      </c>
      <c r="HA164" s="105" t="str">
        <f t="shared" si="409"/>
        <v/>
      </c>
      <c r="HB164" s="94" t="str">
        <f t="shared" si="474"/>
        <v/>
      </c>
      <c r="HC164" s="94" t="str">
        <f t="shared" si="475"/>
        <v/>
      </c>
      <c r="HD164" s="105" t="str">
        <f t="shared" si="410"/>
        <v/>
      </c>
      <c r="HE164" s="94" t="str">
        <f t="shared" si="476"/>
        <v/>
      </c>
      <c r="HF164" s="94" t="str">
        <f t="shared" si="477"/>
        <v/>
      </c>
      <c r="HG164" s="105" t="str">
        <f t="shared" si="411"/>
        <v/>
      </c>
      <c r="HH164" s="94" t="str">
        <f t="shared" si="478"/>
        <v/>
      </c>
      <c r="HI164" s="94" t="str">
        <f t="shared" si="479"/>
        <v/>
      </c>
      <c r="HJ164" s="105" t="str">
        <f t="shared" si="412"/>
        <v/>
      </c>
      <c r="HK164" s="94" t="str">
        <f t="shared" si="480"/>
        <v/>
      </c>
      <c r="HL164" s="94" t="str">
        <f t="shared" si="481"/>
        <v/>
      </c>
      <c r="HM164" s="105" t="str">
        <f t="shared" si="413"/>
        <v/>
      </c>
      <c r="HN164" s="367" t="str">
        <f t="shared" si="482"/>
        <v xml:space="preserve">      </v>
      </c>
      <c r="HO164" s="418" t="str">
        <f t="shared" si="414"/>
        <v xml:space="preserve">      </v>
      </c>
      <c r="HP164" s="367" t="str">
        <f t="shared" si="483"/>
        <v xml:space="preserve">      </v>
      </c>
      <c r="HQ164" s="107" t="str">
        <f t="shared" si="484"/>
        <v xml:space="preserve">      </v>
      </c>
      <c r="HR164" s="366" t="str">
        <f t="shared" si="485"/>
        <v xml:space="preserve">      </v>
      </c>
      <c r="HS164" s="544" t="str">
        <f t="shared" si="415"/>
        <v/>
      </c>
      <c r="HT164" s="542" t="str">
        <f t="shared" si="486"/>
        <v/>
      </c>
      <c r="HU164" s="541" t="str">
        <f t="shared" si="487"/>
        <v/>
      </c>
      <c r="HV164" s="540" t="str">
        <f t="shared" si="488"/>
        <v/>
      </c>
      <c r="HW164" s="537" t="str">
        <f t="shared" si="489"/>
        <v/>
      </c>
      <c r="HX164" s="539" t="str">
        <f t="shared" si="490"/>
        <v/>
      </c>
      <c r="HY164" s="553" t="str">
        <f>IFERROR(IF(OR(HS164="SUPPLEMENTARY",HS164="RE-EXAM"),'Supp. Result Entry'!AQ162,""),"")</f>
        <v/>
      </c>
      <c r="HZ164" s="538" t="str">
        <f t="shared" si="491"/>
        <v/>
      </c>
      <c r="IA164" s="415" t="str">
        <f t="shared" si="492"/>
        <v/>
      </c>
      <c r="IB164" s="415" t="str">
        <f>IF(AND(HZ164="",IA164=""),"",IF(OR(HS164="SUPPLEMENTARY",HS164="RE-EXAM"),'Supp. Result Entry'!AQ162,HS164))</f>
        <v/>
      </c>
      <c r="IC164" s="87"/>
      <c r="IS164" s="109" t="str">
        <f>IF('Supp. Result Entry'!T162="","",'Supp. Result Entry'!$T$4)</f>
        <v/>
      </c>
      <c r="IT164" s="110" t="str">
        <f>IF('Supp. Result Entry'!W162="","",'Supp. Result Entry'!$W$4)</f>
        <v/>
      </c>
      <c r="IU164" s="110" t="str">
        <f>IF('Supp. Result Entry'!Z162="","",'Supp. Result Entry'!$Z$4)</f>
        <v/>
      </c>
      <c r="IV164" s="110" t="str">
        <f>IF('Supp. Result Entry'!AC162="","",'Supp. Result Entry'!$AC$4)</f>
        <v/>
      </c>
      <c r="IW164" s="110" t="str">
        <f>IF('Supp. Result Entry'!AF162="","",'Supp. Result Entry'!$AF$4)</f>
        <v/>
      </c>
      <c r="IX164" s="110" t="str">
        <f>IF('Supp. Result Entry'!AI162="","",'Supp. Result Entry'!$AI$4)</f>
        <v/>
      </c>
      <c r="IY164" s="110" t="str">
        <f>IF('Supp. Result Entry'!AI162="","",'Supp. Result Entry'!$AL$4)</f>
        <v/>
      </c>
      <c r="IZ164" s="110" t="str">
        <f>IF('Supp. Result Entry'!U162="","",'Supp. Result Entry'!U162)</f>
        <v/>
      </c>
      <c r="JA164" s="110" t="str">
        <f>IF('Supp. Result Entry'!X162="","",'Supp. Result Entry'!X162)</f>
        <v/>
      </c>
      <c r="JB164" s="110" t="str">
        <f>IF('Supp. Result Entry'!AA162="","",'Supp. Result Entry'!AA162)</f>
        <v/>
      </c>
      <c r="JC164" s="110" t="str">
        <f>IF('Supp. Result Entry'!AD162="","",'Supp. Result Entry'!AD162)</f>
        <v/>
      </c>
      <c r="JD164" s="110" t="str">
        <f>IF('Supp. Result Entry'!AG162="","",'Supp. Result Entry'!AG162)</f>
        <v/>
      </c>
      <c r="JE164" s="110" t="str">
        <f>IF('Supp. Result Entry'!AJ162="","",'Supp. Result Entry'!AJ162)</f>
        <v/>
      </c>
      <c r="JF164" s="110" t="str">
        <f>IF('Supp. Result Entry'!AM162="","",'Supp. Result Entry'!AM162)</f>
        <v/>
      </c>
      <c r="JG164" s="110" t="str">
        <f>IF('Supp. Result Entry'!V162="","",'Supp. Result Entry'!V162)</f>
        <v/>
      </c>
      <c r="JH164" s="110" t="str">
        <f>IF('Supp. Result Entry'!Y162="","",'Supp. Result Entry'!Y162)</f>
        <v/>
      </c>
      <c r="JI164" s="110" t="str">
        <f>IF('Supp. Result Entry'!AB162="","",'Supp. Result Entry'!AB162)</f>
        <v/>
      </c>
      <c r="JJ164" s="110" t="str">
        <f>IF('Supp. Result Entry'!AE162="","",'Supp. Result Entry'!AE162)</f>
        <v/>
      </c>
      <c r="JK164" s="110" t="str">
        <f>IF('Supp. Result Entry'!AH162="","",'Supp. Result Entry'!AH162)</f>
        <v/>
      </c>
      <c r="JL164" s="110" t="str">
        <f>IF('Supp. Result Entry'!AK162="","",'Supp. Result Entry'!AK162)</f>
        <v/>
      </c>
      <c r="JM164" s="110" t="str">
        <f>IF('Supp. Result Entry'!AN162="","",'Supp. Result Entry'!AN162)</f>
        <v/>
      </c>
      <c r="JN164" s="110">
        <f>COUNTIF('Supp. Result Entry'!K162:Q162,"S")</f>
        <v>0</v>
      </c>
      <c r="JO164" s="110">
        <f t="shared" si="416"/>
        <v>0</v>
      </c>
      <c r="JP164" s="110">
        <f t="shared" si="493"/>
        <v>0</v>
      </c>
      <c r="JQ164" s="110" t="str">
        <f t="shared" si="417"/>
        <v/>
      </c>
      <c r="JR164" s="110" t="str">
        <f t="shared" si="418"/>
        <v/>
      </c>
      <c r="JS164" s="110" t="str">
        <f t="shared" si="419"/>
        <v/>
      </c>
      <c r="JT164" s="110" t="str">
        <f t="shared" si="420"/>
        <v/>
      </c>
      <c r="JU164" s="110" t="str">
        <f t="shared" si="421"/>
        <v/>
      </c>
      <c r="JV164" s="110" t="str">
        <f t="shared" si="422"/>
        <v/>
      </c>
      <c r="JW164" s="110" t="str">
        <f t="shared" si="423"/>
        <v/>
      </c>
      <c r="JX164" s="110" t="str">
        <f t="shared" si="494"/>
        <v/>
      </c>
      <c r="JY164" s="110" t="str">
        <f t="shared" si="495"/>
        <v/>
      </c>
      <c r="JZ164" s="110" t="str">
        <f t="shared" si="424"/>
        <v/>
      </c>
      <c r="KA164" s="108" t="str">
        <f t="shared" si="496"/>
        <v/>
      </c>
    </row>
    <row r="165" spans="1:287" s="108" customFormat="1" ht="21.95" customHeight="1">
      <c r="A165" s="89">
        <v>159</v>
      </c>
      <c r="B165" s="90" t="str">
        <f>IF('Marks Entry'!B165="","",'Marks Entry'!B165)</f>
        <v/>
      </c>
      <c r="C165" s="94" t="str">
        <f>IF('Marks Entry'!D165="","",'Marks Entry'!D165)</f>
        <v/>
      </c>
      <c r="D165" s="91" t="str">
        <f>IF('Marks Entry'!E165="","",'Marks Entry'!E165)</f>
        <v/>
      </c>
      <c r="E165" s="92" t="str">
        <f>IF('Marks Entry'!F165="","",'Marks Entry'!F165)</f>
        <v/>
      </c>
      <c r="F165" s="93" t="str">
        <f>IF('Marks Entry'!G165="","",'Marks Entry'!G165)</f>
        <v/>
      </c>
      <c r="G165" s="93" t="str">
        <f>IF('Marks Entry'!H165="","",'Marks Entry'!H165)</f>
        <v/>
      </c>
      <c r="H165" s="93" t="str">
        <f>IF('Marks Entry'!I165="","",'Marks Entry'!I165)</f>
        <v/>
      </c>
      <c r="I165" s="94" t="str">
        <f>IF('Marks Entry'!J165="","",'Marks Entry'!J165)</f>
        <v/>
      </c>
      <c r="J165" s="95" t="str">
        <f>IF('Marks Entry'!K165="","",'Marks Entry'!K165)</f>
        <v/>
      </c>
      <c r="K165" s="68" t="str">
        <f>IF('Marks Entry'!L165="","",'Marks Entry'!L165)</f>
        <v/>
      </c>
      <c r="L165" s="68" t="str">
        <f>IF('Marks Entry'!M165="","",'Marks Entry'!M165)</f>
        <v/>
      </c>
      <c r="M165" s="68" t="str">
        <f>IF('Marks Entry'!N165="","",'Marks Entry'!N165)</f>
        <v/>
      </c>
      <c r="N165" s="514" t="str">
        <f t="shared" si="425"/>
        <v/>
      </c>
      <c r="O165" s="68" t="str">
        <f>IF('Marks Entry'!O165="","",'Marks Entry'!O165)</f>
        <v/>
      </c>
      <c r="P165" s="515" t="str">
        <f t="shared" si="426"/>
        <v/>
      </c>
      <c r="Q165" s="68" t="str">
        <f>IF('Marks Entry'!P165="","",'Marks Entry'!P165)</f>
        <v/>
      </c>
      <c r="R165" s="96" t="str">
        <f t="shared" si="427"/>
        <v/>
      </c>
      <c r="S165" s="65">
        <f t="shared" si="428"/>
        <v>0</v>
      </c>
      <c r="T165" s="65">
        <f t="shared" si="429"/>
        <v>0</v>
      </c>
      <c r="U165" s="66" t="str">
        <f t="shared" si="339"/>
        <v/>
      </c>
      <c r="V165" s="65" t="str">
        <f t="shared" si="340"/>
        <v/>
      </c>
      <c r="W165" s="65" t="str">
        <f t="shared" si="430"/>
        <v/>
      </c>
      <c r="X165" s="65" t="str">
        <f t="shared" si="341"/>
        <v/>
      </c>
      <c r="Y165" s="68" t="str">
        <f>IF('Marks Entry'!Q165="","",'Marks Entry'!Q165)</f>
        <v/>
      </c>
      <c r="Z165" s="68" t="str">
        <f>IF('Marks Entry'!R165="","",'Marks Entry'!R165)</f>
        <v/>
      </c>
      <c r="AA165" s="68" t="str">
        <f>IF('Marks Entry'!S165="","",'Marks Entry'!S165)</f>
        <v/>
      </c>
      <c r="AB165" s="514" t="str">
        <f t="shared" si="342"/>
        <v/>
      </c>
      <c r="AC165" s="68" t="str">
        <f>IF('Marks Entry'!T165="","",'Marks Entry'!T165)</f>
        <v/>
      </c>
      <c r="AD165" s="515" t="str">
        <f t="shared" si="343"/>
        <v/>
      </c>
      <c r="AE165" s="68" t="str">
        <f>IF('Marks Entry'!U165="","",'Marks Entry'!U165)</f>
        <v/>
      </c>
      <c r="AF165" s="96" t="str">
        <f t="shared" si="344"/>
        <v/>
      </c>
      <c r="AG165" s="65">
        <f t="shared" si="345"/>
        <v>0</v>
      </c>
      <c r="AH165" s="65">
        <f t="shared" si="346"/>
        <v>0</v>
      </c>
      <c r="AI165" s="66" t="str">
        <f t="shared" si="347"/>
        <v/>
      </c>
      <c r="AJ165" s="65" t="str">
        <f t="shared" si="348"/>
        <v/>
      </c>
      <c r="AK165" s="65" t="str">
        <f t="shared" si="349"/>
        <v/>
      </c>
      <c r="AL165" s="65" t="str">
        <f t="shared" si="350"/>
        <v/>
      </c>
      <c r="AM165" s="524" t="str">
        <f>IF('Marks Entry'!V165="","",IF('Marks Entry'!V165=1,'School Profile'!$I$9,IF('Marks Entry'!V165=2,'School Profile'!$I$10,IF('Marks Entry'!V165=3,'School Profile'!$I$11,IF('Marks Entry'!V165=4,'School Profile'!$I$12,IF('Marks Entry'!V165=5,'School Profile'!$I$13,IF('Marks Entry'!V165=6,'School Profile'!$I$14,"")))))))</f>
        <v/>
      </c>
      <c r="AN165" s="68" t="str">
        <f>IF('Marks Entry'!W165="","",'Marks Entry'!W165)</f>
        <v/>
      </c>
      <c r="AO165" s="68" t="str">
        <f>IF('Marks Entry'!X165="","",'Marks Entry'!X165)</f>
        <v/>
      </c>
      <c r="AP165" s="68" t="str">
        <f>IF('Marks Entry'!Y165="","",'Marks Entry'!Y165)</f>
        <v/>
      </c>
      <c r="AQ165" s="514" t="str">
        <f t="shared" si="351"/>
        <v/>
      </c>
      <c r="AR165" s="68" t="str">
        <f>IF('Marks Entry'!Z165="","",'Marks Entry'!Z165)</f>
        <v/>
      </c>
      <c r="AS165" s="515" t="str">
        <f t="shared" si="352"/>
        <v/>
      </c>
      <c r="AT165" s="68" t="str">
        <f>IF('Marks Entry'!AA165="","",'Marks Entry'!AA165)</f>
        <v/>
      </c>
      <c r="AU165" s="96" t="str">
        <f t="shared" si="353"/>
        <v/>
      </c>
      <c r="AV165" s="65">
        <f t="shared" si="354"/>
        <v>0</v>
      </c>
      <c r="AW165" s="65">
        <f t="shared" si="355"/>
        <v>0</v>
      </c>
      <c r="AX165" s="66" t="str">
        <f t="shared" si="356"/>
        <v/>
      </c>
      <c r="AY165" s="65" t="str">
        <f t="shared" si="357"/>
        <v/>
      </c>
      <c r="AZ165" s="65" t="str">
        <f t="shared" si="358"/>
        <v/>
      </c>
      <c r="BA165" s="65" t="str">
        <f t="shared" si="359"/>
        <v/>
      </c>
      <c r="BB165" s="68" t="str">
        <f>IF('Marks Entry'!AB165="","",'Marks Entry'!AB165)</f>
        <v/>
      </c>
      <c r="BC165" s="68" t="str">
        <f>IF('Marks Entry'!AC165="","",'Marks Entry'!AC165)</f>
        <v/>
      </c>
      <c r="BD165" s="68" t="str">
        <f>IF('Marks Entry'!AD165="","",'Marks Entry'!AD165)</f>
        <v/>
      </c>
      <c r="BE165" s="514" t="str">
        <f t="shared" si="360"/>
        <v/>
      </c>
      <c r="BF165" s="68" t="str">
        <f>IF('Marks Entry'!AE165="","",'Marks Entry'!AE165)</f>
        <v/>
      </c>
      <c r="BG165" s="515" t="str">
        <f t="shared" si="361"/>
        <v/>
      </c>
      <c r="BH165" s="68" t="str">
        <f>IF('Marks Entry'!AF165="","",'Marks Entry'!AF165)</f>
        <v/>
      </c>
      <c r="BI165" s="96" t="str">
        <f t="shared" si="362"/>
        <v/>
      </c>
      <c r="BJ165" s="65">
        <f t="shared" si="363"/>
        <v>0</v>
      </c>
      <c r="BK165" s="65">
        <f t="shared" si="431"/>
        <v>0</v>
      </c>
      <c r="BL165" s="66" t="str">
        <f t="shared" si="364"/>
        <v/>
      </c>
      <c r="BM165" s="65" t="str">
        <f t="shared" si="365"/>
        <v/>
      </c>
      <c r="BN165" s="65" t="str">
        <f t="shared" si="366"/>
        <v/>
      </c>
      <c r="BO165" s="65" t="str">
        <f t="shared" si="367"/>
        <v/>
      </c>
      <c r="BP165" s="68" t="str">
        <f>IF('Marks Entry'!AG165="","",'Marks Entry'!AG165)</f>
        <v/>
      </c>
      <c r="BQ165" s="68" t="str">
        <f>IF('Marks Entry'!AH165="","",'Marks Entry'!AH165)</f>
        <v/>
      </c>
      <c r="BR165" s="68" t="str">
        <f>IF('Marks Entry'!AI165="","",'Marks Entry'!AI165)</f>
        <v/>
      </c>
      <c r="BS165" s="514" t="str">
        <f t="shared" si="368"/>
        <v/>
      </c>
      <c r="BT165" s="68" t="str">
        <f>IF('Marks Entry'!AJ165="","",'Marks Entry'!AJ165)</f>
        <v/>
      </c>
      <c r="BU165" s="515" t="str">
        <f t="shared" si="369"/>
        <v/>
      </c>
      <c r="BV165" s="68" t="str">
        <f>IF('Marks Entry'!AK165="","",'Marks Entry'!AK165)</f>
        <v/>
      </c>
      <c r="BW165" s="96" t="str">
        <f t="shared" si="370"/>
        <v/>
      </c>
      <c r="BX165" s="65">
        <f t="shared" si="371"/>
        <v>0</v>
      </c>
      <c r="BY165" s="65">
        <f t="shared" si="372"/>
        <v>0</v>
      </c>
      <c r="BZ165" s="66" t="str">
        <f t="shared" si="373"/>
        <v/>
      </c>
      <c r="CA165" s="65" t="str">
        <f t="shared" si="374"/>
        <v/>
      </c>
      <c r="CB165" s="65" t="str">
        <f t="shared" si="375"/>
        <v/>
      </c>
      <c r="CC165" s="65" t="str">
        <f t="shared" si="376"/>
        <v/>
      </c>
      <c r="CD165" s="66">
        <f t="shared" si="377"/>
        <v>0</v>
      </c>
      <c r="CE165" s="68" t="str">
        <f>IF('Marks Entry'!AL165="","",'Marks Entry'!AL165)</f>
        <v/>
      </c>
      <c r="CF165" s="68" t="str">
        <f>IF('Marks Entry'!AM165="","",'Marks Entry'!AM165)</f>
        <v/>
      </c>
      <c r="CG165" s="68" t="str">
        <f>IF('Marks Entry'!AN165="","",'Marks Entry'!AN165)</f>
        <v/>
      </c>
      <c r="CH165" s="514" t="str">
        <f t="shared" si="378"/>
        <v/>
      </c>
      <c r="CI165" s="68" t="str">
        <f>IF('Marks Entry'!AO165="","",'Marks Entry'!AO165)</f>
        <v/>
      </c>
      <c r="CJ165" s="515" t="str">
        <f t="shared" si="379"/>
        <v/>
      </c>
      <c r="CK165" s="68" t="str">
        <f>IF('Marks Entry'!AP165="","",'Marks Entry'!AP165)</f>
        <v/>
      </c>
      <c r="CL165" s="96" t="str">
        <f t="shared" si="380"/>
        <v/>
      </c>
      <c r="CM165" s="65">
        <f t="shared" si="381"/>
        <v>0</v>
      </c>
      <c r="CN165" s="65">
        <f t="shared" si="382"/>
        <v>0</v>
      </c>
      <c r="CO165" s="66" t="str">
        <f t="shared" si="383"/>
        <v/>
      </c>
      <c r="CP165" s="65" t="str">
        <f t="shared" si="384"/>
        <v/>
      </c>
      <c r="CQ165" s="65" t="str">
        <f t="shared" si="385"/>
        <v/>
      </c>
      <c r="CR165" s="65" t="str">
        <f t="shared" si="386"/>
        <v/>
      </c>
      <c r="CS165" s="616" t="str">
        <f>IF('School Profile'!$D$20="NO","",IF('Marks Entry'!AQ165="","",IF('Marks Entry'!AQ165=1,'School Profile'!$I$29,IF('Marks Entry'!AQ165=2,'School Profile'!$I$30,IF('Marks Entry'!AQ165=3,'School Profile'!$I$31,IF('Marks Entry'!AQ165=4,'School Profile'!$I$32,IF('Marks Entry'!AQ165=5,'School Profile'!$I$33,IF('Marks Entry'!AQ165=6,'School Profile'!$I$34,IF('Marks Entry'!AQ165=7,'School Profile'!$I$35,IF('Marks Entry'!AQ165=8,'School Profile'!$I$36,IF('Marks Entry'!AQ165=9,'School Profile'!$I$37,IF('Marks Entry'!AQ165=10,'School Profile'!$I$38,IF('Marks Entry'!AQ165=11,'School Profile'!$I$39,"")))))))))))))</f>
        <v/>
      </c>
      <c r="CT165" s="68" t="str">
        <f>IF('School Profile'!$D$20="NO","",IF('Marks Entry'!AR165="","",'Marks Entry'!AR165))</f>
        <v/>
      </c>
      <c r="CU165" s="68" t="str">
        <f>IF('School Profile'!$D$20="NO","",IF('Marks Entry'!AS165="","",'Marks Entry'!AS165))</f>
        <v/>
      </c>
      <c r="CV165" s="68" t="str">
        <f>IF('School Profile'!$D$20="NO","",IF('Marks Entry'!AT165="","",'Marks Entry'!AT165))</f>
        <v/>
      </c>
      <c r="CW165" s="514" t="str">
        <f>IF('School Profile'!$D$20="NO","",IF(AND(CT165="",CU165="",CV165=""),"",SUM(CT165:CV165)))</f>
        <v/>
      </c>
      <c r="CX165" s="68" t="str">
        <f>IF('School Profile'!$D$20="NO","",IF('Marks Entry'!AU165="","",'Marks Entry'!AU165))</f>
        <v/>
      </c>
      <c r="CY165" s="68" t="str">
        <f>IF('School Profile'!$D$20="NO","",IF('Marks Entry'!AV165="","",'Marks Entry'!AV165))</f>
        <v/>
      </c>
      <c r="CZ165" s="515" t="str">
        <f>IF('School Profile'!$D$20="NO","",IF(AND(CX165="",CY165=""),"",SUM(CX165,CY165)))</f>
        <v/>
      </c>
      <c r="DA165" s="69" t="str">
        <f>IF('School Profile'!$D$20="NO","",IF(AND(CW165="",CZ165=""),"",SUM(CW165+CZ165)))</f>
        <v/>
      </c>
      <c r="DB165" s="68" t="str">
        <f>IF('School Profile'!$D$20="NO","",IF('Marks Entry'!AW165="","",'Marks Entry'!AW165))</f>
        <v/>
      </c>
      <c r="DC165" s="68" t="str">
        <f>IF('School Profile'!$D$20="NO","",IF('Marks Entry'!AX165="","",'Marks Entry'!AX165))</f>
        <v/>
      </c>
      <c r="DD165" s="515" t="str">
        <f>IF('School Profile'!$D$20="NO","",IF(AND(DB165="",DC165=""),"",SUM(DB165,DC165)))</f>
        <v/>
      </c>
      <c r="DE165" s="96" t="str">
        <f>IF('School Profile'!$D$20="NO","",IF(AND(DA165="",DD165=""),"",SUM(DA165,DD165)))</f>
        <v/>
      </c>
      <c r="DF165" s="532">
        <f t="shared" si="387"/>
        <v>0</v>
      </c>
      <c r="DG165" s="65">
        <f t="shared" si="388"/>
        <v>0</v>
      </c>
      <c r="DH165" s="66" t="str">
        <f t="shared" si="389"/>
        <v/>
      </c>
      <c r="DI165" s="65" t="str">
        <f t="shared" si="390"/>
        <v/>
      </c>
      <c r="DJ165" s="65" t="str">
        <f t="shared" si="391"/>
        <v/>
      </c>
      <c r="DK165" s="65" t="str">
        <f t="shared" si="392"/>
        <v/>
      </c>
      <c r="DL165" s="97" t="str">
        <f t="shared" si="432"/>
        <v/>
      </c>
      <c r="DM165" s="97" t="str">
        <f t="shared" si="433"/>
        <v/>
      </c>
      <c r="DN165" s="97" t="str">
        <f t="shared" si="434"/>
        <v/>
      </c>
      <c r="DO165" s="97" t="str">
        <f t="shared" si="435"/>
        <v/>
      </c>
      <c r="DP165" s="97" t="str">
        <f t="shared" si="436"/>
        <v/>
      </c>
      <c r="DQ165" s="97" t="str">
        <f t="shared" si="437"/>
        <v/>
      </c>
      <c r="DR165" s="97" t="str">
        <f t="shared" si="438"/>
        <v/>
      </c>
      <c r="DS165" s="98">
        <f t="shared" si="439"/>
        <v>0</v>
      </c>
      <c r="DT165" s="98">
        <f t="shared" si="440"/>
        <v>0</v>
      </c>
      <c r="DU165" s="98">
        <f t="shared" si="441"/>
        <v>0</v>
      </c>
      <c r="DV165" s="98">
        <f t="shared" si="442"/>
        <v>0</v>
      </c>
      <c r="DW165" s="98">
        <f t="shared" si="443"/>
        <v>0</v>
      </c>
      <c r="DX165" s="98" t="str">
        <f t="shared" si="444"/>
        <v/>
      </c>
      <c r="DY165" s="99" t="str">
        <f t="shared" si="445"/>
        <v/>
      </c>
      <c r="DZ165" s="74" t="str">
        <f>IF('Marks Entry'!AY165="","",'Marks Entry'!AY165)</f>
        <v/>
      </c>
      <c r="EA165" s="74" t="str">
        <f>IF('Marks Entry'!AZ165="","",'Marks Entry'!AZ165)</f>
        <v/>
      </c>
      <c r="EB165" s="74" t="str">
        <f>IF('Marks Entry'!BA165="","",'Marks Entry'!BA165)</f>
        <v/>
      </c>
      <c r="EC165" s="527" t="str">
        <f t="shared" si="393"/>
        <v/>
      </c>
      <c r="ED165" s="74" t="str">
        <f>IF('Marks Entry'!BB165="","",'Marks Entry'!BB165)</f>
        <v/>
      </c>
      <c r="EE165" s="528" t="str">
        <f t="shared" si="394"/>
        <v/>
      </c>
      <c r="EF165" s="74" t="str">
        <f>IF('Marks Entry'!BC165="","",'Marks Entry'!BC165)</f>
        <v/>
      </c>
      <c r="EG165" s="530" t="str">
        <f t="shared" si="395"/>
        <v/>
      </c>
      <c r="EH165" s="368" t="str">
        <f t="shared" si="446"/>
        <v/>
      </c>
      <c r="EI165" s="65">
        <f t="shared" si="447"/>
        <v>0</v>
      </c>
      <c r="EJ165" s="65">
        <f t="shared" si="448"/>
        <v>0</v>
      </c>
      <c r="EK165" s="66" t="str">
        <f t="shared" si="449"/>
        <v/>
      </c>
      <c r="EL165" s="74" t="str">
        <f>IF('Marks Entry'!BD165="","",'Marks Entry'!BD165)</f>
        <v/>
      </c>
      <c r="EM165" s="74" t="str">
        <f>IF('Marks Entry'!BE165="","",'Marks Entry'!BE165)</f>
        <v/>
      </c>
      <c r="EN165" s="74" t="str">
        <f>IF('Marks Entry'!BF165="","",'Marks Entry'!BF165)</f>
        <v/>
      </c>
      <c r="EO165" s="527" t="str">
        <f t="shared" si="396"/>
        <v/>
      </c>
      <c r="EP165" s="74" t="str">
        <f>IF('Marks Entry'!BG165="","",'Marks Entry'!BG165)</f>
        <v/>
      </c>
      <c r="EQ165" s="74" t="str">
        <f>IF('Marks Entry'!BH165="","",'Marks Entry'!BH165)</f>
        <v/>
      </c>
      <c r="ER165" s="528" t="str">
        <f t="shared" si="397"/>
        <v/>
      </c>
      <c r="ES165" s="529" t="str">
        <f t="shared" si="398"/>
        <v/>
      </c>
      <c r="ET165" s="74" t="str">
        <f>IF('Marks Entry'!BI165="","",'Marks Entry'!BI165)</f>
        <v/>
      </c>
      <c r="EU165" s="74" t="str">
        <f>IF('Marks Entry'!BJ165="","",'Marks Entry'!BJ165)</f>
        <v/>
      </c>
      <c r="EV165" s="528" t="str">
        <f t="shared" si="399"/>
        <v/>
      </c>
      <c r="EW165" s="530" t="str">
        <f t="shared" si="400"/>
        <v/>
      </c>
      <c r="EX165" s="368" t="str">
        <f t="shared" si="450"/>
        <v/>
      </c>
      <c r="EY165" s="65">
        <f t="shared" si="451"/>
        <v>0</v>
      </c>
      <c r="EZ165" s="65">
        <f t="shared" si="452"/>
        <v>0</v>
      </c>
      <c r="FA165" s="66" t="str">
        <f t="shared" si="453"/>
        <v/>
      </c>
      <c r="FB165" s="74" t="str">
        <f>IF('Marks Entry'!BK165="","",'Marks Entry'!BK165)</f>
        <v/>
      </c>
      <c r="FC165" s="74" t="str">
        <f>IF('Marks Entry'!BL165="","",'Marks Entry'!BL165)</f>
        <v/>
      </c>
      <c r="FD165" s="74" t="str">
        <f>IF('Marks Entry'!BM165="","",'Marks Entry'!BM165)</f>
        <v/>
      </c>
      <c r="FE165" s="74" t="str">
        <f>IF('Marks Entry'!BN165="","",'Marks Entry'!BN165)</f>
        <v/>
      </c>
      <c r="FF165" s="74" t="str">
        <f>IF('Marks Entry'!BO165="","",'Marks Entry'!BO165)</f>
        <v/>
      </c>
      <c r="FG165" s="74" t="str">
        <f>IF('Marks Entry'!BP165="","",'Marks Entry'!BP165)</f>
        <v/>
      </c>
      <c r="FH165" s="527" t="str">
        <f t="shared" si="401"/>
        <v/>
      </c>
      <c r="FI165" s="74" t="str">
        <f>IF('Marks Entry'!BQ165="","",'Marks Entry'!BQ165)</f>
        <v/>
      </c>
      <c r="FJ165" s="74" t="str">
        <f>IF('Marks Entry'!BR165="","",'Marks Entry'!BR165)</f>
        <v/>
      </c>
      <c r="FK165" s="528" t="str">
        <f t="shared" si="402"/>
        <v/>
      </c>
      <c r="FL165" s="529" t="str">
        <f t="shared" si="403"/>
        <v/>
      </c>
      <c r="FM165" s="74" t="str">
        <f>IF('Marks Entry'!BS165="","",'Marks Entry'!BS165)</f>
        <v/>
      </c>
      <c r="FN165" s="74" t="str">
        <f>IF('Marks Entry'!BT165="","",'Marks Entry'!BT165)</f>
        <v/>
      </c>
      <c r="FO165" s="528" t="str">
        <f t="shared" si="404"/>
        <v/>
      </c>
      <c r="FP165" s="530" t="str">
        <f t="shared" si="405"/>
        <v/>
      </c>
      <c r="FQ165" s="368" t="str">
        <f t="shared" si="454"/>
        <v/>
      </c>
      <c r="FR165" s="65">
        <f t="shared" si="455"/>
        <v>0</v>
      </c>
      <c r="FS165" s="65">
        <f t="shared" si="456"/>
        <v>0</v>
      </c>
      <c r="FT165" s="66" t="str">
        <f t="shared" si="457"/>
        <v/>
      </c>
      <c r="FU165" s="74" t="str">
        <f>IF('Marks Entry'!BU165="","",'Marks Entry'!BU165)</f>
        <v/>
      </c>
      <c r="FV165" s="74" t="str">
        <f>IF('Marks Entry'!BV165="","",'Marks Entry'!BV165)</f>
        <v/>
      </c>
      <c r="FW165" s="74" t="str">
        <f>IF('Marks Entry'!BW165="","",'Marks Entry'!BW165)</f>
        <v/>
      </c>
      <c r="FX165" s="75" t="str">
        <f t="shared" si="406"/>
        <v/>
      </c>
      <c r="FY165" s="368" t="str">
        <f t="shared" si="458"/>
        <v/>
      </c>
      <c r="FZ165" s="65">
        <f t="shared" si="459"/>
        <v>0</v>
      </c>
      <c r="GA165" s="66">
        <f t="shared" si="460"/>
        <v>0</v>
      </c>
      <c r="GB165" s="66" t="str">
        <f t="shared" si="461"/>
        <v/>
      </c>
      <c r="GC165" s="74" t="str">
        <f>IF('Marks Entry'!BX165="","",'Marks Entry'!BX165)</f>
        <v/>
      </c>
      <c r="GD165" s="74" t="str">
        <f>IF('Marks Entry'!BY165="","",'Marks Entry'!BY165)</f>
        <v/>
      </c>
      <c r="GE165" s="74" t="str">
        <f>IF('Marks Entry'!BZ165="","",'Marks Entry'!BZ165)</f>
        <v/>
      </c>
      <c r="GF165" s="75" t="str">
        <f t="shared" si="462"/>
        <v/>
      </c>
      <c r="GG165" s="368" t="str">
        <f t="shared" si="463"/>
        <v/>
      </c>
      <c r="GH165" s="65">
        <f t="shared" si="464"/>
        <v>0</v>
      </c>
      <c r="GI165" s="66">
        <f t="shared" si="465"/>
        <v>0</v>
      </c>
      <c r="GJ165" s="66" t="str">
        <f t="shared" si="466"/>
        <v/>
      </c>
      <c r="GK165" s="100" t="str">
        <f>IF(AND(F165="",B165=""),"",IF('Student DATA Entry'!M162="","",'Student DATA Entry'!M162))</f>
        <v/>
      </c>
      <c r="GL165" s="101" t="str">
        <f>IF(AND(B165="",F165=""),"",IF('Student DATA Entry'!N162="","",'Student DATA Entry'!N162))</f>
        <v/>
      </c>
      <c r="GM165" s="581" t="str">
        <f t="shared" si="467"/>
        <v/>
      </c>
      <c r="GN165" s="94" t="str">
        <f t="shared" si="468"/>
        <v/>
      </c>
      <c r="GO165" s="94" t="str">
        <f t="shared" si="469"/>
        <v/>
      </c>
      <c r="GP165" s="102" t="str">
        <f t="shared" si="407"/>
        <v/>
      </c>
      <c r="GQ165" s="94" t="str">
        <f t="shared" si="470"/>
        <v/>
      </c>
      <c r="GR165" s="103" t="str">
        <f t="shared" si="471"/>
        <v/>
      </c>
      <c r="GS165" s="102" t="str">
        <f t="shared" si="408"/>
        <v/>
      </c>
      <c r="GT165" s="104" t="str">
        <f t="shared" si="472"/>
        <v/>
      </c>
      <c r="GU165" s="94" t="str">
        <f>IF('Marks Entry'!V165=1,GT165,"")</f>
        <v/>
      </c>
      <c r="GV165" s="94" t="str">
        <f>IF('Marks Entry'!V165=2,GT165,"")</f>
        <v/>
      </c>
      <c r="GW165" s="94" t="str">
        <f>IF('Marks Entry'!V165=3,GT165,"")</f>
        <v/>
      </c>
      <c r="GX165" s="94" t="str">
        <f>IF('Marks Entry'!V165=4,GT165,"")</f>
        <v/>
      </c>
      <c r="GY165" s="94" t="str">
        <f>IF('Marks Entry'!V165=5,GT165,"")</f>
        <v/>
      </c>
      <c r="GZ165" s="94" t="str">
        <f t="shared" si="473"/>
        <v/>
      </c>
      <c r="HA165" s="105" t="str">
        <f t="shared" si="409"/>
        <v/>
      </c>
      <c r="HB165" s="94" t="str">
        <f t="shared" si="474"/>
        <v/>
      </c>
      <c r="HC165" s="94" t="str">
        <f t="shared" si="475"/>
        <v/>
      </c>
      <c r="HD165" s="105" t="str">
        <f t="shared" si="410"/>
        <v/>
      </c>
      <c r="HE165" s="94" t="str">
        <f t="shared" si="476"/>
        <v/>
      </c>
      <c r="HF165" s="94" t="str">
        <f t="shared" si="477"/>
        <v/>
      </c>
      <c r="HG165" s="105" t="str">
        <f t="shared" si="411"/>
        <v/>
      </c>
      <c r="HH165" s="94" t="str">
        <f t="shared" si="478"/>
        <v/>
      </c>
      <c r="HI165" s="94" t="str">
        <f t="shared" si="479"/>
        <v/>
      </c>
      <c r="HJ165" s="105" t="str">
        <f t="shared" si="412"/>
        <v/>
      </c>
      <c r="HK165" s="94" t="str">
        <f t="shared" si="480"/>
        <v/>
      </c>
      <c r="HL165" s="94" t="str">
        <f t="shared" si="481"/>
        <v/>
      </c>
      <c r="HM165" s="105" t="str">
        <f t="shared" si="413"/>
        <v/>
      </c>
      <c r="HN165" s="367" t="str">
        <f t="shared" si="482"/>
        <v xml:space="preserve">      </v>
      </c>
      <c r="HO165" s="418" t="str">
        <f t="shared" si="414"/>
        <v xml:space="preserve">      </v>
      </c>
      <c r="HP165" s="367" t="str">
        <f t="shared" si="483"/>
        <v xml:space="preserve">      </v>
      </c>
      <c r="HQ165" s="107" t="str">
        <f t="shared" si="484"/>
        <v xml:space="preserve">      </v>
      </c>
      <c r="HR165" s="366" t="str">
        <f t="shared" si="485"/>
        <v xml:space="preserve">      </v>
      </c>
      <c r="HS165" s="544" t="str">
        <f t="shared" si="415"/>
        <v/>
      </c>
      <c r="HT165" s="542" t="str">
        <f t="shared" si="486"/>
        <v/>
      </c>
      <c r="HU165" s="541" t="str">
        <f t="shared" si="487"/>
        <v/>
      </c>
      <c r="HV165" s="540" t="str">
        <f t="shared" si="488"/>
        <v/>
      </c>
      <c r="HW165" s="537" t="str">
        <f t="shared" si="489"/>
        <v/>
      </c>
      <c r="HX165" s="539" t="str">
        <f t="shared" si="490"/>
        <v/>
      </c>
      <c r="HY165" s="553" t="str">
        <f>IFERROR(IF(OR(HS165="SUPPLEMENTARY",HS165="RE-EXAM"),'Supp. Result Entry'!AQ163,""),"")</f>
        <v/>
      </c>
      <c r="HZ165" s="538" t="str">
        <f t="shared" si="491"/>
        <v/>
      </c>
      <c r="IA165" s="415" t="str">
        <f t="shared" si="492"/>
        <v/>
      </c>
      <c r="IB165" s="415" t="str">
        <f>IF(AND(HZ165="",IA165=""),"",IF(OR(HS165="SUPPLEMENTARY",HS165="RE-EXAM"),'Supp. Result Entry'!AQ163,HS165))</f>
        <v/>
      </c>
      <c r="IC165" s="87"/>
      <c r="IS165" s="109" t="str">
        <f>IF('Supp. Result Entry'!T163="","",'Supp. Result Entry'!$T$4)</f>
        <v/>
      </c>
      <c r="IT165" s="110" t="str">
        <f>IF('Supp. Result Entry'!W163="","",'Supp. Result Entry'!$W$4)</f>
        <v/>
      </c>
      <c r="IU165" s="110" t="str">
        <f>IF('Supp. Result Entry'!Z163="","",'Supp. Result Entry'!$Z$4)</f>
        <v/>
      </c>
      <c r="IV165" s="110" t="str">
        <f>IF('Supp. Result Entry'!AC163="","",'Supp. Result Entry'!$AC$4)</f>
        <v/>
      </c>
      <c r="IW165" s="110" t="str">
        <f>IF('Supp. Result Entry'!AF163="","",'Supp. Result Entry'!$AF$4)</f>
        <v/>
      </c>
      <c r="IX165" s="110" t="str">
        <f>IF('Supp. Result Entry'!AI163="","",'Supp. Result Entry'!$AI$4)</f>
        <v/>
      </c>
      <c r="IY165" s="110" t="str">
        <f>IF('Supp. Result Entry'!AI163="","",'Supp. Result Entry'!$AL$4)</f>
        <v/>
      </c>
      <c r="IZ165" s="110" t="str">
        <f>IF('Supp. Result Entry'!U163="","",'Supp. Result Entry'!U163)</f>
        <v/>
      </c>
      <c r="JA165" s="110" t="str">
        <f>IF('Supp. Result Entry'!X163="","",'Supp. Result Entry'!X163)</f>
        <v/>
      </c>
      <c r="JB165" s="110" t="str">
        <f>IF('Supp. Result Entry'!AA163="","",'Supp. Result Entry'!AA163)</f>
        <v/>
      </c>
      <c r="JC165" s="110" t="str">
        <f>IF('Supp. Result Entry'!AD163="","",'Supp. Result Entry'!AD163)</f>
        <v/>
      </c>
      <c r="JD165" s="110" t="str">
        <f>IF('Supp. Result Entry'!AG163="","",'Supp. Result Entry'!AG163)</f>
        <v/>
      </c>
      <c r="JE165" s="110" t="str">
        <f>IF('Supp. Result Entry'!AJ163="","",'Supp. Result Entry'!AJ163)</f>
        <v/>
      </c>
      <c r="JF165" s="110" t="str">
        <f>IF('Supp. Result Entry'!AM163="","",'Supp. Result Entry'!AM163)</f>
        <v/>
      </c>
      <c r="JG165" s="110" t="str">
        <f>IF('Supp. Result Entry'!V163="","",'Supp. Result Entry'!V163)</f>
        <v/>
      </c>
      <c r="JH165" s="110" t="str">
        <f>IF('Supp. Result Entry'!Y163="","",'Supp. Result Entry'!Y163)</f>
        <v/>
      </c>
      <c r="JI165" s="110" t="str">
        <f>IF('Supp. Result Entry'!AB163="","",'Supp. Result Entry'!AB163)</f>
        <v/>
      </c>
      <c r="JJ165" s="110" t="str">
        <f>IF('Supp. Result Entry'!AE163="","",'Supp. Result Entry'!AE163)</f>
        <v/>
      </c>
      <c r="JK165" s="110" t="str">
        <f>IF('Supp. Result Entry'!AH163="","",'Supp. Result Entry'!AH163)</f>
        <v/>
      </c>
      <c r="JL165" s="110" t="str">
        <f>IF('Supp. Result Entry'!AK163="","",'Supp. Result Entry'!AK163)</f>
        <v/>
      </c>
      <c r="JM165" s="110" t="str">
        <f>IF('Supp. Result Entry'!AN163="","",'Supp. Result Entry'!AN163)</f>
        <v/>
      </c>
      <c r="JN165" s="110">
        <f>COUNTIF('Supp. Result Entry'!K163:Q163,"S")</f>
        <v>0</v>
      </c>
      <c r="JO165" s="110">
        <f t="shared" si="416"/>
        <v>0</v>
      </c>
      <c r="JP165" s="110">
        <f t="shared" si="493"/>
        <v>0</v>
      </c>
      <c r="JQ165" s="110" t="str">
        <f t="shared" si="417"/>
        <v/>
      </c>
      <c r="JR165" s="110" t="str">
        <f t="shared" si="418"/>
        <v/>
      </c>
      <c r="JS165" s="110" t="str">
        <f t="shared" si="419"/>
        <v/>
      </c>
      <c r="JT165" s="110" t="str">
        <f t="shared" si="420"/>
        <v/>
      </c>
      <c r="JU165" s="110" t="str">
        <f t="shared" si="421"/>
        <v/>
      </c>
      <c r="JV165" s="110" t="str">
        <f t="shared" si="422"/>
        <v/>
      </c>
      <c r="JW165" s="110" t="str">
        <f t="shared" si="423"/>
        <v/>
      </c>
      <c r="JX165" s="110" t="str">
        <f t="shared" si="494"/>
        <v/>
      </c>
      <c r="JY165" s="110" t="str">
        <f t="shared" si="495"/>
        <v/>
      </c>
      <c r="JZ165" s="110" t="str">
        <f t="shared" si="424"/>
        <v/>
      </c>
      <c r="KA165" s="108" t="str">
        <f t="shared" si="496"/>
        <v/>
      </c>
    </row>
    <row r="166" spans="1:287" s="108" customFormat="1" ht="21.95" customHeight="1">
      <c r="A166" s="89">
        <v>160</v>
      </c>
      <c r="B166" s="90" t="str">
        <f>IF('Marks Entry'!B166="","",'Marks Entry'!B166)</f>
        <v/>
      </c>
      <c r="C166" s="94" t="str">
        <f>IF('Marks Entry'!D166="","",'Marks Entry'!D166)</f>
        <v/>
      </c>
      <c r="D166" s="91" t="str">
        <f>IF('Marks Entry'!E166="","",'Marks Entry'!E166)</f>
        <v/>
      </c>
      <c r="E166" s="92" t="str">
        <f>IF('Marks Entry'!F166="","",'Marks Entry'!F166)</f>
        <v/>
      </c>
      <c r="F166" s="93" t="str">
        <f>IF('Marks Entry'!G166="","",'Marks Entry'!G166)</f>
        <v/>
      </c>
      <c r="G166" s="93" t="str">
        <f>IF('Marks Entry'!H166="","",'Marks Entry'!H166)</f>
        <v/>
      </c>
      <c r="H166" s="93" t="str">
        <f>IF('Marks Entry'!I166="","",'Marks Entry'!I166)</f>
        <v/>
      </c>
      <c r="I166" s="94" t="str">
        <f>IF('Marks Entry'!J166="","",'Marks Entry'!J166)</f>
        <v/>
      </c>
      <c r="J166" s="95" t="str">
        <f>IF('Marks Entry'!K166="","",'Marks Entry'!K166)</f>
        <v/>
      </c>
      <c r="K166" s="68" t="str">
        <f>IF('Marks Entry'!L166="","",'Marks Entry'!L166)</f>
        <v/>
      </c>
      <c r="L166" s="68" t="str">
        <f>IF('Marks Entry'!M166="","",'Marks Entry'!M166)</f>
        <v/>
      </c>
      <c r="M166" s="68" t="str">
        <f>IF('Marks Entry'!N166="","",'Marks Entry'!N166)</f>
        <v/>
      </c>
      <c r="N166" s="514" t="str">
        <f t="shared" si="425"/>
        <v/>
      </c>
      <c r="O166" s="68" t="str">
        <f>IF('Marks Entry'!O166="","",'Marks Entry'!O166)</f>
        <v/>
      </c>
      <c r="P166" s="515" t="str">
        <f t="shared" si="426"/>
        <v/>
      </c>
      <c r="Q166" s="68" t="str">
        <f>IF('Marks Entry'!P166="","",'Marks Entry'!P166)</f>
        <v/>
      </c>
      <c r="R166" s="96" t="str">
        <f t="shared" si="427"/>
        <v/>
      </c>
      <c r="S166" s="65">
        <f t="shared" si="428"/>
        <v>0</v>
      </c>
      <c r="T166" s="65">
        <f t="shared" si="429"/>
        <v>0</v>
      </c>
      <c r="U166" s="66" t="str">
        <f t="shared" si="339"/>
        <v/>
      </c>
      <c r="V166" s="65" t="str">
        <f t="shared" si="340"/>
        <v/>
      </c>
      <c r="W166" s="65" t="str">
        <f t="shared" si="430"/>
        <v/>
      </c>
      <c r="X166" s="65" t="str">
        <f t="shared" si="341"/>
        <v/>
      </c>
      <c r="Y166" s="68" t="str">
        <f>IF('Marks Entry'!Q166="","",'Marks Entry'!Q166)</f>
        <v/>
      </c>
      <c r="Z166" s="68" t="str">
        <f>IF('Marks Entry'!R166="","",'Marks Entry'!R166)</f>
        <v/>
      </c>
      <c r="AA166" s="68" t="str">
        <f>IF('Marks Entry'!S166="","",'Marks Entry'!S166)</f>
        <v/>
      </c>
      <c r="AB166" s="514" t="str">
        <f t="shared" si="342"/>
        <v/>
      </c>
      <c r="AC166" s="68" t="str">
        <f>IF('Marks Entry'!T166="","",'Marks Entry'!T166)</f>
        <v/>
      </c>
      <c r="AD166" s="515" t="str">
        <f t="shared" si="343"/>
        <v/>
      </c>
      <c r="AE166" s="68" t="str">
        <f>IF('Marks Entry'!U166="","",'Marks Entry'!U166)</f>
        <v/>
      </c>
      <c r="AF166" s="96" t="str">
        <f t="shared" si="344"/>
        <v/>
      </c>
      <c r="AG166" s="65">
        <f t="shared" si="345"/>
        <v>0</v>
      </c>
      <c r="AH166" s="65">
        <f t="shared" si="346"/>
        <v>0</v>
      </c>
      <c r="AI166" s="66" t="str">
        <f t="shared" si="347"/>
        <v/>
      </c>
      <c r="AJ166" s="65" t="str">
        <f t="shared" si="348"/>
        <v/>
      </c>
      <c r="AK166" s="65" t="str">
        <f t="shared" si="349"/>
        <v/>
      </c>
      <c r="AL166" s="65" t="str">
        <f t="shared" si="350"/>
        <v/>
      </c>
      <c r="AM166" s="524" t="str">
        <f>IF('Marks Entry'!V166="","",IF('Marks Entry'!V166=1,'School Profile'!$I$9,IF('Marks Entry'!V166=2,'School Profile'!$I$10,IF('Marks Entry'!V166=3,'School Profile'!$I$11,IF('Marks Entry'!V166=4,'School Profile'!$I$12,IF('Marks Entry'!V166=5,'School Profile'!$I$13,IF('Marks Entry'!V166=6,'School Profile'!$I$14,"")))))))</f>
        <v/>
      </c>
      <c r="AN166" s="68" t="str">
        <f>IF('Marks Entry'!W166="","",'Marks Entry'!W166)</f>
        <v/>
      </c>
      <c r="AO166" s="68" t="str">
        <f>IF('Marks Entry'!X166="","",'Marks Entry'!X166)</f>
        <v/>
      </c>
      <c r="AP166" s="68" t="str">
        <f>IF('Marks Entry'!Y166="","",'Marks Entry'!Y166)</f>
        <v/>
      </c>
      <c r="AQ166" s="514" t="str">
        <f t="shared" si="351"/>
        <v/>
      </c>
      <c r="AR166" s="68" t="str">
        <f>IF('Marks Entry'!Z166="","",'Marks Entry'!Z166)</f>
        <v/>
      </c>
      <c r="AS166" s="515" t="str">
        <f t="shared" si="352"/>
        <v/>
      </c>
      <c r="AT166" s="68" t="str">
        <f>IF('Marks Entry'!AA166="","",'Marks Entry'!AA166)</f>
        <v/>
      </c>
      <c r="AU166" s="96" t="str">
        <f t="shared" si="353"/>
        <v/>
      </c>
      <c r="AV166" s="65">
        <f t="shared" si="354"/>
        <v>0</v>
      </c>
      <c r="AW166" s="65">
        <f t="shared" si="355"/>
        <v>0</v>
      </c>
      <c r="AX166" s="66" t="str">
        <f t="shared" si="356"/>
        <v/>
      </c>
      <c r="AY166" s="65" t="str">
        <f t="shared" si="357"/>
        <v/>
      </c>
      <c r="AZ166" s="65" t="str">
        <f t="shared" si="358"/>
        <v/>
      </c>
      <c r="BA166" s="65" t="str">
        <f t="shared" si="359"/>
        <v/>
      </c>
      <c r="BB166" s="68" t="str">
        <f>IF('Marks Entry'!AB166="","",'Marks Entry'!AB166)</f>
        <v/>
      </c>
      <c r="BC166" s="68" t="str">
        <f>IF('Marks Entry'!AC166="","",'Marks Entry'!AC166)</f>
        <v/>
      </c>
      <c r="BD166" s="68" t="str">
        <f>IF('Marks Entry'!AD166="","",'Marks Entry'!AD166)</f>
        <v/>
      </c>
      <c r="BE166" s="514" t="str">
        <f t="shared" si="360"/>
        <v/>
      </c>
      <c r="BF166" s="68" t="str">
        <f>IF('Marks Entry'!AE166="","",'Marks Entry'!AE166)</f>
        <v/>
      </c>
      <c r="BG166" s="515" t="str">
        <f t="shared" si="361"/>
        <v/>
      </c>
      <c r="BH166" s="68" t="str">
        <f>IF('Marks Entry'!AF166="","",'Marks Entry'!AF166)</f>
        <v/>
      </c>
      <c r="BI166" s="96" t="str">
        <f t="shared" si="362"/>
        <v/>
      </c>
      <c r="BJ166" s="65">
        <f t="shared" si="363"/>
        <v>0</v>
      </c>
      <c r="BK166" s="65">
        <f t="shared" si="431"/>
        <v>0</v>
      </c>
      <c r="BL166" s="66" t="str">
        <f t="shared" si="364"/>
        <v/>
      </c>
      <c r="BM166" s="65" t="str">
        <f t="shared" si="365"/>
        <v/>
      </c>
      <c r="BN166" s="65" t="str">
        <f t="shared" si="366"/>
        <v/>
      </c>
      <c r="BO166" s="65" t="str">
        <f t="shared" si="367"/>
        <v/>
      </c>
      <c r="BP166" s="68" t="str">
        <f>IF('Marks Entry'!AG166="","",'Marks Entry'!AG166)</f>
        <v/>
      </c>
      <c r="BQ166" s="68" t="str">
        <f>IF('Marks Entry'!AH166="","",'Marks Entry'!AH166)</f>
        <v/>
      </c>
      <c r="BR166" s="68" t="str">
        <f>IF('Marks Entry'!AI166="","",'Marks Entry'!AI166)</f>
        <v/>
      </c>
      <c r="BS166" s="514" t="str">
        <f t="shared" si="368"/>
        <v/>
      </c>
      <c r="BT166" s="68" t="str">
        <f>IF('Marks Entry'!AJ166="","",'Marks Entry'!AJ166)</f>
        <v/>
      </c>
      <c r="BU166" s="515" t="str">
        <f t="shared" si="369"/>
        <v/>
      </c>
      <c r="BV166" s="68" t="str">
        <f>IF('Marks Entry'!AK166="","",'Marks Entry'!AK166)</f>
        <v/>
      </c>
      <c r="BW166" s="96" t="str">
        <f t="shared" si="370"/>
        <v/>
      </c>
      <c r="BX166" s="65">
        <f t="shared" si="371"/>
        <v>0</v>
      </c>
      <c r="BY166" s="65">
        <f t="shared" si="372"/>
        <v>0</v>
      </c>
      <c r="BZ166" s="66" t="str">
        <f t="shared" si="373"/>
        <v/>
      </c>
      <c r="CA166" s="65" t="str">
        <f t="shared" si="374"/>
        <v/>
      </c>
      <c r="CB166" s="65" t="str">
        <f t="shared" si="375"/>
        <v/>
      </c>
      <c r="CC166" s="65" t="str">
        <f t="shared" si="376"/>
        <v/>
      </c>
      <c r="CD166" s="66">
        <f t="shared" si="377"/>
        <v>0</v>
      </c>
      <c r="CE166" s="68" t="str">
        <f>IF('Marks Entry'!AL166="","",'Marks Entry'!AL166)</f>
        <v/>
      </c>
      <c r="CF166" s="68" t="str">
        <f>IF('Marks Entry'!AM166="","",'Marks Entry'!AM166)</f>
        <v/>
      </c>
      <c r="CG166" s="68" t="str">
        <f>IF('Marks Entry'!AN166="","",'Marks Entry'!AN166)</f>
        <v/>
      </c>
      <c r="CH166" s="514" t="str">
        <f t="shared" si="378"/>
        <v/>
      </c>
      <c r="CI166" s="68" t="str">
        <f>IF('Marks Entry'!AO166="","",'Marks Entry'!AO166)</f>
        <v/>
      </c>
      <c r="CJ166" s="515" t="str">
        <f t="shared" si="379"/>
        <v/>
      </c>
      <c r="CK166" s="68" t="str">
        <f>IF('Marks Entry'!AP166="","",'Marks Entry'!AP166)</f>
        <v/>
      </c>
      <c r="CL166" s="96" t="str">
        <f t="shared" si="380"/>
        <v/>
      </c>
      <c r="CM166" s="65">
        <f t="shared" si="381"/>
        <v>0</v>
      </c>
      <c r="CN166" s="65">
        <f t="shared" si="382"/>
        <v>0</v>
      </c>
      <c r="CO166" s="66" t="str">
        <f t="shared" si="383"/>
        <v/>
      </c>
      <c r="CP166" s="65" t="str">
        <f t="shared" si="384"/>
        <v/>
      </c>
      <c r="CQ166" s="65" t="str">
        <f t="shared" si="385"/>
        <v/>
      </c>
      <c r="CR166" s="65" t="str">
        <f t="shared" si="386"/>
        <v/>
      </c>
      <c r="CS166" s="616" t="str">
        <f>IF('School Profile'!$D$20="NO","",IF('Marks Entry'!AQ166="","",IF('Marks Entry'!AQ166=1,'School Profile'!$I$29,IF('Marks Entry'!AQ166=2,'School Profile'!$I$30,IF('Marks Entry'!AQ166=3,'School Profile'!$I$31,IF('Marks Entry'!AQ166=4,'School Profile'!$I$32,IF('Marks Entry'!AQ166=5,'School Profile'!$I$33,IF('Marks Entry'!AQ166=6,'School Profile'!$I$34,IF('Marks Entry'!AQ166=7,'School Profile'!$I$35,IF('Marks Entry'!AQ166=8,'School Profile'!$I$36,IF('Marks Entry'!AQ166=9,'School Profile'!$I$37,IF('Marks Entry'!AQ166=10,'School Profile'!$I$38,IF('Marks Entry'!AQ166=11,'School Profile'!$I$39,"")))))))))))))</f>
        <v/>
      </c>
      <c r="CT166" s="68" t="str">
        <f>IF('School Profile'!$D$20="NO","",IF('Marks Entry'!AR166="","",'Marks Entry'!AR166))</f>
        <v/>
      </c>
      <c r="CU166" s="68" t="str">
        <f>IF('School Profile'!$D$20="NO","",IF('Marks Entry'!AS166="","",'Marks Entry'!AS166))</f>
        <v/>
      </c>
      <c r="CV166" s="68" t="str">
        <f>IF('School Profile'!$D$20="NO","",IF('Marks Entry'!AT166="","",'Marks Entry'!AT166))</f>
        <v/>
      </c>
      <c r="CW166" s="514" t="str">
        <f>IF('School Profile'!$D$20="NO","",IF(AND(CT166="",CU166="",CV166=""),"",SUM(CT166:CV166)))</f>
        <v/>
      </c>
      <c r="CX166" s="68" t="str">
        <f>IF('School Profile'!$D$20="NO","",IF('Marks Entry'!AU166="","",'Marks Entry'!AU166))</f>
        <v/>
      </c>
      <c r="CY166" s="68" t="str">
        <f>IF('School Profile'!$D$20="NO","",IF('Marks Entry'!AV166="","",'Marks Entry'!AV166))</f>
        <v/>
      </c>
      <c r="CZ166" s="515" t="str">
        <f>IF('School Profile'!$D$20="NO","",IF(AND(CX166="",CY166=""),"",SUM(CX166,CY166)))</f>
        <v/>
      </c>
      <c r="DA166" s="69" t="str">
        <f>IF('School Profile'!$D$20="NO","",IF(AND(CW166="",CZ166=""),"",SUM(CW166+CZ166)))</f>
        <v/>
      </c>
      <c r="DB166" s="68" t="str">
        <f>IF('School Profile'!$D$20="NO","",IF('Marks Entry'!AW166="","",'Marks Entry'!AW166))</f>
        <v/>
      </c>
      <c r="DC166" s="68" t="str">
        <f>IF('School Profile'!$D$20="NO","",IF('Marks Entry'!AX166="","",'Marks Entry'!AX166))</f>
        <v/>
      </c>
      <c r="DD166" s="515" t="str">
        <f>IF('School Profile'!$D$20="NO","",IF(AND(DB166="",DC166=""),"",SUM(DB166,DC166)))</f>
        <v/>
      </c>
      <c r="DE166" s="96" t="str">
        <f>IF('School Profile'!$D$20="NO","",IF(AND(DA166="",DD166=""),"",SUM(DA166,DD166)))</f>
        <v/>
      </c>
      <c r="DF166" s="532">
        <f t="shared" si="387"/>
        <v>0</v>
      </c>
      <c r="DG166" s="65">
        <f t="shared" si="388"/>
        <v>0</v>
      </c>
      <c r="DH166" s="66" t="str">
        <f t="shared" si="389"/>
        <v/>
      </c>
      <c r="DI166" s="65" t="str">
        <f t="shared" si="390"/>
        <v/>
      </c>
      <c r="DJ166" s="65" t="str">
        <f t="shared" si="391"/>
        <v/>
      </c>
      <c r="DK166" s="65" t="str">
        <f t="shared" si="392"/>
        <v/>
      </c>
      <c r="DL166" s="97" t="str">
        <f t="shared" si="432"/>
        <v/>
      </c>
      <c r="DM166" s="97" t="str">
        <f t="shared" si="433"/>
        <v/>
      </c>
      <c r="DN166" s="97" t="str">
        <f t="shared" si="434"/>
        <v/>
      </c>
      <c r="DO166" s="97" t="str">
        <f t="shared" si="435"/>
        <v/>
      </c>
      <c r="DP166" s="97" t="str">
        <f t="shared" si="436"/>
        <v/>
      </c>
      <c r="DQ166" s="97" t="str">
        <f t="shared" si="437"/>
        <v/>
      </c>
      <c r="DR166" s="97" t="str">
        <f t="shared" si="438"/>
        <v/>
      </c>
      <c r="DS166" s="98">
        <f t="shared" si="439"/>
        <v>0</v>
      </c>
      <c r="DT166" s="98">
        <f t="shared" si="440"/>
        <v>0</v>
      </c>
      <c r="DU166" s="98">
        <f t="shared" si="441"/>
        <v>0</v>
      </c>
      <c r="DV166" s="98">
        <f t="shared" si="442"/>
        <v>0</v>
      </c>
      <c r="DW166" s="98">
        <f t="shared" si="443"/>
        <v>0</v>
      </c>
      <c r="DX166" s="98" t="str">
        <f t="shared" si="444"/>
        <v/>
      </c>
      <c r="DY166" s="99" t="str">
        <f t="shared" si="445"/>
        <v/>
      </c>
      <c r="DZ166" s="74" t="str">
        <f>IF('Marks Entry'!AY166="","",'Marks Entry'!AY166)</f>
        <v/>
      </c>
      <c r="EA166" s="74" t="str">
        <f>IF('Marks Entry'!AZ166="","",'Marks Entry'!AZ166)</f>
        <v/>
      </c>
      <c r="EB166" s="74" t="str">
        <f>IF('Marks Entry'!BA166="","",'Marks Entry'!BA166)</f>
        <v/>
      </c>
      <c r="EC166" s="527" t="str">
        <f t="shared" si="393"/>
        <v/>
      </c>
      <c r="ED166" s="74" t="str">
        <f>IF('Marks Entry'!BB166="","",'Marks Entry'!BB166)</f>
        <v/>
      </c>
      <c r="EE166" s="528" t="str">
        <f t="shared" si="394"/>
        <v/>
      </c>
      <c r="EF166" s="74" t="str">
        <f>IF('Marks Entry'!BC166="","",'Marks Entry'!BC166)</f>
        <v/>
      </c>
      <c r="EG166" s="530" t="str">
        <f t="shared" si="395"/>
        <v/>
      </c>
      <c r="EH166" s="368" t="str">
        <f t="shared" si="446"/>
        <v/>
      </c>
      <c r="EI166" s="65">
        <f t="shared" si="447"/>
        <v>0</v>
      </c>
      <c r="EJ166" s="65">
        <f t="shared" si="448"/>
        <v>0</v>
      </c>
      <c r="EK166" s="66" t="str">
        <f t="shared" si="449"/>
        <v/>
      </c>
      <c r="EL166" s="74" t="str">
        <f>IF('Marks Entry'!BD166="","",'Marks Entry'!BD166)</f>
        <v/>
      </c>
      <c r="EM166" s="74" t="str">
        <f>IF('Marks Entry'!BE166="","",'Marks Entry'!BE166)</f>
        <v/>
      </c>
      <c r="EN166" s="74" t="str">
        <f>IF('Marks Entry'!BF166="","",'Marks Entry'!BF166)</f>
        <v/>
      </c>
      <c r="EO166" s="527" t="str">
        <f t="shared" si="396"/>
        <v/>
      </c>
      <c r="EP166" s="74" t="str">
        <f>IF('Marks Entry'!BG166="","",'Marks Entry'!BG166)</f>
        <v/>
      </c>
      <c r="EQ166" s="74" t="str">
        <f>IF('Marks Entry'!BH166="","",'Marks Entry'!BH166)</f>
        <v/>
      </c>
      <c r="ER166" s="528" t="str">
        <f t="shared" si="397"/>
        <v/>
      </c>
      <c r="ES166" s="529" t="str">
        <f t="shared" si="398"/>
        <v/>
      </c>
      <c r="ET166" s="74" t="str">
        <f>IF('Marks Entry'!BI166="","",'Marks Entry'!BI166)</f>
        <v/>
      </c>
      <c r="EU166" s="74" t="str">
        <f>IF('Marks Entry'!BJ166="","",'Marks Entry'!BJ166)</f>
        <v/>
      </c>
      <c r="EV166" s="528" t="str">
        <f t="shared" si="399"/>
        <v/>
      </c>
      <c r="EW166" s="530" t="str">
        <f t="shared" si="400"/>
        <v/>
      </c>
      <c r="EX166" s="368" t="str">
        <f t="shared" si="450"/>
        <v/>
      </c>
      <c r="EY166" s="65">
        <f t="shared" si="451"/>
        <v>0</v>
      </c>
      <c r="EZ166" s="65">
        <f t="shared" si="452"/>
        <v>0</v>
      </c>
      <c r="FA166" s="66" t="str">
        <f t="shared" si="453"/>
        <v/>
      </c>
      <c r="FB166" s="74" t="str">
        <f>IF('Marks Entry'!BK166="","",'Marks Entry'!BK166)</f>
        <v/>
      </c>
      <c r="FC166" s="74" t="str">
        <f>IF('Marks Entry'!BL166="","",'Marks Entry'!BL166)</f>
        <v/>
      </c>
      <c r="FD166" s="74" t="str">
        <f>IF('Marks Entry'!BM166="","",'Marks Entry'!BM166)</f>
        <v/>
      </c>
      <c r="FE166" s="74" t="str">
        <f>IF('Marks Entry'!BN166="","",'Marks Entry'!BN166)</f>
        <v/>
      </c>
      <c r="FF166" s="74" t="str">
        <f>IF('Marks Entry'!BO166="","",'Marks Entry'!BO166)</f>
        <v/>
      </c>
      <c r="FG166" s="74" t="str">
        <f>IF('Marks Entry'!BP166="","",'Marks Entry'!BP166)</f>
        <v/>
      </c>
      <c r="FH166" s="527" t="str">
        <f t="shared" si="401"/>
        <v/>
      </c>
      <c r="FI166" s="74" t="str">
        <f>IF('Marks Entry'!BQ166="","",'Marks Entry'!BQ166)</f>
        <v/>
      </c>
      <c r="FJ166" s="74" t="str">
        <f>IF('Marks Entry'!BR166="","",'Marks Entry'!BR166)</f>
        <v/>
      </c>
      <c r="FK166" s="528" t="str">
        <f t="shared" si="402"/>
        <v/>
      </c>
      <c r="FL166" s="529" t="str">
        <f t="shared" si="403"/>
        <v/>
      </c>
      <c r="FM166" s="74" t="str">
        <f>IF('Marks Entry'!BS166="","",'Marks Entry'!BS166)</f>
        <v/>
      </c>
      <c r="FN166" s="74" t="str">
        <f>IF('Marks Entry'!BT166="","",'Marks Entry'!BT166)</f>
        <v/>
      </c>
      <c r="FO166" s="528" t="str">
        <f t="shared" si="404"/>
        <v/>
      </c>
      <c r="FP166" s="530" t="str">
        <f t="shared" si="405"/>
        <v/>
      </c>
      <c r="FQ166" s="368" t="str">
        <f t="shared" si="454"/>
        <v/>
      </c>
      <c r="FR166" s="65">
        <f t="shared" si="455"/>
        <v>0</v>
      </c>
      <c r="FS166" s="65">
        <f t="shared" si="456"/>
        <v>0</v>
      </c>
      <c r="FT166" s="66" t="str">
        <f t="shared" si="457"/>
        <v/>
      </c>
      <c r="FU166" s="74" t="str">
        <f>IF('Marks Entry'!BU166="","",'Marks Entry'!BU166)</f>
        <v/>
      </c>
      <c r="FV166" s="74" t="str">
        <f>IF('Marks Entry'!BV166="","",'Marks Entry'!BV166)</f>
        <v/>
      </c>
      <c r="FW166" s="74" t="str">
        <f>IF('Marks Entry'!BW166="","",'Marks Entry'!BW166)</f>
        <v/>
      </c>
      <c r="FX166" s="75" t="str">
        <f t="shared" si="406"/>
        <v/>
      </c>
      <c r="FY166" s="368" t="str">
        <f t="shared" si="458"/>
        <v/>
      </c>
      <c r="FZ166" s="65">
        <f t="shared" si="459"/>
        <v>0</v>
      </c>
      <c r="GA166" s="66">
        <f t="shared" si="460"/>
        <v>0</v>
      </c>
      <c r="GB166" s="66" t="str">
        <f t="shared" si="461"/>
        <v/>
      </c>
      <c r="GC166" s="74" t="str">
        <f>IF('Marks Entry'!BX166="","",'Marks Entry'!BX166)</f>
        <v/>
      </c>
      <c r="GD166" s="74" t="str">
        <f>IF('Marks Entry'!BY166="","",'Marks Entry'!BY166)</f>
        <v/>
      </c>
      <c r="GE166" s="74" t="str">
        <f>IF('Marks Entry'!BZ166="","",'Marks Entry'!BZ166)</f>
        <v/>
      </c>
      <c r="GF166" s="75" t="str">
        <f t="shared" si="462"/>
        <v/>
      </c>
      <c r="GG166" s="368" t="str">
        <f t="shared" si="463"/>
        <v/>
      </c>
      <c r="GH166" s="65">
        <f t="shared" si="464"/>
        <v>0</v>
      </c>
      <c r="GI166" s="66">
        <f t="shared" si="465"/>
        <v>0</v>
      </c>
      <c r="GJ166" s="66" t="str">
        <f t="shared" si="466"/>
        <v/>
      </c>
      <c r="GK166" s="100" t="str">
        <f>IF(AND(F166="",B166=""),"",IF('Student DATA Entry'!M163="","",'Student DATA Entry'!M163))</f>
        <v/>
      </c>
      <c r="GL166" s="101" t="str">
        <f>IF(AND(B166="",F166=""),"",IF('Student DATA Entry'!N163="","",'Student DATA Entry'!N163))</f>
        <v/>
      </c>
      <c r="GM166" s="581" t="str">
        <f t="shared" si="467"/>
        <v/>
      </c>
      <c r="GN166" s="94" t="str">
        <f t="shared" si="468"/>
        <v/>
      </c>
      <c r="GO166" s="94" t="str">
        <f t="shared" si="469"/>
        <v/>
      </c>
      <c r="GP166" s="102" t="str">
        <f t="shared" si="407"/>
        <v/>
      </c>
      <c r="GQ166" s="94" t="str">
        <f t="shared" si="470"/>
        <v/>
      </c>
      <c r="GR166" s="103" t="str">
        <f t="shared" si="471"/>
        <v/>
      </c>
      <c r="GS166" s="102" t="str">
        <f t="shared" si="408"/>
        <v/>
      </c>
      <c r="GT166" s="104" t="str">
        <f t="shared" si="472"/>
        <v/>
      </c>
      <c r="GU166" s="94" t="str">
        <f>IF('Marks Entry'!V166=1,GT166,"")</f>
        <v/>
      </c>
      <c r="GV166" s="94" t="str">
        <f>IF('Marks Entry'!V166=2,GT166,"")</f>
        <v/>
      </c>
      <c r="GW166" s="94" t="str">
        <f>IF('Marks Entry'!V166=3,GT166,"")</f>
        <v/>
      </c>
      <c r="GX166" s="94" t="str">
        <f>IF('Marks Entry'!V166=4,GT166,"")</f>
        <v/>
      </c>
      <c r="GY166" s="94" t="str">
        <f>IF('Marks Entry'!V166=5,GT166,"")</f>
        <v/>
      </c>
      <c r="GZ166" s="94" t="str">
        <f t="shared" si="473"/>
        <v/>
      </c>
      <c r="HA166" s="105" t="str">
        <f t="shared" si="409"/>
        <v/>
      </c>
      <c r="HB166" s="94" t="str">
        <f t="shared" si="474"/>
        <v/>
      </c>
      <c r="HC166" s="94" t="str">
        <f t="shared" si="475"/>
        <v/>
      </c>
      <c r="HD166" s="105" t="str">
        <f t="shared" si="410"/>
        <v/>
      </c>
      <c r="HE166" s="94" t="str">
        <f t="shared" si="476"/>
        <v/>
      </c>
      <c r="HF166" s="94" t="str">
        <f t="shared" si="477"/>
        <v/>
      </c>
      <c r="HG166" s="105" t="str">
        <f t="shared" si="411"/>
        <v/>
      </c>
      <c r="HH166" s="94" t="str">
        <f t="shared" si="478"/>
        <v/>
      </c>
      <c r="HI166" s="94" t="str">
        <f t="shared" si="479"/>
        <v/>
      </c>
      <c r="HJ166" s="105" t="str">
        <f t="shared" si="412"/>
        <v/>
      </c>
      <c r="HK166" s="94" t="str">
        <f t="shared" si="480"/>
        <v/>
      </c>
      <c r="HL166" s="94" t="str">
        <f t="shared" si="481"/>
        <v/>
      </c>
      <c r="HM166" s="105" t="str">
        <f t="shared" si="413"/>
        <v/>
      </c>
      <c r="HN166" s="367" t="str">
        <f t="shared" si="482"/>
        <v xml:space="preserve">      </v>
      </c>
      <c r="HO166" s="418" t="str">
        <f t="shared" si="414"/>
        <v xml:space="preserve">      </v>
      </c>
      <c r="HP166" s="367" t="str">
        <f t="shared" si="483"/>
        <v xml:space="preserve">      </v>
      </c>
      <c r="HQ166" s="107" t="str">
        <f t="shared" si="484"/>
        <v xml:space="preserve">      </v>
      </c>
      <c r="HR166" s="366" t="str">
        <f t="shared" si="485"/>
        <v xml:space="preserve">      </v>
      </c>
      <c r="HS166" s="544" t="str">
        <f t="shared" si="415"/>
        <v/>
      </c>
      <c r="HT166" s="542" t="str">
        <f t="shared" si="486"/>
        <v/>
      </c>
      <c r="HU166" s="541" t="str">
        <f t="shared" si="487"/>
        <v/>
      </c>
      <c r="HV166" s="540" t="str">
        <f t="shared" si="488"/>
        <v/>
      </c>
      <c r="HW166" s="537" t="str">
        <f t="shared" si="489"/>
        <v/>
      </c>
      <c r="HX166" s="539" t="str">
        <f t="shared" si="490"/>
        <v/>
      </c>
      <c r="HY166" s="553" t="str">
        <f>IFERROR(IF(OR(HS166="SUPPLEMENTARY",HS166="RE-EXAM"),'Supp. Result Entry'!AQ164,""),"")</f>
        <v/>
      </c>
      <c r="HZ166" s="538" t="str">
        <f t="shared" si="491"/>
        <v/>
      </c>
      <c r="IA166" s="415" t="str">
        <f t="shared" si="492"/>
        <v/>
      </c>
      <c r="IB166" s="415" t="str">
        <f>IF(AND(HZ166="",IA166=""),"",IF(OR(HS166="SUPPLEMENTARY",HS166="RE-EXAM"),'Supp. Result Entry'!AQ164,HS166))</f>
        <v/>
      </c>
      <c r="IC166" s="87"/>
      <c r="IS166" s="109" t="str">
        <f>IF('Supp. Result Entry'!T164="","",'Supp. Result Entry'!$T$4)</f>
        <v/>
      </c>
      <c r="IT166" s="110" t="str">
        <f>IF('Supp. Result Entry'!W164="","",'Supp. Result Entry'!$W$4)</f>
        <v/>
      </c>
      <c r="IU166" s="110" t="str">
        <f>IF('Supp. Result Entry'!Z164="","",'Supp. Result Entry'!$Z$4)</f>
        <v/>
      </c>
      <c r="IV166" s="110" t="str">
        <f>IF('Supp. Result Entry'!AC164="","",'Supp. Result Entry'!$AC$4)</f>
        <v/>
      </c>
      <c r="IW166" s="110" t="str">
        <f>IF('Supp. Result Entry'!AF164="","",'Supp. Result Entry'!$AF$4)</f>
        <v/>
      </c>
      <c r="IX166" s="110" t="str">
        <f>IF('Supp. Result Entry'!AI164="","",'Supp. Result Entry'!$AI$4)</f>
        <v/>
      </c>
      <c r="IY166" s="110" t="str">
        <f>IF('Supp. Result Entry'!AI164="","",'Supp. Result Entry'!$AL$4)</f>
        <v/>
      </c>
      <c r="IZ166" s="110" t="str">
        <f>IF('Supp. Result Entry'!U164="","",'Supp. Result Entry'!U164)</f>
        <v/>
      </c>
      <c r="JA166" s="110" t="str">
        <f>IF('Supp. Result Entry'!X164="","",'Supp. Result Entry'!X164)</f>
        <v/>
      </c>
      <c r="JB166" s="110" t="str">
        <f>IF('Supp. Result Entry'!AA164="","",'Supp. Result Entry'!AA164)</f>
        <v/>
      </c>
      <c r="JC166" s="110" t="str">
        <f>IF('Supp. Result Entry'!AD164="","",'Supp. Result Entry'!AD164)</f>
        <v/>
      </c>
      <c r="JD166" s="110" t="str">
        <f>IF('Supp. Result Entry'!AG164="","",'Supp. Result Entry'!AG164)</f>
        <v/>
      </c>
      <c r="JE166" s="110" t="str">
        <f>IF('Supp. Result Entry'!AJ164="","",'Supp. Result Entry'!AJ164)</f>
        <v/>
      </c>
      <c r="JF166" s="110" t="str">
        <f>IF('Supp. Result Entry'!AM164="","",'Supp. Result Entry'!AM164)</f>
        <v/>
      </c>
      <c r="JG166" s="110" t="str">
        <f>IF('Supp. Result Entry'!V164="","",'Supp. Result Entry'!V164)</f>
        <v/>
      </c>
      <c r="JH166" s="110" t="str">
        <f>IF('Supp. Result Entry'!Y164="","",'Supp. Result Entry'!Y164)</f>
        <v/>
      </c>
      <c r="JI166" s="110" t="str">
        <f>IF('Supp. Result Entry'!AB164="","",'Supp. Result Entry'!AB164)</f>
        <v/>
      </c>
      <c r="JJ166" s="110" t="str">
        <f>IF('Supp. Result Entry'!AE164="","",'Supp. Result Entry'!AE164)</f>
        <v/>
      </c>
      <c r="JK166" s="110" t="str">
        <f>IF('Supp. Result Entry'!AH164="","",'Supp. Result Entry'!AH164)</f>
        <v/>
      </c>
      <c r="JL166" s="110" t="str">
        <f>IF('Supp. Result Entry'!AK164="","",'Supp. Result Entry'!AK164)</f>
        <v/>
      </c>
      <c r="JM166" s="110" t="str">
        <f>IF('Supp. Result Entry'!AN164="","",'Supp. Result Entry'!AN164)</f>
        <v/>
      </c>
      <c r="JN166" s="110">
        <f>COUNTIF('Supp. Result Entry'!K164:Q164,"S")</f>
        <v>0</v>
      </c>
      <c r="JO166" s="110">
        <f t="shared" si="416"/>
        <v>0</v>
      </c>
      <c r="JP166" s="110">
        <f t="shared" si="493"/>
        <v>0</v>
      </c>
      <c r="JQ166" s="110" t="str">
        <f t="shared" si="417"/>
        <v/>
      </c>
      <c r="JR166" s="110" t="str">
        <f t="shared" si="418"/>
        <v/>
      </c>
      <c r="JS166" s="110" t="str">
        <f t="shared" si="419"/>
        <v/>
      </c>
      <c r="JT166" s="110" t="str">
        <f t="shared" si="420"/>
        <v/>
      </c>
      <c r="JU166" s="110" t="str">
        <f t="shared" si="421"/>
        <v/>
      </c>
      <c r="JV166" s="110" t="str">
        <f t="shared" si="422"/>
        <v/>
      </c>
      <c r="JW166" s="110" t="str">
        <f t="shared" si="423"/>
        <v/>
      </c>
      <c r="JX166" s="110" t="str">
        <f t="shared" si="494"/>
        <v/>
      </c>
      <c r="JY166" s="110" t="str">
        <f t="shared" si="495"/>
        <v/>
      </c>
      <c r="JZ166" s="110" t="str">
        <f t="shared" si="424"/>
        <v/>
      </c>
      <c r="KA166" s="108" t="str">
        <f t="shared" si="496"/>
        <v/>
      </c>
    </row>
    <row r="167" spans="1:287" s="108" customFormat="1" ht="21.95" customHeight="1">
      <c r="A167" s="89">
        <v>161</v>
      </c>
      <c r="B167" s="90" t="str">
        <f>IF('Marks Entry'!B167="","",'Marks Entry'!B167)</f>
        <v/>
      </c>
      <c r="C167" s="94" t="str">
        <f>IF('Marks Entry'!D167="","",'Marks Entry'!D167)</f>
        <v/>
      </c>
      <c r="D167" s="91" t="str">
        <f>IF('Marks Entry'!E167="","",'Marks Entry'!E167)</f>
        <v/>
      </c>
      <c r="E167" s="92" t="str">
        <f>IF('Marks Entry'!F167="","",'Marks Entry'!F167)</f>
        <v/>
      </c>
      <c r="F167" s="93" t="str">
        <f>IF('Marks Entry'!G167="","",'Marks Entry'!G167)</f>
        <v/>
      </c>
      <c r="G167" s="93" t="str">
        <f>IF('Marks Entry'!H167="","",'Marks Entry'!H167)</f>
        <v/>
      </c>
      <c r="H167" s="93" t="str">
        <f>IF('Marks Entry'!I167="","",'Marks Entry'!I167)</f>
        <v/>
      </c>
      <c r="I167" s="94" t="str">
        <f>IF('Marks Entry'!J167="","",'Marks Entry'!J167)</f>
        <v/>
      </c>
      <c r="J167" s="95" t="str">
        <f>IF('Marks Entry'!K167="","",'Marks Entry'!K167)</f>
        <v/>
      </c>
      <c r="K167" s="68" t="str">
        <f>IF('Marks Entry'!L167="","",'Marks Entry'!L167)</f>
        <v/>
      </c>
      <c r="L167" s="68" t="str">
        <f>IF('Marks Entry'!M167="","",'Marks Entry'!M167)</f>
        <v/>
      </c>
      <c r="M167" s="68" t="str">
        <f>IF('Marks Entry'!N167="","",'Marks Entry'!N167)</f>
        <v/>
      </c>
      <c r="N167" s="514" t="str">
        <f t="shared" si="425"/>
        <v/>
      </c>
      <c r="O167" s="68" t="str">
        <f>IF('Marks Entry'!O167="","",'Marks Entry'!O167)</f>
        <v/>
      </c>
      <c r="P167" s="515" t="str">
        <f t="shared" si="426"/>
        <v/>
      </c>
      <c r="Q167" s="68" t="str">
        <f>IF('Marks Entry'!P167="","",'Marks Entry'!P167)</f>
        <v/>
      </c>
      <c r="R167" s="96" t="str">
        <f t="shared" si="427"/>
        <v/>
      </c>
      <c r="S167" s="65">
        <f t="shared" si="428"/>
        <v>0</v>
      </c>
      <c r="T167" s="65">
        <f t="shared" si="429"/>
        <v>0</v>
      </c>
      <c r="U167" s="66" t="str">
        <f t="shared" si="339"/>
        <v/>
      </c>
      <c r="V167" s="65" t="str">
        <f t="shared" si="340"/>
        <v/>
      </c>
      <c r="W167" s="65" t="str">
        <f t="shared" si="430"/>
        <v/>
      </c>
      <c r="X167" s="65" t="str">
        <f t="shared" si="341"/>
        <v/>
      </c>
      <c r="Y167" s="68" t="str">
        <f>IF('Marks Entry'!Q167="","",'Marks Entry'!Q167)</f>
        <v/>
      </c>
      <c r="Z167" s="68" t="str">
        <f>IF('Marks Entry'!R167="","",'Marks Entry'!R167)</f>
        <v/>
      </c>
      <c r="AA167" s="68" t="str">
        <f>IF('Marks Entry'!S167="","",'Marks Entry'!S167)</f>
        <v/>
      </c>
      <c r="AB167" s="514" t="str">
        <f t="shared" si="342"/>
        <v/>
      </c>
      <c r="AC167" s="68" t="str">
        <f>IF('Marks Entry'!T167="","",'Marks Entry'!T167)</f>
        <v/>
      </c>
      <c r="AD167" s="515" t="str">
        <f t="shared" si="343"/>
        <v/>
      </c>
      <c r="AE167" s="68" t="str">
        <f>IF('Marks Entry'!U167="","",'Marks Entry'!U167)</f>
        <v/>
      </c>
      <c r="AF167" s="96" t="str">
        <f t="shared" si="344"/>
        <v/>
      </c>
      <c r="AG167" s="65">
        <f t="shared" si="345"/>
        <v>0</v>
      </c>
      <c r="AH167" s="65">
        <f t="shared" si="346"/>
        <v>0</v>
      </c>
      <c r="AI167" s="66" t="str">
        <f t="shared" si="347"/>
        <v/>
      </c>
      <c r="AJ167" s="65" t="str">
        <f t="shared" si="348"/>
        <v/>
      </c>
      <c r="AK167" s="65" t="str">
        <f t="shared" si="349"/>
        <v/>
      </c>
      <c r="AL167" s="65" t="str">
        <f t="shared" si="350"/>
        <v/>
      </c>
      <c r="AM167" s="524" t="str">
        <f>IF('Marks Entry'!V167="","",IF('Marks Entry'!V167=1,'School Profile'!$I$9,IF('Marks Entry'!V167=2,'School Profile'!$I$10,IF('Marks Entry'!V167=3,'School Profile'!$I$11,IF('Marks Entry'!V167=4,'School Profile'!$I$12,IF('Marks Entry'!V167=5,'School Profile'!$I$13,IF('Marks Entry'!V167=6,'School Profile'!$I$14,"")))))))</f>
        <v/>
      </c>
      <c r="AN167" s="68" t="str">
        <f>IF('Marks Entry'!W167="","",'Marks Entry'!W167)</f>
        <v/>
      </c>
      <c r="AO167" s="68" t="str">
        <f>IF('Marks Entry'!X167="","",'Marks Entry'!X167)</f>
        <v/>
      </c>
      <c r="AP167" s="68" t="str">
        <f>IF('Marks Entry'!Y167="","",'Marks Entry'!Y167)</f>
        <v/>
      </c>
      <c r="AQ167" s="514" t="str">
        <f t="shared" si="351"/>
        <v/>
      </c>
      <c r="AR167" s="68" t="str">
        <f>IF('Marks Entry'!Z167="","",'Marks Entry'!Z167)</f>
        <v/>
      </c>
      <c r="AS167" s="515" t="str">
        <f t="shared" si="352"/>
        <v/>
      </c>
      <c r="AT167" s="68" t="str">
        <f>IF('Marks Entry'!AA167="","",'Marks Entry'!AA167)</f>
        <v/>
      </c>
      <c r="AU167" s="96" t="str">
        <f t="shared" si="353"/>
        <v/>
      </c>
      <c r="AV167" s="65">
        <f t="shared" si="354"/>
        <v>0</v>
      </c>
      <c r="AW167" s="65">
        <f t="shared" si="355"/>
        <v>0</v>
      </c>
      <c r="AX167" s="66" t="str">
        <f t="shared" si="356"/>
        <v/>
      </c>
      <c r="AY167" s="65" t="str">
        <f t="shared" si="357"/>
        <v/>
      </c>
      <c r="AZ167" s="65" t="str">
        <f t="shared" si="358"/>
        <v/>
      </c>
      <c r="BA167" s="65" t="str">
        <f t="shared" si="359"/>
        <v/>
      </c>
      <c r="BB167" s="68" t="str">
        <f>IF('Marks Entry'!AB167="","",'Marks Entry'!AB167)</f>
        <v/>
      </c>
      <c r="BC167" s="68" t="str">
        <f>IF('Marks Entry'!AC167="","",'Marks Entry'!AC167)</f>
        <v/>
      </c>
      <c r="BD167" s="68" t="str">
        <f>IF('Marks Entry'!AD167="","",'Marks Entry'!AD167)</f>
        <v/>
      </c>
      <c r="BE167" s="514" t="str">
        <f t="shared" si="360"/>
        <v/>
      </c>
      <c r="BF167" s="68" t="str">
        <f>IF('Marks Entry'!AE167="","",'Marks Entry'!AE167)</f>
        <v/>
      </c>
      <c r="BG167" s="515" t="str">
        <f t="shared" si="361"/>
        <v/>
      </c>
      <c r="BH167" s="68" t="str">
        <f>IF('Marks Entry'!AF167="","",'Marks Entry'!AF167)</f>
        <v/>
      </c>
      <c r="BI167" s="96" t="str">
        <f t="shared" si="362"/>
        <v/>
      </c>
      <c r="BJ167" s="65">
        <f t="shared" si="363"/>
        <v>0</v>
      </c>
      <c r="BK167" s="65">
        <f t="shared" si="431"/>
        <v>0</v>
      </c>
      <c r="BL167" s="66" t="str">
        <f t="shared" si="364"/>
        <v/>
      </c>
      <c r="BM167" s="65" t="str">
        <f t="shared" si="365"/>
        <v/>
      </c>
      <c r="BN167" s="65" t="str">
        <f t="shared" si="366"/>
        <v/>
      </c>
      <c r="BO167" s="65" t="str">
        <f t="shared" si="367"/>
        <v/>
      </c>
      <c r="BP167" s="68" t="str">
        <f>IF('Marks Entry'!AG167="","",'Marks Entry'!AG167)</f>
        <v/>
      </c>
      <c r="BQ167" s="68" t="str">
        <f>IF('Marks Entry'!AH167="","",'Marks Entry'!AH167)</f>
        <v/>
      </c>
      <c r="BR167" s="68" t="str">
        <f>IF('Marks Entry'!AI167="","",'Marks Entry'!AI167)</f>
        <v/>
      </c>
      <c r="BS167" s="514" t="str">
        <f t="shared" si="368"/>
        <v/>
      </c>
      <c r="BT167" s="68" t="str">
        <f>IF('Marks Entry'!AJ167="","",'Marks Entry'!AJ167)</f>
        <v/>
      </c>
      <c r="BU167" s="515" t="str">
        <f t="shared" si="369"/>
        <v/>
      </c>
      <c r="BV167" s="68" t="str">
        <f>IF('Marks Entry'!AK167="","",'Marks Entry'!AK167)</f>
        <v/>
      </c>
      <c r="BW167" s="96" t="str">
        <f t="shared" si="370"/>
        <v/>
      </c>
      <c r="BX167" s="65">
        <f t="shared" si="371"/>
        <v>0</v>
      </c>
      <c r="BY167" s="65">
        <f t="shared" si="372"/>
        <v>0</v>
      </c>
      <c r="BZ167" s="66" t="str">
        <f t="shared" si="373"/>
        <v/>
      </c>
      <c r="CA167" s="65" t="str">
        <f t="shared" si="374"/>
        <v/>
      </c>
      <c r="CB167" s="65" t="str">
        <f t="shared" si="375"/>
        <v/>
      </c>
      <c r="CC167" s="65" t="str">
        <f t="shared" si="376"/>
        <v/>
      </c>
      <c r="CD167" s="66">
        <f t="shared" ref="CD167:CD198" si="497">SUM(S167,T167,AG167,AH167,AV167,AW167,BJ167,BK167,BX167,BY167,CM167,CN167)</f>
        <v>0</v>
      </c>
      <c r="CE167" s="68" t="str">
        <f>IF('Marks Entry'!AL167="","",'Marks Entry'!AL167)</f>
        <v/>
      </c>
      <c r="CF167" s="68" t="str">
        <f>IF('Marks Entry'!AM167="","",'Marks Entry'!AM167)</f>
        <v/>
      </c>
      <c r="CG167" s="68" t="str">
        <f>IF('Marks Entry'!AN167="","",'Marks Entry'!AN167)</f>
        <v/>
      </c>
      <c r="CH167" s="514" t="str">
        <f t="shared" si="378"/>
        <v/>
      </c>
      <c r="CI167" s="68" t="str">
        <f>IF('Marks Entry'!AO167="","",'Marks Entry'!AO167)</f>
        <v/>
      </c>
      <c r="CJ167" s="515" t="str">
        <f t="shared" si="379"/>
        <v/>
      </c>
      <c r="CK167" s="68" t="str">
        <f>IF('Marks Entry'!AP167="","",'Marks Entry'!AP167)</f>
        <v/>
      </c>
      <c r="CL167" s="96" t="str">
        <f t="shared" si="380"/>
        <v/>
      </c>
      <c r="CM167" s="65">
        <f t="shared" si="381"/>
        <v>0</v>
      </c>
      <c r="CN167" s="65">
        <f t="shared" si="382"/>
        <v>0</v>
      </c>
      <c r="CO167" s="66" t="str">
        <f t="shared" si="383"/>
        <v/>
      </c>
      <c r="CP167" s="65" t="str">
        <f t="shared" si="384"/>
        <v/>
      </c>
      <c r="CQ167" s="65" t="str">
        <f t="shared" si="385"/>
        <v/>
      </c>
      <c r="CR167" s="65" t="str">
        <f t="shared" si="386"/>
        <v/>
      </c>
      <c r="CS167" s="616" t="str">
        <f>IF('School Profile'!$D$20="NO","",IF('Marks Entry'!AQ167="","",IF('Marks Entry'!AQ167=1,'School Profile'!$I$29,IF('Marks Entry'!AQ167=2,'School Profile'!$I$30,IF('Marks Entry'!AQ167=3,'School Profile'!$I$31,IF('Marks Entry'!AQ167=4,'School Profile'!$I$32,IF('Marks Entry'!AQ167=5,'School Profile'!$I$33,IF('Marks Entry'!AQ167=6,'School Profile'!$I$34,IF('Marks Entry'!AQ167=7,'School Profile'!$I$35,IF('Marks Entry'!AQ167=8,'School Profile'!$I$36,IF('Marks Entry'!AQ167=9,'School Profile'!$I$37,IF('Marks Entry'!AQ167=10,'School Profile'!$I$38,IF('Marks Entry'!AQ167=11,'School Profile'!$I$39,"")))))))))))))</f>
        <v/>
      </c>
      <c r="CT167" s="68" t="str">
        <f>IF('School Profile'!$D$20="NO","",IF('Marks Entry'!AR167="","",'Marks Entry'!AR167))</f>
        <v/>
      </c>
      <c r="CU167" s="68" t="str">
        <f>IF('School Profile'!$D$20="NO","",IF('Marks Entry'!AS167="","",'Marks Entry'!AS167))</f>
        <v/>
      </c>
      <c r="CV167" s="68" t="str">
        <f>IF('School Profile'!$D$20="NO","",IF('Marks Entry'!AT167="","",'Marks Entry'!AT167))</f>
        <v/>
      </c>
      <c r="CW167" s="514" t="str">
        <f>IF('School Profile'!$D$20="NO","",IF(AND(CT167="",CU167="",CV167=""),"",SUM(CT167:CV167)))</f>
        <v/>
      </c>
      <c r="CX167" s="68" t="str">
        <f>IF('School Profile'!$D$20="NO","",IF('Marks Entry'!AU167="","",'Marks Entry'!AU167))</f>
        <v/>
      </c>
      <c r="CY167" s="68" t="str">
        <f>IF('School Profile'!$D$20="NO","",IF('Marks Entry'!AV167="","",'Marks Entry'!AV167))</f>
        <v/>
      </c>
      <c r="CZ167" s="515" t="str">
        <f>IF('School Profile'!$D$20="NO","",IF(AND(CX167="",CY167=""),"",SUM(CX167,CY167)))</f>
        <v/>
      </c>
      <c r="DA167" s="69" t="str">
        <f>IF('School Profile'!$D$20="NO","",IF(AND(CW167="",CZ167=""),"",SUM(CW167+CZ167)))</f>
        <v/>
      </c>
      <c r="DB167" s="68" t="str">
        <f>IF('School Profile'!$D$20="NO","",IF('Marks Entry'!AW167="","",'Marks Entry'!AW167))</f>
        <v/>
      </c>
      <c r="DC167" s="68" t="str">
        <f>IF('School Profile'!$D$20="NO","",IF('Marks Entry'!AX167="","",'Marks Entry'!AX167))</f>
        <v/>
      </c>
      <c r="DD167" s="515" t="str">
        <f>IF('School Profile'!$D$20="NO","",IF(AND(DB167="",DC167=""),"",SUM(DB167,DC167)))</f>
        <v/>
      </c>
      <c r="DE167" s="96" t="str">
        <f>IF('School Profile'!$D$20="NO","",IF(AND(DA167="",DD167=""),"",SUM(DA167,DD167)))</f>
        <v/>
      </c>
      <c r="DF167" s="532">
        <f t="shared" si="387"/>
        <v>0</v>
      </c>
      <c r="DG167" s="65">
        <f t="shared" si="388"/>
        <v>0</v>
      </c>
      <c r="DH167" s="66" t="str">
        <f t="shared" si="389"/>
        <v/>
      </c>
      <c r="DI167" s="65" t="str">
        <f t="shared" si="390"/>
        <v/>
      </c>
      <c r="DJ167" s="65" t="str">
        <f t="shared" si="391"/>
        <v/>
      </c>
      <c r="DK167" s="65" t="str">
        <f t="shared" si="392"/>
        <v/>
      </c>
      <c r="DL167" s="97" t="str">
        <f t="shared" si="432"/>
        <v/>
      </c>
      <c r="DM167" s="97" t="str">
        <f t="shared" si="433"/>
        <v/>
      </c>
      <c r="DN167" s="97" t="str">
        <f t="shared" si="434"/>
        <v/>
      </c>
      <c r="DO167" s="97" t="str">
        <f t="shared" si="435"/>
        <v/>
      </c>
      <c r="DP167" s="97" t="str">
        <f t="shared" si="436"/>
        <v/>
      </c>
      <c r="DQ167" s="97" t="str">
        <f t="shared" si="437"/>
        <v/>
      </c>
      <c r="DR167" s="97" t="str">
        <f t="shared" si="438"/>
        <v/>
      </c>
      <c r="DS167" s="98">
        <f t="shared" si="439"/>
        <v>0</v>
      </c>
      <c r="DT167" s="98">
        <f t="shared" si="440"/>
        <v>0</v>
      </c>
      <c r="DU167" s="98">
        <f t="shared" si="441"/>
        <v>0</v>
      </c>
      <c r="DV167" s="98">
        <f t="shared" si="442"/>
        <v>0</v>
      </c>
      <c r="DW167" s="98">
        <f t="shared" si="443"/>
        <v>0</v>
      </c>
      <c r="DX167" s="98" t="str">
        <f t="shared" si="444"/>
        <v/>
      </c>
      <c r="DY167" s="99" t="str">
        <f t="shared" si="445"/>
        <v/>
      </c>
      <c r="DZ167" s="74" t="str">
        <f>IF('Marks Entry'!AY167="","",'Marks Entry'!AY167)</f>
        <v/>
      </c>
      <c r="EA167" s="74" t="str">
        <f>IF('Marks Entry'!AZ167="","",'Marks Entry'!AZ167)</f>
        <v/>
      </c>
      <c r="EB167" s="74" t="str">
        <f>IF('Marks Entry'!BA167="","",'Marks Entry'!BA167)</f>
        <v/>
      </c>
      <c r="EC167" s="527" t="str">
        <f t="shared" si="393"/>
        <v/>
      </c>
      <c r="ED167" s="74" t="str">
        <f>IF('Marks Entry'!BB167="","",'Marks Entry'!BB167)</f>
        <v/>
      </c>
      <c r="EE167" s="528" t="str">
        <f t="shared" si="394"/>
        <v/>
      </c>
      <c r="EF167" s="74" t="str">
        <f>IF('Marks Entry'!BC167="","",'Marks Entry'!BC167)</f>
        <v/>
      </c>
      <c r="EG167" s="530" t="str">
        <f t="shared" si="395"/>
        <v/>
      </c>
      <c r="EH167" s="368" t="str">
        <f t="shared" si="446"/>
        <v/>
      </c>
      <c r="EI167" s="65">
        <f t="shared" si="447"/>
        <v>0</v>
      </c>
      <c r="EJ167" s="65">
        <f t="shared" si="448"/>
        <v>0</v>
      </c>
      <c r="EK167" s="66" t="str">
        <f t="shared" si="449"/>
        <v/>
      </c>
      <c r="EL167" s="74" t="str">
        <f>IF('Marks Entry'!BD167="","",'Marks Entry'!BD167)</f>
        <v/>
      </c>
      <c r="EM167" s="74" t="str">
        <f>IF('Marks Entry'!BE167="","",'Marks Entry'!BE167)</f>
        <v/>
      </c>
      <c r="EN167" s="74" t="str">
        <f>IF('Marks Entry'!BF167="","",'Marks Entry'!BF167)</f>
        <v/>
      </c>
      <c r="EO167" s="527" t="str">
        <f t="shared" si="396"/>
        <v/>
      </c>
      <c r="EP167" s="74" t="str">
        <f>IF('Marks Entry'!BG167="","",'Marks Entry'!BG167)</f>
        <v/>
      </c>
      <c r="EQ167" s="74" t="str">
        <f>IF('Marks Entry'!BH167="","",'Marks Entry'!BH167)</f>
        <v/>
      </c>
      <c r="ER167" s="528" t="str">
        <f t="shared" si="397"/>
        <v/>
      </c>
      <c r="ES167" s="529" t="str">
        <f t="shared" si="398"/>
        <v/>
      </c>
      <c r="ET167" s="74" t="str">
        <f>IF('Marks Entry'!BI167="","",'Marks Entry'!BI167)</f>
        <v/>
      </c>
      <c r="EU167" s="74" t="str">
        <f>IF('Marks Entry'!BJ167="","",'Marks Entry'!BJ167)</f>
        <v/>
      </c>
      <c r="EV167" s="528" t="str">
        <f t="shared" si="399"/>
        <v/>
      </c>
      <c r="EW167" s="530" t="str">
        <f t="shared" si="400"/>
        <v/>
      </c>
      <c r="EX167" s="368" t="str">
        <f t="shared" si="450"/>
        <v/>
      </c>
      <c r="EY167" s="65">
        <f t="shared" si="451"/>
        <v>0</v>
      </c>
      <c r="EZ167" s="65">
        <f t="shared" si="452"/>
        <v>0</v>
      </c>
      <c r="FA167" s="66" t="str">
        <f t="shared" si="453"/>
        <v/>
      </c>
      <c r="FB167" s="74" t="str">
        <f>IF('Marks Entry'!BK167="","",'Marks Entry'!BK167)</f>
        <v/>
      </c>
      <c r="FC167" s="74" t="str">
        <f>IF('Marks Entry'!BL167="","",'Marks Entry'!BL167)</f>
        <v/>
      </c>
      <c r="FD167" s="74" t="str">
        <f>IF('Marks Entry'!BM167="","",'Marks Entry'!BM167)</f>
        <v/>
      </c>
      <c r="FE167" s="74" t="str">
        <f>IF('Marks Entry'!BN167="","",'Marks Entry'!BN167)</f>
        <v/>
      </c>
      <c r="FF167" s="74" t="str">
        <f>IF('Marks Entry'!BO167="","",'Marks Entry'!BO167)</f>
        <v/>
      </c>
      <c r="FG167" s="74" t="str">
        <f>IF('Marks Entry'!BP167="","",'Marks Entry'!BP167)</f>
        <v/>
      </c>
      <c r="FH167" s="527" t="str">
        <f t="shared" si="401"/>
        <v/>
      </c>
      <c r="FI167" s="74" t="str">
        <f>IF('Marks Entry'!BQ167="","",'Marks Entry'!BQ167)</f>
        <v/>
      </c>
      <c r="FJ167" s="74" t="str">
        <f>IF('Marks Entry'!BR167="","",'Marks Entry'!BR167)</f>
        <v/>
      </c>
      <c r="FK167" s="528" t="str">
        <f t="shared" si="402"/>
        <v/>
      </c>
      <c r="FL167" s="529" t="str">
        <f t="shared" si="403"/>
        <v/>
      </c>
      <c r="FM167" s="74" t="str">
        <f>IF('Marks Entry'!BS167="","",'Marks Entry'!BS167)</f>
        <v/>
      </c>
      <c r="FN167" s="74" t="str">
        <f>IF('Marks Entry'!BT167="","",'Marks Entry'!BT167)</f>
        <v/>
      </c>
      <c r="FO167" s="528" t="str">
        <f t="shared" si="404"/>
        <v/>
      </c>
      <c r="FP167" s="530" t="str">
        <f t="shared" si="405"/>
        <v/>
      </c>
      <c r="FQ167" s="368" t="str">
        <f t="shared" si="454"/>
        <v/>
      </c>
      <c r="FR167" s="65">
        <f t="shared" si="455"/>
        <v>0</v>
      </c>
      <c r="FS167" s="65">
        <f t="shared" si="456"/>
        <v>0</v>
      </c>
      <c r="FT167" s="66" t="str">
        <f t="shared" si="457"/>
        <v/>
      </c>
      <c r="FU167" s="74" t="str">
        <f>IF('Marks Entry'!BU167="","",'Marks Entry'!BU167)</f>
        <v/>
      </c>
      <c r="FV167" s="74" t="str">
        <f>IF('Marks Entry'!BV167="","",'Marks Entry'!BV167)</f>
        <v/>
      </c>
      <c r="FW167" s="74" t="str">
        <f>IF('Marks Entry'!BW167="","",'Marks Entry'!BW167)</f>
        <v/>
      </c>
      <c r="FX167" s="75" t="str">
        <f t="shared" si="406"/>
        <v/>
      </c>
      <c r="FY167" s="368" t="str">
        <f t="shared" si="458"/>
        <v/>
      </c>
      <c r="FZ167" s="65">
        <f t="shared" si="459"/>
        <v>0</v>
      </c>
      <c r="GA167" s="66">
        <f t="shared" si="460"/>
        <v>0</v>
      </c>
      <c r="GB167" s="66" t="str">
        <f t="shared" si="461"/>
        <v/>
      </c>
      <c r="GC167" s="74" t="str">
        <f>IF('Marks Entry'!BX167="","",'Marks Entry'!BX167)</f>
        <v/>
      </c>
      <c r="GD167" s="74" t="str">
        <f>IF('Marks Entry'!BY167="","",'Marks Entry'!BY167)</f>
        <v/>
      </c>
      <c r="GE167" s="74" t="str">
        <f>IF('Marks Entry'!BZ167="","",'Marks Entry'!BZ167)</f>
        <v/>
      </c>
      <c r="GF167" s="75" t="str">
        <f t="shared" si="462"/>
        <v/>
      </c>
      <c r="GG167" s="368" t="str">
        <f t="shared" si="463"/>
        <v/>
      </c>
      <c r="GH167" s="65">
        <f t="shared" si="464"/>
        <v>0</v>
      </c>
      <c r="GI167" s="66">
        <f t="shared" si="465"/>
        <v>0</v>
      </c>
      <c r="GJ167" s="66" t="str">
        <f t="shared" si="466"/>
        <v/>
      </c>
      <c r="GK167" s="100" t="str">
        <f>IF(AND(F167="",B167=""),"",IF('Student DATA Entry'!M164="","",'Student DATA Entry'!M164))</f>
        <v/>
      </c>
      <c r="GL167" s="101" t="str">
        <f>IF(AND(B167="",F167=""),"",IF('Student DATA Entry'!N164="","",'Student DATA Entry'!N164))</f>
        <v/>
      </c>
      <c r="GM167" s="581" t="str">
        <f t="shared" si="467"/>
        <v/>
      </c>
      <c r="GN167" s="94" t="str">
        <f t="shared" si="468"/>
        <v/>
      </c>
      <c r="GO167" s="94" t="str">
        <f t="shared" si="469"/>
        <v/>
      </c>
      <c r="GP167" s="102" t="str">
        <f t="shared" ref="GP167:GP198" si="498">IF(GN167="G",ROUNDUP(36%*U167-R167,0),"")</f>
        <v/>
      </c>
      <c r="GQ167" s="94" t="str">
        <f t="shared" si="470"/>
        <v/>
      </c>
      <c r="GR167" s="103" t="str">
        <f t="shared" si="471"/>
        <v/>
      </c>
      <c r="GS167" s="102" t="str">
        <f t="shared" ref="GS167:GS198" si="499">IF(GQ167="G",ROUNDUP(36%*AI167-AF167,0),"")</f>
        <v/>
      </c>
      <c r="GT167" s="104" t="str">
        <f t="shared" si="472"/>
        <v/>
      </c>
      <c r="GU167" s="94" t="str">
        <f>IF('Marks Entry'!V167=1,GT167,"")</f>
        <v/>
      </c>
      <c r="GV167" s="94" t="str">
        <f>IF('Marks Entry'!V167=2,GT167,"")</f>
        <v/>
      </c>
      <c r="GW167" s="94" t="str">
        <f>IF('Marks Entry'!V167=3,GT167,"")</f>
        <v/>
      </c>
      <c r="GX167" s="94" t="str">
        <f>IF('Marks Entry'!V167=4,GT167,"")</f>
        <v/>
      </c>
      <c r="GY167" s="94" t="str">
        <f>IF('Marks Entry'!V167=5,GT167,"")</f>
        <v/>
      </c>
      <c r="GZ167" s="94" t="str">
        <f t="shared" si="473"/>
        <v/>
      </c>
      <c r="HA167" s="105" t="str">
        <f t="shared" ref="HA167:HA198" si="500">IF(GT167="G",ROUNDUP(36%*AX167-AU167,0),"")</f>
        <v/>
      </c>
      <c r="HB167" s="94" t="str">
        <f t="shared" si="474"/>
        <v/>
      </c>
      <c r="HC167" s="94" t="str">
        <f t="shared" si="475"/>
        <v/>
      </c>
      <c r="HD167" s="105" t="str">
        <f t="shared" ref="HD167:HD198" si="501">IF(HB167="G",ROUNDUP(36%*BL167-BI167,0),"")</f>
        <v/>
      </c>
      <c r="HE167" s="94" t="str">
        <f t="shared" si="476"/>
        <v/>
      </c>
      <c r="HF167" s="94" t="str">
        <f t="shared" si="477"/>
        <v/>
      </c>
      <c r="HG167" s="105" t="str">
        <f t="shared" ref="HG167:HG198" si="502">IF(HE167="G",ROUNDUP(36%*BZ167-BW167,0),"")</f>
        <v/>
      </c>
      <c r="HH167" s="94" t="str">
        <f t="shared" si="478"/>
        <v/>
      </c>
      <c r="HI167" s="94" t="str">
        <f t="shared" si="479"/>
        <v/>
      </c>
      <c r="HJ167" s="105" t="str">
        <f t="shared" ref="HJ167:HJ198" si="503">IF(HH167="G",ROUNDUP(36%*CO167-CL167,0),"")</f>
        <v/>
      </c>
      <c r="HK167" s="94" t="str">
        <f t="shared" si="480"/>
        <v/>
      </c>
      <c r="HL167" s="94" t="str">
        <f t="shared" si="481"/>
        <v/>
      </c>
      <c r="HM167" s="105" t="str">
        <f t="shared" ref="HM167:HM198" si="504">IF(HK167="G",ROUNDUP(36%*DH167-DE167,0),"")</f>
        <v/>
      </c>
      <c r="HN167" s="367" t="str">
        <f t="shared" si="482"/>
        <v xml:space="preserve">      </v>
      </c>
      <c r="HO167" s="418" t="str">
        <f t="shared" ref="HO167:HO198" si="505">IF(COUNTIF(DL167:DR167,"F")&gt;0,"",CONCATENATE(IF(GN167="S",$GN$5,"")," ",IF(GQ167="S",$GQ$5,"")," ",IF(GU167="S",$GU$5,IF(GV167="S",$GV$5,IF(GW167="S",$GW$5,IF(GX167="S",$GX$5,IF(GY167="S",$GY$5,"")))))," ",IF(HB167="S",$HB$5,"")," ",IF(HE167="S",$HE$5,"")," ",IF(HH167="S",$HH$5,"")," ",IF(HK167="S",$HK$5,"")))</f>
        <v xml:space="preserve">      </v>
      </c>
      <c r="HP167" s="367" t="str">
        <f t="shared" si="483"/>
        <v xml:space="preserve">      </v>
      </c>
      <c r="HQ167" s="107" t="str">
        <f t="shared" si="484"/>
        <v xml:space="preserve">      </v>
      </c>
      <c r="HR167" s="366" t="str">
        <f t="shared" si="485"/>
        <v xml:space="preserve">      </v>
      </c>
      <c r="HS167" s="544" t="str">
        <f t="shared" ref="HS167:HS198" si="506">IF(B167="NSO","NSO",IF(AND(OR(DY167="PASS",DY167="BY GRACE PASS",DY167="RE-EXAM"),DX167="F"),"FAIL",IF(AND(OR(DY167="PASS",DY167="BY GRACE PASS"),DX167="RE"),"RE-EXAM",DY167)))</f>
        <v/>
      </c>
      <c r="HT167" s="542" t="str">
        <f t="shared" si="486"/>
        <v/>
      </c>
      <c r="HU167" s="541" t="str">
        <f t="shared" si="487"/>
        <v/>
      </c>
      <c r="HV167" s="540" t="str">
        <f t="shared" si="488"/>
        <v/>
      </c>
      <c r="HW167" s="537" t="str">
        <f t="shared" si="489"/>
        <v/>
      </c>
      <c r="HX167" s="539" t="str">
        <f t="shared" si="490"/>
        <v/>
      </c>
      <c r="HY167" s="553" t="str">
        <f>IFERROR(IF(OR(HS167="SUPPLEMENTARY",HS167="RE-EXAM"),'Supp. Result Entry'!AQ165,""),"")</f>
        <v/>
      </c>
      <c r="HZ167" s="538" t="str">
        <f t="shared" si="491"/>
        <v/>
      </c>
      <c r="IA167" s="415" t="str">
        <f t="shared" si="492"/>
        <v/>
      </c>
      <c r="IB167" s="415" t="str">
        <f>IF(AND(HZ167="",IA167=""),"",IF(OR(HS167="SUPPLEMENTARY",HS167="RE-EXAM"),'Supp. Result Entry'!AQ165,HS167))</f>
        <v/>
      </c>
      <c r="IC167" s="87"/>
      <c r="IS167" s="109" t="str">
        <f>IF('Supp. Result Entry'!T165="","",'Supp. Result Entry'!$T$4)</f>
        <v/>
      </c>
      <c r="IT167" s="110" t="str">
        <f>IF('Supp. Result Entry'!W165="","",'Supp. Result Entry'!$W$4)</f>
        <v/>
      </c>
      <c r="IU167" s="110" t="str">
        <f>IF('Supp. Result Entry'!Z165="","",'Supp. Result Entry'!$Z$4)</f>
        <v/>
      </c>
      <c r="IV167" s="110" t="str">
        <f>IF('Supp. Result Entry'!AC165="","",'Supp. Result Entry'!$AC$4)</f>
        <v/>
      </c>
      <c r="IW167" s="110" t="str">
        <f>IF('Supp. Result Entry'!AF165="","",'Supp. Result Entry'!$AF$4)</f>
        <v/>
      </c>
      <c r="IX167" s="110" t="str">
        <f>IF('Supp. Result Entry'!AI165="","",'Supp. Result Entry'!$AI$4)</f>
        <v/>
      </c>
      <c r="IY167" s="110" t="str">
        <f>IF('Supp. Result Entry'!AI165="","",'Supp. Result Entry'!$AL$4)</f>
        <v/>
      </c>
      <c r="IZ167" s="110" t="str">
        <f>IF('Supp. Result Entry'!U165="","",'Supp. Result Entry'!U165)</f>
        <v/>
      </c>
      <c r="JA167" s="110" t="str">
        <f>IF('Supp. Result Entry'!X165="","",'Supp. Result Entry'!X165)</f>
        <v/>
      </c>
      <c r="JB167" s="110" t="str">
        <f>IF('Supp. Result Entry'!AA165="","",'Supp. Result Entry'!AA165)</f>
        <v/>
      </c>
      <c r="JC167" s="110" t="str">
        <f>IF('Supp. Result Entry'!AD165="","",'Supp. Result Entry'!AD165)</f>
        <v/>
      </c>
      <c r="JD167" s="110" t="str">
        <f>IF('Supp. Result Entry'!AG165="","",'Supp. Result Entry'!AG165)</f>
        <v/>
      </c>
      <c r="JE167" s="110" t="str">
        <f>IF('Supp. Result Entry'!AJ165="","",'Supp. Result Entry'!AJ165)</f>
        <v/>
      </c>
      <c r="JF167" s="110" t="str">
        <f>IF('Supp. Result Entry'!AM165="","",'Supp. Result Entry'!AM165)</f>
        <v/>
      </c>
      <c r="JG167" s="110" t="str">
        <f>IF('Supp. Result Entry'!V165="","",'Supp. Result Entry'!V165)</f>
        <v/>
      </c>
      <c r="JH167" s="110" t="str">
        <f>IF('Supp. Result Entry'!Y165="","",'Supp. Result Entry'!Y165)</f>
        <v/>
      </c>
      <c r="JI167" s="110" t="str">
        <f>IF('Supp. Result Entry'!AB165="","",'Supp. Result Entry'!AB165)</f>
        <v/>
      </c>
      <c r="JJ167" s="110" t="str">
        <f>IF('Supp. Result Entry'!AE165="","",'Supp. Result Entry'!AE165)</f>
        <v/>
      </c>
      <c r="JK167" s="110" t="str">
        <f>IF('Supp. Result Entry'!AH165="","",'Supp. Result Entry'!AH165)</f>
        <v/>
      </c>
      <c r="JL167" s="110" t="str">
        <f>IF('Supp. Result Entry'!AK165="","",'Supp. Result Entry'!AK165)</f>
        <v/>
      </c>
      <c r="JM167" s="110" t="str">
        <f>IF('Supp. Result Entry'!AN165="","",'Supp. Result Entry'!AN165)</f>
        <v/>
      </c>
      <c r="JN167" s="110">
        <f>COUNTIF('Supp. Result Entry'!K165:Q165,"S")</f>
        <v>0</v>
      </c>
      <c r="JO167" s="110">
        <f t="shared" si="416"/>
        <v>0</v>
      </c>
      <c r="JP167" s="110">
        <f t="shared" si="493"/>
        <v>0</v>
      </c>
      <c r="JQ167" s="110" t="str">
        <f t="shared" si="417"/>
        <v/>
      </c>
      <c r="JR167" s="110" t="str">
        <f t="shared" si="418"/>
        <v/>
      </c>
      <c r="JS167" s="110" t="str">
        <f t="shared" si="419"/>
        <v/>
      </c>
      <c r="JT167" s="110" t="str">
        <f t="shared" si="420"/>
        <v/>
      </c>
      <c r="JU167" s="110" t="str">
        <f t="shared" si="421"/>
        <v/>
      </c>
      <c r="JV167" s="110" t="str">
        <f t="shared" si="422"/>
        <v/>
      </c>
      <c r="JW167" s="110" t="str">
        <f t="shared" si="423"/>
        <v/>
      </c>
      <c r="JX167" s="110" t="str">
        <f t="shared" si="494"/>
        <v/>
      </c>
      <c r="JY167" s="110" t="str">
        <f t="shared" si="495"/>
        <v/>
      </c>
      <c r="JZ167" s="110" t="str">
        <f t="shared" si="424"/>
        <v/>
      </c>
      <c r="KA167" s="108" t="str">
        <f t="shared" si="496"/>
        <v/>
      </c>
    </row>
    <row r="168" spans="1:287" s="108" customFormat="1" ht="21.95" customHeight="1">
      <c r="A168" s="89">
        <v>162</v>
      </c>
      <c r="B168" s="90" t="str">
        <f>IF('Marks Entry'!B168="","",'Marks Entry'!B168)</f>
        <v/>
      </c>
      <c r="C168" s="94" t="str">
        <f>IF('Marks Entry'!D168="","",'Marks Entry'!D168)</f>
        <v/>
      </c>
      <c r="D168" s="91" t="str">
        <f>IF('Marks Entry'!E168="","",'Marks Entry'!E168)</f>
        <v/>
      </c>
      <c r="E168" s="92" t="str">
        <f>IF('Marks Entry'!F168="","",'Marks Entry'!F168)</f>
        <v/>
      </c>
      <c r="F168" s="93" t="str">
        <f>IF('Marks Entry'!G168="","",'Marks Entry'!G168)</f>
        <v/>
      </c>
      <c r="G168" s="93" t="str">
        <f>IF('Marks Entry'!H168="","",'Marks Entry'!H168)</f>
        <v/>
      </c>
      <c r="H168" s="93" t="str">
        <f>IF('Marks Entry'!I168="","",'Marks Entry'!I168)</f>
        <v/>
      </c>
      <c r="I168" s="94" t="str">
        <f>IF('Marks Entry'!J168="","",'Marks Entry'!J168)</f>
        <v/>
      </c>
      <c r="J168" s="95" t="str">
        <f>IF('Marks Entry'!K168="","",'Marks Entry'!K168)</f>
        <v/>
      </c>
      <c r="K168" s="68" t="str">
        <f>IF('Marks Entry'!L168="","",'Marks Entry'!L168)</f>
        <v/>
      </c>
      <c r="L168" s="68" t="str">
        <f>IF('Marks Entry'!M168="","",'Marks Entry'!M168)</f>
        <v/>
      </c>
      <c r="M168" s="68" t="str">
        <f>IF('Marks Entry'!N168="","",'Marks Entry'!N168)</f>
        <v/>
      </c>
      <c r="N168" s="514" t="str">
        <f t="shared" si="425"/>
        <v/>
      </c>
      <c r="O168" s="68" t="str">
        <f>IF('Marks Entry'!O168="","",'Marks Entry'!O168)</f>
        <v/>
      </c>
      <c r="P168" s="515" t="str">
        <f t="shared" si="426"/>
        <v/>
      </c>
      <c r="Q168" s="68" t="str">
        <f>IF('Marks Entry'!P168="","",'Marks Entry'!P168)</f>
        <v/>
      </c>
      <c r="R168" s="96" t="str">
        <f t="shared" si="427"/>
        <v/>
      </c>
      <c r="S168" s="65">
        <f t="shared" si="428"/>
        <v>0</v>
      </c>
      <c r="T168" s="65">
        <f t="shared" si="429"/>
        <v>0</v>
      </c>
      <c r="U168" s="66" t="str">
        <f t="shared" si="339"/>
        <v/>
      </c>
      <c r="V168" s="65" t="str">
        <f t="shared" si="340"/>
        <v/>
      </c>
      <c r="W168" s="65" t="str">
        <f t="shared" si="430"/>
        <v/>
      </c>
      <c r="X168" s="65" t="str">
        <f t="shared" si="341"/>
        <v/>
      </c>
      <c r="Y168" s="68" t="str">
        <f>IF('Marks Entry'!Q168="","",'Marks Entry'!Q168)</f>
        <v/>
      </c>
      <c r="Z168" s="68" t="str">
        <f>IF('Marks Entry'!R168="","",'Marks Entry'!R168)</f>
        <v/>
      </c>
      <c r="AA168" s="68" t="str">
        <f>IF('Marks Entry'!S168="","",'Marks Entry'!S168)</f>
        <v/>
      </c>
      <c r="AB168" s="514" t="str">
        <f t="shared" si="342"/>
        <v/>
      </c>
      <c r="AC168" s="68" t="str">
        <f>IF('Marks Entry'!T168="","",'Marks Entry'!T168)</f>
        <v/>
      </c>
      <c r="AD168" s="515" t="str">
        <f t="shared" si="343"/>
        <v/>
      </c>
      <c r="AE168" s="68" t="str">
        <f>IF('Marks Entry'!U168="","",'Marks Entry'!U168)</f>
        <v/>
      </c>
      <c r="AF168" s="96" t="str">
        <f t="shared" si="344"/>
        <v/>
      </c>
      <c r="AG168" s="65">
        <f t="shared" si="345"/>
        <v>0</v>
      </c>
      <c r="AH168" s="65">
        <f t="shared" si="346"/>
        <v>0</v>
      </c>
      <c r="AI168" s="66" t="str">
        <f t="shared" si="347"/>
        <v/>
      </c>
      <c r="AJ168" s="65" t="str">
        <f t="shared" si="348"/>
        <v/>
      </c>
      <c r="AK168" s="65" t="str">
        <f t="shared" si="349"/>
        <v/>
      </c>
      <c r="AL168" s="65" t="str">
        <f t="shared" si="350"/>
        <v/>
      </c>
      <c r="AM168" s="524" t="str">
        <f>IF('Marks Entry'!V168="","",IF('Marks Entry'!V168=1,'School Profile'!$I$9,IF('Marks Entry'!V168=2,'School Profile'!$I$10,IF('Marks Entry'!V168=3,'School Profile'!$I$11,IF('Marks Entry'!V168=4,'School Profile'!$I$12,IF('Marks Entry'!V168=5,'School Profile'!$I$13,IF('Marks Entry'!V168=6,'School Profile'!$I$14,"")))))))</f>
        <v/>
      </c>
      <c r="AN168" s="68" t="str">
        <f>IF('Marks Entry'!W168="","",'Marks Entry'!W168)</f>
        <v/>
      </c>
      <c r="AO168" s="68" t="str">
        <f>IF('Marks Entry'!X168="","",'Marks Entry'!X168)</f>
        <v/>
      </c>
      <c r="AP168" s="68" t="str">
        <f>IF('Marks Entry'!Y168="","",'Marks Entry'!Y168)</f>
        <v/>
      </c>
      <c r="AQ168" s="514" t="str">
        <f t="shared" si="351"/>
        <v/>
      </c>
      <c r="AR168" s="68" t="str">
        <f>IF('Marks Entry'!Z168="","",'Marks Entry'!Z168)</f>
        <v/>
      </c>
      <c r="AS168" s="515" t="str">
        <f t="shared" si="352"/>
        <v/>
      </c>
      <c r="AT168" s="68" t="str">
        <f>IF('Marks Entry'!AA168="","",'Marks Entry'!AA168)</f>
        <v/>
      </c>
      <c r="AU168" s="96" t="str">
        <f t="shared" si="353"/>
        <v/>
      </c>
      <c r="AV168" s="65">
        <f t="shared" si="354"/>
        <v>0</v>
      </c>
      <c r="AW168" s="65">
        <f t="shared" si="355"/>
        <v>0</v>
      </c>
      <c r="AX168" s="66" t="str">
        <f t="shared" si="356"/>
        <v/>
      </c>
      <c r="AY168" s="65" t="str">
        <f t="shared" si="357"/>
        <v/>
      </c>
      <c r="AZ168" s="65" t="str">
        <f t="shared" si="358"/>
        <v/>
      </c>
      <c r="BA168" s="65" t="str">
        <f t="shared" si="359"/>
        <v/>
      </c>
      <c r="BB168" s="68" t="str">
        <f>IF('Marks Entry'!AB168="","",'Marks Entry'!AB168)</f>
        <v/>
      </c>
      <c r="BC168" s="68" t="str">
        <f>IF('Marks Entry'!AC168="","",'Marks Entry'!AC168)</f>
        <v/>
      </c>
      <c r="BD168" s="68" t="str">
        <f>IF('Marks Entry'!AD168="","",'Marks Entry'!AD168)</f>
        <v/>
      </c>
      <c r="BE168" s="514" t="str">
        <f t="shared" si="360"/>
        <v/>
      </c>
      <c r="BF168" s="68" t="str">
        <f>IF('Marks Entry'!AE168="","",'Marks Entry'!AE168)</f>
        <v/>
      </c>
      <c r="BG168" s="515" t="str">
        <f t="shared" si="361"/>
        <v/>
      </c>
      <c r="BH168" s="68" t="str">
        <f>IF('Marks Entry'!AF168="","",'Marks Entry'!AF168)</f>
        <v/>
      </c>
      <c r="BI168" s="96" t="str">
        <f t="shared" si="362"/>
        <v/>
      </c>
      <c r="BJ168" s="65">
        <f t="shared" si="363"/>
        <v>0</v>
      </c>
      <c r="BK168" s="65">
        <f t="shared" si="431"/>
        <v>0</v>
      </c>
      <c r="BL168" s="66" t="str">
        <f t="shared" si="364"/>
        <v/>
      </c>
      <c r="BM168" s="65" t="str">
        <f t="shared" si="365"/>
        <v/>
      </c>
      <c r="BN168" s="65" t="str">
        <f t="shared" si="366"/>
        <v/>
      </c>
      <c r="BO168" s="65" t="str">
        <f t="shared" si="367"/>
        <v/>
      </c>
      <c r="BP168" s="68" t="str">
        <f>IF('Marks Entry'!AG168="","",'Marks Entry'!AG168)</f>
        <v/>
      </c>
      <c r="BQ168" s="68" t="str">
        <f>IF('Marks Entry'!AH168="","",'Marks Entry'!AH168)</f>
        <v/>
      </c>
      <c r="BR168" s="68" t="str">
        <f>IF('Marks Entry'!AI168="","",'Marks Entry'!AI168)</f>
        <v/>
      </c>
      <c r="BS168" s="514" t="str">
        <f t="shared" si="368"/>
        <v/>
      </c>
      <c r="BT168" s="68" t="str">
        <f>IF('Marks Entry'!AJ168="","",'Marks Entry'!AJ168)</f>
        <v/>
      </c>
      <c r="BU168" s="515" t="str">
        <f t="shared" si="369"/>
        <v/>
      </c>
      <c r="BV168" s="68" t="str">
        <f>IF('Marks Entry'!AK168="","",'Marks Entry'!AK168)</f>
        <v/>
      </c>
      <c r="BW168" s="96" t="str">
        <f t="shared" si="370"/>
        <v/>
      </c>
      <c r="BX168" s="65">
        <f t="shared" si="371"/>
        <v>0</v>
      </c>
      <c r="BY168" s="65">
        <f t="shared" si="372"/>
        <v>0</v>
      </c>
      <c r="BZ168" s="66" t="str">
        <f t="shared" si="373"/>
        <v/>
      </c>
      <c r="CA168" s="65" t="str">
        <f t="shared" si="374"/>
        <v/>
      </c>
      <c r="CB168" s="65" t="str">
        <f t="shared" si="375"/>
        <v/>
      </c>
      <c r="CC168" s="65" t="str">
        <f t="shared" si="376"/>
        <v/>
      </c>
      <c r="CD168" s="66">
        <f t="shared" si="497"/>
        <v>0</v>
      </c>
      <c r="CE168" s="68" t="str">
        <f>IF('Marks Entry'!AL168="","",'Marks Entry'!AL168)</f>
        <v/>
      </c>
      <c r="CF168" s="68" t="str">
        <f>IF('Marks Entry'!AM168="","",'Marks Entry'!AM168)</f>
        <v/>
      </c>
      <c r="CG168" s="68" t="str">
        <f>IF('Marks Entry'!AN168="","",'Marks Entry'!AN168)</f>
        <v/>
      </c>
      <c r="CH168" s="514" t="str">
        <f t="shared" si="378"/>
        <v/>
      </c>
      <c r="CI168" s="68" t="str">
        <f>IF('Marks Entry'!AO168="","",'Marks Entry'!AO168)</f>
        <v/>
      </c>
      <c r="CJ168" s="515" t="str">
        <f t="shared" si="379"/>
        <v/>
      </c>
      <c r="CK168" s="68" t="str">
        <f>IF('Marks Entry'!AP168="","",'Marks Entry'!AP168)</f>
        <v/>
      </c>
      <c r="CL168" s="96" t="str">
        <f t="shared" si="380"/>
        <v/>
      </c>
      <c r="CM168" s="65">
        <f t="shared" si="381"/>
        <v>0</v>
      </c>
      <c r="CN168" s="65">
        <f t="shared" si="382"/>
        <v>0</v>
      </c>
      <c r="CO168" s="66" t="str">
        <f t="shared" si="383"/>
        <v/>
      </c>
      <c r="CP168" s="65" t="str">
        <f t="shared" si="384"/>
        <v/>
      </c>
      <c r="CQ168" s="65" t="str">
        <f t="shared" si="385"/>
        <v/>
      </c>
      <c r="CR168" s="65" t="str">
        <f t="shared" si="386"/>
        <v/>
      </c>
      <c r="CS168" s="616" t="str">
        <f>IF('School Profile'!$D$20="NO","",IF('Marks Entry'!AQ168="","",IF('Marks Entry'!AQ168=1,'School Profile'!$I$29,IF('Marks Entry'!AQ168=2,'School Profile'!$I$30,IF('Marks Entry'!AQ168=3,'School Profile'!$I$31,IF('Marks Entry'!AQ168=4,'School Profile'!$I$32,IF('Marks Entry'!AQ168=5,'School Profile'!$I$33,IF('Marks Entry'!AQ168=6,'School Profile'!$I$34,IF('Marks Entry'!AQ168=7,'School Profile'!$I$35,IF('Marks Entry'!AQ168=8,'School Profile'!$I$36,IF('Marks Entry'!AQ168=9,'School Profile'!$I$37,IF('Marks Entry'!AQ168=10,'School Profile'!$I$38,IF('Marks Entry'!AQ168=11,'School Profile'!$I$39,"")))))))))))))</f>
        <v/>
      </c>
      <c r="CT168" s="68" t="str">
        <f>IF('School Profile'!$D$20="NO","",IF('Marks Entry'!AR168="","",'Marks Entry'!AR168))</f>
        <v/>
      </c>
      <c r="CU168" s="68" t="str">
        <f>IF('School Profile'!$D$20="NO","",IF('Marks Entry'!AS168="","",'Marks Entry'!AS168))</f>
        <v/>
      </c>
      <c r="CV168" s="68" t="str">
        <f>IF('School Profile'!$D$20="NO","",IF('Marks Entry'!AT168="","",'Marks Entry'!AT168))</f>
        <v/>
      </c>
      <c r="CW168" s="514" t="str">
        <f>IF('School Profile'!$D$20="NO","",IF(AND(CT168="",CU168="",CV168=""),"",SUM(CT168:CV168)))</f>
        <v/>
      </c>
      <c r="CX168" s="68" t="str">
        <f>IF('School Profile'!$D$20="NO","",IF('Marks Entry'!AU168="","",'Marks Entry'!AU168))</f>
        <v/>
      </c>
      <c r="CY168" s="68" t="str">
        <f>IF('School Profile'!$D$20="NO","",IF('Marks Entry'!AV168="","",'Marks Entry'!AV168))</f>
        <v/>
      </c>
      <c r="CZ168" s="515" t="str">
        <f>IF('School Profile'!$D$20="NO","",IF(AND(CX168="",CY168=""),"",SUM(CX168,CY168)))</f>
        <v/>
      </c>
      <c r="DA168" s="69" t="str">
        <f>IF('School Profile'!$D$20="NO","",IF(AND(CW168="",CZ168=""),"",SUM(CW168+CZ168)))</f>
        <v/>
      </c>
      <c r="DB168" s="68" t="str">
        <f>IF('School Profile'!$D$20="NO","",IF('Marks Entry'!AW168="","",'Marks Entry'!AW168))</f>
        <v/>
      </c>
      <c r="DC168" s="68" t="str">
        <f>IF('School Profile'!$D$20="NO","",IF('Marks Entry'!AX168="","",'Marks Entry'!AX168))</f>
        <v/>
      </c>
      <c r="DD168" s="515" t="str">
        <f>IF('School Profile'!$D$20="NO","",IF(AND(DB168="",DC168=""),"",SUM(DB168,DC168)))</f>
        <v/>
      </c>
      <c r="DE168" s="96" t="str">
        <f>IF('School Profile'!$D$20="NO","",IF(AND(DA168="",DD168=""),"",SUM(DA168,DD168)))</f>
        <v/>
      </c>
      <c r="DF168" s="532">
        <f t="shared" si="387"/>
        <v>0</v>
      </c>
      <c r="DG168" s="65">
        <f t="shared" si="388"/>
        <v>0</v>
      </c>
      <c r="DH168" s="66" t="str">
        <f t="shared" si="389"/>
        <v/>
      </c>
      <c r="DI168" s="65" t="str">
        <f t="shared" si="390"/>
        <v/>
      </c>
      <c r="DJ168" s="65" t="str">
        <f t="shared" si="391"/>
        <v/>
      </c>
      <c r="DK168" s="65" t="str">
        <f t="shared" si="392"/>
        <v/>
      </c>
      <c r="DL168" s="97" t="str">
        <f t="shared" si="432"/>
        <v/>
      </c>
      <c r="DM168" s="97" t="str">
        <f t="shared" si="433"/>
        <v/>
      </c>
      <c r="DN168" s="97" t="str">
        <f t="shared" si="434"/>
        <v/>
      </c>
      <c r="DO168" s="97" t="str">
        <f t="shared" si="435"/>
        <v/>
      </c>
      <c r="DP168" s="97" t="str">
        <f t="shared" si="436"/>
        <v/>
      </c>
      <c r="DQ168" s="97" t="str">
        <f t="shared" si="437"/>
        <v/>
      </c>
      <c r="DR168" s="97" t="str">
        <f t="shared" si="438"/>
        <v/>
      </c>
      <c r="DS168" s="98">
        <f t="shared" si="439"/>
        <v>0</v>
      </c>
      <c r="DT168" s="98">
        <f t="shared" si="440"/>
        <v>0</v>
      </c>
      <c r="DU168" s="98">
        <f t="shared" si="441"/>
        <v>0</v>
      </c>
      <c r="DV168" s="98">
        <f t="shared" si="442"/>
        <v>0</v>
      </c>
      <c r="DW168" s="98">
        <f t="shared" si="443"/>
        <v>0</v>
      </c>
      <c r="DX168" s="98" t="str">
        <f t="shared" si="444"/>
        <v/>
      </c>
      <c r="DY168" s="99" t="str">
        <f t="shared" si="445"/>
        <v/>
      </c>
      <c r="DZ168" s="74" t="str">
        <f>IF('Marks Entry'!AY168="","",'Marks Entry'!AY168)</f>
        <v/>
      </c>
      <c r="EA168" s="74" t="str">
        <f>IF('Marks Entry'!AZ168="","",'Marks Entry'!AZ168)</f>
        <v/>
      </c>
      <c r="EB168" s="74" t="str">
        <f>IF('Marks Entry'!BA168="","",'Marks Entry'!BA168)</f>
        <v/>
      </c>
      <c r="EC168" s="527" t="str">
        <f t="shared" si="393"/>
        <v/>
      </c>
      <c r="ED168" s="74" t="str">
        <f>IF('Marks Entry'!BB168="","",'Marks Entry'!BB168)</f>
        <v/>
      </c>
      <c r="EE168" s="528" t="str">
        <f t="shared" si="394"/>
        <v/>
      </c>
      <c r="EF168" s="74" t="str">
        <f>IF('Marks Entry'!BC168="","",'Marks Entry'!BC168)</f>
        <v/>
      </c>
      <c r="EG168" s="530" t="str">
        <f t="shared" si="395"/>
        <v/>
      </c>
      <c r="EH168" s="368" t="str">
        <f t="shared" si="446"/>
        <v/>
      </c>
      <c r="EI168" s="65">
        <f t="shared" si="447"/>
        <v>0</v>
      </c>
      <c r="EJ168" s="65">
        <f t="shared" si="448"/>
        <v>0</v>
      </c>
      <c r="EK168" s="66" t="str">
        <f t="shared" si="449"/>
        <v/>
      </c>
      <c r="EL168" s="74" t="str">
        <f>IF('Marks Entry'!BD168="","",'Marks Entry'!BD168)</f>
        <v/>
      </c>
      <c r="EM168" s="74" t="str">
        <f>IF('Marks Entry'!BE168="","",'Marks Entry'!BE168)</f>
        <v/>
      </c>
      <c r="EN168" s="74" t="str">
        <f>IF('Marks Entry'!BF168="","",'Marks Entry'!BF168)</f>
        <v/>
      </c>
      <c r="EO168" s="527" t="str">
        <f t="shared" si="396"/>
        <v/>
      </c>
      <c r="EP168" s="74" t="str">
        <f>IF('Marks Entry'!BG168="","",'Marks Entry'!BG168)</f>
        <v/>
      </c>
      <c r="EQ168" s="74" t="str">
        <f>IF('Marks Entry'!BH168="","",'Marks Entry'!BH168)</f>
        <v/>
      </c>
      <c r="ER168" s="528" t="str">
        <f t="shared" si="397"/>
        <v/>
      </c>
      <c r="ES168" s="529" t="str">
        <f t="shared" si="398"/>
        <v/>
      </c>
      <c r="ET168" s="74" t="str">
        <f>IF('Marks Entry'!BI168="","",'Marks Entry'!BI168)</f>
        <v/>
      </c>
      <c r="EU168" s="74" t="str">
        <f>IF('Marks Entry'!BJ168="","",'Marks Entry'!BJ168)</f>
        <v/>
      </c>
      <c r="EV168" s="528" t="str">
        <f t="shared" si="399"/>
        <v/>
      </c>
      <c r="EW168" s="530" t="str">
        <f t="shared" si="400"/>
        <v/>
      </c>
      <c r="EX168" s="368" t="str">
        <f t="shared" si="450"/>
        <v/>
      </c>
      <c r="EY168" s="65">
        <f t="shared" si="451"/>
        <v>0</v>
      </c>
      <c r="EZ168" s="65">
        <f t="shared" si="452"/>
        <v>0</v>
      </c>
      <c r="FA168" s="66" t="str">
        <f t="shared" si="453"/>
        <v/>
      </c>
      <c r="FB168" s="74" t="str">
        <f>IF('Marks Entry'!BK168="","",'Marks Entry'!BK168)</f>
        <v/>
      </c>
      <c r="FC168" s="74" t="str">
        <f>IF('Marks Entry'!BL168="","",'Marks Entry'!BL168)</f>
        <v/>
      </c>
      <c r="FD168" s="74" t="str">
        <f>IF('Marks Entry'!BM168="","",'Marks Entry'!BM168)</f>
        <v/>
      </c>
      <c r="FE168" s="74" t="str">
        <f>IF('Marks Entry'!BN168="","",'Marks Entry'!BN168)</f>
        <v/>
      </c>
      <c r="FF168" s="74" t="str">
        <f>IF('Marks Entry'!BO168="","",'Marks Entry'!BO168)</f>
        <v/>
      </c>
      <c r="FG168" s="74" t="str">
        <f>IF('Marks Entry'!BP168="","",'Marks Entry'!BP168)</f>
        <v/>
      </c>
      <c r="FH168" s="527" t="str">
        <f t="shared" si="401"/>
        <v/>
      </c>
      <c r="FI168" s="74" t="str">
        <f>IF('Marks Entry'!BQ168="","",'Marks Entry'!BQ168)</f>
        <v/>
      </c>
      <c r="FJ168" s="74" t="str">
        <f>IF('Marks Entry'!BR168="","",'Marks Entry'!BR168)</f>
        <v/>
      </c>
      <c r="FK168" s="528" t="str">
        <f t="shared" si="402"/>
        <v/>
      </c>
      <c r="FL168" s="529" t="str">
        <f t="shared" si="403"/>
        <v/>
      </c>
      <c r="FM168" s="74" t="str">
        <f>IF('Marks Entry'!BS168="","",'Marks Entry'!BS168)</f>
        <v/>
      </c>
      <c r="FN168" s="74" t="str">
        <f>IF('Marks Entry'!BT168="","",'Marks Entry'!BT168)</f>
        <v/>
      </c>
      <c r="FO168" s="528" t="str">
        <f t="shared" si="404"/>
        <v/>
      </c>
      <c r="FP168" s="530" t="str">
        <f t="shared" si="405"/>
        <v/>
      </c>
      <c r="FQ168" s="368" t="str">
        <f t="shared" si="454"/>
        <v/>
      </c>
      <c r="FR168" s="65">
        <f t="shared" si="455"/>
        <v>0</v>
      </c>
      <c r="FS168" s="65">
        <f t="shared" si="456"/>
        <v>0</v>
      </c>
      <c r="FT168" s="66" t="str">
        <f t="shared" si="457"/>
        <v/>
      </c>
      <c r="FU168" s="74" t="str">
        <f>IF('Marks Entry'!BU168="","",'Marks Entry'!BU168)</f>
        <v/>
      </c>
      <c r="FV168" s="74" t="str">
        <f>IF('Marks Entry'!BV168="","",'Marks Entry'!BV168)</f>
        <v/>
      </c>
      <c r="FW168" s="74" t="str">
        <f>IF('Marks Entry'!BW168="","",'Marks Entry'!BW168)</f>
        <v/>
      </c>
      <c r="FX168" s="75" t="str">
        <f t="shared" si="406"/>
        <v/>
      </c>
      <c r="FY168" s="368" t="str">
        <f t="shared" si="458"/>
        <v/>
      </c>
      <c r="FZ168" s="65">
        <f t="shared" si="459"/>
        <v>0</v>
      </c>
      <c r="GA168" s="66">
        <f t="shared" si="460"/>
        <v>0</v>
      </c>
      <c r="GB168" s="66" t="str">
        <f t="shared" si="461"/>
        <v/>
      </c>
      <c r="GC168" s="74" t="str">
        <f>IF('Marks Entry'!BX168="","",'Marks Entry'!BX168)</f>
        <v/>
      </c>
      <c r="GD168" s="74" t="str">
        <f>IF('Marks Entry'!BY168="","",'Marks Entry'!BY168)</f>
        <v/>
      </c>
      <c r="GE168" s="74" t="str">
        <f>IF('Marks Entry'!BZ168="","",'Marks Entry'!BZ168)</f>
        <v/>
      </c>
      <c r="GF168" s="75" t="str">
        <f t="shared" si="462"/>
        <v/>
      </c>
      <c r="GG168" s="368" t="str">
        <f t="shared" si="463"/>
        <v/>
      </c>
      <c r="GH168" s="65">
        <f t="shared" si="464"/>
        <v>0</v>
      </c>
      <c r="GI168" s="66">
        <f t="shared" si="465"/>
        <v>0</v>
      </c>
      <c r="GJ168" s="66" t="str">
        <f t="shared" si="466"/>
        <v/>
      </c>
      <c r="GK168" s="100" t="str">
        <f>IF(AND(F168="",B168=""),"",IF('Student DATA Entry'!M165="","",'Student DATA Entry'!M165))</f>
        <v/>
      </c>
      <c r="GL168" s="101" t="str">
        <f>IF(AND(B168="",F168=""),"",IF('Student DATA Entry'!N165="","",'Student DATA Entry'!N165))</f>
        <v/>
      </c>
      <c r="GM168" s="581" t="str">
        <f t="shared" si="467"/>
        <v/>
      </c>
      <c r="GN168" s="94" t="str">
        <f t="shared" si="468"/>
        <v/>
      </c>
      <c r="GO168" s="94" t="str">
        <f t="shared" si="469"/>
        <v/>
      </c>
      <c r="GP168" s="102" t="str">
        <f t="shared" si="498"/>
        <v/>
      </c>
      <c r="GQ168" s="94" t="str">
        <f t="shared" si="470"/>
        <v/>
      </c>
      <c r="GR168" s="103" t="str">
        <f t="shared" si="471"/>
        <v/>
      </c>
      <c r="GS168" s="102" t="str">
        <f t="shared" si="499"/>
        <v/>
      </c>
      <c r="GT168" s="104" t="str">
        <f t="shared" si="472"/>
        <v/>
      </c>
      <c r="GU168" s="94" t="str">
        <f>IF('Marks Entry'!V168=1,GT168,"")</f>
        <v/>
      </c>
      <c r="GV168" s="94" t="str">
        <f>IF('Marks Entry'!V168=2,GT168,"")</f>
        <v/>
      </c>
      <c r="GW168" s="94" t="str">
        <f>IF('Marks Entry'!V168=3,GT168,"")</f>
        <v/>
      </c>
      <c r="GX168" s="94" t="str">
        <f>IF('Marks Entry'!V168=4,GT168,"")</f>
        <v/>
      </c>
      <c r="GY168" s="94" t="str">
        <f>IF('Marks Entry'!V168=5,GT168,"")</f>
        <v/>
      </c>
      <c r="GZ168" s="94" t="str">
        <f t="shared" si="473"/>
        <v/>
      </c>
      <c r="HA168" s="105" t="str">
        <f t="shared" si="500"/>
        <v/>
      </c>
      <c r="HB168" s="94" t="str">
        <f t="shared" si="474"/>
        <v/>
      </c>
      <c r="HC168" s="94" t="str">
        <f t="shared" si="475"/>
        <v/>
      </c>
      <c r="HD168" s="105" t="str">
        <f t="shared" si="501"/>
        <v/>
      </c>
      <c r="HE168" s="94" t="str">
        <f t="shared" si="476"/>
        <v/>
      </c>
      <c r="HF168" s="94" t="str">
        <f t="shared" si="477"/>
        <v/>
      </c>
      <c r="HG168" s="105" t="str">
        <f t="shared" si="502"/>
        <v/>
      </c>
      <c r="HH168" s="94" t="str">
        <f t="shared" si="478"/>
        <v/>
      </c>
      <c r="HI168" s="94" t="str">
        <f t="shared" si="479"/>
        <v/>
      </c>
      <c r="HJ168" s="105" t="str">
        <f t="shared" si="503"/>
        <v/>
      </c>
      <c r="HK168" s="94" t="str">
        <f t="shared" si="480"/>
        <v/>
      </c>
      <c r="HL168" s="94" t="str">
        <f t="shared" si="481"/>
        <v/>
      </c>
      <c r="HM168" s="105" t="str">
        <f t="shared" si="504"/>
        <v/>
      </c>
      <c r="HN168" s="367" t="str">
        <f t="shared" si="482"/>
        <v xml:space="preserve">      </v>
      </c>
      <c r="HO168" s="418" t="str">
        <f t="shared" si="505"/>
        <v xml:space="preserve">      </v>
      </c>
      <c r="HP168" s="367" t="str">
        <f t="shared" si="483"/>
        <v xml:space="preserve">      </v>
      </c>
      <c r="HQ168" s="107" t="str">
        <f t="shared" si="484"/>
        <v xml:space="preserve">      </v>
      </c>
      <c r="HR168" s="366" t="str">
        <f t="shared" si="485"/>
        <v xml:space="preserve">      </v>
      </c>
      <c r="HS168" s="544" t="str">
        <f t="shared" si="506"/>
        <v/>
      </c>
      <c r="HT168" s="542" t="str">
        <f t="shared" si="486"/>
        <v/>
      </c>
      <c r="HU168" s="541" t="str">
        <f t="shared" si="487"/>
        <v/>
      </c>
      <c r="HV168" s="540" t="str">
        <f t="shared" si="488"/>
        <v/>
      </c>
      <c r="HW168" s="537" t="str">
        <f t="shared" si="489"/>
        <v/>
      </c>
      <c r="HX168" s="539" t="str">
        <f t="shared" si="490"/>
        <v/>
      </c>
      <c r="HY168" s="553" t="str">
        <f>IFERROR(IF(OR(HS168="SUPPLEMENTARY",HS168="RE-EXAM"),'Supp. Result Entry'!AQ166,""),"")</f>
        <v/>
      </c>
      <c r="HZ168" s="538" t="str">
        <f t="shared" si="491"/>
        <v/>
      </c>
      <c r="IA168" s="415" t="str">
        <f t="shared" si="492"/>
        <v/>
      </c>
      <c r="IB168" s="415" t="str">
        <f>IF(AND(HZ168="",IA168=""),"",IF(OR(HS168="SUPPLEMENTARY",HS168="RE-EXAM"),'Supp. Result Entry'!AQ166,HS168))</f>
        <v/>
      </c>
      <c r="IC168" s="87"/>
      <c r="IS168" s="109" t="str">
        <f>IF('Supp. Result Entry'!T166="","",'Supp. Result Entry'!$T$4)</f>
        <v/>
      </c>
      <c r="IT168" s="110" t="str">
        <f>IF('Supp. Result Entry'!W166="","",'Supp. Result Entry'!$W$4)</f>
        <v/>
      </c>
      <c r="IU168" s="110" t="str">
        <f>IF('Supp. Result Entry'!Z166="","",'Supp. Result Entry'!$Z$4)</f>
        <v/>
      </c>
      <c r="IV168" s="110" t="str">
        <f>IF('Supp. Result Entry'!AC166="","",'Supp. Result Entry'!$AC$4)</f>
        <v/>
      </c>
      <c r="IW168" s="110" t="str">
        <f>IF('Supp. Result Entry'!AF166="","",'Supp. Result Entry'!$AF$4)</f>
        <v/>
      </c>
      <c r="IX168" s="110" t="str">
        <f>IF('Supp. Result Entry'!AI166="","",'Supp. Result Entry'!$AI$4)</f>
        <v/>
      </c>
      <c r="IY168" s="110" t="str">
        <f>IF('Supp. Result Entry'!AI166="","",'Supp. Result Entry'!$AL$4)</f>
        <v/>
      </c>
      <c r="IZ168" s="110" t="str">
        <f>IF('Supp. Result Entry'!U166="","",'Supp. Result Entry'!U166)</f>
        <v/>
      </c>
      <c r="JA168" s="110" t="str">
        <f>IF('Supp. Result Entry'!X166="","",'Supp. Result Entry'!X166)</f>
        <v/>
      </c>
      <c r="JB168" s="110" t="str">
        <f>IF('Supp. Result Entry'!AA166="","",'Supp. Result Entry'!AA166)</f>
        <v/>
      </c>
      <c r="JC168" s="110" t="str">
        <f>IF('Supp. Result Entry'!AD166="","",'Supp. Result Entry'!AD166)</f>
        <v/>
      </c>
      <c r="JD168" s="110" t="str">
        <f>IF('Supp. Result Entry'!AG166="","",'Supp. Result Entry'!AG166)</f>
        <v/>
      </c>
      <c r="JE168" s="110" t="str">
        <f>IF('Supp. Result Entry'!AJ166="","",'Supp. Result Entry'!AJ166)</f>
        <v/>
      </c>
      <c r="JF168" s="110" t="str">
        <f>IF('Supp. Result Entry'!AM166="","",'Supp. Result Entry'!AM166)</f>
        <v/>
      </c>
      <c r="JG168" s="110" t="str">
        <f>IF('Supp. Result Entry'!V166="","",'Supp. Result Entry'!V166)</f>
        <v/>
      </c>
      <c r="JH168" s="110" t="str">
        <f>IF('Supp. Result Entry'!Y166="","",'Supp. Result Entry'!Y166)</f>
        <v/>
      </c>
      <c r="JI168" s="110" t="str">
        <f>IF('Supp. Result Entry'!AB166="","",'Supp. Result Entry'!AB166)</f>
        <v/>
      </c>
      <c r="JJ168" s="110" t="str">
        <f>IF('Supp. Result Entry'!AE166="","",'Supp. Result Entry'!AE166)</f>
        <v/>
      </c>
      <c r="JK168" s="110" t="str">
        <f>IF('Supp. Result Entry'!AH166="","",'Supp. Result Entry'!AH166)</f>
        <v/>
      </c>
      <c r="JL168" s="110" t="str">
        <f>IF('Supp. Result Entry'!AK166="","",'Supp. Result Entry'!AK166)</f>
        <v/>
      </c>
      <c r="JM168" s="110" t="str">
        <f>IF('Supp. Result Entry'!AN166="","",'Supp. Result Entry'!AN166)</f>
        <v/>
      </c>
      <c r="JN168" s="110">
        <f>COUNTIF('Supp. Result Entry'!K166:Q166,"S")</f>
        <v>0</v>
      </c>
      <c r="JO168" s="110">
        <f t="shared" si="416"/>
        <v>0</v>
      </c>
      <c r="JP168" s="110">
        <f t="shared" si="493"/>
        <v>0</v>
      </c>
      <c r="JQ168" s="110" t="str">
        <f t="shared" si="417"/>
        <v/>
      </c>
      <c r="JR168" s="110" t="str">
        <f t="shared" si="418"/>
        <v/>
      </c>
      <c r="JS168" s="110" t="str">
        <f t="shared" si="419"/>
        <v/>
      </c>
      <c r="JT168" s="110" t="str">
        <f t="shared" si="420"/>
        <v/>
      </c>
      <c r="JU168" s="110" t="str">
        <f t="shared" si="421"/>
        <v/>
      </c>
      <c r="JV168" s="110" t="str">
        <f t="shared" si="422"/>
        <v/>
      </c>
      <c r="JW168" s="110" t="str">
        <f t="shared" si="423"/>
        <v/>
      </c>
      <c r="JX168" s="110" t="str">
        <f t="shared" si="494"/>
        <v/>
      </c>
      <c r="JY168" s="110" t="str">
        <f t="shared" si="495"/>
        <v/>
      </c>
      <c r="JZ168" s="110" t="str">
        <f t="shared" si="424"/>
        <v/>
      </c>
      <c r="KA168" s="108" t="str">
        <f t="shared" si="496"/>
        <v/>
      </c>
    </row>
    <row r="169" spans="1:287" s="108" customFormat="1" ht="21.95" customHeight="1">
      <c r="A169" s="89">
        <v>163</v>
      </c>
      <c r="B169" s="90" t="str">
        <f>IF('Marks Entry'!B169="","",'Marks Entry'!B169)</f>
        <v/>
      </c>
      <c r="C169" s="94" t="str">
        <f>IF('Marks Entry'!D169="","",'Marks Entry'!D169)</f>
        <v/>
      </c>
      <c r="D169" s="91" t="str">
        <f>IF('Marks Entry'!E169="","",'Marks Entry'!E169)</f>
        <v/>
      </c>
      <c r="E169" s="92" t="str">
        <f>IF('Marks Entry'!F169="","",'Marks Entry'!F169)</f>
        <v/>
      </c>
      <c r="F169" s="93" t="str">
        <f>IF('Marks Entry'!G169="","",'Marks Entry'!G169)</f>
        <v/>
      </c>
      <c r="G169" s="93" t="str">
        <f>IF('Marks Entry'!H169="","",'Marks Entry'!H169)</f>
        <v/>
      </c>
      <c r="H169" s="93" t="str">
        <f>IF('Marks Entry'!I169="","",'Marks Entry'!I169)</f>
        <v/>
      </c>
      <c r="I169" s="94" t="str">
        <f>IF('Marks Entry'!J169="","",'Marks Entry'!J169)</f>
        <v/>
      </c>
      <c r="J169" s="95" t="str">
        <f>IF('Marks Entry'!K169="","",'Marks Entry'!K169)</f>
        <v/>
      </c>
      <c r="K169" s="68" t="str">
        <f>IF('Marks Entry'!L169="","",'Marks Entry'!L169)</f>
        <v/>
      </c>
      <c r="L169" s="68" t="str">
        <f>IF('Marks Entry'!M169="","",'Marks Entry'!M169)</f>
        <v/>
      </c>
      <c r="M169" s="68" t="str">
        <f>IF('Marks Entry'!N169="","",'Marks Entry'!N169)</f>
        <v/>
      </c>
      <c r="N169" s="514" t="str">
        <f t="shared" si="425"/>
        <v/>
      </c>
      <c r="O169" s="68" t="str">
        <f>IF('Marks Entry'!O169="","",'Marks Entry'!O169)</f>
        <v/>
      </c>
      <c r="P169" s="515" t="str">
        <f t="shared" si="426"/>
        <v/>
      </c>
      <c r="Q169" s="68" t="str">
        <f>IF('Marks Entry'!P169="","",'Marks Entry'!P169)</f>
        <v/>
      </c>
      <c r="R169" s="96" t="str">
        <f t="shared" si="427"/>
        <v/>
      </c>
      <c r="S169" s="65">
        <f t="shared" si="428"/>
        <v>0</v>
      </c>
      <c r="T169" s="65">
        <f t="shared" si="429"/>
        <v>0</v>
      </c>
      <c r="U169" s="66" t="str">
        <f t="shared" si="339"/>
        <v/>
      </c>
      <c r="V169" s="65" t="str">
        <f t="shared" si="340"/>
        <v/>
      </c>
      <c r="W169" s="65" t="str">
        <f t="shared" si="430"/>
        <v/>
      </c>
      <c r="X169" s="65" t="str">
        <f t="shared" si="341"/>
        <v/>
      </c>
      <c r="Y169" s="68" t="str">
        <f>IF('Marks Entry'!Q169="","",'Marks Entry'!Q169)</f>
        <v/>
      </c>
      <c r="Z169" s="68" t="str">
        <f>IF('Marks Entry'!R169="","",'Marks Entry'!R169)</f>
        <v/>
      </c>
      <c r="AA169" s="68" t="str">
        <f>IF('Marks Entry'!S169="","",'Marks Entry'!S169)</f>
        <v/>
      </c>
      <c r="AB169" s="514" t="str">
        <f t="shared" si="342"/>
        <v/>
      </c>
      <c r="AC169" s="68" t="str">
        <f>IF('Marks Entry'!T169="","",'Marks Entry'!T169)</f>
        <v/>
      </c>
      <c r="AD169" s="515" t="str">
        <f t="shared" si="343"/>
        <v/>
      </c>
      <c r="AE169" s="68" t="str">
        <f>IF('Marks Entry'!U169="","",'Marks Entry'!U169)</f>
        <v/>
      </c>
      <c r="AF169" s="96" t="str">
        <f t="shared" si="344"/>
        <v/>
      </c>
      <c r="AG169" s="65">
        <f t="shared" si="345"/>
        <v>0</v>
      </c>
      <c r="AH169" s="65">
        <f t="shared" si="346"/>
        <v>0</v>
      </c>
      <c r="AI169" s="66" t="str">
        <f t="shared" si="347"/>
        <v/>
      </c>
      <c r="AJ169" s="65" t="str">
        <f t="shared" si="348"/>
        <v/>
      </c>
      <c r="AK169" s="65" t="str">
        <f t="shared" si="349"/>
        <v/>
      </c>
      <c r="AL169" s="65" t="str">
        <f t="shared" si="350"/>
        <v/>
      </c>
      <c r="AM169" s="524" t="str">
        <f>IF('Marks Entry'!V169="","",IF('Marks Entry'!V169=1,'School Profile'!$I$9,IF('Marks Entry'!V169=2,'School Profile'!$I$10,IF('Marks Entry'!V169=3,'School Profile'!$I$11,IF('Marks Entry'!V169=4,'School Profile'!$I$12,IF('Marks Entry'!V169=5,'School Profile'!$I$13,IF('Marks Entry'!V169=6,'School Profile'!$I$14,"")))))))</f>
        <v/>
      </c>
      <c r="AN169" s="68" t="str">
        <f>IF('Marks Entry'!W169="","",'Marks Entry'!W169)</f>
        <v/>
      </c>
      <c r="AO169" s="68" t="str">
        <f>IF('Marks Entry'!X169="","",'Marks Entry'!X169)</f>
        <v/>
      </c>
      <c r="AP169" s="68" t="str">
        <f>IF('Marks Entry'!Y169="","",'Marks Entry'!Y169)</f>
        <v/>
      </c>
      <c r="AQ169" s="514" t="str">
        <f t="shared" si="351"/>
        <v/>
      </c>
      <c r="AR169" s="68" t="str">
        <f>IF('Marks Entry'!Z169="","",'Marks Entry'!Z169)</f>
        <v/>
      </c>
      <c r="AS169" s="515" t="str">
        <f t="shared" si="352"/>
        <v/>
      </c>
      <c r="AT169" s="68" t="str">
        <f>IF('Marks Entry'!AA169="","",'Marks Entry'!AA169)</f>
        <v/>
      </c>
      <c r="AU169" s="96" t="str">
        <f t="shared" si="353"/>
        <v/>
      </c>
      <c r="AV169" s="65">
        <f t="shared" si="354"/>
        <v>0</v>
      </c>
      <c r="AW169" s="65">
        <f t="shared" si="355"/>
        <v>0</v>
      </c>
      <c r="AX169" s="66" t="str">
        <f t="shared" si="356"/>
        <v/>
      </c>
      <c r="AY169" s="65" t="str">
        <f t="shared" si="357"/>
        <v/>
      </c>
      <c r="AZ169" s="65" t="str">
        <f t="shared" si="358"/>
        <v/>
      </c>
      <c r="BA169" s="65" t="str">
        <f t="shared" si="359"/>
        <v/>
      </c>
      <c r="BB169" s="68" t="str">
        <f>IF('Marks Entry'!AB169="","",'Marks Entry'!AB169)</f>
        <v/>
      </c>
      <c r="BC169" s="68" t="str">
        <f>IF('Marks Entry'!AC169="","",'Marks Entry'!AC169)</f>
        <v/>
      </c>
      <c r="BD169" s="68" t="str">
        <f>IF('Marks Entry'!AD169="","",'Marks Entry'!AD169)</f>
        <v/>
      </c>
      <c r="BE169" s="514" t="str">
        <f t="shared" si="360"/>
        <v/>
      </c>
      <c r="BF169" s="68" t="str">
        <f>IF('Marks Entry'!AE169="","",'Marks Entry'!AE169)</f>
        <v/>
      </c>
      <c r="BG169" s="515" t="str">
        <f t="shared" si="361"/>
        <v/>
      </c>
      <c r="BH169" s="68" t="str">
        <f>IF('Marks Entry'!AF169="","",'Marks Entry'!AF169)</f>
        <v/>
      </c>
      <c r="BI169" s="96" t="str">
        <f t="shared" si="362"/>
        <v/>
      </c>
      <c r="BJ169" s="65">
        <f t="shared" si="363"/>
        <v>0</v>
      </c>
      <c r="BK169" s="65">
        <f t="shared" si="431"/>
        <v>0</v>
      </c>
      <c r="BL169" s="66" t="str">
        <f t="shared" si="364"/>
        <v/>
      </c>
      <c r="BM169" s="65" t="str">
        <f t="shared" si="365"/>
        <v/>
      </c>
      <c r="BN169" s="65" t="str">
        <f t="shared" si="366"/>
        <v/>
      </c>
      <c r="BO169" s="65" t="str">
        <f t="shared" si="367"/>
        <v/>
      </c>
      <c r="BP169" s="68" t="str">
        <f>IF('Marks Entry'!AG169="","",'Marks Entry'!AG169)</f>
        <v/>
      </c>
      <c r="BQ169" s="68" t="str">
        <f>IF('Marks Entry'!AH169="","",'Marks Entry'!AH169)</f>
        <v/>
      </c>
      <c r="BR169" s="68" t="str">
        <f>IF('Marks Entry'!AI169="","",'Marks Entry'!AI169)</f>
        <v/>
      </c>
      <c r="BS169" s="514" t="str">
        <f t="shared" si="368"/>
        <v/>
      </c>
      <c r="BT169" s="68" t="str">
        <f>IF('Marks Entry'!AJ169="","",'Marks Entry'!AJ169)</f>
        <v/>
      </c>
      <c r="BU169" s="515" t="str">
        <f t="shared" si="369"/>
        <v/>
      </c>
      <c r="BV169" s="68" t="str">
        <f>IF('Marks Entry'!AK169="","",'Marks Entry'!AK169)</f>
        <v/>
      </c>
      <c r="BW169" s="96" t="str">
        <f t="shared" si="370"/>
        <v/>
      </c>
      <c r="BX169" s="65">
        <f t="shared" si="371"/>
        <v>0</v>
      </c>
      <c r="BY169" s="65">
        <f t="shared" si="372"/>
        <v>0</v>
      </c>
      <c r="BZ169" s="66" t="str">
        <f t="shared" si="373"/>
        <v/>
      </c>
      <c r="CA169" s="65" t="str">
        <f t="shared" si="374"/>
        <v/>
      </c>
      <c r="CB169" s="65" t="str">
        <f t="shared" si="375"/>
        <v/>
      </c>
      <c r="CC169" s="65" t="str">
        <f t="shared" si="376"/>
        <v/>
      </c>
      <c r="CD169" s="66">
        <f t="shared" si="497"/>
        <v>0</v>
      </c>
      <c r="CE169" s="68" t="str">
        <f>IF('Marks Entry'!AL169="","",'Marks Entry'!AL169)</f>
        <v/>
      </c>
      <c r="CF169" s="68" t="str">
        <f>IF('Marks Entry'!AM169="","",'Marks Entry'!AM169)</f>
        <v/>
      </c>
      <c r="CG169" s="68" t="str">
        <f>IF('Marks Entry'!AN169="","",'Marks Entry'!AN169)</f>
        <v/>
      </c>
      <c r="CH169" s="514" t="str">
        <f t="shared" si="378"/>
        <v/>
      </c>
      <c r="CI169" s="68" t="str">
        <f>IF('Marks Entry'!AO169="","",'Marks Entry'!AO169)</f>
        <v/>
      </c>
      <c r="CJ169" s="515" t="str">
        <f t="shared" si="379"/>
        <v/>
      </c>
      <c r="CK169" s="68" t="str">
        <f>IF('Marks Entry'!AP169="","",'Marks Entry'!AP169)</f>
        <v/>
      </c>
      <c r="CL169" s="96" t="str">
        <f t="shared" si="380"/>
        <v/>
      </c>
      <c r="CM169" s="65">
        <f t="shared" si="381"/>
        <v>0</v>
      </c>
      <c r="CN169" s="65">
        <f t="shared" si="382"/>
        <v>0</v>
      </c>
      <c r="CO169" s="66" t="str">
        <f t="shared" si="383"/>
        <v/>
      </c>
      <c r="CP169" s="65" t="str">
        <f t="shared" si="384"/>
        <v/>
      </c>
      <c r="CQ169" s="65" t="str">
        <f t="shared" si="385"/>
        <v/>
      </c>
      <c r="CR169" s="65" t="str">
        <f t="shared" si="386"/>
        <v/>
      </c>
      <c r="CS169" s="616" t="str">
        <f>IF('School Profile'!$D$20="NO","",IF('Marks Entry'!AQ169="","",IF('Marks Entry'!AQ169=1,'School Profile'!$I$29,IF('Marks Entry'!AQ169=2,'School Profile'!$I$30,IF('Marks Entry'!AQ169=3,'School Profile'!$I$31,IF('Marks Entry'!AQ169=4,'School Profile'!$I$32,IF('Marks Entry'!AQ169=5,'School Profile'!$I$33,IF('Marks Entry'!AQ169=6,'School Profile'!$I$34,IF('Marks Entry'!AQ169=7,'School Profile'!$I$35,IF('Marks Entry'!AQ169=8,'School Profile'!$I$36,IF('Marks Entry'!AQ169=9,'School Profile'!$I$37,IF('Marks Entry'!AQ169=10,'School Profile'!$I$38,IF('Marks Entry'!AQ169=11,'School Profile'!$I$39,"")))))))))))))</f>
        <v/>
      </c>
      <c r="CT169" s="68" t="str">
        <f>IF('School Profile'!$D$20="NO","",IF('Marks Entry'!AR169="","",'Marks Entry'!AR169))</f>
        <v/>
      </c>
      <c r="CU169" s="68" t="str">
        <f>IF('School Profile'!$D$20="NO","",IF('Marks Entry'!AS169="","",'Marks Entry'!AS169))</f>
        <v/>
      </c>
      <c r="CV169" s="68" t="str">
        <f>IF('School Profile'!$D$20="NO","",IF('Marks Entry'!AT169="","",'Marks Entry'!AT169))</f>
        <v/>
      </c>
      <c r="CW169" s="514" t="str">
        <f>IF('School Profile'!$D$20="NO","",IF(AND(CT169="",CU169="",CV169=""),"",SUM(CT169:CV169)))</f>
        <v/>
      </c>
      <c r="CX169" s="68" t="str">
        <f>IF('School Profile'!$D$20="NO","",IF('Marks Entry'!AU169="","",'Marks Entry'!AU169))</f>
        <v/>
      </c>
      <c r="CY169" s="68" t="str">
        <f>IF('School Profile'!$D$20="NO","",IF('Marks Entry'!AV169="","",'Marks Entry'!AV169))</f>
        <v/>
      </c>
      <c r="CZ169" s="515" t="str">
        <f>IF('School Profile'!$D$20="NO","",IF(AND(CX169="",CY169=""),"",SUM(CX169,CY169)))</f>
        <v/>
      </c>
      <c r="DA169" s="69" t="str">
        <f>IF('School Profile'!$D$20="NO","",IF(AND(CW169="",CZ169=""),"",SUM(CW169+CZ169)))</f>
        <v/>
      </c>
      <c r="DB169" s="68" t="str">
        <f>IF('School Profile'!$D$20="NO","",IF('Marks Entry'!AW169="","",'Marks Entry'!AW169))</f>
        <v/>
      </c>
      <c r="DC169" s="68" t="str">
        <f>IF('School Profile'!$D$20="NO","",IF('Marks Entry'!AX169="","",'Marks Entry'!AX169))</f>
        <v/>
      </c>
      <c r="DD169" s="515" t="str">
        <f>IF('School Profile'!$D$20="NO","",IF(AND(DB169="",DC169=""),"",SUM(DB169,DC169)))</f>
        <v/>
      </c>
      <c r="DE169" s="96" t="str">
        <f>IF('School Profile'!$D$20="NO","",IF(AND(DA169="",DD169=""),"",SUM(DA169,DD169)))</f>
        <v/>
      </c>
      <c r="DF169" s="532">
        <f t="shared" si="387"/>
        <v>0</v>
      </c>
      <c r="DG169" s="65">
        <f t="shared" si="388"/>
        <v>0</v>
      </c>
      <c r="DH169" s="66" t="str">
        <f t="shared" si="389"/>
        <v/>
      </c>
      <c r="DI169" s="65" t="str">
        <f t="shared" si="390"/>
        <v/>
      </c>
      <c r="DJ169" s="65" t="str">
        <f t="shared" si="391"/>
        <v/>
      </c>
      <c r="DK169" s="65" t="str">
        <f t="shared" si="392"/>
        <v/>
      </c>
      <c r="DL169" s="97" t="str">
        <f t="shared" si="432"/>
        <v/>
      </c>
      <c r="DM169" s="97" t="str">
        <f t="shared" si="433"/>
        <v/>
      </c>
      <c r="DN169" s="97" t="str">
        <f t="shared" si="434"/>
        <v/>
      </c>
      <c r="DO169" s="97" t="str">
        <f t="shared" si="435"/>
        <v/>
      </c>
      <c r="DP169" s="97" t="str">
        <f t="shared" si="436"/>
        <v/>
      </c>
      <c r="DQ169" s="97" t="str">
        <f t="shared" si="437"/>
        <v/>
      </c>
      <c r="DR169" s="97" t="str">
        <f t="shared" si="438"/>
        <v/>
      </c>
      <c r="DS169" s="98">
        <f t="shared" si="439"/>
        <v>0</v>
      </c>
      <c r="DT169" s="98">
        <f t="shared" si="440"/>
        <v>0</v>
      </c>
      <c r="DU169" s="98">
        <f t="shared" si="441"/>
        <v>0</v>
      </c>
      <c r="DV169" s="98">
        <f t="shared" si="442"/>
        <v>0</v>
      </c>
      <c r="DW169" s="98">
        <f t="shared" si="443"/>
        <v>0</v>
      </c>
      <c r="DX169" s="98" t="str">
        <f t="shared" si="444"/>
        <v/>
      </c>
      <c r="DY169" s="99" t="str">
        <f t="shared" si="445"/>
        <v/>
      </c>
      <c r="DZ169" s="74" t="str">
        <f>IF('Marks Entry'!AY169="","",'Marks Entry'!AY169)</f>
        <v/>
      </c>
      <c r="EA169" s="74" t="str">
        <f>IF('Marks Entry'!AZ169="","",'Marks Entry'!AZ169)</f>
        <v/>
      </c>
      <c r="EB169" s="74" t="str">
        <f>IF('Marks Entry'!BA169="","",'Marks Entry'!BA169)</f>
        <v/>
      </c>
      <c r="EC169" s="527" t="str">
        <f t="shared" si="393"/>
        <v/>
      </c>
      <c r="ED169" s="74" t="str">
        <f>IF('Marks Entry'!BB169="","",'Marks Entry'!BB169)</f>
        <v/>
      </c>
      <c r="EE169" s="528" t="str">
        <f t="shared" si="394"/>
        <v/>
      </c>
      <c r="EF169" s="74" t="str">
        <f>IF('Marks Entry'!BC169="","",'Marks Entry'!BC169)</f>
        <v/>
      </c>
      <c r="EG169" s="530" t="str">
        <f t="shared" si="395"/>
        <v/>
      </c>
      <c r="EH169" s="368" t="str">
        <f t="shared" si="446"/>
        <v/>
      </c>
      <c r="EI169" s="65">
        <f t="shared" si="447"/>
        <v>0</v>
      </c>
      <c r="EJ169" s="65">
        <f t="shared" si="448"/>
        <v>0</v>
      </c>
      <c r="EK169" s="66" t="str">
        <f t="shared" si="449"/>
        <v/>
      </c>
      <c r="EL169" s="74" t="str">
        <f>IF('Marks Entry'!BD169="","",'Marks Entry'!BD169)</f>
        <v/>
      </c>
      <c r="EM169" s="74" t="str">
        <f>IF('Marks Entry'!BE169="","",'Marks Entry'!BE169)</f>
        <v/>
      </c>
      <c r="EN169" s="74" t="str">
        <f>IF('Marks Entry'!BF169="","",'Marks Entry'!BF169)</f>
        <v/>
      </c>
      <c r="EO169" s="527" t="str">
        <f t="shared" si="396"/>
        <v/>
      </c>
      <c r="EP169" s="74" t="str">
        <f>IF('Marks Entry'!BG169="","",'Marks Entry'!BG169)</f>
        <v/>
      </c>
      <c r="EQ169" s="74" t="str">
        <f>IF('Marks Entry'!BH169="","",'Marks Entry'!BH169)</f>
        <v/>
      </c>
      <c r="ER169" s="528" t="str">
        <f t="shared" si="397"/>
        <v/>
      </c>
      <c r="ES169" s="529" t="str">
        <f t="shared" si="398"/>
        <v/>
      </c>
      <c r="ET169" s="74" t="str">
        <f>IF('Marks Entry'!BI169="","",'Marks Entry'!BI169)</f>
        <v/>
      </c>
      <c r="EU169" s="74" t="str">
        <f>IF('Marks Entry'!BJ169="","",'Marks Entry'!BJ169)</f>
        <v/>
      </c>
      <c r="EV169" s="528" t="str">
        <f t="shared" si="399"/>
        <v/>
      </c>
      <c r="EW169" s="530" t="str">
        <f t="shared" si="400"/>
        <v/>
      </c>
      <c r="EX169" s="368" t="str">
        <f t="shared" si="450"/>
        <v/>
      </c>
      <c r="EY169" s="65">
        <f t="shared" si="451"/>
        <v>0</v>
      </c>
      <c r="EZ169" s="65">
        <f t="shared" si="452"/>
        <v>0</v>
      </c>
      <c r="FA169" s="66" t="str">
        <f t="shared" si="453"/>
        <v/>
      </c>
      <c r="FB169" s="74" t="str">
        <f>IF('Marks Entry'!BK169="","",'Marks Entry'!BK169)</f>
        <v/>
      </c>
      <c r="FC169" s="74" t="str">
        <f>IF('Marks Entry'!BL169="","",'Marks Entry'!BL169)</f>
        <v/>
      </c>
      <c r="FD169" s="74" t="str">
        <f>IF('Marks Entry'!BM169="","",'Marks Entry'!BM169)</f>
        <v/>
      </c>
      <c r="FE169" s="74" t="str">
        <f>IF('Marks Entry'!BN169="","",'Marks Entry'!BN169)</f>
        <v/>
      </c>
      <c r="FF169" s="74" t="str">
        <f>IF('Marks Entry'!BO169="","",'Marks Entry'!BO169)</f>
        <v/>
      </c>
      <c r="FG169" s="74" t="str">
        <f>IF('Marks Entry'!BP169="","",'Marks Entry'!BP169)</f>
        <v/>
      </c>
      <c r="FH169" s="527" t="str">
        <f t="shared" si="401"/>
        <v/>
      </c>
      <c r="FI169" s="74" t="str">
        <f>IF('Marks Entry'!BQ169="","",'Marks Entry'!BQ169)</f>
        <v/>
      </c>
      <c r="FJ169" s="74" t="str">
        <f>IF('Marks Entry'!BR169="","",'Marks Entry'!BR169)</f>
        <v/>
      </c>
      <c r="FK169" s="528" t="str">
        <f t="shared" si="402"/>
        <v/>
      </c>
      <c r="FL169" s="529" t="str">
        <f t="shared" si="403"/>
        <v/>
      </c>
      <c r="FM169" s="74" t="str">
        <f>IF('Marks Entry'!BS169="","",'Marks Entry'!BS169)</f>
        <v/>
      </c>
      <c r="FN169" s="74" t="str">
        <f>IF('Marks Entry'!BT169="","",'Marks Entry'!BT169)</f>
        <v/>
      </c>
      <c r="FO169" s="528" t="str">
        <f t="shared" si="404"/>
        <v/>
      </c>
      <c r="FP169" s="530" t="str">
        <f t="shared" si="405"/>
        <v/>
      </c>
      <c r="FQ169" s="368" t="str">
        <f t="shared" si="454"/>
        <v/>
      </c>
      <c r="FR169" s="65">
        <f t="shared" si="455"/>
        <v>0</v>
      </c>
      <c r="FS169" s="65">
        <f t="shared" si="456"/>
        <v>0</v>
      </c>
      <c r="FT169" s="66" t="str">
        <f t="shared" si="457"/>
        <v/>
      </c>
      <c r="FU169" s="74" t="str">
        <f>IF('Marks Entry'!BU169="","",'Marks Entry'!BU169)</f>
        <v/>
      </c>
      <c r="FV169" s="74" t="str">
        <f>IF('Marks Entry'!BV169="","",'Marks Entry'!BV169)</f>
        <v/>
      </c>
      <c r="FW169" s="74" t="str">
        <f>IF('Marks Entry'!BW169="","",'Marks Entry'!BW169)</f>
        <v/>
      </c>
      <c r="FX169" s="75" t="str">
        <f t="shared" si="406"/>
        <v/>
      </c>
      <c r="FY169" s="368" t="str">
        <f t="shared" si="458"/>
        <v/>
      </c>
      <c r="FZ169" s="65">
        <f t="shared" si="459"/>
        <v>0</v>
      </c>
      <c r="GA169" s="66">
        <f t="shared" si="460"/>
        <v>0</v>
      </c>
      <c r="GB169" s="66" t="str">
        <f t="shared" si="461"/>
        <v/>
      </c>
      <c r="GC169" s="74" t="str">
        <f>IF('Marks Entry'!BX169="","",'Marks Entry'!BX169)</f>
        <v/>
      </c>
      <c r="GD169" s="74" t="str">
        <f>IF('Marks Entry'!BY169="","",'Marks Entry'!BY169)</f>
        <v/>
      </c>
      <c r="GE169" s="74" t="str">
        <f>IF('Marks Entry'!BZ169="","",'Marks Entry'!BZ169)</f>
        <v/>
      </c>
      <c r="GF169" s="75" t="str">
        <f t="shared" si="462"/>
        <v/>
      </c>
      <c r="GG169" s="368" t="str">
        <f t="shared" si="463"/>
        <v/>
      </c>
      <c r="GH169" s="65">
        <f t="shared" si="464"/>
        <v>0</v>
      </c>
      <c r="GI169" s="66">
        <f t="shared" si="465"/>
        <v>0</v>
      </c>
      <c r="GJ169" s="66" t="str">
        <f t="shared" si="466"/>
        <v/>
      </c>
      <c r="GK169" s="100" t="str">
        <f>IF(AND(F169="",B169=""),"",IF('Student DATA Entry'!M166="","",'Student DATA Entry'!M166))</f>
        <v/>
      </c>
      <c r="GL169" s="101" t="str">
        <f>IF(AND(B169="",F169=""),"",IF('Student DATA Entry'!N166="","",'Student DATA Entry'!N166))</f>
        <v/>
      </c>
      <c r="GM169" s="581" t="str">
        <f t="shared" si="467"/>
        <v/>
      </c>
      <c r="GN169" s="94" t="str">
        <f t="shared" si="468"/>
        <v/>
      </c>
      <c r="GO169" s="94" t="str">
        <f t="shared" si="469"/>
        <v/>
      </c>
      <c r="GP169" s="102" t="str">
        <f t="shared" si="498"/>
        <v/>
      </c>
      <c r="GQ169" s="94" t="str">
        <f t="shared" si="470"/>
        <v/>
      </c>
      <c r="GR169" s="103" t="str">
        <f t="shared" si="471"/>
        <v/>
      </c>
      <c r="GS169" s="102" t="str">
        <f t="shared" si="499"/>
        <v/>
      </c>
      <c r="GT169" s="104" t="str">
        <f t="shared" si="472"/>
        <v/>
      </c>
      <c r="GU169" s="94" t="str">
        <f>IF('Marks Entry'!V169=1,GT169,"")</f>
        <v/>
      </c>
      <c r="GV169" s="94" t="str">
        <f>IF('Marks Entry'!V169=2,GT169,"")</f>
        <v/>
      </c>
      <c r="GW169" s="94" t="str">
        <f>IF('Marks Entry'!V169=3,GT169,"")</f>
        <v/>
      </c>
      <c r="GX169" s="94" t="str">
        <f>IF('Marks Entry'!V169=4,GT169,"")</f>
        <v/>
      </c>
      <c r="GY169" s="94" t="str">
        <f>IF('Marks Entry'!V169=5,GT169,"")</f>
        <v/>
      </c>
      <c r="GZ169" s="94" t="str">
        <f t="shared" si="473"/>
        <v/>
      </c>
      <c r="HA169" s="105" t="str">
        <f t="shared" si="500"/>
        <v/>
      </c>
      <c r="HB169" s="94" t="str">
        <f t="shared" si="474"/>
        <v/>
      </c>
      <c r="HC169" s="94" t="str">
        <f t="shared" si="475"/>
        <v/>
      </c>
      <c r="HD169" s="105" t="str">
        <f t="shared" si="501"/>
        <v/>
      </c>
      <c r="HE169" s="94" t="str">
        <f t="shared" si="476"/>
        <v/>
      </c>
      <c r="HF169" s="94" t="str">
        <f t="shared" si="477"/>
        <v/>
      </c>
      <c r="HG169" s="105" t="str">
        <f t="shared" si="502"/>
        <v/>
      </c>
      <c r="HH169" s="94" t="str">
        <f t="shared" si="478"/>
        <v/>
      </c>
      <c r="HI169" s="94" t="str">
        <f t="shared" si="479"/>
        <v/>
      </c>
      <c r="HJ169" s="105" t="str">
        <f t="shared" si="503"/>
        <v/>
      </c>
      <c r="HK169" s="94" t="str">
        <f t="shared" si="480"/>
        <v/>
      </c>
      <c r="HL169" s="94" t="str">
        <f t="shared" si="481"/>
        <v/>
      </c>
      <c r="HM169" s="105" t="str">
        <f t="shared" si="504"/>
        <v/>
      </c>
      <c r="HN169" s="367" t="str">
        <f t="shared" si="482"/>
        <v xml:space="preserve">      </v>
      </c>
      <c r="HO169" s="418" t="str">
        <f t="shared" si="505"/>
        <v xml:space="preserve">      </v>
      </c>
      <c r="HP169" s="367" t="str">
        <f t="shared" si="483"/>
        <v xml:space="preserve">      </v>
      </c>
      <c r="HQ169" s="107" t="str">
        <f t="shared" si="484"/>
        <v xml:space="preserve">      </v>
      </c>
      <c r="HR169" s="366" t="str">
        <f t="shared" si="485"/>
        <v xml:space="preserve">      </v>
      </c>
      <c r="HS169" s="544" t="str">
        <f t="shared" si="506"/>
        <v/>
      </c>
      <c r="HT169" s="542" t="str">
        <f t="shared" si="486"/>
        <v/>
      </c>
      <c r="HU169" s="541" t="str">
        <f t="shared" si="487"/>
        <v/>
      </c>
      <c r="HV169" s="540" t="str">
        <f t="shared" si="488"/>
        <v/>
      </c>
      <c r="HW169" s="537" t="str">
        <f t="shared" si="489"/>
        <v/>
      </c>
      <c r="HX169" s="539" t="str">
        <f t="shared" si="490"/>
        <v/>
      </c>
      <c r="HY169" s="553" t="str">
        <f>IFERROR(IF(OR(HS169="SUPPLEMENTARY",HS169="RE-EXAM"),'Supp. Result Entry'!AQ167,""),"")</f>
        <v/>
      </c>
      <c r="HZ169" s="538" t="str">
        <f t="shared" si="491"/>
        <v/>
      </c>
      <c r="IA169" s="415" t="str">
        <f t="shared" si="492"/>
        <v/>
      </c>
      <c r="IB169" s="415" t="str">
        <f>IF(AND(HZ169="",IA169=""),"",IF(OR(HS169="SUPPLEMENTARY",HS169="RE-EXAM"),'Supp. Result Entry'!AQ167,HS169))</f>
        <v/>
      </c>
      <c r="IC169" s="87"/>
      <c r="IS169" s="109" t="str">
        <f>IF('Supp. Result Entry'!T167="","",'Supp. Result Entry'!$T$4)</f>
        <v/>
      </c>
      <c r="IT169" s="110" t="str">
        <f>IF('Supp. Result Entry'!W167="","",'Supp. Result Entry'!$W$4)</f>
        <v/>
      </c>
      <c r="IU169" s="110" t="str">
        <f>IF('Supp. Result Entry'!Z167="","",'Supp. Result Entry'!$Z$4)</f>
        <v/>
      </c>
      <c r="IV169" s="110" t="str">
        <f>IF('Supp. Result Entry'!AC167="","",'Supp. Result Entry'!$AC$4)</f>
        <v/>
      </c>
      <c r="IW169" s="110" t="str">
        <f>IF('Supp. Result Entry'!AF167="","",'Supp. Result Entry'!$AF$4)</f>
        <v/>
      </c>
      <c r="IX169" s="110" t="str">
        <f>IF('Supp. Result Entry'!AI167="","",'Supp. Result Entry'!$AI$4)</f>
        <v/>
      </c>
      <c r="IY169" s="110" t="str">
        <f>IF('Supp. Result Entry'!AI167="","",'Supp. Result Entry'!$AL$4)</f>
        <v/>
      </c>
      <c r="IZ169" s="110" t="str">
        <f>IF('Supp. Result Entry'!U167="","",'Supp. Result Entry'!U167)</f>
        <v/>
      </c>
      <c r="JA169" s="110" t="str">
        <f>IF('Supp. Result Entry'!X167="","",'Supp. Result Entry'!X167)</f>
        <v/>
      </c>
      <c r="JB169" s="110" t="str">
        <f>IF('Supp. Result Entry'!AA167="","",'Supp. Result Entry'!AA167)</f>
        <v/>
      </c>
      <c r="JC169" s="110" t="str">
        <f>IF('Supp. Result Entry'!AD167="","",'Supp. Result Entry'!AD167)</f>
        <v/>
      </c>
      <c r="JD169" s="110" t="str">
        <f>IF('Supp. Result Entry'!AG167="","",'Supp. Result Entry'!AG167)</f>
        <v/>
      </c>
      <c r="JE169" s="110" t="str">
        <f>IF('Supp. Result Entry'!AJ167="","",'Supp. Result Entry'!AJ167)</f>
        <v/>
      </c>
      <c r="JF169" s="110" t="str">
        <f>IF('Supp. Result Entry'!AM167="","",'Supp. Result Entry'!AM167)</f>
        <v/>
      </c>
      <c r="JG169" s="110" t="str">
        <f>IF('Supp. Result Entry'!V167="","",'Supp. Result Entry'!V167)</f>
        <v/>
      </c>
      <c r="JH169" s="110" t="str">
        <f>IF('Supp. Result Entry'!Y167="","",'Supp. Result Entry'!Y167)</f>
        <v/>
      </c>
      <c r="JI169" s="110" t="str">
        <f>IF('Supp. Result Entry'!AB167="","",'Supp. Result Entry'!AB167)</f>
        <v/>
      </c>
      <c r="JJ169" s="110" t="str">
        <f>IF('Supp. Result Entry'!AE167="","",'Supp. Result Entry'!AE167)</f>
        <v/>
      </c>
      <c r="JK169" s="110" t="str">
        <f>IF('Supp. Result Entry'!AH167="","",'Supp. Result Entry'!AH167)</f>
        <v/>
      </c>
      <c r="JL169" s="110" t="str">
        <f>IF('Supp. Result Entry'!AK167="","",'Supp. Result Entry'!AK167)</f>
        <v/>
      </c>
      <c r="JM169" s="110" t="str">
        <f>IF('Supp. Result Entry'!AN167="","",'Supp. Result Entry'!AN167)</f>
        <v/>
      </c>
      <c r="JN169" s="110">
        <f>COUNTIF('Supp. Result Entry'!K167:Q167,"S")</f>
        <v>0</v>
      </c>
      <c r="JO169" s="110">
        <f t="shared" si="416"/>
        <v>0</v>
      </c>
      <c r="JP169" s="110">
        <f t="shared" si="493"/>
        <v>0</v>
      </c>
      <c r="JQ169" s="110" t="str">
        <f t="shared" si="417"/>
        <v/>
      </c>
      <c r="JR169" s="110" t="str">
        <f t="shared" si="418"/>
        <v/>
      </c>
      <c r="JS169" s="110" t="str">
        <f t="shared" si="419"/>
        <v/>
      </c>
      <c r="JT169" s="110" t="str">
        <f t="shared" si="420"/>
        <v/>
      </c>
      <c r="JU169" s="110" t="str">
        <f t="shared" si="421"/>
        <v/>
      </c>
      <c r="JV169" s="110" t="str">
        <f t="shared" si="422"/>
        <v/>
      </c>
      <c r="JW169" s="110" t="str">
        <f t="shared" si="423"/>
        <v/>
      </c>
      <c r="JX169" s="110" t="str">
        <f t="shared" si="494"/>
        <v/>
      </c>
      <c r="JY169" s="110" t="str">
        <f t="shared" si="495"/>
        <v/>
      </c>
      <c r="JZ169" s="110" t="str">
        <f t="shared" si="424"/>
        <v/>
      </c>
      <c r="KA169" s="108" t="str">
        <f t="shared" si="496"/>
        <v/>
      </c>
    </row>
    <row r="170" spans="1:287" s="108" customFormat="1" ht="21.95" customHeight="1">
      <c r="A170" s="89">
        <v>164</v>
      </c>
      <c r="B170" s="90" t="str">
        <f>IF('Marks Entry'!B170="","",'Marks Entry'!B170)</f>
        <v/>
      </c>
      <c r="C170" s="94" t="str">
        <f>IF('Marks Entry'!D170="","",'Marks Entry'!D170)</f>
        <v/>
      </c>
      <c r="D170" s="91" t="str">
        <f>IF('Marks Entry'!E170="","",'Marks Entry'!E170)</f>
        <v/>
      </c>
      <c r="E170" s="92" t="str">
        <f>IF('Marks Entry'!F170="","",'Marks Entry'!F170)</f>
        <v/>
      </c>
      <c r="F170" s="93" t="str">
        <f>IF('Marks Entry'!G170="","",'Marks Entry'!G170)</f>
        <v/>
      </c>
      <c r="G170" s="93" t="str">
        <f>IF('Marks Entry'!H170="","",'Marks Entry'!H170)</f>
        <v/>
      </c>
      <c r="H170" s="93" t="str">
        <f>IF('Marks Entry'!I170="","",'Marks Entry'!I170)</f>
        <v/>
      </c>
      <c r="I170" s="94" t="str">
        <f>IF('Marks Entry'!J170="","",'Marks Entry'!J170)</f>
        <v/>
      </c>
      <c r="J170" s="95" t="str">
        <f>IF('Marks Entry'!K170="","",'Marks Entry'!K170)</f>
        <v/>
      </c>
      <c r="K170" s="68" t="str">
        <f>IF('Marks Entry'!L170="","",'Marks Entry'!L170)</f>
        <v/>
      </c>
      <c r="L170" s="68" t="str">
        <f>IF('Marks Entry'!M170="","",'Marks Entry'!M170)</f>
        <v/>
      </c>
      <c r="M170" s="68" t="str">
        <f>IF('Marks Entry'!N170="","",'Marks Entry'!N170)</f>
        <v/>
      </c>
      <c r="N170" s="514" t="str">
        <f t="shared" si="425"/>
        <v/>
      </c>
      <c r="O170" s="68" t="str">
        <f>IF('Marks Entry'!O170="","",'Marks Entry'!O170)</f>
        <v/>
      </c>
      <c r="P170" s="515" t="str">
        <f t="shared" si="426"/>
        <v/>
      </c>
      <c r="Q170" s="68" t="str">
        <f>IF('Marks Entry'!P170="","",'Marks Entry'!P170)</f>
        <v/>
      </c>
      <c r="R170" s="96" t="str">
        <f t="shared" si="427"/>
        <v/>
      </c>
      <c r="S170" s="65">
        <f t="shared" si="428"/>
        <v>0</v>
      </c>
      <c r="T170" s="65">
        <f t="shared" si="429"/>
        <v>0</v>
      </c>
      <c r="U170" s="66" t="str">
        <f t="shared" si="339"/>
        <v/>
      </c>
      <c r="V170" s="65" t="str">
        <f t="shared" si="340"/>
        <v/>
      </c>
      <c r="W170" s="65" t="str">
        <f t="shared" si="430"/>
        <v/>
      </c>
      <c r="X170" s="65" t="str">
        <f t="shared" si="341"/>
        <v/>
      </c>
      <c r="Y170" s="68" t="str">
        <f>IF('Marks Entry'!Q170="","",'Marks Entry'!Q170)</f>
        <v/>
      </c>
      <c r="Z170" s="68" t="str">
        <f>IF('Marks Entry'!R170="","",'Marks Entry'!R170)</f>
        <v/>
      </c>
      <c r="AA170" s="68" t="str">
        <f>IF('Marks Entry'!S170="","",'Marks Entry'!S170)</f>
        <v/>
      </c>
      <c r="AB170" s="514" t="str">
        <f t="shared" si="342"/>
        <v/>
      </c>
      <c r="AC170" s="68" t="str">
        <f>IF('Marks Entry'!T170="","",'Marks Entry'!T170)</f>
        <v/>
      </c>
      <c r="AD170" s="515" t="str">
        <f t="shared" si="343"/>
        <v/>
      </c>
      <c r="AE170" s="68" t="str">
        <f>IF('Marks Entry'!U170="","",'Marks Entry'!U170)</f>
        <v/>
      </c>
      <c r="AF170" s="96" t="str">
        <f t="shared" si="344"/>
        <v/>
      </c>
      <c r="AG170" s="65">
        <f t="shared" si="345"/>
        <v>0</v>
      </c>
      <c r="AH170" s="65">
        <f t="shared" si="346"/>
        <v>0</v>
      </c>
      <c r="AI170" s="66" t="str">
        <f t="shared" si="347"/>
        <v/>
      </c>
      <c r="AJ170" s="65" t="str">
        <f t="shared" si="348"/>
        <v/>
      </c>
      <c r="AK170" s="65" t="str">
        <f t="shared" si="349"/>
        <v/>
      </c>
      <c r="AL170" s="65" t="str">
        <f t="shared" si="350"/>
        <v/>
      </c>
      <c r="AM170" s="524" t="str">
        <f>IF('Marks Entry'!V170="","",IF('Marks Entry'!V170=1,'School Profile'!$I$9,IF('Marks Entry'!V170=2,'School Profile'!$I$10,IF('Marks Entry'!V170=3,'School Profile'!$I$11,IF('Marks Entry'!V170=4,'School Profile'!$I$12,IF('Marks Entry'!V170=5,'School Profile'!$I$13,IF('Marks Entry'!V170=6,'School Profile'!$I$14,"")))))))</f>
        <v/>
      </c>
      <c r="AN170" s="68" t="str">
        <f>IF('Marks Entry'!W170="","",'Marks Entry'!W170)</f>
        <v/>
      </c>
      <c r="AO170" s="68" t="str">
        <f>IF('Marks Entry'!X170="","",'Marks Entry'!X170)</f>
        <v/>
      </c>
      <c r="AP170" s="68" t="str">
        <f>IF('Marks Entry'!Y170="","",'Marks Entry'!Y170)</f>
        <v/>
      </c>
      <c r="AQ170" s="514" t="str">
        <f t="shared" si="351"/>
        <v/>
      </c>
      <c r="AR170" s="68" t="str">
        <f>IF('Marks Entry'!Z170="","",'Marks Entry'!Z170)</f>
        <v/>
      </c>
      <c r="AS170" s="515" t="str">
        <f t="shared" si="352"/>
        <v/>
      </c>
      <c r="AT170" s="68" t="str">
        <f>IF('Marks Entry'!AA170="","",'Marks Entry'!AA170)</f>
        <v/>
      </c>
      <c r="AU170" s="96" t="str">
        <f t="shared" si="353"/>
        <v/>
      </c>
      <c r="AV170" s="65">
        <f t="shared" si="354"/>
        <v>0</v>
      </c>
      <c r="AW170" s="65">
        <f t="shared" si="355"/>
        <v>0</v>
      </c>
      <c r="AX170" s="66" t="str">
        <f t="shared" si="356"/>
        <v/>
      </c>
      <c r="AY170" s="65" t="str">
        <f t="shared" si="357"/>
        <v/>
      </c>
      <c r="AZ170" s="65" t="str">
        <f t="shared" si="358"/>
        <v/>
      </c>
      <c r="BA170" s="65" t="str">
        <f t="shared" si="359"/>
        <v/>
      </c>
      <c r="BB170" s="68" t="str">
        <f>IF('Marks Entry'!AB170="","",'Marks Entry'!AB170)</f>
        <v/>
      </c>
      <c r="BC170" s="68" t="str">
        <f>IF('Marks Entry'!AC170="","",'Marks Entry'!AC170)</f>
        <v/>
      </c>
      <c r="BD170" s="68" t="str">
        <f>IF('Marks Entry'!AD170="","",'Marks Entry'!AD170)</f>
        <v/>
      </c>
      <c r="BE170" s="514" t="str">
        <f t="shared" si="360"/>
        <v/>
      </c>
      <c r="BF170" s="68" t="str">
        <f>IF('Marks Entry'!AE170="","",'Marks Entry'!AE170)</f>
        <v/>
      </c>
      <c r="BG170" s="515" t="str">
        <f t="shared" si="361"/>
        <v/>
      </c>
      <c r="BH170" s="68" t="str">
        <f>IF('Marks Entry'!AF170="","",'Marks Entry'!AF170)</f>
        <v/>
      </c>
      <c r="BI170" s="96" t="str">
        <f t="shared" si="362"/>
        <v/>
      </c>
      <c r="BJ170" s="65">
        <f t="shared" si="363"/>
        <v>0</v>
      </c>
      <c r="BK170" s="65">
        <f t="shared" si="431"/>
        <v>0</v>
      </c>
      <c r="BL170" s="66" t="str">
        <f t="shared" si="364"/>
        <v/>
      </c>
      <c r="BM170" s="65" t="str">
        <f t="shared" si="365"/>
        <v/>
      </c>
      <c r="BN170" s="65" t="str">
        <f t="shared" si="366"/>
        <v/>
      </c>
      <c r="BO170" s="65" t="str">
        <f t="shared" si="367"/>
        <v/>
      </c>
      <c r="BP170" s="68" t="str">
        <f>IF('Marks Entry'!AG170="","",'Marks Entry'!AG170)</f>
        <v/>
      </c>
      <c r="BQ170" s="68" t="str">
        <f>IF('Marks Entry'!AH170="","",'Marks Entry'!AH170)</f>
        <v/>
      </c>
      <c r="BR170" s="68" t="str">
        <f>IF('Marks Entry'!AI170="","",'Marks Entry'!AI170)</f>
        <v/>
      </c>
      <c r="BS170" s="514" t="str">
        <f t="shared" si="368"/>
        <v/>
      </c>
      <c r="BT170" s="68" t="str">
        <f>IF('Marks Entry'!AJ170="","",'Marks Entry'!AJ170)</f>
        <v/>
      </c>
      <c r="BU170" s="515" t="str">
        <f t="shared" si="369"/>
        <v/>
      </c>
      <c r="BV170" s="68" t="str">
        <f>IF('Marks Entry'!AK170="","",'Marks Entry'!AK170)</f>
        <v/>
      </c>
      <c r="BW170" s="96" t="str">
        <f t="shared" si="370"/>
        <v/>
      </c>
      <c r="BX170" s="65">
        <f t="shared" si="371"/>
        <v>0</v>
      </c>
      <c r="BY170" s="65">
        <f t="shared" si="372"/>
        <v>0</v>
      </c>
      <c r="BZ170" s="66" t="str">
        <f t="shared" si="373"/>
        <v/>
      </c>
      <c r="CA170" s="65" t="str">
        <f t="shared" si="374"/>
        <v/>
      </c>
      <c r="CB170" s="65" t="str">
        <f t="shared" si="375"/>
        <v/>
      </c>
      <c r="CC170" s="65" t="str">
        <f t="shared" si="376"/>
        <v/>
      </c>
      <c r="CD170" s="66">
        <f t="shared" si="497"/>
        <v>0</v>
      </c>
      <c r="CE170" s="68" t="str">
        <f>IF('Marks Entry'!AL170="","",'Marks Entry'!AL170)</f>
        <v/>
      </c>
      <c r="CF170" s="68" t="str">
        <f>IF('Marks Entry'!AM170="","",'Marks Entry'!AM170)</f>
        <v/>
      </c>
      <c r="CG170" s="68" t="str">
        <f>IF('Marks Entry'!AN170="","",'Marks Entry'!AN170)</f>
        <v/>
      </c>
      <c r="CH170" s="514" t="str">
        <f t="shared" si="378"/>
        <v/>
      </c>
      <c r="CI170" s="68" t="str">
        <f>IF('Marks Entry'!AO170="","",'Marks Entry'!AO170)</f>
        <v/>
      </c>
      <c r="CJ170" s="515" t="str">
        <f t="shared" si="379"/>
        <v/>
      </c>
      <c r="CK170" s="68" t="str">
        <f>IF('Marks Entry'!AP170="","",'Marks Entry'!AP170)</f>
        <v/>
      </c>
      <c r="CL170" s="96" t="str">
        <f t="shared" si="380"/>
        <v/>
      </c>
      <c r="CM170" s="65">
        <f t="shared" si="381"/>
        <v>0</v>
      </c>
      <c r="CN170" s="65">
        <f t="shared" si="382"/>
        <v>0</v>
      </c>
      <c r="CO170" s="66" t="str">
        <f t="shared" si="383"/>
        <v/>
      </c>
      <c r="CP170" s="65" t="str">
        <f t="shared" si="384"/>
        <v/>
      </c>
      <c r="CQ170" s="65" t="str">
        <f t="shared" si="385"/>
        <v/>
      </c>
      <c r="CR170" s="65" t="str">
        <f t="shared" si="386"/>
        <v/>
      </c>
      <c r="CS170" s="616" t="str">
        <f>IF('School Profile'!$D$20="NO","",IF('Marks Entry'!AQ170="","",IF('Marks Entry'!AQ170=1,'School Profile'!$I$29,IF('Marks Entry'!AQ170=2,'School Profile'!$I$30,IF('Marks Entry'!AQ170=3,'School Profile'!$I$31,IF('Marks Entry'!AQ170=4,'School Profile'!$I$32,IF('Marks Entry'!AQ170=5,'School Profile'!$I$33,IF('Marks Entry'!AQ170=6,'School Profile'!$I$34,IF('Marks Entry'!AQ170=7,'School Profile'!$I$35,IF('Marks Entry'!AQ170=8,'School Profile'!$I$36,IF('Marks Entry'!AQ170=9,'School Profile'!$I$37,IF('Marks Entry'!AQ170=10,'School Profile'!$I$38,IF('Marks Entry'!AQ170=11,'School Profile'!$I$39,"")))))))))))))</f>
        <v/>
      </c>
      <c r="CT170" s="68" t="str">
        <f>IF('School Profile'!$D$20="NO","",IF('Marks Entry'!AR170="","",'Marks Entry'!AR170))</f>
        <v/>
      </c>
      <c r="CU170" s="68" t="str">
        <f>IF('School Profile'!$D$20="NO","",IF('Marks Entry'!AS170="","",'Marks Entry'!AS170))</f>
        <v/>
      </c>
      <c r="CV170" s="68" t="str">
        <f>IF('School Profile'!$D$20="NO","",IF('Marks Entry'!AT170="","",'Marks Entry'!AT170))</f>
        <v/>
      </c>
      <c r="CW170" s="514" t="str">
        <f>IF('School Profile'!$D$20="NO","",IF(AND(CT170="",CU170="",CV170=""),"",SUM(CT170:CV170)))</f>
        <v/>
      </c>
      <c r="CX170" s="68" t="str">
        <f>IF('School Profile'!$D$20="NO","",IF('Marks Entry'!AU170="","",'Marks Entry'!AU170))</f>
        <v/>
      </c>
      <c r="CY170" s="68" t="str">
        <f>IF('School Profile'!$D$20="NO","",IF('Marks Entry'!AV170="","",'Marks Entry'!AV170))</f>
        <v/>
      </c>
      <c r="CZ170" s="515" t="str">
        <f>IF('School Profile'!$D$20="NO","",IF(AND(CX170="",CY170=""),"",SUM(CX170,CY170)))</f>
        <v/>
      </c>
      <c r="DA170" s="69" t="str">
        <f>IF('School Profile'!$D$20="NO","",IF(AND(CW170="",CZ170=""),"",SUM(CW170+CZ170)))</f>
        <v/>
      </c>
      <c r="DB170" s="68" t="str">
        <f>IF('School Profile'!$D$20="NO","",IF('Marks Entry'!AW170="","",'Marks Entry'!AW170))</f>
        <v/>
      </c>
      <c r="DC170" s="68" t="str">
        <f>IF('School Profile'!$D$20="NO","",IF('Marks Entry'!AX170="","",'Marks Entry'!AX170))</f>
        <v/>
      </c>
      <c r="DD170" s="515" t="str">
        <f>IF('School Profile'!$D$20="NO","",IF(AND(DB170="",DC170=""),"",SUM(DB170,DC170)))</f>
        <v/>
      </c>
      <c r="DE170" s="96" t="str">
        <f>IF('School Profile'!$D$20="NO","",IF(AND(DA170="",DD170=""),"",SUM(DA170,DD170)))</f>
        <v/>
      </c>
      <c r="DF170" s="532">
        <f t="shared" si="387"/>
        <v>0</v>
      </c>
      <c r="DG170" s="65">
        <f t="shared" si="388"/>
        <v>0</v>
      </c>
      <c r="DH170" s="66" t="str">
        <f t="shared" si="389"/>
        <v/>
      </c>
      <c r="DI170" s="65" t="str">
        <f t="shared" si="390"/>
        <v/>
      </c>
      <c r="DJ170" s="65" t="str">
        <f t="shared" si="391"/>
        <v/>
      </c>
      <c r="DK170" s="65" t="str">
        <f t="shared" si="392"/>
        <v/>
      </c>
      <c r="DL170" s="97" t="str">
        <f t="shared" si="432"/>
        <v/>
      </c>
      <c r="DM170" s="97" t="str">
        <f t="shared" si="433"/>
        <v/>
      </c>
      <c r="DN170" s="97" t="str">
        <f t="shared" si="434"/>
        <v/>
      </c>
      <c r="DO170" s="97" t="str">
        <f t="shared" si="435"/>
        <v/>
      </c>
      <c r="DP170" s="97" t="str">
        <f t="shared" si="436"/>
        <v/>
      </c>
      <c r="DQ170" s="97" t="str">
        <f t="shared" si="437"/>
        <v/>
      </c>
      <c r="DR170" s="97" t="str">
        <f t="shared" si="438"/>
        <v/>
      </c>
      <c r="DS170" s="98">
        <f t="shared" si="439"/>
        <v>0</v>
      </c>
      <c r="DT170" s="98">
        <f t="shared" si="440"/>
        <v>0</v>
      </c>
      <c r="DU170" s="98">
        <f t="shared" si="441"/>
        <v>0</v>
      </c>
      <c r="DV170" s="98">
        <f t="shared" si="442"/>
        <v>0</v>
      </c>
      <c r="DW170" s="98">
        <f t="shared" si="443"/>
        <v>0</v>
      </c>
      <c r="DX170" s="98" t="str">
        <f t="shared" si="444"/>
        <v/>
      </c>
      <c r="DY170" s="99" t="str">
        <f t="shared" si="445"/>
        <v/>
      </c>
      <c r="DZ170" s="74" t="str">
        <f>IF('Marks Entry'!AY170="","",'Marks Entry'!AY170)</f>
        <v/>
      </c>
      <c r="EA170" s="74" t="str">
        <f>IF('Marks Entry'!AZ170="","",'Marks Entry'!AZ170)</f>
        <v/>
      </c>
      <c r="EB170" s="74" t="str">
        <f>IF('Marks Entry'!BA170="","",'Marks Entry'!BA170)</f>
        <v/>
      </c>
      <c r="EC170" s="527" t="str">
        <f t="shared" si="393"/>
        <v/>
      </c>
      <c r="ED170" s="74" t="str">
        <f>IF('Marks Entry'!BB170="","",'Marks Entry'!BB170)</f>
        <v/>
      </c>
      <c r="EE170" s="528" t="str">
        <f t="shared" si="394"/>
        <v/>
      </c>
      <c r="EF170" s="74" t="str">
        <f>IF('Marks Entry'!BC170="","",'Marks Entry'!BC170)</f>
        <v/>
      </c>
      <c r="EG170" s="530" t="str">
        <f t="shared" si="395"/>
        <v/>
      </c>
      <c r="EH170" s="368" t="str">
        <f t="shared" si="446"/>
        <v/>
      </c>
      <c r="EI170" s="65">
        <f t="shared" si="447"/>
        <v>0</v>
      </c>
      <c r="EJ170" s="65">
        <f t="shared" si="448"/>
        <v>0</v>
      </c>
      <c r="EK170" s="66" t="str">
        <f t="shared" si="449"/>
        <v/>
      </c>
      <c r="EL170" s="74" t="str">
        <f>IF('Marks Entry'!BD170="","",'Marks Entry'!BD170)</f>
        <v/>
      </c>
      <c r="EM170" s="74" t="str">
        <f>IF('Marks Entry'!BE170="","",'Marks Entry'!BE170)</f>
        <v/>
      </c>
      <c r="EN170" s="74" t="str">
        <f>IF('Marks Entry'!BF170="","",'Marks Entry'!BF170)</f>
        <v/>
      </c>
      <c r="EO170" s="527" t="str">
        <f t="shared" si="396"/>
        <v/>
      </c>
      <c r="EP170" s="74" t="str">
        <f>IF('Marks Entry'!BG170="","",'Marks Entry'!BG170)</f>
        <v/>
      </c>
      <c r="EQ170" s="74" t="str">
        <f>IF('Marks Entry'!BH170="","",'Marks Entry'!BH170)</f>
        <v/>
      </c>
      <c r="ER170" s="528" t="str">
        <f t="shared" si="397"/>
        <v/>
      </c>
      <c r="ES170" s="529" t="str">
        <f t="shared" si="398"/>
        <v/>
      </c>
      <c r="ET170" s="74" t="str">
        <f>IF('Marks Entry'!BI170="","",'Marks Entry'!BI170)</f>
        <v/>
      </c>
      <c r="EU170" s="74" t="str">
        <f>IF('Marks Entry'!BJ170="","",'Marks Entry'!BJ170)</f>
        <v/>
      </c>
      <c r="EV170" s="528" t="str">
        <f t="shared" si="399"/>
        <v/>
      </c>
      <c r="EW170" s="530" t="str">
        <f t="shared" si="400"/>
        <v/>
      </c>
      <c r="EX170" s="368" t="str">
        <f t="shared" si="450"/>
        <v/>
      </c>
      <c r="EY170" s="65">
        <f t="shared" si="451"/>
        <v>0</v>
      </c>
      <c r="EZ170" s="65">
        <f t="shared" si="452"/>
        <v>0</v>
      </c>
      <c r="FA170" s="66" t="str">
        <f t="shared" si="453"/>
        <v/>
      </c>
      <c r="FB170" s="74" t="str">
        <f>IF('Marks Entry'!BK170="","",'Marks Entry'!BK170)</f>
        <v/>
      </c>
      <c r="FC170" s="74" t="str">
        <f>IF('Marks Entry'!BL170="","",'Marks Entry'!BL170)</f>
        <v/>
      </c>
      <c r="FD170" s="74" t="str">
        <f>IF('Marks Entry'!BM170="","",'Marks Entry'!BM170)</f>
        <v/>
      </c>
      <c r="FE170" s="74" t="str">
        <f>IF('Marks Entry'!BN170="","",'Marks Entry'!BN170)</f>
        <v/>
      </c>
      <c r="FF170" s="74" t="str">
        <f>IF('Marks Entry'!BO170="","",'Marks Entry'!BO170)</f>
        <v/>
      </c>
      <c r="FG170" s="74" t="str">
        <f>IF('Marks Entry'!BP170="","",'Marks Entry'!BP170)</f>
        <v/>
      </c>
      <c r="FH170" s="527" t="str">
        <f t="shared" si="401"/>
        <v/>
      </c>
      <c r="FI170" s="74" t="str">
        <f>IF('Marks Entry'!BQ170="","",'Marks Entry'!BQ170)</f>
        <v/>
      </c>
      <c r="FJ170" s="74" t="str">
        <f>IF('Marks Entry'!BR170="","",'Marks Entry'!BR170)</f>
        <v/>
      </c>
      <c r="FK170" s="528" t="str">
        <f t="shared" si="402"/>
        <v/>
      </c>
      <c r="FL170" s="529" t="str">
        <f t="shared" si="403"/>
        <v/>
      </c>
      <c r="FM170" s="74" t="str">
        <f>IF('Marks Entry'!BS170="","",'Marks Entry'!BS170)</f>
        <v/>
      </c>
      <c r="FN170" s="74" t="str">
        <f>IF('Marks Entry'!BT170="","",'Marks Entry'!BT170)</f>
        <v/>
      </c>
      <c r="FO170" s="528" t="str">
        <f t="shared" si="404"/>
        <v/>
      </c>
      <c r="FP170" s="530" t="str">
        <f t="shared" si="405"/>
        <v/>
      </c>
      <c r="FQ170" s="368" t="str">
        <f t="shared" si="454"/>
        <v/>
      </c>
      <c r="FR170" s="65">
        <f t="shared" si="455"/>
        <v>0</v>
      </c>
      <c r="FS170" s="65">
        <f t="shared" si="456"/>
        <v>0</v>
      </c>
      <c r="FT170" s="66" t="str">
        <f t="shared" si="457"/>
        <v/>
      </c>
      <c r="FU170" s="74" t="str">
        <f>IF('Marks Entry'!BU170="","",'Marks Entry'!BU170)</f>
        <v/>
      </c>
      <c r="FV170" s="74" t="str">
        <f>IF('Marks Entry'!BV170="","",'Marks Entry'!BV170)</f>
        <v/>
      </c>
      <c r="FW170" s="74" t="str">
        <f>IF('Marks Entry'!BW170="","",'Marks Entry'!BW170)</f>
        <v/>
      </c>
      <c r="FX170" s="75" t="str">
        <f t="shared" si="406"/>
        <v/>
      </c>
      <c r="FY170" s="368" t="str">
        <f t="shared" si="458"/>
        <v/>
      </c>
      <c r="FZ170" s="65">
        <f t="shared" si="459"/>
        <v>0</v>
      </c>
      <c r="GA170" s="66">
        <f t="shared" si="460"/>
        <v>0</v>
      </c>
      <c r="GB170" s="66" t="str">
        <f t="shared" si="461"/>
        <v/>
      </c>
      <c r="GC170" s="74" t="str">
        <f>IF('Marks Entry'!BX170="","",'Marks Entry'!BX170)</f>
        <v/>
      </c>
      <c r="GD170" s="74" t="str">
        <f>IF('Marks Entry'!BY170="","",'Marks Entry'!BY170)</f>
        <v/>
      </c>
      <c r="GE170" s="74" t="str">
        <f>IF('Marks Entry'!BZ170="","",'Marks Entry'!BZ170)</f>
        <v/>
      </c>
      <c r="GF170" s="75" t="str">
        <f t="shared" si="462"/>
        <v/>
      </c>
      <c r="GG170" s="368" t="str">
        <f t="shared" si="463"/>
        <v/>
      </c>
      <c r="GH170" s="65">
        <f t="shared" si="464"/>
        <v>0</v>
      </c>
      <c r="GI170" s="66">
        <f t="shared" si="465"/>
        <v>0</v>
      </c>
      <c r="GJ170" s="66" t="str">
        <f t="shared" si="466"/>
        <v/>
      </c>
      <c r="GK170" s="100" t="str">
        <f>IF(AND(F170="",B170=""),"",IF('Student DATA Entry'!M167="","",'Student DATA Entry'!M167))</f>
        <v/>
      </c>
      <c r="GL170" s="101" t="str">
        <f>IF(AND(B170="",F170=""),"",IF('Student DATA Entry'!N167="","",'Student DATA Entry'!N167))</f>
        <v/>
      </c>
      <c r="GM170" s="581" t="str">
        <f t="shared" si="467"/>
        <v/>
      </c>
      <c r="GN170" s="94" t="str">
        <f t="shared" si="468"/>
        <v/>
      </c>
      <c r="GO170" s="94" t="str">
        <f t="shared" si="469"/>
        <v/>
      </c>
      <c r="GP170" s="102" t="str">
        <f t="shared" si="498"/>
        <v/>
      </c>
      <c r="GQ170" s="94" t="str">
        <f t="shared" si="470"/>
        <v/>
      </c>
      <c r="GR170" s="103" t="str">
        <f t="shared" si="471"/>
        <v/>
      </c>
      <c r="GS170" s="102" t="str">
        <f t="shared" si="499"/>
        <v/>
      </c>
      <c r="GT170" s="104" t="str">
        <f t="shared" si="472"/>
        <v/>
      </c>
      <c r="GU170" s="94" t="str">
        <f>IF('Marks Entry'!V170=1,GT170,"")</f>
        <v/>
      </c>
      <c r="GV170" s="94" t="str">
        <f>IF('Marks Entry'!V170=2,GT170,"")</f>
        <v/>
      </c>
      <c r="GW170" s="94" t="str">
        <f>IF('Marks Entry'!V170=3,GT170,"")</f>
        <v/>
      </c>
      <c r="GX170" s="94" t="str">
        <f>IF('Marks Entry'!V170=4,GT170,"")</f>
        <v/>
      </c>
      <c r="GY170" s="94" t="str">
        <f>IF('Marks Entry'!V170=5,GT170,"")</f>
        <v/>
      </c>
      <c r="GZ170" s="94" t="str">
        <f t="shared" si="473"/>
        <v/>
      </c>
      <c r="HA170" s="105" t="str">
        <f t="shared" si="500"/>
        <v/>
      </c>
      <c r="HB170" s="94" t="str">
        <f t="shared" si="474"/>
        <v/>
      </c>
      <c r="HC170" s="94" t="str">
        <f t="shared" si="475"/>
        <v/>
      </c>
      <c r="HD170" s="105" t="str">
        <f t="shared" si="501"/>
        <v/>
      </c>
      <c r="HE170" s="94" t="str">
        <f t="shared" si="476"/>
        <v/>
      </c>
      <c r="HF170" s="94" t="str">
        <f t="shared" si="477"/>
        <v/>
      </c>
      <c r="HG170" s="105" t="str">
        <f t="shared" si="502"/>
        <v/>
      </c>
      <c r="HH170" s="94" t="str">
        <f t="shared" si="478"/>
        <v/>
      </c>
      <c r="HI170" s="94" t="str">
        <f t="shared" si="479"/>
        <v/>
      </c>
      <c r="HJ170" s="105" t="str">
        <f t="shared" si="503"/>
        <v/>
      </c>
      <c r="HK170" s="94" t="str">
        <f t="shared" si="480"/>
        <v/>
      </c>
      <c r="HL170" s="94" t="str">
        <f t="shared" si="481"/>
        <v/>
      </c>
      <c r="HM170" s="105" t="str">
        <f t="shared" si="504"/>
        <v/>
      </c>
      <c r="HN170" s="367" t="str">
        <f t="shared" si="482"/>
        <v xml:space="preserve">      </v>
      </c>
      <c r="HO170" s="418" t="str">
        <f t="shared" si="505"/>
        <v xml:space="preserve">      </v>
      </c>
      <c r="HP170" s="367" t="str">
        <f t="shared" si="483"/>
        <v xml:space="preserve">      </v>
      </c>
      <c r="HQ170" s="107" t="str">
        <f t="shared" si="484"/>
        <v xml:space="preserve">      </v>
      </c>
      <c r="HR170" s="366" t="str">
        <f t="shared" si="485"/>
        <v xml:space="preserve">      </v>
      </c>
      <c r="HS170" s="544" t="str">
        <f t="shared" si="506"/>
        <v/>
      </c>
      <c r="HT170" s="542" t="str">
        <f t="shared" si="486"/>
        <v/>
      </c>
      <c r="HU170" s="541" t="str">
        <f t="shared" si="487"/>
        <v/>
      </c>
      <c r="HV170" s="540" t="str">
        <f t="shared" si="488"/>
        <v/>
      </c>
      <c r="HW170" s="537" t="str">
        <f t="shared" si="489"/>
        <v/>
      </c>
      <c r="HX170" s="539" t="str">
        <f t="shared" si="490"/>
        <v/>
      </c>
      <c r="HY170" s="553" t="str">
        <f>IFERROR(IF(OR(HS170="SUPPLEMENTARY",HS170="RE-EXAM"),'Supp. Result Entry'!AQ168,""),"")</f>
        <v/>
      </c>
      <c r="HZ170" s="538" t="str">
        <f t="shared" si="491"/>
        <v/>
      </c>
      <c r="IA170" s="415" t="str">
        <f t="shared" si="492"/>
        <v/>
      </c>
      <c r="IB170" s="415" t="str">
        <f>IF(AND(HZ170="",IA170=""),"",IF(OR(HS170="SUPPLEMENTARY",HS170="RE-EXAM"),'Supp. Result Entry'!AQ168,HS170))</f>
        <v/>
      </c>
      <c r="IC170" s="87"/>
      <c r="IS170" s="109" t="str">
        <f>IF('Supp. Result Entry'!T168="","",'Supp. Result Entry'!$T$4)</f>
        <v/>
      </c>
      <c r="IT170" s="110" t="str">
        <f>IF('Supp. Result Entry'!W168="","",'Supp. Result Entry'!$W$4)</f>
        <v/>
      </c>
      <c r="IU170" s="110" t="str">
        <f>IF('Supp. Result Entry'!Z168="","",'Supp. Result Entry'!$Z$4)</f>
        <v/>
      </c>
      <c r="IV170" s="110" t="str">
        <f>IF('Supp. Result Entry'!AC168="","",'Supp. Result Entry'!$AC$4)</f>
        <v/>
      </c>
      <c r="IW170" s="110" t="str">
        <f>IF('Supp. Result Entry'!AF168="","",'Supp. Result Entry'!$AF$4)</f>
        <v/>
      </c>
      <c r="IX170" s="110" t="str">
        <f>IF('Supp. Result Entry'!AI168="","",'Supp. Result Entry'!$AI$4)</f>
        <v/>
      </c>
      <c r="IY170" s="110" t="str">
        <f>IF('Supp. Result Entry'!AI168="","",'Supp. Result Entry'!$AL$4)</f>
        <v/>
      </c>
      <c r="IZ170" s="110" t="str">
        <f>IF('Supp. Result Entry'!U168="","",'Supp. Result Entry'!U168)</f>
        <v/>
      </c>
      <c r="JA170" s="110" t="str">
        <f>IF('Supp. Result Entry'!X168="","",'Supp. Result Entry'!X168)</f>
        <v/>
      </c>
      <c r="JB170" s="110" t="str">
        <f>IF('Supp. Result Entry'!AA168="","",'Supp. Result Entry'!AA168)</f>
        <v/>
      </c>
      <c r="JC170" s="110" t="str">
        <f>IF('Supp. Result Entry'!AD168="","",'Supp. Result Entry'!AD168)</f>
        <v/>
      </c>
      <c r="JD170" s="110" t="str">
        <f>IF('Supp. Result Entry'!AG168="","",'Supp. Result Entry'!AG168)</f>
        <v/>
      </c>
      <c r="JE170" s="110" t="str">
        <f>IF('Supp. Result Entry'!AJ168="","",'Supp. Result Entry'!AJ168)</f>
        <v/>
      </c>
      <c r="JF170" s="110" t="str">
        <f>IF('Supp. Result Entry'!AM168="","",'Supp. Result Entry'!AM168)</f>
        <v/>
      </c>
      <c r="JG170" s="110" t="str">
        <f>IF('Supp. Result Entry'!V168="","",'Supp. Result Entry'!V168)</f>
        <v/>
      </c>
      <c r="JH170" s="110" t="str">
        <f>IF('Supp. Result Entry'!Y168="","",'Supp. Result Entry'!Y168)</f>
        <v/>
      </c>
      <c r="JI170" s="110" t="str">
        <f>IF('Supp. Result Entry'!AB168="","",'Supp. Result Entry'!AB168)</f>
        <v/>
      </c>
      <c r="JJ170" s="110" t="str">
        <f>IF('Supp. Result Entry'!AE168="","",'Supp. Result Entry'!AE168)</f>
        <v/>
      </c>
      <c r="JK170" s="110" t="str">
        <f>IF('Supp. Result Entry'!AH168="","",'Supp. Result Entry'!AH168)</f>
        <v/>
      </c>
      <c r="JL170" s="110" t="str">
        <f>IF('Supp. Result Entry'!AK168="","",'Supp. Result Entry'!AK168)</f>
        <v/>
      </c>
      <c r="JM170" s="110" t="str">
        <f>IF('Supp. Result Entry'!AN168="","",'Supp. Result Entry'!AN168)</f>
        <v/>
      </c>
      <c r="JN170" s="110">
        <f>COUNTIF('Supp. Result Entry'!K168:Q168,"S")</f>
        <v>0</v>
      </c>
      <c r="JO170" s="110">
        <f t="shared" si="416"/>
        <v>0</v>
      </c>
      <c r="JP170" s="110">
        <f t="shared" si="493"/>
        <v>0</v>
      </c>
      <c r="JQ170" s="110" t="str">
        <f t="shared" si="417"/>
        <v/>
      </c>
      <c r="JR170" s="110" t="str">
        <f t="shared" si="418"/>
        <v/>
      </c>
      <c r="JS170" s="110" t="str">
        <f t="shared" si="419"/>
        <v/>
      </c>
      <c r="JT170" s="110" t="str">
        <f t="shared" si="420"/>
        <v/>
      </c>
      <c r="JU170" s="110" t="str">
        <f t="shared" si="421"/>
        <v/>
      </c>
      <c r="JV170" s="110" t="str">
        <f t="shared" si="422"/>
        <v/>
      </c>
      <c r="JW170" s="110" t="str">
        <f t="shared" si="423"/>
        <v/>
      </c>
      <c r="JX170" s="110" t="str">
        <f t="shared" si="494"/>
        <v/>
      </c>
      <c r="JY170" s="110" t="str">
        <f t="shared" si="495"/>
        <v/>
      </c>
      <c r="JZ170" s="110" t="str">
        <f t="shared" si="424"/>
        <v/>
      </c>
      <c r="KA170" s="108" t="str">
        <f t="shared" si="496"/>
        <v/>
      </c>
    </row>
    <row r="171" spans="1:287" s="108" customFormat="1" ht="21.95" customHeight="1">
      <c r="A171" s="89">
        <v>165</v>
      </c>
      <c r="B171" s="90" t="str">
        <f>IF('Marks Entry'!B171="","",'Marks Entry'!B171)</f>
        <v/>
      </c>
      <c r="C171" s="94" t="str">
        <f>IF('Marks Entry'!D171="","",'Marks Entry'!D171)</f>
        <v/>
      </c>
      <c r="D171" s="91" t="str">
        <f>IF('Marks Entry'!E171="","",'Marks Entry'!E171)</f>
        <v/>
      </c>
      <c r="E171" s="92" t="str">
        <f>IF('Marks Entry'!F171="","",'Marks Entry'!F171)</f>
        <v/>
      </c>
      <c r="F171" s="93" t="str">
        <f>IF('Marks Entry'!G171="","",'Marks Entry'!G171)</f>
        <v/>
      </c>
      <c r="G171" s="93" t="str">
        <f>IF('Marks Entry'!H171="","",'Marks Entry'!H171)</f>
        <v/>
      </c>
      <c r="H171" s="93" t="str">
        <f>IF('Marks Entry'!I171="","",'Marks Entry'!I171)</f>
        <v/>
      </c>
      <c r="I171" s="94" t="str">
        <f>IF('Marks Entry'!J171="","",'Marks Entry'!J171)</f>
        <v/>
      </c>
      <c r="J171" s="95" t="str">
        <f>IF('Marks Entry'!K171="","",'Marks Entry'!K171)</f>
        <v/>
      </c>
      <c r="K171" s="68" t="str">
        <f>IF('Marks Entry'!L171="","",'Marks Entry'!L171)</f>
        <v/>
      </c>
      <c r="L171" s="68" t="str">
        <f>IF('Marks Entry'!M171="","",'Marks Entry'!M171)</f>
        <v/>
      </c>
      <c r="M171" s="68" t="str">
        <f>IF('Marks Entry'!N171="","",'Marks Entry'!N171)</f>
        <v/>
      </c>
      <c r="N171" s="514" t="str">
        <f t="shared" si="425"/>
        <v/>
      </c>
      <c r="O171" s="68" t="str">
        <f>IF('Marks Entry'!O171="","",'Marks Entry'!O171)</f>
        <v/>
      </c>
      <c r="P171" s="515" t="str">
        <f t="shared" si="426"/>
        <v/>
      </c>
      <c r="Q171" s="68" t="str">
        <f>IF('Marks Entry'!P171="","",'Marks Entry'!P171)</f>
        <v/>
      </c>
      <c r="R171" s="96" t="str">
        <f t="shared" si="427"/>
        <v/>
      </c>
      <c r="S171" s="65">
        <f t="shared" si="428"/>
        <v>0</v>
      </c>
      <c r="T171" s="65">
        <f t="shared" si="429"/>
        <v>0</v>
      </c>
      <c r="U171" s="66" t="str">
        <f t="shared" si="339"/>
        <v/>
      </c>
      <c r="V171" s="65" t="str">
        <f t="shared" si="340"/>
        <v/>
      </c>
      <c r="W171" s="65" t="str">
        <f t="shared" si="430"/>
        <v/>
      </c>
      <c r="X171" s="65" t="str">
        <f t="shared" si="341"/>
        <v/>
      </c>
      <c r="Y171" s="68" t="str">
        <f>IF('Marks Entry'!Q171="","",'Marks Entry'!Q171)</f>
        <v/>
      </c>
      <c r="Z171" s="68" t="str">
        <f>IF('Marks Entry'!R171="","",'Marks Entry'!R171)</f>
        <v/>
      </c>
      <c r="AA171" s="68" t="str">
        <f>IF('Marks Entry'!S171="","",'Marks Entry'!S171)</f>
        <v/>
      </c>
      <c r="AB171" s="514" t="str">
        <f t="shared" si="342"/>
        <v/>
      </c>
      <c r="AC171" s="68" t="str">
        <f>IF('Marks Entry'!T171="","",'Marks Entry'!T171)</f>
        <v/>
      </c>
      <c r="AD171" s="515" t="str">
        <f t="shared" si="343"/>
        <v/>
      </c>
      <c r="AE171" s="68" t="str">
        <f>IF('Marks Entry'!U171="","",'Marks Entry'!U171)</f>
        <v/>
      </c>
      <c r="AF171" s="96" t="str">
        <f t="shared" si="344"/>
        <v/>
      </c>
      <c r="AG171" s="65">
        <f t="shared" si="345"/>
        <v>0</v>
      </c>
      <c r="AH171" s="65">
        <f t="shared" si="346"/>
        <v>0</v>
      </c>
      <c r="AI171" s="66" t="str">
        <f t="shared" si="347"/>
        <v/>
      </c>
      <c r="AJ171" s="65" t="str">
        <f t="shared" si="348"/>
        <v/>
      </c>
      <c r="AK171" s="65" t="str">
        <f t="shared" si="349"/>
        <v/>
      </c>
      <c r="AL171" s="65" t="str">
        <f t="shared" si="350"/>
        <v/>
      </c>
      <c r="AM171" s="524" t="str">
        <f>IF('Marks Entry'!V171="","",IF('Marks Entry'!V171=1,'School Profile'!$I$9,IF('Marks Entry'!V171=2,'School Profile'!$I$10,IF('Marks Entry'!V171=3,'School Profile'!$I$11,IF('Marks Entry'!V171=4,'School Profile'!$I$12,IF('Marks Entry'!V171=5,'School Profile'!$I$13,IF('Marks Entry'!V171=6,'School Profile'!$I$14,"")))))))</f>
        <v/>
      </c>
      <c r="AN171" s="68" t="str">
        <f>IF('Marks Entry'!W171="","",'Marks Entry'!W171)</f>
        <v/>
      </c>
      <c r="AO171" s="68" t="str">
        <f>IF('Marks Entry'!X171="","",'Marks Entry'!X171)</f>
        <v/>
      </c>
      <c r="AP171" s="68" t="str">
        <f>IF('Marks Entry'!Y171="","",'Marks Entry'!Y171)</f>
        <v/>
      </c>
      <c r="AQ171" s="514" t="str">
        <f t="shared" si="351"/>
        <v/>
      </c>
      <c r="AR171" s="68" t="str">
        <f>IF('Marks Entry'!Z171="","",'Marks Entry'!Z171)</f>
        <v/>
      </c>
      <c r="AS171" s="515" t="str">
        <f t="shared" si="352"/>
        <v/>
      </c>
      <c r="AT171" s="68" t="str">
        <f>IF('Marks Entry'!AA171="","",'Marks Entry'!AA171)</f>
        <v/>
      </c>
      <c r="AU171" s="96" t="str">
        <f t="shared" si="353"/>
        <v/>
      </c>
      <c r="AV171" s="65">
        <f t="shared" si="354"/>
        <v>0</v>
      </c>
      <c r="AW171" s="65">
        <f t="shared" si="355"/>
        <v>0</v>
      </c>
      <c r="AX171" s="66" t="str">
        <f t="shared" si="356"/>
        <v/>
      </c>
      <c r="AY171" s="65" t="str">
        <f t="shared" si="357"/>
        <v/>
      </c>
      <c r="AZ171" s="65" t="str">
        <f t="shared" si="358"/>
        <v/>
      </c>
      <c r="BA171" s="65" t="str">
        <f t="shared" si="359"/>
        <v/>
      </c>
      <c r="BB171" s="68" t="str">
        <f>IF('Marks Entry'!AB171="","",'Marks Entry'!AB171)</f>
        <v/>
      </c>
      <c r="BC171" s="68" t="str">
        <f>IF('Marks Entry'!AC171="","",'Marks Entry'!AC171)</f>
        <v/>
      </c>
      <c r="BD171" s="68" t="str">
        <f>IF('Marks Entry'!AD171="","",'Marks Entry'!AD171)</f>
        <v/>
      </c>
      <c r="BE171" s="514" t="str">
        <f t="shared" si="360"/>
        <v/>
      </c>
      <c r="BF171" s="68" t="str">
        <f>IF('Marks Entry'!AE171="","",'Marks Entry'!AE171)</f>
        <v/>
      </c>
      <c r="BG171" s="515" t="str">
        <f t="shared" si="361"/>
        <v/>
      </c>
      <c r="BH171" s="68" t="str">
        <f>IF('Marks Entry'!AF171="","",'Marks Entry'!AF171)</f>
        <v/>
      </c>
      <c r="BI171" s="96" t="str">
        <f t="shared" si="362"/>
        <v/>
      </c>
      <c r="BJ171" s="65">
        <f t="shared" si="363"/>
        <v>0</v>
      </c>
      <c r="BK171" s="65">
        <f t="shared" si="431"/>
        <v>0</v>
      </c>
      <c r="BL171" s="66" t="str">
        <f t="shared" si="364"/>
        <v/>
      </c>
      <c r="BM171" s="65" t="str">
        <f t="shared" si="365"/>
        <v/>
      </c>
      <c r="BN171" s="65" t="str">
        <f t="shared" si="366"/>
        <v/>
      </c>
      <c r="BO171" s="65" t="str">
        <f t="shared" si="367"/>
        <v/>
      </c>
      <c r="BP171" s="68" t="str">
        <f>IF('Marks Entry'!AG171="","",'Marks Entry'!AG171)</f>
        <v/>
      </c>
      <c r="BQ171" s="68" t="str">
        <f>IF('Marks Entry'!AH171="","",'Marks Entry'!AH171)</f>
        <v/>
      </c>
      <c r="BR171" s="68" t="str">
        <f>IF('Marks Entry'!AI171="","",'Marks Entry'!AI171)</f>
        <v/>
      </c>
      <c r="BS171" s="514" t="str">
        <f t="shared" si="368"/>
        <v/>
      </c>
      <c r="BT171" s="68" t="str">
        <f>IF('Marks Entry'!AJ171="","",'Marks Entry'!AJ171)</f>
        <v/>
      </c>
      <c r="BU171" s="515" t="str">
        <f t="shared" si="369"/>
        <v/>
      </c>
      <c r="BV171" s="68" t="str">
        <f>IF('Marks Entry'!AK171="","",'Marks Entry'!AK171)</f>
        <v/>
      </c>
      <c r="BW171" s="96" t="str">
        <f t="shared" si="370"/>
        <v/>
      </c>
      <c r="BX171" s="65">
        <f t="shared" si="371"/>
        <v>0</v>
      </c>
      <c r="BY171" s="65">
        <f t="shared" si="372"/>
        <v>0</v>
      </c>
      <c r="BZ171" s="66" t="str">
        <f t="shared" si="373"/>
        <v/>
      </c>
      <c r="CA171" s="65" t="str">
        <f t="shared" si="374"/>
        <v/>
      </c>
      <c r="CB171" s="65" t="str">
        <f t="shared" si="375"/>
        <v/>
      </c>
      <c r="CC171" s="65" t="str">
        <f t="shared" si="376"/>
        <v/>
      </c>
      <c r="CD171" s="66">
        <f t="shared" si="497"/>
        <v>0</v>
      </c>
      <c r="CE171" s="68" t="str">
        <f>IF('Marks Entry'!AL171="","",'Marks Entry'!AL171)</f>
        <v/>
      </c>
      <c r="CF171" s="68" t="str">
        <f>IF('Marks Entry'!AM171="","",'Marks Entry'!AM171)</f>
        <v/>
      </c>
      <c r="CG171" s="68" t="str">
        <f>IF('Marks Entry'!AN171="","",'Marks Entry'!AN171)</f>
        <v/>
      </c>
      <c r="CH171" s="514" t="str">
        <f t="shared" si="378"/>
        <v/>
      </c>
      <c r="CI171" s="68" t="str">
        <f>IF('Marks Entry'!AO171="","",'Marks Entry'!AO171)</f>
        <v/>
      </c>
      <c r="CJ171" s="515" t="str">
        <f t="shared" si="379"/>
        <v/>
      </c>
      <c r="CK171" s="68" t="str">
        <f>IF('Marks Entry'!AP171="","",'Marks Entry'!AP171)</f>
        <v/>
      </c>
      <c r="CL171" s="96" t="str">
        <f t="shared" si="380"/>
        <v/>
      </c>
      <c r="CM171" s="65">
        <f t="shared" si="381"/>
        <v>0</v>
      </c>
      <c r="CN171" s="65">
        <f t="shared" si="382"/>
        <v>0</v>
      </c>
      <c r="CO171" s="66" t="str">
        <f t="shared" si="383"/>
        <v/>
      </c>
      <c r="CP171" s="65" t="str">
        <f t="shared" si="384"/>
        <v/>
      </c>
      <c r="CQ171" s="65" t="str">
        <f t="shared" si="385"/>
        <v/>
      </c>
      <c r="CR171" s="65" t="str">
        <f t="shared" si="386"/>
        <v/>
      </c>
      <c r="CS171" s="616" t="str">
        <f>IF('School Profile'!$D$20="NO","",IF('Marks Entry'!AQ171="","",IF('Marks Entry'!AQ171=1,'School Profile'!$I$29,IF('Marks Entry'!AQ171=2,'School Profile'!$I$30,IF('Marks Entry'!AQ171=3,'School Profile'!$I$31,IF('Marks Entry'!AQ171=4,'School Profile'!$I$32,IF('Marks Entry'!AQ171=5,'School Profile'!$I$33,IF('Marks Entry'!AQ171=6,'School Profile'!$I$34,IF('Marks Entry'!AQ171=7,'School Profile'!$I$35,IF('Marks Entry'!AQ171=8,'School Profile'!$I$36,IF('Marks Entry'!AQ171=9,'School Profile'!$I$37,IF('Marks Entry'!AQ171=10,'School Profile'!$I$38,IF('Marks Entry'!AQ171=11,'School Profile'!$I$39,"")))))))))))))</f>
        <v/>
      </c>
      <c r="CT171" s="68" t="str">
        <f>IF('School Profile'!$D$20="NO","",IF('Marks Entry'!AR171="","",'Marks Entry'!AR171))</f>
        <v/>
      </c>
      <c r="CU171" s="68" t="str">
        <f>IF('School Profile'!$D$20="NO","",IF('Marks Entry'!AS171="","",'Marks Entry'!AS171))</f>
        <v/>
      </c>
      <c r="CV171" s="68" t="str">
        <f>IF('School Profile'!$D$20="NO","",IF('Marks Entry'!AT171="","",'Marks Entry'!AT171))</f>
        <v/>
      </c>
      <c r="CW171" s="514" t="str">
        <f>IF('School Profile'!$D$20="NO","",IF(AND(CT171="",CU171="",CV171=""),"",SUM(CT171:CV171)))</f>
        <v/>
      </c>
      <c r="CX171" s="68" t="str">
        <f>IF('School Profile'!$D$20="NO","",IF('Marks Entry'!AU171="","",'Marks Entry'!AU171))</f>
        <v/>
      </c>
      <c r="CY171" s="68" t="str">
        <f>IF('School Profile'!$D$20="NO","",IF('Marks Entry'!AV171="","",'Marks Entry'!AV171))</f>
        <v/>
      </c>
      <c r="CZ171" s="515" t="str">
        <f>IF('School Profile'!$D$20="NO","",IF(AND(CX171="",CY171=""),"",SUM(CX171,CY171)))</f>
        <v/>
      </c>
      <c r="DA171" s="69" t="str">
        <f>IF('School Profile'!$D$20="NO","",IF(AND(CW171="",CZ171=""),"",SUM(CW171+CZ171)))</f>
        <v/>
      </c>
      <c r="DB171" s="68" t="str">
        <f>IF('School Profile'!$D$20="NO","",IF('Marks Entry'!AW171="","",'Marks Entry'!AW171))</f>
        <v/>
      </c>
      <c r="DC171" s="68" t="str">
        <f>IF('School Profile'!$D$20="NO","",IF('Marks Entry'!AX171="","",'Marks Entry'!AX171))</f>
        <v/>
      </c>
      <c r="DD171" s="515" t="str">
        <f>IF('School Profile'!$D$20="NO","",IF(AND(DB171="",DC171=""),"",SUM(DB171,DC171)))</f>
        <v/>
      </c>
      <c r="DE171" s="96" t="str">
        <f>IF('School Profile'!$D$20="NO","",IF(AND(DA171="",DD171=""),"",SUM(DA171,DD171)))</f>
        <v/>
      </c>
      <c r="DF171" s="532">
        <f t="shared" si="387"/>
        <v>0</v>
      </c>
      <c r="DG171" s="65">
        <f t="shared" si="388"/>
        <v>0</v>
      </c>
      <c r="DH171" s="66" t="str">
        <f t="shared" si="389"/>
        <v/>
      </c>
      <c r="DI171" s="65" t="str">
        <f t="shared" si="390"/>
        <v/>
      </c>
      <c r="DJ171" s="65" t="str">
        <f t="shared" si="391"/>
        <v/>
      </c>
      <c r="DK171" s="65" t="str">
        <f t="shared" si="392"/>
        <v/>
      </c>
      <c r="DL171" s="97" t="str">
        <f t="shared" si="432"/>
        <v/>
      </c>
      <c r="DM171" s="97" t="str">
        <f t="shared" si="433"/>
        <v/>
      </c>
      <c r="DN171" s="97" t="str">
        <f t="shared" si="434"/>
        <v/>
      </c>
      <c r="DO171" s="97" t="str">
        <f t="shared" si="435"/>
        <v/>
      </c>
      <c r="DP171" s="97" t="str">
        <f t="shared" si="436"/>
        <v/>
      </c>
      <c r="DQ171" s="97" t="str">
        <f t="shared" si="437"/>
        <v/>
      </c>
      <c r="DR171" s="97" t="str">
        <f t="shared" si="438"/>
        <v/>
      </c>
      <c r="DS171" s="98">
        <f t="shared" si="439"/>
        <v>0</v>
      </c>
      <c r="DT171" s="98">
        <f t="shared" si="440"/>
        <v>0</v>
      </c>
      <c r="DU171" s="98">
        <f t="shared" si="441"/>
        <v>0</v>
      </c>
      <c r="DV171" s="98">
        <f t="shared" si="442"/>
        <v>0</v>
      </c>
      <c r="DW171" s="98">
        <f t="shared" si="443"/>
        <v>0</v>
      </c>
      <c r="DX171" s="98" t="str">
        <f t="shared" si="444"/>
        <v/>
      </c>
      <c r="DY171" s="99" t="str">
        <f t="shared" si="445"/>
        <v/>
      </c>
      <c r="DZ171" s="74" t="str">
        <f>IF('Marks Entry'!AY171="","",'Marks Entry'!AY171)</f>
        <v/>
      </c>
      <c r="EA171" s="74" t="str">
        <f>IF('Marks Entry'!AZ171="","",'Marks Entry'!AZ171)</f>
        <v/>
      </c>
      <c r="EB171" s="74" t="str">
        <f>IF('Marks Entry'!BA171="","",'Marks Entry'!BA171)</f>
        <v/>
      </c>
      <c r="EC171" s="527" t="str">
        <f t="shared" si="393"/>
        <v/>
      </c>
      <c r="ED171" s="74" t="str">
        <f>IF('Marks Entry'!BB171="","",'Marks Entry'!BB171)</f>
        <v/>
      </c>
      <c r="EE171" s="528" t="str">
        <f t="shared" si="394"/>
        <v/>
      </c>
      <c r="EF171" s="74" t="str">
        <f>IF('Marks Entry'!BC171="","",'Marks Entry'!BC171)</f>
        <v/>
      </c>
      <c r="EG171" s="530" t="str">
        <f t="shared" si="395"/>
        <v/>
      </c>
      <c r="EH171" s="368" t="str">
        <f t="shared" si="446"/>
        <v/>
      </c>
      <c r="EI171" s="65">
        <f t="shared" si="447"/>
        <v>0</v>
      </c>
      <c r="EJ171" s="65">
        <f t="shared" si="448"/>
        <v>0</v>
      </c>
      <c r="EK171" s="66" t="str">
        <f t="shared" si="449"/>
        <v/>
      </c>
      <c r="EL171" s="74" t="str">
        <f>IF('Marks Entry'!BD171="","",'Marks Entry'!BD171)</f>
        <v/>
      </c>
      <c r="EM171" s="74" t="str">
        <f>IF('Marks Entry'!BE171="","",'Marks Entry'!BE171)</f>
        <v/>
      </c>
      <c r="EN171" s="74" t="str">
        <f>IF('Marks Entry'!BF171="","",'Marks Entry'!BF171)</f>
        <v/>
      </c>
      <c r="EO171" s="527" t="str">
        <f t="shared" si="396"/>
        <v/>
      </c>
      <c r="EP171" s="74" t="str">
        <f>IF('Marks Entry'!BG171="","",'Marks Entry'!BG171)</f>
        <v/>
      </c>
      <c r="EQ171" s="74" t="str">
        <f>IF('Marks Entry'!BH171="","",'Marks Entry'!BH171)</f>
        <v/>
      </c>
      <c r="ER171" s="528" t="str">
        <f t="shared" si="397"/>
        <v/>
      </c>
      <c r="ES171" s="529" t="str">
        <f t="shared" si="398"/>
        <v/>
      </c>
      <c r="ET171" s="74" t="str">
        <f>IF('Marks Entry'!BI171="","",'Marks Entry'!BI171)</f>
        <v/>
      </c>
      <c r="EU171" s="74" t="str">
        <f>IF('Marks Entry'!BJ171="","",'Marks Entry'!BJ171)</f>
        <v/>
      </c>
      <c r="EV171" s="528" t="str">
        <f t="shared" si="399"/>
        <v/>
      </c>
      <c r="EW171" s="530" t="str">
        <f t="shared" si="400"/>
        <v/>
      </c>
      <c r="EX171" s="368" t="str">
        <f t="shared" si="450"/>
        <v/>
      </c>
      <c r="EY171" s="65">
        <f t="shared" si="451"/>
        <v>0</v>
      </c>
      <c r="EZ171" s="65">
        <f t="shared" si="452"/>
        <v>0</v>
      </c>
      <c r="FA171" s="66" t="str">
        <f t="shared" si="453"/>
        <v/>
      </c>
      <c r="FB171" s="74" t="str">
        <f>IF('Marks Entry'!BK171="","",'Marks Entry'!BK171)</f>
        <v/>
      </c>
      <c r="FC171" s="74" t="str">
        <f>IF('Marks Entry'!BL171="","",'Marks Entry'!BL171)</f>
        <v/>
      </c>
      <c r="FD171" s="74" t="str">
        <f>IF('Marks Entry'!BM171="","",'Marks Entry'!BM171)</f>
        <v/>
      </c>
      <c r="FE171" s="74" t="str">
        <f>IF('Marks Entry'!BN171="","",'Marks Entry'!BN171)</f>
        <v/>
      </c>
      <c r="FF171" s="74" t="str">
        <f>IF('Marks Entry'!BO171="","",'Marks Entry'!BO171)</f>
        <v/>
      </c>
      <c r="FG171" s="74" t="str">
        <f>IF('Marks Entry'!BP171="","",'Marks Entry'!BP171)</f>
        <v/>
      </c>
      <c r="FH171" s="527" t="str">
        <f t="shared" si="401"/>
        <v/>
      </c>
      <c r="FI171" s="74" t="str">
        <f>IF('Marks Entry'!BQ171="","",'Marks Entry'!BQ171)</f>
        <v/>
      </c>
      <c r="FJ171" s="74" t="str">
        <f>IF('Marks Entry'!BR171="","",'Marks Entry'!BR171)</f>
        <v/>
      </c>
      <c r="FK171" s="528" t="str">
        <f t="shared" si="402"/>
        <v/>
      </c>
      <c r="FL171" s="529" t="str">
        <f t="shared" si="403"/>
        <v/>
      </c>
      <c r="FM171" s="74" t="str">
        <f>IF('Marks Entry'!BS171="","",'Marks Entry'!BS171)</f>
        <v/>
      </c>
      <c r="FN171" s="74" t="str">
        <f>IF('Marks Entry'!BT171="","",'Marks Entry'!BT171)</f>
        <v/>
      </c>
      <c r="FO171" s="528" t="str">
        <f t="shared" si="404"/>
        <v/>
      </c>
      <c r="FP171" s="530" t="str">
        <f t="shared" si="405"/>
        <v/>
      </c>
      <c r="FQ171" s="368" t="str">
        <f t="shared" si="454"/>
        <v/>
      </c>
      <c r="FR171" s="65">
        <f t="shared" si="455"/>
        <v>0</v>
      </c>
      <c r="FS171" s="65">
        <f t="shared" si="456"/>
        <v>0</v>
      </c>
      <c r="FT171" s="66" t="str">
        <f t="shared" si="457"/>
        <v/>
      </c>
      <c r="FU171" s="74" t="str">
        <f>IF('Marks Entry'!BU171="","",'Marks Entry'!BU171)</f>
        <v/>
      </c>
      <c r="FV171" s="74" t="str">
        <f>IF('Marks Entry'!BV171="","",'Marks Entry'!BV171)</f>
        <v/>
      </c>
      <c r="FW171" s="74" t="str">
        <f>IF('Marks Entry'!BW171="","",'Marks Entry'!BW171)</f>
        <v/>
      </c>
      <c r="FX171" s="75" t="str">
        <f t="shared" si="406"/>
        <v/>
      </c>
      <c r="FY171" s="368" t="str">
        <f t="shared" si="458"/>
        <v/>
      </c>
      <c r="FZ171" s="65">
        <f t="shared" si="459"/>
        <v>0</v>
      </c>
      <c r="GA171" s="66">
        <f t="shared" si="460"/>
        <v>0</v>
      </c>
      <c r="GB171" s="66" t="str">
        <f t="shared" si="461"/>
        <v/>
      </c>
      <c r="GC171" s="74" t="str">
        <f>IF('Marks Entry'!BX171="","",'Marks Entry'!BX171)</f>
        <v/>
      </c>
      <c r="GD171" s="74" t="str">
        <f>IF('Marks Entry'!BY171="","",'Marks Entry'!BY171)</f>
        <v/>
      </c>
      <c r="GE171" s="74" t="str">
        <f>IF('Marks Entry'!BZ171="","",'Marks Entry'!BZ171)</f>
        <v/>
      </c>
      <c r="GF171" s="75" t="str">
        <f t="shared" si="462"/>
        <v/>
      </c>
      <c r="GG171" s="368" t="str">
        <f t="shared" si="463"/>
        <v/>
      </c>
      <c r="GH171" s="65">
        <f t="shared" si="464"/>
        <v>0</v>
      </c>
      <c r="GI171" s="66">
        <f t="shared" si="465"/>
        <v>0</v>
      </c>
      <c r="GJ171" s="66" t="str">
        <f t="shared" si="466"/>
        <v/>
      </c>
      <c r="GK171" s="100" t="str">
        <f>IF(AND(F171="",B171=""),"",IF('Student DATA Entry'!M168="","",'Student DATA Entry'!M168))</f>
        <v/>
      </c>
      <c r="GL171" s="101" t="str">
        <f>IF(AND(B171="",F171=""),"",IF('Student DATA Entry'!N168="","",'Student DATA Entry'!N168))</f>
        <v/>
      </c>
      <c r="GM171" s="581" t="str">
        <f t="shared" si="467"/>
        <v/>
      </c>
      <c r="GN171" s="94" t="str">
        <f t="shared" si="468"/>
        <v/>
      </c>
      <c r="GO171" s="94" t="str">
        <f t="shared" si="469"/>
        <v/>
      </c>
      <c r="GP171" s="102" t="str">
        <f t="shared" si="498"/>
        <v/>
      </c>
      <c r="GQ171" s="94" t="str">
        <f t="shared" si="470"/>
        <v/>
      </c>
      <c r="GR171" s="103" t="str">
        <f t="shared" si="471"/>
        <v/>
      </c>
      <c r="GS171" s="102" t="str">
        <f t="shared" si="499"/>
        <v/>
      </c>
      <c r="GT171" s="104" t="str">
        <f t="shared" si="472"/>
        <v/>
      </c>
      <c r="GU171" s="94" t="str">
        <f>IF('Marks Entry'!V171=1,GT171,"")</f>
        <v/>
      </c>
      <c r="GV171" s="94" t="str">
        <f>IF('Marks Entry'!V171=2,GT171,"")</f>
        <v/>
      </c>
      <c r="GW171" s="94" t="str">
        <f>IF('Marks Entry'!V171=3,GT171,"")</f>
        <v/>
      </c>
      <c r="GX171" s="94" t="str">
        <f>IF('Marks Entry'!V171=4,GT171,"")</f>
        <v/>
      </c>
      <c r="GY171" s="94" t="str">
        <f>IF('Marks Entry'!V171=5,GT171,"")</f>
        <v/>
      </c>
      <c r="GZ171" s="94" t="str">
        <f t="shared" si="473"/>
        <v/>
      </c>
      <c r="HA171" s="105" t="str">
        <f t="shared" si="500"/>
        <v/>
      </c>
      <c r="HB171" s="94" t="str">
        <f t="shared" si="474"/>
        <v/>
      </c>
      <c r="HC171" s="94" t="str">
        <f t="shared" si="475"/>
        <v/>
      </c>
      <c r="HD171" s="105" t="str">
        <f t="shared" si="501"/>
        <v/>
      </c>
      <c r="HE171" s="94" t="str">
        <f t="shared" si="476"/>
        <v/>
      </c>
      <c r="HF171" s="94" t="str">
        <f t="shared" si="477"/>
        <v/>
      </c>
      <c r="HG171" s="105" t="str">
        <f t="shared" si="502"/>
        <v/>
      </c>
      <c r="HH171" s="94" t="str">
        <f t="shared" si="478"/>
        <v/>
      </c>
      <c r="HI171" s="94" t="str">
        <f t="shared" si="479"/>
        <v/>
      </c>
      <c r="HJ171" s="105" t="str">
        <f t="shared" si="503"/>
        <v/>
      </c>
      <c r="HK171" s="94" t="str">
        <f t="shared" si="480"/>
        <v/>
      </c>
      <c r="HL171" s="94" t="str">
        <f t="shared" si="481"/>
        <v/>
      </c>
      <c r="HM171" s="105" t="str">
        <f t="shared" si="504"/>
        <v/>
      </c>
      <c r="HN171" s="367" t="str">
        <f t="shared" si="482"/>
        <v xml:space="preserve">      </v>
      </c>
      <c r="HO171" s="418" t="str">
        <f t="shared" si="505"/>
        <v xml:space="preserve">      </v>
      </c>
      <c r="HP171" s="367" t="str">
        <f t="shared" si="483"/>
        <v xml:space="preserve">      </v>
      </c>
      <c r="HQ171" s="107" t="str">
        <f t="shared" si="484"/>
        <v xml:space="preserve">      </v>
      </c>
      <c r="HR171" s="366" t="str">
        <f t="shared" si="485"/>
        <v xml:space="preserve">      </v>
      </c>
      <c r="HS171" s="544" t="str">
        <f t="shared" si="506"/>
        <v/>
      </c>
      <c r="HT171" s="542" t="str">
        <f t="shared" si="486"/>
        <v/>
      </c>
      <c r="HU171" s="541" t="str">
        <f t="shared" si="487"/>
        <v/>
      </c>
      <c r="HV171" s="540" t="str">
        <f t="shared" si="488"/>
        <v/>
      </c>
      <c r="HW171" s="537" t="str">
        <f t="shared" si="489"/>
        <v/>
      </c>
      <c r="HX171" s="539" t="str">
        <f t="shared" si="490"/>
        <v/>
      </c>
      <c r="HY171" s="553" t="str">
        <f>IFERROR(IF(OR(HS171="SUPPLEMENTARY",HS171="RE-EXAM"),'Supp. Result Entry'!AQ169,""),"")</f>
        <v/>
      </c>
      <c r="HZ171" s="538" t="str">
        <f t="shared" si="491"/>
        <v/>
      </c>
      <c r="IA171" s="415" t="str">
        <f t="shared" si="492"/>
        <v/>
      </c>
      <c r="IB171" s="415" t="str">
        <f>IF(AND(HZ171="",IA171=""),"",IF(OR(HS171="SUPPLEMENTARY",HS171="RE-EXAM"),'Supp. Result Entry'!AQ169,HS171))</f>
        <v/>
      </c>
      <c r="IC171" s="87"/>
      <c r="IS171" s="109" t="str">
        <f>IF('Supp. Result Entry'!T169="","",'Supp. Result Entry'!$T$4)</f>
        <v/>
      </c>
      <c r="IT171" s="110" t="str">
        <f>IF('Supp. Result Entry'!W169="","",'Supp. Result Entry'!$W$4)</f>
        <v/>
      </c>
      <c r="IU171" s="110" t="str">
        <f>IF('Supp. Result Entry'!Z169="","",'Supp. Result Entry'!$Z$4)</f>
        <v/>
      </c>
      <c r="IV171" s="110" t="str">
        <f>IF('Supp. Result Entry'!AC169="","",'Supp. Result Entry'!$AC$4)</f>
        <v/>
      </c>
      <c r="IW171" s="110" t="str">
        <f>IF('Supp. Result Entry'!AF169="","",'Supp. Result Entry'!$AF$4)</f>
        <v/>
      </c>
      <c r="IX171" s="110" t="str">
        <f>IF('Supp. Result Entry'!AI169="","",'Supp. Result Entry'!$AI$4)</f>
        <v/>
      </c>
      <c r="IY171" s="110" t="str">
        <f>IF('Supp. Result Entry'!AI169="","",'Supp. Result Entry'!$AL$4)</f>
        <v/>
      </c>
      <c r="IZ171" s="110" t="str">
        <f>IF('Supp. Result Entry'!U169="","",'Supp. Result Entry'!U169)</f>
        <v/>
      </c>
      <c r="JA171" s="110" t="str">
        <f>IF('Supp. Result Entry'!X169="","",'Supp. Result Entry'!X169)</f>
        <v/>
      </c>
      <c r="JB171" s="110" t="str">
        <f>IF('Supp. Result Entry'!AA169="","",'Supp. Result Entry'!AA169)</f>
        <v/>
      </c>
      <c r="JC171" s="110" t="str">
        <f>IF('Supp. Result Entry'!AD169="","",'Supp. Result Entry'!AD169)</f>
        <v/>
      </c>
      <c r="JD171" s="110" t="str">
        <f>IF('Supp. Result Entry'!AG169="","",'Supp. Result Entry'!AG169)</f>
        <v/>
      </c>
      <c r="JE171" s="110" t="str">
        <f>IF('Supp. Result Entry'!AJ169="","",'Supp. Result Entry'!AJ169)</f>
        <v/>
      </c>
      <c r="JF171" s="110" t="str">
        <f>IF('Supp. Result Entry'!AM169="","",'Supp. Result Entry'!AM169)</f>
        <v/>
      </c>
      <c r="JG171" s="110" t="str">
        <f>IF('Supp. Result Entry'!V169="","",'Supp. Result Entry'!V169)</f>
        <v/>
      </c>
      <c r="JH171" s="110" t="str">
        <f>IF('Supp. Result Entry'!Y169="","",'Supp. Result Entry'!Y169)</f>
        <v/>
      </c>
      <c r="JI171" s="110" t="str">
        <f>IF('Supp. Result Entry'!AB169="","",'Supp. Result Entry'!AB169)</f>
        <v/>
      </c>
      <c r="JJ171" s="110" t="str">
        <f>IF('Supp. Result Entry'!AE169="","",'Supp. Result Entry'!AE169)</f>
        <v/>
      </c>
      <c r="JK171" s="110" t="str">
        <f>IF('Supp. Result Entry'!AH169="","",'Supp. Result Entry'!AH169)</f>
        <v/>
      </c>
      <c r="JL171" s="110" t="str">
        <f>IF('Supp. Result Entry'!AK169="","",'Supp. Result Entry'!AK169)</f>
        <v/>
      </c>
      <c r="JM171" s="110" t="str">
        <f>IF('Supp. Result Entry'!AN169="","",'Supp. Result Entry'!AN169)</f>
        <v/>
      </c>
      <c r="JN171" s="110">
        <f>COUNTIF('Supp. Result Entry'!K169:Q169,"S")</f>
        <v>0</v>
      </c>
      <c r="JO171" s="110">
        <f t="shared" si="416"/>
        <v>0</v>
      </c>
      <c r="JP171" s="110">
        <f t="shared" si="493"/>
        <v>0</v>
      </c>
      <c r="JQ171" s="110" t="str">
        <f t="shared" si="417"/>
        <v/>
      </c>
      <c r="JR171" s="110" t="str">
        <f t="shared" si="418"/>
        <v/>
      </c>
      <c r="JS171" s="110" t="str">
        <f t="shared" si="419"/>
        <v/>
      </c>
      <c r="JT171" s="110" t="str">
        <f t="shared" si="420"/>
        <v/>
      </c>
      <c r="JU171" s="110" t="str">
        <f t="shared" si="421"/>
        <v/>
      </c>
      <c r="JV171" s="110" t="str">
        <f t="shared" si="422"/>
        <v/>
      </c>
      <c r="JW171" s="110" t="str">
        <f t="shared" si="423"/>
        <v/>
      </c>
      <c r="JX171" s="110" t="str">
        <f t="shared" si="494"/>
        <v/>
      </c>
      <c r="JY171" s="110" t="str">
        <f t="shared" si="495"/>
        <v/>
      </c>
      <c r="JZ171" s="110" t="str">
        <f t="shared" si="424"/>
        <v/>
      </c>
      <c r="KA171" s="108" t="str">
        <f t="shared" si="496"/>
        <v/>
      </c>
    </row>
    <row r="172" spans="1:287" s="108" customFormat="1" ht="21.95" customHeight="1">
      <c r="A172" s="89">
        <v>166</v>
      </c>
      <c r="B172" s="90" t="str">
        <f>IF('Marks Entry'!B172="","",'Marks Entry'!B172)</f>
        <v/>
      </c>
      <c r="C172" s="94" t="str">
        <f>IF('Marks Entry'!D172="","",'Marks Entry'!D172)</f>
        <v/>
      </c>
      <c r="D172" s="91" t="str">
        <f>IF('Marks Entry'!E172="","",'Marks Entry'!E172)</f>
        <v/>
      </c>
      <c r="E172" s="92" t="str">
        <f>IF('Marks Entry'!F172="","",'Marks Entry'!F172)</f>
        <v/>
      </c>
      <c r="F172" s="93" t="str">
        <f>IF('Marks Entry'!G172="","",'Marks Entry'!G172)</f>
        <v/>
      </c>
      <c r="G172" s="93" t="str">
        <f>IF('Marks Entry'!H172="","",'Marks Entry'!H172)</f>
        <v/>
      </c>
      <c r="H172" s="93" t="str">
        <f>IF('Marks Entry'!I172="","",'Marks Entry'!I172)</f>
        <v/>
      </c>
      <c r="I172" s="94" t="str">
        <f>IF('Marks Entry'!J172="","",'Marks Entry'!J172)</f>
        <v/>
      </c>
      <c r="J172" s="95" t="str">
        <f>IF('Marks Entry'!K172="","",'Marks Entry'!K172)</f>
        <v/>
      </c>
      <c r="K172" s="68" t="str">
        <f>IF('Marks Entry'!L172="","",'Marks Entry'!L172)</f>
        <v/>
      </c>
      <c r="L172" s="68" t="str">
        <f>IF('Marks Entry'!M172="","",'Marks Entry'!M172)</f>
        <v/>
      </c>
      <c r="M172" s="68" t="str">
        <f>IF('Marks Entry'!N172="","",'Marks Entry'!N172)</f>
        <v/>
      </c>
      <c r="N172" s="514" t="str">
        <f t="shared" si="425"/>
        <v/>
      </c>
      <c r="O172" s="68" t="str">
        <f>IF('Marks Entry'!O172="","",'Marks Entry'!O172)</f>
        <v/>
      </c>
      <c r="P172" s="515" t="str">
        <f t="shared" si="426"/>
        <v/>
      </c>
      <c r="Q172" s="68" t="str">
        <f>IF('Marks Entry'!P172="","",'Marks Entry'!P172)</f>
        <v/>
      </c>
      <c r="R172" s="96" t="str">
        <f t="shared" si="427"/>
        <v/>
      </c>
      <c r="S172" s="65">
        <f t="shared" si="428"/>
        <v>0</v>
      </c>
      <c r="T172" s="65">
        <f t="shared" si="429"/>
        <v>0</v>
      </c>
      <c r="U172" s="66" t="str">
        <f t="shared" si="339"/>
        <v/>
      </c>
      <c r="V172" s="65" t="str">
        <f t="shared" si="340"/>
        <v/>
      </c>
      <c r="W172" s="65" t="str">
        <f t="shared" si="430"/>
        <v/>
      </c>
      <c r="X172" s="65" t="str">
        <f t="shared" si="341"/>
        <v/>
      </c>
      <c r="Y172" s="68" t="str">
        <f>IF('Marks Entry'!Q172="","",'Marks Entry'!Q172)</f>
        <v/>
      </c>
      <c r="Z172" s="68" t="str">
        <f>IF('Marks Entry'!R172="","",'Marks Entry'!R172)</f>
        <v/>
      </c>
      <c r="AA172" s="68" t="str">
        <f>IF('Marks Entry'!S172="","",'Marks Entry'!S172)</f>
        <v/>
      </c>
      <c r="AB172" s="514" t="str">
        <f t="shared" si="342"/>
        <v/>
      </c>
      <c r="AC172" s="68" t="str">
        <f>IF('Marks Entry'!T172="","",'Marks Entry'!T172)</f>
        <v/>
      </c>
      <c r="AD172" s="515" t="str">
        <f t="shared" si="343"/>
        <v/>
      </c>
      <c r="AE172" s="68" t="str">
        <f>IF('Marks Entry'!U172="","",'Marks Entry'!U172)</f>
        <v/>
      </c>
      <c r="AF172" s="96" t="str">
        <f t="shared" si="344"/>
        <v/>
      </c>
      <c r="AG172" s="65">
        <f t="shared" si="345"/>
        <v>0</v>
      </c>
      <c r="AH172" s="65">
        <f t="shared" si="346"/>
        <v>0</v>
      </c>
      <c r="AI172" s="66" t="str">
        <f t="shared" si="347"/>
        <v/>
      </c>
      <c r="AJ172" s="65" t="str">
        <f t="shared" si="348"/>
        <v/>
      </c>
      <c r="AK172" s="65" t="str">
        <f t="shared" si="349"/>
        <v/>
      </c>
      <c r="AL172" s="65" t="str">
        <f t="shared" si="350"/>
        <v/>
      </c>
      <c r="AM172" s="524" t="str">
        <f>IF('Marks Entry'!V172="","",IF('Marks Entry'!V172=1,'School Profile'!$I$9,IF('Marks Entry'!V172=2,'School Profile'!$I$10,IF('Marks Entry'!V172=3,'School Profile'!$I$11,IF('Marks Entry'!V172=4,'School Profile'!$I$12,IF('Marks Entry'!V172=5,'School Profile'!$I$13,IF('Marks Entry'!V172=6,'School Profile'!$I$14,"")))))))</f>
        <v/>
      </c>
      <c r="AN172" s="68" t="str">
        <f>IF('Marks Entry'!W172="","",'Marks Entry'!W172)</f>
        <v/>
      </c>
      <c r="AO172" s="68" t="str">
        <f>IF('Marks Entry'!X172="","",'Marks Entry'!X172)</f>
        <v/>
      </c>
      <c r="AP172" s="68" t="str">
        <f>IF('Marks Entry'!Y172="","",'Marks Entry'!Y172)</f>
        <v/>
      </c>
      <c r="AQ172" s="514" t="str">
        <f t="shared" si="351"/>
        <v/>
      </c>
      <c r="AR172" s="68" t="str">
        <f>IF('Marks Entry'!Z172="","",'Marks Entry'!Z172)</f>
        <v/>
      </c>
      <c r="AS172" s="515" t="str">
        <f t="shared" si="352"/>
        <v/>
      </c>
      <c r="AT172" s="68" t="str">
        <f>IF('Marks Entry'!AA172="","",'Marks Entry'!AA172)</f>
        <v/>
      </c>
      <c r="AU172" s="96" t="str">
        <f t="shared" si="353"/>
        <v/>
      </c>
      <c r="AV172" s="65">
        <f t="shared" si="354"/>
        <v>0</v>
      </c>
      <c r="AW172" s="65">
        <f t="shared" si="355"/>
        <v>0</v>
      </c>
      <c r="AX172" s="66" t="str">
        <f t="shared" si="356"/>
        <v/>
      </c>
      <c r="AY172" s="65" t="str">
        <f t="shared" si="357"/>
        <v/>
      </c>
      <c r="AZ172" s="65" t="str">
        <f t="shared" si="358"/>
        <v/>
      </c>
      <c r="BA172" s="65" t="str">
        <f t="shared" si="359"/>
        <v/>
      </c>
      <c r="BB172" s="68" t="str">
        <f>IF('Marks Entry'!AB172="","",'Marks Entry'!AB172)</f>
        <v/>
      </c>
      <c r="BC172" s="68" t="str">
        <f>IF('Marks Entry'!AC172="","",'Marks Entry'!AC172)</f>
        <v/>
      </c>
      <c r="BD172" s="68" t="str">
        <f>IF('Marks Entry'!AD172="","",'Marks Entry'!AD172)</f>
        <v/>
      </c>
      <c r="BE172" s="514" t="str">
        <f t="shared" si="360"/>
        <v/>
      </c>
      <c r="BF172" s="68" t="str">
        <f>IF('Marks Entry'!AE172="","",'Marks Entry'!AE172)</f>
        <v/>
      </c>
      <c r="BG172" s="515" t="str">
        <f t="shared" si="361"/>
        <v/>
      </c>
      <c r="BH172" s="68" t="str">
        <f>IF('Marks Entry'!AF172="","",'Marks Entry'!AF172)</f>
        <v/>
      </c>
      <c r="BI172" s="96" t="str">
        <f t="shared" si="362"/>
        <v/>
      </c>
      <c r="BJ172" s="65">
        <f t="shared" si="363"/>
        <v>0</v>
      </c>
      <c r="BK172" s="65">
        <f t="shared" si="431"/>
        <v>0</v>
      </c>
      <c r="BL172" s="66" t="str">
        <f t="shared" si="364"/>
        <v/>
      </c>
      <c r="BM172" s="65" t="str">
        <f t="shared" si="365"/>
        <v/>
      </c>
      <c r="BN172" s="65" t="str">
        <f t="shared" si="366"/>
        <v/>
      </c>
      <c r="BO172" s="65" t="str">
        <f t="shared" si="367"/>
        <v/>
      </c>
      <c r="BP172" s="68" t="str">
        <f>IF('Marks Entry'!AG172="","",'Marks Entry'!AG172)</f>
        <v/>
      </c>
      <c r="BQ172" s="68" t="str">
        <f>IF('Marks Entry'!AH172="","",'Marks Entry'!AH172)</f>
        <v/>
      </c>
      <c r="BR172" s="68" t="str">
        <f>IF('Marks Entry'!AI172="","",'Marks Entry'!AI172)</f>
        <v/>
      </c>
      <c r="BS172" s="514" t="str">
        <f t="shared" si="368"/>
        <v/>
      </c>
      <c r="BT172" s="68" t="str">
        <f>IF('Marks Entry'!AJ172="","",'Marks Entry'!AJ172)</f>
        <v/>
      </c>
      <c r="BU172" s="515" t="str">
        <f t="shared" si="369"/>
        <v/>
      </c>
      <c r="BV172" s="68" t="str">
        <f>IF('Marks Entry'!AK172="","",'Marks Entry'!AK172)</f>
        <v/>
      </c>
      <c r="BW172" s="96" t="str">
        <f t="shared" si="370"/>
        <v/>
      </c>
      <c r="BX172" s="65">
        <f t="shared" si="371"/>
        <v>0</v>
      </c>
      <c r="BY172" s="65">
        <f t="shared" si="372"/>
        <v>0</v>
      </c>
      <c r="BZ172" s="66" t="str">
        <f t="shared" si="373"/>
        <v/>
      </c>
      <c r="CA172" s="65" t="str">
        <f t="shared" si="374"/>
        <v/>
      </c>
      <c r="CB172" s="65" t="str">
        <f t="shared" si="375"/>
        <v/>
      </c>
      <c r="CC172" s="65" t="str">
        <f t="shared" si="376"/>
        <v/>
      </c>
      <c r="CD172" s="66">
        <f t="shared" si="497"/>
        <v>0</v>
      </c>
      <c r="CE172" s="68" t="str">
        <f>IF('Marks Entry'!AL172="","",'Marks Entry'!AL172)</f>
        <v/>
      </c>
      <c r="CF172" s="68" t="str">
        <f>IF('Marks Entry'!AM172="","",'Marks Entry'!AM172)</f>
        <v/>
      </c>
      <c r="CG172" s="68" t="str">
        <f>IF('Marks Entry'!AN172="","",'Marks Entry'!AN172)</f>
        <v/>
      </c>
      <c r="CH172" s="514" t="str">
        <f t="shared" si="378"/>
        <v/>
      </c>
      <c r="CI172" s="68" t="str">
        <f>IF('Marks Entry'!AO172="","",'Marks Entry'!AO172)</f>
        <v/>
      </c>
      <c r="CJ172" s="515" t="str">
        <f t="shared" si="379"/>
        <v/>
      </c>
      <c r="CK172" s="68" t="str">
        <f>IF('Marks Entry'!AP172="","",'Marks Entry'!AP172)</f>
        <v/>
      </c>
      <c r="CL172" s="96" t="str">
        <f t="shared" si="380"/>
        <v/>
      </c>
      <c r="CM172" s="65">
        <f t="shared" si="381"/>
        <v>0</v>
      </c>
      <c r="CN172" s="65">
        <f t="shared" si="382"/>
        <v>0</v>
      </c>
      <c r="CO172" s="66" t="str">
        <f t="shared" si="383"/>
        <v/>
      </c>
      <c r="CP172" s="65" t="str">
        <f t="shared" si="384"/>
        <v/>
      </c>
      <c r="CQ172" s="65" t="str">
        <f t="shared" si="385"/>
        <v/>
      </c>
      <c r="CR172" s="65" t="str">
        <f t="shared" si="386"/>
        <v/>
      </c>
      <c r="CS172" s="616" t="str">
        <f>IF('School Profile'!$D$20="NO","",IF('Marks Entry'!AQ172="","",IF('Marks Entry'!AQ172=1,'School Profile'!$I$29,IF('Marks Entry'!AQ172=2,'School Profile'!$I$30,IF('Marks Entry'!AQ172=3,'School Profile'!$I$31,IF('Marks Entry'!AQ172=4,'School Profile'!$I$32,IF('Marks Entry'!AQ172=5,'School Profile'!$I$33,IF('Marks Entry'!AQ172=6,'School Profile'!$I$34,IF('Marks Entry'!AQ172=7,'School Profile'!$I$35,IF('Marks Entry'!AQ172=8,'School Profile'!$I$36,IF('Marks Entry'!AQ172=9,'School Profile'!$I$37,IF('Marks Entry'!AQ172=10,'School Profile'!$I$38,IF('Marks Entry'!AQ172=11,'School Profile'!$I$39,"")))))))))))))</f>
        <v/>
      </c>
      <c r="CT172" s="68" t="str">
        <f>IF('School Profile'!$D$20="NO","",IF('Marks Entry'!AR172="","",'Marks Entry'!AR172))</f>
        <v/>
      </c>
      <c r="CU172" s="68" t="str">
        <f>IF('School Profile'!$D$20="NO","",IF('Marks Entry'!AS172="","",'Marks Entry'!AS172))</f>
        <v/>
      </c>
      <c r="CV172" s="68" t="str">
        <f>IF('School Profile'!$D$20="NO","",IF('Marks Entry'!AT172="","",'Marks Entry'!AT172))</f>
        <v/>
      </c>
      <c r="CW172" s="514" t="str">
        <f>IF('School Profile'!$D$20="NO","",IF(AND(CT172="",CU172="",CV172=""),"",SUM(CT172:CV172)))</f>
        <v/>
      </c>
      <c r="CX172" s="68" t="str">
        <f>IF('School Profile'!$D$20="NO","",IF('Marks Entry'!AU172="","",'Marks Entry'!AU172))</f>
        <v/>
      </c>
      <c r="CY172" s="68" t="str">
        <f>IF('School Profile'!$D$20="NO","",IF('Marks Entry'!AV172="","",'Marks Entry'!AV172))</f>
        <v/>
      </c>
      <c r="CZ172" s="515" t="str">
        <f>IF('School Profile'!$D$20="NO","",IF(AND(CX172="",CY172=""),"",SUM(CX172,CY172)))</f>
        <v/>
      </c>
      <c r="DA172" s="69" t="str">
        <f>IF('School Profile'!$D$20="NO","",IF(AND(CW172="",CZ172=""),"",SUM(CW172+CZ172)))</f>
        <v/>
      </c>
      <c r="DB172" s="68" t="str">
        <f>IF('School Profile'!$D$20="NO","",IF('Marks Entry'!AW172="","",'Marks Entry'!AW172))</f>
        <v/>
      </c>
      <c r="DC172" s="68" t="str">
        <f>IF('School Profile'!$D$20="NO","",IF('Marks Entry'!AX172="","",'Marks Entry'!AX172))</f>
        <v/>
      </c>
      <c r="DD172" s="515" t="str">
        <f>IF('School Profile'!$D$20="NO","",IF(AND(DB172="",DC172=""),"",SUM(DB172,DC172)))</f>
        <v/>
      </c>
      <c r="DE172" s="96" t="str">
        <f>IF('School Profile'!$D$20="NO","",IF(AND(DA172="",DD172=""),"",SUM(DA172,DD172)))</f>
        <v/>
      </c>
      <c r="DF172" s="532">
        <f t="shared" si="387"/>
        <v>0</v>
      </c>
      <c r="DG172" s="65">
        <f t="shared" si="388"/>
        <v>0</v>
      </c>
      <c r="DH172" s="66" t="str">
        <f t="shared" si="389"/>
        <v/>
      </c>
      <c r="DI172" s="65" t="str">
        <f t="shared" si="390"/>
        <v/>
      </c>
      <c r="DJ172" s="65" t="str">
        <f t="shared" si="391"/>
        <v/>
      </c>
      <c r="DK172" s="65" t="str">
        <f t="shared" si="392"/>
        <v/>
      </c>
      <c r="DL172" s="97" t="str">
        <f t="shared" si="432"/>
        <v/>
      </c>
      <c r="DM172" s="97" t="str">
        <f t="shared" si="433"/>
        <v/>
      </c>
      <c r="DN172" s="97" t="str">
        <f t="shared" si="434"/>
        <v/>
      </c>
      <c r="DO172" s="97" t="str">
        <f t="shared" si="435"/>
        <v/>
      </c>
      <c r="DP172" s="97" t="str">
        <f t="shared" si="436"/>
        <v/>
      </c>
      <c r="DQ172" s="97" t="str">
        <f t="shared" si="437"/>
        <v/>
      </c>
      <c r="DR172" s="97" t="str">
        <f t="shared" si="438"/>
        <v/>
      </c>
      <c r="DS172" s="98">
        <f t="shared" si="439"/>
        <v>0</v>
      </c>
      <c r="DT172" s="98">
        <f t="shared" si="440"/>
        <v>0</v>
      </c>
      <c r="DU172" s="98">
        <f t="shared" si="441"/>
        <v>0</v>
      </c>
      <c r="DV172" s="98">
        <f t="shared" si="442"/>
        <v>0</v>
      </c>
      <c r="DW172" s="98">
        <f t="shared" si="443"/>
        <v>0</v>
      </c>
      <c r="DX172" s="98" t="str">
        <f t="shared" si="444"/>
        <v/>
      </c>
      <c r="DY172" s="99" t="str">
        <f t="shared" si="445"/>
        <v/>
      </c>
      <c r="DZ172" s="74" t="str">
        <f>IF('Marks Entry'!AY172="","",'Marks Entry'!AY172)</f>
        <v/>
      </c>
      <c r="EA172" s="74" t="str">
        <f>IF('Marks Entry'!AZ172="","",'Marks Entry'!AZ172)</f>
        <v/>
      </c>
      <c r="EB172" s="74" t="str">
        <f>IF('Marks Entry'!BA172="","",'Marks Entry'!BA172)</f>
        <v/>
      </c>
      <c r="EC172" s="527" t="str">
        <f t="shared" si="393"/>
        <v/>
      </c>
      <c r="ED172" s="74" t="str">
        <f>IF('Marks Entry'!BB172="","",'Marks Entry'!BB172)</f>
        <v/>
      </c>
      <c r="EE172" s="528" t="str">
        <f t="shared" si="394"/>
        <v/>
      </c>
      <c r="EF172" s="74" t="str">
        <f>IF('Marks Entry'!BC172="","",'Marks Entry'!BC172)</f>
        <v/>
      </c>
      <c r="EG172" s="530" t="str">
        <f t="shared" si="395"/>
        <v/>
      </c>
      <c r="EH172" s="368" t="str">
        <f t="shared" si="446"/>
        <v/>
      </c>
      <c r="EI172" s="65">
        <f t="shared" si="447"/>
        <v>0</v>
      </c>
      <c r="EJ172" s="65">
        <f t="shared" si="448"/>
        <v>0</v>
      </c>
      <c r="EK172" s="66" t="str">
        <f t="shared" si="449"/>
        <v/>
      </c>
      <c r="EL172" s="74" t="str">
        <f>IF('Marks Entry'!BD172="","",'Marks Entry'!BD172)</f>
        <v/>
      </c>
      <c r="EM172" s="74" t="str">
        <f>IF('Marks Entry'!BE172="","",'Marks Entry'!BE172)</f>
        <v/>
      </c>
      <c r="EN172" s="74" t="str">
        <f>IF('Marks Entry'!BF172="","",'Marks Entry'!BF172)</f>
        <v/>
      </c>
      <c r="EO172" s="527" t="str">
        <f t="shared" si="396"/>
        <v/>
      </c>
      <c r="EP172" s="74" t="str">
        <f>IF('Marks Entry'!BG172="","",'Marks Entry'!BG172)</f>
        <v/>
      </c>
      <c r="EQ172" s="74" t="str">
        <f>IF('Marks Entry'!BH172="","",'Marks Entry'!BH172)</f>
        <v/>
      </c>
      <c r="ER172" s="528" t="str">
        <f t="shared" si="397"/>
        <v/>
      </c>
      <c r="ES172" s="529" t="str">
        <f t="shared" si="398"/>
        <v/>
      </c>
      <c r="ET172" s="74" t="str">
        <f>IF('Marks Entry'!BI172="","",'Marks Entry'!BI172)</f>
        <v/>
      </c>
      <c r="EU172" s="74" t="str">
        <f>IF('Marks Entry'!BJ172="","",'Marks Entry'!BJ172)</f>
        <v/>
      </c>
      <c r="EV172" s="528" t="str">
        <f t="shared" si="399"/>
        <v/>
      </c>
      <c r="EW172" s="530" t="str">
        <f t="shared" si="400"/>
        <v/>
      </c>
      <c r="EX172" s="368" t="str">
        <f t="shared" si="450"/>
        <v/>
      </c>
      <c r="EY172" s="65">
        <f t="shared" si="451"/>
        <v>0</v>
      </c>
      <c r="EZ172" s="65">
        <f t="shared" si="452"/>
        <v>0</v>
      </c>
      <c r="FA172" s="66" t="str">
        <f t="shared" si="453"/>
        <v/>
      </c>
      <c r="FB172" s="74" t="str">
        <f>IF('Marks Entry'!BK172="","",'Marks Entry'!BK172)</f>
        <v/>
      </c>
      <c r="FC172" s="74" t="str">
        <f>IF('Marks Entry'!BL172="","",'Marks Entry'!BL172)</f>
        <v/>
      </c>
      <c r="FD172" s="74" t="str">
        <f>IF('Marks Entry'!BM172="","",'Marks Entry'!BM172)</f>
        <v/>
      </c>
      <c r="FE172" s="74" t="str">
        <f>IF('Marks Entry'!BN172="","",'Marks Entry'!BN172)</f>
        <v/>
      </c>
      <c r="FF172" s="74" t="str">
        <f>IF('Marks Entry'!BO172="","",'Marks Entry'!BO172)</f>
        <v/>
      </c>
      <c r="FG172" s="74" t="str">
        <f>IF('Marks Entry'!BP172="","",'Marks Entry'!BP172)</f>
        <v/>
      </c>
      <c r="FH172" s="527" t="str">
        <f t="shared" si="401"/>
        <v/>
      </c>
      <c r="FI172" s="74" t="str">
        <f>IF('Marks Entry'!BQ172="","",'Marks Entry'!BQ172)</f>
        <v/>
      </c>
      <c r="FJ172" s="74" t="str">
        <f>IF('Marks Entry'!BR172="","",'Marks Entry'!BR172)</f>
        <v/>
      </c>
      <c r="FK172" s="528" t="str">
        <f t="shared" si="402"/>
        <v/>
      </c>
      <c r="FL172" s="529" t="str">
        <f t="shared" si="403"/>
        <v/>
      </c>
      <c r="FM172" s="74" t="str">
        <f>IF('Marks Entry'!BS172="","",'Marks Entry'!BS172)</f>
        <v/>
      </c>
      <c r="FN172" s="74" t="str">
        <f>IF('Marks Entry'!BT172="","",'Marks Entry'!BT172)</f>
        <v/>
      </c>
      <c r="FO172" s="528" t="str">
        <f t="shared" si="404"/>
        <v/>
      </c>
      <c r="FP172" s="530" t="str">
        <f t="shared" si="405"/>
        <v/>
      </c>
      <c r="FQ172" s="368" t="str">
        <f t="shared" si="454"/>
        <v/>
      </c>
      <c r="FR172" s="65">
        <f t="shared" si="455"/>
        <v>0</v>
      </c>
      <c r="FS172" s="65">
        <f t="shared" si="456"/>
        <v>0</v>
      </c>
      <c r="FT172" s="66" t="str">
        <f t="shared" si="457"/>
        <v/>
      </c>
      <c r="FU172" s="74" t="str">
        <f>IF('Marks Entry'!BU172="","",'Marks Entry'!BU172)</f>
        <v/>
      </c>
      <c r="FV172" s="74" t="str">
        <f>IF('Marks Entry'!BV172="","",'Marks Entry'!BV172)</f>
        <v/>
      </c>
      <c r="FW172" s="74" t="str">
        <f>IF('Marks Entry'!BW172="","",'Marks Entry'!BW172)</f>
        <v/>
      </c>
      <c r="FX172" s="75" t="str">
        <f t="shared" si="406"/>
        <v/>
      </c>
      <c r="FY172" s="368" t="str">
        <f t="shared" si="458"/>
        <v/>
      </c>
      <c r="FZ172" s="65">
        <f t="shared" si="459"/>
        <v>0</v>
      </c>
      <c r="GA172" s="66">
        <f t="shared" si="460"/>
        <v>0</v>
      </c>
      <c r="GB172" s="66" t="str">
        <f t="shared" si="461"/>
        <v/>
      </c>
      <c r="GC172" s="74" t="str">
        <f>IF('Marks Entry'!BX172="","",'Marks Entry'!BX172)</f>
        <v/>
      </c>
      <c r="GD172" s="74" t="str">
        <f>IF('Marks Entry'!BY172="","",'Marks Entry'!BY172)</f>
        <v/>
      </c>
      <c r="GE172" s="74" t="str">
        <f>IF('Marks Entry'!BZ172="","",'Marks Entry'!BZ172)</f>
        <v/>
      </c>
      <c r="GF172" s="75" t="str">
        <f t="shared" si="462"/>
        <v/>
      </c>
      <c r="GG172" s="368" t="str">
        <f t="shared" si="463"/>
        <v/>
      </c>
      <c r="GH172" s="65">
        <f t="shared" si="464"/>
        <v>0</v>
      </c>
      <c r="GI172" s="66">
        <f t="shared" si="465"/>
        <v>0</v>
      </c>
      <c r="GJ172" s="66" t="str">
        <f t="shared" si="466"/>
        <v/>
      </c>
      <c r="GK172" s="100" t="str">
        <f>IF(AND(F172="",B172=""),"",IF('Student DATA Entry'!M169="","",'Student DATA Entry'!M169))</f>
        <v/>
      </c>
      <c r="GL172" s="101" t="str">
        <f>IF(AND(B172="",F172=""),"",IF('Student DATA Entry'!N169="","",'Student DATA Entry'!N169))</f>
        <v/>
      </c>
      <c r="GM172" s="581" t="str">
        <f t="shared" si="467"/>
        <v/>
      </c>
      <c r="GN172" s="94" t="str">
        <f t="shared" si="468"/>
        <v/>
      </c>
      <c r="GO172" s="94" t="str">
        <f t="shared" si="469"/>
        <v/>
      </c>
      <c r="GP172" s="102" t="str">
        <f t="shared" si="498"/>
        <v/>
      </c>
      <c r="GQ172" s="94" t="str">
        <f t="shared" si="470"/>
        <v/>
      </c>
      <c r="GR172" s="103" t="str">
        <f t="shared" si="471"/>
        <v/>
      </c>
      <c r="GS172" s="102" t="str">
        <f t="shared" si="499"/>
        <v/>
      </c>
      <c r="GT172" s="104" t="str">
        <f t="shared" si="472"/>
        <v/>
      </c>
      <c r="GU172" s="94" t="str">
        <f>IF('Marks Entry'!V172=1,GT172,"")</f>
        <v/>
      </c>
      <c r="GV172" s="94" t="str">
        <f>IF('Marks Entry'!V172=2,GT172,"")</f>
        <v/>
      </c>
      <c r="GW172" s="94" t="str">
        <f>IF('Marks Entry'!V172=3,GT172,"")</f>
        <v/>
      </c>
      <c r="GX172" s="94" t="str">
        <f>IF('Marks Entry'!V172=4,GT172,"")</f>
        <v/>
      </c>
      <c r="GY172" s="94" t="str">
        <f>IF('Marks Entry'!V172=5,GT172,"")</f>
        <v/>
      </c>
      <c r="GZ172" s="94" t="str">
        <f t="shared" si="473"/>
        <v/>
      </c>
      <c r="HA172" s="105" t="str">
        <f t="shared" si="500"/>
        <v/>
      </c>
      <c r="HB172" s="94" t="str">
        <f t="shared" si="474"/>
        <v/>
      </c>
      <c r="HC172" s="94" t="str">
        <f t="shared" si="475"/>
        <v/>
      </c>
      <c r="HD172" s="105" t="str">
        <f t="shared" si="501"/>
        <v/>
      </c>
      <c r="HE172" s="94" t="str">
        <f t="shared" si="476"/>
        <v/>
      </c>
      <c r="HF172" s="94" t="str">
        <f t="shared" si="477"/>
        <v/>
      </c>
      <c r="HG172" s="105" t="str">
        <f t="shared" si="502"/>
        <v/>
      </c>
      <c r="HH172" s="94" t="str">
        <f t="shared" si="478"/>
        <v/>
      </c>
      <c r="HI172" s="94" t="str">
        <f t="shared" si="479"/>
        <v/>
      </c>
      <c r="HJ172" s="105" t="str">
        <f t="shared" si="503"/>
        <v/>
      </c>
      <c r="HK172" s="94" t="str">
        <f t="shared" si="480"/>
        <v/>
      </c>
      <c r="HL172" s="94" t="str">
        <f t="shared" si="481"/>
        <v/>
      </c>
      <c r="HM172" s="105" t="str">
        <f t="shared" si="504"/>
        <v/>
      </c>
      <c r="HN172" s="367" t="str">
        <f t="shared" si="482"/>
        <v xml:space="preserve">      </v>
      </c>
      <c r="HO172" s="418" t="str">
        <f t="shared" si="505"/>
        <v xml:space="preserve">      </v>
      </c>
      <c r="HP172" s="367" t="str">
        <f t="shared" si="483"/>
        <v xml:space="preserve">      </v>
      </c>
      <c r="HQ172" s="107" t="str">
        <f t="shared" si="484"/>
        <v xml:space="preserve">      </v>
      </c>
      <c r="HR172" s="366" t="str">
        <f t="shared" si="485"/>
        <v xml:space="preserve">      </v>
      </c>
      <c r="HS172" s="544" t="str">
        <f t="shared" si="506"/>
        <v/>
      </c>
      <c r="HT172" s="542" t="str">
        <f t="shared" si="486"/>
        <v/>
      </c>
      <c r="HU172" s="541" t="str">
        <f t="shared" si="487"/>
        <v/>
      </c>
      <c r="HV172" s="540" t="str">
        <f t="shared" si="488"/>
        <v/>
      </c>
      <c r="HW172" s="537" t="str">
        <f t="shared" si="489"/>
        <v/>
      </c>
      <c r="HX172" s="539" t="str">
        <f t="shared" si="490"/>
        <v/>
      </c>
      <c r="HY172" s="553" t="str">
        <f>IFERROR(IF(OR(HS172="SUPPLEMENTARY",HS172="RE-EXAM"),'Supp. Result Entry'!AQ170,""),"")</f>
        <v/>
      </c>
      <c r="HZ172" s="538" t="str">
        <f t="shared" si="491"/>
        <v/>
      </c>
      <c r="IA172" s="415" t="str">
        <f t="shared" si="492"/>
        <v/>
      </c>
      <c r="IB172" s="415" t="str">
        <f>IF(AND(HZ172="",IA172=""),"",IF(OR(HS172="SUPPLEMENTARY",HS172="RE-EXAM"),'Supp. Result Entry'!AQ170,HS172))</f>
        <v/>
      </c>
      <c r="IC172" s="87"/>
      <c r="IS172" s="109" t="str">
        <f>IF('Supp. Result Entry'!T170="","",'Supp. Result Entry'!$T$4)</f>
        <v/>
      </c>
      <c r="IT172" s="110" t="str">
        <f>IF('Supp. Result Entry'!W170="","",'Supp. Result Entry'!$W$4)</f>
        <v/>
      </c>
      <c r="IU172" s="110" t="str">
        <f>IF('Supp. Result Entry'!Z170="","",'Supp. Result Entry'!$Z$4)</f>
        <v/>
      </c>
      <c r="IV172" s="110" t="str">
        <f>IF('Supp. Result Entry'!AC170="","",'Supp. Result Entry'!$AC$4)</f>
        <v/>
      </c>
      <c r="IW172" s="110" t="str">
        <f>IF('Supp. Result Entry'!AF170="","",'Supp. Result Entry'!$AF$4)</f>
        <v/>
      </c>
      <c r="IX172" s="110" t="str">
        <f>IF('Supp. Result Entry'!AI170="","",'Supp. Result Entry'!$AI$4)</f>
        <v/>
      </c>
      <c r="IY172" s="110" t="str">
        <f>IF('Supp. Result Entry'!AI170="","",'Supp. Result Entry'!$AL$4)</f>
        <v/>
      </c>
      <c r="IZ172" s="110" t="str">
        <f>IF('Supp. Result Entry'!U170="","",'Supp. Result Entry'!U170)</f>
        <v/>
      </c>
      <c r="JA172" s="110" t="str">
        <f>IF('Supp. Result Entry'!X170="","",'Supp. Result Entry'!X170)</f>
        <v/>
      </c>
      <c r="JB172" s="110" t="str">
        <f>IF('Supp. Result Entry'!AA170="","",'Supp. Result Entry'!AA170)</f>
        <v/>
      </c>
      <c r="JC172" s="110" t="str">
        <f>IF('Supp. Result Entry'!AD170="","",'Supp. Result Entry'!AD170)</f>
        <v/>
      </c>
      <c r="JD172" s="110" t="str">
        <f>IF('Supp. Result Entry'!AG170="","",'Supp. Result Entry'!AG170)</f>
        <v/>
      </c>
      <c r="JE172" s="110" t="str">
        <f>IF('Supp. Result Entry'!AJ170="","",'Supp. Result Entry'!AJ170)</f>
        <v/>
      </c>
      <c r="JF172" s="110" t="str">
        <f>IF('Supp. Result Entry'!AM170="","",'Supp. Result Entry'!AM170)</f>
        <v/>
      </c>
      <c r="JG172" s="110" t="str">
        <f>IF('Supp. Result Entry'!V170="","",'Supp. Result Entry'!V170)</f>
        <v/>
      </c>
      <c r="JH172" s="110" t="str">
        <f>IF('Supp. Result Entry'!Y170="","",'Supp. Result Entry'!Y170)</f>
        <v/>
      </c>
      <c r="JI172" s="110" t="str">
        <f>IF('Supp. Result Entry'!AB170="","",'Supp. Result Entry'!AB170)</f>
        <v/>
      </c>
      <c r="JJ172" s="110" t="str">
        <f>IF('Supp. Result Entry'!AE170="","",'Supp. Result Entry'!AE170)</f>
        <v/>
      </c>
      <c r="JK172" s="110" t="str">
        <f>IF('Supp. Result Entry'!AH170="","",'Supp. Result Entry'!AH170)</f>
        <v/>
      </c>
      <c r="JL172" s="110" t="str">
        <f>IF('Supp. Result Entry'!AK170="","",'Supp. Result Entry'!AK170)</f>
        <v/>
      </c>
      <c r="JM172" s="110" t="str">
        <f>IF('Supp. Result Entry'!AN170="","",'Supp. Result Entry'!AN170)</f>
        <v/>
      </c>
      <c r="JN172" s="110">
        <f>COUNTIF('Supp. Result Entry'!K170:Q170,"S")</f>
        <v>0</v>
      </c>
      <c r="JO172" s="110">
        <f t="shared" si="416"/>
        <v>0</v>
      </c>
      <c r="JP172" s="110">
        <f t="shared" si="493"/>
        <v>0</v>
      </c>
      <c r="JQ172" s="110" t="str">
        <f t="shared" si="417"/>
        <v/>
      </c>
      <c r="JR172" s="110" t="str">
        <f t="shared" si="418"/>
        <v/>
      </c>
      <c r="JS172" s="110" t="str">
        <f t="shared" si="419"/>
        <v/>
      </c>
      <c r="JT172" s="110" t="str">
        <f t="shared" si="420"/>
        <v/>
      </c>
      <c r="JU172" s="110" t="str">
        <f t="shared" si="421"/>
        <v/>
      </c>
      <c r="JV172" s="110" t="str">
        <f t="shared" si="422"/>
        <v/>
      </c>
      <c r="JW172" s="110" t="str">
        <f t="shared" si="423"/>
        <v/>
      </c>
      <c r="JX172" s="110" t="str">
        <f t="shared" si="494"/>
        <v/>
      </c>
      <c r="JY172" s="110" t="str">
        <f t="shared" si="495"/>
        <v/>
      </c>
      <c r="JZ172" s="110" t="str">
        <f t="shared" si="424"/>
        <v/>
      </c>
      <c r="KA172" s="108" t="str">
        <f t="shared" si="496"/>
        <v/>
      </c>
    </row>
    <row r="173" spans="1:287" s="108" customFormat="1" ht="21.95" customHeight="1">
      <c r="A173" s="89">
        <v>167</v>
      </c>
      <c r="B173" s="90" t="str">
        <f>IF('Marks Entry'!B173="","",'Marks Entry'!B173)</f>
        <v/>
      </c>
      <c r="C173" s="94" t="str">
        <f>IF('Marks Entry'!D173="","",'Marks Entry'!D173)</f>
        <v/>
      </c>
      <c r="D173" s="91" t="str">
        <f>IF('Marks Entry'!E173="","",'Marks Entry'!E173)</f>
        <v/>
      </c>
      <c r="E173" s="92" t="str">
        <f>IF('Marks Entry'!F173="","",'Marks Entry'!F173)</f>
        <v/>
      </c>
      <c r="F173" s="93" t="str">
        <f>IF('Marks Entry'!G173="","",'Marks Entry'!G173)</f>
        <v/>
      </c>
      <c r="G173" s="93" t="str">
        <f>IF('Marks Entry'!H173="","",'Marks Entry'!H173)</f>
        <v/>
      </c>
      <c r="H173" s="93" t="str">
        <f>IF('Marks Entry'!I173="","",'Marks Entry'!I173)</f>
        <v/>
      </c>
      <c r="I173" s="94" t="str">
        <f>IF('Marks Entry'!J173="","",'Marks Entry'!J173)</f>
        <v/>
      </c>
      <c r="J173" s="95" t="str">
        <f>IF('Marks Entry'!K173="","",'Marks Entry'!K173)</f>
        <v/>
      </c>
      <c r="K173" s="68" t="str">
        <f>IF('Marks Entry'!L173="","",'Marks Entry'!L173)</f>
        <v/>
      </c>
      <c r="L173" s="68" t="str">
        <f>IF('Marks Entry'!M173="","",'Marks Entry'!M173)</f>
        <v/>
      </c>
      <c r="M173" s="68" t="str">
        <f>IF('Marks Entry'!N173="","",'Marks Entry'!N173)</f>
        <v/>
      </c>
      <c r="N173" s="514" t="str">
        <f t="shared" si="425"/>
        <v/>
      </c>
      <c r="O173" s="68" t="str">
        <f>IF('Marks Entry'!O173="","",'Marks Entry'!O173)</f>
        <v/>
      </c>
      <c r="P173" s="515" t="str">
        <f t="shared" si="426"/>
        <v/>
      </c>
      <c r="Q173" s="68" t="str">
        <f>IF('Marks Entry'!P173="","",'Marks Entry'!P173)</f>
        <v/>
      </c>
      <c r="R173" s="96" t="str">
        <f t="shared" si="427"/>
        <v/>
      </c>
      <c r="S173" s="65">
        <f t="shared" si="428"/>
        <v>0</v>
      </c>
      <c r="T173" s="65">
        <f t="shared" si="429"/>
        <v>0</v>
      </c>
      <c r="U173" s="66" t="str">
        <f t="shared" si="339"/>
        <v/>
      </c>
      <c r="V173" s="65" t="str">
        <f t="shared" si="340"/>
        <v/>
      </c>
      <c r="W173" s="65" t="str">
        <f t="shared" si="430"/>
        <v/>
      </c>
      <c r="X173" s="65" t="str">
        <f t="shared" si="341"/>
        <v/>
      </c>
      <c r="Y173" s="68" t="str">
        <f>IF('Marks Entry'!Q173="","",'Marks Entry'!Q173)</f>
        <v/>
      </c>
      <c r="Z173" s="68" t="str">
        <f>IF('Marks Entry'!R173="","",'Marks Entry'!R173)</f>
        <v/>
      </c>
      <c r="AA173" s="68" t="str">
        <f>IF('Marks Entry'!S173="","",'Marks Entry'!S173)</f>
        <v/>
      </c>
      <c r="AB173" s="514" t="str">
        <f t="shared" si="342"/>
        <v/>
      </c>
      <c r="AC173" s="68" t="str">
        <f>IF('Marks Entry'!T173="","",'Marks Entry'!T173)</f>
        <v/>
      </c>
      <c r="AD173" s="515" t="str">
        <f t="shared" si="343"/>
        <v/>
      </c>
      <c r="AE173" s="68" t="str">
        <f>IF('Marks Entry'!U173="","",'Marks Entry'!U173)</f>
        <v/>
      </c>
      <c r="AF173" s="96" t="str">
        <f t="shared" si="344"/>
        <v/>
      </c>
      <c r="AG173" s="65">
        <f t="shared" si="345"/>
        <v>0</v>
      </c>
      <c r="AH173" s="65">
        <f t="shared" si="346"/>
        <v>0</v>
      </c>
      <c r="AI173" s="66" t="str">
        <f t="shared" si="347"/>
        <v/>
      </c>
      <c r="AJ173" s="65" t="str">
        <f t="shared" si="348"/>
        <v/>
      </c>
      <c r="AK173" s="65" t="str">
        <f t="shared" si="349"/>
        <v/>
      </c>
      <c r="AL173" s="65" t="str">
        <f t="shared" si="350"/>
        <v/>
      </c>
      <c r="AM173" s="524" t="str">
        <f>IF('Marks Entry'!V173="","",IF('Marks Entry'!V173=1,'School Profile'!$I$9,IF('Marks Entry'!V173=2,'School Profile'!$I$10,IF('Marks Entry'!V173=3,'School Profile'!$I$11,IF('Marks Entry'!V173=4,'School Profile'!$I$12,IF('Marks Entry'!V173=5,'School Profile'!$I$13,IF('Marks Entry'!V173=6,'School Profile'!$I$14,"")))))))</f>
        <v/>
      </c>
      <c r="AN173" s="68" t="str">
        <f>IF('Marks Entry'!W173="","",'Marks Entry'!W173)</f>
        <v/>
      </c>
      <c r="AO173" s="68" t="str">
        <f>IF('Marks Entry'!X173="","",'Marks Entry'!X173)</f>
        <v/>
      </c>
      <c r="AP173" s="68" t="str">
        <f>IF('Marks Entry'!Y173="","",'Marks Entry'!Y173)</f>
        <v/>
      </c>
      <c r="AQ173" s="514" t="str">
        <f t="shared" si="351"/>
        <v/>
      </c>
      <c r="AR173" s="68" t="str">
        <f>IF('Marks Entry'!Z173="","",'Marks Entry'!Z173)</f>
        <v/>
      </c>
      <c r="AS173" s="515" t="str">
        <f t="shared" si="352"/>
        <v/>
      </c>
      <c r="AT173" s="68" t="str">
        <f>IF('Marks Entry'!AA173="","",'Marks Entry'!AA173)</f>
        <v/>
      </c>
      <c r="AU173" s="96" t="str">
        <f t="shared" si="353"/>
        <v/>
      </c>
      <c r="AV173" s="65">
        <f t="shared" si="354"/>
        <v>0</v>
      </c>
      <c r="AW173" s="65">
        <f t="shared" si="355"/>
        <v>0</v>
      </c>
      <c r="AX173" s="66" t="str">
        <f t="shared" si="356"/>
        <v/>
      </c>
      <c r="AY173" s="65" t="str">
        <f t="shared" si="357"/>
        <v/>
      </c>
      <c r="AZ173" s="65" t="str">
        <f t="shared" si="358"/>
        <v/>
      </c>
      <c r="BA173" s="65" t="str">
        <f t="shared" si="359"/>
        <v/>
      </c>
      <c r="BB173" s="68" t="str">
        <f>IF('Marks Entry'!AB173="","",'Marks Entry'!AB173)</f>
        <v/>
      </c>
      <c r="BC173" s="68" t="str">
        <f>IF('Marks Entry'!AC173="","",'Marks Entry'!AC173)</f>
        <v/>
      </c>
      <c r="BD173" s="68" t="str">
        <f>IF('Marks Entry'!AD173="","",'Marks Entry'!AD173)</f>
        <v/>
      </c>
      <c r="BE173" s="514" t="str">
        <f t="shared" si="360"/>
        <v/>
      </c>
      <c r="BF173" s="68" t="str">
        <f>IF('Marks Entry'!AE173="","",'Marks Entry'!AE173)</f>
        <v/>
      </c>
      <c r="BG173" s="515" t="str">
        <f t="shared" si="361"/>
        <v/>
      </c>
      <c r="BH173" s="68" t="str">
        <f>IF('Marks Entry'!AF173="","",'Marks Entry'!AF173)</f>
        <v/>
      </c>
      <c r="BI173" s="96" t="str">
        <f t="shared" si="362"/>
        <v/>
      </c>
      <c r="BJ173" s="65">
        <f t="shared" si="363"/>
        <v>0</v>
      </c>
      <c r="BK173" s="65">
        <f t="shared" si="431"/>
        <v>0</v>
      </c>
      <c r="BL173" s="66" t="str">
        <f t="shared" si="364"/>
        <v/>
      </c>
      <c r="BM173" s="65" t="str">
        <f t="shared" si="365"/>
        <v/>
      </c>
      <c r="BN173" s="65" t="str">
        <f t="shared" si="366"/>
        <v/>
      </c>
      <c r="BO173" s="65" t="str">
        <f t="shared" si="367"/>
        <v/>
      </c>
      <c r="BP173" s="68" t="str">
        <f>IF('Marks Entry'!AG173="","",'Marks Entry'!AG173)</f>
        <v/>
      </c>
      <c r="BQ173" s="68" t="str">
        <f>IF('Marks Entry'!AH173="","",'Marks Entry'!AH173)</f>
        <v/>
      </c>
      <c r="BR173" s="68" t="str">
        <f>IF('Marks Entry'!AI173="","",'Marks Entry'!AI173)</f>
        <v/>
      </c>
      <c r="BS173" s="514" t="str">
        <f t="shared" si="368"/>
        <v/>
      </c>
      <c r="BT173" s="68" t="str">
        <f>IF('Marks Entry'!AJ173="","",'Marks Entry'!AJ173)</f>
        <v/>
      </c>
      <c r="BU173" s="515" t="str">
        <f t="shared" si="369"/>
        <v/>
      </c>
      <c r="BV173" s="68" t="str">
        <f>IF('Marks Entry'!AK173="","",'Marks Entry'!AK173)</f>
        <v/>
      </c>
      <c r="BW173" s="96" t="str">
        <f t="shared" si="370"/>
        <v/>
      </c>
      <c r="BX173" s="65">
        <f t="shared" si="371"/>
        <v>0</v>
      </c>
      <c r="BY173" s="65">
        <f t="shared" si="372"/>
        <v>0</v>
      </c>
      <c r="BZ173" s="66" t="str">
        <f t="shared" si="373"/>
        <v/>
      </c>
      <c r="CA173" s="65" t="str">
        <f t="shared" si="374"/>
        <v/>
      </c>
      <c r="CB173" s="65" t="str">
        <f t="shared" si="375"/>
        <v/>
      </c>
      <c r="CC173" s="65" t="str">
        <f t="shared" si="376"/>
        <v/>
      </c>
      <c r="CD173" s="66">
        <f t="shared" si="497"/>
        <v>0</v>
      </c>
      <c r="CE173" s="68" t="str">
        <f>IF('Marks Entry'!AL173="","",'Marks Entry'!AL173)</f>
        <v/>
      </c>
      <c r="CF173" s="68" t="str">
        <f>IF('Marks Entry'!AM173="","",'Marks Entry'!AM173)</f>
        <v/>
      </c>
      <c r="CG173" s="68" t="str">
        <f>IF('Marks Entry'!AN173="","",'Marks Entry'!AN173)</f>
        <v/>
      </c>
      <c r="CH173" s="514" t="str">
        <f t="shared" si="378"/>
        <v/>
      </c>
      <c r="CI173" s="68" t="str">
        <f>IF('Marks Entry'!AO173="","",'Marks Entry'!AO173)</f>
        <v/>
      </c>
      <c r="CJ173" s="515" t="str">
        <f t="shared" si="379"/>
        <v/>
      </c>
      <c r="CK173" s="68" t="str">
        <f>IF('Marks Entry'!AP173="","",'Marks Entry'!AP173)</f>
        <v/>
      </c>
      <c r="CL173" s="96" t="str">
        <f t="shared" si="380"/>
        <v/>
      </c>
      <c r="CM173" s="65">
        <f t="shared" si="381"/>
        <v>0</v>
      </c>
      <c r="CN173" s="65">
        <f t="shared" si="382"/>
        <v>0</v>
      </c>
      <c r="CO173" s="66" t="str">
        <f t="shared" si="383"/>
        <v/>
      </c>
      <c r="CP173" s="65" t="str">
        <f t="shared" si="384"/>
        <v/>
      </c>
      <c r="CQ173" s="65" t="str">
        <f t="shared" si="385"/>
        <v/>
      </c>
      <c r="CR173" s="65" t="str">
        <f t="shared" si="386"/>
        <v/>
      </c>
      <c r="CS173" s="616" t="str">
        <f>IF('School Profile'!$D$20="NO","",IF('Marks Entry'!AQ173="","",IF('Marks Entry'!AQ173=1,'School Profile'!$I$29,IF('Marks Entry'!AQ173=2,'School Profile'!$I$30,IF('Marks Entry'!AQ173=3,'School Profile'!$I$31,IF('Marks Entry'!AQ173=4,'School Profile'!$I$32,IF('Marks Entry'!AQ173=5,'School Profile'!$I$33,IF('Marks Entry'!AQ173=6,'School Profile'!$I$34,IF('Marks Entry'!AQ173=7,'School Profile'!$I$35,IF('Marks Entry'!AQ173=8,'School Profile'!$I$36,IF('Marks Entry'!AQ173=9,'School Profile'!$I$37,IF('Marks Entry'!AQ173=10,'School Profile'!$I$38,IF('Marks Entry'!AQ173=11,'School Profile'!$I$39,"")))))))))))))</f>
        <v/>
      </c>
      <c r="CT173" s="68" t="str">
        <f>IF('School Profile'!$D$20="NO","",IF('Marks Entry'!AR173="","",'Marks Entry'!AR173))</f>
        <v/>
      </c>
      <c r="CU173" s="68" t="str">
        <f>IF('School Profile'!$D$20="NO","",IF('Marks Entry'!AS173="","",'Marks Entry'!AS173))</f>
        <v/>
      </c>
      <c r="CV173" s="68" t="str">
        <f>IF('School Profile'!$D$20="NO","",IF('Marks Entry'!AT173="","",'Marks Entry'!AT173))</f>
        <v/>
      </c>
      <c r="CW173" s="514" t="str">
        <f>IF('School Profile'!$D$20="NO","",IF(AND(CT173="",CU173="",CV173=""),"",SUM(CT173:CV173)))</f>
        <v/>
      </c>
      <c r="CX173" s="68" t="str">
        <f>IF('School Profile'!$D$20="NO","",IF('Marks Entry'!AU173="","",'Marks Entry'!AU173))</f>
        <v/>
      </c>
      <c r="CY173" s="68" t="str">
        <f>IF('School Profile'!$D$20="NO","",IF('Marks Entry'!AV173="","",'Marks Entry'!AV173))</f>
        <v/>
      </c>
      <c r="CZ173" s="515" t="str">
        <f>IF('School Profile'!$D$20="NO","",IF(AND(CX173="",CY173=""),"",SUM(CX173,CY173)))</f>
        <v/>
      </c>
      <c r="DA173" s="69" t="str">
        <f>IF('School Profile'!$D$20="NO","",IF(AND(CW173="",CZ173=""),"",SUM(CW173+CZ173)))</f>
        <v/>
      </c>
      <c r="DB173" s="68" t="str">
        <f>IF('School Profile'!$D$20="NO","",IF('Marks Entry'!AW173="","",'Marks Entry'!AW173))</f>
        <v/>
      </c>
      <c r="DC173" s="68" t="str">
        <f>IF('School Profile'!$D$20="NO","",IF('Marks Entry'!AX173="","",'Marks Entry'!AX173))</f>
        <v/>
      </c>
      <c r="DD173" s="515" t="str">
        <f>IF('School Profile'!$D$20="NO","",IF(AND(DB173="",DC173=""),"",SUM(DB173,DC173)))</f>
        <v/>
      </c>
      <c r="DE173" s="96" t="str">
        <f>IF('School Profile'!$D$20="NO","",IF(AND(DA173="",DD173=""),"",SUM(DA173,DD173)))</f>
        <v/>
      </c>
      <c r="DF173" s="532">
        <f t="shared" si="387"/>
        <v>0</v>
      </c>
      <c r="DG173" s="65">
        <f t="shared" si="388"/>
        <v>0</v>
      </c>
      <c r="DH173" s="66" t="str">
        <f t="shared" si="389"/>
        <v/>
      </c>
      <c r="DI173" s="65" t="str">
        <f t="shared" si="390"/>
        <v/>
      </c>
      <c r="DJ173" s="65" t="str">
        <f t="shared" si="391"/>
        <v/>
      </c>
      <c r="DK173" s="65" t="str">
        <f t="shared" si="392"/>
        <v/>
      </c>
      <c r="DL173" s="97" t="str">
        <f t="shared" si="432"/>
        <v/>
      </c>
      <c r="DM173" s="97" t="str">
        <f t="shared" si="433"/>
        <v/>
      </c>
      <c r="DN173" s="97" t="str">
        <f t="shared" si="434"/>
        <v/>
      </c>
      <c r="DO173" s="97" t="str">
        <f t="shared" si="435"/>
        <v/>
      </c>
      <c r="DP173" s="97" t="str">
        <f t="shared" si="436"/>
        <v/>
      </c>
      <c r="DQ173" s="97" t="str">
        <f t="shared" si="437"/>
        <v/>
      </c>
      <c r="DR173" s="97" t="str">
        <f t="shared" si="438"/>
        <v/>
      </c>
      <c r="DS173" s="98">
        <f t="shared" si="439"/>
        <v>0</v>
      </c>
      <c r="DT173" s="98">
        <f t="shared" si="440"/>
        <v>0</v>
      </c>
      <c r="DU173" s="98">
        <f t="shared" si="441"/>
        <v>0</v>
      </c>
      <c r="DV173" s="98">
        <f t="shared" si="442"/>
        <v>0</v>
      </c>
      <c r="DW173" s="98">
        <f t="shared" si="443"/>
        <v>0</v>
      </c>
      <c r="DX173" s="98" t="str">
        <f t="shared" si="444"/>
        <v/>
      </c>
      <c r="DY173" s="99" t="str">
        <f t="shared" si="445"/>
        <v/>
      </c>
      <c r="DZ173" s="74" t="str">
        <f>IF('Marks Entry'!AY173="","",'Marks Entry'!AY173)</f>
        <v/>
      </c>
      <c r="EA173" s="74" t="str">
        <f>IF('Marks Entry'!AZ173="","",'Marks Entry'!AZ173)</f>
        <v/>
      </c>
      <c r="EB173" s="74" t="str">
        <f>IF('Marks Entry'!BA173="","",'Marks Entry'!BA173)</f>
        <v/>
      </c>
      <c r="EC173" s="527" t="str">
        <f t="shared" si="393"/>
        <v/>
      </c>
      <c r="ED173" s="74" t="str">
        <f>IF('Marks Entry'!BB173="","",'Marks Entry'!BB173)</f>
        <v/>
      </c>
      <c r="EE173" s="528" t="str">
        <f t="shared" si="394"/>
        <v/>
      </c>
      <c r="EF173" s="74" t="str">
        <f>IF('Marks Entry'!BC173="","",'Marks Entry'!BC173)</f>
        <v/>
      </c>
      <c r="EG173" s="530" t="str">
        <f t="shared" si="395"/>
        <v/>
      </c>
      <c r="EH173" s="368" t="str">
        <f t="shared" si="446"/>
        <v/>
      </c>
      <c r="EI173" s="65">
        <f t="shared" si="447"/>
        <v>0</v>
      </c>
      <c r="EJ173" s="65">
        <f t="shared" si="448"/>
        <v>0</v>
      </c>
      <c r="EK173" s="66" t="str">
        <f t="shared" si="449"/>
        <v/>
      </c>
      <c r="EL173" s="74" t="str">
        <f>IF('Marks Entry'!BD173="","",'Marks Entry'!BD173)</f>
        <v/>
      </c>
      <c r="EM173" s="74" t="str">
        <f>IF('Marks Entry'!BE173="","",'Marks Entry'!BE173)</f>
        <v/>
      </c>
      <c r="EN173" s="74" t="str">
        <f>IF('Marks Entry'!BF173="","",'Marks Entry'!BF173)</f>
        <v/>
      </c>
      <c r="EO173" s="527" t="str">
        <f t="shared" si="396"/>
        <v/>
      </c>
      <c r="EP173" s="74" t="str">
        <f>IF('Marks Entry'!BG173="","",'Marks Entry'!BG173)</f>
        <v/>
      </c>
      <c r="EQ173" s="74" t="str">
        <f>IF('Marks Entry'!BH173="","",'Marks Entry'!BH173)</f>
        <v/>
      </c>
      <c r="ER173" s="528" t="str">
        <f t="shared" si="397"/>
        <v/>
      </c>
      <c r="ES173" s="529" t="str">
        <f t="shared" si="398"/>
        <v/>
      </c>
      <c r="ET173" s="74" t="str">
        <f>IF('Marks Entry'!BI173="","",'Marks Entry'!BI173)</f>
        <v/>
      </c>
      <c r="EU173" s="74" t="str">
        <f>IF('Marks Entry'!BJ173="","",'Marks Entry'!BJ173)</f>
        <v/>
      </c>
      <c r="EV173" s="528" t="str">
        <f t="shared" si="399"/>
        <v/>
      </c>
      <c r="EW173" s="530" t="str">
        <f t="shared" si="400"/>
        <v/>
      </c>
      <c r="EX173" s="368" t="str">
        <f t="shared" si="450"/>
        <v/>
      </c>
      <c r="EY173" s="65">
        <f t="shared" si="451"/>
        <v>0</v>
      </c>
      <c r="EZ173" s="65">
        <f t="shared" si="452"/>
        <v>0</v>
      </c>
      <c r="FA173" s="66" t="str">
        <f t="shared" si="453"/>
        <v/>
      </c>
      <c r="FB173" s="74" t="str">
        <f>IF('Marks Entry'!BK173="","",'Marks Entry'!BK173)</f>
        <v/>
      </c>
      <c r="FC173" s="74" t="str">
        <f>IF('Marks Entry'!BL173="","",'Marks Entry'!BL173)</f>
        <v/>
      </c>
      <c r="FD173" s="74" t="str">
        <f>IF('Marks Entry'!BM173="","",'Marks Entry'!BM173)</f>
        <v/>
      </c>
      <c r="FE173" s="74" t="str">
        <f>IF('Marks Entry'!BN173="","",'Marks Entry'!BN173)</f>
        <v/>
      </c>
      <c r="FF173" s="74" t="str">
        <f>IF('Marks Entry'!BO173="","",'Marks Entry'!BO173)</f>
        <v/>
      </c>
      <c r="FG173" s="74" t="str">
        <f>IF('Marks Entry'!BP173="","",'Marks Entry'!BP173)</f>
        <v/>
      </c>
      <c r="FH173" s="527" t="str">
        <f t="shared" si="401"/>
        <v/>
      </c>
      <c r="FI173" s="74" t="str">
        <f>IF('Marks Entry'!BQ173="","",'Marks Entry'!BQ173)</f>
        <v/>
      </c>
      <c r="FJ173" s="74" t="str">
        <f>IF('Marks Entry'!BR173="","",'Marks Entry'!BR173)</f>
        <v/>
      </c>
      <c r="FK173" s="528" t="str">
        <f t="shared" si="402"/>
        <v/>
      </c>
      <c r="FL173" s="529" t="str">
        <f t="shared" si="403"/>
        <v/>
      </c>
      <c r="FM173" s="74" t="str">
        <f>IF('Marks Entry'!BS173="","",'Marks Entry'!BS173)</f>
        <v/>
      </c>
      <c r="FN173" s="74" t="str">
        <f>IF('Marks Entry'!BT173="","",'Marks Entry'!BT173)</f>
        <v/>
      </c>
      <c r="FO173" s="528" t="str">
        <f t="shared" si="404"/>
        <v/>
      </c>
      <c r="FP173" s="530" t="str">
        <f t="shared" si="405"/>
        <v/>
      </c>
      <c r="FQ173" s="368" t="str">
        <f t="shared" si="454"/>
        <v/>
      </c>
      <c r="FR173" s="65">
        <f t="shared" si="455"/>
        <v>0</v>
      </c>
      <c r="FS173" s="65">
        <f t="shared" si="456"/>
        <v>0</v>
      </c>
      <c r="FT173" s="66" t="str">
        <f t="shared" si="457"/>
        <v/>
      </c>
      <c r="FU173" s="74" t="str">
        <f>IF('Marks Entry'!BU173="","",'Marks Entry'!BU173)</f>
        <v/>
      </c>
      <c r="FV173" s="74" t="str">
        <f>IF('Marks Entry'!BV173="","",'Marks Entry'!BV173)</f>
        <v/>
      </c>
      <c r="FW173" s="74" t="str">
        <f>IF('Marks Entry'!BW173="","",'Marks Entry'!BW173)</f>
        <v/>
      </c>
      <c r="FX173" s="75" t="str">
        <f t="shared" si="406"/>
        <v/>
      </c>
      <c r="FY173" s="368" t="str">
        <f t="shared" si="458"/>
        <v/>
      </c>
      <c r="FZ173" s="65">
        <f t="shared" si="459"/>
        <v>0</v>
      </c>
      <c r="GA173" s="66">
        <f t="shared" si="460"/>
        <v>0</v>
      </c>
      <c r="GB173" s="66" t="str">
        <f t="shared" si="461"/>
        <v/>
      </c>
      <c r="GC173" s="74" t="str">
        <f>IF('Marks Entry'!BX173="","",'Marks Entry'!BX173)</f>
        <v/>
      </c>
      <c r="GD173" s="74" t="str">
        <f>IF('Marks Entry'!BY173="","",'Marks Entry'!BY173)</f>
        <v/>
      </c>
      <c r="GE173" s="74" t="str">
        <f>IF('Marks Entry'!BZ173="","",'Marks Entry'!BZ173)</f>
        <v/>
      </c>
      <c r="GF173" s="75" t="str">
        <f t="shared" si="462"/>
        <v/>
      </c>
      <c r="GG173" s="368" t="str">
        <f t="shared" si="463"/>
        <v/>
      </c>
      <c r="GH173" s="65">
        <f t="shared" si="464"/>
        <v>0</v>
      </c>
      <c r="GI173" s="66">
        <f t="shared" si="465"/>
        <v>0</v>
      </c>
      <c r="GJ173" s="66" t="str">
        <f t="shared" si="466"/>
        <v/>
      </c>
      <c r="GK173" s="100" t="str">
        <f>IF(AND(F173="",B173=""),"",IF('Student DATA Entry'!M170="","",'Student DATA Entry'!M170))</f>
        <v/>
      </c>
      <c r="GL173" s="101" t="str">
        <f>IF(AND(B173="",F173=""),"",IF('Student DATA Entry'!N170="","",'Student DATA Entry'!N170))</f>
        <v/>
      </c>
      <c r="GM173" s="581" t="str">
        <f t="shared" si="467"/>
        <v/>
      </c>
      <c r="GN173" s="94" t="str">
        <f t="shared" si="468"/>
        <v/>
      </c>
      <c r="GO173" s="94" t="str">
        <f t="shared" si="469"/>
        <v/>
      </c>
      <c r="GP173" s="102" t="str">
        <f t="shared" si="498"/>
        <v/>
      </c>
      <c r="GQ173" s="94" t="str">
        <f t="shared" si="470"/>
        <v/>
      </c>
      <c r="GR173" s="103" t="str">
        <f t="shared" si="471"/>
        <v/>
      </c>
      <c r="GS173" s="102" t="str">
        <f t="shared" si="499"/>
        <v/>
      </c>
      <c r="GT173" s="104" t="str">
        <f t="shared" si="472"/>
        <v/>
      </c>
      <c r="GU173" s="94" t="str">
        <f>IF('Marks Entry'!V173=1,GT173,"")</f>
        <v/>
      </c>
      <c r="GV173" s="94" t="str">
        <f>IF('Marks Entry'!V173=2,GT173,"")</f>
        <v/>
      </c>
      <c r="GW173" s="94" t="str">
        <f>IF('Marks Entry'!V173=3,GT173,"")</f>
        <v/>
      </c>
      <c r="GX173" s="94" t="str">
        <f>IF('Marks Entry'!V173=4,GT173,"")</f>
        <v/>
      </c>
      <c r="GY173" s="94" t="str">
        <f>IF('Marks Entry'!V173=5,GT173,"")</f>
        <v/>
      </c>
      <c r="GZ173" s="94" t="str">
        <f t="shared" si="473"/>
        <v/>
      </c>
      <c r="HA173" s="105" t="str">
        <f t="shared" si="500"/>
        <v/>
      </c>
      <c r="HB173" s="94" t="str">
        <f t="shared" si="474"/>
        <v/>
      </c>
      <c r="HC173" s="94" t="str">
        <f t="shared" si="475"/>
        <v/>
      </c>
      <c r="HD173" s="105" t="str">
        <f t="shared" si="501"/>
        <v/>
      </c>
      <c r="HE173" s="94" t="str">
        <f t="shared" si="476"/>
        <v/>
      </c>
      <c r="HF173" s="94" t="str">
        <f t="shared" si="477"/>
        <v/>
      </c>
      <c r="HG173" s="105" t="str">
        <f t="shared" si="502"/>
        <v/>
      </c>
      <c r="HH173" s="94" t="str">
        <f t="shared" si="478"/>
        <v/>
      </c>
      <c r="HI173" s="94" t="str">
        <f t="shared" si="479"/>
        <v/>
      </c>
      <c r="HJ173" s="105" t="str">
        <f t="shared" si="503"/>
        <v/>
      </c>
      <c r="HK173" s="94" t="str">
        <f t="shared" si="480"/>
        <v/>
      </c>
      <c r="HL173" s="94" t="str">
        <f t="shared" si="481"/>
        <v/>
      </c>
      <c r="HM173" s="105" t="str">
        <f t="shared" si="504"/>
        <v/>
      </c>
      <c r="HN173" s="367" t="str">
        <f t="shared" si="482"/>
        <v xml:space="preserve">      </v>
      </c>
      <c r="HO173" s="418" t="str">
        <f t="shared" si="505"/>
        <v xml:space="preserve">      </v>
      </c>
      <c r="HP173" s="367" t="str">
        <f t="shared" si="483"/>
        <v xml:space="preserve">      </v>
      </c>
      <c r="HQ173" s="107" t="str">
        <f t="shared" si="484"/>
        <v xml:space="preserve">      </v>
      </c>
      <c r="HR173" s="366" t="str">
        <f t="shared" si="485"/>
        <v xml:space="preserve">      </v>
      </c>
      <c r="HS173" s="544" t="str">
        <f t="shared" si="506"/>
        <v/>
      </c>
      <c r="HT173" s="542" t="str">
        <f t="shared" si="486"/>
        <v/>
      </c>
      <c r="HU173" s="541" t="str">
        <f t="shared" si="487"/>
        <v/>
      </c>
      <c r="HV173" s="540" t="str">
        <f t="shared" si="488"/>
        <v/>
      </c>
      <c r="HW173" s="537" t="str">
        <f t="shared" si="489"/>
        <v/>
      </c>
      <c r="HX173" s="539" t="str">
        <f t="shared" si="490"/>
        <v/>
      </c>
      <c r="HY173" s="553" t="str">
        <f>IFERROR(IF(OR(HS173="SUPPLEMENTARY",HS173="RE-EXAM"),'Supp. Result Entry'!AQ171,""),"")</f>
        <v/>
      </c>
      <c r="HZ173" s="538" t="str">
        <f t="shared" si="491"/>
        <v/>
      </c>
      <c r="IA173" s="415" t="str">
        <f t="shared" si="492"/>
        <v/>
      </c>
      <c r="IB173" s="415" t="str">
        <f>IF(AND(HZ173="",IA173=""),"",IF(OR(HS173="SUPPLEMENTARY",HS173="RE-EXAM"),'Supp. Result Entry'!AQ171,HS173))</f>
        <v/>
      </c>
      <c r="IC173" s="87"/>
      <c r="IS173" s="109" t="str">
        <f>IF('Supp. Result Entry'!T171="","",'Supp. Result Entry'!$T$4)</f>
        <v/>
      </c>
      <c r="IT173" s="110" t="str">
        <f>IF('Supp. Result Entry'!W171="","",'Supp. Result Entry'!$W$4)</f>
        <v/>
      </c>
      <c r="IU173" s="110" t="str">
        <f>IF('Supp. Result Entry'!Z171="","",'Supp. Result Entry'!$Z$4)</f>
        <v/>
      </c>
      <c r="IV173" s="110" t="str">
        <f>IF('Supp. Result Entry'!AC171="","",'Supp. Result Entry'!$AC$4)</f>
        <v/>
      </c>
      <c r="IW173" s="110" t="str">
        <f>IF('Supp. Result Entry'!AF171="","",'Supp. Result Entry'!$AF$4)</f>
        <v/>
      </c>
      <c r="IX173" s="110" t="str">
        <f>IF('Supp. Result Entry'!AI171="","",'Supp. Result Entry'!$AI$4)</f>
        <v/>
      </c>
      <c r="IY173" s="110" t="str">
        <f>IF('Supp. Result Entry'!AI171="","",'Supp. Result Entry'!$AL$4)</f>
        <v/>
      </c>
      <c r="IZ173" s="110" t="str">
        <f>IF('Supp. Result Entry'!U171="","",'Supp. Result Entry'!U171)</f>
        <v/>
      </c>
      <c r="JA173" s="110" t="str">
        <f>IF('Supp. Result Entry'!X171="","",'Supp. Result Entry'!X171)</f>
        <v/>
      </c>
      <c r="JB173" s="110" t="str">
        <f>IF('Supp. Result Entry'!AA171="","",'Supp. Result Entry'!AA171)</f>
        <v/>
      </c>
      <c r="JC173" s="110" t="str">
        <f>IF('Supp. Result Entry'!AD171="","",'Supp. Result Entry'!AD171)</f>
        <v/>
      </c>
      <c r="JD173" s="110" t="str">
        <f>IF('Supp. Result Entry'!AG171="","",'Supp. Result Entry'!AG171)</f>
        <v/>
      </c>
      <c r="JE173" s="110" t="str">
        <f>IF('Supp. Result Entry'!AJ171="","",'Supp. Result Entry'!AJ171)</f>
        <v/>
      </c>
      <c r="JF173" s="110" t="str">
        <f>IF('Supp. Result Entry'!AM171="","",'Supp. Result Entry'!AM171)</f>
        <v/>
      </c>
      <c r="JG173" s="110" t="str">
        <f>IF('Supp. Result Entry'!V171="","",'Supp. Result Entry'!V171)</f>
        <v/>
      </c>
      <c r="JH173" s="110" t="str">
        <f>IF('Supp. Result Entry'!Y171="","",'Supp. Result Entry'!Y171)</f>
        <v/>
      </c>
      <c r="JI173" s="110" t="str">
        <f>IF('Supp. Result Entry'!AB171="","",'Supp. Result Entry'!AB171)</f>
        <v/>
      </c>
      <c r="JJ173" s="110" t="str">
        <f>IF('Supp. Result Entry'!AE171="","",'Supp. Result Entry'!AE171)</f>
        <v/>
      </c>
      <c r="JK173" s="110" t="str">
        <f>IF('Supp. Result Entry'!AH171="","",'Supp. Result Entry'!AH171)</f>
        <v/>
      </c>
      <c r="JL173" s="110" t="str">
        <f>IF('Supp. Result Entry'!AK171="","",'Supp. Result Entry'!AK171)</f>
        <v/>
      </c>
      <c r="JM173" s="110" t="str">
        <f>IF('Supp. Result Entry'!AN171="","",'Supp. Result Entry'!AN171)</f>
        <v/>
      </c>
      <c r="JN173" s="110">
        <f>COUNTIF('Supp. Result Entry'!K171:Q171,"S")</f>
        <v>0</v>
      </c>
      <c r="JO173" s="110">
        <f t="shared" si="416"/>
        <v>0</v>
      </c>
      <c r="JP173" s="110">
        <f t="shared" si="493"/>
        <v>0</v>
      </c>
      <c r="JQ173" s="110" t="str">
        <f t="shared" si="417"/>
        <v/>
      </c>
      <c r="JR173" s="110" t="str">
        <f t="shared" si="418"/>
        <v/>
      </c>
      <c r="JS173" s="110" t="str">
        <f t="shared" si="419"/>
        <v/>
      </c>
      <c r="JT173" s="110" t="str">
        <f t="shared" si="420"/>
        <v/>
      </c>
      <c r="JU173" s="110" t="str">
        <f t="shared" si="421"/>
        <v/>
      </c>
      <c r="JV173" s="110" t="str">
        <f t="shared" si="422"/>
        <v/>
      </c>
      <c r="JW173" s="110" t="str">
        <f t="shared" si="423"/>
        <v/>
      </c>
      <c r="JX173" s="110" t="str">
        <f t="shared" si="494"/>
        <v/>
      </c>
      <c r="JY173" s="110" t="str">
        <f t="shared" si="495"/>
        <v/>
      </c>
      <c r="JZ173" s="110" t="str">
        <f t="shared" si="424"/>
        <v/>
      </c>
      <c r="KA173" s="108" t="str">
        <f t="shared" si="496"/>
        <v/>
      </c>
    </row>
    <row r="174" spans="1:287" s="108" customFormat="1" ht="21.95" customHeight="1">
      <c r="A174" s="89">
        <v>168</v>
      </c>
      <c r="B174" s="90" t="str">
        <f>IF('Marks Entry'!B174="","",'Marks Entry'!B174)</f>
        <v/>
      </c>
      <c r="C174" s="94" t="str">
        <f>IF('Marks Entry'!D174="","",'Marks Entry'!D174)</f>
        <v/>
      </c>
      <c r="D174" s="91" t="str">
        <f>IF('Marks Entry'!E174="","",'Marks Entry'!E174)</f>
        <v/>
      </c>
      <c r="E174" s="92" t="str">
        <f>IF('Marks Entry'!F174="","",'Marks Entry'!F174)</f>
        <v/>
      </c>
      <c r="F174" s="93" t="str">
        <f>IF('Marks Entry'!G174="","",'Marks Entry'!G174)</f>
        <v/>
      </c>
      <c r="G174" s="93" t="str">
        <f>IF('Marks Entry'!H174="","",'Marks Entry'!H174)</f>
        <v/>
      </c>
      <c r="H174" s="93" t="str">
        <f>IF('Marks Entry'!I174="","",'Marks Entry'!I174)</f>
        <v/>
      </c>
      <c r="I174" s="94" t="str">
        <f>IF('Marks Entry'!J174="","",'Marks Entry'!J174)</f>
        <v/>
      </c>
      <c r="J174" s="95" t="str">
        <f>IF('Marks Entry'!K174="","",'Marks Entry'!K174)</f>
        <v/>
      </c>
      <c r="K174" s="68" t="str">
        <f>IF('Marks Entry'!L174="","",'Marks Entry'!L174)</f>
        <v/>
      </c>
      <c r="L174" s="68" t="str">
        <f>IF('Marks Entry'!M174="","",'Marks Entry'!M174)</f>
        <v/>
      </c>
      <c r="M174" s="68" t="str">
        <f>IF('Marks Entry'!N174="","",'Marks Entry'!N174)</f>
        <v/>
      </c>
      <c r="N174" s="514" t="str">
        <f t="shared" si="425"/>
        <v/>
      </c>
      <c r="O174" s="68" t="str">
        <f>IF('Marks Entry'!O174="","",'Marks Entry'!O174)</f>
        <v/>
      </c>
      <c r="P174" s="515" t="str">
        <f t="shared" si="426"/>
        <v/>
      </c>
      <c r="Q174" s="68" t="str">
        <f>IF('Marks Entry'!P174="","",'Marks Entry'!P174)</f>
        <v/>
      </c>
      <c r="R174" s="96" t="str">
        <f t="shared" si="427"/>
        <v/>
      </c>
      <c r="S174" s="65">
        <f t="shared" si="428"/>
        <v>0</v>
      </c>
      <c r="T174" s="65">
        <f t="shared" si="429"/>
        <v>0</v>
      </c>
      <c r="U174" s="66" t="str">
        <f t="shared" si="339"/>
        <v/>
      </c>
      <c r="V174" s="65" t="str">
        <f t="shared" si="340"/>
        <v/>
      </c>
      <c r="W174" s="65" t="str">
        <f t="shared" si="430"/>
        <v/>
      </c>
      <c r="X174" s="65" t="str">
        <f t="shared" si="341"/>
        <v/>
      </c>
      <c r="Y174" s="68" t="str">
        <f>IF('Marks Entry'!Q174="","",'Marks Entry'!Q174)</f>
        <v/>
      </c>
      <c r="Z174" s="68" t="str">
        <f>IF('Marks Entry'!R174="","",'Marks Entry'!R174)</f>
        <v/>
      </c>
      <c r="AA174" s="68" t="str">
        <f>IF('Marks Entry'!S174="","",'Marks Entry'!S174)</f>
        <v/>
      </c>
      <c r="AB174" s="514" t="str">
        <f t="shared" si="342"/>
        <v/>
      </c>
      <c r="AC174" s="68" t="str">
        <f>IF('Marks Entry'!T174="","",'Marks Entry'!T174)</f>
        <v/>
      </c>
      <c r="AD174" s="515" t="str">
        <f t="shared" si="343"/>
        <v/>
      </c>
      <c r="AE174" s="68" t="str">
        <f>IF('Marks Entry'!U174="","",'Marks Entry'!U174)</f>
        <v/>
      </c>
      <c r="AF174" s="96" t="str">
        <f t="shared" si="344"/>
        <v/>
      </c>
      <c r="AG174" s="65">
        <f t="shared" si="345"/>
        <v>0</v>
      </c>
      <c r="AH174" s="65">
        <f t="shared" si="346"/>
        <v>0</v>
      </c>
      <c r="AI174" s="66" t="str">
        <f t="shared" si="347"/>
        <v/>
      </c>
      <c r="AJ174" s="65" t="str">
        <f t="shared" si="348"/>
        <v/>
      </c>
      <c r="AK174" s="65" t="str">
        <f t="shared" si="349"/>
        <v/>
      </c>
      <c r="AL174" s="65" t="str">
        <f t="shared" si="350"/>
        <v/>
      </c>
      <c r="AM174" s="524" t="str">
        <f>IF('Marks Entry'!V174="","",IF('Marks Entry'!V174=1,'School Profile'!$I$9,IF('Marks Entry'!V174=2,'School Profile'!$I$10,IF('Marks Entry'!V174=3,'School Profile'!$I$11,IF('Marks Entry'!V174=4,'School Profile'!$I$12,IF('Marks Entry'!V174=5,'School Profile'!$I$13,IF('Marks Entry'!V174=6,'School Profile'!$I$14,"")))))))</f>
        <v/>
      </c>
      <c r="AN174" s="68" t="str">
        <f>IF('Marks Entry'!W174="","",'Marks Entry'!W174)</f>
        <v/>
      </c>
      <c r="AO174" s="68" t="str">
        <f>IF('Marks Entry'!X174="","",'Marks Entry'!X174)</f>
        <v/>
      </c>
      <c r="AP174" s="68" t="str">
        <f>IF('Marks Entry'!Y174="","",'Marks Entry'!Y174)</f>
        <v/>
      </c>
      <c r="AQ174" s="514" t="str">
        <f t="shared" si="351"/>
        <v/>
      </c>
      <c r="AR174" s="68" t="str">
        <f>IF('Marks Entry'!Z174="","",'Marks Entry'!Z174)</f>
        <v/>
      </c>
      <c r="AS174" s="515" t="str">
        <f t="shared" si="352"/>
        <v/>
      </c>
      <c r="AT174" s="68" t="str">
        <f>IF('Marks Entry'!AA174="","",'Marks Entry'!AA174)</f>
        <v/>
      </c>
      <c r="AU174" s="96" t="str">
        <f t="shared" si="353"/>
        <v/>
      </c>
      <c r="AV174" s="65">
        <f t="shared" si="354"/>
        <v>0</v>
      </c>
      <c r="AW174" s="65">
        <f t="shared" si="355"/>
        <v>0</v>
      </c>
      <c r="AX174" s="66" t="str">
        <f t="shared" si="356"/>
        <v/>
      </c>
      <c r="AY174" s="65" t="str">
        <f t="shared" si="357"/>
        <v/>
      </c>
      <c r="AZ174" s="65" t="str">
        <f t="shared" si="358"/>
        <v/>
      </c>
      <c r="BA174" s="65" t="str">
        <f t="shared" si="359"/>
        <v/>
      </c>
      <c r="BB174" s="68" t="str">
        <f>IF('Marks Entry'!AB174="","",'Marks Entry'!AB174)</f>
        <v/>
      </c>
      <c r="BC174" s="68" t="str">
        <f>IF('Marks Entry'!AC174="","",'Marks Entry'!AC174)</f>
        <v/>
      </c>
      <c r="BD174" s="68" t="str">
        <f>IF('Marks Entry'!AD174="","",'Marks Entry'!AD174)</f>
        <v/>
      </c>
      <c r="BE174" s="514" t="str">
        <f t="shared" si="360"/>
        <v/>
      </c>
      <c r="BF174" s="68" t="str">
        <f>IF('Marks Entry'!AE174="","",'Marks Entry'!AE174)</f>
        <v/>
      </c>
      <c r="BG174" s="515" t="str">
        <f t="shared" si="361"/>
        <v/>
      </c>
      <c r="BH174" s="68" t="str">
        <f>IF('Marks Entry'!AF174="","",'Marks Entry'!AF174)</f>
        <v/>
      </c>
      <c r="BI174" s="96" t="str">
        <f t="shared" si="362"/>
        <v/>
      </c>
      <c r="BJ174" s="65">
        <f t="shared" si="363"/>
        <v>0</v>
      </c>
      <c r="BK174" s="65">
        <f t="shared" si="431"/>
        <v>0</v>
      </c>
      <c r="BL174" s="66" t="str">
        <f t="shared" si="364"/>
        <v/>
      </c>
      <c r="BM174" s="65" t="str">
        <f t="shared" si="365"/>
        <v/>
      </c>
      <c r="BN174" s="65" t="str">
        <f t="shared" si="366"/>
        <v/>
      </c>
      <c r="BO174" s="65" t="str">
        <f t="shared" si="367"/>
        <v/>
      </c>
      <c r="BP174" s="68" t="str">
        <f>IF('Marks Entry'!AG174="","",'Marks Entry'!AG174)</f>
        <v/>
      </c>
      <c r="BQ174" s="68" t="str">
        <f>IF('Marks Entry'!AH174="","",'Marks Entry'!AH174)</f>
        <v/>
      </c>
      <c r="BR174" s="68" t="str">
        <f>IF('Marks Entry'!AI174="","",'Marks Entry'!AI174)</f>
        <v/>
      </c>
      <c r="BS174" s="514" t="str">
        <f t="shared" si="368"/>
        <v/>
      </c>
      <c r="BT174" s="68" t="str">
        <f>IF('Marks Entry'!AJ174="","",'Marks Entry'!AJ174)</f>
        <v/>
      </c>
      <c r="BU174" s="515" t="str">
        <f t="shared" si="369"/>
        <v/>
      </c>
      <c r="BV174" s="68" t="str">
        <f>IF('Marks Entry'!AK174="","",'Marks Entry'!AK174)</f>
        <v/>
      </c>
      <c r="BW174" s="96" t="str">
        <f t="shared" si="370"/>
        <v/>
      </c>
      <c r="BX174" s="65">
        <f t="shared" si="371"/>
        <v>0</v>
      </c>
      <c r="BY174" s="65">
        <f t="shared" si="372"/>
        <v>0</v>
      </c>
      <c r="BZ174" s="66" t="str">
        <f t="shared" si="373"/>
        <v/>
      </c>
      <c r="CA174" s="65" t="str">
        <f t="shared" si="374"/>
        <v/>
      </c>
      <c r="CB174" s="65" t="str">
        <f t="shared" si="375"/>
        <v/>
      </c>
      <c r="CC174" s="65" t="str">
        <f t="shared" si="376"/>
        <v/>
      </c>
      <c r="CD174" s="66">
        <f t="shared" si="497"/>
        <v>0</v>
      </c>
      <c r="CE174" s="68" t="str">
        <f>IF('Marks Entry'!AL174="","",'Marks Entry'!AL174)</f>
        <v/>
      </c>
      <c r="CF174" s="68" t="str">
        <f>IF('Marks Entry'!AM174="","",'Marks Entry'!AM174)</f>
        <v/>
      </c>
      <c r="CG174" s="68" t="str">
        <f>IF('Marks Entry'!AN174="","",'Marks Entry'!AN174)</f>
        <v/>
      </c>
      <c r="CH174" s="514" t="str">
        <f t="shared" si="378"/>
        <v/>
      </c>
      <c r="CI174" s="68" t="str">
        <f>IF('Marks Entry'!AO174="","",'Marks Entry'!AO174)</f>
        <v/>
      </c>
      <c r="CJ174" s="515" t="str">
        <f t="shared" si="379"/>
        <v/>
      </c>
      <c r="CK174" s="68" t="str">
        <f>IF('Marks Entry'!AP174="","",'Marks Entry'!AP174)</f>
        <v/>
      </c>
      <c r="CL174" s="96" t="str">
        <f t="shared" si="380"/>
        <v/>
      </c>
      <c r="CM174" s="65">
        <f t="shared" si="381"/>
        <v>0</v>
      </c>
      <c r="CN174" s="65">
        <f t="shared" si="382"/>
        <v>0</v>
      </c>
      <c r="CO174" s="66" t="str">
        <f t="shared" si="383"/>
        <v/>
      </c>
      <c r="CP174" s="65" t="str">
        <f t="shared" si="384"/>
        <v/>
      </c>
      <c r="CQ174" s="65" t="str">
        <f t="shared" si="385"/>
        <v/>
      </c>
      <c r="CR174" s="65" t="str">
        <f t="shared" si="386"/>
        <v/>
      </c>
      <c r="CS174" s="616" t="str">
        <f>IF('School Profile'!$D$20="NO","",IF('Marks Entry'!AQ174="","",IF('Marks Entry'!AQ174=1,'School Profile'!$I$29,IF('Marks Entry'!AQ174=2,'School Profile'!$I$30,IF('Marks Entry'!AQ174=3,'School Profile'!$I$31,IF('Marks Entry'!AQ174=4,'School Profile'!$I$32,IF('Marks Entry'!AQ174=5,'School Profile'!$I$33,IF('Marks Entry'!AQ174=6,'School Profile'!$I$34,IF('Marks Entry'!AQ174=7,'School Profile'!$I$35,IF('Marks Entry'!AQ174=8,'School Profile'!$I$36,IF('Marks Entry'!AQ174=9,'School Profile'!$I$37,IF('Marks Entry'!AQ174=10,'School Profile'!$I$38,IF('Marks Entry'!AQ174=11,'School Profile'!$I$39,"")))))))))))))</f>
        <v/>
      </c>
      <c r="CT174" s="68" t="str">
        <f>IF('School Profile'!$D$20="NO","",IF('Marks Entry'!AR174="","",'Marks Entry'!AR174))</f>
        <v/>
      </c>
      <c r="CU174" s="68" t="str">
        <f>IF('School Profile'!$D$20="NO","",IF('Marks Entry'!AS174="","",'Marks Entry'!AS174))</f>
        <v/>
      </c>
      <c r="CV174" s="68" t="str">
        <f>IF('School Profile'!$D$20="NO","",IF('Marks Entry'!AT174="","",'Marks Entry'!AT174))</f>
        <v/>
      </c>
      <c r="CW174" s="514" t="str">
        <f>IF('School Profile'!$D$20="NO","",IF(AND(CT174="",CU174="",CV174=""),"",SUM(CT174:CV174)))</f>
        <v/>
      </c>
      <c r="CX174" s="68" t="str">
        <f>IF('School Profile'!$D$20="NO","",IF('Marks Entry'!AU174="","",'Marks Entry'!AU174))</f>
        <v/>
      </c>
      <c r="CY174" s="68" t="str">
        <f>IF('School Profile'!$D$20="NO","",IF('Marks Entry'!AV174="","",'Marks Entry'!AV174))</f>
        <v/>
      </c>
      <c r="CZ174" s="515" t="str">
        <f>IF('School Profile'!$D$20="NO","",IF(AND(CX174="",CY174=""),"",SUM(CX174,CY174)))</f>
        <v/>
      </c>
      <c r="DA174" s="69" t="str">
        <f>IF('School Profile'!$D$20="NO","",IF(AND(CW174="",CZ174=""),"",SUM(CW174+CZ174)))</f>
        <v/>
      </c>
      <c r="DB174" s="68" t="str">
        <f>IF('School Profile'!$D$20="NO","",IF('Marks Entry'!AW174="","",'Marks Entry'!AW174))</f>
        <v/>
      </c>
      <c r="DC174" s="68" t="str">
        <f>IF('School Profile'!$D$20="NO","",IF('Marks Entry'!AX174="","",'Marks Entry'!AX174))</f>
        <v/>
      </c>
      <c r="DD174" s="515" t="str">
        <f>IF('School Profile'!$D$20="NO","",IF(AND(DB174="",DC174=""),"",SUM(DB174,DC174)))</f>
        <v/>
      </c>
      <c r="DE174" s="96" t="str">
        <f>IF('School Profile'!$D$20="NO","",IF(AND(DA174="",DD174=""),"",SUM(DA174,DD174)))</f>
        <v/>
      </c>
      <c r="DF174" s="532">
        <f t="shared" si="387"/>
        <v>0</v>
      </c>
      <c r="DG174" s="65">
        <f t="shared" si="388"/>
        <v>0</v>
      </c>
      <c r="DH174" s="66" t="str">
        <f t="shared" si="389"/>
        <v/>
      </c>
      <c r="DI174" s="65" t="str">
        <f t="shared" si="390"/>
        <v/>
      </c>
      <c r="DJ174" s="65" t="str">
        <f t="shared" si="391"/>
        <v/>
      </c>
      <c r="DK174" s="65" t="str">
        <f t="shared" si="392"/>
        <v/>
      </c>
      <c r="DL174" s="97" t="str">
        <f t="shared" si="432"/>
        <v/>
      </c>
      <c r="DM174" s="97" t="str">
        <f t="shared" si="433"/>
        <v/>
      </c>
      <c r="DN174" s="97" t="str">
        <f t="shared" si="434"/>
        <v/>
      </c>
      <c r="DO174" s="97" t="str">
        <f t="shared" si="435"/>
        <v/>
      </c>
      <c r="DP174" s="97" t="str">
        <f t="shared" si="436"/>
        <v/>
      </c>
      <c r="DQ174" s="97" t="str">
        <f t="shared" si="437"/>
        <v/>
      </c>
      <c r="DR174" s="97" t="str">
        <f t="shared" si="438"/>
        <v/>
      </c>
      <c r="DS174" s="98">
        <f t="shared" si="439"/>
        <v>0</v>
      </c>
      <c r="DT174" s="98">
        <f t="shared" si="440"/>
        <v>0</v>
      </c>
      <c r="DU174" s="98">
        <f t="shared" si="441"/>
        <v>0</v>
      </c>
      <c r="DV174" s="98">
        <f t="shared" si="442"/>
        <v>0</v>
      </c>
      <c r="DW174" s="98">
        <f t="shared" si="443"/>
        <v>0</v>
      </c>
      <c r="DX174" s="98" t="str">
        <f t="shared" si="444"/>
        <v/>
      </c>
      <c r="DY174" s="99" t="str">
        <f t="shared" si="445"/>
        <v/>
      </c>
      <c r="DZ174" s="74" t="str">
        <f>IF('Marks Entry'!AY174="","",'Marks Entry'!AY174)</f>
        <v/>
      </c>
      <c r="EA174" s="74" t="str">
        <f>IF('Marks Entry'!AZ174="","",'Marks Entry'!AZ174)</f>
        <v/>
      </c>
      <c r="EB174" s="74" t="str">
        <f>IF('Marks Entry'!BA174="","",'Marks Entry'!BA174)</f>
        <v/>
      </c>
      <c r="EC174" s="527" t="str">
        <f t="shared" si="393"/>
        <v/>
      </c>
      <c r="ED174" s="74" t="str">
        <f>IF('Marks Entry'!BB174="","",'Marks Entry'!BB174)</f>
        <v/>
      </c>
      <c r="EE174" s="528" t="str">
        <f t="shared" si="394"/>
        <v/>
      </c>
      <c r="EF174" s="74" t="str">
        <f>IF('Marks Entry'!BC174="","",'Marks Entry'!BC174)</f>
        <v/>
      </c>
      <c r="EG174" s="530" t="str">
        <f t="shared" si="395"/>
        <v/>
      </c>
      <c r="EH174" s="368" t="str">
        <f t="shared" si="446"/>
        <v/>
      </c>
      <c r="EI174" s="65">
        <f t="shared" si="447"/>
        <v>0</v>
      </c>
      <c r="EJ174" s="65">
        <f t="shared" si="448"/>
        <v>0</v>
      </c>
      <c r="EK174" s="66" t="str">
        <f t="shared" si="449"/>
        <v/>
      </c>
      <c r="EL174" s="74" t="str">
        <f>IF('Marks Entry'!BD174="","",'Marks Entry'!BD174)</f>
        <v/>
      </c>
      <c r="EM174" s="74" t="str">
        <f>IF('Marks Entry'!BE174="","",'Marks Entry'!BE174)</f>
        <v/>
      </c>
      <c r="EN174" s="74" t="str">
        <f>IF('Marks Entry'!BF174="","",'Marks Entry'!BF174)</f>
        <v/>
      </c>
      <c r="EO174" s="527" t="str">
        <f t="shared" si="396"/>
        <v/>
      </c>
      <c r="EP174" s="74" t="str">
        <f>IF('Marks Entry'!BG174="","",'Marks Entry'!BG174)</f>
        <v/>
      </c>
      <c r="EQ174" s="74" t="str">
        <f>IF('Marks Entry'!BH174="","",'Marks Entry'!BH174)</f>
        <v/>
      </c>
      <c r="ER174" s="528" t="str">
        <f t="shared" si="397"/>
        <v/>
      </c>
      <c r="ES174" s="529" t="str">
        <f t="shared" si="398"/>
        <v/>
      </c>
      <c r="ET174" s="74" t="str">
        <f>IF('Marks Entry'!BI174="","",'Marks Entry'!BI174)</f>
        <v/>
      </c>
      <c r="EU174" s="74" t="str">
        <f>IF('Marks Entry'!BJ174="","",'Marks Entry'!BJ174)</f>
        <v/>
      </c>
      <c r="EV174" s="528" t="str">
        <f t="shared" si="399"/>
        <v/>
      </c>
      <c r="EW174" s="530" t="str">
        <f t="shared" si="400"/>
        <v/>
      </c>
      <c r="EX174" s="368" t="str">
        <f t="shared" si="450"/>
        <v/>
      </c>
      <c r="EY174" s="65">
        <f t="shared" si="451"/>
        <v>0</v>
      </c>
      <c r="EZ174" s="65">
        <f t="shared" si="452"/>
        <v>0</v>
      </c>
      <c r="FA174" s="66" t="str">
        <f t="shared" si="453"/>
        <v/>
      </c>
      <c r="FB174" s="74" t="str">
        <f>IF('Marks Entry'!BK174="","",'Marks Entry'!BK174)</f>
        <v/>
      </c>
      <c r="FC174" s="74" t="str">
        <f>IF('Marks Entry'!BL174="","",'Marks Entry'!BL174)</f>
        <v/>
      </c>
      <c r="FD174" s="74" t="str">
        <f>IF('Marks Entry'!BM174="","",'Marks Entry'!BM174)</f>
        <v/>
      </c>
      <c r="FE174" s="74" t="str">
        <f>IF('Marks Entry'!BN174="","",'Marks Entry'!BN174)</f>
        <v/>
      </c>
      <c r="FF174" s="74" t="str">
        <f>IF('Marks Entry'!BO174="","",'Marks Entry'!BO174)</f>
        <v/>
      </c>
      <c r="FG174" s="74" t="str">
        <f>IF('Marks Entry'!BP174="","",'Marks Entry'!BP174)</f>
        <v/>
      </c>
      <c r="FH174" s="527" t="str">
        <f t="shared" si="401"/>
        <v/>
      </c>
      <c r="FI174" s="74" t="str">
        <f>IF('Marks Entry'!BQ174="","",'Marks Entry'!BQ174)</f>
        <v/>
      </c>
      <c r="FJ174" s="74" t="str">
        <f>IF('Marks Entry'!BR174="","",'Marks Entry'!BR174)</f>
        <v/>
      </c>
      <c r="FK174" s="528" t="str">
        <f t="shared" si="402"/>
        <v/>
      </c>
      <c r="FL174" s="529" t="str">
        <f t="shared" si="403"/>
        <v/>
      </c>
      <c r="FM174" s="74" t="str">
        <f>IF('Marks Entry'!BS174="","",'Marks Entry'!BS174)</f>
        <v/>
      </c>
      <c r="FN174" s="74" t="str">
        <f>IF('Marks Entry'!BT174="","",'Marks Entry'!BT174)</f>
        <v/>
      </c>
      <c r="FO174" s="528" t="str">
        <f t="shared" si="404"/>
        <v/>
      </c>
      <c r="FP174" s="530" t="str">
        <f t="shared" si="405"/>
        <v/>
      </c>
      <c r="FQ174" s="368" t="str">
        <f t="shared" si="454"/>
        <v/>
      </c>
      <c r="FR174" s="65">
        <f t="shared" si="455"/>
        <v>0</v>
      </c>
      <c r="FS174" s="65">
        <f t="shared" si="456"/>
        <v>0</v>
      </c>
      <c r="FT174" s="66" t="str">
        <f t="shared" si="457"/>
        <v/>
      </c>
      <c r="FU174" s="74" t="str">
        <f>IF('Marks Entry'!BU174="","",'Marks Entry'!BU174)</f>
        <v/>
      </c>
      <c r="FV174" s="74" t="str">
        <f>IF('Marks Entry'!BV174="","",'Marks Entry'!BV174)</f>
        <v/>
      </c>
      <c r="FW174" s="74" t="str">
        <f>IF('Marks Entry'!BW174="","",'Marks Entry'!BW174)</f>
        <v/>
      </c>
      <c r="FX174" s="75" t="str">
        <f t="shared" si="406"/>
        <v/>
      </c>
      <c r="FY174" s="368" t="str">
        <f t="shared" si="458"/>
        <v/>
      </c>
      <c r="FZ174" s="65">
        <f t="shared" si="459"/>
        <v>0</v>
      </c>
      <c r="GA174" s="66">
        <f t="shared" si="460"/>
        <v>0</v>
      </c>
      <c r="GB174" s="66" t="str">
        <f t="shared" si="461"/>
        <v/>
      </c>
      <c r="GC174" s="74" t="str">
        <f>IF('Marks Entry'!BX174="","",'Marks Entry'!BX174)</f>
        <v/>
      </c>
      <c r="GD174" s="74" t="str">
        <f>IF('Marks Entry'!BY174="","",'Marks Entry'!BY174)</f>
        <v/>
      </c>
      <c r="GE174" s="74" t="str">
        <f>IF('Marks Entry'!BZ174="","",'Marks Entry'!BZ174)</f>
        <v/>
      </c>
      <c r="GF174" s="75" t="str">
        <f t="shared" si="462"/>
        <v/>
      </c>
      <c r="GG174" s="368" t="str">
        <f t="shared" si="463"/>
        <v/>
      </c>
      <c r="GH174" s="65">
        <f t="shared" si="464"/>
        <v>0</v>
      </c>
      <c r="GI174" s="66">
        <f t="shared" si="465"/>
        <v>0</v>
      </c>
      <c r="GJ174" s="66" t="str">
        <f t="shared" si="466"/>
        <v/>
      </c>
      <c r="GK174" s="100" t="str">
        <f>IF(AND(F174="",B174=""),"",IF('Student DATA Entry'!M171="","",'Student DATA Entry'!M171))</f>
        <v/>
      </c>
      <c r="GL174" s="101" t="str">
        <f>IF(AND(B174="",F174=""),"",IF('Student DATA Entry'!N171="","",'Student DATA Entry'!N171))</f>
        <v/>
      </c>
      <c r="GM174" s="581" t="str">
        <f t="shared" si="467"/>
        <v/>
      </c>
      <c r="GN174" s="94" t="str">
        <f t="shared" si="468"/>
        <v/>
      </c>
      <c r="GO174" s="94" t="str">
        <f t="shared" si="469"/>
        <v/>
      </c>
      <c r="GP174" s="102" t="str">
        <f t="shared" si="498"/>
        <v/>
      </c>
      <c r="GQ174" s="94" t="str">
        <f t="shared" si="470"/>
        <v/>
      </c>
      <c r="GR174" s="103" t="str">
        <f t="shared" si="471"/>
        <v/>
      </c>
      <c r="GS174" s="102" t="str">
        <f t="shared" si="499"/>
        <v/>
      </c>
      <c r="GT174" s="104" t="str">
        <f t="shared" si="472"/>
        <v/>
      </c>
      <c r="GU174" s="94" t="str">
        <f>IF('Marks Entry'!V174=1,GT174,"")</f>
        <v/>
      </c>
      <c r="GV174" s="94" t="str">
        <f>IF('Marks Entry'!V174=2,GT174,"")</f>
        <v/>
      </c>
      <c r="GW174" s="94" t="str">
        <f>IF('Marks Entry'!V174=3,GT174,"")</f>
        <v/>
      </c>
      <c r="GX174" s="94" t="str">
        <f>IF('Marks Entry'!V174=4,GT174,"")</f>
        <v/>
      </c>
      <c r="GY174" s="94" t="str">
        <f>IF('Marks Entry'!V174=5,GT174,"")</f>
        <v/>
      </c>
      <c r="GZ174" s="94" t="str">
        <f t="shared" si="473"/>
        <v/>
      </c>
      <c r="HA174" s="105" t="str">
        <f t="shared" si="500"/>
        <v/>
      </c>
      <c r="HB174" s="94" t="str">
        <f t="shared" si="474"/>
        <v/>
      </c>
      <c r="HC174" s="94" t="str">
        <f t="shared" si="475"/>
        <v/>
      </c>
      <c r="HD174" s="105" t="str">
        <f t="shared" si="501"/>
        <v/>
      </c>
      <c r="HE174" s="94" t="str">
        <f t="shared" si="476"/>
        <v/>
      </c>
      <c r="HF174" s="94" t="str">
        <f t="shared" si="477"/>
        <v/>
      </c>
      <c r="HG174" s="105" t="str">
        <f t="shared" si="502"/>
        <v/>
      </c>
      <c r="HH174" s="94" t="str">
        <f t="shared" si="478"/>
        <v/>
      </c>
      <c r="HI174" s="94" t="str">
        <f t="shared" si="479"/>
        <v/>
      </c>
      <c r="HJ174" s="105" t="str">
        <f t="shared" si="503"/>
        <v/>
      </c>
      <c r="HK174" s="94" t="str">
        <f t="shared" si="480"/>
        <v/>
      </c>
      <c r="HL174" s="94" t="str">
        <f t="shared" si="481"/>
        <v/>
      </c>
      <c r="HM174" s="105" t="str">
        <f t="shared" si="504"/>
        <v/>
      </c>
      <c r="HN174" s="367" t="str">
        <f t="shared" si="482"/>
        <v xml:space="preserve">      </v>
      </c>
      <c r="HO174" s="418" t="str">
        <f t="shared" si="505"/>
        <v xml:space="preserve">      </v>
      </c>
      <c r="HP174" s="367" t="str">
        <f t="shared" si="483"/>
        <v xml:space="preserve">      </v>
      </c>
      <c r="HQ174" s="107" t="str">
        <f t="shared" si="484"/>
        <v xml:space="preserve">      </v>
      </c>
      <c r="HR174" s="366" t="str">
        <f t="shared" si="485"/>
        <v xml:space="preserve">      </v>
      </c>
      <c r="HS174" s="544" t="str">
        <f t="shared" si="506"/>
        <v/>
      </c>
      <c r="HT174" s="542" t="str">
        <f t="shared" si="486"/>
        <v/>
      </c>
      <c r="HU174" s="541" t="str">
        <f t="shared" si="487"/>
        <v/>
      </c>
      <c r="HV174" s="540" t="str">
        <f t="shared" si="488"/>
        <v/>
      </c>
      <c r="HW174" s="537" t="str">
        <f t="shared" si="489"/>
        <v/>
      </c>
      <c r="HX174" s="539" t="str">
        <f t="shared" si="490"/>
        <v/>
      </c>
      <c r="HY174" s="553" t="str">
        <f>IFERROR(IF(OR(HS174="SUPPLEMENTARY",HS174="RE-EXAM"),'Supp. Result Entry'!AQ172,""),"")</f>
        <v/>
      </c>
      <c r="HZ174" s="538" t="str">
        <f t="shared" si="491"/>
        <v/>
      </c>
      <c r="IA174" s="415" t="str">
        <f t="shared" si="492"/>
        <v/>
      </c>
      <c r="IB174" s="415" t="str">
        <f>IF(AND(HZ174="",IA174=""),"",IF(OR(HS174="SUPPLEMENTARY",HS174="RE-EXAM"),'Supp. Result Entry'!AQ172,HS174))</f>
        <v/>
      </c>
      <c r="IC174" s="87"/>
      <c r="IS174" s="109" t="str">
        <f>IF('Supp. Result Entry'!T172="","",'Supp. Result Entry'!$T$4)</f>
        <v/>
      </c>
      <c r="IT174" s="110" t="str">
        <f>IF('Supp. Result Entry'!W172="","",'Supp. Result Entry'!$W$4)</f>
        <v/>
      </c>
      <c r="IU174" s="110" t="str">
        <f>IF('Supp. Result Entry'!Z172="","",'Supp. Result Entry'!$Z$4)</f>
        <v/>
      </c>
      <c r="IV174" s="110" t="str">
        <f>IF('Supp. Result Entry'!AC172="","",'Supp. Result Entry'!$AC$4)</f>
        <v/>
      </c>
      <c r="IW174" s="110" t="str">
        <f>IF('Supp. Result Entry'!AF172="","",'Supp. Result Entry'!$AF$4)</f>
        <v/>
      </c>
      <c r="IX174" s="110" t="str">
        <f>IF('Supp. Result Entry'!AI172="","",'Supp. Result Entry'!$AI$4)</f>
        <v/>
      </c>
      <c r="IY174" s="110" t="str">
        <f>IF('Supp. Result Entry'!AI172="","",'Supp. Result Entry'!$AL$4)</f>
        <v/>
      </c>
      <c r="IZ174" s="110" t="str">
        <f>IF('Supp. Result Entry'!U172="","",'Supp. Result Entry'!U172)</f>
        <v/>
      </c>
      <c r="JA174" s="110" t="str">
        <f>IF('Supp. Result Entry'!X172="","",'Supp. Result Entry'!X172)</f>
        <v/>
      </c>
      <c r="JB174" s="110" t="str">
        <f>IF('Supp. Result Entry'!AA172="","",'Supp. Result Entry'!AA172)</f>
        <v/>
      </c>
      <c r="JC174" s="110" t="str">
        <f>IF('Supp. Result Entry'!AD172="","",'Supp. Result Entry'!AD172)</f>
        <v/>
      </c>
      <c r="JD174" s="110" t="str">
        <f>IF('Supp. Result Entry'!AG172="","",'Supp. Result Entry'!AG172)</f>
        <v/>
      </c>
      <c r="JE174" s="110" t="str">
        <f>IF('Supp. Result Entry'!AJ172="","",'Supp. Result Entry'!AJ172)</f>
        <v/>
      </c>
      <c r="JF174" s="110" t="str">
        <f>IF('Supp. Result Entry'!AM172="","",'Supp. Result Entry'!AM172)</f>
        <v/>
      </c>
      <c r="JG174" s="110" t="str">
        <f>IF('Supp. Result Entry'!V172="","",'Supp. Result Entry'!V172)</f>
        <v/>
      </c>
      <c r="JH174" s="110" t="str">
        <f>IF('Supp. Result Entry'!Y172="","",'Supp. Result Entry'!Y172)</f>
        <v/>
      </c>
      <c r="JI174" s="110" t="str">
        <f>IF('Supp. Result Entry'!AB172="","",'Supp. Result Entry'!AB172)</f>
        <v/>
      </c>
      <c r="JJ174" s="110" t="str">
        <f>IF('Supp. Result Entry'!AE172="","",'Supp. Result Entry'!AE172)</f>
        <v/>
      </c>
      <c r="JK174" s="110" t="str">
        <f>IF('Supp. Result Entry'!AH172="","",'Supp. Result Entry'!AH172)</f>
        <v/>
      </c>
      <c r="JL174" s="110" t="str">
        <f>IF('Supp. Result Entry'!AK172="","",'Supp. Result Entry'!AK172)</f>
        <v/>
      </c>
      <c r="JM174" s="110" t="str">
        <f>IF('Supp. Result Entry'!AN172="","",'Supp. Result Entry'!AN172)</f>
        <v/>
      </c>
      <c r="JN174" s="110">
        <f>COUNTIF('Supp. Result Entry'!K172:Q172,"S")</f>
        <v>0</v>
      </c>
      <c r="JO174" s="110">
        <f t="shared" si="416"/>
        <v>0</v>
      </c>
      <c r="JP174" s="110">
        <f t="shared" si="493"/>
        <v>0</v>
      </c>
      <c r="JQ174" s="110" t="str">
        <f t="shared" si="417"/>
        <v/>
      </c>
      <c r="JR174" s="110" t="str">
        <f t="shared" si="418"/>
        <v/>
      </c>
      <c r="JS174" s="110" t="str">
        <f t="shared" si="419"/>
        <v/>
      </c>
      <c r="JT174" s="110" t="str">
        <f t="shared" si="420"/>
        <v/>
      </c>
      <c r="JU174" s="110" t="str">
        <f t="shared" si="421"/>
        <v/>
      </c>
      <c r="JV174" s="110" t="str">
        <f t="shared" si="422"/>
        <v/>
      </c>
      <c r="JW174" s="110" t="str">
        <f t="shared" si="423"/>
        <v/>
      </c>
      <c r="JX174" s="110" t="str">
        <f t="shared" si="494"/>
        <v/>
      </c>
      <c r="JY174" s="110" t="str">
        <f t="shared" si="495"/>
        <v/>
      </c>
      <c r="JZ174" s="110" t="str">
        <f t="shared" si="424"/>
        <v/>
      </c>
      <c r="KA174" s="108" t="str">
        <f t="shared" si="496"/>
        <v/>
      </c>
    </row>
    <row r="175" spans="1:287" s="108" customFormat="1" ht="21.95" customHeight="1">
      <c r="A175" s="89">
        <v>169</v>
      </c>
      <c r="B175" s="90" t="str">
        <f>IF('Marks Entry'!B175="","",'Marks Entry'!B175)</f>
        <v/>
      </c>
      <c r="C175" s="94" t="str">
        <f>IF('Marks Entry'!D175="","",'Marks Entry'!D175)</f>
        <v/>
      </c>
      <c r="D175" s="91" t="str">
        <f>IF('Marks Entry'!E175="","",'Marks Entry'!E175)</f>
        <v/>
      </c>
      <c r="E175" s="92" t="str">
        <f>IF('Marks Entry'!F175="","",'Marks Entry'!F175)</f>
        <v/>
      </c>
      <c r="F175" s="93" t="str">
        <f>IF('Marks Entry'!G175="","",'Marks Entry'!G175)</f>
        <v/>
      </c>
      <c r="G175" s="93" t="str">
        <f>IF('Marks Entry'!H175="","",'Marks Entry'!H175)</f>
        <v/>
      </c>
      <c r="H175" s="93" t="str">
        <f>IF('Marks Entry'!I175="","",'Marks Entry'!I175)</f>
        <v/>
      </c>
      <c r="I175" s="94" t="str">
        <f>IF('Marks Entry'!J175="","",'Marks Entry'!J175)</f>
        <v/>
      </c>
      <c r="J175" s="95" t="str">
        <f>IF('Marks Entry'!K175="","",'Marks Entry'!K175)</f>
        <v/>
      </c>
      <c r="K175" s="68" t="str">
        <f>IF('Marks Entry'!L175="","",'Marks Entry'!L175)</f>
        <v/>
      </c>
      <c r="L175" s="68" t="str">
        <f>IF('Marks Entry'!M175="","",'Marks Entry'!M175)</f>
        <v/>
      </c>
      <c r="M175" s="68" t="str">
        <f>IF('Marks Entry'!N175="","",'Marks Entry'!N175)</f>
        <v/>
      </c>
      <c r="N175" s="514" t="str">
        <f t="shared" si="425"/>
        <v/>
      </c>
      <c r="O175" s="68" t="str">
        <f>IF('Marks Entry'!O175="","",'Marks Entry'!O175)</f>
        <v/>
      </c>
      <c r="P175" s="515" t="str">
        <f t="shared" si="426"/>
        <v/>
      </c>
      <c r="Q175" s="68" t="str">
        <f>IF('Marks Entry'!P175="","",'Marks Entry'!P175)</f>
        <v/>
      </c>
      <c r="R175" s="96" t="str">
        <f t="shared" si="427"/>
        <v/>
      </c>
      <c r="S175" s="65">
        <f t="shared" si="428"/>
        <v>0</v>
      </c>
      <c r="T175" s="65">
        <f t="shared" si="429"/>
        <v>0</v>
      </c>
      <c r="U175" s="66" t="str">
        <f t="shared" si="339"/>
        <v/>
      </c>
      <c r="V175" s="65" t="str">
        <f t="shared" si="340"/>
        <v/>
      </c>
      <c r="W175" s="65" t="str">
        <f t="shared" si="430"/>
        <v/>
      </c>
      <c r="X175" s="65" t="str">
        <f t="shared" si="341"/>
        <v/>
      </c>
      <c r="Y175" s="68" t="str">
        <f>IF('Marks Entry'!Q175="","",'Marks Entry'!Q175)</f>
        <v/>
      </c>
      <c r="Z175" s="68" t="str">
        <f>IF('Marks Entry'!R175="","",'Marks Entry'!R175)</f>
        <v/>
      </c>
      <c r="AA175" s="68" t="str">
        <f>IF('Marks Entry'!S175="","",'Marks Entry'!S175)</f>
        <v/>
      </c>
      <c r="AB175" s="514" t="str">
        <f t="shared" si="342"/>
        <v/>
      </c>
      <c r="AC175" s="68" t="str">
        <f>IF('Marks Entry'!T175="","",'Marks Entry'!T175)</f>
        <v/>
      </c>
      <c r="AD175" s="515" t="str">
        <f t="shared" si="343"/>
        <v/>
      </c>
      <c r="AE175" s="68" t="str">
        <f>IF('Marks Entry'!U175="","",'Marks Entry'!U175)</f>
        <v/>
      </c>
      <c r="AF175" s="96" t="str">
        <f t="shared" si="344"/>
        <v/>
      </c>
      <c r="AG175" s="65">
        <f t="shared" si="345"/>
        <v>0</v>
      </c>
      <c r="AH175" s="65">
        <f t="shared" si="346"/>
        <v>0</v>
      </c>
      <c r="AI175" s="66" t="str">
        <f t="shared" si="347"/>
        <v/>
      </c>
      <c r="AJ175" s="65" t="str">
        <f t="shared" si="348"/>
        <v/>
      </c>
      <c r="AK175" s="65" t="str">
        <f t="shared" si="349"/>
        <v/>
      </c>
      <c r="AL175" s="65" t="str">
        <f t="shared" si="350"/>
        <v/>
      </c>
      <c r="AM175" s="524" t="str">
        <f>IF('Marks Entry'!V175="","",IF('Marks Entry'!V175=1,'School Profile'!$I$9,IF('Marks Entry'!V175=2,'School Profile'!$I$10,IF('Marks Entry'!V175=3,'School Profile'!$I$11,IF('Marks Entry'!V175=4,'School Profile'!$I$12,IF('Marks Entry'!V175=5,'School Profile'!$I$13,IF('Marks Entry'!V175=6,'School Profile'!$I$14,"")))))))</f>
        <v/>
      </c>
      <c r="AN175" s="68" t="str">
        <f>IF('Marks Entry'!W175="","",'Marks Entry'!W175)</f>
        <v/>
      </c>
      <c r="AO175" s="68" t="str">
        <f>IF('Marks Entry'!X175="","",'Marks Entry'!X175)</f>
        <v/>
      </c>
      <c r="AP175" s="68" t="str">
        <f>IF('Marks Entry'!Y175="","",'Marks Entry'!Y175)</f>
        <v/>
      </c>
      <c r="AQ175" s="514" t="str">
        <f t="shared" si="351"/>
        <v/>
      </c>
      <c r="AR175" s="68" t="str">
        <f>IF('Marks Entry'!Z175="","",'Marks Entry'!Z175)</f>
        <v/>
      </c>
      <c r="AS175" s="515" t="str">
        <f t="shared" si="352"/>
        <v/>
      </c>
      <c r="AT175" s="68" t="str">
        <f>IF('Marks Entry'!AA175="","",'Marks Entry'!AA175)</f>
        <v/>
      </c>
      <c r="AU175" s="96" t="str">
        <f t="shared" si="353"/>
        <v/>
      </c>
      <c r="AV175" s="65">
        <f t="shared" si="354"/>
        <v>0</v>
      </c>
      <c r="AW175" s="65">
        <f t="shared" si="355"/>
        <v>0</v>
      </c>
      <c r="AX175" s="66" t="str">
        <f t="shared" si="356"/>
        <v/>
      </c>
      <c r="AY175" s="65" t="str">
        <f t="shared" si="357"/>
        <v/>
      </c>
      <c r="AZ175" s="65" t="str">
        <f t="shared" si="358"/>
        <v/>
      </c>
      <c r="BA175" s="65" t="str">
        <f t="shared" si="359"/>
        <v/>
      </c>
      <c r="BB175" s="68" t="str">
        <f>IF('Marks Entry'!AB175="","",'Marks Entry'!AB175)</f>
        <v/>
      </c>
      <c r="BC175" s="68" t="str">
        <f>IF('Marks Entry'!AC175="","",'Marks Entry'!AC175)</f>
        <v/>
      </c>
      <c r="BD175" s="68" t="str">
        <f>IF('Marks Entry'!AD175="","",'Marks Entry'!AD175)</f>
        <v/>
      </c>
      <c r="BE175" s="514" t="str">
        <f t="shared" si="360"/>
        <v/>
      </c>
      <c r="BF175" s="68" t="str">
        <f>IF('Marks Entry'!AE175="","",'Marks Entry'!AE175)</f>
        <v/>
      </c>
      <c r="BG175" s="515" t="str">
        <f t="shared" si="361"/>
        <v/>
      </c>
      <c r="BH175" s="68" t="str">
        <f>IF('Marks Entry'!AF175="","",'Marks Entry'!AF175)</f>
        <v/>
      </c>
      <c r="BI175" s="96" t="str">
        <f t="shared" si="362"/>
        <v/>
      </c>
      <c r="BJ175" s="65">
        <f t="shared" si="363"/>
        <v>0</v>
      </c>
      <c r="BK175" s="65">
        <f t="shared" si="431"/>
        <v>0</v>
      </c>
      <c r="BL175" s="66" t="str">
        <f t="shared" si="364"/>
        <v/>
      </c>
      <c r="BM175" s="65" t="str">
        <f t="shared" si="365"/>
        <v/>
      </c>
      <c r="BN175" s="65" t="str">
        <f t="shared" si="366"/>
        <v/>
      </c>
      <c r="BO175" s="65" t="str">
        <f t="shared" si="367"/>
        <v/>
      </c>
      <c r="BP175" s="68" t="str">
        <f>IF('Marks Entry'!AG175="","",'Marks Entry'!AG175)</f>
        <v/>
      </c>
      <c r="BQ175" s="68" t="str">
        <f>IF('Marks Entry'!AH175="","",'Marks Entry'!AH175)</f>
        <v/>
      </c>
      <c r="BR175" s="68" t="str">
        <f>IF('Marks Entry'!AI175="","",'Marks Entry'!AI175)</f>
        <v/>
      </c>
      <c r="BS175" s="514" t="str">
        <f t="shared" si="368"/>
        <v/>
      </c>
      <c r="BT175" s="68" t="str">
        <f>IF('Marks Entry'!AJ175="","",'Marks Entry'!AJ175)</f>
        <v/>
      </c>
      <c r="BU175" s="515" t="str">
        <f t="shared" si="369"/>
        <v/>
      </c>
      <c r="BV175" s="68" t="str">
        <f>IF('Marks Entry'!AK175="","",'Marks Entry'!AK175)</f>
        <v/>
      </c>
      <c r="BW175" s="96" t="str">
        <f t="shared" si="370"/>
        <v/>
      </c>
      <c r="BX175" s="65">
        <f t="shared" si="371"/>
        <v>0</v>
      </c>
      <c r="BY175" s="65">
        <f t="shared" si="372"/>
        <v>0</v>
      </c>
      <c r="BZ175" s="66" t="str">
        <f t="shared" si="373"/>
        <v/>
      </c>
      <c r="CA175" s="65" t="str">
        <f t="shared" si="374"/>
        <v/>
      </c>
      <c r="CB175" s="65" t="str">
        <f t="shared" si="375"/>
        <v/>
      </c>
      <c r="CC175" s="65" t="str">
        <f t="shared" si="376"/>
        <v/>
      </c>
      <c r="CD175" s="66">
        <f t="shared" si="497"/>
        <v>0</v>
      </c>
      <c r="CE175" s="68" t="str">
        <f>IF('Marks Entry'!AL175="","",'Marks Entry'!AL175)</f>
        <v/>
      </c>
      <c r="CF175" s="68" t="str">
        <f>IF('Marks Entry'!AM175="","",'Marks Entry'!AM175)</f>
        <v/>
      </c>
      <c r="CG175" s="68" t="str">
        <f>IF('Marks Entry'!AN175="","",'Marks Entry'!AN175)</f>
        <v/>
      </c>
      <c r="CH175" s="514" t="str">
        <f t="shared" si="378"/>
        <v/>
      </c>
      <c r="CI175" s="68" t="str">
        <f>IF('Marks Entry'!AO175="","",'Marks Entry'!AO175)</f>
        <v/>
      </c>
      <c r="CJ175" s="515" t="str">
        <f t="shared" si="379"/>
        <v/>
      </c>
      <c r="CK175" s="68" t="str">
        <f>IF('Marks Entry'!AP175="","",'Marks Entry'!AP175)</f>
        <v/>
      </c>
      <c r="CL175" s="96" t="str">
        <f t="shared" si="380"/>
        <v/>
      </c>
      <c r="CM175" s="65">
        <f t="shared" si="381"/>
        <v>0</v>
      </c>
      <c r="CN175" s="65">
        <f t="shared" si="382"/>
        <v>0</v>
      </c>
      <c r="CO175" s="66" t="str">
        <f t="shared" si="383"/>
        <v/>
      </c>
      <c r="CP175" s="65" t="str">
        <f t="shared" si="384"/>
        <v/>
      </c>
      <c r="CQ175" s="65" t="str">
        <f t="shared" si="385"/>
        <v/>
      </c>
      <c r="CR175" s="65" t="str">
        <f t="shared" si="386"/>
        <v/>
      </c>
      <c r="CS175" s="616" t="str">
        <f>IF('School Profile'!$D$20="NO","",IF('Marks Entry'!AQ175="","",IF('Marks Entry'!AQ175=1,'School Profile'!$I$29,IF('Marks Entry'!AQ175=2,'School Profile'!$I$30,IF('Marks Entry'!AQ175=3,'School Profile'!$I$31,IF('Marks Entry'!AQ175=4,'School Profile'!$I$32,IF('Marks Entry'!AQ175=5,'School Profile'!$I$33,IF('Marks Entry'!AQ175=6,'School Profile'!$I$34,IF('Marks Entry'!AQ175=7,'School Profile'!$I$35,IF('Marks Entry'!AQ175=8,'School Profile'!$I$36,IF('Marks Entry'!AQ175=9,'School Profile'!$I$37,IF('Marks Entry'!AQ175=10,'School Profile'!$I$38,IF('Marks Entry'!AQ175=11,'School Profile'!$I$39,"")))))))))))))</f>
        <v/>
      </c>
      <c r="CT175" s="68" t="str">
        <f>IF('School Profile'!$D$20="NO","",IF('Marks Entry'!AR175="","",'Marks Entry'!AR175))</f>
        <v/>
      </c>
      <c r="CU175" s="68" t="str">
        <f>IF('School Profile'!$D$20="NO","",IF('Marks Entry'!AS175="","",'Marks Entry'!AS175))</f>
        <v/>
      </c>
      <c r="CV175" s="68" t="str">
        <f>IF('School Profile'!$D$20="NO","",IF('Marks Entry'!AT175="","",'Marks Entry'!AT175))</f>
        <v/>
      </c>
      <c r="CW175" s="514" t="str">
        <f>IF('School Profile'!$D$20="NO","",IF(AND(CT175="",CU175="",CV175=""),"",SUM(CT175:CV175)))</f>
        <v/>
      </c>
      <c r="CX175" s="68" t="str">
        <f>IF('School Profile'!$D$20="NO","",IF('Marks Entry'!AU175="","",'Marks Entry'!AU175))</f>
        <v/>
      </c>
      <c r="CY175" s="68" t="str">
        <f>IF('School Profile'!$D$20="NO","",IF('Marks Entry'!AV175="","",'Marks Entry'!AV175))</f>
        <v/>
      </c>
      <c r="CZ175" s="515" t="str">
        <f>IF('School Profile'!$D$20="NO","",IF(AND(CX175="",CY175=""),"",SUM(CX175,CY175)))</f>
        <v/>
      </c>
      <c r="DA175" s="69" t="str">
        <f>IF('School Profile'!$D$20="NO","",IF(AND(CW175="",CZ175=""),"",SUM(CW175+CZ175)))</f>
        <v/>
      </c>
      <c r="DB175" s="68" t="str">
        <f>IF('School Profile'!$D$20="NO","",IF('Marks Entry'!AW175="","",'Marks Entry'!AW175))</f>
        <v/>
      </c>
      <c r="DC175" s="68" t="str">
        <f>IF('School Profile'!$D$20="NO","",IF('Marks Entry'!AX175="","",'Marks Entry'!AX175))</f>
        <v/>
      </c>
      <c r="DD175" s="515" t="str">
        <f>IF('School Profile'!$D$20="NO","",IF(AND(DB175="",DC175=""),"",SUM(DB175,DC175)))</f>
        <v/>
      </c>
      <c r="DE175" s="96" t="str">
        <f>IF('School Profile'!$D$20="NO","",IF(AND(DA175="",DD175=""),"",SUM(DA175,DD175)))</f>
        <v/>
      </c>
      <c r="DF175" s="532">
        <f t="shared" si="387"/>
        <v>0</v>
      </c>
      <c r="DG175" s="65">
        <f t="shared" si="388"/>
        <v>0</v>
      </c>
      <c r="DH175" s="66" t="str">
        <f t="shared" si="389"/>
        <v/>
      </c>
      <c r="DI175" s="65" t="str">
        <f t="shared" si="390"/>
        <v/>
      </c>
      <c r="DJ175" s="65" t="str">
        <f t="shared" si="391"/>
        <v/>
      </c>
      <c r="DK175" s="65" t="str">
        <f t="shared" si="392"/>
        <v/>
      </c>
      <c r="DL175" s="97" t="str">
        <f t="shared" si="432"/>
        <v/>
      </c>
      <c r="DM175" s="97" t="str">
        <f t="shared" si="433"/>
        <v/>
      </c>
      <c r="DN175" s="97" t="str">
        <f t="shared" si="434"/>
        <v/>
      </c>
      <c r="DO175" s="97" t="str">
        <f t="shared" si="435"/>
        <v/>
      </c>
      <c r="DP175" s="97" t="str">
        <f t="shared" si="436"/>
        <v/>
      </c>
      <c r="DQ175" s="97" t="str">
        <f t="shared" si="437"/>
        <v/>
      </c>
      <c r="DR175" s="97" t="str">
        <f t="shared" si="438"/>
        <v/>
      </c>
      <c r="DS175" s="98">
        <f t="shared" si="439"/>
        <v>0</v>
      </c>
      <c r="DT175" s="98">
        <f t="shared" si="440"/>
        <v>0</v>
      </c>
      <c r="DU175" s="98">
        <f t="shared" si="441"/>
        <v>0</v>
      </c>
      <c r="DV175" s="98">
        <f t="shared" si="442"/>
        <v>0</v>
      </c>
      <c r="DW175" s="98">
        <f t="shared" si="443"/>
        <v>0</v>
      </c>
      <c r="DX175" s="98" t="str">
        <f t="shared" si="444"/>
        <v/>
      </c>
      <c r="DY175" s="99" t="str">
        <f t="shared" si="445"/>
        <v/>
      </c>
      <c r="DZ175" s="74" t="str">
        <f>IF('Marks Entry'!AY175="","",'Marks Entry'!AY175)</f>
        <v/>
      </c>
      <c r="EA175" s="74" t="str">
        <f>IF('Marks Entry'!AZ175="","",'Marks Entry'!AZ175)</f>
        <v/>
      </c>
      <c r="EB175" s="74" t="str">
        <f>IF('Marks Entry'!BA175="","",'Marks Entry'!BA175)</f>
        <v/>
      </c>
      <c r="EC175" s="527" t="str">
        <f t="shared" si="393"/>
        <v/>
      </c>
      <c r="ED175" s="74" t="str">
        <f>IF('Marks Entry'!BB175="","",'Marks Entry'!BB175)</f>
        <v/>
      </c>
      <c r="EE175" s="528" t="str">
        <f t="shared" si="394"/>
        <v/>
      </c>
      <c r="EF175" s="74" t="str">
        <f>IF('Marks Entry'!BC175="","",'Marks Entry'!BC175)</f>
        <v/>
      </c>
      <c r="EG175" s="530" t="str">
        <f t="shared" si="395"/>
        <v/>
      </c>
      <c r="EH175" s="368" t="str">
        <f t="shared" si="446"/>
        <v/>
      </c>
      <c r="EI175" s="65">
        <f t="shared" si="447"/>
        <v>0</v>
      </c>
      <c r="EJ175" s="65">
        <f t="shared" si="448"/>
        <v>0</v>
      </c>
      <c r="EK175" s="66" t="str">
        <f t="shared" si="449"/>
        <v/>
      </c>
      <c r="EL175" s="74" t="str">
        <f>IF('Marks Entry'!BD175="","",'Marks Entry'!BD175)</f>
        <v/>
      </c>
      <c r="EM175" s="74" t="str">
        <f>IF('Marks Entry'!BE175="","",'Marks Entry'!BE175)</f>
        <v/>
      </c>
      <c r="EN175" s="74" t="str">
        <f>IF('Marks Entry'!BF175="","",'Marks Entry'!BF175)</f>
        <v/>
      </c>
      <c r="EO175" s="527" t="str">
        <f t="shared" si="396"/>
        <v/>
      </c>
      <c r="EP175" s="74" t="str">
        <f>IF('Marks Entry'!BG175="","",'Marks Entry'!BG175)</f>
        <v/>
      </c>
      <c r="EQ175" s="74" t="str">
        <f>IF('Marks Entry'!BH175="","",'Marks Entry'!BH175)</f>
        <v/>
      </c>
      <c r="ER175" s="528" t="str">
        <f t="shared" si="397"/>
        <v/>
      </c>
      <c r="ES175" s="529" t="str">
        <f t="shared" si="398"/>
        <v/>
      </c>
      <c r="ET175" s="74" t="str">
        <f>IF('Marks Entry'!BI175="","",'Marks Entry'!BI175)</f>
        <v/>
      </c>
      <c r="EU175" s="74" t="str">
        <f>IF('Marks Entry'!BJ175="","",'Marks Entry'!BJ175)</f>
        <v/>
      </c>
      <c r="EV175" s="528" t="str">
        <f t="shared" si="399"/>
        <v/>
      </c>
      <c r="EW175" s="530" t="str">
        <f t="shared" si="400"/>
        <v/>
      </c>
      <c r="EX175" s="368" t="str">
        <f t="shared" si="450"/>
        <v/>
      </c>
      <c r="EY175" s="65">
        <f t="shared" si="451"/>
        <v>0</v>
      </c>
      <c r="EZ175" s="65">
        <f t="shared" si="452"/>
        <v>0</v>
      </c>
      <c r="FA175" s="66" t="str">
        <f t="shared" si="453"/>
        <v/>
      </c>
      <c r="FB175" s="74" t="str">
        <f>IF('Marks Entry'!BK175="","",'Marks Entry'!BK175)</f>
        <v/>
      </c>
      <c r="FC175" s="74" t="str">
        <f>IF('Marks Entry'!BL175="","",'Marks Entry'!BL175)</f>
        <v/>
      </c>
      <c r="FD175" s="74" t="str">
        <f>IF('Marks Entry'!BM175="","",'Marks Entry'!BM175)</f>
        <v/>
      </c>
      <c r="FE175" s="74" t="str">
        <f>IF('Marks Entry'!BN175="","",'Marks Entry'!BN175)</f>
        <v/>
      </c>
      <c r="FF175" s="74" t="str">
        <f>IF('Marks Entry'!BO175="","",'Marks Entry'!BO175)</f>
        <v/>
      </c>
      <c r="FG175" s="74" t="str">
        <f>IF('Marks Entry'!BP175="","",'Marks Entry'!BP175)</f>
        <v/>
      </c>
      <c r="FH175" s="527" t="str">
        <f t="shared" si="401"/>
        <v/>
      </c>
      <c r="FI175" s="74" t="str">
        <f>IF('Marks Entry'!BQ175="","",'Marks Entry'!BQ175)</f>
        <v/>
      </c>
      <c r="FJ175" s="74" t="str">
        <f>IF('Marks Entry'!BR175="","",'Marks Entry'!BR175)</f>
        <v/>
      </c>
      <c r="FK175" s="528" t="str">
        <f t="shared" si="402"/>
        <v/>
      </c>
      <c r="FL175" s="529" t="str">
        <f t="shared" si="403"/>
        <v/>
      </c>
      <c r="FM175" s="74" t="str">
        <f>IF('Marks Entry'!BS175="","",'Marks Entry'!BS175)</f>
        <v/>
      </c>
      <c r="FN175" s="74" t="str">
        <f>IF('Marks Entry'!BT175="","",'Marks Entry'!BT175)</f>
        <v/>
      </c>
      <c r="FO175" s="528" t="str">
        <f t="shared" si="404"/>
        <v/>
      </c>
      <c r="FP175" s="530" t="str">
        <f t="shared" si="405"/>
        <v/>
      </c>
      <c r="FQ175" s="368" t="str">
        <f t="shared" si="454"/>
        <v/>
      </c>
      <c r="FR175" s="65">
        <f t="shared" si="455"/>
        <v>0</v>
      </c>
      <c r="FS175" s="65">
        <f t="shared" si="456"/>
        <v>0</v>
      </c>
      <c r="FT175" s="66" t="str">
        <f t="shared" si="457"/>
        <v/>
      </c>
      <c r="FU175" s="74" t="str">
        <f>IF('Marks Entry'!BU175="","",'Marks Entry'!BU175)</f>
        <v/>
      </c>
      <c r="FV175" s="74" t="str">
        <f>IF('Marks Entry'!BV175="","",'Marks Entry'!BV175)</f>
        <v/>
      </c>
      <c r="FW175" s="74" t="str">
        <f>IF('Marks Entry'!BW175="","",'Marks Entry'!BW175)</f>
        <v/>
      </c>
      <c r="FX175" s="75" t="str">
        <f t="shared" si="406"/>
        <v/>
      </c>
      <c r="FY175" s="368" t="str">
        <f t="shared" si="458"/>
        <v/>
      </c>
      <c r="FZ175" s="65">
        <f t="shared" si="459"/>
        <v>0</v>
      </c>
      <c r="GA175" s="66">
        <f t="shared" si="460"/>
        <v>0</v>
      </c>
      <c r="GB175" s="66" t="str">
        <f t="shared" si="461"/>
        <v/>
      </c>
      <c r="GC175" s="74" t="str">
        <f>IF('Marks Entry'!BX175="","",'Marks Entry'!BX175)</f>
        <v/>
      </c>
      <c r="GD175" s="74" t="str">
        <f>IF('Marks Entry'!BY175="","",'Marks Entry'!BY175)</f>
        <v/>
      </c>
      <c r="GE175" s="74" t="str">
        <f>IF('Marks Entry'!BZ175="","",'Marks Entry'!BZ175)</f>
        <v/>
      </c>
      <c r="GF175" s="75" t="str">
        <f t="shared" si="462"/>
        <v/>
      </c>
      <c r="GG175" s="368" t="str">
        <f t="shared" si="463"/>
        <v/>
      </c>
      <c r="GH175" s="65">
        <f t="shared" si="464"/>
        <v>0</v>
      </c>
      <c r="GI175" s="66">
        <f t="shared" si="465"/>
        <v>0</v>
      </c>
      <c r="GJ175" s="66" t="str">
        <f t="shared" si="466"/>
        <v/>
      </c>
      <c r="GK175" s="100" t="str">
        <f>IF(AND(F175="",B175=""),"",IF('Student DATA Entry'!M172="","",'Student DATA Entry'!M172))</f>
        <v/>
      </c>
      <c r="GL175" s="101" t="str">
        <f>IF(AND(B175="",F175=""),"",IF('Student DATA Entry'!N172="","",'Student DATA Entry'!N172))</f>
        <v/>
      </c>
      <c r="GM175" s="581" t="str">
        <f t="shared" si="467"/>
        <v/>
      </c>
      <c r="GN175" s="94" t="str">
        <f t="shared" si="468"/>
        <v/>
      </c>
      <c r="GO175" s="94" t="str">
        <f t="shared" si="469"/>
        <v/>
      </c>
      <c r="GP175" s="102" t="str">
        <f t="shared" si="498"/>
        <v/>
      </c>
      <c r="GQ175" s="94" t="str">
        <f t="shared" si="470"/>
        <v/>
      </c>
      <c r="GR175" s="103" t="str">
        <f t="shared" si="471"/>
        <v/>
      </c>
      <c r="GS175" s="102" t="str">
        <f t="shared" si="499"/>
        <v/>
      </c>
      <c r="GT175" s="104" t="str">
        <f t="shared" si="472"/>
        <v/>
      </c>
      <c r="GU175" s="94" t="str">
        <f>IF('Marks Entry'!V175=1,GT175,"")</f>
        <v/>
      </c>
      <c r="GV175" s="94" t="str">
        <f>IF('Marks Entry'!V175=2,GT175,"")</f>
        <v/>
      </c>
      <c r="GW175" s="94" t="str">
        <f>IF('Marks Entry'!V175=3,GT175,"")</f>
        <v/>
      </c>
      <c r="GX175" s="94" t="str">
        <f>IF('Marks Entry'!V175=4,GT175,"")</f>
        <v/>
      </c>
      <c r="GY175" s="94" t="str">
        <f>IF('Marks Entry'!V175=5,GT175,"")</f>
        <v/>
      </c>
      <c r="GZ175" s="94" t="str">
        <f t="shared" si="473"/>
        <v/>
      </c>
      <c r="HA175" s="105" t="str">
        <f t="shared" si="500"/>
        <v/>
      </c>
      <c r="HB175" s="94" t="str">
        <f t="shared" si="474"/>
        <v/>
      </c>
      <c r="HC175" s="94" t="str">
        <f t="shared" si="475"/>
        <v/>
      </c>
      <c r="HD175" s="105" t="str">
        <f t="shared" si="501"/>
        <v/>
      </c>
      <c r="HE175" s="94" t="str">
        <f t="shared" si="476"/>
        <v/>
      </c>
      <c r="HF175" s="94" t="str">
        <f t="shared" si="477"/>
        <v/>
      </c>
      <c r="HG175" s="105" t="str">
        <f t="shared" si="502"/>
        <v/>
      </c>
      <c r="HH175" s="94" t="str">
        <f t="shared" si="478"/>
        <v/>
      </c>
      <c r="HI175" s="94" t="str">
        <f t="shared" si="479"/>
        <v/>
      </c>
      <c r="HJ175" s="105" t="str">
        <f t="shared" si="503"/>
        <v/>
      </c>
      <c r="HK175" s="94" t="str">
        <f t="shared" si="480"/>
        <v/>
      </c>
      <c r="HL175" s="94" t="str">
        <f t="shared" si="481"/>
        <v/>
      </c>
      <c r="HM175" s="105" t="str">
        <f t="shared" si="504"/>
        <v/>
      </c>
      <c r="HN175" s="367" t="str">
        <f t="shared" si="482"/>
        <v xml:space="preserve">      </v>
      </c>
      <c r="HO175" s="418" t="str">
        <f t="shared" si="505"/>
        <v xml:space="preserve">      </v>
      </c>
      <c r="HP175" s="367" t="str">
        <f t="shared" si="483"/>
        <v xml:space="preserve">      </v>
      </c>
      <c r="HQ175" s="107" t="str">
        <f t="shared" si="484"/>
        <v xml:space="preserve">      </v>
      </c>
      <c r="HR175" s="366" t="str">
        <f t="shared" si="485"/>
        <v xml:space="preserve">      </v>
      </c>
      <c r="HS175" s="544" t="str">
        <f t="shared" si="506"/>
        <v/>
      </c>
      <c r="HT175" s="542" t="str">
        <f t="shared" si="486"/>
        <v/>
      </c>
      <c r="HU175" s="541" t="str">
        <f t="shared" si="487"/>
        <v/>
      </c>
      <c r="HV175" s="540" t="str">
        <f t="shared" si="488"/>
        <v/>
      </c>
      <c r="HW175" s="537" t="str">
        <f t="shared" si="489"/>
        <v/>
      </c>
      <c r="HX175" s="539" t="str">
        <f t="shared" si="490"/>
        <v/>
      </c>
      <c r="HY175" s="553" t="str">
        <f>IFERROR(IF(OR(HS175="SUPPLEMENTARY",HS175="RE-EXAM"),'Supp. Result Entry'!AQ173,""),"")</f>
        <v/>
      </c>
      <c r="HZ175" s="538" t="str">
        <f t="shared" si="491"/>
        <v/>
      </c>
      <c r="IA175" s="415" t="str">
        <f t="shared" si="492"/>
        <v/>
      </c>
      <c r="IB175" s="415" t="str">
        <f>IF(AND(HZ175="",IA175=""),"",IF(OR(HS175="SUPPLEMENTARY",HS175="RE-EXAM"),'Supp. Result Entry'!AQ173,HS175))</f>
        <v/>
      </c>
      <c r="IC175" s="87"/>
      <c r="IS175" s="109" t="str">
        <f>IF('Supp. Result Entry'!T173="","",'Supp. Result Entry'!$T$4)</f>
        <v/>
      </c>
      <c r="IT175" s="110" t="str">
        <f>IF('Supp. Result Entry'!W173="","",'Supp. Result Entry'!$W$4)</f>
        <v/>
      </c>
      <c r="IU175" s="110" t="str">
        <f>IF('Supp. Result Entry'!Z173="","",'Supp. Result Entry'!$Z$4)</f>
        <v/>
      </c>
      <c r="IV175" s="110" t="str">
        <f>IF('Supp. Result Entry'!AC173="","",'Supp. Result Entry'!$AC$4)</f>
        <v/>
      </c>
      <c r="IW175" s="110" t="str">
        <f>IF('Supp. Result Entry'!AF173="","",'Supp. Result Entry'!$AF$4)</f>
        <v/>
      </c>
      <c r="IX175" s="110" t="str">
        <f>IF('Supp. Result Entry'!AI173="","",'Supp. Result Entry'!$AI$4)</f>
        <v/>
      </c>
      <c r="IY175" s="110" t="str">
        <f>IF('Supp. Result Entry'!AI173="","",'Supp. Result Entry'!$AL$4)</f>
        <v/>
      </c>
      <c r="IZ175" s="110" t="str">
        <f>IF('Supp. Result Entry'!U173="","",'Supp. Result Entry'!U173)</f>
        <v/>
      </c>
      <c r="JA175" s="110" t="str">
        <f>IF('Supp. Result Entry'!X173="","",'Supp. Result Entry'!X173)</f>
        <v/>
      </c>
      <c r="JB175" s="110" t="str">
        <f>IF('Supp. Result Entry'!AA173="","",'Supp. Result Entry'!AA173)</f>
        <v/>
      </c>
      <c r="JC175" s="110" t="str">
        <f>IF('Supp. Result Entry'!AD173="","",'Supp. Result Entry'!AD173)</f>
        <v/>
      </c>
      <c r="JD175" s="110" t="str">
        <f>IF('Supp. Result Entry'!AG173="","",'Supp. Result Entry'!AG173)</f>
        <v/>
      </c>
      <c r="JE175" s="110" t="str">
        <f>IF('Supp. Result Entry'!AJ173="","",'Supp. Result Entry'!AJ173)</f>
        <v/>
      </c>
      <c r="JF175" s="110" t="str">
        <f>IF('Supp. Result Entry'!AM173="","",'Supp. Result Entry'!AM173)</f>
        <v/>
      </c>
      <c r="JG175" s="110" t="str">
        <f>IF('Supp. Result Entry'!V173="","",'Supp. Result Entry'!V173)</f>
        <v/>
      </c>
      <c r="JH175" s="110" t="str">
        <f>IF('Supp. Result Entry'!Y173="","",'Supp. Result Entry'!Y173)</f>
        <v/>
      </c>
      <c r="JI175" s="110" t="str">
        <f>IF('Supp. Result Entry'!AB173="","",'Supp. Result Entry'!AB173)</f>
        <v/>
      </c>
      <c r="JJ175" s="110" t="str">
        <f>IF('Supp. Result Entry'!AE173="","",'Supp. Result Entry'!AE173)</f>
        <v/>
      </c>
      <c r="JK175" s="110" t="str">
        <f>IF('Supp. Result Entry'!AH173="","",'Supp. Result Entry'!AH173)</f>
        <v/>
      </c>
      <c r="JL175" s="110" t="str">
        <f>IF('Supp. Result Entry'!AK173="","",'Supp. Result Entry'!AK173)</f>
        <v/>
      </c>
      <c r="JM175" s="110" t="str">
        <f>IF('Supp. Result Entry'!AN173="","",'Supp. Result Entry'!AN173)</f>
        <v/>
      </c>
      <c r="JN175" s="110">
        <f>COUNTIF('Supp. Result Entry'!K173:Q173,"S")</f>
        <v>0</v>
      </c>
      <c r="JO175" s="110">
        <f t="shared" si="416"/>
        <v>0</v>
      </c>
      <c r="JP175" s="110">
        <f t="shared" si="493"/>
        <v>0</v>
      </c>
      <c r="JQ175" s="110" t="str">
        <f t="shared" si="417"/>
        <v/>
      </c>
      <c r="JR175" s="110" t="str">
        <f t="shared" si="418"/>
        <v/>
      </c>
      <c r="JS175" s="110" t="str">
        <f t="shared" si="419"/>
        <v/>
      </c>
      <c r="JT175" s="110" t="str">
        <f t="shared" si="420"/>
        <v/>
      </c>
      <c r="JU175" s="110" t="str">
        <f t="shared" si="421"/>
        <v/>
      </c>
      <c r="JV175" s="110" t="str">
        <f t="shared" si="422"/>
        <v/>
      </c>
      <c r="JW175" s="110" t="str">
        <f t="shared" si="423"/>
        <v/>
      </c>
      <c r="JX175" s="110" t="str">
        <f t="shared" si="494"/>
        <v/>
      </c>
      <c r="JY175" s="110" t="str">
        <f t="shared" si="495"/>
        <v/>
      </c>
      <c r="JZ175" s="110" t="str">
        <f t="shared" si="424"/>
        <v/>
      </c>
      <c r="KA175" s="108" t="str">
        <f t="shared" si="496"/>
        <v/>
      </c>
    </row>
    <row r="176" spans="1:287" s="108" customFormat="1" ht="21.95" customHeight="1">
      <c r="A176" s="89">
        <v>170</v>
      </c>
      <c r="B176" s="90" t="str">
        <f>IF('Marks Entry'!B176="","",'Marks Entry'!B176)</f>
        <v/>
      </c>
      <c r="C176" s="94" t="str">
        <f>IF('Marks Entry'!D176="","",'Marks Entry'!D176)</f>
        <v/>
      </c>
      <c r="D176" s="91" t="str">
        <f>IF('Marks Entry'!E176="","",'Marks Entry'!E176)</f>
        <v/>
      </c>
      <c r="E176" s="92" t="str">
        <f>IF('Marks Entry'!F176="","",'Marks Entry'!F176)</f>
        <v/>
      </c>
      <c r="F176" s="93" t="str">
        <f>IF('Marks Entry'!G176="","",'Marks Entry'!G176)</f>
        <v/>
      </c>
      <c r="G176" s="93" t="str">
        <f>IF('Marks Entry'!H176="","",'Marks Entry'!H176)</f>
        <v/>
      </c>
      <c r="H176" s="93" t="str">
        <f>IF('Marks Entry'!I176="","",'Marks Entry'!I176)</f>
        <v/>
      </c>
      <c r="I176" s="94" t="str">
        <f>IF('Marks Entry'!J176="","",'Marks Entry'!J176)</f>
        <v/>
      </c>
      <c r="J176" s="95" t="str">
        <f>IF('Marks Entry'!K176="","",'Marks Entry'!K176)</f>
        <v/>
      </c>
      <c r="K176" s="68" t="str">
        <f>IF('Marks Entry'!L176="","",'Marks Entry'!L176)</f>
        <v/>
      </c>
      <c r="L176" s="68" t="str">
        <f>IF('Marks Entry'!M176="","",'Marks Entry'!M176)</f>
        <v/>
      </c>
      <c r="M176" s="68" t="str">
        <f>IF('Marks Entry'!N176="","",'Marks Entry'!N176)</f>
        <v/>
      </c>
      <c r="N176" s="514" t="str">
        <f t="shared" si="425"/>
        <v/>
      </c>
      <c r="O176" s="68" t="str">
        <f>IF('Marks Entry'!O176="","",'Marks Entry'!O176)</f>
        <v/>
      </c>
      <c r="P176" s="515" t="str">
        <f t="shared" si="426"/>
        <v/>
      </c>
      <c r="Q176" s="68" t="str">
        <f>IF('Marks Entry'!P176="","",'Marks Entry'!P176)</f>
        <v/>
      </c>
      <c r="R176" s="96" t="str">
        <f t="shared" si="427"/>
        <v/>
      </c>
      <c r="S176" s="65">
        <f t="shared" si="428"/>
        <v>0</v>
      </c>
      <c r="T176" s="65">
        <f t="shared" si="429"/>
        <v>0</v>
      </c>
      <c r="U176" s="66" t="str">
        <f t="shared" si="339"/>
        <v/>
      </c>
      <c r="V176" s="65" t="str">
        <f t="shared" si="340"/>
        <v/>
      </c>
      <c r="W176" s="65" t="str">
        <f t="shared" si="430"/>
        <v/>
      </c>
      <c r="X176" s="65" t="str">
        <f t="shared" si="341"/>
        <v/>
      </c>
      <c r="Y176" s="68" t="str">
        <f>IF('Marks Entry'!Q176="","",'Marks Entry'!Q176)</f>
        <v/>
      </c>
      <c r="Z176" s="68" t="str">
        <f>IF('Marks Entry'!R176="","",'Marks Entry'!R176)</f>
        <v/>
      </c>
      <c r="AA176" s="68" t="str">
        <f>IF('Marks Entry'!S176="","",'Marks Entry'!S176)</f>
        <v/>
      </c>
      <c r="AB176" s="514" t="str">
        <f t="shared" si="342"/>
        <v/>
      </c>
      <c r="AC176" s="68" t="str">
        <f>IF('Marks Entry'!T176="","",'Marks Entry'!T176)</f>
        <v/>
      </c>
      <c r="AD176" s="515" t="str">
        <f t="shared" si="343"/>
        <v/>
      </c>
      <c r="AE176" s="68" t="str">
        <f>IF('Marks Entry'!U176="","",'Marks Entry'!U176)</f>
        <v/>
      </c>
      <c r="AF176" s="96" t="str">
        <f t="shared" si="344"/>
        <v/>
      </c>
      <c r="AG176" s="65">
        <f t="shared" si="345"/>
        <v>0</v>
      </c>
      <c r="AH176" s="65">
        <f t="shared" si="346"/>
        <v>0</v>
      </c>
      <c r="AI176" s="66" t="str">
        <f t="shared" si="347"/>
        <v/>
      </c>
      <c r="AJ176" s="65" t="str">
        <f t="shared" si="348"/>
        <v/>
      </c>
      <c r="AK176" s="65" t="str">
        <f t="shared" si="349"/>
        <v/>
      </c>
      <c r="AL176" s="65" t="str">
        <f t="shared" si="350"/>
        <v/>
      </c>
      <c r="AM176" s="524" t="str">
        <f>IF('Marks Entry'!V176="","",IF('Marks Entry'!V176=1,'School Profile'!$I$9,IF('Marks Entry'!V176=2,'School Profile'!$I$10,IF('Marks Entry'!V176=3,'School Profile'!$I$11,IF('Marks Entry'!V176=4,'School Profile'!$I$12,IF('Marks Entry'!V176=5,'School Profile'!$I$13,IF('Marks Entry'!V176=6,'School Profile'!$I$14,"")))))))</f>
        <v/>
      </c>
      <c r="AN176" s="68" t="str">
        <f>IF('Marks Entry'!W176="","",'Marks Entry'!W176)</f>
        <v/>
      </c>
      <c r="AO176" s="68" t="str">
        <f>IF('Marks Entry'!X176="","",'Marks Entry'!X176)</f>
        <v/>
      </c>
      <c r="AP176" s="68" t="str">
        <f>IF('Marks Entry'!Y176="","",'Marks Entry'!Y176)</f>
        <v/>
      </c>
      <c r="AQ176" s="514" t="str">
        <f t="shared" si="351"/>
        <v/>
      </c>
      <c r="AR176" s="68" t="str">
        <f>IF('Marks Entry'!Z176="","",'Marks Entry'!Z176)</f>
        <v/>
      </c>
      <c r="AS176" s="515" t="str">
        <f t="shared" si="352"/>
        <v/>
      </c>
      <c r="AT176" s="68" t="str">
        <f>IF('Marks Entry'!AA176="","",'Marks Entry'!AA176)</f>
        <v/>
      </c>
      <c r="AU176" s="96" t="str">
        <f t="shared" si="353"/>
        <v/>
      </c>
      <c r="AV176" s="65">
        <f t="shared" si="354"/>
        <v>0</v>
      </c>
      <c r="AW176" s="65">
        <f t="shared" si="355"/>
        <v>0</v>
      </c>
      <c r="AX176" s="66" t="str">
        <f t="shared" si="356"/>
        <v/>
      </c>
      <c r="AY176" s="65" t="str">
        <f t="shared" si="357"/>
        <v/>
      </c>
      <c r="AZ176" s="65" t="str">
        <f t="shared" si="358"/>
        <v/>
      </c>
      <c r="BA176" s="65" t="str">
        <f t="shared" si="359"/>
        <v/>
      </c>
      <c r="BB176" s="68" t="str">
        <f>IF('Marks Entry'!AB176="","",'Marks Entry'!AB176)</f>
        <v/>
      </c>
      <c r="BC176" s="68" t="str">
        <f>IF('Marks Entry'!AC176="","",'Marks Entry'!AC176)</f>
        <v/>
      </c>
      <c r="BD176" s="68" t="str">
        <f>IF('Marks Entry'!AD176="","",'Marks Entry'!AD176)</f>
        <v/>
      </c>
      <c r="BE176" s="514" t="str">
        <f t="shared" si="360"/>
        <v/>
      </c>
      <c r="BF176" s="68" t="str">
        <f>IF('Marks Entry'!AE176="","",'Marks Entry'!AE176)</f>
        <v/>
      </c>
      <c r="BG176" s="515" t="str">
        <f t="shared" si="361"/>
        <v/>
      </c>
      <c r="BH176" s="68" t="str">
        <f>IF('Marks Entry'!AF176="","",'Marks Entry'!AF176)</f>
        <v/>
      </c>
      <c r="BI176" s="96" t="str">
        <f t="shared" si="362"/>
        <v/>
      </c>
      <c r="BJ176" s="65">
        <f t="shared" si="363"/>
        <v>0</v>
      </c>
      <c r="BK176" s="65">
        <f t="shared" si="431"/>
        <v>0</v>
      </c>
      <c r="BL176" s="66" t="str">
        <f t="shared" si="364"/>
        <v/>
      </c>
      <c r="BM176" s="65" t="str">
        <f t="shared" si="365"/>
        <v/>
      </c>
      <c r="BN176" s="65" t="str">
        <f t="shared" si="366"/>
        <v/>
      </c>
      <c r="BO176" s="65" t="str">
        <f t="shared" si="367"/>
        <v/>
      </c>
      <c r="BP176" s="68" t="str">
        <f>IF('Marks Entry'!AG176="","",'Marks Entry'!AG176)</f>
        <v/>
      </c>
      <c r="BQ176" s="68" t="str">
        <f>IF('Marks Entry'!AH176="","",'Marks Entry'!AH176)</f>
        <v/>
      </c>
      <c r="BR176" s="68" t="str">
        <f>IF('Marks Entry'!AI176="","",'Marks Entry'!AI176)</f>
        <v/>
      </c>
      <c r="BS176" s="514" t="str">
        <f t="shared" si="368"/>
        <v/>
      </c>
      <c r="BT176" s="68" t="str">
        <f>IF('Marks Entry'!AJ176="","",'Marks Entry'!AJ176)</f>
        <v/>
      </c>
      <c r="BU176" s="515" t="str">
        <f t="shared" si="369"/>
        <v/>
      </c>
      <c r="BV176" s="68" t="str">
        <f>IF('Marks Entry'!AK176="","",'Marks Entry'!AK176)</f>
        <v/>
      </c>
      <c r="BW176" s="96" t="str">
        <f t="shared" si="370"/>
        <v/>
      </c>
      <c r="BX176" s="65">
        <f t="shared" si="371"/>
        <v>0</v>
      </c>
      <c r="BY176" s="65">
        <f t="shared" si="372"/>
        <v>0</v>
      </c>
      <c r="BZ176" s="66" t="str">
        <f t="shared" si="373"/>
        <v/>
      </c>
      <c r="CA176" s="65" t="str">
        <f t="shared" si="374"/>
        <v/>
      </c>
      <c r="CB176" s="65" t="str">
        <f t="shared" si="375"/>
        <v/>
      </c>
      <c r="CC176" s="65" t="str">
        <f t="shared" si="376"/>
        <v/>
      </c>
      <c r="CD176" s="66">
        <f t="shared" si="497"/>
        <v>0</v>
      </c>
      <c r="CE176" s="68" t="str">
        <f>IF('Marks Entry'!AL176="","",'Marks Entry'!AL176)</f>
        <v/>
      </c>
      <c r="CF176" s="68" t="str">
        <f>IF('Marks Entry'!AM176="","",'Marks Entry'!AM176)</f>
        <v/>
      </c>
      <c r="CG176" s="68" t="str">
        <f>IF('Marks Entry'!AN176="","",'Marks Entry'!AN176)</f>
        <v/>
      </c>
      <c r="CH176" s="514" t="str">
        <f t="shared" si="378"/>
        <v/>
      </c>
      <c r="CI176" s="68" t="str">
        <f>IF('Marks Entry'!AO176="","",'Marks Entry'!AO176)</f>
        <v/>
      </c>
      <c r="CJ176" s="515" t="str">
        <f t="shared" si="379"/>
        <v/>
      </c>
      <c r="CK176" s="68" t="str">
        <f>IF('Marks Entry'!AP176="","",'Marks Entry'!AP176)</f>
        <v/>
      </c>
      <c r="CL176" s="96" t="str">
        <f t="shared" si="380"/>
        <v/>
      </c>
      <c r="CM176" s="65">
        <f t="shared" si="381"/>
        <v>0</v>
      </c>
      <c r="CN176" s="65">
        <f t="shared" si="382"/>
        <v>0</v>
      </c>
      <c r="CO176" s="66" t="str">
        <f t="shared" si="383"/>
        <v/>
      </c>
      <c r="CP176" s="65" t="str">
        <f t="shared" si="384"/>
        <v/>
      </c>
      <c r="CQ176" s="65" t="str">
        <f t="shared" si="385"/>
        <v/>
      </c>
      <c r="CR176" s="65" t="str">
        <f t="shared" si="386"/>
        <v/>
      </c>
      <c r="CS176" s="616" t="str">
        <f>IF('School Profile'!$D$20="NO","",IF('Marks Entry'!AQ176="","",IF('Marks Entry'!AQ176=1,'School Profile'!$I$29,IF('Marks Entry'!AQ176=2,'School Profile'!$I$30,IF('Marks Entry'!AQ176=3,'School Profile'!$I$31,IF('Marks Entry'!AQ176=4,'School Profile'!$I$32,IF('Marks Entry'!AQ176=5,'School Profile'!$I$33,IF('Marks Entry'!AQ176=6,'School Profile'!$I$34,IF('Marks Entry'!AQ176=7,'School Profile'!$I$35,IF('Marks Entry'!AQ176=8,'School Profile'!$I$36,IF('Marks Entry'!AQ176=9,'School Profile'!$I$37,IF('Marks Entry'!AQ176=10,'School Profile'!$I$38,IF('Marks Entry'!AQ176=11,'School Profile'!$I$39,"")))))))))))))</f>
        <v/>
      </c>
      <c r="CT176" s="68" t="str">
        <f>IF('School Profile'!$D$20="NO","",IF('Marks Entry'!AR176="","",'Marks Entry'!AR176))</f>
        <v/>
      </c>
      <c r="CU176" s="68" t="str">
        <f>IF('School Profile'!$D$20="NO","",IF('Marks Entry'!AS176="","",'Marks Entry'!AS176))</f>
        <v/>
      </c>
      <c r="CV176" s="68" t="str">
        <f>IF('School Profile'!$D$20="NO","",IF('Marks Entry'!AT176="","",'Marks Entry'!AT176))</f>
        <v/>
      </c>
      <c r="CW176" s="514" t="str">
        <f>IF('School Profile'!$D$20="NO","",IF(AND(CT176="",CU176="",CV176=""),"",SUM(CT176:CV176)))</f>
        <v/>
      </c>
      <c r="CX176" s="68" t="str">
        <f>IF('School Profile'!$D$20="NO","",IF('Marks Entry'!AU176="","",'Marks Entry'!AU176))</f>
        <v/>
      </c>
      <c r="CY176" s="68" t="str">
        <f>IF('School Profile'!$D$20="NO","",IF('Marks Entry'!AV176="","",'Marks Entry'!AV176))</f>
        <v/>
      </c>
      <c r="CZ176" s="515" t="str">
        <f>IF('School Profile'!$D$20="NO","",IF(AND(CX176="",CY176=""),"",SUM(CX176,CY176)))</f>
        <v/>
      </c>
      <c r="DA176" s="69" t="str">
        <f>IF('School Profile'!$D$20="NO","",IF(AND(CW176="",CZ176=""),"",SUM(CW176+CZ176)))</f>
        <v/>
      </c>
      <c r="DB176" s="68" t="str">
        <f>IF('School Profile'!$D$20="NO","",IF('Marks Entry'!AW176="","",'Marks Entry'!AW176))</f>
        <v/>
      </c>
      <c r="DC176" s="68" t="str">
        <f>IF('School Profile'!$D$20="NO","",IF('Marks Entry'!AX176="","",'Marks Entry'!AX176))</f>
        <v/>
      </c>
      <c r="DD176" s="515" t="str">
        <f>IF('School Profile'!$D$20="NO","",IF(AND(DB176="",DC176=""),"",SUM(DB176,DC176)))</f>
        <v/>
      </c>
      <c r="DE176" s="96" t="str">
        <f>IF('School Profile'!$D$20="NO","",IF(AND(DA176="",DD176=""),"",SUM(DA176,DD176)))</f>
        <v/>
      </c>
      <c r="DF176" s="532">
        <f t="shared" si="387"/>
        <v>0</v>
      </c>
      <c r="DG176" s="65">
        <f t="shared" si="388"/>
        <v>0</v>
      </c>
      <c r="DH176" s="66" t="str">
        <f t="shared" si="389"/>
        <v/>
      </c>
      <c r="DI176" s="65" t="str">
        <f t="shared" si="390"/>
        <v/>
      </c>
      <c r="DJ176" s="65" t="str">
        <f t="shared" si="391"/>
        <v/>
      </c>
      <c r="DK176" s="65" t="str">
        <f t="shared" si="392"/>
        <v/>
      </c>
      <c r="DL176" s="97" t="str">
        <f t="shared" si="432"/>
        <v/>
      </c>
      <c r="DM176" s="97" t="str">
        <f t="shared" si="433"/>
        <v/>
      </c>
      <c r="DN176" s="97" t="str">
        <f t="shared" si="434"/>
        <v/>
      </c>
      <c r="DO176" s="97" t="str">
        <f t="shared" si="435"/>
        <v/>
      </c>
      <c r="DP176" s="97" t="str">
        <f t="shared" si="436"/>
        <v/>
      </c>
      <c r="DQ176" s="97" t="str">
        <f t="shared" si="437"/>
        <v/>
      </c>
      <c r="DR176" s="97" t="str">
        <f t="shared" si="438"/>
        <v/>
      </c>
      <c r="DS176" s="98">
        <f t="shared" si="439"/>
        <v>0</v>
      </c>
      <c r="DT176" s="98">
        <f t="shared" si="440"/>
        <v>0</v>
      </c>
      <c r="DU176" s="98">
        <f t="shared" si="441"/>
        <v>0</v>
      </c>
      <c r="DV176" s="98">
        <f t="shared" si="442"/>
        <v>0</v>
      </c>
      <c r="DW176" s="98">
        <f t="shared" si="443"/>
        <v>0</v>
      </c>
      <c r="DX176" s="98" t="str">
        <f t="shared" si="444"/>
        <v/>
      </c>
      <c r="DY176" s="99" t="str">
        <f t="shared" si="445"/>
        <v/>
      </c>
      <c r="DZ176" s="74" t="str">
        <f>IF('Marks Entry'!AY176="","",'Marks Entry'!AY176)</f>
        <v/>
      </c>
      <c r="EA176" s="74" t="str">
        <f>IF('Marks Entry'!AZ176="","",'Marks Entry'!AZ176)</f>
        <v/>
      </c>
      <c r="EB176" s="74" t="str">
        <f>IF('Marks Entry'!BA176="","",'Marks Entry'!BA176)</f>
        <v/>
      </c>
      <c r="EC176" s="527" t="str">
        <f t="shared" si="393"/>
        <v/>
      </c>
      <c r="ED176" s="74" t="str">
        <f>IF('Marks Entry'!BB176="","",'Marks Entry'!BB176)</f>
        <v/>
      </c>
      <c r="EE176" s="528" t="str">
        <f t="shared" si="394"/>
        <v/>
      </c>
      <c r="EF176" s="74" t="str">
        <f>IF('Marks Entry'!BC176="","",'Marks Entry'!BC176)</f>
        <v/>
      </c>
      <c r="EG176" s="530" t="str">
        <f t="shared" si="395"/>
        <v/>
      </c>
      <c r="EH176" s="368" t="str">
        <f t="shared" si="446"/>
        <v/>
      </c>
      <c r="EI176" s="65">
        <f t="shared" si="447"/>
        <v>0</v>
      </c>
      <c r="EJ176" s="65">
        <f t="shared" si="448"/>
        <v>0</v>
      </c>
      <c r="EK176" s="66" t="str">
        <f t="shared" si="449"/>
        <v/>
      </c>
      <c r="EL176" s="74" t="str">
        <f>IF('Marks Entry'!BD176="","",'Marks Entry'!BD176)</f>
        <v/>
      </c>
      <c r="EM176" s="74" t="str">
        <f>IF('Marks Entry'!BE176="","",'Marks Entry'!BE176)</f>
        <v/>
      </c>
      <c r="EN176" s="74" t="str">
        <f>IF('Marks Entry'!BF176="","",'Marks Entry'!BF176)</f>
        <v/>
      </c>
      <c r="EO176" s="527" t="str">
        <f t="shared" si="396"/>
        <v/>
      </c>
      <c r="EP176" s="74" t="str">
        <f>IF('Marks Entry'!BG176="","",'Marks Entry'!BG176)</f>
        <v/>
      </c>
      <c r="EQ176" s="74" t="str">
        <f>IF('Marks Entry'!BH176="","",'Marks Entry'!BH176)</f>
        <v/>
      </c>
      <c r="ER176" s="528" t="str">
        <f t="shared" si="397"/>
        <v/>
      </c>
      <c r="ES176" s="529" t="str">
        <f t="shared" si="398"/>
        <v/>
      </c>
      <c r="ET176" s="74" t="str">
        <f>IF('Marks Entry'!BI176="","",'Marks Entry'!BI176)</f>
        <v/>
      </c>
      <c r="EU176" s="74" t="str">
        <f>IF('Marks Entry'!BJ176="","",'Marks Entry'!BJ176)</f>
        <v/>
      </c>
      <c r="EV176" s="528" t="str">
        <f t="shared" si="399"/>
        <v/>
      </c>
      <c r="EW176" s="530" t="str">
        <f t="shared" si="400"/>
        <v/>
      </c>
      <c r="EX176" s="368" t="str">
        <f t="shared" si="450"/>
        <v/>
      </c>
      <c r="EY176" s="65">
        <f t="shared" si="451"/>
        <v>0</v>
      </c>
      <c r="EZ176" s="65">
        <f t="shared" si="452"/>
        <v>0</v>
      </c>
      <c r="FA176" s="66" t="str">
        <f t="shared" si="453"/>
        <v/>
      </c>
      <c r="FB176" s="74" t="str">
        <f>IF('Marks Entry'!BK176="","",'Marks Entry'!BK176)</f>
        <v/>
      </c>
      <c r="FC176" s="74" t="str">
        <f>IF('Marks Entry'!BL176="","",'Marks Entry'!BL176)</f>
        <v/>
      </c>
      <c r="FD176" s="74" t="str">
        <f>IF('Marks Entry'!BM176="","",'Marks Entry'!BM176)</f>
        <v/>
      </c>
      <c r="FE176" s="74" t="str">
        <f>IF('Marks Entry'!BN176="","",'Marks Entry'!BN176)</f>
        <v/>
      </c>
      <c r="FF176" s="74" t="str">
        <f>IF('Marks Entry'!BO176="","",'Marks Entry'!BO176)</f>
        <v/>
      </c>
      <c r="FG176" s="74" t="str">
        <f>IF('Marks Entry'!BP176="","",'Marks Entry'!BP176)</f>
        <v/>
      </c>
      <c r="FH176" s="527" t="str">
        <f t="shared" si="401"/>
        <v/>
      </c>
      <c r="FI176" s="74" t="str">
        <f>IF('Marks Entry'!BQ176="","",'Marks Entry'!BQ176)</f>
        <v/>
      </c>
      <c r="FJ176" s="74" t="str">
        <f>IF('Marks Entry'!BR176="","",'Marks Entry'!BR176)</f>
        <v/>
      </c>
      <c r="FK176" s="528" t="str">
        <f t="shared" si="402"/>
        <v/>
      </c>
      <c r="FL176" s="529" t="str">
        <f t="shared" si="403"/>
        <v/>
      </c>
      <c r="FM176" s="74" t="str">
        <f>IF('Marks Entry'!BS176="","",'Marks Entry'!BS176)</f>
        <v/>
      </c>
      <c r="FN176" s="74" t="str">
        <f>IF('Marks Entry'!BT176="","",'Marks Entry'!BT176)</f>
        <v/>
      </c>
      <c r="FO176" s="528" t="str">
        <f t="shared" si="404"/>
        <v/>
      </c>
      <c r="FP176" s="530" t="str">
        <f t="shared" si="405"/>
        <v/>
      </c>
      <c r="FQ176" s="368" t="str">
        <f t="shared" si="454"/>
        <v/>
      </c>
      <c r="FR176" s="65">
        <f t="shared" si="455"/>
        <v>0</v>
      </c>
      <c r="FS176" s="65">
        <f t="shared" si="456"/>
        <v>0</v>
      </c>
      <c r="FT176" s="66" t="str">
        <f t="shared" si="457"/>
        <v/>
      </c>
      <c r="FU176" s="74" t="str">
        <f>IF('Marks Entry'!BU176="","",'Marks Entry'!BU176)</f>
        <v/>
      </c>
      <c r="FV176" s="74" t="str">
        <f>IF('Marks Entry'!BV176="","",'Marks Entry'!BV176)</f>
        <v/>
      </c>
      <c r="FW176" s="74" t="str">
        <f>IF('Marks Entry'!BW176="","",'Marks Entry'!BW176)</f>
        <v/>
      </c>
      <c r="FX176" s="75" t="str">
        <f t="shared" si="406"/>
        <v/>
      </c>
      <c r="FY176" s="368" t="str">
        <f t="shared" si="458"/>
        <v/>
      </c>
      <c r="FZ176" s="65">
        <f t="shared" si="459"/>
        <v>0</v>
      </c>
      <c r="GA176" s="66">
        <f t="shared" si="460"/>
        <v>0</v>
      </c>
      <c r="GB176" s="66" t="str">
        <f t="shared" si="461"/>
        <v/>
      </c>
      <c r="GC176" s="74" t="str">
        <f>IF('Marks Entry'!BX176="","",'Marks Entry'!BX176)</f>
        <v/>
      </c>
      <c r="GD176" s="74" t="str">
        <f>IF('Marks Entry'!BY176="","",'Marks Entry'!BY176)</f>
        <v/>
      </c>
      <c r="GE176" s="74" t="str">
        <f>IF('Marks Entry'!BZ176="","",'Marks Entry'!BZ176)</f>
        <v/>
      </c>
      <c r="GF176" s="75" t="str">
        <f t="shared" si="462"/>
        <v/>
      </c>
      <c r="GG176" s="368" t="str">
        <f t="shared" si="463"/>
        <v/>
      </c>
      <c r="GH176" s="65">
        <f t="shared" si="464"/>
        <v>0</v>
      </c>
      <c r="GI176" s="66">
        <f t="shared" si="465"/>
        <v>0</v>
      </c>
      <c r="GJ176" s="66" t="str">
        <f t="shared" si="466"/>
        <v/>
      </c>
      <c r="GK176" s="100" t="str">
        <f>IF(AND(F176="",B176=""),"",IF('Student DATA Entry'!M173="","",'Student DATA Entry'!M173))</f>
        <v/>
      </c>
      <c r="GL176" s="101" t="str">
        <f>IF(AND(B176="",F176=""),"",IF('Student DATA Entry'!N173="","",'Student DATA Entry'!N173))</f>
        <v/>
      </c>
      <c r="GM176" s="581" t="str">
        <f t="shared" si="467"/>
        <v/>
      </c>
      <c r="GN176" s="94" t="str">
        <f t="shared" si="468"/>
        <v/>
      </c>
      <c r="GO176" s="94" t="str">
        <f t="shared" si="469"/>
        <v/>
      </c>
      <c r="GP176" s="102" t="str">
        <f t="shared" si="498"/>
        <v/>
      </c>
      <c r="GQ176" s="94" t="str">
        <f t="shared" si="470"/>
        <v/>
      </c>
      <c r="GR176" s="103" t="str">
        <f t="shared" si="471"/>
        <v/>
      </c>
      <c r="GS176" s="102" t="str">
        <f t="shared" si="499"/>
        <v/>
      </c>
      <c r="GT176" s="104" t="str">
        <f t="shared" si="472"/>
        <v/>
      </c>
      <c r="GU176" s="94" t="str">
        <f>IF('Marks Entry'!V176=1,GT176,"")</f>
        <v/>
      </c>
      <c r="GV176" s="94" t="str">
        <f>IF('Marks Entry'!V176=2,GT176,"")</f>
        <v/>
      </c>
      <c r="GW176" s="94" t="str">
        <f>IF('Marks Entry'!V176=3,GT176,"")</f>
        <v/>
      </c>
      <c r="GX176" s="94" t="str">
        <f>IF('Marks Entry'!V176=4,GT176,"")</f>
        <v/>
      </c>
      <c r="GY176" s="94" t="str">
        <f>IF('Marks Entry'!V176=5,GT176,"")</f>
        <v/>
      </c>
      <c r="GZ176" s="94" t="str">
        <f t="shared" si="473"/>
        <v/>
      </c>
      <c r="HA176" s="105" t="str">
        <f t="shared" si="500"/>
        <v/>
      </c>
      <c r="HB176" s="94" t="str">
        <f t="shared" si="474"/>
        <v/>
      </c>
      <c r="HC176" s="94" t="str">
        <f t="shared" si="475"/>
        <v/>
      </c>
      <c r="HD176" s="105" t="str">
        <f t="shared" si="501"/>
        <v/>
      </c>
      <c r="HE176" s="94" t="str">
        <f t="shared" si="476"/>
        <v/>
      </c>
      <c r="HF176" s="94" t="str">
        <f t="shared" si="477"/>
        <v/>
      </c>
      <c r="HG176" s="105" t="str">
        <f t="shared" si="502"/>
        <v/>
      </c>
      <c r="HH176" s="94" t="str">
        <f t="shared" si="478"/>
        <v/>
      </c>
      <c r="HI176" s="94" t="str">
        <f t="shared" si="479"/>
        <v/>
      </c>
      <c r="HJ176" s="105" t="str">
        <f t="shared" si="503"/>
        <v/>
      </c>
      <c r="HK176" s="94" t="str">
        <f t="shared" si="480"/>
        <v/>
      </c>
      <c r="HL176" s="94" t="str">
        <f t="shared" si="481"/>
        <v/>
      </c>
      <c r="HM176" s="105" t="str">
        <f t="shared" si="504"/>
        <v/>
      </c>
      <c r="HN176" s="367" t="str">
        <f t="shared" si="482"/>
        <v xml:space="preserve">      </v>
      </c>
      <c r="HO176" s="418" t="str">
        <f t="shared" si="505"/>
        <v xml:space="preserve">      </v>
      </c>
      <c r="HP176" s="367" t="str">
        <f t="shared" si="483"/>
        <v xml:space="preserve">      </v>
      </c>
      <c r="HQ176" s="107" t="str">
        <f t="shared" si="484"/>
        <v xml:space="preserve">      </v>
      </c>
      <c r="HR176" s="366" t="str">
        <f t="shared" si="485"/>
        <v xml:space="preserve">      </v>
      </c>
      <c r="HS176" s="544" t="str">
        <f t="shared" si="506"/>
        <v/>
      </c>
      <c r="HT176" s="542" t="str">
        <f t="shared" si="486"/>
        <v/>
      </c>
      <c r="HU176" s="541" t="str">
        <f t="shared" si="487"/>
        <v/>
      </c>
      <c r="HV176" s="540" t="str">
        <f t="shared" si="488"/>
        <v/>
      </c>
      <c r="HW176" s="537" t="str">
        <f t="shared" si="489"/>
        <v/>
      </c>
      <c r="HX176" s="539" t="str">
        <f t="shared" si="490"/>
        <v/>
      </c>
      <c r="HY176" s="553" t="str">
        <f>IFERROR(IF(OR(HS176="SUPPLEMENTARY",HS176="RE-EXAM"),'Supp. Result Entry'!AQ174,""),"")</f>
        <v/>
      </c>
      <c r="HZ176" s="538" t="str">
        <f t="shared" si="491"/>
        <v/>
      </c>
      <c r="IA176" s="415" t="str">
        <f t="shared" si="492"/>
        <v/>
      </c>
      <c r="IB176" s="415" t="str">
        <f>IF(AND(HZ176="",IA176=""),"",IF(OR(HS176="SUPPLEMENTARY",HS176="RE-EXAM"),'Supp. Result Entry'!AQ174,HS176))</f>
        <v/>
      </c>
      <c r="IC176" s="87"/>
      <c r="IS176" s="109" t="str">
        <f>IF('Supp. Result Entry'!T174="","",'Supp. Result Entry'!$T$4)</f>
        <v/>
      </c>
      <c r="IT176" s="110" t="str">
        <f>IF('Supp. Result Entry'!W174="","",'Supp. Result Entry'!$W$4)</f>
        <v/>
      </c>
      <c r="IU176" s="110" t="str">
        <f>IF('Supp. Result Entry'!Z174="","",'Supp. Result Entry'!$Z$4)</f>
        <v/>
      </c>
      <c r="IV176" s="110" t="str">
        <f>IF('Supp. Result Entry'!AC174="","",'Supp. Result Entry'!$AC$4)</f>
        <v/>
      </c>
      <c r="IW176" s="110" t="str">
        <f>IF('Supp. Result Entry'!AF174="","",'Supp. Result Entry'!$AF$4)</f>
        <v/>
      </c>
      <c r="IX176" s="110" t="str">
        <f>IF('Supp. Result Entry'!AI174="","",'Supp. Result Entry'!$AI$4)</f>
        <v/>
      </c>
      <c r="IY176" s="110" t="str">
        <f>IF('Supp. Result Entry'!AI174="","",'Supp. Result Entry'!$AL$4)</f>
        <v/>
      </c>
      <c r="IZ176" s="110" t="str">
        <f>IF('Supp. Result Entry'!U174="","",'Supp. Result Entry'!U174)</f>
        <v/>
      </c>
      <c r="JA176" s="110" t="str">
        <f>IF('Supp. Result Entry'!X174="","",'Supp. Result Entry'!X174)</f>
        <v/>
      </c>
      <c r="JB176" s="110" t="str">
        <f>IF('Supp. Result Entry'!AA174="","",'Supp. Result Entry'!AA174)</f>
        <v/>
      </c>
      <c r="JC176" s="110" t="str">
        <f>IF('Supp. Result Entry'!AD174="","",'Supp. Result Entry'!AD174)</f>
        <v/>
      </c>
      <c r="JD176" s="110" t="str">
        <f>IF('Supp. Result Entry'!AG174="","",'Supp. Result Entry'!AG174)</f>
        <v/>
      </c>
      <c r="JE176" s="110" t="str">
        <f>IF('Supp. Result Entry'!AJ174="","",'Supp. Result Entry'!AJ174)</f>
        <v/>
      </c>
      <c r="JF176" s="110" t="str">
        <f>IF('Supp. Result Entry'!AM174="","",'Supp. Result Entry'!AM174)</f>
        <v/>
      </c>
      <c r="JG176" s="110" t="str">
        <f>IF('Supp. Result Entry'!V174="","",'Supp. Result Entry'!V174)</f>
        <v/>
      </c>
      <c r="JH176" s="110" t="str">
        <f>IF('Supp. Result Entry'!Y174="","",'Supp. Result Entry'!Y174)</f>
        <v/>
      </c>
      <c r="JI176" s="110" t="str">
        <f>IF('Supp. Result Entry'!AB174="","",'Supp. Result Entry'!AB174)</f>
        <v/>
      </c>
      <c r="JJ176" s="110" t="str">
        <f>IF('Supp. Result Entry'!AE174="","",'Supp. Result Entry'!AE174)</f>
        <v/>
      </c>
      <c r="JK176" s="110" t="str">
        <f>IF('Supp. Result Entry'!AH174="","",'Supp. Result Entry'!AH174)</f>
        <v/>
      </c>
      <c r="JL176" s="110" t="str">
        <f>IF('Supp. Result Entry'!AK174="","",'Supp. Result Entry'!AK174)</f>
        <v/>
      </c>
      <c r="JM176" s="110" t="str">
        <f>IF('Supp. Result Entry'!AN174="","",'Supp. Result Entry'!AN174)</f>
        <v/>
      </c>
      <c r="JN176" s="110">
        <f>COUNTIF('Supp. Result Entry'!K174:Q174,"S")</f>
        <v>0</v>
      </c>
      <c r="JO176" s="110">
        <f t="shared" si="416"/>
        <v>0</v>
      </c>
      <c r="JP176" s="110">
        <f t="shared" si="493"/>
        <v>0</v>
      </c>
      <c r="JQ176" s="110" t="str">
        <f t="shared" si="417"/>
        <v/>
      </c>
      <c r="JR176" s="110" t="str">
        <f t="shared" si="418"/>
        <v/>
      </c>
      <c r="JS176" s="110" t="str">
        <f t="shared" si="419"/>
        <v/>
      </c>
      <c r="JT176" s="110" t="str">
        <f t="shared" si="420"/>
        <v/>
      </c>
      <c r="JU176" s="110" t="str">
        <f t="shared" si="421"/>
        <v/>
      </c>
      <c r="JV176" s="110" t="str">
        <f t="shared" si="422"/>
        <v/>
      </c>
      <c r="JW176" s="110" t="str">
        <f t="shared" si="423"/>
        <v/>
      </c>
      <c r="JX176" s="110" t="str">
        <f t="shared" si="494"/>
        <v/>
      </c>
      <c r="JY176" s="110" t="str">
        <f t="shared" si="495"/>
        <v/>
      </c>
      <c r="JZ176" s="110" t="str">
        <f t="shared" si="424"/>
        <v/>
      </c>
      <c r="KA176" s="108" t="str">
        <f t="shared" si="496"/>
        <v/>
      </c>
    </row>
    <row r="177" spans="1:287" s="108" customFormat="1" ht="21.95" customHeight="1">
      <c r="A177" s="89">
        <v>171</v>
      </c>
      <c r="B177" s="90" t="str">
        <f>IF('Marks Entry'!B177="","",'Marks Entry'!B177)</f>
        <v/>
      </c>
      <c r="C177" s="94" t="str">
        <f>IF('Marks Entry'!D177="","",'Marks Entry'!D177)</f>
        <v/>
      </c>
      <c r="D177" s="91" t="str">
        <f>IF('Marks Entry'!E177="","",'Marks Entry'!E177)</f>
        <v/>
      </c>
      <c r="E177" s="92" t="str">
        <f>IF('Marks Entry'!F177="","",'Marks Entry'!F177)</f>
        <v/>
      </c>
      <c r="F177" s="93" t="str">
        <f>IF('Marks Entry'!G177="","",'Marks Entry'!G177)</f>
        <v/>
      </c>
      <c r="G177" s="93" t="str">
        <f>IF('Marks Entry'!H177="","",'Marks Entry'!H177)</f>
        <v/>
      </c>
      <c r="H177" s="93" t="str">
        <f>IF('Marks Entry'!I177="","",'Marks Entry'!I177)</f>
        <v/>
      </c>
      <c r="I177" s="94" t="str">
        <f>IF('Marks Entry'!J177="","",'Marks Entry'!J177)</f>
        <v/>
      </c>
      <c r="J177" s="95" t="str">
        <f>IF('Marks Entry'!K177="","",'Marks Entry'!K177)</f>
        <v/>
      </c>
      <c r="K177" s="68" t="str">
        <f>IF('Marks Entry'!L177="","",'Marks Entry'!L177)</f>
        <v/>
      </c>
      <c r="L177" s="68" t="str">
        <f>IF('Marks Entry'!M177="","",'Marks Entry'!M177)</f>
        <v/>
      </c>
      <c r="M177" s="68" t="str">
        <f>IF('Marks Entry'!N177="","",'Marks Entry'!N177)</f>
        <v/>
      </c>
      <c r="N177" s="514" t="str">
        <f t="shared" si="425"/>
        <v/>
      </c>
      <c r="O177" s="68" t="str">
        <f>IF('Marks Entry'!O177="","",'Marks Entry'!O177)</f>
        <v/>
      </c>
      <c r="P177" s="515" t="str">
        <f t="shared" si="426"/>
        <v/>
      </c>
      <c r="Q177" s="68" t="str">
        <f>IF('Marks Entry'!P177="","",'Marks Entry'!P177)</f>
        <v/>
      </c>
      <c r="R177" s="96" t="str">
        <f t="shared" si="427"/>
        <v/>
      </c>
      <c r="S177" s="65">
        <f t="shared" si="428"/>
        <v>0</v>
      </c>
      <c r="T177" s="65">
        <f t="shared" si="429"/>
        <v>0</v>
      </c>
      <c r="U177" s="66" t="str">
        <f t="shared" si="339"/>
        <v/>
      </c>
      <c r="V177" s="65" t="str">
        <f t="shared" si="340"/>
        <v/>
      </c>
      <c r="W177" s="65" t="str">
        <f t="shared" si="430"/>
        <v/>
      </c>
      <c r="X177" s="65" t="str">
        <f t="shared" si="341"/>
        <v/>
      </c>
      <c r="Y177" s="68" t="str">
        <f>IF('Marks Entry'!Q177="","",'Marks Entry'!Q177)</f>
        <v/>
      </c>
      <c r="Z177" s="68" t="str">
        <f>IF('Marks Entry'!R177="","",'Marks Entry'!R177)</f>
        <v/>
      </c>
      <c r="AA177" s="68" t="str">
        <f>IF('Marks Entry'!S177="","",'Marks Entry'!S177)</f>
        <v/>
      </c>
      <c r="AB177" s="514" t="str">
        <f t="shared" si="342"/>
        <v/>
      </c>
      <c r="AC177" s="68" t="str">
        <f>IF('Marks Entry'!T177="","",'Marks Entry'!T177)</f>
        <v/>
      </c>
      <c r="AD177" s="515" t="str">
        <f t="shared" si="343"/>
        <v/>
      </c>
      <c r="AE177" s="68" t="str">
        <f>IF('Marks Entry'!U177="","",'Marks Entry'!U177)</f>
        <v/>
      </c>
      <c r="AF177" s="96" t="str">
        <f t="shared" si="344"/>
        <v/>
      </c>
      <c r="AG177" s="65">
        <f t="shared" si="345"/>
        <v>0</v>
      </c>
      <c r="AH177" s="65">
        <f t="shared" si="346"/>
        <v>0</v>
      </c>
      <c r="AI177" s="66" t="str">
        <f t="shared" si="347"/>
        <v/>
      </c>
      <c r="AJ177" s="65" t="str">
        <f t="shared" si="348"/>
        <v/>
      </c>
      <c r="AK177" s="65" t="str">
        <f t="shared" si="349"/>
        <v/>
      </c>
      <c r="AL177" s="65" t="str">
        <f t="shared" si="350"/>
        <v/>
      </c>
      <c r="AM177" s="524" t="str">
        <f>IF('Marks Entry'!V177="","",IF('Marks Entry'!V177=1,'School Profile'!$I$9,IF('Marks Entry'!V177=2,'School Profile'!$I$10,IF('Marks Entry'!V177=3,'School Profile'!$I$11,IF('Marks Entry'!V177=4,'School Profile'!$I$12,IF('Marks Entry'!V177=5,'School Profile'!$I$13,IF('Marks Entry'!V177=6,'School Profile'!$I$14,"")))))))</f>
        <v/>
      </c>
      <c r="AN177" s="68" t="str">
        <f>IF('Marks Entry'!W177="","",'Marks Entry'!W177)</f>
        <v/>
      </c>
      <c r="AO177" s="68" t="str">
        <f>IF('Marks Entry'!X177="","",'Marks Entry'!X177)</f>
        <v/>
      </c>
      <c r="AP177" s="68" t="str">
        <f>IF('Marks Entry'!Y177="","",'Marks Entry'!Y177)</f>
        <v/>
      </c>
      <c r="AQ177" s="514" t="str">
        <f t="shared" si="351"/>
        <v/>
      </c>
      <c r="AR177" s="68" t="str">
        <f>IF('Marks Entry'!Z177="","",'Marks Entry'!Z177)</f>
        <v/>
      </c>
      <c r="AS177" s="515" t="str">
        <f t="shared" si="352"/>
        <v/>
      </c>
      <c r="AT177" s="68" t="str">
        <f>IF('Marks Entry'!AA177="","",'Marks Entry'!AA177)</f>
        <v/>
      </c>
      <c r="AU177" s="96" t="str">
        <f t="shared" si="353"/>
        <v/>
      </c>
      <c r="AV177" s="65">
        <f t="shared" si="354"/>
        <v>0</v>
      </c>
      <c r="AW177" s="65">
        <f t="shared" si="355"/>
        <v>0</v>
      </c>
      <c r="AX177" s="66" t="str">
        <f t="shared" si="356"/>
        <v/>
      </c>
      <c r="AY177" s="65" t="str">
        <f t="shared" si="357"/>
        <v/>
      </c>
      <c r="AZ177" s="65" t="str">
        <f t="shared" si="358"/>
        <v/>
      </c>
      <c r="BA177" s="65" t="str">
        <f t="shared" si="359"/>
        <v/>
      </c>
      <c r="BB177" s="68" t="str">
        <f>IF('Marks Entry'!AB177="","",'Marks Entry'!AB177)</f>
        <v/>
      </c>
      <c r="BC177" s="68" t="str">
        <f>IF('Marks Entry'!AC177="","",'Marks Entry'!AC177)</f>
        <v/>
      </c>
      <c r="BD177" s="68" t="str">
        <f>IF('Marks Entry'!AD177="","",'Marks Entry'!AD177)</f>
        <v/>
      </c>
      <c r="BE177" s="514" t="str">
        <f t="shared" si="360"/>
        <v/>
      </c>
      <c r="BF177" s="68" t="str">
        <f>IF('Marks Entry'!AE177="","",'Marks Entry'!AE177)</f>
        <v/>
      </c>
      <c r="BG177" s="515" t="str">
        <f t="shared" si="361"/>
        <v/>
      </c>
      <c r="BH177" s="68" t="str">
        <f>IF('Marks Entry'!AF177="","",'Marks Entry'!AF177)</f>
        <v/>
      </c>
      <c r="BI177" s="96" t="str">
        <f t="shared" si="362"/>
        <v/>
      </c>
      <c r="BJ177" s="65">
        <f t="shared" si="363"/>
        <v>0</v>
      </c>
      <c r="BK177" s="65">
        <f t="shared" si="431"/>
        <v>0</v>
      </c>
      <c r="BL177" s="66" t="str">
        <f t="shared" si="364"/>
        <v/>
      </c>
      <c r="BM177" s="65" t="str">
        <f t="shared" si="365"/>
        <v/>
      </c>
      <c r="BN177" s="65" t="str">
        <f t="shared" si="366"/>
        <v/>
      </c>
      <c r="BO177" s="65" t="str">
        <f t="shared" si="367"/>
        <v/>
      </c>
      <c r="BP177" s="68" t="str">
        <f>IF('Marks Entry'!AG177="","",'Marks Entry'!AG177)</f>
        <v/>
      </c>
      <c r="BQ177" s="68" t="str">
        <f>IF('Marks Entry'!AH177="","",'Marks Entry'!AH177)</f>
        <v/>
      </c>
      <c r="BR177" s="68" t="str">
        <f>IF('Marks Entry'!AI177="","",'Marks Entry'!AI177)</f>
        <v/>
      </c>
      <c r="BS177" s="514" t="str">
        <f t="shared" si="368"/>
        <v/>
      </c>
      <c r="BT177" s="68" t="str">
        <f>IF('Marks Entry'!AJ177="","",'Marks Entry'!AJ177)</f>
        <v/>
      </c>
      <c r="BU177" s="515" t="str">
        <f t="shared" si="369"/>
        <v/>
      </c>
      <c r="BV177" s="68" t="str">
        <f>IF('Marks Entry'!AK177="","",'Marks Entry'!AK177)</f>
        <v/>
      </c>
      <c r="BW177" s="96" t="str">
        <f t="shared" si="370"/>
        <v/>
      </c>
      <c r="BX177" s="65">
        <f t="shared" si="371"/>
        <v>0</v>
      </c>
      <c r="BY177" s="65">
        <f t="shared" si="372"/>
        <v>0</v>
      </c>
      <c r="BZ177" s="66" t="str">
        <f t="shared" si="373"/>
        <v/>
      </c>
      <c r="CA177" s="65" t="str">
        <f t="shared" si="374"/>
        <v/>
      </c>
      <c r="CB177" s="65" t="str">
        <f t="shared" si="375"/>
        <v/>
      </c>
      <c r="CC177" s="65" t="str">
        <f t="shared" si="376"/>
        <v/>
      </c>
      <c r="CD177" s="66">
        <f t="shared" si="497"/>
        <v>0</v>
      </c>
      <c r="CE177" s="68" t="str">
        <f>IF('Marks Entry'!AL177="","",'Marks Entry'!AL177)</f>
        <v/>
      </c>
      <c r="CF177" s="68" t="str">
        <f>IF('Marks Entry'!AM177="","",'Marks Entry'!AM177)</f>
        <v/>
      </c>
      <c r="CG177" s="68" t="str">
        <f>IF('Marks Entry'!AN177="","",'Marks Entry'!AN177)</f>
        <v/>
      </c>
      <c r="CH177" s="514" t="str">
        <f t="shared" si="378"/>
        <v/>
      </c>
      <c r="CI177" s="68" t="str">
        <f>IF('Marks Entry'!AO177="","",'Marks Entry'!AO177)</f>
        <v/>
      </c>
      <c r="CJ177" s="515" t="str">
        <f t="shared" si="379"/>
        <v/>
      </c>
      <c r="CK177" s="68" t="str">
        <f>IF('Marks Entry'!AP177="","",'Marks Entry'!AP177)</f>
        <v/>
      </c>
      <c r="CL177" s="96" t="str">
        <f t="shared" si="380"/>
        <v/>
      </c>
      <c r="CM177" s="65">
        <f t="shared" si="381"/>
        <v>0</v>
      </c>
      <c r="CN177" s="65">
        <f t="shared" si="382"/>
        <v>0</v>
      </c>
      <c r="CO177" s="66" t="str">
        <f t="shared" si="383"/>
        <v/>
      </c>
      <c r="CP177" s="65" t="str">
        <f t="shared" si="384"/>
        <v/>
      </c>
      <c r="CQ177" s="65" t="str">
        <f t="shared" si="385"/>
        <v/>
      </c>
      <c r="CR177" s="65" t="str">
        <f t="shared" si="386"/>
        <v/>
      </c>
      <c r="CS177" s="616" t="str">
        <f>IF('School Profile'!$D$20="NO","",IF('Marks Entry'!AQ177="","",IF('Marks Entry'!AQ177=1,'School Profile'!$I$29,IF('Marks Entry'!AQ177=2,'School Profile'!$I$30,IF('Marks Entry'!AQ177=3,'School Profile'!$I$31,IF('Marks Entry'!AQ177=4,'School Profile'!$I$32,IF('Marks Entry'!AQ177=5,'School Profile'!$I$33,IF('Marks Entry'!AQ177=6,'School Profile'!$I$34,IF('Marks Entry'!AQ177=7,'School Profile'!$I$35,IF('Marks Entry'!AQ177=8,'School Profile'!$I$36,IF('Marks Entry'!AQ177=9,'School Profile'!$I$37,IF('Marks Entry'!AQ177=10,'School Profile'!$I$38,IF('Marks Entry'!AQ177=11,'School Profile'!$I$39,"")))))))))))))</f>
        <v/>
      </c>
      <c r="CT177" s="68" t="str">
        <f>IF('School Profile'!$D$20="NO","",IF('Marks Entry'!AR177="","",'Marks Entry'!AR177))</f>
        <v/>
      </c>
      <c r="CU177" s="68" t="str">
        <f>IF('School Profile'!$D$20="NO","",IF('Marks Entry'!AS177="","",'Marks Entry'!AS177))</f>
        <v/>
      </c>
      <c r="CV177" s="68" t="str">
        <f>IF('School Profile'!$D$20="NO","",IF('Marks Entry'!AT177="","",'Marks Entry'!AT177))</f>
        <v/>
      </c>
      <c r="CW177" s="514" t="str">
        <f>IF('School Profile'!$D$20="NO","",IF(AND(CT177="",CU177="",CV177=""),"",SUM(CT177:CV177)))</f>
        <v/>
      </c>
      <c r="CX177" s="68" t="str">
        <f>IF('School Profile'!$D$20="NO","",IF('Marks Entry'!AU177="","",'Marks Entry'!AU177))</f>
        <v/>
      </c>
      <c r="CY177" s="68" t="str">
        <f>IF('School Profile'!$D$20="NO","",IF('Marks Entry'!AV177="","",'Marks Entry'!AV177))</f>
        <v/>
      </c>
      <c r="CZ177" s="515" t="str">
        <f>IF('School Profile'!$D$20="NO","",IF(AND(CX177="",CY177=""),"",SUM(CX177,CY177)))</f>
        <v/>
      </c>
      <c r="DA177" s="69" t="str">
        <f>IF('School Profile'!$D$20="NO","",IF(AND(CW177="",CZ177=""),"",SUM(CW177+CZ177)))</f>
        <v/>
      </c>
      <c r="DB177" s="68" t="str">
        <f>IF('School Profile'!$D$20="NO","",IF('Marks Entry'!AW177="","",'Marks Entry'!AW177))</f>
        <v/>
      </c>
      <c r="DC177" s="68" t="str">
        <f>IF('School Profile'!$D$20="NO","",IF('Marks Entry'!AX177="","",'Marks Entry'!AX177))</f>
        <v/>
      </c>
      <c r="DD177" s="515" t="str">
        <f>IF('School Profile'!$D$20="NO","",IF(AND(DB177="",DC177=""),"",SUM(DB177,DC177)))</f>
        <v/>
      </c>
      <c r="DE177" s="96" t="str">
        <f>IF('School Profile'!$D$20="NO","",IF(AND(DA177="",DD177=""),"",SUM(DA177,DD177)))</f>
        <v/>
      </c>
      <c r="DF177" s="532">
        <f t="shared" si="387"/>
        <v>0</v>
      </c>
      <c r="DG177" s="65">
        <f t="shared" si="388"/>
        <v>0</v>
      </c>
      <c r="DH177" s="66" t="str">
        <f t="shared" si="389"/>
        <v/>
      </c>
      <c r="DI177" s="65" t="str">
        <f t="shared" si="390"/>
        <v/>
      </c>
      <c r="DJ177" s="65" t="str">
        <f t="shared" si="391"/>
        <v/>
      </c>
      <c r="DK177" s="65" t="str">
        <f t="shared" si="392"/>
        <v/>
      </c>
      <c r="DL177" s="97" t="str">
        <f t="shared" si="432"/>
        <v/>
      </c>
      <c r="DM177" s="97" t="str">
        <f t="shared" si="433"/>
        <v/>
      </c>
      <c r="DN177" s="97" t="str">
        <f t="shared" si="434"/>
        <v/>
      </c>
      <c r="DO177" s="97" t="str">
        <f t="shared" si="435"/>
        <v/>
      </c>
      <c r="DP177" s="97" t="str">
        <f t="shared" si="436"/>
        <v/>
      </c>
      <c r="DQ177" s="97" t="str">
        <f t="shared" si="437"/>
        <v/>
      </c>
      <c r="DR177" s="97" t="str">
        <f t="shared" si="438"/>
        <v/>
      </c>
      <c r="DS177" s="98">
        <f t="shared" si="439"/>
        <v>0</v>
      </c>
      <c r="DT177" s="98">
        <f t="shared" si="440"/>
        <v>0</v>
      </c>
      <c r="DU177" s="98">
        <f t="shared" si="441"/>
        <v>0</v>
      </c>
      <c r="DV177" s="98">
        <f t="shared" si="442"/>
        <v>0</v>
      </c>
      <c r="DW177" s="98">
        <f t="shared" si="443"/>
        <v>0</v>
      </c>
      <c r="DX177" s="98" t="str">
        <f t="shared" si="444"/>
        <v/>
      </c>
      <c r="DY177" s="99" t="str">
        <f t="shared" si="445"/>
        <v/>
      </c>
      <c r="DZ177" s="74" t="str">
        <f>IF('Marks Entry'!AY177="","",'Marks Entry'!AY177)</f>
        <v/>
      </c>
      <c r="EA177" s="74" t="str">
        <f>IF('Marks Entry'!AZ177="","",'Marks Entry'!AZ177)</f>
        <v/>
      </c>
      <c r="EB177" s="74" t="str">
        <f>IF('Marks Entry'!BA177="","",'Marks Entry'!BA177)</f>
        <v/>
      </c>
      <c r="EC177" s="527" t="str">
        <f t="shared" si="393"/>
        <v/>
      </c>
      <c r="ED177" s="74" t="str">
        <f>IF('Marks Entry'!BB177="","",'Marks Entry'!BB177)</f>
        <v/>
      </c>
      <c r="EE177" s="528" t="str">
        <f t="shared" si="394"/>
        <v/>
      </c>
      <c r="EF177" s="74" t="str">
        <f>IF('Marks Entry'!BC177="","",'Marks Entry'!BC177)</f>
        <v/>
      </c>
      <c r="EG177" s="530" t="str">
        <f t="shared" si="395"/>
        <v/>
      </c>
      <c r="EH177" s="368" t="str">
        <f t="shared" si="446"/>
        <v/>
      </c>
      <c r="EI177" s="65">
        <f t="shared" si="447"/>
        <v>0</v>
      </c>
      <c r="EJ177" s="65">
        <f t="shared" si="448"/>
        <v>0</v>
      </c>
      <c r="EK177" s="66" t="str">
        <f t="shared" si="449"/>
        <v/>
      </c>
      <c r="EL177" s="74" t="str">
        <f>IF('Marks Entry'!BD177="","",'Marks Entry'!BD177)</f>
        <v/>
      </c>
      <c r="EM177" s="74" t="str">
        <f>IF('Marks Entry'!BE177="","",'Marks Entry'!BE177)</f>
        <v/>
      </c>
      <c r="EN177" s="74" t="str">
        <f>IF('Marks Entry'!BF177="","",'Marks Entry'!BF177)</f>
        <v/>
      </c>
      <c r="EO177" s="527" t="str">
        <f t="shared" si="396"/>
        <v/>
      </c>
      <c r="EP177" s="74" t="str">
        <f>IF('Marks Entry'!BG177="","",'Marks Entry'!BG177)</f>
        <v/>
      </c>
      <c r="EQ177" s="74" t="str">
        <f>IF('Marks Entry'!BH177="","",'Marks Entry'!BH177)</f>
        <v/>
      </c>
      <c r="ER177" s="528" t="str">
        <f t="shared" si="397"/>
        <v/>
      </c>
      <c r="ES177" s="529" t="str">
        <f t="shared" si="398"/>
        <v/>
      </c>
      <c r="ET177" s="74" t="str">
        <f>IF('Marks Entry'!BI177="","",'Marks Entry'!BI177)</f>
        <v/>
      </c>
      <c r="EU177" s="74" t="str">
        <f>IF('Marks Entry'!BJ177="","",'Marks Entry'!BJ177)</f>
        <v/>
      </c>
      <c r="EV177" s="528" t="str">
        <f t="shared" si="399"/>
        <v/>
      </c>
      <c r="EW177" s="530" t="str">
        <f t="shared" si="400"/>
        <v/>
      </c>
      <c r="EX177" s="368" t="str">
        <f t="shared" si="450"/>
        <v/>
      </c>
      <c r="EY177" s="65">
        <f t="shared" si="451"/>
        <v>0</v>
      </c>
      <c r="EZ177" s="65">
        <f t="shared" si="452"/>
        <v>0</v>
      </c>
      <c r="FA177" s="66" t="str">
        <f t="shared" si="453"/>
        <v/>
      </c>
      <c r="FB177" s="74" t="str">
        <f>IF('Marks Entry'!BK177="","",'Marks Entry'!BK177)</f>
        <v/>
      </c>
      <c r="FC177" s="74" t="str">
        <f>IF('Marks Entry'!BL177="","",'Marks Entry'!BL177)</f>
        <v/>
      </c>
      <c r="FD177" s="74" t="str">
        <f>IF('Marks Entry'!BM177="","",'Marks Entry'!BM177)</f>
        <v/>
      </c>
      <c r="FE177" s="74" t="str">
        <f>IF('Marks Entry'!BN177="","",'Marks Entry'!BN177)</f>
        <v/>
      </c>
      <c r="FF177" s="74" t="str">
        <f>IF('Marks Entry'!BO177="","",'Marks Entry'!BO177)</f>
        <v/>
      </c>
      <c r="FG177" s="74" t="str">
        <f>IF('Marks Entry'!BP177="","",'Marks Entry'!BP177)</f>
        <v/>
      </c>
      <c r="FH177" s="527" t="str">
        <f t="shared" si="401"/>
        <v/>
      </c>
      <c r="FI177" s="74" t="str">
        <f>IF('Marks Entry'!BQ177="","",'Marks Entry'!BQ177)</f>
        <v/>
      </c>
      <c r="FJ177" s="74" t="str">
        <f>IF('Marks Entry'!BR177="","",'Marks Entry'!BR177)</f>
        <v/>
      </c>
      <c r="FK177" s="528" t="str">
        <f t="shared" si="402"/>
        <v/>
      </c>
      <c r="FL177" s="529" t="str">
        <f t="shared" si="403"/>
        <v/>
      </c>
      <c r="FM177" s="74" t="str">
        <f>IF('Marks Entry'!BS177="","",'Marks Entry'!BS177)</f>
        <v/>
      </c>
      <c r="FN177" s="74" t="str">
        <f>IF('Marks Entry'!BT177="","",'Marks Entry'!BT177)</f>
        <v/>
      </c>
      <c r="FO177" s="528" t="str">
        <f t="shared" si="404"/>
        <v/>
      </c>
      <c r="FP177" s="530" t="str">
        <f t="shared" si="405"/>
        <v/>
      </c>
      <c r="FQ177" s="368" t="str">
        <f t="shared" si="454"/>
        <v/>
      </c>
      <c r="FR177" s="65">
        <f t="shared" si="455"/>
        <v>0</v>
      </c>
      <c r="FS177" s="65">
        <f t="shared" si="456"/>
        <v>0</v>
      </c>
      <c r="FT177" s="66" t="str">
        <f t="shared" si="457"/>
        <v/>
      </c>
      <c r="FU177" s="74" t="str">
        <f>IF('Marks Entry'!BU177="","",'Marks Entry'!BU177)</f>
        <v/>
      </c>
      <c r="FV177" s="74" t="str">
        <f>IF('Marks Entry'!BV177="","",'Marks Entry'!BV177)</f>
        <v/>
      </c>
      <c r="FW177" s="74" t="str">
        <f>IF('Marks Entry'!BW177="","",'Marks Entry'!BW177)</f>
        <v/>
      </c>
      <c r="FX177" s="75" t="str">
        <f t="shared" si="406"/>
        <v/>
      </c>
      <c r="FY177" s="368" t="str">
        <f t="shared" si="458"/>
        <v/>
      </c>
      <c r="FZ177" s="65">
        <f t="shared" si="459"/>
        <v>0</v>
      </c>
      <c r="GA177" s="66">
        <f t="shared" si="460"/>
        <v>0</v>
      </c>
      <c r="GB177" s="66" t="str">
        <f t="shared" si="461"/>
        <v/>
      </c>
      <c r="GC177" s="74" t="str">
        <f>IF('Marks Entry'!BX177="","",'Marks Entry'!BX177)</f>
        <v/>
      </c>
      <c r="GD177" s="74" t="str">
        <f>IF('Marks Entry'!BY177="","",'Marks Entry'!BY177)</f>
        <v/>
      </c>
      <c r="GE177" s="74" t="str">
        <f>IF('Marks Entry'!BZ177="","",'Marks Entry'!BZ177)</f>
        <v/>
      </c>
      <c r="GF177" s="75" t="str">
        <f t="shared" si="462"/>
        <v/>
      </c>
      <c r="GG177" s="368" t="str">
        <f t="shared" si="463"/>
        <v/>
      </c>
      <c r="GH177" s="65">
        <f t="shared" si="464"/>
        <v>0</v>
      </c>
      <c r="GI177" s="66">
        <f t="shared" si="465"/>
        <v>0</v>
      </c>
      <c r="GJ177" s="66" t="str">
        <f t="shared" si="466"/>
        <v/>
      </c>
      <c r="GK177" s="100" t="str">
        <f>IF(AND(F177="",B177=""),"",IF('Student DATA Entry'!M174="","",'Student DATA Entry'!M174))</f>
        <v/>
      </c>
      <c r="GL177" s="101" t="str">
        <f>IF(AND(B177="",F177=""),"",IF('Student DATA Entry'!N174="","",'Student DATA Entry'!N174))</f>
        <v/>
      </c>
      <c r="GM177" s="581" t="str">
        <f t="shared" si="467"/>
        <v/>
      </c>
      <c r="GN177" s="94" t="str">
        <f t="shared" si="468"/>
        <v/>
      </c>
      <c r="GO177" s="94" t="str">
        <f t="shared" si="469"/>
        <v/>
      </c>
      <c r="GP177" s="102" t="str">
        <f t="shared" si="498"/>
        <v/>
      </c>
      <c r="GQ177" s="94" t="str">
        <f t="shared" si="470"/>
        <v/>
      </c>
      <c r="GR177" s="103" t="str">
        <f t="shared" si="471"/>
        <v/>
      </c>
      <c r="GS177" s="102" t="str">
        <f t="shared" si="499"/>
        <v/>
      </c>
      <c r="GT177" s="104" t="str">
        <f t="shared" si="472"/>
        <v/>
      </c>
      <c r="GU177" s="94" t="str">
        <f>IF('Marks Entry'!V177=1,GT177,"")</f>
        <v/>
      </c>
      <c r="GV177" s="94" t="str">
        <f>IF('Marks Entry'!V177=2,GT177,"")</f>
        <v/>
      </c>
      <c r="GW177" s="94" t="str">
        <f>IF('Marks Entry'!V177=3,GT177,"")</f>
        <v/>
      </c>
      <c r="GX177" s="94" t="str">
        <f>IF('Marks Entry'!V177=4,GT177,"")</f>
        <v/>
      </c>
      <c r="GY177" s="94" t="str">
        <f>IF('Marks Entry'!V177=5,GT177,"")</f>
        <v/>
      </c>
      <c r="GZ177" s="94" t="str">
        <f t="shared" si="473"/>
        <v/>
      </c>
      <c r="HA177" s="105" t="str">
        <f t="shared" si="500"/>
        <v/>
      </c>
      <c r="HB177" s="94" t="str">
        <f t="shared" si="474"/>
        <v/>
      </c>
      <c r="HC177" s="94" t="str">
        <f t="shared" si="475"/>
        <v/>
      </c>
      <c r="HD177" s="105" t="str">
        <f t="shared" si="501"/>
        <v/>
      </c>
      <c r="HE177" s="94" t="str">
        <f t="shared" si="476"/>
        <v/>
      </c>
      <c r="HF177" s="94" t="str">
        <f t="shared" si="477"/>
        <v/>
      </c>
      <c r="HG177" s="105" t="str">
        <f t="shared" si="502"/>
        <v/>
      </c>
      <c r="HH177" s="94" t="str">
        <f t="shared" si="478"/>
        <v/>
      </c>
      <c r="HI177" s="94" t="str">
        <f t="shared" si="479"/>
        <v/>
      </c>
      <c r="HJ177" s="105" t="str">
        <f t="shared" si="503"/>
        <v/>
      </c>
      <c r="HK177" s="94" t="str">
        <f t="shared" si="480"/>
        <v/>
      </c>
      <c r="HL177" s="94" t="str">
        <f t="shared" si="481"/>
        <v/>
      </c>
      <c r="HM177" s="105" t="str">
        <f t="shared" si="504"/>
        <v/>
      </c>
      <c r="HN177" s="367" t="str">
        <f t="shared" si="482"/>
        <v xml:space="preserve">      </v>
      </c>
      <c r="HO177" s="418" t="str">
        <f t="shared" si="505"/>
        <v xml:space="preserve">      </v>
      </c>
      <c r="HP177" s="367" t="str">
        <f t="shared" si="483"/>
        <v xml:space="preserve">      </v>
      </c>
      <c r="HQ177" s="107" t="str">
        <f t="shared" si="484"/>
        <v xml:space="preserve">      </v>
      </c>
      <c r="HR177" s="366" t="str">
        <f t="shared" si="485"/>
        <v xml:space="preserve">      </v>
      </c>
      <c r="HS177" s="544" t="str">
        <f t="shared" si="506"/>
        <v/>
      </c>
      <c r="HT177" s="542" t="str">
        <f t="shared" si="486"/>
        <v/>
      </c>
      <c r="HU177" s="541" t="str">
        <f t="shared" si="487"/>
        <v/>
      </c>
      <c r="HV177" s="540" t="str">
        <f t="shared" si="488"/>
        <v/>
      </c>
      <c r="HW177" s="537" t="str">
        <f t="shared" si="489"/>
        <v/>
      </c>
      <c r="HX177" s="539" t="str">
        <f t="shared" si="490"/>
        <v/>
      </c>
      <c r="HY177" s="553" t="str">
        <f>IFERROR(IF(OR(HS177="SUPPLEMENTARY",HS177="RE-EXAM"),'Supp. Result Entry'!AQ175,""),"")</f>
        <v/>
      </c>
      <c r="HZ177" s="538" t="str">
        <f t="shared" si="491"/>
        <v/>
      </c>
      <c r="IA177" s="415" t="str">
        <f t="shared" si="492"/>
        <v/>
      </c>
      <c r="IB177" s="415" t="str">
        <f>IF(AND(HZ177="",IA177=""),"",IF(OR(HS177="SUPPLEMENTARY",HS177="RE-EXAM"),'Supp. Result Entry'!AQ175,HS177))</f>
        <v/>
      </c>
      <c r="IC177" s="87"/>
      <c r="IS177" s="109" t="str">
        <f>IF('Supp. Result Entry'!T175="","",'Supp. Result Entry'!$T$4)</f>
        <v/>
      </c>
      <c r="IT177" s="110" t="str">
        <f>IF('Supp. Result Entry'!W175="","",'Supp. Result Entry'!$W$4)</f>
        <v/>
      </c>
      <c r="IU177" s="110" t="str">
        <f>IF('Supp. Result Entry'!Z175="","",'Supp. Result Entry'!$Z$4)</f>
        <v/>
      </c>
      <c r="IV177" s="110" t="str">
        <f>IF('Supp. Result Entry'!AC175="","",'Supp. Result Entry'!$AC$4)</f>
        <v/>
      </c>
      <c r="IW177" s="110" t="str">
        <f>IF('Supp. Result Entry'!AF175="","",'Supp. Result Entry'!$AF$4)</f>
        <v/>
      </c>
      <c r="IX177" s="110" t="str">
        <f>IF('Supp. Result Entry'!AI175="","",'Supp. Result Entry'!$AI$4)</f>
        <v/>
      </c>
      <c r="IY177" s="110" t="str">
        <f>IF('Supp. Result Entry'!AI175="","",'Supp. Result Entry'!$AL$4)</f>
        <v/>
      </c>
      <c r="IZ177" s="110" t="str">
        <f>IF('Supp. Result Entry'!U175="","",'Supp. Result Entry'!U175)</f>
        <v/>
      </c>
      <c r="JA177" s="110" t="str">
        <f>IF('Supp. Result Entry'!X175="","",'Supp. Result Entry'!X175)</f>
        <v/>
      </c>
      <c r="JB177" s="110" t="str">
        <f>IF('Supp. Result Entry'!AA175="","",'Supp. Result Entry'!AA175)</f>
        <v/>
      </c>
      <c r="JC177" s="110" t="str">
        <f>IF('Supp. Result Entry'!AD175="","",'Supp. Result Entry'!AD175)</f>
        <v/>
      </c>
      <c r="JD177" s="110" t="str">
        <f>IF('Supp. Result Entry'!AG175="","",'Supp. Result Entry'!AG175)</f>
        <v/>
      </c>
      <c r="JE177" s="110" t="str">
        <f>IF('Supp. Result Entry'!AJ175="","",'Supp. Result Entry'!AJ175)</f>
        <v/>
      </c>
      <c r="JF177" s="110" t="str">
        <f>IF('Supp. Result Entry'!AM175="","",'Supp. Result Entry'!AM175)</f>
        <v/>
      </c>
      <c r="JG177" s="110" t="str">
        <f>IF('Supp. Result Entry'!V175="","",'Supp. Result Entry'!V175)</f>
        <v/>
      </c>
      <c r="JH177" s="110" t="str">
        <f>IF('Supp. Result Entry'!Y175="","",'Supp. Result Entry'!Y175)</f>
        <v/>
      </c>
      <c r="JI177" s="110" t="str">
        <f>IF('Supp. Result Entry'!AB175="","",'Supp. Result Entry'!AB175)</f>
        <v/>
      </c>
      <c r="JJ177" s="110" t="str">
        <f>IF('Supp. Result Entry'!AE175="","",'Supp. Result Entry'!AE175)</f>
        <v/>
      </c>
      <c r="JK177" s="110" t="str">
        <f>IF('Supp. Result Entry'!AH175="","",'Supp. Result Entry'!AH175)</f>
        <v/>
      </c>
      <c r="JL177" s="110" t="str">
        <f>IF('Supp. Result Entry'!AK175="","",'Supp. Result Entry'!AK175)</f>
        <v/>
      </c>
      <c r="JM177" s="110" t="str">
        <f>IF('Supp. Result Entry'!AN175="","",'Supp. Result Entry'!AN175)</f>
        <v/>
      </c>
      <c r="JN177" s="110">
        <f>COUNTIF('Supp. Result Entry'!K175:Q175,"S")</f>
        <v>0</v>
      </c>
      <c r="JO177" s="110">
        <f t="shared" si="416"/>
        <v>0</v>
      </c>
      <c r="JP177" s="110">
        <f t="shared" si="493"/>
        <v>0</v>
      </c>
      <c r="JQ177" s="110" t="str">
        <f t="shared" si="417"/>
        <v/>
      </c>
      <c r="JR177" s="110" t="str">
        <f t="shared" si="418"/>
        <v/>
      </c>
      <c r="JS177" s="110" t="str">
        <f t="shared" si="419"/>
        <v/>
      </c>
      <c r="JT177" s="110" t="str">
        <f t="shared" si="420"/>
        <v/>
      </c>
      <c r="JU177" s="110" t="str">
        <f t="shared" si="421"/>
        <v/>
      </c>
      <c r="JV177" s="110" t="str">
        <f t="shared" si="422"/>
        <v/>
      </c>
      <c r="JW177" s="110" t="str">
        <f t="shared" si="423"/>
        <v/>
      </c>
      <c r="JX177" s="110" t="str">
        <f t="shared" si="494"/>
        <v/>
      </c>
      <c r="JY177" s="110" t="str">
        <f t="shared" si="495"/>
        <v/>
      </c>
      <c r="JZ177" s="110" t="str">
        <f t="shared" si="424"/>
        <v/>
      </c>
      <c r="KA177" s="108" t="str">
        <f t="shared" si="496"/>
        <v/>
      </c>
    </row>
    <row r="178" spans="1:287" s="108" customFormat="1" ht="21.95" customHeight="1">
      <c r="A178" s="89">
        <v>172</v>
      </c>
      <c r="B178" s="90" t="str">
        <f>IF('Marks Entry'!B178="","",'Marks Entry'!B178)</f>
        <v/>
      </c>
      <c r="C178" s="94" t="str">
        <f>IF('Marks Entry'!D178="","",'Marks Entry'!D178)</f>
        <v/>
      </c>
      <c r="D178" s="91" t="str">
        <f>IF('Marks Entry'!E178="","",'Marks Entry'!E178)</f>
        <v/>
      </c>
      <c r="E178" s="92" t="str">
        <f>IF('Marks Entry'!F178="","",'Marks Entry'!F178)</f>
        <v/>
      </c>
      <c r="F178" s="93" t="str">
        <f>IF('Marks Entry'!G178="","",'Marks Entry'!G178)</f>
        <v/>
      </c>
      <c r="G178" s="93" t="str">
        <f>IF('Marks Entry'!H178="","",'Marks Entry'!H178)</f>
        <v/>
      </c>
      <c r="H178" s="93" t="str">
        <f>IF('Marks Entry'!I178="","",'Marks Entry'!I178)</f>
        <v/>
      </c>
      <c r="I178" s="94" t="str">
        <f>IF('Marks Entry'!J178="","",'Marks Entry'!J178)</f>
        <v/>
      </c>
      <c r="J178" s="95" t="str">
        <f>IF('Marks Entry'!K178="","",'Marks Entry'!K178)</f>
        <v/>
      </c>
      <c r="K178" s="68" t="str">
        <f>IF('Marks Entry'!L178="","",'Marks Entry'!L178)</f>
        <v/>
      </c>
      <c r="L178" s="68" t="str">
        <f>IF('Marks Entry'!M178="","",'Marks Entry'!M178)</f>
        <v/>
      </c>
      <c r="M178" s="68" t="str">
        <f>IF('Marks Entry'!N178="","",'Marks Entry'!N178)</f>
        <v/>
      </c>
      <c r="N178" s="514" t="str">
        <f t="shared" si="425"/>
        <v/>
      </c>
      <c r="O178" s="68" t="str">
        <f>IF('Marks Entry'!O178="","",'Marks Entry'!O178)</f>
        <v/>
      </c>
      <c r="P178" s="515" t="str">
        <f t="shared" si="426"/>
        <v/>
      </c>
      <c r="Q178" s="68" t="str">
        <f>IF('Marks Entry'!P178="","",'Marks Entry'!P178)</f>
        <v/>
      </c>
      <c r="R178" s="96" t="str">
        <f t="shared" si="427"/>
        <v/>
      </c>
      <c r="S178" s="65">
        <f t="shared" si="428"/>
        <v>0</v>
      </c>
      <c r="T178" s="65">
        <f t="shared" si="429"/>
        <v>0</v>
      </c>
      <c r="U178" s="66" t="str">
        <f t="shared" si="339"/>
        <v/>
      </c>
      <c r="V178" s="65" t="str">
        <f t="shared" si="340"/>
        <v/>
      </c>
      <c r="W178" s="65" t="str">
        <f t="shared" si="430"/>
        <v/>
      </c>
      <c r="X178" s="65" t="str">
        <f t="shared" si="341"/>
        <v/>
      </c>
      <c r="Y178" s="68" t="str">
        <f>IF('Marks Entry'!Q178="","",'Marks Entry'!Q178)</f>
        <v/>
      </c>
      <c r="Z178" s="68" t="str">
        <f>IF('Marks Entry'!R178="","",'Marks Entry'!R178)</f>
        <v/>
      </c>
      <c r="AA178" s="68" t="str">
        <f>IF('Marks Entry'!S178="","",'Marks Entry'!S178)</f>
        <v/>
      </c>
      <c r="AB178" s="514" t="str">
        <f t="shared" si="342"/>
        <v/>
      </c>
      <c r="AC178" s="68" t="str">
        <f>IF('Marks Entry'!T178="","",'Marks Entry'!T178)</f>
        <v/>
      </c>
      <c r="AD178" s="515" t="str">
        <f t="shared" si="343"/>
        <v/>
      </c>
      <c r="AE178" s="68" t="str">
        <f>IF('Marks Entry'!U178="","",'Marks Entry'!U178)</f>
        <v/>
      </c>
      <c r="AF178" s="96" t="str">
        <f t="shared" si="344"/>
        <v/>
      </c>
      <c r="AG178" s="65">
        <f t="shared" si="345"/>
        <v>0</v>
      </c>
      <c r="AH178" s="65">
        <f t="shared" si="346"/>
        <v>0</v>
      </c>
      <c r="AI178" s="66" t="str">
        <f t="shared" si="347"/>
        <v/>
      </c>
      <c r="AJ178" s="65" t="str">
        <f t="shared" si="348"/>
        <v/>
      </c>
      <c r="AK178" s="65" t="str">
        <f t="shared" si="349"/>
        <v/>
      </c>
      <c r="AL178" s="65" t="str">
        <f t="shared" si="350"/>
        <v/>
      </c>
      <c r="AM178" s="524" t="str">
        <f>IF('Marks Entry'!V178="","",IF('Marks Entry'!V178=1,'School Profile'!$I$9,IF('Marks Entry'!V178=2,'School Profile'!$I$10,IF('Marks Entry'!V178=3,'School Profile'!$I$11,IF('Marks Entry'!V178=4,'School Profile'!$I$12,IF('Marks Entry'!V178=5,'School Profile'!$I$13,IF('Marks Entry'!V178=6,'School Profile'!$I$14,"")))))))</f>
        <v/>
      </c>
      <c r="AN178" s="68" t="str">
        <f>IF('Marks Entry'!W178="","",'Marks Entry'!W178)</f>
        <v/>
      </c>
      <c r="AO178" s="68" t="str">
        <f>IF('Marks Entry'!X178="","",'Marks Entry'!X178)</f>
        <v/>
      </c>
      <c r="AP178" s="68" t="str">
        <f>IF('Marks Entry'!Y178="","",'Marks Entry'!Y178)</f>
        <v/>
      </c>
      <c r="AQ178" s="514" t="str">
        <f t="shared" si="351"/>
        <v/>
      </c>
      <c r="AR178" s="68" t="str">
        <f>IF('Marks Entry'!Z178="","",'Marks Entry'!Z178)</f>
        <v/>
      </c>
      <c r="AS178" s="515" t="str">
        <f t="shared" si="352"/>
        <v/>
      </c>
      <c r="AT178" s="68" t="str">
        <f>IF('Marks Entry'!AA178="","",'Marks Entry'!AA178)</f>
        <v/>
      </c>
      <c r="AU178" s="96" t="str">
        <f t="shared" si="353"/>
        <v/>
      </c>
      <c r="AV178" s="65">
        <f t="shared" si="354"/>
        <v>0</v>
      </c>
      <c r="AW178" s="65">
        <f t="shared" si="355"/>
        <v>0</v>
      </c>
      <c r="AX178" s="66" t="str">
        <f t="shared" si="356"/>
        <v/>
      </c>
      <c r="AY178" s="65" t="str">
        <f t="shared" si="357"/>
        <v/>
      </c>
      <c r="AZ178" s="65" t="str">
        <f t="shared" si="358"/>
        <v/>
      </c>
      <c r="BA178" s="65" t="str">
        <f t="shared" si="359"/>
        <v/>
      </c>
      <c r="BB178" s="68" t="str">
        <f>IF('Marks Entry'!AB178="","",'Marks Entry'!AB178)</f>
        <v/>
      </c>
      <c r="BC178" s="68" t="str">
        <f>IF('Marks Entry'!AC178="","",'Marks Entry'!AC178)</f>
        <v/>
      </c>
      <c r="BD178" s="68" t="str">
        <f>IF('Marks Entry'!AD178="","",'Marks Entry'!AD178)</f>
        <v/>
      </c>
      <c r="BE178" s="514" t="str">
        <f t="shared" si="360"/>
        <v/>
      </c>
      <c r="BF178" s="68" t="str">
        <f>IF('Marks Entry'!AE178="","",'Marks Entry'!AE178)</f>
        <v/>
      </c>
      <c r="BG178" s="515" t="str">
        <f t="shared" si="361"/>
        <v/>
      </c>
      <c r="BH178" s="68" t="str">
        <f>IF('Marks Entry'!AF178="","",'Marks Entry'!AF178)</f>
        <v/>
      </c>
      <c r="BI178" s="96" t="str">
        <f t="shared" si="362"/>
        <v/>
      </c>
      <c r="BJ178" s="65">
        <f t="shared" si="363"/>
        <v>0</v>
      </c>
      <c r="BK178" s="65">
        <f t="shared" si="431"/>
        <v>0</v>
      </c>
      <c r="BL178" s="66" t="str">
        <f t="shared" si="364"/>
        <v/>
      </c>
      <c r="BM178" s="65" t="str">
        <f t="shared" si="365"/>
        <v/>
      </c>
      <c r="BN178" s="65" t="str">
        <f t="shared" si="366"/>
        <v/>
      </c>
      <c r="BO178" s="65" t="str">
        <f t="shared" si="367"/>
        <v/>
      </c>
      <c r="BP178" s="68" t="str">
        <f>IF('Marks Entry'!AG178="","",'Marks Entry'!AG178)</f>
        <v/>
      </c>
      <c r="BQ178" s="68" t="str">
        <f>IF('Marks Entry'!AH178="","",'Marks Entry'!AH178)</f>
        <v/>
      </c>
      <c r="BR178" s="68" t="str">
        <f>IF('Marks Entry'!AI178="","",'Marks Entry'!AI178)</f>
        <v/>
      </c>
      <c r="BS178" s="514" t="str">
        <f t="shared" si="368"/>
        <v/>
      </c>
      <c r="BT178" s="68" t="str">
        <f>IF('Marks Entry'!AJ178="","",'Marks Entry'!AJ178)</f>
        <v/>
      </c>
      <c r="BU178" s="515" t="str">
        <f t="shared" si="369"/>
        <v/>
      </c>
      <c r="BV178" s="68" t="str">
        <f>IF('Marks Entry'!AK178="","",'Marks Entry'!AK178)</f>
        <v/>
      </c>
      <c r="BW178" s="96" t="str">
        <f t="shared" si="370"/>
        <v/>
      </c>
      <c r="BX178" s="65">
        <f t="shared" si="371"/>
        <v>0</v>
      </c>
      <c r="BY178" s="65">
        <f t="shared" si="372"/>
        <v>0</v>
      </c>
      <c r="BZ178" s="66" t="str">
        <f t="shared" si="373"/>
        <v/>
      </c>
      <c r="CA178" s="65" t="str">
        <f t="shared" si="374"/>
        <v/>
      </c>
      <c r="CB178" s="65" t="str">
        <f t="shared" si="375"/>
        <v/>
      </c>
      <c r="CC178" s="65" t="str">
        <f t="shared" si="376"/>
        <v/>
      </c>
      <c r="CD178" s="66">
        <f t="shared" si="497"/>
        <v>0</v>
      </c>
      <c r="CE178" s="68" t="str">
        <f>IF('Marks Entry'!AL178="","",'Marks Entry'!AL178)</f>
        <v/>
      </c>
      <c r="CF178" s="68" t="str">
        <f>IF('Marks Entry'!AM178="","",'Marks Entry'!AM178)</f>
        <v/>
      </c>
      <c r="CG178" s="68" t="str">
        <f>IF('Marks Entry'!AN178="","",'Marks Entry'!AN178)</f>
        <v/>
      </c>
      <c r="CH178" s="514" t="str">
        <f t="shared" si="378"/>
        <v/>
      </c>
      <c r="CI178" s="68" t="str">
        <f>IF('Marks Entry'!AO178="","",'Marks Entry'!AO178)</f>
        <v/>
      </c>
      <c r="CJ178" s="515" t="str">
        <f t="shared" si="379"/>
        <v/>
      </c>
      <c r="CK178" s="68" t="str">
        <f>IF('Marks Entry'!AP178="","",'Marks Entry'!AP178)</f>
        <v/>
      </c>
      <c r="CL178" s="96" t="str">
        <f t="shared" si="380"/>
        <v/>
      </c>
      <c r="CM178" s="65">
        <f t="shared" si="381"/>
        <v>0</v>
      </c>
      <c r="CN178" s="65">
        <f t="shared" si="382"/>
        <v>0</v>
      </c>
      <c r="CO178" s="66" t="str">
        <f t="shared" si="383"/>
        <v/>
      </c>
      <c r="CP178" s="65" t="str">
        <f t="shared" si="384"/>
        <v/>
      </c>
      <c r="CQ178" s="65" t="str">
        <f t="shared" si="385"/>
        <v/>
      </c>
      <c r="CR178" s="65" t="str">
        <f t="shared" si="386"/>
        <v/>
      </c>
      <c r="CS178" s="616" t="str">
        <f>IF('School Profile'!$D$20="NO","",IF('Marks Entry'!AQ178="","",IF('Marks Entry'!AQ178=1,'School Profile'!$I$29,IF('Marks Entry'!AQ178=2,'School Profile'!$I$30,IF('Marks Entry'!AQ178=3,'School Profile'!$I$31,IF('Marks Entry'!AQ178=4,'School Profile'!$I$32,IF('Marks Entry'!AQ178=5,'School Profile'!$I$33,IF('Marks Entry'!AQ178=6,'School Profile'!$I$34,IF('Marks Entry'!AQ178=7,'School Profile'!$I$35,IF('Marks Entry'!AQ178=8,'School Profile'!$I$36,IF('Marks Entry'!AQ178=9,'School Profile'!$I$37,IF('Marks Entry'!AQ178=10,'School Profile'!$I$38,IF('Marks Entry'!AQ178=11,'School Profile'!$I$39,"")))))))))))))</f>
        <v/>
      </c>
      <c r="CT178" s="68" t="str">
        <f>IF('School Profile'!$D$20="NO","",IF('Marks Entry'!AR178="","",'Marks Entry'!AR178))</f>
        <v/>
      </c>
      <c r="CU178" s="68" t="str">
        <f>IF('School Profile'!$D$20="NO","",IF('Marks Entry'!AS178="","",'Marks Entry'!AS178))</f>
        <v/>
      </c>
      <c r="CV178" s="68" t="str">
        <f>IF('School Profile'!$D$20="NO","",IF('Marks Entry'!AT178="","",'Marks Entry'!AT178))</f>
        <v/>
      </c>
      <c r="CW178" s="514" t="str">
        <f>IF('School Profile'!$D$20="NO","",IF(AND(CT178="",CU178="",CV178=""),"",SUM(CT178:CV178)))</f>
        <v/>
      </c>
      <c r="CX178" s="68" t="str">
        <f>IF('School Profile'!$D$20="NO","",IF('Marks Entry'!AU178="","",'Marks Entry'!AU178))</f>
        <v/>
      </c>
      <c r="CY178" s="68" t="str">
        <f>IF('School Profile'!$D$20="NO","",IF('Marks Entry'!AV178="","",'Marks Entry'!AV178))</f>
        <v/>
      </c>
      <c r="CZ178" s="515" t="str">
        <f>IF('School Profile'!$D$20="NO","",IF(AND(CX178="",CY178=""),"",SUM(CX178,CY178)))</f>
        <v/>
      </c>
      <c r="DA178" s="69" t="str">
        <f>IF('School Profile'!$D$20="NO","",IF(AND(CW178="",CZ178=""),"",SUM(CW178+CZ178)))</f>
        <v/>
      </c>
      <c r="DB178" s="68" t="str">
        <f>IF('School Profile'!$D$20="NO","",IF('Marks Entry'!AW178="","",'Marks Entry'!AW178))</f>
        <v/>
      </c>
      <c r="DC178" s="68" t="str">
        <f>IF('School Profile'!$D$20="NO","",IF('Marks Entry'!AX178="","",'Marks Entry'!AX178))</f>
        <v/>
      </c>
      <c r="DD178" s="515" t="str">
        <f>IF('School Profile'!$D$20="NO","",IF(AND(DB178="",DC178=""),"",SUM(DB178,DC178)))</f>
        <v/>
      </c>
      <c r="DE178" s="96" t="str">
        <f>IF('School Profile'!$D$20="NO","",IF(AND(DA178="",DD178=""),"",SUM(DA178,DD178)))</f>
        <v/>
      </c>
      <c r="DF178" s="532">
        <f t="shared" si="387"/>
        <v>0</v>
      </c>
      <c r="DG178" s="65">
        <f t="shared" si="388"/>
        <v>0</v>
      </c>
      <c r="DH178" s="66" t="str">
        <f t="shared" si="389"/>
        <v/>
      </c>
      <c r="DI178" s="65" t="str">
        <f t="shared" si="390"/>
        <v/>
      </c>
      <c r="DJ178" s="65" t="str">
        <f t="shared" si="391"/>
        <v/>
      </c>
      <c r="DK178" s="65" t="str">
        <f t="shared" si="392"/>
        <v/>
      </c>
      <c r="DL178" s="97" t="str">
        <f t="shared" si="432"/>
        <v/>
      </c>
      <c r="DM178" s="97" t="str">
        <f t="shared" si="433"/>
        <v/>
      </c>
      <c r="DN178" s="97" t="str">
        <f t="shared" si="434"/>
        <v/>
      </c>
      <c r="DO178" s="97" t="str">
        <f t="shared" si="435"/>
        <v/>
      </c>
      <c r="DP178" s="97" t="str">
        <f t="shared" si="436"/>
        <v/>
      </c>
      <c r="DQ178" s="97" t="str">
        <f t="shared" si="437"/>
        <v/>
      </c>
      <c r="DR178" s="97" t="str">
        <f t="shared" si="438"/>
        <v/>
      </c>
      <c r="DS178" s="98">
        <f t="shared" si="439"/>
        <v>0</v>
      </c>
      <c r="DT178" s="98">
        <f t="shared" si="440"/>
        <v>0</v>
      </c>
      <c r="DU178" s="98">
        <f t="shared" si="441"/>
        <v>0</v>
      </c>
      <c r="DV178" s="98">
        <f t="shared" si="442"/>
        <v>0</v>
      </c>
      <c r="DW178" s="98">
        <f t="shared" si="443"/>
        <v>0</v>
      </c>
      <c r="DX178" s="98" t="str">
        <f t="shared" si="444"/>
        <v/>
      </c>
      <c r="DY178" s="99" t="str">
        <f t="shared" si="445"/>
        <v/>
      </c>
      <c r="DZ178" s="74" t="str">
        <f>IF('Marks Entry'!AY178="","",'Marks Entry'!AY178)</f>
        <v/>
      </c>
      <c r="EA178" s="74" t="str">
        <f>IF('Marks Entry'!AZ178="","",'Marks Entry'!AZ178)</f>
        <v/>
      </c>
      <c r="EB178" s="74" t="str">
        <f>IF('Marks Entry'!BA178="","",'Marks Entry'!BA178)</f>
        <v/>
      </c>
      <c r="EC178" s="527" t="str">
        <f t="shared" si="393"/>
        <v/>
      </c>
      <c r="ED178" s="74" t="str">
        <f>IF('Marks Entry'!BB178="","",'Marks Entry'!BB178)</f>
        <v/>
      </c>
      <c r="EE178" s="528" t="str">
        <f t="shared" si="394"/>
        <v/>
      </c>
      <c r="EF178" s="74" t="str">
        <f>IF('Marks Entry'!BC178="","",'Marks Entry'!BC178)</f>
        <v/>
      </c>
      <c r="EG178" s="530" t="str">
        <f t="shared" si="395"/>
        <v/>
      </c>
      <c r="EH178" s="368" t="str">
        <f t="shared" si="446"/>
        <v/>
      </c>
      <c r="EI178" s="65">
        <f t="shared" si="447"/>
        <v>0</v>
      </c>
      <c r="EJ178" s="65">
        <f t="shared" si="448"/>
        <v>0</v>
      </c>
      <c r="EK178" s="66" t="str">
        <f t="shared" si="449"/>
        <v/>
      </c>
      <c r="EL178" s="74" t="str">
        <f>IF('Marks Entry'!BD178="","",'Marks Entry'!BD178)</f>
        <v/>
      </c>
      <c r="EM178" s="74" t="str">
        <f>IF('Marks Entry'!BE178="","",'Marks Entry'!BE178)</f>
        <v/>
      </c>
      <c r="EN178" s="74" t="str">
        <f>IF('Marks Entry'!BF178="","",'Marks Entry'!BF178)</f>
        <v/>
      </c>
      <c r="EO178" s="527" t="str">
        <f t="shared" si="396"/>
        <v/>
      </c>
      <c r="EP178" s="74" t="str">
        <f>IF('Marks Entry'!BG178="","",'Marks Entry'!BG178)</f>
        <v/>
      </c>
      <c r="EQ178" s="74" t="str">
        <f>IF('Marks Entry'!BH178="","",'Marks Entry'!BH178)</f>
        <v/>
      </c>
      <c r="ER178" s="528" t="str">
        <f t="shared" si="397"/>
        <v/>
      </c>
      <c r="ES178" s="529" t="str">
        <f t="shared" si="398"/>
        <v/>
      </c>
      <c r="ET178" s="74" t="str">
        <f>IF('Marks Entry'!BI178="","",'Marks Entry'!BI178)</f>
        <v/>
      </c>
      <c r="EU178" s="74" t="str">
        <f>IF('Marks Entry'!BJ178="","",'Marks Entry'!BJ178)</f>
        <v/>
      </c>
      <c r="EV178" s="528" t="str">
        <f t="shared" si="399"/>
        <v/>
      </c>
      <c r="EW178" s="530" t="str">
        <f t="shared" si="400"/>
        <v/>
      </c>
      <c r="EX178" s="368" t="str">
        <f t="shared" si="450"/>
        <v/>
      </c>
      <c r="EY178" s="65">
        <f t="shared" si="451"/>
        <v>0</v>
      </c>
      <c r="EZ178" s="65">
        <f t="shared" si="452"/>
        <v>0</v>
      </c>
      <c r="FA178" s="66" t="str">
        <f t="shared" si="453"/>
        <v/>
      </c>
      <c r="FB178" s="74" t="str">
        <f>IF('Marks Entry'!BK178="","",'Marks Entry'!BK178)</f>
        <v/>
      </c>
      <c r="FC178" s="74" t="str">
        <f>IF('Marks Entry'!BL178="","",'Marks Entry'!BL178)</f>
        <v/>
      </c>
      <c r="FD178" s="74" t="str">
        <f>IF('Marks Entry'!BM178="","",'Marks Entry'!BM178)</f>
        <v/>
      </c>
      <c r="FE178" s="74" t="str">
        <f>IF('Marks Entry'!BN178="","",'Marks Entry'!BN178)</f>
        <v/>
      </c>
      <c r="FF178" s="74" t="str">
        <f>IF('Marks Entry'!BO178="","",'Marks Entry'!BO178)</f>
        <v/>
      </c>
      <c r="FG178" s="74" t="str">
        <f>IF('Marks Entry'!BP178="","",'Marks Entry'!BP178)</f>
        <v/>
      </c>
      <c r="FH178" s="527" t="str">
        <f t="shared" si="401"/>
        <v/>
      </c>
      <c r="FI178" s="74" t="str">
        <f>IF('Marks Entry'!BQ178="","",'Marks Entry'!BQ178)</f>
        <v/>
      </c>
      <c r="FJ178" s="74" t="str">
        <f>IF('Marks Entry'!BR178="","",'Marks Entry'!BR178)</f>
        <v/>
      </c>
      <c r="FK178" s="528" t="str">
        <f t="shared" si="402"/>
        <v/>
      </c>
      <c r="FL178" s="529" t="str">
        <f t="shared" si="403"/>
        <v/>
      </c>
      <c r="FM178" s="74" t="str">
        <f>IF('Marks Entry'!BS178="","",'Marks Entry'!BS178)</f>
        <v/>
      </c>
      <c r="FN178" s="74" t="str">
        <f>IF('Marks Entry'!BT178="","",'Marks Entry'!BT178)</f>
        <v/>
      </c>
      <c r="FO178" s="528" t="str">
        <f t="shared" si="404"/>
        <v/>
      </c>
      <c r="FP178" s="530" t="str">
        <f t="shared" si="405"/>
        <v/>
      </c>
      <c r="FQ178" s="368" t="str">
        <f t="shared" si="454"/>
        <v/>
      </c>
      <c r="FR178" s="65">
        <f t="shared" si="455"/>
        <v>0</v>
      </c>
      <c r="FS178" s="65">
        <f t="shared" si="456"/>
        <v>0</v>
      </c>
      <c r="FT178" s="66" t="str">
        <f t="shared" si="457"/>
        <v/>
      </c>
      <c r="FU178" s="74" t="str">
        <f>IF('Marks Entry'!BU178="","",'Marks Entry'!BU178)</f>
        <v/>
      </c>
      <c r="FV178" s="74" t="str">
        <f>IF('Marks Entry'!BV178="","",'Marks Entry'!BV178)</f>
        <v/>
      </c>
      <c r="FW178" s="74" t="str">
        <f>IF('Marks Entry'!BW178="","",'Marks Entry'!BW178)</f>
        <v/>
      </c>
      <c r="FX178" s="75" t="str">
        <f t="shared" si="406"/>
        <v/>
      </c>
      <c r="FY178" s="368" t="str">
        <f t="shared" si="458"/>
        <v/>
      </c>
      <c r="FZ178" s="65">
        <f t="shared" si="459"/>
        <v>0</v>
      </c>
      <c r="GA178" s="66">
        <f t="shared" si="460"/>
        <v>0</v>
      </c>
      <c r="GB178" s="66" t="str">
        <f t="shared" si="461"/>
        <v/>
      </c>
      <c r="GC178" s="74" t="str">
        <f>IF('Marks Entry'!BX178="","",'Marks Entry'!BX178)</f>
        <v/>
      </c>
      <c r="GD178" s="74" t="str">
        <f>IF('Marks Entry'!BY178="","",'Marks Entry'!BY178)</f>
        <v/>
      </c>
      <c r="GE178" s="74" t="str">
        <f>IF('Marks Entry'!BZ178="","",'Marks Entry'!BZ178)</f>
        <v/>
      </c>
      <c r="GF178" s="75" t="str">
        <f t="shared" si="462"/>
        <v/>
      </c>
      <c r="GG178" s="368" t="str">
        <f t="shared" si="463"/>
        <v/>
      </c>
      <c r="GH178" s="65">
        <f t="shared" si="464"/>
        <v>0</v>
      </c>
      <c r="GI178" s="66">
        <f t="shared" si="465"/>
        <v>0</v>
      </c>
      <c r="GJ178" s="66" t="str">
        <f t="shared" si="466"/>
        <v/>
      </c>
      <c r="GK178" s="100" t="str">
        <f>IF(AND(F178="",B178=""),"",IF('Student DATA Entry'!M175="","",'Student DATA Entry'!M175))</f>
        <v/>
      </c>
      <c r="GL178" s="101" t="str">
        <f>IF(AND(B178="",F178=""),"",IF('Student DATA Entry'!N175="","",'Student DATA Entry'!N175))</f>
        <v/>
      </c>
      <c r="GM178" s="581" t="str">
        <f t="shared" si="467"/>
        <v/>
      </c>
      <c r="GN178" s="94" t="str">
        <f t="shared" si="468"/>
        <v/>
      </c>
      <c r="GO178" s="94" t="str">
        <f t="shared" si="469"/>
        <v/>
      </c>
      <c r="GP178" s="102" t="str">
        <f t="shared" si="498"/>
        <v/>
      </c>
      <c r="GQ178" s="94" t="str">
        <f t="shared" si="470"/>
        <v/>
      </c>
      <c r="GR178" s="103" t="str">
        <f t="shared" si="471"/>
        <v/>
      </c>
      <c r="GS178" s="102" t="str">
        <f t="shared" si="499"/>
        <v/>
      </c>
      <c r="GT178" s="104" t="str">
        <f t="shared" si="472"/>
        <v/>
      </c>
      <c r="GU178" s="94" t="str">
        <f>IF('Marks Entry'!V178=1,GT178,"")</f>
        <v/>
      </c>
      <c r="GV178" s="94" t="str">
        <f>IF('Marks Entry'!V178=2,GT178,"")</f>
        <v/>
      </c>
      <c r="GW178" s="94" t="str">
        <f>IF('Marks Entry'!V178=3,GT178,"")</f>
        <v/>
      </c>
      <c r="GX178" s="94" t="str">
        <f>IF('Marks Entry'!V178=4,GT178,"")</f>
        <v/>
      </c>
      <c r="GY178" s="94" t="str">
        <f>IF('Marks Entry'!V178=5,GT178,"")</f>
        <v/>
      </c>
      <c r="GZ178" s="94" t="str">
        <f t="shared" si="473"/>
        <v/>
      </c>
      <c r="HA178" s="105" t="str">
        <f t="shared" si="500"/>
        <v/>
      </c>
      <c r="HB178" s="94" t="str">
        <f t="shared" si="474"/>
        <v/>
      </c>
      <c r="HC178" s="94" t="str">
        <f t="shared" si="475"/>
        <v/>
      </c>
      <c r="HD178" s="105" t="str">
        <f t="shared" si="501"/>
        <v/>
      </c>
      <c r="HE178" s="94" t="str">
        <f t="shared" si="476"/>
        <v/>
      </c>
      <c r="HF178" s="94" t="str">
        <f t="shared" si="477"/>
        <v/>
      </c>
      <c r="HG178" s="105" t="str">
        <f t="shared" si="502"/>
        <v/>
      </c>
      <c r="HH178" s="94" t="str">
        <f t="shared" si="478"/>
        <v/>
      </c>
      <c r="HI178" s="94" t="str">
        <f t="shared" si="479"/>
        <v/>
      </c>
      <c r="HJ178" s="105" t="str">
        <f t="shared" si="503"/>
        <v/>
      </c>
      <c r="HK178" s="94" t="str">
        <f t="shared" si="480"/>
        <v/>
      </c>
      <c r="HL178" s="94" t="str">
        <f t="shared" si="481"/>
        <v/>
      </c>
      <c r="HM178" s="105" t="str">
        <f t="shared" si="504"/>
        <v/>
      </c>
      <c r="HN178" s="367" t="str">
        <f t="shared" si="482"/>
        <v xml:space="preserve">      </v>
      </c>
      <c r="HO178" s="418" t="str">
        <f t="shared" si="505"/>
        <v xml:space="preserve">      </v>
      </c>
      <c r="HP178" s="367" t="str">
        <f t="shared" si="483"/>
        <v xml:space="preserve">      </v>
      </c>
      <c r="HQ178" s="107" t="str">
        <f t="shared" si="484"/>
        <v xml:space="preserve">      </v>
      </c>
      <c r="HR178" s="366" t="str">
        <f t="shared" si="485"/>
        <v xml:space="preserve">      </v>
      </c>
      <c r="HS178" s="544" t="str">
        <f t="shared" si="506"/>
        <v/>
      </c>
      <c r="HT178" s="542" t="str">
        <f t="shared" si="486"/>
        <v/>
      </c>
      <c r="HU178" s="541" t="str">
        <f t="shared" si="487"/>
        <v/>
      </c>
      <c r="HV178" s="540" t="str">
        <f t="shared" si="488"/>
        <v/>
      </c>
      <c r="HW178" s="537" t="str">
        <f t="shared" si="489"/>
        <v/>
      </c>
      <c r="HX178" s="539" t="str">
        <f t="shared" si="490"/>
        <v/>
      </c>
      <c r="HY178" s="553" t="str">
        <f>IFERROR(IF(OR(HS178="SUPPLEMENTARY",HS178="RE-EXAM"),'Supp. Result Entry'!AQ176,""),"")</f>
        <v/>
      </c>
      <c r="HZ178" s="538" t="str">
        <f t="shared" si="491"/>
        <v/>
      </c>
      <c r="IA178" s="415" t="str">
        <f t="shared" si="492"/>
        <v/>
      </c>
      <c r="IB178" s="415" t="str">
        <f>IF(AND(HZ178="",IA178=""),"",IF(OR(HS178="SUPPLEMENTARY",HS178="RE-EXAM"),'Supp. Result Entry'!AQ176,HS178))</f>
        <v/>
      </c>
      <c r="IC178" s="87"/>
      <c r="IS178" s="109" t="str">
        <f>IF('Supp. Result Entry'!T176="","",'Supp. Result Entry'!$T$4)</f>
        <v/>
      </c>
      <c r="IT178" s="110" t="str">
        <f>IF('Supp. Result Entry'!W176="","",'Supp. Result Entry'!$W$4)</f>
        <v/>
      </c>
      <c r="IU178" s="110" t="str">
        <f>IF('Supp. Result Entry'!Z176="","",'Supp. Result Entry'!$Z$4)</f>
        <v/>
      </c>
      <c r="IV178" s="110" t="str">
        <f>IF('Supp. Result Entry'!AC176="","",'Supp. Result Entry'!$AC$4)</f>
        <v/>
      </c>
      <c r="IW178" s="110" t="str">
        <f>IF('Supp. Result Entry'!AF176="","",'Supp. Result Entry'!$AF$4)</f>
        <v/>
      </c>
      <c r="IX178" s="110" t="str">
        <f>IF('Supp. Result Entry'!AI176="","",'Supp. Result Entry'!$AI$4)</f>
        <v/>
      </c>
      <c r="IY178" s="110" t="str">
        <f>IF('Supp. Result Entry'!AI176="","",'Supp. Result Entry'!$AL$4)</f>
        <v/>
      </c>
      <c r="IZ178" s="110" t="str">
        <f>IF('Supp. Result Entry'!U176="","",'Supp. Result Entry'!U176)</f>
        <v/>
      </c>
      <c r="JA178" s="110" t="str">
        <f>IF('Supp. Result Entry'!X176="","",'Supp. Result Entry'!X176)</f>
        <v/>
      </c>
      <c r="JB178" s="110" t="str">
        <f>IF('Supp. Result Entry'!AA176="","",'Supp. Result Entry'!AA176)</f>
        <v/>
      </c>
      <c r="JC178" s="110" t="str">
        <f>IF('Supp. Result Entry'!AD176="","",'Supp. Result Entry'!AD176)</f>
        <v/>
      </c>
      <c r="JD178" s="110" t="str">
        <f>IF('Supp. Result Entry'!AG176="","",'Supp. Result Entry'!AG176)</f>
        <v/>
      </c>
      <c r="JE178" s="110" t="str">
        <f>IF('Supp. Result Entry'!AJ176="","",'Supp. Result Entry'!AJ176)</f>
        <v/>
      </c>
      <c r="JF178" s="110" t="str">
        <f>IF('Supp. Result Entry'!AM176="","",'Supp. Result Entry'!AM176)</f>
        <v/>
      </c>
      <c r="JG178" s="110" t="str">
        <f>IF('Supp. Result Entry'!V176="","",'Supp. Result Entry'!V176)</f>
        <v/>
      </c>
      <c r="JH178" s="110" t="str">
        <f>IF('Supp. Result Entry'!Y176="","",'Supp. Result Entry'!Y176)</f>
        <v/>
      </c>
      <c r="JI178" s="110" t="str">
        <f>IF('Supp. Result Entry'!AB176="","",'Supp. Result Entry'!AB176)</f>
        <v/>
      </c>
      <c r="JJ178" s="110" t="str">
        <f>IF('Supp. Result Entry'!AE176="","",'Supp. Result Entry'!AE176)</f>
        <v/>
      </c>
      <c r="JK178" s="110" t="str">
        <f>IF('Supp. Result Entry'!AH176="","",'Supp. Result Entry'!AH176)</f>
        <v/>
      </c>
      <c r="JL178" s="110" t="str">
        <f>IF('Supp. Result Entry'!AK176="","",'Supp. Result Entry'!AK176)</f>
        <v/>
      </c>
      <c r="JM178" s="110" t="str">
        <f>IF('Supp. Result Entry'!AN176="","",'Supp. Result Entry'!AN176)</f>
        <v/>
      </c>
      <c r="JN178" s="110">
        <f>COUNTIF('Supp. Result Entry'!K176:Q176,"S")</f>
        <v>0</v>
      </c>
      <c r="JO178" s="110">
        <f t="shared" si="416"/>
        <v>0</v>
      </c>
      <c r="JP178" s="110">
        <f t="shared" si="493"/>
        <v>0</v>
      </c>
      <c r="JQ178" s="110" t="str">
        <f t="shared" si="417"/>
        <v/>
      </c>
      <c r="JR178" s="110" t="str">
        <f t="shared" si="418"/>
        <v/>
      </c>
      <c r="JS178" s="110" t="str">
        <f t="shared" si="419"/>
        <v/>
      </c>
      <c r="JT178" s="110" t="str">
        <f t="shared" si="420"/>
        <v/>
      </c>
      <c r="JU178" s="110" t="str">
        <f t="shared" si="421"/>
        <v/>
      </c>
      <c r="JV178" s="110" t="str">
        <f t="shared" si="422"/>
        <v/>
      </c>
      <c r="JW178" s="110" t="str">
        <f t="shared" si="423"/>
        <v/>
      </c>
      <c r="JX178" s="110" t="str">
        <f t="shared" si="494"/>
        <v/>
      </c>
      <c r="JY178" s="110" t="str">
        <f t="shared" si="495"/>
        <v/>
      </c>
      <c r="JZ178" s="110" t="str">
        <f t="shared" si="424"/>
        <v/>
      </c>
      <c r="KA178" s="108" t="str">
        <f t="shared" si="496"/>
        <v/>
      </c>
    </row>
    <row r="179" spans="1:287" s="108" customFormat="1" ht="21.95" customHeight="1">
      <c r="A179" s="89">
        <v>173</v>
      </c>
      <c r="B179" s="90" t="str">
        <f>IF('Marks Entry'!B179="","",'Marks Entry'!B179)</f>
        <v/>
      </c>
      <c r="C179" s="94" t="str">
        <f>IF('Marks Entry'!D179="","",'Marks Entry'!D179)</f>
        <v/>
      </c>
      <c r="D179" s="91" t="str">
        <f>IF('Marks Entry'!E179="","",'Marks Entry'!E179)</f>
        <v/>
      </c>
      <c r="E179" s="92" t="str">
        <f>IF('Marks Entry'!F179="","",'Marks Entry'!F179)</f>
        <v/>
      </c>
      <c r="F179" s="93" t="str">
        <f>IF('Marks Entry'!G179="","",'Marks Entry'!G179)</f>
        <v/>
      </c>
      <c r="G179" s="93" t="str">
        <f>IF('Marks Entry'!H179="","",'Marks Entry'!H179)</f>
        <v/>
      </c>
      <c r="H179" s="93" t="str">
        <f>IF('Marks Entry'!I179="","",'Marks Entry'!I179)</f>
        <v/>
      </c>
      <c r="I179" s="94" t="str">
        <f>IF('Marks Entry'!J179="","",'Marks Entry'!J179)</f>
        <v/>
      </c>
      <c r="J179" s="95" t="str">
        <f>IF('Marks Entry'!K179="","",'Marks Entry'!K179)</f>
        <v/>
      </c>
      <c r="K179" s="68" t="str">
        <f>IF('Marks Entry'!L179="","",'Marks Entry'!L179)</f>
        <v/>
      </c>
      <c r="L179" s="68" t="str">
        <f>IF('Marks Entry'!M179="","",'Marks Entry'!M179)</f>
        <v/>
      </c>
      <c r="M179" s="68" t="str">
        <f>IF('Marks Entry'!N179="","",'Marks Entry'!N179)</f>
        <v/>
      </c>
      <c r="N179" s="514" t="str">
        <f t="shared" si="425"/>
        <v/>
      </c>
      <c r="O179" s="68" t="str">
        <f>IF('Marks Entry'!O179="","",'Marks Entry'!O179)</f>
        <v/>
      </c>
      <c r="P179" s="515" t="str">
        <f t="shared" si="426"/>
        <v/>
      </c>
      <c r="Q179" s="68" t="str">
        <f>IF('Marks Entry'!P179="","",'Marks Entry'!P179)</f>
        <v/>
      </c>
      <c r="R179" s="96" t="str">
        <f t="shared" si="427"/>
        <v/>
      </c>
      <c r="S179" s="65">
        <f t="shared" si="428"/>
        <v>0</v>
      </c>
      <c r="T179" s="65">
        <f t="shared" si="429"/>
        <v>0</v>
      </c>
      <c r="U179" s="66" t="str">
        <f t="shared" si="339"/>
        <v/>
      </c>
      <c r="V179" s="65" t="str">
        <f t="shared" si="340"/>
        <v/>
      </c>
      <c r="W179" s="65" t="str">
        <f t="shared" si="430"/>
        <v/>
      </c>
      <c r="X179" s="65" t="str">
        <f t="shared" si="341"/>
        <v/>
      </c>
      <c r="Y179" s="68" t="str">
        <f>IF('Marks Entry'!Q179="","",'Marks Entry'!Q179)</f>
        <v/>
      </c>
      <c r="Z179" s="68" t="str">
        <f>IF('Marks Entry'!R179="","",'Marks Entry'!R179)</f>
        <v/>
      </c>
      <c r="AA179" s="68" t="str">
        <f>IF('Marks Entry'!S179="","",'Marks Entry'!S179)</f>
        <v/>
      </c>
      <c r="AB179" s="514" t="str">
        <f t="shared" si="342"/>
        <v/>
      </c>
      <c r="AC179" s="68" t="str">
        <f>IF('Marks Entry'!T179="","",'Marks Entry'!T179)</f>
        <v/>
      </c>
      <c r="AD179" s="515" t="str">
        <f t="shared" si="343"/>
        <v/>
      </c>
      <c r="AE179" s="68" t="str">
        <f>IF('Marks Entry'!U179="","",'Marks Entry'!U179)</f>
        <v/>
      </c>
      <c r="AF179" s="96" t="str">
        <f t="shared" si="344"/>
        <v/>
      </c>
      <c r="AG179" s="65">
        <f t="shared" si="345"/>
        <v>0</v>
      </c>
      <c r="AH179" s="65">
        <f t="shared" si="346"/>
        <v>0</v>
      </c>
      <c r="AI179" s="66" t="str">
        <f t="shared" si="347"/>
        <v/>
      </c>
      <c r="AJ179" s="65" t="str">
        <f t="shared" si="348"/>
        <v/>
      </c>
      <c r="AK179" s="65" t="str">
        <f t="shared" si="349"/>
        <v/>
      </c>
      <c r="AL179" s="65" t="str">
        <f t="shared" si="350"/>
        <v/>
      </c>
      <c r="AM179" s="524" t="str">
        <f>IF('Marks Entry'!V179="","",IF('Marks Entry'!V179=1,'School Profile'!$I$9,IF('Marks Entry'!V179=2,'School Profile'!$I$10,IF('Marks Entry'!V179=3,'School Profile'!$I$11,IF('Marks Entry'!V179=4,'School Profile'!$I$12,IF('Marks Entry'!V179=5,'School Profile'!$I$13,IF('Marks Entry'!V179=6,'School Profile'!$I$14,"")))))))</f>
        <v/>
      </c>
      <c r="AN179" s="68" t="str">
        <f>IF('Marks Entry'!W179="","",'Marks Entry'!W179)</f>
        <v/>
      </c>
      <c r="AO179" s="68" t="str">
        <f>IF('Marks Entry'!X179="","",'Marks Entry'!X179)</f>
        <v/>
      </c>
      <c r="AP179" s="68" t="str">
        <f>IF('Marks Entry'!Y179="","",'Marks Entry'!Y179)</f>
        <v/>
      </c>
      <c r="AQ179" s="514" t="str">
        <f t="shared" si="351"/>
        <v/>
      </c>
      <c r="AR179" s="68" t="str">
        <f>IF('Marks Entry'!Z179="","",'Marks Entry'!Z179)</f>
        <v/>
      </c>
      <c r="AS179" s="515" t="str">
        <f t="shared" si="352"/>
        <v/>
      </c>
      <c r="AT179" s="68" t="str">
        <f>IF('Marks Entry'!AA179="","",'Marks Entry'!AA179)</f>
        <v/>
      </c>
      <c r="AU179" s="96" t="str">
        <f t="shared" si="353"/>
        <v/>
      </c>
      <c r="AV179" s="65">
        <f t="shared" si="354"/>
        <v>0</v>
      </c>
      <c r="AW179" s="65">
        <f t="shared" si="355"/>
        <v>0</v>
      </c>
      <c r="AX179" s="66" t="str">
        <f t="shared" si="356"/>
        <v/>
      </c>
      <c r="AY179" s="65" t="str">
        <f t="shared" si="357"/>
        <v/>
      </c>
      <c r="AZ179" s="65" t="str">
        <f t="shared" si="358"/>
        <v/>
      </c>
      <c r="BA179" s="65" t="str">
        <f t="shared" si="359"/>
        <v/>
      </c>
      <c r="BB179" s="68" t="str">
        <f>IF('Marks Entry'!AB179="","",'Marks Entry'!AB179)</f>
        <v/>
      </c>
      <c r="BC179" s="68" t="str">
        <f>IF('Marks Entry'!AC179="","",'Marks Entry'!AC179)</f>
        <v/>
      </c>
      <c r="BD179" s="68" t="str">
        <f>IF('Marks Entry'!AD179="","",'Marks Entry'!AD179)</f>
        <v/>
      </c>
      <c r="BE179" s="514" t="str">
        <f t="shared" si="360"/>
        <v/>
      </c>
      <c r="BF179" s="68" t="str">
        <f>IF('Marks Entry'!AE179="","",'Marks Entry'!AE179)</f>
        <v/>
      </c>
      <c r="BG179" s="515" t="str">
        <f t="shared" si="361"/>
        <v/>
      </c>
      <c r="BH179" s="68" t="str">
        <f>IF('Marks Entry'!AF179="","",'Marks Entry'!AF179)</f>
        <v/>
      </c>
      <c r="BI179" s="96" t="str">
        <f t="shared" si="362"/>
        <v/>
      </c>
      <c r="BJ179" s="65">
        <f t="shared" si="363"/>
        <v>0</v>
      </c>
      <c r="BK179" s="65">
        <f t="shared" si="431"/>
        <v>0</v>
      </c>
      <c r="BL179" s="66" t="str">
        <f t="shared" si="364"/>
        <v/>
      </c>
      <c r="BM179" s="65" t="str">
        <f t="shared" si="365"/>
        <v/>
      </c>
      <c r="BN179" s="65" t="str">
        <f t="shared" si="366"/>
        <v/>
      </c>
      <c r="BO179" s="65" t="str">
        <f t="shared" si="367"/>
        <v/>
      </c>
      <c r="BP179" s="68" t="str">
        <f>IF('Marks Entry'!AG179="","",'Marks Entry'!AG179)</f>
        <v/>
      </c>
      <c r="BQ179" s="68" t="str">
        <f>IF('Marks Entry'!AH179="","",'Marks Entry'!AH179)</f>
        <v/>
      </c>
      <c r="BR179" s="68" t="str">
        <f>IF('Marks Entry'!AI179="","",'Marks Entry'!AI179)</f>
        <v/>
      </c>
      <c r="BS179" s="514" t="str">
        <f t="shared" si="368"/>
        <v/>
      </c>
      <c r="BT179" s="68" t="str">
        <f>IF('Marks Entry'!AJ179="","",'Marks Entry'!AJ179)</f>
        <v/>
      </c>
      <c r="BU179" s="515" t="str">
        <f t="shared" si="369"/>
        <v/>
      </c>
      <c r="BV179" s="68" t="str">
        <f>IF('Marks Entry'!AK179="","",'Marks Entry'!AK179)</f>
        <v/>
      </c>
      <c r="BW179" s="96" t="str">
        <f t="shared" si="370"/>
        <v/>
      </c>
      <c r="BX179" s="65">
        <f t="shared" si="371"/>
        <v>0</v>
      </c>
      <c r="BY179" s="65">
        <f t="shared" si="372"/>
        <v>0</v>
      </c>
      <c r="BZ179" s="66" t="str">
        <f t="shared" si="373"/>
        <v/>
      </c>
      <c r="CA179" s="65" t="str">
        <f t="shared" si="374"/>
        <v/>
      </c>
      <c r="CB179" s="65" t="str">
        <f t="shared" si="375"/>
        <v/>
      </c>
      <c r="CC179" s="65" t="str">
        <f t="shared" si="376"/>
        <v/>
      </c>
      <c r="CD179" s="66">
        <f t="shared" si="497"/>
        <v>0</v>
      </c>
      <c r="CE179" s="68" t="str">
        <f>IF('Marks Entry'!AL179="","",'Marks Entry'!AL179)</f>
        <v/>
      </c>
      <c r="CF179" s="68" t="str">
        <f>IF('Marks Entry'!AM179="","",'Marks Entry'!AM179)</f>
        <v/>
      </c>
      <c r="CG179" s="68" t="str">
        <f>IF('Marks Entry'!AN179="","",'Marks Entry'!AN179)</f>
        <v/>
      </c>
      <c r="CH179" s="514" t="str">
        <f t="shared" si="378"/>
        <v/>
      </c>
      <c r="CI179" s="68" t="str">
        <f>IF('Marks Entry'!AO179="","",'Marks Entry'!AO179)</f>
        <v/>
      </c>
      <c r="CJ179" s="515" t="str">
        <f t="shared" si="379"/>
        <v/>
      </c>
      <c r="CK179" s="68" t="str">
        <f>IF('Marks Entry'!AP179="","",'Marks Entry'!AP179)</f>
        <v/>
      </c>
      <c r="CL179" s="96" t="str">
        <f t="shared" si="380"/>
        <v/>
      </c>
      <c r="CM179" s="65">
        <f t="shared" si="381"/>
        <v>0</v>
      </c>
      <c r="CN179" s="65">
        <f t="shared" si="382"/>
        <v>0</v>
      </c>
      <c r="CO179" s="66" t="str">
        <f t="shared" si="383"/>
        <v/>
      </c>
      <c r="CP179" s="65" t="str">
        <f t="shared" si="384"/>
        <v/>
      </c>
      <c r="CQ179" s="65" t="str">
        <f t="shared" si="385"/>
        <v/>
      </c>
      <c r="CR179" s="65" t="str">
        <f t="shared" si="386"/>
        <v/>
      </c>
      <c r="CS179" s="616" t="str">
        <f>IF('School Profile'!$D$20="NO","",IF('Marks Entry'!AQ179="","",IF('Marks Entry'!AQ179=1,'School Profile'!$I$29,IF('Marks Entry'!AQ179=2,'School Profile'!$I$30,IF('Marks Entry'!AQ179=3,'School Profile'!$I$31,IF('Marks Entry'!AQ179=4,'School Profile'!$I$32,IF('Marks Entry'!AQ179=5,'School Profile'!$I$33,IF('Marks Entry'!AQ179=6,'School Profile'!$I$34,IF('Marks Entry'!AQ179=7,'School Profile'!$I$35,IF('Marks Entry'!AQ179=8,'School Profile'!$I$36,IF('Marks Entry'!AQ179=9,'School Profile'!$I$37,IF('Marks Entry'!AQ179=10,'School Profile'!$I$38,IF('Marks Entry'!AQ179=11,'School Profile'!$I$39,"")))))))))))))</f>
        <v/>
      </c>
      <c r="CT179" s="68" t="str">
        <f>IF('School Profile'!$D$20="NO","",IF('Marks Entry'!AR179="","",'Marks Entry'!AR179))</f>
        <v/>
      </c>
      <c r="CU179" s="68" t="str">
        <f>IF('School Profile'!$D$20="NO","",IF('Marks Entry'!AS179="","",'Marks Entry'!AS179))</f>
        <v/>
      </c>
      <c r="CV179" s="68" t="str">
        <f>IF('School Profile'!$D$20="NO","",IF('Marks Entry'!AT179="","",'Marks Entry'!AT179))</f>
        <v/>
      </c>
      <c r="CW179" s="514" t="str">
        <f>IF('School Profile'!$D$20="NO","",IF(AND(CT179="",CU179="",CV179=""),"",SUM(CT179:CV179)))</f>
        <v/>
      </c>
      <c r="CX179" s="68" t="str">
        <f>IF('School Profile'!$D$20="NO","",IF('Marks Entry'!AU179="","",'Marks Entry'!AU179))</f>
        <v/>
      </c>
      <c r="CY179" s="68" t="str">
        <f>IF('School Profile'!$D$20="NO","",IF('Marks Entry'!AV179="","",'Marks Entry'!AV179))</f>
        <v/>
      </c>
      <c r="CZ179" s="515" t="str">
        <f>IF('School Profile'!$D$20="NO","",IF(AND(CX179="",CY179=""),"",SUM(CX179,CY179)))</f>
        <v/>
      </c>
      <c r="DA179" s="69" t="str">
        <f>IF('School Profile'!$D$20="NO","",IF(AND(CW179="",CZ179=""),"",SUM(CW179+CZ179)))</f>
        <v/>
      </c>
      <c r="DB179" s="68" t="str">
        <f>IF('School Profile'!$D$20="NO","",IF('Marks Entry'!AW179="","",'Marks Entry'!AW179))</f>
        <v/>
      </c>
      <c r="DC179" s="68" t="str">
        <f>IF('School Profile'!$D$20="NO","",IF('Marks Entry'!AX179="","",'Marks Entry'!AX179))</f>
        <v/>
      </c>
      <c r="DD179" s="515" t="str">
        <f>IF('School Profile'!$D$20="NO","",IF(AND(DB179="",DC179=""),"",SUM(DB179,DC179)))</f>
        <v/>
      </c>
      <c r="DE179" s="96" t="str">
        <f>IF('School Profile'!$D$20="NO","",IF(AND(DA179="",DD179=""),"",SUM(DA179,DD179)))</f>
        <v/>
      </c>
      <c r="DF179" s="532">
        <f t="shared" si="387"/>
        <v>0</v>
      </c>
      <c r="DG179" s="65">
        <f t="shared" si="388"/>
        <v>0</v>
      </c>
      <c r="DH179" s="66" t="str">
        <f t="shared" si="389"/>
        <v/>
      </c>
      <c r="DI179" s="65" t="str">
        <f t="shared" si="390"/>
        <v/>
      </c>
      <c r="DJ179" s="65" t="str">
        <f t="shared" si="391"/>
        <v/>
      </c>
      <c r="DK179" s="65" t="str">
        <f t="shared" si="392"/>
        <v/>
      </c>
      <c r="DL179" s="97" t="str">
        <f t="shared" si="432"/>
        <v/>
      </c>
      <c r="DM179" s="97" t="str">
        <f t="shared" si="433"/>
        <v/>
      </c>
      <c r="DN179" s="97" t="str">
        <f t="shared" si="434"/>
        <v/>
      </c>
      <c r="DO179" s="97" t="str">
        <f t="shared" si="435"/>
        <v/>
      </c>
      <c r="DP179" s="97" t="str">
        <f t="shared" si="436"/>
        <v/>
      </c>
      <c r="DQ179" s="97" t="str">
        <f t="shared" si="437"/>
        <v/>
      </c>
      <c r="DR179" s="97" t="str">
        <f t="shared" si="438"/>
        <v/>
      </c>
      <c r="DS179" s="98">
        <f t="shared" si="439"/>
        <v>0</v>
      </c>
      <c r="DT179" s="98">
        <f t="shared" si="440"/>
        <v>0</v>
      </c>
      <c r="DU179" s="98">
        <f t="shared" si="441"/>
        <v>0</v>
      </c>
      <c r="DV179" s="98">
        <f t="shared" si="442"/>
        <v>0</v>
      </c>
      <c r="DW179" s="98">
        <f t="shared" si="443"/>
        <v>0</v>
      </c>
      <c r="DX179" s="98" t="str">
        <f t="shared" si="444"/>
        <v/>
      </c>
      <c r="DY179" s="99" t="str">
        <f t="shared" si="445"/>
        <v/>
      </c>
      <c r="DZ179" s="74" t="str">
        <f>IF('Marks Entry'!AY179="","",'Marks Entry'!AY179)</f>
        <v/>
      </c>
      <c r="EA179" s="74" t="str">
        <f>IF('Marks Entry'!AZ179="","",'Marks Entry'!AZ179)</f>
        <v/>
      </c>
      <c r="EB179" s="74" t="str">
        <f>IF('Marks Entry'!BA179="","",'Marks Entry'!BA179)</f>
        <v/>
      </c>
      <c r="EC179" s="527" t="str">
        <f t="shared" si="393"/>
        <v/>
      </c>
      <c r="ED179" s="74" t="str">
        <f>IF('Marks Entry'!BB179="","",'Marks Entry'!BB179)</f>
        <v/>
      </c>
      <c r="EE179" s="528" t="str">
        <f t="shared" si="394"/>
        <v/>
      </c>
      <c r="EF179" s="74" t="str">
        <f>IF('Marks Entry'!BC179="","",'Marks Entry'!BC179)</f>
        <v/>
      </c>
      <c r="EG179" s="530" t="str">
        <f t="shared" si="395"/>
        <v/>
      </c>
      <c r="EH179" s="368" t="str">
        <f t="shared" si="446"/>
        <v/>
      </c>
      <c r="EI179" s="65">
        <f t="shared" si="447"/>
        <v>0</v>
      </c>
      <c r="EJ179" s="65">
        <f t="shared" si="448"/>
        <v>0</v>
      </c>
      <c r="EK179" s="66" t="str">
        <f t="shared" si="449"/>
        <v/>
      </c>
      <c r="EL179" s="74" t="str">
        <f>IF('Marks Entry'!BD179="","",'Marks Entry'!BD179)</f>
        <v/>
      </c>
      <c r="EM179" s="74" t="str">
        <f>IF('Marks Entry'!BE179="","",'Marks Entry'!BE179)</f>
        <v/>
      </c>
      <c r="EN179" s="74" t="str">
        <f>IF('Marks Entry'!BF179="","",'Marks Entry'!BF179)</f>
        <v/>
      </c>
      <c r="EO179" s="527" t="str">
        <f t="shared" si="396"/>
        <v/>
      </c>
      <c r="EP179" s="74" t="str">
        <f>IF('Marks Entry'!BG179="","",'Marks Entry'!BG179)</f>
        <v/>
      </c>
      <c r="EQ179" s="74" t="str">
        <f>IF('Marks Entry'!BH179="","",'Marks Entry'!BH179)</f>
        <v/>
      </c>
      <c r="ER179" s="528" t="str">
        <f t="shared" si="397"/>
        <v/>
      </c>
      <c r="ES179" s="529" t="str">
        <f t="shared" si="398"/>
        <v/>
      </c>
      <c r="ET179" s="74" t="str">
        <f>IF('Marks Entry'!BI179="","",'Marks Entry'!BI179)</f>
        <v/>
      </c>
      <c r="EU179" s="74" t="str">
        <f>IF('Marks Entry'!BJ179="","",'Marks Entry'!BJ179)</f>
        <v/>
      </c>
      <c r="EV179" s="528" t="str">
        <f t="shared" si="399"/>
        <v/>
      </c>
      <c r="EW179" s="530" t="str">
        <f t="shared" si="400"/>
        <v/>
      </c>
      <c r="EX179" s="368" t="str">
        <f t="shared" si="450"/>
        <v/>
      </c>
      <c r="EY179" s="65">
        <f t="shared" si="451"/>
        <v>0</v>
      </c>
      <c r="EZ179" s="65">
        <f t="shared" si="452"/>
        <v>0</v>
      </c>
      <c r="FA179" s="66" t="str">
        <f t="shared" si="453"/>
        <v/>
      </c>
      <c r="FB179" s="74" t="str">
        <f>IF('Marks Entry'!BK179="","",'Marks Entry'!BK179)</f>
        <v/>
      </c>
      <c r="FC179" s="74" t="str">
        <f>IF('Marks Entry'!BL179="","",'Marks Entry'!BL179)</f>
        <v/>
      </c>
      <c r="FD179" s="74" t="str">
        <f>IF('Marks Entry'!BM179="","",'Marks Entry'!BM179)</f>
        <v/>
      </c>
      <c r="FE179" s="74" t="str">
        <f>IF('Marks Entry'!BN179="","",'Marks Entry'!BN179)</f>
        <v/>
      </c>
      <c r="FF179" s="74" t="str">
        <f>IF('Marks Entry'!BO179="","",'Marks Entry'!BO179)</f>
        <v/>
      </c>
      <c r="FG179" s="74" t="str">
        <f>IF('Marks Entry'!BP179="","",'Marks Entry'!BP179)</f>
        <v/>
      </c>
      <c r="FH179" s="527" t="str">
        <f t="shared" si="401"/>
        <v/>
      </c>
      <c r="FI179" s="74" t="str">
        <f>IF('Marks Entry'!BQ179="","",'Marks Entry'!BQ179)</f>
        <v/>
      </c>
      <c r="FJ179" s="74" t="str">
        <f>IF('Marks Entry'!BR179="","",'Marks Entry'!BR179)</f>
        <v/>
      </c>
      <c r="FK179" s="528" t="str">
        <f t="shared" si="402"/>
        <v/>
      </c>
      <c r="FL179" s="529" t="str">
        <f t="shared" si="403"/>
        <v/>
      </c>
      <c r="FM179" s="74" t="str">
        <f>IF('Marks Entry'!BS179="","",'Marks Entry'!BS179)</f>
        <v/>
      </c>
      <c r="FN179" s="74" t="str">
        <f>IF('Marks Entry'!BT179="","",'Marks Entry'!BT179)</f>
        <v/>
      </c>
      <c r="FO179" s="528" t="str">
        <f t="shared" si="404"/>
        <v/>
      </c>
      <c r="FP179" s="530" t="str">
        <f t="shared" si="405"/>
        <v/>
      </c>
      <c r="FQ179" s="368" t="str">
        <f t="shared" si="454"/>
        <v/>
      </c>
      <c r="FR179" s="65">
        <f t="shared" si="455"/>
        <v>0</v>
      </c>
      <c r="FS179" s="65">
        <f t="shared" si="456"/>
        <v>0</v>
      </c>
      <c r="FT179" s="66" t="str">
        <f t="shared" si="457"/>
        <v/>
      </c>
      <c r="FU179" s="74" t="str">
        <f>IF('Marks Entry'!BU179="","",'Marks Entry'!BU179)</f>
        <v/>
      </c>
      <c r="FV179" s="74" t="str">
        <f>IF('Marks Entry'!BV179="","",'Marks Entry'!BV179)</f>
        <v/>
      </c>
      <c r="FW179" s="74" t="str">
        <f>IF('Marks Entry'!BW179="","",'Marks Entry'!BW179)</f>
        <v/>
      </c>
      <c r="FX179" s="75" t="str">
        <f t="shared" si="406"/>
        <v/>
      </c>
      <c r="FY179" s="368" t="str">
        <f t="shared" si="458"/>
        <v/>
      </c>
      <c r="FZ179" s="65">
        <f t="shared" si="459"/>
        <v>0</v>
      </c>
      <c r="GA179" s="66">
        <f t="shared" si="460"/>
        <v>0</v>
      </c>
      <c r="GB179" s="66" t="str">
        <f t="shared" si="461"/>
        <v/>
      </c>
      <c r="GC179" s="74" t="str">
        <f>IF('Marks Entry'!BX179="","",'Marks Entry'!BX179)</f>
        <v/>
      </c>
      <c r="GD179" s="74" t="str">
        <f>IF('Marks Entry'!BY179="","",'Marks Entry'!BY179)</f>
        <v/>
      </c>
      <c r="GE179" s="74" t="str">
        <f>IF('Marks Entry'!BZ179="","",'Marks Entry'!BZ179)</f>
        <v/>
      </c>
      <c r="GF179" s="75" t="str">
        <f t="shared" si="462"/>
        <v/>
      </c>
      <c r="GG179" s="368" t="str">
        <f t="shared" si="463"/>
        <v/>
      </c>
      <c r="GH179" s="65">
        <f t="shared" si="464"/>
        <v>0</v>
      </c>
      <c r="GI179" s="66">
        <f t="shared" si="465"/>
        <v>0</v>
      </c>
      <c r="GJ179" s="66" t="str">
        <f t="shared" si="466"/>
        <v/>
      </c>
      <c r="GK179" s="100" t="str">
        <f>IF(AND(F179="",B179=""),"",IF('Student DATA Entry'!M176="","",'Student DATA Entry'!M176))</f>
        <v/>
      </c>
      <c r="GL179" s="101" t="str">
        <f>IF(AND(B179="",F179=""),"",IF('Student DATA Entry'!N176="","",'Student DATA Entry'!N176))</f>
        <v/>
      </c>
      <c r="GM179" s="581" t="str">
        <f t="shared" si="467"/>
        <v/>
      </c>
      <c r="GN179" s="94" t="str">
        <f t="shared" si="468"/>
        <v/>
      </c>
      <c r="GO179" s="94" t="str">
        <f t="shared" si="469"/>
        <v/>
      </c>
      <c r="GP179" s="102" t="str">
        <f t="shared" si="498"/>
        <v/>
      </c>
      <c r="GQ179" s="94" t="str">
        <f t="shared" si="470"/>
        <v/>
      </c>
      <c r="GR179" s="103" t="str">
        <f t="shared" si="471"/>
        <v/>
      </c>
      <c r="GS179" s="102" t="str">
        <f t="shared" si="499"/>
        <v/>
      </c>
      <c r="GT179" s="104" t="str">
        <f t="shared" si="472"/>
        <v/>
      </c>
      <c r="GU179" s="94" t="str">
        <f>IF('Marks Entry'!V179=1,GT179,"")</f>
        <v/>
      </c>
      <c r="GV179" s="94" t="str">
        <f>IF('Marks Entry'!V179=2,GT179,"")</f>
        <v/>
      </c>
      <c r="GW179" s="94" t="str">
        <f>IF('Marks Entry'!V179=3,GT179,"")</f>
        <v/>
      </c>
      <c r="GX179" s="94" t="str">
        <f>IF('Marks Entry'!V179=4,GT179,"")</f>
        <v/>
      </c>
      <c r="GY179" s="94" t="str">
        <f>IF('Marks Entry'!V179=5,GT179,"")</f>
        <v/>
      </c>
      <c r="GZ179" s="94" t="str">
        <f t="shared" si="473"/>
        <v/>
      </c>
      <c r="HA179" s="105" t="str">
        <f t="shared" si="500"/>
        <v/>
      </c>
      <c r="HB179" s="94" t="str">
        <f t="shared" si="474"/>
        <v/>
      </c>
      <c r="HC179" s="94" t="str">
        <f t="shared" si="475"/>
        <v/>
      </c>
      <c r="HD179" s="105" t="str">
        <f t="shared" si="501"/>
        <v/>
      </c>
      <c r="HE179" s="94" t="str">
        <f t="shared" si="476"/>
        <v/>
      </c>
      <c r="HF179" s="94" t="str">
        <f t="shared" si="477"/>
        <v/>
      </c>
      <c r="HG179" s="105" t="str">
        <f t="shared" si="502"/>
        <v/>
      </c>
      <c r="HH179" s="94" t="str">
        <f t="shared" si="478"/>
        <v/>
      </c>
      <c r="HI179" s="94" t="str">
        <f t="shared" si="479"/>
        <v/>
      </c>
      <c r="HJ179" s="105" t="str">
        <f t="shared" si="503"/>
        <v/>
      </c>
      <c r="HK179" s="94" t="str">
        <f t="shared" si="480"/>
        <v/>
      </c>
      <c r="HL179" s="94" t="str">
        <f t="shared" si="481"/>
        <v/>
      </c>
      <c r="HM179" s="105" t="str">
        <f t="shared" si="504"/>
        <v/>
      </c>
      <c r="HN179" s="367" t="str">
        <f t="shared" si="482"/>
        <v xml:space="preserve">      </v>
      </c>
      <c r="HO179" s="418" t="str">
        <f t="shared" si="505"/>
        <v xml:space="preserve">      </v>
      </c>
      <c r="HP179" s="367" t="str">
        <f t="shared" si="483"/>
        <v xml:space="preserve">      </v>
      </c>
      <c r="HQ179" s="107" t="str">
        <f t="shared" si="484"/>
        <v xml:space="preserve">      </v>
      </c>
      <c r="HR179" s="366" t="str">
        <f t="shared" si="485"/>
        <v xml:space="preserve">      </v>
      </c>
      <c r="HS179" s="544" t="str">
        <f t="shared" si="506"/>
        <v/>
      </c>
      <c r="HT179" s="542" t="str">
        <f t="shared" si="486"/>
        <v/>
      </c>
      <c r="HU179" s="541" t="str">
        <f t="shared" si="487"/>
        <v/>
      </c>
      <c r="HV179" s="540" t="str">
        <f t="shared" si="488"/>
        <v/>
      </c>
      <c r="HW179" s="537" t="str">
        <f t="shared" si="489"/>
        <v/>
      </c>
      <c r="HX179" s="539" t="str">
        <f t="shared" si="490"/>
        <v/>
      </c>
      <c r="HY179" s="553" t="str">
        <f>IFERROR(IF(OR(HS179="SUPPLEMENTARY",HS179="RE-EXAM"),'Supp. Result Entry'!AQ177,""),"")</f>
        <v/>
      </c>
      <c r="HZ179" s="538" t="str">
        <f t="shared" si="491"/>
        <v/>
      </c>
      <c r="IA179" s="415" t="str">
        <f t="shared" si="492"/>
        <v/>
      </c>
      <c r="IB179" s="415" t="str">
        <f>IF(AND(HZ179="",IA179=""),"",IF(OR(HS179="SUPPLEMENTARY",HS179="RE-EXAM"),'Supp. Result Entry'!AQ177,HS179))</f>
        <v/>
      </c>
      <c r="IC179" s="87"/>
      <c r="IS179" s="109" t="str">
        <f>IF('Supp. Result Entry'!T177="","",'Supp. Result Entry'!$T$4)</f>
        <v/>
      </c>
      <c r="IT179" s="110" t="str">
        <f>IF('Supp. Result Entry'!W177="","",'Supp. Result Entry'!$W$4)</f>
        <v/>
      </c>
      <c r="IU179" s="110" t="str">
        <f>IF('Supp. Result Entry'!Z177="","",'Supp. Result Entry'!$Z$4)</f>
        <v/>
      </c>
      <c r="IV179" s="110" t="str">
        <f>IF('Supp. Result Entry'!AC177="","",'Supp. Result Entry'!$AC$4)</f>
        <v/>
      </c>
      <c r="IW179" s="110" t="str">
        <f>IF('Supp. Result Entry'!AF177="","",'Supp. Result Entry'!$AF$4)</f>
        <v/>
      </c>
      <c r="IX179" s="110" t="str">
        <f>IF('Supp. Result Entry'!AI177="","",'Supp. Result Entry'!$AI$4)</f>
        <v/>
      </c>
      <c r="IY179" s="110" t="str">
        <f>IF('Supp. Result Entry'!AI177="","",'Supp. Result Entry'!$AL$4)</f>
        <v/>
      </c>
      <c r="IZ179" s="110" t="str">
        <f>IF('Supp. Result Entry'!U177="","",'Supp. Result Entry'!U177)</f>
        <v/>
      </c>
      <c r="JA179" s="110" t="str">
        <f>IF('Supp. Result Entry'!X177="","",'Supp. Result Entry'!X177)</f>
        <v/>
      </c>
      <c r="JB179" s="110" t="str">
        <f>IF('Supp. Result Entry'!AA177="","",'Supp. Result Entry'!AA177)</f>
        <v/>
      </c>
      <c r="JC179" s="110" t="str">
        <f>IF('Supp. Result Entry'!AD177="","",'Supp. Result Entry'!AD177)</f>
        <v/>
      </c>
      <c r="JD179" s="110" t="str">
        <f>IF('Supp. Result Entry'!AG177="","",'Supp. Result Entry'!AG177)</f>
        <v/>
      </c>
      <c r="JE179" s="110" t="str">
        <f>IF('Supp. Result Entry'!AJ177="","",'Supp. Result Entry'!AJ177)</f>
        <v/>
      </c>
      <c r="JF179" s="110" t="str">
        <f>IF('Supp. Result Entry'!AM177="","",'Supp. Result Entry'!AM177)</f>
        <v/>
      </c>
      <c r="JG179" s="110" t="str">
        <f>IF('Supp. Result Entry'!V177="","",'Supp. Result Entry'!V177)</f>
        <v/>
      </c>
      <c r="JH179" s="110" t="str">
        <f>IF('Supp. Result Entry'!Y177="","",'Supp. Result Entry'!Y177)</f>
        <v/>
      </c>
      <c r="JI179" s="110" t="str">
        <f>IF('Supp. Result Entry'!AB177="","",'Supp. Result Entry'!AB177)</f>
        <v/>
      </c>
      <c r="JJ179" s="110" t="str">
        <f>IF('Supp. Result Entry'!AE177="","",'Supp. Result Entry'!AE177)</f>
        <v/>
      </c>
      <c r="JK179" s="110" t="str">
        <f>IF('Supp. Result Entry'!AH177="","",'Supp. Result Entry'!AH177)</f>
        <v/>
      </c>
      <c r="JL179" s="110" t="str">
        <f>IF('Supp. Result Entry'!AK177="","",'Supp. Result Entry'!AK177)</f>
        <v/>
      </c>
      <c r="JM179" s="110" t="str">
        <f>IF('Supp. Result Entry'!AN177="","",'Supp. Result Entry'!AN177)</f>
        <v/>
      </c>
      <c r="JN179" s="110">
        <f>COUNTIF('Supp. Result Entry'!K177:Q177,"S")</f>
        <v>0</v>
      </c>
      <c r="JO179" s="110">
        <f t="shared" si="416"/>
        <v>0</v>
      </c>
      <c r="JP179" s="110">
        <f t="shared" si="493"/>
        <v>0</v>
      </c>
      <c r="JQ179" s="110" t="str">
        <f t="shared" si="417"/>
        <v/>
      </c>
      <c r="JR179" s="110" t="str">
        <f t="shared" si="418"/>
        <v/>
      </c>
      <c r="JS179" s="110" t="str">
        <f t="shared" si="419"/>
        <v/>
      </c>
      <c r="JT179" s="110" t="str">
        <f t="shared" si="420"/>
        <v/>
      </c>
      <c r="JU179" s="110" t="str">
        <f t="shared" si="421"/>
        <v/>
      </c>
      <c r="JV179" s="110" t="str">
        <f t="shared" si="422"/>
        <v/>
      </c>
      <c r="JW179" s="110" t="str">
        <f t="shared" si="423"/>
        <v/>
      </c>
      <c r="JX179" s="110" t="str">
        <f t="shared" si="494"/>
        <v/>
      </c>
      <c r="JY179" s="110" t="str">
        <f t="shared" si="495"/>
        <v/>
      </c>
      <c r="JZ179" s="110" t="str">
        <f t="shared" si="424"/>
        <v/>
      </c>
      <c r="KA179" s="108" t="str">
        <f t="shared" si="496"/>
        <v/>
      </c>
    </row>
    <row r="180" spans="1:287" s="108" customFormat="1" ht="21.95" customHeight="1">
      <c r="A180" s="89">
        <v>174</v>
      </c>
      <c r="B180" s="90" t="str">
        <f>IF('Marks Entry'!B180="","",'Marks Entry'!B180)</f>
        <v/>
      </c>
      <c r="C180" s="94" t="str">
        <f>IF('Marks Entry'!D180="","",'Marks Entry'!D180)</f>
        <v/>
      </c>
      <c r="D180" s="91" t="str">
        <f>IF('Marks Entry'!E180="","",'Marks Entry'!E180)</f>
        <v/>
      </c>
      <c r="E180" s="92" t="str">
        <f>IF('Marks Entry'!F180="","",'Marks Entry'!F180)</f>
        <v/>
      </c>
      <c r="F180" s="93" t="str">
        <f>IF('Marks Entry'!G180="","",'Marks Entry'!G180)</f>
        <v/>
      </c>
      <c r="G180" s="93" t="str">
        <f>IF('Marks Entry'!H180="","",'Marks Entry'!H180)</f>
        <v/>
      </c>
      <c r="H180" s="93" t="str">
        <f>IF('Marks Entry'!I180="","",'Marks Entry'!I180)</f>
        <v/>
      </c>
      <c r="I180" s="94" t="str">
        <f>IF('Marks Entry'!J180="","",'Marks Entry'!J180)</f>
        <v/>
      </c>
      <c r="J180" s="95" t="str">
        <f>IF('Marks Entry'!K180="","",'Marks Entry'!K180)</f>
        <v/>
      </c>
      <c r="K180" s="68" t="str">
        <f>IF('Marks Entry'!L180="","",'Marks Entry'!L180)</f>
        <v/>
      </c>
      <c r="L180" s="68" t="str">
        <f>IF('Marks Entry'!M180="","",'Marks Entry'!M180)</f>
        <v/>
      </c>
      <c r="M180" s="68" t="str">
        <f>IF('Marks Entry'!N180="","",'Marks Entry'!N180)</f>
        <v/>
      </c>
      <c r="N180" s="514" t="str">
        <f t="shared" si="425"/>
        <v/>
      </c>
      <c r="O180" s="68" t="str">
        <f>IF('Marks Entry'!O180="","",'Marks Entry'!O180)</f>
        <v/>
      </c>
      <c r="P180" s="515" t="str">
        <f t="shared" si="426"/>
        <v/>
      </c>
      <c r="Q180" s="68" t="str">
        <f>IF('Marks Entry'!P180="","",'Marks Entry'!P180)</f>
        <v/>
      </c>
      <c r="R180" s="96" t="str">
        <f t="shared" si="427"/>
        <v/>
      </c>
      <c r="S180" s="65">
        <f t="shared" si="428"/>
        <v>0</v>
      </c>
      <c r="T180" s="65">
        <f t="shared" si="429"/>
        <v>0</v>
      </c>
      <c r="U180" s="66" t="str">
        <f t="shared" si="339"/>
        <v/>
      </c>
      <c r="V180" s="65" t="str">
        <f t="shared" si="340"/>
        <v/>
      </c>
      <c r="W180" s="65" t="str">
        <f t="shared" si="430"/>
        <v/>
      </c>
      <c r="X180" s="65" t="str">
        <f t="shared" si="341"/>
        <v/>
      </c>
      <c r="Y180" s="68" t="str">
        <f>IF('Marks Entry'!Q180="","",'Marks Entry'!Q180)</f>
        <v/>
      </c>
      <c r="Z180" s="68" t="str">
        <f>IF('Marks Entry'!R180="","",'Marks Entry'!R180)</f>
        <v/>
      </c>
      <c r="AA180" s="68" t="str">
        <f>IF('Marks Entry'!S180="","",'Marks Entry'!S180)</f>
        <v/>
      </c>
      <c r="AB180" s="514" t="str">
        <f t="shared" si="342"/>
        <v/>
      </c>
      <c r="AC180" s="68" t="str">
        <f>IF('Marks Entry'!T180="","",'Marks Entry'!T180)</f>
        <v/>
      </c>
      <c r="AD180" s="515" t="str">
        <f t="shared" si="343"/>
        <v/>
      </c>
      <c r="AE180" s="68" t="str">
        <f>IF('Marks Entry'!U180="","",'Marks Entry'!U180)</f>
        <v/>
      </c>
      <c r="AF180" s="96" t="str">
        <f t="shared" si="344"/>
        <v/>
      </c>
      <c r="AG180" s="65">
        <f t="shared" si="345"/>
        <v>0</v>
      </c>
      <c r="AH180" s="65">
        <f t="shared" si="346"/>
        <v>0</v>
      </c>
      <c r="AI180" s="66" t="str">
        <f t="shared" si="347"/>
        <v/>
      </c>
      <c r="AJ180" s="65" t="str">
        <f t="shared" si="348"/>
        <v/>
      </c>
      <c r="AK180" s="65" t="str">
        <f t="shared" si="349"/>
        <v/>
      </c>
      <c r="AL180" s="65" t="str">
        <f t="shared" si="350"/>
        <v/>
      </c>
      <c r="AM180" s="524" t="str">
        <f>IF('Marks Entry'!V180="","",IF('Marks Entry'!V180=1,'School Profile'!$I$9,IF('Marks Entry'!V180=2,'School Profile'!$I$10,IF('Marks Entry'!V180=3,'School Profile'!$I$11,IF('Marks Entry'!V180=4,'School Profile'!$I$12,IF('Marks Entry'!V180=5,'School Profile'!$I$13,IF('Marks Entry'!V180=6,'School Profile'!$I$14,"")))))))</f>
        <v/>
      </c>
      <c r="AN180" s="68" t="str">
        <f>IF('Marks Entry'!W180="","",'Marks Entry'!W180)</f>
        <v/>
      </c>
      <c r="AO180" s="68" t="str">
        <f>IF('Marks Entry'!X180="","",'Marks Entry'!X180)</f>
        <v/>
      </c>
      <c r="AP180" s="68" t="str">
        <f>IF('Marks Entry'!Y180="","",'Marks Entry'!Y180)</f>
        <v/>
      </c>
      <c r="AQ180" s="514" t="str">
        <f t="shared" si="351"/>
        <v/>
      </c>
      <c r="AR180" s="68" t="str">
        <f>IF('Marks Entry'!Z180="","",'Marks Entry'!Z180)</f>
        <v/>
      </c>
      <c r="AS180" s="515" t="str">
        <f t="shared" si="352"/>
        <v/>
      </c>
      <c r="AT180" s="68" t="str">
        <f>IF('Marks Entry'!AA180="","",'Marks Entry'!AA180)</f>
        <v/>
      </c>
      <c r="AU180" s="96" t="str">
        <f t="shared" si="353"/>
        <v/>
      </c>
      <c r="AV180" s="65">
        <f t="shared" si="354"/>
        <v>0</v>
      </c>
      <c r="AW180" s="65">
        <f t="shared" si="355"/>
        <v>0</v>
      </c>
      <c r="AX180" s="66" t="str">
        <f t="shared" si="356"/>
        <v/>
      </c>
      <c r="AY180" s="65" t="str">
        <f t="shared" si="357"/>
        <v/>
      </c>
      <c r="AZ180" s="65" t="str">
        <f t="shared" si="358"/>
        <v/>
      </c>
      <c r="BA180" s="65" t="str">
        <f t="shared" si="359"/>
        <v/>
      </c>
      <c r="BB180" s="68" t="str">
        <f>IF('Marks Entry'!AB180="","",'Marks Entry'!AB180)</f>
        <v/>
      </c>
      <c r="BC180" s="68" t="str">
        <f>IF('Marks Entry'!AC180="","",'Marks Entry'!AC180)</f>
        <v/>
      </c>
      <c r="BD180" s="68" t="str">
        <f>IF('Marks Entry'!AD180="","",'Marks Entry'!AD180)</f>
        <v/>
      </c>
      <c r="BE180" s="514" t="str">
        <f t="shared" si="360"/>
        <v/>
      </c>
      <c r="BF180" s="68" t="str">
        <f>IF('Marks Entry'!AE180="","",'Marks Entry'!AE180)</f>
        <v/>
      </c>
      <c r="BG180" s="515" t="str">
        <f t="shared" si="361"/>
        <v/>
      </c>
      <c r="BH180" s="68" t="str">
        <f>IF('Marks Entry'!AF180="","",'Marks Entry'!AF180)</f>
        <v/>
      </c>
      <c r="BI180" s="96" t="str">
        <f t="shared" si="362"/>
        <v/>
      </c>
      <c r="BJ180" s="65">
        <f t="shared" si="363"/>
        <v>0</v>
      </c>
      <c r="BK180" s="65">
        <f t="shared" si="431"/>
        <v>0</v>
      </c>
      <c r="BL180" s="66" t="str">
        <f t="shared" si="364"/>
        <v/>
      </c>
      <c r="BM180" s="65" t="str">
        <f t="shared" si="365"/>
        <v/>
      </c>
      <c r="BN180" s="65" t="str">
        <f t="shared" si="366"/>
        <v/>
      </c>
      <c r="BO180" s="65" t="str">
        <f t="shared" si="367"/>
        <v/>
      </c>
      <c r="BP180" s="68" t="str">
        <f>IF('Marks Entry'!AG180="","",'Marks Entry'!AG180)</f>
        <v/>
      </c>
      <c r="BQ180" s="68" t="str">
        <f>IF('Marks Entry'!AH180="","",'Marks Entry'!AH180)</f>
        <v/>
      </c>
      <c r="BR180" s="68" t="str">
        <f>IF('Marks Entry'!AI180="","",'Marks Entry'!AI180)</f>
        <v/>
      </c>
      <c r="BS180" s="514" t="str">
        <f t="shared" si="368"/>
        <v/>
      </c>
      <c r="BT180" s="68" t="str">
        <f>IF('Marks Entry'!AJ180="","",'Marks Entry'!AJ180)</f>
        <v/>
      </c>
      <c r="BU180" s="515" t="str">
        <f t="shared" si="369"/>
        <v/>
      </c>
      <c r="BV180" s="68" t="str">
        <f>IF('Marks Entry'!AK180="","",'Marks Entry'!AK180)</f>
        <v/>
      </c>
      <c r="BW180" s="96" t="str">
        <f t="shared" si="370"/>
        <v/>
      </c>
      <c r="BX180" s="65">
        <f t="shared" si="371"/>
        <v>0</v>
      </c>
      <c r="BY180" s="65">
        <f t="shared" si="372"/>
        <v>0</v>
      </c>
      <c r="BZ180" s="66" t="str">
        <f t="shared" si="373"/>
        <v/>
      </c>
      <c r="CA180" s="65" t="str">
        <f t="shared" si="374"/>
        <v/>
      </c>
      <c r="CB180" s="65" t="str">
        <f t="shared" si="375"/>
        <v/>
      </c>
      <c r="CC180" s="65" t="str">
        <f t="shared" si="376"/>
        <v/>
      </c>
      <c r="CD180" s="66">
        <f t="shared" si="497"/>
        <v>0</v>
      </c>
      <c r="CE180" s="68" t="str">
        <f>IF('Marks Entry'!AL180="","",'Marks Entry'!AL180)</f>
        <v/>
      </c>
      <c r="CF180" s="68" t="str">
        <f>IF('Marks Entry'!AM180="","",'Marks Entry'!AM180)</f>
        <v/>
      </c>
      <c r="CG180" s="68" t="str">
        <f>IF('Marks Entry'!AN180="","",'Marks Entry'!AN180)</f>
        <v/>
      </c>
      <c r="CH180" s="514" t="str">
        <f t="shared" si="378"/>
        <v/>
      </c>
      <c r="CI180" s="68" t="str">
        <f>IF('Marks Entry'!AO180="","",'Marks Entry'!AO180)</f>
        <v/>
      </c>
      <c r="CJ180" s="515" t="str">
        <f t="shared" si="379"/>
        <v/>
      </c>
      <c r="CK180" s="68" t="str">
        <f>IF('Marks Entry'!AP180="","",'Marks Entry'!AP180)</f>
        <v/>
      </c>
      <c r="CL180" s="96" t="str">
        <f t="shared" si="380"/>
        <v/>
      </c>
      <c r="CM180" s="65">
        <f t="shared" si="381"/>
        <v>0</v>
      </c>
      <c r="CN180" s="65">
        <f t="shared" si="382"/>
        <v>0</v>
      </c>
      <c r="CO180" s="66" t="str">
        <f t="shared" si="383"/>
        <v/>
      </c>
      <c r="CP180" s="65" t="str">
        <f t="shared" si="384"/>
        <v/>
      </c>
      <c r="CQ180" s="65" t="str">
        <f t="shared" si="385"/>
        <v/>
      </c>
      <c r="CR180" s="65" t="str">
        <f t="shared" si="386"/>
        <v/>
      </c>
      <c r="CS180" s="616" t="str">
        <f>IF('School Profile'!$D$20="NO","",IF('Marks Entry'!AQ180="","",IF('Marks Entry'!AQ180=1,'School Profile'!$I$29,IF('Marks Entry'!AQ180=2,'School Profile'!$I$30,IF('Marks Entry'!AQ180=3,'School Profile'!$I$31,IF('Marks Entry'!AQ180=4,'School Profile'!$I$32,IF('Marks Entry'!AQ180=5,'School Profile'!$I$33,IF('Marks Entry'!AQ180=6,'School Profile'!$I$34,IF('Marks Entry'!AQ180=7,'School Profile'!$I$35,IF('Marks Entry'!AQ180=8,'School Profile'!$I$36,IF('Marks Entry'!AQ180=9,'School Profile'!$I$37,IF('Marks Entry'!AQ180=10,'School Profile'!$I$38,IF('Marks Entry'!AQ180=11,'School Profile'!$I$39,"")))))))))))))</f>
        <v/>
      </c>
      <c r="CT180" s="68" t="str">
        <f>IF('School Profile'!$D$20="NO","",IF('Marks Entry'!AR180="","",'Marks Entry'!AR180))</f>
        <v/>
      </c>
      <c r="CU180" s="68" t="str">
        <f>IF('School Profile'!$D$20="NO","",IF('Marks Entry'!AS180="","",'Marks Entry'!AS180))</f>
        <v/>
      </c>
      <c r="CV180" s="68" t="str">
        <f>IF('School Profile'!$D$20="NO","",IF('Marks Entry'!AT180="","",'Marks Entry'!AT180))</f>
        <v/>
      </c>
      <c r="CW180" s="514" t="str">
        <f>IF('School Profile'!$D$20="NO","",IF(AND(CT180="",CU180="",CV180=""),"",SUM(CT180:CV180)))</f>
        <v/>
      </c>
      <c r="CX180" s="68" t="str">
        <f>IF('School Profile'!$D$20="NO","",IF('Marks Entry'!AU180="","",'Marks Entry'!AU180))</f>
        <v/>
      </c>
      <c r="CY180" s="68" t="str">
        <f>IF('School Profile'!$D$20="NO","",IF('Marks Entry'!AV180="","",'Marks Entry'!AV180))</f>
        <v/>
      </c>
      <c r="CZ180" s="515" t="str">
        <f>IF('School Profile'!$D$20="NO","",IF(AND(CX180="",CY180=""),"",SUM(CX180,CY180)))</f>
        <v/>
      </c>
      <c r="DA180" s="69" t="str">
        <f>IF('School Profile'!$D$20="NO","",IF(AND(CW180="",CZ180=""),"",SUM(CW180+CZ180)))</f>
        <v/>
      </c>
      <c r="DB180" s="68" t="str">
        <f>IF('School Profile'!$D$20="NO","",IF('Marks Entry'!AW180="","",'Marks Entry'!AW180))</f>
        <v/>
      </c>
      <c r="DC180" s="68" t="str">
        <f>IF('School Profile'!$D$20="NO","",IF('Marks Entry'!AX180="","",'Marks Entry'!AX180))</f>
        <v/>
      </c>
      <c r="DD180" s="515" t="str">
        <f>IF('School Profile'!$D$20="NO","",IF(AND(DB180="",DC180=""),"",SUM(DB180,DC180)))</f>
        <v/>
      </c>
      <c r="DE180" s="96" t="str">
        <f>IF('School Profile'!$D$20="NO","",IF(AND(DA180="",DD180=""),"",SUM(DA180,DD180)))</f>
        <v/>
      </c>
      <c r="DF180" s="532">
        <f t="shared" si="387"/>
        <v>0</v>
      </c>
      <c r="DG180" s="65">
        <f t="shared" si="388"/>
        <v>0</v>
      </c>
      <c r="DH180" s="66" t="str">
        <f t="shared" si="389"/>
        <v/>
      </c>
      <c r="DI180" s="65" t="str">
        <f t="shared" si="390"/>
        <v/>
      </c>
      <c r="DJ180" s="65" t="str">
        <f t="shared" si="391"/>
        <v/>
      </c>
      <c r="DK180" s="65" t="str">
        <f t="shared" si="392"/>
        <v/>
      </c>
      <c r="DL180" s="97" t="str">
        <f t="shared" si="432"/>
        <v/>
      </c>
      <c r="DM180" s="97" t="str">
        <f t="shared" si="433"/>
        <v/>
      </c>
      <c r="DN180" s="97" t="str">
        <f t="shared" si="434"/>
        <v/>
      </c>
      <c r="DO180" s="97" t="str">
        <f t="shared" si="435"/>
        <v/>
      </c>
      <c r="DP180" s="97" t="str">
        <f t="shared" si="436"/>
        <v/>
      </c>
      <c r="DQ180" s="97" t="str">
        <f t="shared" si="437"/>
        <v/>
      </c>
      <c r="DR180" s="97" t="str">
        <f t="shared" si="438"/>
        <v/>
      </c>
      <c r="DS180" s="98">
        <f t="shared" si="439"/>
        <v>0</v>
      </c>
      <c r="DT180" s="98">
        <f t="shared" si="440"/>
        <v>0</v>
      </c>
      <c r="DU180" s="98">
        <f t="shared" si="441"/>
        <v>0</v>
      </c>
      <c r="DV180" s="98">
        <f t="shared" si="442"/>
        <v>0</v>
      </c>
      <c r="DW180" s="98">
        <f t="shared" si="443"/>
        <v>0</v>
      </c>
      <c r="DX180" s="98" t="str">
        <f t="shared" si="444"/>
        <v/>
      </c>
      <c r="DY180" s="99" t="str">
        <f t="shared" si="445"/>
        <v/>
      </c>
      <c r="DZ180" s="74" t="str">
        <f>IF('Marks Entry'!AY180="","",'Marks Entry'!AY180)</f>
        <v/>
      </c>
      <c r="EA180" s="74" t="str">
        <f>IF('Marks Entry'!AZ180="","",'Marks Entry'!AZ180)</f>
        <v/>
      </c>
      <c r="EB180" s="74" t="str">
        <f>IF('Marks Entry'!BA180="","",'Marks Entry'!BA180)</f>
        <v/>
      </c>
      <c r="EC180" s="527" t="str">
        <f t="shared" si="393"/>
        <v/>
      </c>
      <c r="ED180" s="74" t="str">
        <f>IF('Marks Entry'!BB180="","",'Marks Entry'!BB180)</f>
        <v/>
      </c>
      <c r="EE180" s="528" t="str">
        <f t="shared" si="394"/>
        <v/>
      </c>
      <c r="EF180" s="74" t="str">
        <f>IF('Marks Entry'!BC180="","",'Marks Entry'!BC180)</f>
        <v/>
      </c>
      <c r="EG180" s="530" t="str">
        <f t="shared" si="395"/>
        <v/>
      </c>
      <c r="EH180" s="368" t="str">
        <f t="shared" si="446"/>
        <v/>
      </c>
      <c r="EI180" s="65">
        <f t="shared" si="447"/>
        <v>0</v>
      </c>
      <c r="EJ180" s="65">
        <f t="shared" si="448"/>
        <v>0</v>
      </c>
      <c r="EK180" s="66" t="str">
        <f t="shared" si="449"/>
        <v/>
      </c>
      <c r="EL180" s="74" t="str">
        <f>IF('Marks Entry'!BD180="","",'Marks Entry'!BD180)</f>
        <v/>
      </c>
      <c r="EM180" s="74" t="str">
        <f>IF('Marks Entry'!BE180="","",'Marks Entry'!BE180)</f>
        <v/>
      </c>
      <c r="EN180" s="74" t="str">
        <f>IF('Marks Entry'!BF180="","",'Marks Entry'!BF180)</f>
        <v/>
      </c>
      <c r="EO180" s="527" t="str">
        <f t="shared" si="396"/>
        <v/>
      </c>
      <c r="EP180" s="74" t="str">
        <f>IF('Marks Entry'!BG180="","",'Marks Entry'!BG180)</f>
        <v/>
      </c>
      <c r="EQ180" s="74" t="str">
        <f>IF('Marks Entry'!BH180="","",'Marks Entry'!BH180)</f>
        <v/>
      </c>
      <c r="ER180" s="528" t="str">
        <f t="shared" si="397"/>
        <v/>
      </c>
      <c r="ES180" s="529" t="str">
        <f t="shared" si="398"/>
        <v/>
      </c>
      <c r="ET180" s="74" t="str">
        <f>IF('Marks Entry'!BI180="","",'Marks Entry'!BI180)</f>
        <v/>
      </c>
      <c r="EU180" s="74" t="str">
        <f>IF('Marks Entry'!BJ180="","",'Marks Entry'!BJ180)</f>
        <v/>
      </c>
      <c r="EV180" s="528" t="str">
        <f t="shared" si="399"/>
        <v/>
      </c>
      <c r="EW180" s="530" t="str">
        <f t="shared" si="400"/>
        <v/>
      </c>
      <c r="EX180" s="368" t="str">
        <f t="shared" si="450"/>
        <v/>
      </c>
      <c r="EY180" s="65">
        <f t="shared" si="451"/>
        <v>0</v>
      </c>
      <c r="EZ180" s="65">
        <f t="shared" si="452"/>
        <v>0</v>
      </c>
      <c r="FA180" s="66" t="str">
        <f t="shared" si="453"/>
        <v/>
      </c>
      <c r="FB180" s="74" t="str">
        <f>IF('Marks Entry'!BK180="","",'Marks Entry'!BK180)</f>
        <v/>
      </c>
      <c r="FC180" s="74" t="str">
        <f>IF('Marks Entry'!BL180="","",'Marks Entry'!BL180)</f>
        <v/>
      </c>
      <c r="FD180" s="74" t="str">
        <f>IF('Marks Entry'!BM180="","",'Marks Entry'!BM180)</f>
        <v/>
      </c>
      <c r="FE180" s="74" t="str">
        <f>IF('Marks Entry'!BN180="","",'Marks Entry'!BN180)</f>
        <v/>
      </c>
      <c r="FF180" s="74" t="str">
        <f>IF('Marks Entry'!BO180="","",'Marks Entry'!BO180)</f>
        <v/>
      </c>
      <c r="FG180" s="74" t="str">
        <f>IF('Marks Entry'!BP180="","",'Marks Entry'!BP180)</f>
        <v/>
      </c>
      <c r="FH180" s="527" t="str">
        <f t="shared" si="401"/>
        <v/>
      </c>
      <c r="FI180" s="74" t="str">
        <f>IF('Marks Entry'!BQ180="","",'Marks Entry'!BQ180)</f>
        <v/>
      </c>
      <c r="FJ180" s="74" t="str">
        <f>IF('Marks Entry'!BR180="","",'Marks Entry'!BR180)</f>
        <v/>
      </c>
      <c r="FK180" s="528" t="str">
        <f t="shared" si="402"/>
        <v/>
      </c>
      <c r="FL180" s="529" t="str">
        <f t="shared" si="403"/>
        <v/>
      </c>
      <c r="FM180" s="74" t="str">
        <f>IF('Marks Entry'!BS180="","",'Marks Entry'!BS180)</f>
        <v/>
      </c>
      <c r="FN180" s="74" t="str">
        <f>IF('Marks Entry'!BT180="","",'Marks Entry'!BT180)</f>
        <v/>
      </c>
      <c r="FO180" s="528" t="str">
        <f t="shared" si="404"/>
        <v/>
      </c>
      <c r="FP180" s="530" t="str">
        <f t="shared" si="405"/>
        <v/>
      </c>
      <c r="FQ180" s="368" t="str">
        <f t="shared" si="454"/>
        <v/>
      </c>
      <c r="FR180" s="65">
        <f t="shared" si="455"/>
        <v>0</v>
      </c>
      <c r="FS180" s="65">
        <f t="shared" si="456"/>
        <v>0</v>
      </c>
      <c r="FT180" s="66" t="str">
        <f t="shared" si="457"/>
        <v/>
      </c>
      <c r="FU180" s="74" t="str">
        <f>IF('Marks Entry'!BU180="","",'Marks Entry'!BU180)</f>
        <v/>
      </c>
      <c r="FV180" s="74" t="str">
        <f>IF('Marks Entry'!BV180="","",'Marks Entry'!BV180)</f>
        <v/>
      </c>
      <c r="FW180" s="74" t="str">
        <f>IF('Marks Entry'!BW180="","",'Marks Entry'!BW180)</f>
        <v/>
      </c>
      <c r="FX180" s="75" t="str">
        <f t="shared" si="406"/>
        <v/>
      </c>
      <c r="FY180" s="368" t="str">
        <f t="shared" si="458"/>
        <v/>
      </c>
      <c r="FZ180" s="65">
        <f t="shared" si="459"/>
        <v>0</v>
      </c>
      <c r="GA180" s="66">
        <f t="shared" si="460"/>
        <v>0</v>
      </c>
      <c r="GB180" s="66" t="str">
        <f t="shared" si="461"/>
        <v/>
      </c>
      <c r="GC180" s="74" t="str">
        <f>IF('Marks Entry'!BX180="","",'Marks Entry'!BX180)</f>
        <v/>
      </c>
      <c r="GD180" s="74" t="str">
        <f>IF('Marks Entry'!BY180="","",'Marks Entry'!BY180)</f>
        <v/>
      </c>
      <c r="GE180" s="74" t="str">
        <f>IF('Marks Entry'!BZ180="","",'Marks Entry'!BZ180)</f>
        <v/>
      </c>
      <c r="GF180" s="75" t="str">
        <f t="shared" si="462"/>
        <v/>
      </c>
      <c r="GG180" s="368" t="str">
        <f t="shared" si="463"/>
        <v/>
      </c>
      <c r="GH180" s="65">
        <f t="shared" si="464"/>
        <v>0</v>
      </c>
      <c r="GI180" s="66">
        <f t="shared" si="465"/>
        <v>0</v>
      </c>
      <c r="GJ180" s="66" t="str">
        <f t="shared" si="466"/>
        <v/>
      </c>
      <c r="GK180" s="100" t="str">
        <f>IF(AND(F180="",B180=""),"",IF('Student DATA Entry'!M177="","",'Student DATA Entry'!M177))</f>
        <v/>
      </c>
      <c r="GL180" s="101" t="str">
        <f>IF(AND(B180="",F180=""),"",IF('Student DATA Entry'!N177="","",'Student DATA Entry'!N177))</f>
        <v/>
      </c>
      <c r="GM180" s="581" t="str">
        <f t="shared" si="467"/>
        <v/>
      </c>
      <c r="GN180" s="94" t="str">
        <f t="shared" si="468"/>
        <v/>
      </c>
      <c r="GO180" s="94" t="str">
        <f t="shared" si="469"/>
        <v/>
      </c>
      <c r="GP180" s="102" t="str">
        <f t="shared" si="498"/>
        <v/>
      </c>
      <c r="GQ180" s="94" t="str">
        <f t="shared" si="470"/>
        <v/>
      </c>
      <c r="GR180" s="103" t="str">
        <f t="shared" si="471"/>
        <v/>
      </c>
      <c r="GS180" s="102" t="str">
        <f t="shared" si="499"/>
        <v/>
      </c>
      <c r="GT180" s="104" t="str">
        <f t="shared" si="472"/>
        <v/>
      </c>
      <c r="GU180" s="94" t="str">
        <f>IF('Marks Entry'!V180=1,GT180,"")</f>
        <v/>
      </c>
      <c r="GV180" s="94" t="str">
        <f>IF('Marks Entry'!V180=2,GT180,"")</f>
        <v/>
      </c>
      <c r="GW180" s="94" t="str">
        <f>IF('Marks Entry'!V180=3,GT180,"")</f>
        <v/>
      </c>
      <c r="GX180" s="94" t="str">
        <f>IF('Marks Entry'!V180=4,GT180,"")</f>
        <v/>
      </c>
      <c r="GY180" s="94" t="str">
        <f>IF('Marks Entry'!V180=5,GT180,"")</f>
        <v/>
      </c>
      <c r="GZ180" s="94" t="str">
        <f t="shared" si="473"/>
        <v/>
      </c>
      <c r="HA180" s="105" t="str">
        <f t="shared" si="500"/>
        <v/>
      </c>
      <c r="HB180" s="94" t="str">
        <f t="shared" si="474"/>
        <v/>
      </c>
      <c r="HC180" s="94" t="str">
        <f t="shared" si="475"/>
        <v/>
      </c>
      <c r="HD180" s="105" t="str">
        <f t="shared" si="501"/>
        <v/>
      </c>
      <c r="HE180" s="94" t="str">
        <f t="shared" si="476"/>
        <v/>
      </c>
      <c r="HF180" s="94" t="str">
        <f t="shared" si="477"/>
        <v/>
      </c>
      <c r="HG180" s="105" t="str">
        <f t="shared" si="502"/>
        <v/>
      </c>
      <c r="HH180" s="94" t="str">
        <f t="shared" si="478"/>
        <v/>
      </c>
      <c r="HI180" s="94" t="str">
        <f t="shared" si="479"/>
        <v/>
      </c>
      <c r="HJ180" s="105" t="str">
        <f t="shared" si="503"/>
        <v/>
      </c>
      <c r="HK180" s="94" t="str">
        <f t="shared" si="480"/>
        <v/>
      </c>
      <c r="HL180" s="94" t="str">
        <f t="shared" si="481"/>
        <v/>
      </c>
      <c r="HM180" s="105" t="str">
        <f t="shared" si="504"/>
        <v/>
      </c>
      <c r="HN180" s="367" t="str">
        <f t="shared" si="482"/>
        <v xml:space="preserve">      </v>
      </c>
      <c r="HO180" s="418" t="str">
        <f t="shared" si="505"/>
        <v xml:space="preserve">      </v>
      </c>
      <c r="HP180" s="367" t="str">
        <f t="shared" si="483"/>
        <v xml:space="preserve">      </v>
      </c>
      <c r="HQ180" s="107" t="str">
        <f t="shared" si="484"/>
        <v xml:space="preserve">      </v>
      </c>
      <c r="HR180" s="366" t="str">
        <f t="shared" si="485"/>
        <v xml:space="preserve">      </v>
      </c>
      <c r="HS180" s="544" t="str">
        <f t="shared" si="506"/>
        <v/>
      </c>
      <c r="HT180" s="542" t="str">
        <f t="shared" si="486"/>
        <v/>
      </c>
      <c r="HU180" s="541" t="str">
        <f t="shared" si="487"/>
        <v/>
      </c>
      <c r="HV180" s="540" t="str">
        <f t="shared" si="488"/>
        <v/>
      </c>
      <c r="HW180" s="537" t="str">
        <f t="shared" si="489"/>
        <v/>
      </c>
      <c r="HX180" s="539" t="str">
        <f t="shared" si="490"/>
        <v/>
      </c>
      <c r="HY180" s="553" t="str">
        <f>IFERROR(IF(OR(HS180="SUPPLEMENTARY",HS180="RE-EXAM"),'Supp. Result Entry'!AQ178,""),"")</f>
        <v/>
      </c>
      <c r="HZ180" s="538" t="str">
        <f t="shared" si="491"/>
        <v/>
      </c>
      <c r="IA180" s="415" t="str">
        <f t="shared" si="492"/>
        <v/>
      </c>
      <c r="IB180" s="415" t="str">
        <f>IF(AND(HZ180="",IA180=""),"",IF(OR(HS180="SUPPLEMENTARY",HS180="RE-EXAM"),'Supp. Result Entry'!AQ178,HS180))</f>
        <v/>
      </c>
      <c r="IC180" s="87"/>
      <c r="IS180" s="109" t="str">
        <f>IF('Supp. Result Entry'!T178="","",'Supp. Result Entry'!$T$4)</f>
        <v/>
      </c>
      <c r="IT180" s="110" t="str">
        <f>IF('Supp. Result Entry'!W178="","",'Supp. Result Entry'!$W$4)</f>
        <v/>
      </c>
      <c r="IU180" s="110" t="str">
        <f>IF('Supp. Result Entry'!Z178="","",'Supp. Result Entry'!$Z$4)</f>
        <v/>
      </c>
      <c r="IV180" s="110" t="str">
        <f>IF('Supp. Result Entry'!AC178="","",'Supp. Result Entry'!$AC$4)</f>
        <v/>
      </c>
      <c r="IW180" s="110" t="str">
        <f>IF('Supp. Result Entry'!AF178="","",'Supp. Result Entry'!$AF$4)</f>
        <v/>
      </c>
      <c r="IX180" s="110" t="str">
        <f>IF('Supp. Result Entry'!AI178="","",'Supp. Result Entry'!$AI$4)</f>
        <v/>
      </c>
      <c r="IY180" s="110" t="str">
        <f>IF('Supp. Result Entry'!AI178="","",'Supp. Result Entry'!$AL$4)</f>
        <v/>
      </c>
      <c r="IZ180" s="110" t="str">
        <f>IF('Supp. Result Entry'!U178="","",'Supp. Result Entry'!U178)</f>
        <v/>
      </c>
      <c r="JA180" s="110" t="str">
        <f>IF('Supp. Result Entry'!X178="","",'Supp. Result Entry'!X178)</f>
        <v/>
      </c>
      <c r="JB180" s="110" t="str">
        <f>IF('Supp. Result Entry'!AA178="","",'Supp. Result Entry'!AA178)</f>
        <v/>
      </c>
      <c r="JC180" s="110" t="str">
        <f>IF('Supp. Result Entry'!AD178="","",'Supp. Result Entry'!AD178)</f>
        <v/>
      </c>
      <c r="JD180" s="110" t="str">
        <f>IF('Supp. Result Entry'!AG178="","",'Supp. Result Entry'!AG178)</f>
        <v/>
      </c>
      <c r="JE180" s="110" t="str">
        <f>IF('Supp. Result Entry'!AJ178="","",'Supp. Result Entry'!AJ178)</f>
        <v/>
      </c>
      <c r="JF180" s="110" t="str">
        <f>IF('Supp. Result Entry'!AM178="","",'Supp. Result Entry'!AM178)</f>
        <v/>
      </c>
      <c r="JG180" s="110" t="str">
        <f>IF('Supp. Result Entry'!V178="","",'Supp. Result Entry'!V178)</f>
        <v/>
      </c>
      <c r="JH180" s="110" t="str">
        <f>IF('Supp. Result Entry'!Y178="","",'Supp. Result Entry'!Y178)</f>
        <v/>
      </c>
      <c r="JI180" s="110" t="str">
        <f>IF('Supp. Result Entry'!AB178="","",'Supp. Result Entry'!AB178)</f>
        <v/>
      </c>
      <c r="JJ180" s="110" t="str">
        <f>IF('Supp. Result Entry'!AE178="","",'Supp. Result Entry'!AE178)</f>
        <v/>
      </c>
      <c r="JK180" s="110" t="str">
        <f>IF('Supp. Result Entry'!AH178="","",'Supp. Result Entry'!AH178)</f>
        <v/>
      </c>
      <c r="JL180" s="110" t="str">
        <f>IF('Supp. Result Entry'!AK178="","",'Supp. Result Entry'!AK178)</f>
        <v/>
      </c>
      <c r="JM180" s="110" t="str">
        <f>IF('Supp. Result Entry'!AN178="","",'Supp. Result Entry'!AN178)</f>
        <v/>
      </c>
      <c r="JN180" s="110">
        <f>COUNTIF('Supp. Result Entry'!K178:Q178,"S")</f>
        <v>0</v>
      </c>
      <c r="JO180" s="110">
        <f t="shared" si="416"/>
        <v>0</v>
      </c>
      <c r="JP180" s="110">
        <f t="shared" si="493"/>
        <v>0</v>
      </c>
      <c r="JQ180" s="110" t="str">
        <f t="shared" si="417"/>
        <v/>
      </c>
      <c r="JR180" s="110" t="str">
        <f t="shared" si="418"/>
        <v/>
      </c>
      <c r="JS180" s="110" t="str">
        <f t="shared" si="419"/>
        <v/>
      </c>
      <c r="JT180" s="110" t="str">
        <f t="shared" si="420"/>
        <v/>
      </c>
      <c r="JU180" s="110" t="str">
        <f t="shared" si="421"/>
        <v/>
      </c>
      <c r="JV180" s="110" t="str">
        <f t="shared" si="422"/>
        <v/>
      </c>
      <c r="JW180" s="110" t="str">
        <f t="shared" si="423"/>
        <v/>
      </c>
      <c r="JX180" s="110" t="str">
        <f t="shared" si="494"/>
        <v/>
      </c>
      <c r="JY180" s="110" t="str">
        <f t="shared" si="495"/>
        <v/>
      </c>
      <c r="JZ180" s="110" t="str">
        <f t="shared" si="424"/>
        <v/>
      </c>
      <c r="KA180" s="108" t="str">
        <f t="shared" si="496"/>
        <v/>
      </c>
    </row>
    <row r="181" spans="1:287" s="108" customFormat="1" ht="21.95" customHeight="1">
      <c r="A181" s="89">
        <v>175</v>
      </c>
      <c r="B181" s="90" t="str">
        <f>IF('Marks Entry'!B181="","",'Marks Entry'!B181)</f>
        <v/>
      </c>
      <c r="C181" s="94" t="str">
        <f>IF('Marks Entry'!D181="","",'Marks Entry'!D181)</f>
        <v/>
      </c>
      <c r="D181" s="91" t="str">
        <f>IF('Marks Entry'!E181="","",'Marks Entry'!E181)</f>
        <v/>
      </c>
      <c r="E181" s="92" t="str">
        <f>IF('Marks Entry'!F181="","",'Marks Entry'!F181)</f>
        <v/>
      </c>
      <c r="F181" s="93" t="str">
        <f>IF('Marks Entry'!G181="","",'Marks Entry'!G181)</f>
        <v/>
      </c>
      <c r="G181" s="93" t="str">
        <f>IF('Marks Entry'!H181="","",'Marks Entry'!H181)</f>
        <v/>
      </c>
      <c r="H181" s="93" t="str">
        <f>IF('Marks Entry'!I181="","",'Marks Entry'!I181)</f>
        <v/>
      </c>
      <c r="I181" s="94" t="str">
        <f>IF('Marks Entry'!J181="","",'Marks Entry'!J181)</f>
        <v/>
      </c>
      <c r="J181" s="95" t="str">
        <f>IF('Marks Entry'!K181="","",'Marks Entry'!K181)</f>
        <v/>
      </c>
      <c r="K181" s="68" t="str">
        <f>IF('Marks Entry'!L181="","",'Marks Entry'!L181)</f>
        <v/>
      </c>
      <c r="L181" s="68" t="str">
        <f>IF('Marks Entry'!M181="","",'Marks Entry'!M181)</f>
        <v/>
      </c>
      <c r="M181" s="68" t="str">
        <f>IF('Marks Entry'!N181="","",'Marks Entry'!N181)</f>
        <v/>
      </c>
      <c r="N181" s="514" t="str">
        <f t="shared" si="425"/>
        <v/>
      </c>
      <c r="O181" s="68" t="str">
        <f>IF('Marks Entry'!O181="","",'Marks Entry'!O181)</f>
        <v/>
      </c>
      <c r="P181" s="515" t="str">
        <f t="shared" si="426"/>
        <v/>
      </c>
      <c r="Q181" s="68" t="str">
        <f>IF('Marks Entry'!P181="","",'Marks Entry'!P181)</f>
        <v/>
      </c>
      <c r="R181" s="96" t="str">
        <f t="shared" si="427"/>
        <v/>
      </c>
      <c r="S181" s="65">
        <f t="shared" si="428"/>
        <v>0</v>
      </c>
      <c r="T181" s="65">
        <f t="shared" si="429"/>
        <v>0</v>
      </c>
      <c r="U181" s="66" t="str">
        <f t="shared" si="339"/>
        <v/>
      </c>
      <c r="V181" s="65" t="str">
        <f t="shared" si="340"/>
        <v/>
      </c>
      <c r="W181" s="65" t="str">
        <f t="shared" si="430"/>
        <v/>
      </c>
      <c r="X181" s="65" t="str">
        <f t="shared" si="341"/>
        <v/>
      </c>
      <c r="Y181" s="68" t="str">
        <f>IF('Marks Entry'!Q181="","",'Marks Entry'!Q181)</f>
        <v/>
      </c>
      <c r="Z181" s="68" t="str">
        <f>IF('Marks Entry'!R181="","",'Marks Entry'!R181)</f>
        <v/>
      </c>
      <c r="AA181" s="68" t="str">
        <f>IF('Marks Entry'!S181="","",'Marks Entry'!S181)</f>
        <v/>
      </c>
      <c r="AB181" s="514" t="str">
        <f t="shared" si="342"/>
        <v/>
      </c>
      <c r="AC181" s="68" t="str">
        <f>IF('Marks Entry'!T181="","",'Marks Entry'!T181)</f>
        <v/>
      </c>
      <c r="AD181" s="515" t="str">
        <f t="shared" si="343"/>
        <v/>
      </c>
      <c r="AE181" s="68" t="str">
        <f>IF('Marks Entry'!U181="","",'Marks Entry'!U181)</f>
        <v/>
      </c>
      <c r="AF181" s="96" t="str">
        <f t="shared" si="344"/>
        <v/>
      </c>
      <c r="AG181" s="65">
        <f t="shared" si="345"/>
        <v>0</v>
      </c>
      <c r="AH181" s="65">
        <f t="shared" si="346"/>
        <v>0</v>
      </c>
      <c r="AI181" s="66" t="str">
        <f t="shared" si="347"/>
        <v/>
      </c>
      <c r="AJ181" s="65" t="str">
        <f t="shared" si="348"/>
        <v/>
      </c>
      <c r="AK181" s="65" t="str">
        <f t="shared" si="349"/>
        <v/>
      </c>
      <c r="AL181" s="65" t="str">
        <f t="shared" si="350"/>
        <v/>
      </c>
      <c r="AM181" s="524" t="str">
        <f>IF('Marks Entry'!V181="","",IF('Marks Entry'!V181=1,'School Profile'!$I$9,IF('Marks Entry'!V181=2,'School Profile'!$I$10,IF('Marks Entry'!V181=3,'School Profile'!$I$11,IF('Marks Entry'!V181=4,'School Profile'!$I$12,IF('Marks Entry'!V181=5,'School Profile'!$I$13,IF('Marks Entry'!V181=6,'School Profile'!$I$14,"")))))))</f>
        <v/>
      </c>
      <c r="AN181" s="68" t="str">
        <f>IF('Marks Entry'!W181="","",'Marks Entry'!W181)</f>
        <v/>
      </c>
      <c r="AO181" s="68" t="str">
        <f>IF('Marks Entry'!X181="","",'Marks Entry'!X181)</f>
        <v/>
      </c>
      <c r="AP181" s="68" t="str">
        <f>IF('Marks Entry'!Y181="","",'Marks Entry'!Y181)</f>
        <v/>
      </c>
      <c r="AQ181" s="514" t="str">
        <f t="shared" si="351"/>
        <v/>
      </c>
      <c r="AR181" s="68" t="str">
        <f>IF('Marks Entry'!Z181="","",'Marks Entry'!Z181)</f>
        <v/>
      </c>
      <c r="AS181" s="515" t="str">
        <f t="shared" si="352"/>
        <v/>
      </c>
      <c r="AT181" s="68" t="str">
        <f>IF('Marks Entry'!AA181="","",'Marks Entry'!AA181)</f>
        <v/>
      </c>
      <c r="AU181" s="96" t="str">
        <f t="shared" si="353"/>
        <v/>
      </c>
      <c r="AV181" s="65">
        <f t="shared" si="354"/>
        <v>0</v>
      </c>
      <c r="AW181" s="65">
        <f t="shared" si="355"/>
        <v>0</v>
      </c>
      <c r="AX181" s="66" t="str">
        <f t="shared" si="356"/>
        <v/>
      </c>
      <c r="AY181" s="65" t="str">
        <f t="shared" si="357"/>
        <v/>
      </c>
      <c r="AZ181" s="65" t="str">
        <f t="shared" si="358"/>
        <v/>
      </c>
      <c r="BA181" s="65" t="str">
        <f t="shared" si="359"/>
        <v/>
      </c>
      <c r="BB181" s="68" t="str">
        <f>IF('Marks Entry'!AB181="","",'Marks Entry'!AB181)</f>
        <v/>
      </c>
      <c r="BC181" s="68" t="str">
        <f>IF('Marks Entry'!AC181="","",'Marks Entry'!AC181)</f>
        <v/>
      </c>
      <c r="BD181" s="68" t="str">
        <f>IF('Marks Entry'!AD181="","",'Marks Entry'!AD181)</f>
        <v/>
      </c>
      <c r="BE181" s="514" t="str">
        <f t="shared" si="360"/>
        <v/>
      </c>
      <c r="BF181" s="68" t="str">
        <f>IF('Marks Entry'!AE181="","",'Marks Entry'!AE181)</f>
        <v/>
      </c>
      <c r="BG181" s="515" t="str">
        <f t="shared" si="361"/>
        <v/>
      </c>
      <c r="BH181" s="68" t="str">
        <f>IF('Marks Entry'!AF181="","",'Marks Entry'!AF181)</f>
        <v/>
      </c>
      <c r="BI181" s="96" t="str">
        <f t="shared" si="362"/>
        <v/>
      </c>
      <c r="BJ181" s="65">
        <f t="shared" si="363"/>
        <v>0</v>
      </c>
      <c r="BK181" s="65">
        <f t="shared" si="431"/>
        <v>0</v>
      </c>
      <c r="BL181" s="66" t="str">
        <f t="shared" si="364"/>
        <v/>
      </c>
      <c r="BM181" s="65" t="str">
        <f t="shared" si="365"/>
        <v/>
      </c>
      <c r="BN181" s="65" t="str">
        <f t="shared" si="366"/>
        <v/>
      </c>
      <c r="BO181" s="65" t="str">
        <f t="shared" si="367"/>
        <v/>
      </c>
      <c r="BP181" s="68" t="str">
        <f>IF('Marks Entry'!AG181="","",'Marks Entry'!AG181)</f>
        <v/>
      </c>
      <c r="BQ181" s="68" t="str">
        <f>IF('Marks Entry'!AH181="","",'Marks Entry'!AH181)</f>
        <v/>
      </c>
      <c r="BR181" s="68" t="str">
        <f>IF('Marks Entry'!AI181="","",'Marks Entry'!AI181)</f>
        <v/>
      </c>
      <c r="BS181" s="514" t="str">
        <f t="shared" si="368"/>
        <v/>
      </c>
      <c r="BT181" s="68" t="str">
        <f>IF('Marks Entry'!AJ181="","",'Marks Entry'!AJ181)</f>
        <v/>
      </c>
      <c r="BU181" s="515" t="str">
        <f t="shared" si="369"/>
        <v/>
      </c>
      <c r="BV181" s="68" t="str">
        <f>IF('Marks Entry'!AK181="","",'Marks Entry'!AK181)</f>
        <v/>
      </c>
      <c r="BW181" s="96" t="str">
        <f t="shared" si="370"/>
        <v/>
      </c>
      <c r="BX181" s="65">
        <f t="shared" si="371"/>
        <v>0</v>
      </c>
      <c r="BY181" s="65">
        <f t="shared" si="372"/>
        <v>0</v>
      </c>
      <c r="BZ181" s="66" t="str">
        <f t="shared" si="373"/>
        <v/>
      </c>
      <c r="CA181" s="65" t="str">
        <f t="shared" si="374"/>
        <v/>
      </c>
      <c r="CB181" s="65" t="str">
        <f t="shared" si="375"/>
        <v/>
      </c>
      <c r="CC181" s="65" t="str">
        <f t="shared" si="376"/>
        <v/>
      </c>
      <c r="CD181" s="66">
        <f t="shared" si="497"/>
        <v>0</v>
      </c>
      <c r="CE181" s="68" t="str">
        <f>IF('Marks Entry'!AL181="","",'Marks Entry'!AL181)</f>
        <v/>
      </c>
      <c r="CF181" s="68" t="str">
        <f>IF('Marks Entry'!AM181="","",'Marks Entry'!AM181)</f>
        <v/>
      </c>
      <c r="CG181" s="68" t="str">
        <f>IF('Marks Entry'!AN181="","",'Marks Entry'!AN181)</f>
        <v/>
      </c>
      <c r="CH181" s="514" t="str">
        <f t="shared" si="378"/>
        <v/>
      </c>
      <c r="CI181" s="68" t="str">
        <f>IF('Marks Entry'!AO181="","",'Marks Entry'!AO181)</f>
        <v/>
      </c>
      <c r="CJ181" s="515" t="str">
        <f t="shared" si="379"/>
        <v/>
      </c>
      <c r="CK181" s="68" t="str">
        <f>IF('Marks Entry'!AP181="","",'Marks Entry'!AP181)</f>
        <v/>
      </c>
      <c r="CL181" s="96" t="str">
        <f t="shared" si="380"/>
        <v/>
      </c>
      <c r="CM181" s="65">
        <f t="shared" si="381"/>
        <v>0</v>
      </c>
      <c r="CN181" s="65">
        <f t="shared" si="382"/>
        <v>0</v>
      </c>
      <c r="CO181" s="66" t="str">
        <f t="shared" si="383"/>
        <v/>
      </c>
      <c r="CP181" s="65" t="str">
        <f t="shared" si="384"/>
        <v/>
      </c>
      <c r="CQ181" s="65" t="str">
        <f t="shared" si="385"/>
        <v/>
      </c>
      <c r="CR181" s="65" t="str">
        <f t="shared" si="386"/>
        <v/>
      </c>
      <c r="CS181" s="616" t="str">
        <f>IF('School Profile'!$D$20="NO","",IF('Marks Entry'!AQ181="","",IF('Marks Entry'!AQ181=1,'School Profile'!$I$29,IF('Marks Entry'!AQ181=2,'School Profile'!$I$30,IF('Marks Entry'!AQ181=3,'School Profile'!$I$31,IF('Marks Entry'!AQ181=4,'School Profile'!$I$32,IF('Marks Entry'!AQ181=5,'School Profile'!$I$33,IF('Marks Entry'!AQ181=6,'School Profile'!$I$34,IF('Marks Entry'!AQ181=7,'School Profile'!$I$35,IF('Marks Entry'!AQ181=8,'School Profile'!$I$36,IF('Marks Entry'!AQ181=9,'School Profile'!$I$37,IF('Marks Entry'!AQ181=10,'School Profile'!$I$38,IF('Marks Entry'!AQ181=11,'School Profile'!$I$39,"")))))))))))))</f>
        <v/>
      </c>
      <c r="CT181" s="68" t="str">
        <f>IF('School Profile'!$D$20="NO","",IF('Marks Entry'!AR181="","",'Marks Entry'!AR181))</f>
        <v/>
      </c>
      <c r="CU181" s="68" t="str">
        <f>IF('School Profile'!$D$20="NO","",IF('Marks Entry'!AS181="","",'Marks Entry'!AS181))</f>
        <v/>
      </c>
      <c r="CV181" s="68" t="str">
        <f>IF('School Profile'!$D$20="NO","",IF('Marks Entry'!AT181="","",'Marks Entry'!AT181))</f>
        <v/>
      </c>
      <c r="CW181" s="514" t="str">
        <f>IF('School Profile'!$D$20="NO","",IF(AND(CT181="",CU181="",CV181=""),"",SUM(CT181:CV181)))</f>
        <v/>
      </c>
      <c r="CX181" s="68" t="str">
        <f>IF('School Profile'!$D$20="NO","",IF('Marks Entry'!AU181="","",'Marks Entry'!AU181))</f>
        <v/>
      </c>
      <c r="CY181" s="68" t="str">
        <f>IF('School Profile'!$D$20="NO","",IF('Marks Entry'!AV181="","",'Marks Entry'!AV181))</f>
        <v/>
      </c>
      <c r="CZ181" s="515" t="str">
        <f>IF('School Profile'!$D$20="NO","",IF(AND(CX181="",CY181=""),"",SUM(CX181,CY181)))</f>
        <v/>
      </c>
      <c r="DA181" s="69" t="str">
        <f>IF('School Profile'!$D$20="NO","",IF(AND(CW181="",CZ181=""),"",SUM(CW181+CZ181)))</f>
        <v/>
      </c>
      <c r="DB181" s="68" t="str">
        <f>IF('School Profile'!$D$20="NO","",IF('Marks Entry'!AW181="","",'Marks Entry'!AW181))</f>
        <v/>
      </c>
      <c r="DC181" s="68" t="str">
        <f>IF('School Profile'!$D$20="NO","",IF('Marks Entry'!AX181="","",'Marks Entry'!AX181))</f>
        <v/>
      </c>
      <c r="DD181" s="515" t="str">
        <f>IF('School Profile'!$D$20="NO","",IF(AND(DB181="",DC181=""),"",SUM(DB181,DC181)))</f>
        <v/>
      </c>
      <c r="DE181" s="96" t="str">
        <f>IF('School Profile'!$D$20="NO","",IF(AND(DA181="",DD181=""),"",SUM(DA181,DD181)))</f>
        <v/>
      </c>
      <c r="DF181" s="532">
        <f t="shared" si="387"/>
        <v>0</v>
      </c>
      <c r="DG181" s="65">
        <f t="shared" si="388"/>
        <v>0</v>
      </c>
      <c r="DH181" s="66" t="str">
        <f t="shared" si="389"/>
        <v/>
      </c>
      <c r="DI181" s="65" t="str">
        <f t="shared" si="390"/>
        <v/>
      </c>
      <c r="DJ181" s="65" t="str">
        <f t="shared" si="391"/>
        <v/>
      </c>
      <c r="DK181" s="65" t="str">
        <f t="shared" si="392"/>
        <v/>
      </c>
      <c r="DL181" s="97" t="str">
        <f t="shared" si="432"/>
        <v/>
      </c>
      <c r="DM181" s="97" t="str">
        <f t="shared" si="433"/>
        <v/>
      </c>
      <c r="DN181" s="97" t="str">
        <f t="shared" si="434"/>
        <v/>
      </c>
      <c r="DO181" s="97" t="str">
        <f t="shared" si="435"/>
        <v/>
      </c>
      <c r="DP181" s="97" t="str">
        <f t="shared" si="436"/>
        <v/>
      </c>
      <c r="DQ181" s="97" t="str">
        <f t="shared" si="437"/>
        <v/>
      </c>
      <c r="DR181" s="97" t="str">
        <f t="shared" si="438"/>
        <v/>
      </c>
      <c r="DS181" s="98">
        <f t="shared" si="439"/>
        <v>0</v>
      </c>
      <c r="DT181" s="98">
        <f t="shared" si="440"/>
        <v>0</v>
      </c>
      <c r="DU181" s="98">
        <f t="shared" si="441"/>
        <v>0</v>
      </c>
      <c r="DV181" s="98">
        <f t="shared" si="442"/>
        <v>0</v>
      </c>
      <c r="DW181" s="98">
        <f t="shared" si="443"/>
        <v>0</v>
      </c>
      <c r="DX181" s="98" t="str">
        <f t="shared" si="444"/>
        <v/>
      </c>
      <c r="DY181" s="99" t="str">
        <f t="shared" si="445"/>
        <v/>
      </c>
      <c r="DZ181" s="74" t="str">
        <f>IF('Marks Entry'!AY181="","",'Marks Entry'!AY181)</f>
        <v/>
      </c>
      <c r="EA181" s="74" t="str">
        <f>IF('Marks Entry'!AZ181="","",'Marks Entry'!AZ181)</f>
        <v/>
      </c>
      <c r="EB181" s="74" t="str">
        <f>IF('Marks Entry'!BA181="","",'Marks Entry'!BA181)</f>
        <v/>
      </c>
      <c r="EC181" s="527" t="str">
        <f t="shared" si="393"/>
        <v/>
      </c>
      <c r="ED181" s="74" t="str">
        <f>IF('Marks Entry'!BB181="","",'Marks Entry'!BB181)</f>
        <v/>
      </c>
      <c r="EE181" s="528" t="str">
        <f t="shared" si="394"/>
        <v/>
      </c>
      <c r="EF181" s="74" t="str">
        <f>IF('Marks Entry'!BC181="","",'Marks Entry'!BC181)</f>
        <v/>
      </c>
      <c r="EG181" s="530" t="str">
        <f t="shared" si="395"/>
        <v/>
      </c>
      <c r="EH181" s="368" t="str">
        <f t="shared" si="446"/>
        <v/>
      </c>
      <c r="EI181" s="65">
        <f t="shared" si="447"/>
        <v>0</v>
      </c>
      <c r="EJ181" s="65">
        <f t="shared" si="448"/>
        <v>0</v>
      </c>
      <c r="EK181" s="66" t="str">
        <f t="shared" si="449"/>
        <v/>
      </c>
      <c r="EL181" s="74" t="str">
        <f>IF('Marks Entry'!BD181="","",'Marks Entry'!BD181)</f>
        <v/>
      </c>
      <c r="EM181" s="74" t="str">
        <f>IF('Marks Entry'!BE181="","",'Marks Entry'!BE181)</f>
        <v/>
      </c>
      <c r="EN181" s="74" t="str">
        <f>IF('Marks Entry'!BF181="","",'Marks Entry'!BF181)</f>
        <v/>
      </c>
      <c r="EO181" s="527" t="str">
        <f t="shared" si="396"/>
        <v/>
      </c>
      <c r="EP181" s="74" t="str">
        <f>IF('Marks Entry'!BG181="","",'Marks Entry'!BG181)</f>
        <v/>
      </c>
      <c r="EQ181" s="74" t="str">
        <f>IF('Marks Entry'!BH181="","",'Marks Entry'!BH181)</f>
        <v/>
      </c>
      <c r="ER181" s="528" t="str">
        <f t="shared" si="397"/>
        <v/>
      </c>
      <c r="ES181" s="529" t="str">
        <f t="shared" si="398"/>
        <v/>
      </c>
      <c r="ET181" s="74" t="str">
        <f>IF('Marks Entry'!BI181="","",'Marks Entry'!BI181)</f>
        <v/>
      </c>
      <c r="EU181" s="74" t="str">
        <f>IF('Marks Entry'!BJ181="","",'Marks Entry'!BJ181)</f>
        <v/>
      </c>
      <c r="EV181" s="528" t="str">
        <f t="shared" si="399"/>
        <v/>
      </c>
      <c r="EW181" s="530" t="str">
        <f t="shared" si="400"/>
        <v/>
      </c>
      <c r="EX181" s="368" t="str">
        <f t="shared" si="450"/>
        <v/>
      </c>
      <c r="EY181" s="65">
        <f t="shared" si="451"/>
        <v>0</v>
      </c>
      <c r="EZ181" s="65">
        <f t="shared" si="452"/>
        <v>0</v>
      </c>
      <c r="FA181" s="66" t="str">
        <f t="shared" si="453"/>
        <v/>
      </c>
      <c r="FB181" s="74" t="str">
        <f>IF('Marks Entry'!BK181="","",'Marks Entry'!BK181)</f>
        <v/>
      </c>
      <c r="FC181" s="74" t="str">
        <f>IF('Marks Entry'!BL181="","",'Marks Entry'!BL181)</f>
        <v/>
      </c>
      <c r="FD181" s="74" t="str">
        <f>IF('Marks Entry'!BM181="","",'Marks Entry'!BM181)</f>
        <v/>
      </c>
      <c r="FE181" s="74" t="str">
        <f>IF('Marks Entry'!BN181="","",'Marks Entry'!BN181)</f>
        <v/>
      </c>
      <c r="FF181" s="74" t="str">
        <f>IF('Marks Entry'!BO181="","",'Marks Entry'!BO181)</f>
        <v/>
      </c>
      <c r="FG181" s="74" t="str">
        <f>IF('Marks Entry'!BP181="","",'Marks Entry'!BP181)</f>
        <v/>
      </c>
      <c r="FH181" s="527" t="str">
        <f t="shared" si="401"/>
        <v/>
      </c>
      <c r="FI181" s="74" t="str">
        <f>IF('Marks Entry'!BQ181="","",'Marks Entry'!BQ181)</f>
        <v/>
      </c>
      <c r="FJ181" s="74" t="str">
        <f>IF('Marks Entry'!BR181="","",'Marks Entry'!BR181)</f>
        <v/>
      </c>
      <c r="FK181" s="528" t="str">
        <f t="shared" si="402"/>
        <v/>
      </c>
      <c r="FL181" s="529" t="str">
        <f t="shared" si="403"/>
        <v/>
      </c>
      <c r="FM181" s="74" t="str">
        <f>IF('Marks Entry'!BS181="","",'Marks Entry'!BS181)</f>
        <v/>
      </c>
      <c r="FN181" s="74" t="str">
        <f>IF('Marks Entry'!BT181="","",'Marks Entry'!BT181)</f>
        <v/>
      </c>
      <c r="FO181" s="528" t="str">
        <f t="shared" si="404"/>
        <v/>
      </c>
      <c r="FP181" s="530" t="str">
        <f t="shared" si="405"/>
        <v/>
      </c>
      <c r="FQ181" s="368" t="str">
        <f t="shared" si="454"/>
        <v/>
      </c>
      <c r="FR181" s="65">
        <f t="shared" si="455"/>
        <v>0</v>
      </c>
      <c r="FS181" s="65">
        <f t="shared" si="456"/>
        <v>0</v>
      </c>
      <c r="FT181" s="66" t="str">
        <f t="shared" si="457"/>
        <v/>
      </c>
      <c r="FU181" s="74" t="str">
        <f>IF('Marks Entry'!BU181="","",'Marks Entry'!BU181)</f>
        <v/>
      </c>
      <c r="FV181" s="74" t="str">
        <f>IF('Marks Entry'!BV181="","",'Marks Entry'!BV181)</f>
        <v/>
      </c>
      <c r="FW181" s="74" t="str">
        <f>IF('Marks Entry'!BW181="","",'Marks Entry'!BW181)</f>
        <v/>
      </c>
      <c r="FX181" s="75" t="str">
        <f t="shared" si="406"/>
        <v/>
      </c>
      <c r="FY181" s="368" t="str">
        <f t="shared" si="458"/>
        <v/>
      </c>
      <c r="FZ181" s="65">
        <f t="shared" si="459"/>
        <v>0</v>
      </c>
      <c r="GA181" s="66">
        <f t="shared" si="460"/>
        <v>0</v>
      </c>
      <c r="GB181" s="66" t="str">
        <f t="shared" si="461"/>
        <v/>
      </c>
      <c r="GC181" s="74" t="str">
        <f>IF('Marks Entry'!BX181="","",'Marks Entry'!BX181)</f>
        <v/>
      </c>
      <c r="GD181" s="74" t="str">
        <f>IF('Marks Entry'!BY181="","",'Marks Entry'!BY181)</f>
        <v/>
      </c>
      <c r="GE181" s="74" t="str">
        <f>IF('Marks Entry'!BZ181="","",'Marks Entry'!BZ181)</f>
        <v/>
      </c>
      <c r="GF181" s="75" t="str">
        <f t="shared" si="462"/>
        <v/>
      </c>
      <c r="GG181" s="368" t="str">
        <f t="shared" si="463"/>
        <v/>
      </c>
      <c r="GH181" s="65">
        <f t="shared" si="464"/>
        <v>0</v>
      </c>
      <c r="GI181" s="66">
        <f t="shared" si="465"/>
        <v>0</v>
      </c>
      <c r="GJ181" s="66" t="str">
        <f t="shared" si="466"/>
        <v/>
      </c>
      <c r="GK181" s="100" t="str">
        <f>IF(AND(F181="",B181=""),"",IF('Student DATA Entry'!M178="","",'Student DATA Entry'!M178))</f>
        <v/>
      </c>
      <c r="GL181" s="101" t="str">
        <f>IF(AND(B181="",F181=""),"",IF('Student DATA Entry'!N178="","",'Student DATA Entry'!N178))</f>
        <v/>
      </c>
      <c r="GM181" s="581" t="str">
        <f t="shared" si="467"/>
        <v/>
      </c>
      <c r="GN181" s="94" t="str">
        <f t="shared" si="468"/>
        <v/>
      </c>
      <c r="GO181" s="94" t="str">
        <f t="shared" si="469"/>
        <v/>
      </c>
      <c r="GP181" s="102" t="str">
        <f t="shared" si="498"/>
        <v/>
      </c>
      <c r="GQ181" s="94" t="str">
        <f t="shared" si="470"/>
        <v/>
      </c>
      <c r="GR181" s="103" t="str">
        <f t="shared" si="471"/>
        <v/>
      </c>
      <c r="GS181" s="102" t="str">
        <f t="shared" si="499"/>
        <v/>
      </c>
      <c r="GT181" s="104" t="str">
        <f t="shared" si="472"/>
        <v/>
      </c>
      <c r="GU181" s="94" t="str">
        <f>IF('Marks Entry'!V181=1,GT181,"")</f>
        <v/>
      </c>
      <c r="GV181" s="94" t="str">
        <f>IF('Marks Entry'!V181=2,GT181,"")</f>
        <v/>
      </c>
      <c r="GW181" s="94" t="str">
        <f>IF('Marks Entry'!V181=3,GT181,"")</f>
        <v/>
      </c>
      <c r="GX181" s="94" t="str">
        <f>IF('Marks Entry'!V181=4,GT181,"")</f>
        <v/>
      </c>
      <c r="GY181" s="94" t="str">
        <f>IF('Marks Entry'!V181=5,GT181,"")</f>
        <v/>
      </c>
      <c r="GZ181" s="94" t="str">
        <f t="shared" si="473"/>
        <v/>
      </c>
      <c r="HA181" s="105" t="str">
        <f t="shared" si="500"/>
        <v/>
      </c>
      <c r="HB181" s="94" t="str">
        <f t="shared" si="474"/>
        <v/>
      </c>
      <c r="HC181" s="94" t="str">
        <f t="shared" si="475"/>
        <v/>
      </c>
      <c r="HD181" s="105" t="str">
        <f t="shared" si="501"/>
        <v/>
      </c>
      <c r="HE181" s="94" t="str">
        <f t="shared" si="476"/>
        <v/>
      </c>
      <c r="HF181" s="94" t="str">
        <f t="shared" si="477"/>
        <v/>
      </c>
      <c r="HG181" s="105" t="str">
        <f t="shared" si="502"/>
        <v/>
      </c>
      <c r="HH181" s="94" t="str">
        <f t="shared" si="478"/>
        <v/>
      </c>
      <c r="HI181" s="94" t="str">
        <f t="shared" si="479"/>
        <v/>
      </c>
      <c r="HJ181" s="105" t="str">
        <f t="shared" si="503"/>
        <v/>
      </c>
      <c r="HK181" s="94" t="str">
        <f t="shared" si="480"/>
        <v/>
      </c>
      <c r="HL181" s="94" t="str">
        <f t="shared" si="481"/>
        <v/>
      </c>
      <c r="HM181" s="105" t="str">
        <f t="shared" si="504"/>
        <v/>
      </c>
      <c r="HN181" s="367" t="str">
        <f t="shared" si="482"/>
        <v xml:space="preserve">      </v>
      </c>
      <c r="HO181" s="418" t="str">
        <f t="shared" si="505"/>
        <v xml:space="preserve">      </v>
      </c>
      <c r="HP181" s="367" t="str">
        <f t="shared" si="483"/>
        <v xml:space="preserve">      </v>
      </c>
      <c r="HQ181" s="107" t="str">
        <f t="shared" si="484"/>
        <v xml:space="preserve">      </v>
      </c>
      <c r="HR181" s="366" t="str">
        <f t="shared" si="485"/>
        <v xml:space="preserve">      </v>
      </c>
      <c r="HS181" s="544" t="str">
        <f t="shared" si="506"/>
        <v/>
      </c>
      <c r="HT181" s="542" t="str">
        <f t="shared" si="486"/>
        <v/>
      </c>
      <c r="HU181" s="541" t="str">
        <f t="shared" si="487"/>
        <v/>
      </c>
      <c r="HV181" s="540" t="str">
        <f t="shared" si="488"/>
        <v/>
      </c>
      <c r="HW181" s="537" t="str">
        <f t="shared" si="489"/>
        <v/>
      </c>
      <c r="HX181" s="539" t="str">
        <f t="shared" si="490"/>
        <v/>
      </c>
      <c r="HY181" s="553" t="str">
        <f>IFERROR(IF(OR(HS181="SUPPLEMENTARY",HS181="RE-EXAM"),'Supp. Result Entry'!AQ179,""),"")</f>
        <v/>
      </c>
      <c r="HZ181" s="538" t="str">
        <f t="shared" si="491"/>
        <v/>
      </c>
      <c r="IA181" s="415" t="str">
        <f t="shared" si="492"/>
        <v/>
      </c>
      <c r="IB181" s="415" t="str">
        <f>IF(AND(HZ181="",IA181=""),"",IF(OR(HS181="SUPPLEMENTARY",HS181="RE-EXAM"),'Supp. Result Entry'!AQ179,HS181))</f>
        <v/>
      </c>
      <c r="IC181" s="87"/>
      <c r="IS181" s="109" t="str">
        <f>IF('Supp. Result Entry'!T179="","",'Supp. Result Entry'!$T$4)</f>
        <v/>
      </c>
      <c r="IT181" s="110" t="str">
        <f>IF('Supp. Result Entry'!W179="","",'Supp. Result Entry'!$W$4)</f>
        <v/>
      </c>
      <c r="IU181" s="110" t="str">
        <f>IF('Supp. Result Entry'!Z179="","",'Supp. Result Entry'!$Z$4)</f>
        <v/>
      </c>
      <c r="IV181" s="110" t="str">
        <f>IF('Supp. Result Entry'!AC179="","",'Supp. Result Entry'!$AC$4)</f>
        <v/>
      </c>
      <c r="IW181" s="110" t="str">
        <f>IF('Supp. Result Entry'!AF179="","",'Supp. Result Entry'!$AF$4)</f>
        <v/>
      </c>
      <c r="IX181" s="110" t="str">
        <f>IF('Supp. Result Entry'!AI179="","",'Supp. Result Entry'!$AI$4)</f>
        <v/>
      </c>
      <c r="IY181" s="110" t="str">
        <f>IF('Supp. Result Entry'!AI179="","",'Supp. Result Entry'!$AL$4)</f>
        <v/>
      </c>
      <c r="IZ181" s="110" t="str">
        <f>IF('Supp. Result Entry'!U179="","",'Supp. Result Entry'!U179)</f>
        <v/>
      </c>
      <c r="JA181" s="110" t="str">
        <f>IF('Supp. Result Entry'!X179="","",'Supp. Result Entry'!X179)</f>
        <v/>
      </c>
      <c r="JB181" s="110" t="str">
        <f>IF('Supp. Result Entry'!AA179="","",'Supp. Result Entry'!AA179)</f>
        <v/>
      </c>
      <c r="JC181" s="110" t="str">
        <f>IF('Supp. Result Entry'!AD179="","",'Supp. Result Entry'!AD179)</f>
        <v/>
      </c>
      <c r="JD181" s="110" t="str">
        <f>IF('Supp. Result Entry'!AG179="","",'Supp. Result Entry'!AG179)</f>
        <v/>
      </c>
      <c r="JE181" s="110" t="str">
        <f>IF('Supp. Result Entry'!AJ179="","",'Supp. Result Entry'!AJ179)</f>
        <v/>
      </c>
      <c r="JF181" s="110" t="str">
        <f>IF('Supp. Result Entry'!AM179="","",'Supp. Result Entry'!AM179)</f>
        <v/>
      </c>
      <c r="JG181" s="110" t="str">
        <f>IF('Supp. Result Entry'!V179="","",'Supp. Result Entry'!V179)</f>
        <v/>
      </c>
      <c r="JH181" s="110" t="str">
        <f>IF('Supp. Result Entry'!Y179="","",'Supp. Result Entry'!Y179)</f>
        <v/>
      </c>
      <c r="JI181" s="110" t="str">
        <f>IF('Supp. Result Entry'!AB179="","",'Supp. Result Entry'!AB179)</f>
        <v/>
      </c>
      <c r="JJ181" s="110" t="str">
        <f>IF('Supp. Result Entry'!AE179="","",'Supp. Result Entry'!AE179)</f>
        <v/>
      </c>
      <c r="JK181" s="110" t="str">
        <f>IF('Supp. Result Entry'!AH179="","",'Supp. Result Entry'!AH179)</f>
        <v/>
      </c>
      <c r="JL181" s="110" t="str">
        <f>IF('Supp. Result Entry'!AK179="","",'Supp. Result Entry'!AK179)</f>
        <v/>
      </c>
      <c r="JM181" s="110" t="str">
        <f>IF('Supp. Result Entry'!AN179="","",'Supp. Result Entry'!AN179)</f>
        <v/>
      </c>
      <c r="JN181" s="110">
        <f>COUNTIF('Supp. Result Entry'!K179:Q179,"S")</f>
        <v>0</v>
      </c>
      <c r="JO181" s="110">
        <f t="shared" si="416"/>
        <v>0</v>
      </c>
      <c r="JP181" s="110">
        <f t="shared" si="493"/>
        <v>0</v>
      </c>
      <c r="JQ181" s="110" t="str">
        <f t="shared" si="417"/>
        <v/>
      </c>
      <c r="JR181" s="110" t="str">
        <f t="shared" si="418"/>
        <v/>
      </c>
      <c r="JS181" s="110" t="str">
        <f t="shared" si="419"/>
        <v/>
      </c>
      <c r="JT181" s="110" t="str">
        <f t="shared" si="420"/>
        <v/>
      </c>
      <c r="JU181" s="110" t="str">
        <f t="shared" si="421"/>
        <v/>
      </c>
      <c r="JV181" s="110" t="str">
        <f t="shared" si="422"/>
        <v/>
      </c>
      <c r="JW181" s="110" t="str">
        <f t="shared" si="423"/>
        <v/>
      </c>
      <c r="JX181" s="110" t="str">
        <f t="shared" si="494"/>
        <v/>
      </c>
      <c r="JY181" s="110" t="str">
        <f t="shared" si="495"/>
        <v/>
      </c>
      <c r="JZ181" s="110" t="str">
        <f t="shared" si="424"/>
        <v/>
      </c>
      <c r="KA181" s="108" t="str">
        <f t="shared" si="496"/>
        <v/>
      </c>
    </row>
    <row r="182" spans="1:287" s="108" customFormat="1" ht="21.95" customHeight="1">
      <c r="A182" s="89">
        <v>176</v>
      </c>
      <c r="B182" s="90" t="str">
        <f>IF('Marks Entry'!B182="","",'Marks Entry'!B182)</f>
        <v/>
      </c>
      <c r="C182" s="94" t="str">
        <f>IF('Marks Entry'!D182="","",'Marks Entry'!D182)</f>
        <v/>
      </c>
      <c r="D182" s="91" t="str">
        <f>IF('Marks Entry'!E182="","",'Marks Entry'!E182)</f>
        <v/>
      </c>
      <c r="E182" s="92" t="str">
        <f>IF('Marks Entry'!F182="","",'Marks Entry'!F182)</f>
        <v/>
      </c>
      <c r="F182" s="93" t="str">
        <f>IF('Marks Entry'!G182="","",'Marks Entry'!G182)</f>
        <v/>
      </c>
      <c r="G182" s="93" t="str">
        <f>IF('Marks Entry'!H182="","",'Marks Entry'!H182)</f>
        <v/>
      </c>
      <c r="H182" s="93" t="str">
        <f>IF('Marks Entry'!I182="","",'Marks Entry'!I182)</f>
        <v/>
      </c>
      <c r="I182" s="94" t="str">
        <f>IF('Marks Entry'!J182="","",'Marks Entry'!J182)</f>
        <v/>
      </c>
      <c r="J182" s="95" t="str">
        <f>IF('Marks Entry'!K182="","",'Marks Entry'!K182)</f>
        <v/>
      </c>
      <c r="K182" s="68" t="str">
        <f>IF('Marks Entry'!L182="","",'Marks Entry'!L182)</f>
        <v/>
      </c>
      <c r="L182" s="68" t="str">
        <f>IF('Marks Entry'!M182="","",'Marks Entry'!M182)</f>
        <v/>
      </c>
      <c r="M182" s="68" t="str">
        <f>IF('Marks Entry'!N182="","",'Marks Entry'!N182)</f>
        <v/>
      </c>
      <c r="N182" s="514" t="str">
        <f t="shared" si="425"/>
        <v/>
      </c>
      <c r="O182" s="68" t="str">
        <f>IF('Marks Entry'!O182="","",'Marks Entry'!O182)</f>
        <v/>
      </c>
      <c r="P182" s="515" t="str">
        <f t="shared" si="426"/>
        <v/>
      </c>
      <c r="Q182" s="68" t="str">
        <f>IF('Marks Entry'!P182="","",'Marks Entry'!P182)</f>
        <v/>
      </c>
      <c r="R182" s="96" t="str">
        <f t="shared" si="427"/>
        <v/>
      </c>
      <c r="S182" s="65">
        <f t="shared" si="428"/>
        <v>0</v>
      </c>
      <c r="T182" s="65">
        <f t="shared" si="429"/>
        <v>0</v>
      </c>
      <c r="U182" s="66" t="str">
        <f t="shared" si="339"/>
        <v/>
      </c>
      <c r="V182" s="65" t="str">
        <f t="shared" si="340"/>
        <v/>
      </c>
      <c r="W182" s="65" t="str">
        <f t="shared" si="430"/>
        <v/>
      </c>
      <c r="X182" s="65" t="str">
        <f t="shared" si="341"/>
        <v/>
      </c>
      <c r="Y182" s="68" t="str">
        <f>IF('Marks Entry'!Q182="","",'Marks Entry'!Q182)</f>
        <v/>
      </c>
      <c r="Z182" s="68" t="str">
        <f>IF('Marks Entry'!R182="","",'Marks Entry'!R182)</f>
        <v/>
      </c>
      <c r="AA182" s="68" t="str">
        <f>IF('Marks Entry'!S182="","",'Marks Entry'!S182)</f>
        <v/>
      </c>
      <c r="AB182" s="514" t="str">
        <f t="shared" si="342"/>
        <v/>
      </c>
      <c r="AC182" s="68" t="str">
        <f>IF('Marks Entry'!T182="","",'Marks Entry'!T182)</f>
        <v/>
      </c>
      <c r="AD182" s="515" t="str">
        <f t="shared" si="343"/>
        <v/>
      </c>
      <c r="AE182" s="68" t="str">
        <f>IF('Marks Entry'!U182="","",'Marks Entry'!U182)</f>
        <v/>
      </c>
      <c r="AF182" s="96" t="str">
        <f t="shared" si="344"/>
        <v/>
      </c>
      <c r="AG182" s="65">
        <f t="shared" si="345"/>
        <v>0</v>
      </c>
      <c r="AH182" s="65">
        <f t="shared" si="346"/>
        <v>0</v>
      </c>
      <c r="AI182" s="66" t="str">
        <f t="shared" si="347"/>
        <v/>
      </c>
      <c r="AJ182" s="65" t="str">
        <f t="shared" si="348"/>
        <v/>
      </c>
      <c r="AK182" s="65" t="str">
        <f t="shared" si="349"/>
        <v/>
      </c>
      <c r="AL182" s="65" t="str">
        <f t="shared" si="350"/>
        <v/>
      </c>
      <c r="AM182" s="524" t="str">
        <f>IF('Marks Entry'!V182="","",IF('Marks Entry'!V182=1,'School Profile'!$I$9,IF('Marks Entry'!V182=2,'School Profile'!$I$10,IF('Marks Entry'!V182=3,'School Profile'!$I$11,IF('Marks Entry'!V182=4,'School Profile'!$I$12,IF('Marks Entry'!V182=5,'School Profile'!$I$13,IF('Marks Entry'!V182=6,'School Profile'!$I$14,"")))))))</f>
        <v/>
      </c>
      <c r="AN182" s="68" t="str">
        <f>IF('Marks Entry'!W182="","",'Marks Entry'!W182)</f>
        <v/>
      </c>
      <c r="AO182" s="68" t="str">
        <f>IF('Marks Entry'!X182="","",'Marks Entry'!X182)</f>
        <v/>
      </c>
      <c r="AP182" s="68" t="str">
        <f>IF('Marks Entry'!Y182="","",'Marks Entry'!Y182)</f>
        <v/>
      </c>
      <c r="AQ182" s="514" t="str">
        <f t="shared" si="351"/>
        <v/>
      </c>
      <c r="AR182" s="68" t="str">
        <f>IF('Marks Entry'!Z182="","",'Marks Entry'!Z182)</f>
        <v/>
      </c>
      <c r="AS182" s="515" t="str">
        <f t="shared" si="352"/>
        <v/>
      </c>
      <c r="AT182" s="68" t="str">
        <f>IF('Marks Entry'!AA182="","",'Marks Entry'!AA182)</f>
        <v/>
      </c>
      <c r="AU182" s="96" t="str">
        <f t="shared" si="353"/>
        <v/>
      </c>
      <c r="AV182" s="65">
        <f t="shared" si="354"/>
        <v>0</v>
      </c>
      <c r="AW182" s="65">
        <f t="shared" si="355"/>
        <v>0</v>
      </c>
      <c r="AX182" s="66" t="str">
        <f t="shared" si="356"/>
        <v/>
      </c>
      <c r="AY182" s="65" t="str">
        <f t="shared" si="357"/>
        <v/>
      </c>
      <c r="AZ182" s="65" t="str">
        <f t="shared" si="358"/>
        <v/>
      </c>
      <c r="BA182" s="65" t="str">
        <f t="shared" si="359"/>
        <v/>
      </c>
      <c r="BB182" s="68" t="str">
        <f>IF('Marks Entry'!AB182="","",'Marks Entry'!AB182)</f>
        <v/>
      </c>
      <c r="BC182" s="68" t="str">
        <f>IF('Marks Entry'!AC182="","",'Marks Entry'!AC182)</f>
        <v/>
      </c>
      <c r="BD182" s="68" t="str">
        <f>IF('Marks Entry'!AD182="","",'Marks Entry'!AD182)</f>
        <v/>
      </c>
      <c r="BE182" s="514" t="str">
        <f t="shared" si="360"/>
        <v/>
      </c>
      <c r="BF182" s="68" t="str">
        <f>IF('Marks Entry'!AE182="","",'Marks Entry'!AE182)</f>
        <v/>
      </c>
      <c r="BG182" s="515" t="str">
        <f t="shared" si="361"/>
        <v/>
      </c>
      <c r="BH182" s="68" t="str">
        <f>IF('Marks Entry'!AF182="","",'Marks Entry'!AF182)</f>
        <v/>
      </c>
      <c r="BI182" s="96" t="str">
        <f t="shared" si="362"/>
        <v/>
      </c>
      <c r="BJ182" s="65">
        <f t="shared" si="363"/>
        <v>0</v>
      </c>
      <c r="BK182" s="65">
        <f t="shared" si="431"/>
        <v>0</v>
      </c>
      <c r="BL182" s="66" t="str">
        <f t="shared" si="364"/>
        <v/>
      </c>
      <c r="BM182" s="65" t="str">
        <f t="shared" si="365"/>
        <v/>
      </c>
      <c r="BN182" s="65" t="str">
        <f t="shared" si="366"/>
        <v/>
      </c>
      <c r="BO182" s="65" t="str">
        <f t="shared" si="367"/>
        <v/>
      </c>
      <c r="BP182" s="68" t="str">
        <f>IF('Marks Entry'!AG182="","",'Marks Entry'!AG182)</f>
        <v/>
      </c>
      <c r="BQ182" s="68" t="str">
        <f>IF('Marks Entry'!AH182="","",'Marks Entry'!AH182)</f>
        <v/>
      </c>
      <c r="BR182" s="68" t="str">
        <f>IF('Marks Entry'!AI182="","",'Marks Entry'!AI182)</f>
        <v/>
      </c>
      <c r="BS182" s="514" t="str">
        <f t="shared" si="368"/>
        <v/>
      </c>
      <c r="BT182" s="68" t="str">
        <f>IF('Marks Entry'!AJ182="","",'Marks Entry'!AJ182)</f>
        <v/>
      </c>
      <c r="BU182" s="515" t="str">
        <f t="shared" si="369"/>
        <v/>
      </c>
      <c r="BV182" s="68" t="str">
        <f>IF('Marks Entry'!AK182="","",'Marks Entry'!AK182)</f>
        <v/>
      </c>
      <c r="BW182" s="96" t="str">
        <f t="shared" si="370"/>
        <v/>
      </c>
      <c r="BX182" s="65">
        <f t="shared" si="371"/>
        <v>0</v>
      </c>
      <c r="BY182" s="65">
        <f t="shared" si="372"/>
        <v>0</v>
      </c>
      <c r="BZ182" s="66" t="str">
        <f t="shared" si="373"/>
        <v/>
      </c>
      <c r="CA182" s="65" t="str">
        <f t="shared" si="374"/>
        <v/>
      </c>
      <c r="CB182" s="65" t="str">
        <f t="shared" si="375"/>
        <v/>
      </c>
      <c r="CC182" s="65" t="str">
        <f t="shared" si="376"/>
        <v/>
      </c>
      <c r="CD182" s="66">
        <f t="shared" si="497"/>
        <v>0</v>
      </c>
      <c r="CE182" s="68" t="str">
        <f>IF('Marks Entry'!AL182="","",'Marks Entry'!AL182)</f>
        <v/>
      </c>
      <c r="CF182" s="68" t="str">
        <f>IF('Marks Entry'!AM182="","",'Marks Entry'!AM182)</f>
        <v/>
      </c>
      <c r="CG182" s="68" t="str">
        <f>IF('Marks Entry'!AN182="","",'Marks Entry'!AN182)</f>
        <v/>
      </c>
      <c r="CH182" s="514" t="str">
        <f t="shared" si="378"/>
        <v/>
      </c>
      <c r="CI182" s="68" t="str">
        <f>IF('Marks Entry'!AO182="","",'Marks Entry'!AO182)</f>
        <v/>
      </c>
      <c r="CJ182" s="515" t="str">
        <f t="shared" si="379"/>
        <v/>
      </c>
      <c r="CK182" s="68" t="str">
        <f>IF('Marks Entry'!AP182="","",'Marks Entry'!AP182)</f>
        <v/>
      </c>
      <c r="CL182" s="96" t="str">
        <f t="shared" si="380"/>
        <v/>
      </c>
      <c r="CM182" s="65">
        <f t="shared" si="381"/>
        <v>0</v>
      </c>
      <c r="CN182" s="65">
        <f t="shared" si="382"/>
        <v>0</v>
      </c>
      <c r="CO182" s="66" t="str">
        <f t="shared" si="383"/>
        <v/>
      </c>
      <c r="CP182" s="65" t="str">
        <f t="shared" si="384"/>
        <v/>
      </c>
      <c r="CQ182" s="65" t="str">
        <f t="shared" si="385"/>
        <v/>
      </c>
      <c r="CR182" s="65" t="str">
        <f t="shared" si="386"/>
        <v/>
      </c>
      <c r="CS182" s="616" t="str">
        <f>IF('School Profile'!$D$20="NO","",IF('Marks Entry'!AQ182="","",IF('Marks Entry'!AQ182=1,'School Profile'!$I$29,IF('Marks Entry'!AQ182=2,'School Profile'!$I$30,IF('Marks Entry'!AQ182=3,'School Profile'!$I$31,IF('Marks Entry'!AQ182=4,'School Profile'!$I$32,IF('Marks Entry'!AQ182=5,'School Profile'!$I$33,IF('Marks Entry'!AQ182=6,'School Profile'!$I$34,IF('Marks Entry'!AQ182=7,'School Profile'!$I$35,IF('Marks Entry'!AQ182=8,'School Profile'!$I$36,IF('Marks Entry'!AQ182=9,'School Profile'!$I$37,IF('Marks Entry'!AQ182=10,'School Profile'!$I$38,IF('Marks Entry'!AQ182=11,'School Profile'!$I$39,"")))))))))))))</f>
        <v/>
      </c>
      <c r="CT182" s="68" t="str">
        <f>IF('School Profile'!$D$20="NO","",IF('Marks Entry'!AR182="","",'Marks Entry'!AR182))</f>
        <v/>
      </c>
      <c r="CU182" s="68" t="str">
        <f>IF('School Profile'!$D$20="NO","",IF('Marks Entry'!AS182="","",'Marks Entry'!AS182))</f>
        <v/>
      </c>
      <c r="CV182" s="68" t="str">
        <f>IF('School Profile'!$D$20="NO","",IF('Marks Entry'!AT182="","",'Marks Entry'!AT182))</f>
        <v/>
      </c>
      <c r="CW182" s="514" t="str">
        <f>IF('School Profile'!$D$20="NO","",IF(AND(CT182="",CU182="",CV182=""),"",SUM(CT182:CV182)))</f>
        <v/>
      </c>
      <c r="CX182" s="68" t="str">
        <f>IF('School Profile'!$D$20="NO","",IF('Marks Entry'!AU182="","",'Marks Entry'!AU182))</f>
        <v/>
      </c>
      <c r="CY182" s="68" t="str">
        <f>IF('School Profile'!$D$20="NO","",IF('Marks Entry'!AV182="","",'Marks Entry'!AV182))</f>
        <v/>
      </c>
      <c r="CZ182" s="515" t="str">
        <f>IF('School Profile'!$D$20="NO","",IF(AND(CX182="",CY182=""),"",SUM(CX182,CY182)))</f>
        <v/>
      </c>
      <c r="DA182" s="69" t="str">
        <f>IF('School Profile'!$D$20="NO","",IF(AND(CW182="",CZ182=""),"",SUM(CW182+CZ182)))</f>
        <v/>
      </c>
      <c r="DB182" s="68" t="str">
        <f>IF('School Profile'!$D$20="NO","",IF('Marks Entry'!AW182="","",'Marks Entry'!AW182))</f>
        <v/>
      </c>
      <c r="DC182" s="68" t="str">
        <f>IF('School Profile'!$D$20="NO","",IF('Marks Entry'!AX182="","",'Marks Entry'!AX182))</f>
        <v/>
      </c>
      <c r="DD182" s="515" t="str">
        <f>IF('School Profile'!$D$20="NO","",IF(AND(DB182="",DC182=""),"",SUM(DB182,DC182)))</f>
        <v/>
      </c>
      <c r="DE182" s="96" t="str">
        <f>IF('School Profile'!$D$20="NO","",IF(AND(DA182="",DD182=""),"",SUM(DA182,DD182)))</f>
        <v/>
      </c>
      <c r="DF182" s="532">
        <f t="shared" si="387"/>
        <v>0</v>
      </c>
      <c r="DG182" s="65">
        <f t="shared" si="388"/>
        <v>0</v>
      </c>
      <c r="DH182" s="66" t="str">
        <f t="shared" si="389"/>
        <v/>
      </c>
      <c r="DI182" s="65" t="str">
        <f t="shared" si="390"/>
        <v/>
      </c>
      <c r="DJ182" s="65" t="str">
        <f t="shared" si="391"/>
        <v/>
      </c>
      <c r="DK182" s="65" t="str">
        <f t="shared" si="392"/>
        <v/>
      </c>
      <c r="DL182" s="97" t="str">
        <f t="shared" si="432"/>
        <v/>
      </c>
      <c r="DM182" s="97" t="str">
        <f t="shared" si="433"/>
        <v/>
      </c>
      <c r="DN182" s="97" t="str">
        <f t="shared" si="434"/>
        <v/>
      </c>
      <c r="DO182" s="97" t="str">
        <f t="shared" si="435"/>
        <v/>
      </c>
      <c r="DP182" s="97" t="str">
        <f t="shared" si="436"/>
        <v/>
      </c>
      <c r="DQ182" s="97" t="str">
        <f t="shared" si="437"/>
        <v/>
      </c>
      <c r="DR182" s="97" t="str">
        <f t="shared" si="438"/>
        <v/>
      </c>
      <c r="DS182" s="98">
        <f t="shared" si="439"/>
        <v>0</v>
      </c>
      <c r="DT182" s="98">
        <f t="shared" si="440"/>
        <v>0</v>
      </c>
      <c r="DU182" s="98">
        <f t="shared" si="441"/>
        <v>0</v>
      </c>
      <c r="DV182" s="98">
        <f t="shared" si="442"/>
        <v>0</v>
      </c>
      <c r="DW182" s="98">
        <f t="shared" si="443"/>
        <v>0</v>
      </c>
      <c r="DX182" s="98" t="str">
        <f t="shared" si="444"/>
        <v/>
      </c>
      <c r="DY182" s="99" t="str">
        <f t="shared" si="445"/>
        <v/>
      </c>
      <c r="DZ182" s="74" t="str">
        <f>IF('Marks Entry'!AY182="","",'Marks Entry'!AY182)</f>
        <v/>
      </c>
      <c r="EA182" s="74" t="str">
        <f>IF('Marks Entry'!AZ182="","",'Marks Entry'!AZ182)</f>
        <v/>
      </c>
      <c r="EB182" s="74" t="str">
        <f>IF('Marks Entry'!BA182="","",'Marks Entry'!BA182)</f>
        <v/>
      </c>
      <c r="EC182" s="527" t="str">
        <f t="shared" si="393"/>
        <v/>
      </c>
      <c r="ED182" s="74" t="str">
        <f>IF('Marks Entry'!BB182="","",'Marks Entry'!BB182)</f>
        <v/>
      </c>
      <c r="EE182" s="528" t="str">
        <f t="shared" si="394"/>
        <v/>
      </c>
      <c r="EF182" s="74" t="str">
        <f>IF('Marks Entry'!BC182="","",'Marks Entry'!BC182)</f>
        <v/>
      </c>
      <c r="EG182" s="530" t="str">
        <f t="shared" si="395"/>
        <v/>
      </c>
      <c r="EH182" s="368" t="str">
        <f t="shared" si="446"/>
        <v/>
      </c>
      <c r="EI182" s="65">
        <f t="shared" si="447"/>
        <v>0</v>
      </c>
      <c r="EJ182" s="65">
        <f t="shared" si="448"/>
        <v>0</v>
      </c>
      <c r="EK182" s="66" t="str">
        <f t="shared" si="449"/>
        <v/>
      </c>
      <c r="EL182" s="74" t="str">
        <f>IF('Marks Entry'!BD182="","",'Marks Entry'!BD182)</f>
        <v/>
      </c>
      <c r="EM182" s="74" t="str">
        <f>IF('Marks Entry'!BE182="","",'Marks Entry'!BE182)</f>
        <v/>
      </c>
      <c r="EN182" s="74" t="str">
        <f>IF('Marks Entry'!BF182="","",'Marks Entry'!BF182)</f>
        <v/>
      </c>
      <c r="EO182" s="527" t="str">
        <f t="shared" si="396"/>
        <v/>
      </c>
      <c r="EP182" s="74" t="str">
        <f>IF('Marks Entry'!BG182="","",'Marks Entry'!BG182)</f>
        <v/>
      </c>
      <c r="EQ182" s="74" t="str">
        <f>IF('Marks Entry'!BH182="","",'Marks Entry'!BH182)</f>
        <v/>
      </c>
      <c r="ER182" s="528" t="str">
        <f t="shared" si="397"/>
        <v/>
      </c>
      <c r="ES182" s="529" t="str">
        <f t="shared" si="398"/>
        <v/>
      </c>
      <c r="ET182" s="74" t="str">
        <f>IF('Marks Entry'!BI182="","",'Marks Entry'!BI182)</f>
        <v/>
      </c>
      <c r="EU182" s="74" t="str">
        <f>IF('Marks Entry'!BJ182="","",'Marks Entry'!BJ182)</f>
        <v/>
      </c>
      <c r="EV182" s="528" t="str">
        <f t="shared" si="399"/>
        <v/>
      </c>
      <c r="EW182" s="530" t="str">
        <f t="shared" si="400"/>
        <v/>
      </c>
      <c r="EX182" s="368" t="str">
        <f t="shared" si="450"/>
        <v/>
      </c>
      <c r="EY182" s="65">
        <f t="shared" si="451"/>
        <v>0</v>
      </c>
      <c r="EZ182" s="65">
        <f t="shared" si="452"/>
        <v>0</v>
      </c>
      <c r="FA182" s="66" t="str">
        <f t="shared" si="453"/>
        <v/>
      </c>
      <c r="FB182" s="74" t="str">
        <f>IF('Marks Entry'!BK182="","",'Marks Entry'!BK182)</f>
        <v/>
      </c>
      <c r="FC182" s="74" t="str">
        <f>IF('Marks Entry'!BL182="","",'Marks Entry'!BL182)</f>
        <v/>
      </c>
      <c r="FD182" s="74" t="str">
        <f>IF('Marks Entry'!BM182="","",'Marks Entry'!BM182)</f>
        <v/>
      </c>
      <c r="FE182" s="74" t="str">
        <f>IF('Marks Entry'!BN182="","",'Marks Entry'!BN182)</f>
        <v/>
      </c>
      <c r="FF182" s="74" t="str">
        <f>IF('Marks Entry'!BO182="","",'Marks Entry'!BO182)</f>
        <v/>
      </c>
      <c r="FG182" s="74" t="str">
        <f>IF('Marks Entry'!BP182="","",'Marks Entry'!BP182)</f>
        <v/>
      </c>
      <c r="FH182" s="527" t="str">
        <f t="shared" si="401"/>
        <v/>
      </c>
      <c r="FI182" s="74" t="str">
        <f>IF('Marks Entry'!BQ182="","",'Marks Entry'!BQ182)</f>
        <v/>
      </c>
      <c r="FJ182" s="74" t="str">
        <f>IF('Marks Entry'!BR182="","",'Marks Entry'!BR182)</f>
        <v/>
      </c>
      <c r="FK182" s="528" t="str">
        <f t="shared" si="402"/>
        <v/>
      </c>
      <c r="FL182" s="529" t="str">
        <f t="shared" si="403"/>
        <v/>
      </c>
      <c r="FM182" s="74" t="str">
        <f>IF('Marks Entry'!BS182="","",'Marks Entry'!BS182)</f>
        <v/>
      </c>
      <c r="FN182" s="74" t="str">
        <f>IF('Marks Entry'!BT182="","",'Marks Entry'!BT182)</f>
        <v/>
      </c>
      <c r="FO182" s="528" t="str">
        <f t="shared" si="404"/>
        <v/>
      </c>
      <c r="FP182" s="530" t="str">
        <f t="shared" si="405"/>
        <v/>
      </c>
      <c r="FQ182" s="368" t="str">
        <f t="shared" si="454"/>
        <v/>
      </c>
      <c r="FR182" s="65">
        <f t="shared" si="455"/>
        <v>0</v>
      </c>
      <c r="FS182" s="65">
        <f t="shared" si="456"/>
        <v>0</v>
      </c>
      <c r="FT182" s="66" t="str">
        <f t="shared" si="457"/>
        <v/>
      </c>
      <c r="FU182" s="74" t="str">
        <f>IF('Marks Entry'!BU182="","",'Marks Entry'!BU182)</f>
        <v/>
      </c>
      <c r="FV182" s="74" t="str">
        <f>IF('Marks Entry'!BV182="","",'Marks Entry'!BV182)</f>
        <v/>
      </c>
      <c r="FW182" s="74" t="str">
        <f>IF('Marks Entry'!BW182="","",'Marks Entry'!BW182)</f>
        <v/>
      </c>
      <c r="FX182" s="75" t="str">
        <f t="shared" si="406"/>
        <v/>
      </c>
      <c r="FY182" s="368" t="str">
        <f t="shared" si="458"/>
        <v/>
      </c>
      <c r="FZ182" s="65">
        <f t="shared" si="459"/>
        <v>0</v>
      </c>
      <c r="GA182" s="66">
        <f t="shared" si="460"/>
        <v>0</v>
      </c>
      <c r="GB182" s="66" t="str">
        <f t="shared" si="461"/>
        <v/>
      </c>
      <c r="GC182" s="74" t="str">
        <f>IF('Marks Entry'!BX182="","",'Marks Entry'!BX182)</f>
        <v/>
      </c>
      <c r="GD182" s="74" t="str">
        <f>IF('Marks Entry'!BY182="","",'Marks Entry'!BY182)</f>
        <v/>
      </c>
      <c r="GE182" s="74" t="str">
        <f>IF('Marks Entry'!BZ182="","",'Marks Entry'!BZ182)</f>
        <v/>
      </c>
      <c r="GF182" s="75" t="str">
        <f t="shared" si="462"/>
        <v/>
      </c>
      <c r="GG182" s="368" t="str">
        <f t="shared" si="463"/>
        <v/>
      </c>
      <c r="GH182" s="65">
        <f t="shared" si="464"/>
        <v>0</v>
      </c>
      <c r="GI182" s="66">
        <f t="shared" si="465"/>
        <v>0</v>
      </c>
      <c r="GJ182" s="66" t="str">
        <f t="shared" si="466"/>
        <v/>
      </c>
      <c r="GK182" s="100" t="str">
        <f>IF(AND(F182="",B182=""),"",IF('Student DATA Entry'!M179="","",'Student DATA Entry'!M179))</f>
        <v/>
      </c>
      <c r="GL182" s="101" t="str">
        <f>IF(AND(B182="",F182=""),"",IF('Student DATA Entry'!N179="","",'Student DATA Entry'!N179))</f>
        <v/>
      </c>
      <c r="GM182" s="581" t="str">
        <f t="shared" si="467"/>
        <v/>
      </c>
      <c r="GN182" s="94" t="str">
        <f t="shared" si="468"/>
        <v/>
      </c>
      <c r="GO182" s="94" t="str">
        <f t="shared" si="469"/>
        <v/>
      </c>
      <c r="GP182" s="102" t="str">
        <f t="shared" si="498"/>
        <v/>
      </c>
      <c r="GQ182" s="94" t="str">
        <f t="shared" si="470"/>
        <v/>
      </c>
      <c r="GR182" s="103" t="str">
        <f t="shared" si="471"/>
        <v/>
      </c>
      <c r="GS182" s="102" t="str">
        <f t="shared" si="499"/>
        <v/>
      </c>
      <c r="GT182" s="104" t="str">
        <f t="shared" si="472"/>
        <v/>
      </c>
      <c r="GU182" s="94" t="str">
        <f>IF('Marks Entry'!V182=1,GT182,"")</f>
        <v/>
      </c>
      <c r="GV182" s="94" t="str">
        <f>IF('Marks Entry'!V182=2,GT182,"")</f>
        <v/>
      </c>
      <c r="GW182" s="94" t="str">
        <f>IF('Marks Entry'!V182=3,GT182,"")</f>
        <v/>
      </c>
      <c r="GX182" s="94" t="str">
        <f>IF('Marks Entry'!V182=4,GT182,"")</f>
        <v/>
      </c>
      <c r="GY182" s="94" t="str">
        <f>IF('Marks Entry'!V182=5,GT182,"")</f>
        <v/>
      </c>
      <c r="GZ182" s="94" t="str">
        <f t="shared" si="473"/>
        <v/>
      </c>
      <c r="HA182" s="105" t="str">
        <f t="shared" si="500"/>
        <v/>
      </c>
      <c r="HB182" s="94" t="str">
        <f t="shared" si="474"/>
        <v/>
      </c>
      <c r="HC182" s="94" t="str">
        <f t="shared" si="475"/>
        <v/>
      </c>
      <c r="HD182" s="105" t="str">
        <f t="shared" si="501"/>
        <v/>
      </c>
      <c r="HE182" s="94" t="str">
        <f t="shared" si="476"/>
        <v/>
      </c>
      <c r="HF182" s="94" t="str">
        <f t="shared" si="477"/>
        <v/>
      </c>
      <c r="HG182" s="105" t="str">
        <f t="shared" si="502"/>
        <v/>
      </c>
      <c r="HH182" s="94" t="str">
        <f t="shared" si="478"/>
        <v/>
      </c>
      <c r="HI182" s="94" t="str">
        <f t="shared" si="479"/>
        <v/>
      </c>
      <c r="HJ182" s="105" t="str">
        <f t="shared" si="503"/>
        <v/>
      </c>
      <c r="HK182" s="94" t="str">
        <f t="shared" si="480"/>
        <v/>
      </c>
      <c r="HL182" s="94" t="str">
        <f t="shared" si="481"/>
        <v/>
      </c>
      <c r="HM182" s="105" t="str">
        <f t="shared" si="504"/>
        <v/>
      </c>
      <c r="HN182" s="367" t="str">
        <f t="shared" si="482"/>
        <v xml:space="preserve">      </v>
      </c>
      <c r="HO182" s="418" t="str">
        <f t="shared" si="505"/>
        <v xml:space="preserve">      </v>
      </c>
      <c r="HP182" s="367" t="str">
        <f t="shared" si="483"/>
        <v xml:space="preserve">      </v>
      </c>
      <c r="HQ182" s="107" t="str">
        <f t="shared" si="484"/>
        <v xml:space="preserve">      </v>
      </c>
      <c r="HR182" s="366" t="str">
        <f t="shared" si="485"/>
        <v xml:space="preserve">      </v>
      </c>
      <c r="HS182" s="544" t="str">
        <f t="shared" si="506"/>
        <v/>
      </c>
      <c r="HT182" s="542" t="str">
        <f t="shared" si="486"/>
        <v/>
      </c>
      <c r="HU182" s="541" t="str">
        <f t="shared" si="487"/>
        <v/>
      </c>
      <c r="HV182" s="540" t="str">
        <f t="shared" si="488"/>
        <v/>
      </c>
      <c r="HW182" s="537" t="str">
        <f t="shared" si="489"/>
        <v/>
      </c>
      <c r="HX182" s="539" t="str">
        <f t="shared" si="490"/>
        <v/>
      </c>
      <c r="HY182" s="553" t="str">
        <f>IFERROR(IF(OR(HS182="SUPPLEMENTARY",HS182="RE-EXAM"),'Supp. Result Entry'!AQ180,""),"")</f>
        <v/>
      </c>
      <c r="HZ182" s="538" t="str">
        <f t="shared" si="491"/>
        <v/>
      </c>
      <c r="IA182" s="415" t="str">
        <f t="shared" si="492"/>
        <v/>
      </c>
      <c r="IB182" s="415" t="str">
        <f>IF(AND(HZ182="",IA182=""),"",IF(OR(HS182="SUPPLEMENTARY",HS182="RE-EXAM"),'Supp. Result Entry'!AQ180,HS182))</f>
        <v/>
      </c>
      <c r="IC182" s="87"/>
      <c r="IS182" s="109" t="str">
        <f>IF('Supp. Result Entry'!T180="","",'Supp. Result Entry'!$T$4)</f>
        <v/>
      </c>
      <c r="IT182" s="110" t="str">
        <f>IF('Supp. Result Entry'!W180="","",'Supp. Result Entry'!$W$4)</f>
        <v/>
      </c>
      <c r="IU182" s="110" t="str">
        <f>IF('Supp. Result Entry'!Z180="","",'Supp. Result Entry'!$Z$4)</f>
        <v/>
      </c>
      <c r="IV182" s="110" t="str">
        <f>IF('Supp. Result Entry'!AC180="","",'Supp. Result Entry'!$AC$4)</f>
        <v/>
      </c>
      <c r="IW182" s="110" t="str">
        <f>IF('Supp. Result Entry'!AF180="","",'Supp. Result Entry'!$AF$4)</f>
        <v/>
      </c>
      <c r="IX182" s="110" t="str">
        <f>IF('Supp. Result Entry'!AI180="","",'Supp. Result Entry'!$AI$4)</f>
        <v/>
      </c>
      <c r="IY182" s="110" t="str">
        <f>IF('Supp. Result Entry'!AI180="","",'Supp. Result Entry'!$AL$4)</f>
        <v/>
      </c>
      <c r="IZ182" s="110" t="str">
        <f>IF('Supp. Result Entry'!U180="","",'Supp. Result Entry'!U180)</f>
        <v/>
      </c>
      <c r="JA182" s="110" t="str">
        <f>IF('Supp. Result Entry'!X180="","",'Supp. Result Entry'!X180)</f>
        <v/>
      </c>
      <c r="JB182" s="110" t="str">
        <f>IF('Supp. Result Entry'!AA180="","",'Supp. Result Entry'!AA180)</f>
        <v/>
      </c>
      <c r="JC182" s="110" t="str">
        <f>IF('Supp. Result Entry'!AD180="","",'Supp. Result Entry'!AD180)</f>
        <v/>
      </c>
      <c r="JD182" s="110" t="str">
        <f>IF('Supp. Result Entry'!AG180="","",'Supp. Result Entry'!AG180)</f>
        <v/>
      </c>
      <c r="JE182" s="110" t="str">
        <f>IF('Supp. Result Entry'!AJ180="","",'Supp. Result Entry'!AJ180)</f>
        <v/>
      </c>
      <c r="JF182" s="110" t="str">
        <f>IF('Supp. Result Entry'!AM180="","",'Supp. Result Entry'!AM180)</f>
        <v/>
      </c>
      <c r="JG182" s="110" t="str">
        <f>IF('Supp. Result Entry'!V180="","",'Supp. Result Entry'!V180)</f>
        <v/>
      </c>
      <c r="JH182" s="110" t="str">
        <f>IF('Supp. Result Entry'!Y180="","",'Supp. Result Entry'!Y180)</f>
        <v/>
      </c>
      <c r="JI182" s="110" t="str">
        <f>IF('Supp. Result Entry'!AB180="","",'Supp. Result Entry'!AB180)</f>
        <v/>
      </c>
      <c r="JJ182" s="110" t="str">
        <f>IF('Supp. Result Entry'!AE180="","",'Supp. Result Entry'!AE180)</f>
        <v/>
      </c>
      <c r="JK182" s="110" t="str">
        <f>IF('Supp. Result Entry'!AH180="","",'Supp. Result Entry'!AH180)</f>
        <v/>
      </c>
      <c r="JL182" s="110" t="str">
        <f>IF('Supp. Result Entry'!AK180="","",'Supp. Result Entry'!AK180)</f>
        <v/>
      </c>
      <c r="JM182" s="110" t="str">
        <f>IF('Supp. Result Entry'!AN180="","",'Supp. Result Entry'!AN180)</f>
        <v/>
      </c>
      <c r="JN182" s="110">
        <f>COUNTIF('Supp. Result Entry'!K180:Q180,"S")</f>
        <v>0</v>
      </c>
      <c r="JO182" s="110">
        <f t="shared" si="416"/>
        <v>0</v>
      </c>
      <c r="JP182" s="110">
        <f t="shared" si="493"/>
        <v>0</v>
      </c>
      <c r="JQ182" s="110" t="str">
        <f t="shared" si="417"/>
        <v/>
      </c>
      <c r="JR182" s="110" t="str">
        <f t="shared" si="418"/>
        <v/>
      </c>
      <c r="JS182" s="110" t="str">
        <f t="shared" si="419"/>
        <v/>
      </c>
      <c r="JT182" s="110" t="str">
        <f t="shared" si="420"/>
        <v/>
      </c>
      <c r="JU182" s="110" t="str">
        <f t="shared" si="421"/>
        <v/>
      </c>
      <c r="JV182" s="110" t="str">
        <f t="shared" si="422"/>
        <v/>
      </c>
      <c r="JW182" s="110" t="str">
        <f t="shared" si="423"/>
        <v/>
      </c>
      <c r="JX182" s="110" t="str">
        <f t="shared" si="494"/>
        <v/>
      </c>
      <c r="JY182" s="110" t="str">
        <f t="shared" si="495"/>
        <v/>
      </c>
      <c r="JZ182" s="110" t="str">
        <f t="shared" si="424"/>
        <v/>
      </c>
      <c r="KA182" s="108" t="str">
        <f t="shared" si="496"/>
        <v/>
      </c>
    </row>
    <row r="183" spans="1:287" s="108" customFormat="1" ht="21.95" customHeight="1">
      <c r="A183" s="89">
        <v>177</v>
      </c>
      <c r="B183" s="90" t="str">
        <f>IF('Marks Entry'!B183="","",'Marks Entry'!B183)</f>
        <v/>
      </c>
      <c r="C183" s="94" t="str">
        <f>IF('Marks Entry'!D183="","",'Marks Entry'!D183)</f>
        <v/>
      </c>
      <c r="D183" s="91" t="str">
        <f>IF('Marks Entry'!E183="","",'Marks Entry'!E183)</f>
        <v/>
      </c>
      <c r="E183" s="92" t="str">
        <f>IF('Marks Entry'!F183="","",'Marks Entry'!F183)</f>
        <v/>
      </c>
      <c r="F183" s="93" t="str">
        <f>IF('Marks Entry'!G183="","",'Marks Entry'!G183)</f>
        <v/>
      </c>
      <c r="G183" s="93" t="str">
        <f>IF('Marks Entry'!H183="","",'Marks Entry'!H183)</f>
        <v/>
      </c>
      <c r="H183" s="93" t="str">
        <f>IF('Marks Entry'!I183="","",'Marks Entry'!I183)</f>
        <v/>
      </c>
      <c r="I183" s="94" t="str">
        <f>IF('Marks Entry'!J183="","",'Marks Entry'!J183)</f>
        <v/>
      </c>
      <c r="J183" s="95" t="str">
        <f>IF('Marks Entry'!K183="","",'Marks Entry'!K183)</f>
        <v/>
      </c>
      <c r="K183" s="68" t="str">
        <f>IF('Marks Entry'!L183="","",'Marks Entry'!L183)</f>
        <v/>
      </c>
      <c r="L183" s="68" t="str">
        <f>IF('Marks Entry'!M183="","",'Marks Entry'!M183)</f>
        <v/>
      </c>
      <c r="M183" s="68" t="str">
        <f>IF('Marks Entry'!N183="","",'Marks Entry'!N183)</f>
        <v/>
      </c>
      <c r="N183" s="514" t="str">
        <f t="shared" si="425"/>
        <v/>
      </c>
      <c r="O183" s="68" t="str">
        <f>IF('Marks Entry'!O183="","",'Marks Entry'!O183)</f>
        <v/>
      </c>
      <c r="P183" s="515" t="str">
        <f t="shared" si="426"/>
        <v/>
      </c>
      <c r="Q183" s="68" t="str">
        <f>IF('Marks Entry'!P183="","",'Marks Entry'!P183)</f>
        <v/>
      </c>
      <c r="R183" s="96" t="str">
        <f t="shared" si="427"/>
        <v/>
      </c>
      <c r="S183" s="65">
        <f t="shared" si="428"/>
        <v>0</v>
      </c>
      <c r="T183" s="65">
        <f t="shared" si="429"/>
        <v>0</v>
      </c>
      <c r="U183" s="66" t="str">
        <f t="shared" si="339"/>
        <v/>
      </c>
      <c r="V183" s="65" t="str">
        <f t="shared" si="340"/>
        <v/>
      </c>
      <c r="W183" s="65" t="str">
        <f t="shared" si="430"/>
        <v/>
      </c>
      <c r="X183" s="65" t="str">
        <f t="shared" si="341"/>
        <v/>
      </c>
      <c r="Y183" s="68" t="str">
        <f>IF('Marks Entry'!Q183="","",'Marks Entry'!Q183)</f>
        <v/>
      </c>
      <c r="Z183" s="68" t="str">
        <f>IF('Marks Entry'!R183="","",'Marks Entry'!R183)</f>
        <v/>
      </c>
      <c r="AA183" s="68" t="str">
        <f>IF('Marks Entry'!S183="","",'Marks Entry'!S183)</f>
        <v/>
      </c>
      <c r="AB183" s="514" t="str">
        <f t="shared" si="342"/>
        <v/>
      </c>
      <c r="AC183" s="68" t="str">
        <f>IF('Marks Entry'!T183="","",'Marks Entry'!T183)</f>
        <v/>
      </c>
      <c r="AD183" s="515" t="str">
        <f t="shared" si="343"/>
        <v/>
      </c>
      <c r="AE183" s="68" t="str">
        <f>IF('Marks Entry'!U183="","",'Marks Entry'!U183)</f>
        <v/>
      </c>
      <c r="AF183" s="96" t="str">
        <f t="shared" si="344"/>
        <v/>
      </c>
      <c r="AG183" s="65">
        <f t="shared" si="345"/>
        <v>0</v>
      </c>
      <c r="AH183" s="65">
        <f t="shared" si="346"/>
        <v>0</v>
      </c>
      <c r="AI183" s="66" t="str">
        <f t="shared" si="347"/>
        <v/>
      </c>
      <c r="AJ183" s="65" t="str">
        <f t="shared" si="348"/>
        <v/>
      </c>
      <c r="AK183" s="65" t="str">
        <f t="shared" si="349"/>
        <v/>
      </c>
      <c r="AL183" s="65" t="str">
        <f t="shared" si="350"/>
        <v/>
      </c>
      <c r="AM183" s="524" t="str">
        <f>IF('Marks Entry'!V183="","",IF('Marks Entry'!V183=1,'School Profile'!$I$9,IF('Marks Entry'!V183=2,'School Profile'!$I$10,IF('Marks Entry'!V183=3,'School Profile'!$I$11,IF('Marks Entry'!V183=4,'School Profile'!$I$12,IF('Marks Entry'!V183=5,'School Profile'!$I$13,IF('Marks Entry'!V183=6,'School Profile'!$I$14,"")))))))</f>
        <v/>
      </c>
      <c r="AN183" s="68" t="str">
        <f>IF('Marks Entry'!W183="","",'Marks Entry'!W183)</f>
        <v/>
      </c>
      <c r="AO183" s="68" t="str">
        <f>IF('Marks Entry'!X183="","",'Marks Entry'!X183)</f>
        <v/>
      </c>
      <c r="AP183" s="68" t="str">
        <f>IF('Marks Entry'!Y183="","",'Marks Entry'!Y183)</f>
        <v/>
      </c>
      <c r="AQ183" s="514" t="str">
        <f t="shared" si="351"/>
        <v/>
      </c>
      <c r="AR183" s="68" t="str">
        <f>IF('Marks Entry'!Z183="","",'Marks Entry'!Z183)</f>
        <v/>
      </c>
      <c r="AS183" s="515" t="str">
        <f t="shared" si="352"/>
        <v/>
      </c>
      <c r="AT183" s="68" t="str">
        <f>IF('Marks Entry'!AA183="","",'Marks Entry'!AA183)</f>
        <v/>
      </c>
      <c r="AU183" s="96" t="str">
        <f t="shared" si="353"/>
        <v/>
      </c>
      <c r="AV183" s="65">
        <f t="shared" si="354"/>
        <v>0</v>
      </c>
      <c r="AW183" s="65">
        <f t="shared" si="355"/>
        <v>0</v>
      </c>
      <c r="AX183" s="66" t="str">
        <f t="shared" si="356"/>
        <v/>
      </c>
      <c r="AY183" s="65" t="str">
        <f t="shared" si="357"/>
        <v/>
      </c>
      <c r="AZ183" s="65" t="str">
        <f t="shared" si="358"/>
        <v/>
      </c>
      <c r="BA183" s="65" t="str">
        <f t="shared" si="359"/>
        <v/>
      </c>
      <c r="BB183" s="68" t="str">
        <f>IF('Marks Entry'!AB183="","",'Marks Entry'!AB183)</f>
        <v/>
      </c>
      <c r="BC183" s="68" t="str">
        <f>IF('Marks Entry'!AC183="","",'Marks Entry'!AC183)</f>
        <v/>
      </c>
      <c r="BD183" s="68" t="str">
        <f>IF('Marks Entry'!AD183="","",'Marks Entry'!AD183)</f>
        <v/>
      </c>
      <c r="BE183" s="514" t="str">
        <f t="shared" si="360"/>
        <v/>
      </c>
      <c r="BF183" s="68" t="str">
        <f>IF('Marks Entry'!AE183="","",'Marks Entry'!AE183)</f>
        <v/>
      </c>
      <c r="BG183" s="515" t="str">
        <f t="shared" si="361"/>
        <v/>
      </c>
      <c r="BH183" s="68" t="str">
        <f>IF('Marks Entry'!AF183="","",'Marks Entry'!AF183)</f>
        <v/>
      </c>
      <c r="BI183" s="96" t="str">
        <f t="shared" si="362"/>
        <v/>
      </c>
      <c r="BJ183" s="65">
        <f t="shared" si="363"/>
        <v>0</v>
      </c>
      <c r="BK183" s="65">
        <f t="shared" si="431"/>
        <v>0</v>
      </c>
      <c r="BL183" s="66" t="str">
        <f t="shared" si="364"/>
        <v/>
      </c>
      <c r="BM183" s="65" t="str">
        <f t="shared" si="365"/>
        <v/>
      </c>
      <c r="BN183" s="65" t="str">
        <f t="shared" si="366"/>
        <v/>
      </c>
      <c r="BO183" s="65" t="str">
        <f t="shared" si="367"/>
        <v/>
      </c>
      <c r="BP183" s="68" t="str">
        <f>IF('Marks Entry'!AG183="","",'Marks Entry'!AG183)</f>
        <v/>
      </c>
      <c r="BQ183" s="68" t="str">
        <f>IF('Marks Entry'!AH183="","",'Marks Entry'!AH183)</f>
        <v/>
      </c>
      <c r="BR183" s="68" t="str">
        <f>IF('Marks Entry'!AI183="","",'Marks Entry'!AI183)</f>
        <v/>
      </c>
      <c r="BS183" s="514" t="str">
        <f t="shared" si="368"/>
        <v/>
      </c>
      <c r="BT183" s="68" t="str">
        <f>IF('Marks Entry'!AJ183="","",'Marks Entry'!AJ183)</f>
        <v/>
      </c>
      <c r="BU183" s="515" t="str">
        <f t="shared" si="369"/>
        <v/>
      </c>
      <c r="BV183" s="68" t="str">
        <f>IF('Marks Entry'!AK183="","",'Marks Entry'!AK183)</f>
        <v/>
      </c>
      <c r="BW183" s="96" t="str">
        <f t="shared" si="370"/>
        <v/>
      </c>
      <c r="BX183" s="65">
        <f t="shared" si="371"/>
        <v>0</v>
      </c>
      <c r="BY183" s="65">
        <f t="shared" si="372"/>
        <v>0</v>
      </c>
      <c r="BZ183" s="66" t="str">
        <f t="shared" si="373"/>
        <v/>
      </c>
      <c r="CA183" s="65" t="str">
        <f t="shared" si="374"/>
        <v/>
      </c>
      <c r="CB183" s="65" t="str">
        <f t="shared" si="375"/>
        <v/>
      </c>
      <c r="CC183" s="65" t="str">
        <f t="shared" si="376"/>
        <v/>
      </c>
      <c r="CD183" s="66">
        <f t="shared" si="497"/>
        <v>0</v>
      </c>
      <c r="CE183" s="68" t="str">
        <f>IF('Marks Entry'!AL183="","",'Marks Entry'!AL183)</f>
        <v/>
      </c>
      <c r="CF183" s="68" t="str">
        <f>IF('Marks Entry'!AM183="","",'Marks Entry'!AM183)</f>
        <v/>
      </c>
      <c r="CG183" s="68" t="str">
        <f>IF('Marks Entry'!AN183="","",'Marks Entry'!AN183)</f>
        <v/>
      </c>
      <c r="CH183" s="514" t="str">
        <f t="shared" si="378"/>
        <v/>
      </c>
      <c r="CI183" s="68" t="str">
        <f>IF('Marks Entry'!AO183="","",'Marks Entry'!AO183)</f>
        <v/>
      </c>
      <c r="CJ183" s="515" t="str">
        <f t="shared" si="379"/>
        <v/>
      </c>
      <c r="CK183" s="68" t="str">
        <f>IF('Marks Entry'!AP183="","",'Marks Entry'!AP183)</f>
        <v/>
      </c>
      <c r="CL183" s="96" t="str">
        <f t="shared" si="380"/>
        <v/>
      </c>
      <c r="CM183" s="65">
        <f t="shared" si="381"/>
        <v>0</v>
      </c>
      <c r="CN183" s="65">
        <f t="shared" si="382"/>
        <v>0</v>
      </c>
      <c r="CO183" s="66" t="str">
        <f t="shared" si="383"/>
        <v/>
      </c>
      <c r="CP183" s="65" t="str">
        <f t="shared" si="384"/>
        <v/>
      </c>
      <c r="CQ183" s="65" t="str">
        <f t="shared" si="385"/>
        <v/>
      </c>
      <c r="CR183" s="65" t="str">
        <f t="shared" si="386"/>
        <v/>
      </c>
      <c r="CS183" s="616" t="str">
        <f>IF('School Profile'!$D$20="NO","",IF('Marks Entry'!AQ183="","",IF('Marks Entry'!AQ183=1,'School Profile'!$I$29,IF('Marks Entry'!AQ183=2,'School Profile'!$I$30,IF('Marks Entry'!AQ183=3,'School Profile'!$I$31,IF('Marks Entry'!AQ183=4,'School Profile'!$I$32,IF('Marks Entry'!AQ183=5,'School Profile'!$I$33,IF('Marks Entry'!AQ183=6,'School Profile'!$I$34,IF('Marks Entry'!AQ183=7,'School Profile'!$I$35,IF('Marks Entry'!AQ183=8,'School Profile'!$I$36,IF('Marks Entry'!AQ183=9,'School Profile'!$I$37,IF('Marks Entry'!AQ183=10,'School Profile'!$I$38,IF('Marks Entry'!AQ183=11,'School Profile'!$I$39,"")))))))))))))</f>
        <v/>
      </c>
      <c r="CT183" s="68" t="str">
        <f>IF('School Profile'!$D$20="NO","",IF('Marks Entry'!AR183="","",'Marks Entry'!AR183))</f>
        <v/>
      </c>
      <c r="CU183" s="68" t="str">
        <f>IF('School Profile'!$D$20="NO","",IF('Marks Entry'!AS183="","",'Marks Entry'!AS183))</f>
        <v/>
      </c>
      <c r="CV183" s="68" t="str">
        <f>IF('School Profile'!$D$20="NO","",IF('Marks Entry'!AT183="","",'Marks Entry'!AT183))</f>
        <v/>
      </c>
      <c r="CW183" s="514" t="str">
        <f>IF('School Profile'!$D$20="NO","",IF(AND(CT183="",CU183="",CV183=""),"",SUM(CT183:CV183)))</f>
        <v/>
      </c>
      <c r="CX183" s="68" t="str">
        <f>IF('School Profile'!$D$20="NO","",IF('Marks Entry'!AU183="","",'Marks Entry'!AU183))</f>
        <v/>
      </c>
      <c r="CY183" s="68" t="str">
        <f>IF('School Profile'!$D$20="NO","",IF('Marks Entry'!AV183="","",'Marks Entry'!AV183))</f>
        <v/>
      </c>
      <c r="CZ183" s="515" t="str">
        <f>IF('School Profile'!$D$20="NO","",IF(AND(CX183="",CY183=""),"",SUM(CX183,CY183)))</f>
        <v/>
      </c>
      <c r="DA183" s="69" t="str">
        <f>IF('School Profile'!$D$20="NO","",IF(AND(CW183="",CZ183=""),"",SUM(CW183+CZ183)))</f>
        <v/>
      </c>
      <c r="DB183" s="68" t="str">
        <f>IF('School Profile'!$D$20="NO","",IF('Marks Entry'!AW183="","",'Marks Entry'!AW183))</f>
        <v/>
      </c>
      <c r="DC183" s="68" t="str">
        <f>IF('School Profile'!$D$20="NO","",IF('Marks Entry'!AX183="","",'Marks Entry'!AX183))</f>
        <v/>
      </c>
      <c r="DD183" s="515" t="str">
        <f>IF('School Profile'!$D$20="NO","",IF(AND(DB183="",DC183=""),"",SUM(DB183,DC183)))</f>
        <v/>
      </c>
      <c r="DE183" s="96" t="str">
        <f>IF('School Profile'!$D$20="NO","",IF(AND(DA183="",DD183=""),"",SUM(DA183,DD183)))</f>
        <v/>
      </c>
      <c r="DF183" s="532">
        <f t="shared" si="387"/>
        <v>0</v>
      </c>
      <c r="DG183" s="65">
        <f t="shared" si="388"/>
        <v>0</v>
      </c>
      <c r="DH183" s="66" t="str">
        <f t="shared" si="389"/>
        <v/>
      </c>
      <c r="DI183" s="65" t="str">
        <f t="shared" si="390"/>
        <v/>
      </c>
      <c r="DJ183" s="65" t="str">
        <f t="shared" si="391"/>
        <v/>
      </c>
      <c r="DK183" s="65" t="str">
        <f t="shared" si="392"/>
        <v/>
      </c>
      <c r="DL183" s="97" t="str">
        <f t="shared" si="432"/>
        <v/>
      </c>
      <c r="DM183" s="97" t="str">
        <f t="shared" si="433"/>
        <v/>
      </c>
      <c r="DN183" s="97" t="str">
        <f t="shared" si="434"/>
        <v/>
      </c>
      <c r="DO183" s="97" t="str">
        <f t="shared" si="435"/>
        <v/>
      </c>
      <c r="DP183" s="97" t="str">
        <f t="shared" si="436"/>
        <v/>
      </c>
      <c r="DQ183" s="97" t="str">
        <f t="shared" si="437"/>
        <v/>
      </c>
      <c r="DR183" s="97" t="str">
        <f t="shared" si="438"/>
        <v/>
      </c>
      <c r="DS183" s="98">
        <f t="shared" si="439"/>
        <v>0</v>
      </c>
      <c r="DT183" s="98">
        <f t="shared" si="440"/>
        <v>0</v>
      </c>
      <c r="DU183" s="98">
        <f t="shared" si="441"/>
        <v>0</v>
      </c>
      <c r="DV183" s="98">
        <f t="shared" si="442"/>
        <v>0</v>
      </c>
      <c r="DW183" s="98">
        <f t="shared" si="443"/>
        <v>0</v>
      </c>
      <c r="DX183" s="98" t="str">
        <f t="shared" si="444"/>
        <v/>
      </c>
      <c r="DY183" s="99" t="str">
        <f t="shared" si="445"/>
        <v/>
      </c>
      <c r="DZ183" s="74" t="str">
        <f>IF('Marks Entry'!AY183="","",'Marks Entry'!AY183)</f>
        <v/>
      </c>
      <c r="EA183" s="74" t="str">
        <f>IF('Marks Entry'!AZ183="","",'Marks Entry'!AZ183)</f>
        <v/>
      </c>
      <c r="EB183" s="74" t="str">
        <f>IF('Marks Entry'!BA183="","",'Marks Entry'!BA183)</f>
        <v/>
      </c>
      <c r="EC183" s="527" t="str">
        <f t="shared" si="393"/>
        <v/>
      </c>
      <c r="ED183" s="74" t="str">
        <f>IF('Marks Entry'!BB183="","",'Marks Entry'!BB183)</f>
        <v/>
      </c>
      <c r="EE183" s="528" t="str">
        <f t="shared" si="394"/>
        <v/>
      </c>
      <c r="EF183" s="74" t="str">
        <f>IF('Marks Entry'!BC183="","",'Marks Entry'!BC183)</f>
        <v/>
      </c>
      <c r="EG183" s="530" t="str">
        <f t="shared" si="395"/>
        <v/>
      </c>
      <c r="EH183" s="368" t="str">
        <f t="shared" si="446"/>
        <v/>
      </c>
      <c r="EI183" s="65">
        <f t="shared" si="447"/>
        <v>0</v>
      </c>
      <c r="EJ183" s="65">
        <f t="shared" si="448"/>
        <v>0</v>
      </c>
      <c r="EK183" s="66" t="str">
        <f t="shared" si="449"/>
        <v/>
      </c>
      <c r="EL183" s="74" t="str">
        <f>IF('Marks Entry'!BD183="","",'Marks Entry'!BD183)</f>
        <v/>
      </c>
      <c r="EM183" s="74" t="str">
        <f>IF('Marks Entry'!BE183="","",'Marks Entry'!BE183)</f>
        <v/>
      </c>
      <c r="EN183" s="74" t="str">
        <f>IF('Marks Entry'!BF183="","",'Marks Entry'!BF183)</f>
        <v/>
      </c>
      <c r="EO183" s="527" t="str">
        <f t="shared" si="396"/>
        <v/>
      </c>
      <c r="EP183" s="74" t="str">
        <f>IF('Marks Entry'!BG183="","",'Marks Entry'!BG183)</f>
        <v/>
      </c>
      <c r="EQ183" s="74" t="str">
        <f>IF('Marks Entry'!BH183="","",'Marks Entry'!BH183)</f>
        <v/>
      </c>
      <c r="ER183" s="528" t="str">
        <f t="shared" si="397"/>
        <v/>
      </c>
      <c r="ES183" s="529" t="str">
        <f t="shared" si="398"/>
        <v/>
      </c>
      <c r="ET183" s="74" t="str">
        <f>IF('Marks Entry'!BI183="","",'Marks Entry'!BI183)</f>
        <v/>
      </c>
      <c r="EU183" s="74" t="str">
        <f>IF('Marks Entry'!BJ183="","",'Marks Entry'!BJ183)</f>
        <v/>
      </c>
      <c r="EV183" s="528" t="str">
        <f t="shared" si="399"/>
        <v/>
      </c>
      <c r="EW183" s="530" t="str">
        <f t="shared" si="400"/>
        <v/>
      </c>
      <c r="EX183" s="368" t="str">
        <f t="shared" si="450"/>
        <v/>
      </c>
      <c r="EY183" s="65">
        <f t="shared" si="451"/>
        <v>0</v>
      </c>
      <c r="EZ183" s="65">
        <f t="shared" si="452"/>
        <v>0</v>
      </c>
      <c r="FA183" s="66" t="str">
        <f t="shared" si="453"/>
        <v/>
      </c>
      <c r="FB183" s="74" t="str">
        <f>IF('Marks Entry'!BK183="","",'Marks Entry'!BK183)</f>
        <v/>
      </c>
      <c r="FC183" s="74" t="str">
        <f>IF('Marks Entry'!BL183="","",'Marks Entry'!BL183)</f>
        <v/>
      </c>
      <c r="FD183" s="74" t="str">
        <f>IF('Marks Entry'!BM183="","",'Marks Entry'!BM183)</f>
        <v/>
      </c>
      <c r="FE183" s="74" t="str">
        <f>IF('Marks Entry'!BN183="","",'Marks Entry'!BN183)</f>
        <v/>
      </c>
      <c r="FF183" s="74" t="str">
        <f>IF('Marks Entry'!BO183="","",'Marks Entry'!BO183)</f>
        <v/>
      </c>
      <c r="FG183" s="74" t="str">
        <f>IF('Marks Entry'!BP183="","",'Marks Entry'!BP183)</f>
        <v/>
      </c>
      <c r="FH183" s="527" t="str">
        <f t="shared" si="401"/>
        <v/>
      </c>
      <c r="FI183" s="74" t="str">
        <f>IF('Marks Entry'!BQ183="","",'Marks Entry'!BQ183)</f>
        <v/>
      </c>
      <c r="FJ183" s="74" t="str">
        <f>IF('Marks Entry'!BR183="","",'Marks Entry'!BR183)</f>
        <v/>
      </c>
      <c r="FK183" s="528" t="str">
        <f t="shared" si="402"/>
        <v/>
      </c>
      <c r="FL183" s="529" t="str">
        <f t="shared" si="403"/>
        <v/>
      </c>
      <c r="FM183" s="74" t="str">
        <f>IF('Marks Entry'!BS183="","",'Marks Entry'!BS183)</f>
        <v/>
      </c>
      <c r="FN183" s="74" t="str">
        <f>IF('Marks Entry'!BT183="","",'Marks Entry'!BT183)</f>
        <v/>
      </c>
      <c r="FO183" s="528" t="str">
        <f t="shared" si="404"/>
        <v/>
      </c>
      <c r="FP183" s="530" t="str">
        <f t="shared" si="405"/>
        <v/>
      </c>
      <c r="FQ183" s="368" t="str">
        <f t="shared" si="454"/>
        <v/>
      </c>
      <c r="FR183" s="65">
        <f t="shared" si="455"/>
        <v>0</v>
      </c>
      <c r="FS183" s="65">
        <f t="shared" si="456"/>
        <v>0</v>
      </c>
      <c r="FT183" s="66" t="str">
        <f t="shared" si="457"/>
        <v/>
      </c>
      <c r="FU183" s="74" t="str">
        <f>IF('Marks Entry'!BU183="","",'Marks Entry'!BU183)</f>
        <v/>
      </c>
      <c r="FV183" s="74" t="str">
        <f>IF('Marks Entry'!BV183="","",'Marks Entry'!BV183)</f>
        <v/>
      </c>
      <c r="FW183" s="74" t="str">
        <f>IF('Marks Entry'!BW183="","",'Marks Entry'!BW183)</f>
        <v/>
      </c>
      <c r="FX183" s="75" t="str">
        <f t="shared" si="406"/>
        <v/>
      </c>
      <c r="FY183" s="368" t="str">
        <f t="shared" si="458"/>
        <v/>
      </c>
      <c r="FZ183" s="65">
        <f t="shared" si="459"/>
        <v>0</v>
      </c>
      <c r="GA183" s="66">
        <f t="shared" si="460"/>
        <v>0</v>
      </c>
      <c r="GB183" s="66" t="str">
        <f t="shared" si="461"/>
        <v/>
      </c>
      <c r="GC183" s="74" t="str">
        <f>IF('Marks Entry'!BX183="","",'Marks Entry'!BX183)</f>
        <v/>
      </c>
      <c r="GD183" s="74" t="str">
        <f>IF('Marks Entry'!BY183="","",'Marks Entry'!BY183)</f>
        <v/>
      </c>
      <c r="GE183" s="74" t="str">
        <f>IF('Marks Entry'!BZ183="","",'Marks Entry'!BZ183)</f>
        <v/>
      </c>
      <c r="GF183" s="75" t="str">
        <f t="shared" si="462"/>
        <v/>
      </c>
      <c r="GG183" s="368" t="str">
        <f t="shared" si="463"/>
        <v/>
      </c>
      <c r="GH183" s="65">
        <f t="shared" si="464"/>
        <v>0</v>
      </c>
      <c r="GI183" s="66">
        <f t="shared" si="465"/>
        <v>0</v>
      </c>
      <c r="GJ183" s="66" t="str">
        <f t="shared" si="466"/>
        <v/>
      </c>
      <c r="GK183" s="100" t="str">
        <f>IF(AND(F183="",B183=""),"",IF('Student DATA Entry'!M180="","",'Student DATA Entry'!M180))</f>
        <v/>
      </c>
      <c r="GL183" s="101" t="str">
        <f>IF(AND(B183="",F183=""),"",IF('Student DATA Entry'!N180="","",'Student DATA Entry'!N180))</f>
        <v/>
      </c>
      <c r="GM183" s="581" t="str">
        <f t="shared" si="467"/>
        <v/>
      </c>
      <c r="GN183" s="94" t="str">
        <f t="shared" si="468"/>
        <v/>
      </c>
      <c r="GO183" s="94" t="str">
        <f t="shared" si="469"/>
        <v/>
      </c>
      <c r="GP183" s="102" t="str">
        <f t="shared" si="498"/>
        <v/>
      </c>
      <c r="GQ183" s="94" t="str">
        <f t="shared" si="470"/>
        <v/>
      </c>
      <c r="GR183" s="103" t="str">
        <f t="shared" si="471"/>
        <v/>
      </c>
      <c r="GS183" s="102" t="str">
        <f t="shared" si="499"/>
        <v/>
      </c>
      <c r="GT183" s="104" t="str">
        <f t="shared" si="472"/>
        <v/>
      </c>
      <c r="GU183" s="94" t="str">
        <f>IF('Marks Entry'!V183=1,GT183,"")</f>
        <v/>
      </c>
      <c r="GV183" s="94" t="str">
        <f>IF('Marks Entry'!V183=2,GT183,"")</f>
        <v/>
      </c>
      <c r="GW183" s="94" t="str">
        <f>IF('Marks Entry'!V183=3,GT183,"")</f>
        <v/>
      </c>
      <c r="GX183" s="94" t="str">
        <f>IF('Marks Entry'!V183=4,GT183,"")</f>
        <v/>
      </c>
      <c r="GY183" s="94" t="str">
        <f>IF('Marks Entry'!V183=5,GT183,"")</f>
        <v/>
      </c>
      <c r="GZ183" s="94" t="str">
        <f t="shared" si="473"/>
        <v/>
      </c>
      <c r="HA183" s="105" t="str">
        <f t="shared" si="500"/>
        <v/>
      </c>
      <c r="HB183" s="94" t="str">
        <f t="shared" si="474"/>
        <v/>
      </c>
      <c r="HC183" s="94" t="str">
        <f t="shared" si="475"/>
        <v/>
      </c>
      <c r="HD183" s="105" t="str">
        <f t="shared" si="501"/>
        <v/>
      </c>
      <c r="HE183" s="94" t="str">
        <f t="shared" si="476"/>
        <v/>
      </c>
      <c r="HF183" s="94" t="str">
        <f t="shared" si="477"/>
        <v/>
      </c>
      <c r="HG183" s="105" t="str">
        <f t="shared" si="502"/>
        <v/>
      </c>
      <c r="HH183" s="94" t="str">
        <f t="shared" si="478"/>
        <v/>
      </c>
      <c r="HI183" s="94" t="str">
        <f t="shared" si="479"/>
        <v/>
      </c>
      <c r="HJ183" s="105" t="str">
        <f t="shared" si="503"/>
        <v/>
      </c>
      <c r="HK183" s="94" t="str">
        <f t="shared" si="480"/>
        <v/>
      </c>
      <c r="HL183" s="94" t="str">
        <f t="shared" si="481"/>
        <v/>
      </c>
      <c r="HM183" s="105" t="str">
        <f t="shared" si="504"/>
        <v/>
      </c>
      <c r="HN183" s="367" t="str">
        <f t="shared" si="482"/>
        <v xml:space="preserve">      </v>
      </c>
      <c r="HO183" s="418" t="str">
        <f t="shared" si="505"/>
        <v xml:space="preserve">      </v>
      </c>
      <c r="HP183" s="367" t="str">
        <f t="shared" si="483"/>
        <v xml:space="preserve">      </v>
      </c>
      <c r="HQ183" s="107" t="str">
        <f t="shared" si="484"/>
        <v xml:space="preserve">      </v>
      </c>
      <c r="HR183" s="366" t="str">
        <f t="shared" si="485"/>
        <v xml:space="preserve">      </v>
      </c>
      <c r="HS183" s="544" t="str">
        <f t="shared" si="506"/>
        <v/>
      </c>
      <c r="HT183" s="542" t="str">
        <f t="shared" si="486"/>
        <v/>
      </c>
      <c r="HU183" s="541" t="str">
        <f t="shared" si="487"/>
        <v/>
      </c>
      <c r="HV183" s="540" t="str">
        <f t="shared" si="488"/>
        <v/>
      </c>
      <c r="HW183" s="537" t="str">
        <f t="shared" si="489"/>
        <v/>
      </c>
      <c r="HX183" s="539" t="str">
        <f t="shared" si="490"/>
        <v/>
      </c>
      <c r="HY183" s="553" t="str">
        <f>IFERROR(IF(OR(HS183="SUPPLEMENTARY",HS183="RE-EXAM"),'Supp. Result Entry'!AQ181,""),"")</f>
        <v/>
      </c>
      <c r="HZ183" s="538" t="str">
        <f t="shared" si="491"/>
        <v/>
      </c>
      <c r="IA183" s="415" t="str">
        <f t="shared" si="492"/>
        <v/>
      </c>
      <c r="IB183" s="415" t="str">
        <f>IF(AND(HZ183="",IA183=""),"",IF(OR(HS183="SUPPLEMENTARY",HS183="RE-EXAM"),'Supp. Result Entry'!AQ181,HS183))</f>
        <v/>
      </c>
      <c r="IC183" s="87"/>
      <c r="IS183" s="109" t="str">
        <f>IF('Supp. Result Entry'!T181="","",'Supp. Result Entry'!$T$4)</f>
        <v/>
      </c>
      <c r="IT183" s="110" t="str">
        <f>IF('Supp. Result Entry'!W181="","",'Supp. Result Entry'!$W$4)</f>
        <v/>
      </c>
      <c r="IU183" s="110" t="str">
        <f>IF('Supp. Result Entry'!Z181="","",'Supp. Result Entry'!$Z$4)</f>
        <v/>
      </c>
      <c r="IV183" s="110" t="str">
        <f>IF('Supp. Result Entry'!AC181="","",'Supp. Result Entry'!$AC$4)</f>
        <v/>
      </c>
      <c r="IW183" s="110" t="str">
        <f>IF('Supp. Result Entry'!AF181="","",'Supp. Result Entry'!$AF$4)</f>
        <v/>
      </c>
      <c r="IX183" s="110" t="str">
        <f>IF('Supp. Result Entry'!AI181="","",'Supp. Result Entry'!$AI$4)</f>
        <v/>
      </c>
      <c r="IY183" s="110" t="str">
        <f>IF('Supp. Result Entry'!AI181="","",'Supp. Result Entry'!$AL$4)</f>
        <v/>
      </c>
      <c r="IZ183" s="110" t="str">
        <f>IF('Supp. Result Entry'!U181="","",'Supp. Result Entry'!U181)</f>
        <v/>
      </c>
      <c r="JA183" s="110" t="str">
        <f>IF('Supp. Result Entry'!X181="","",'Supp. Result Entry'!X181)</f>
        <v/>
      </c>
      <c r="JB183" s="110" t="str">
        <f>IF('Supp. Result Entry'!AA181="","",'Supp. Result Entry'!AA181)</f>
        <v/>
      </c>
      <c r="JC183" s="110" t="str">
        <f>IF('Supp. Result Entry'!AD181="","",'Supp. Result Entry'!AD181)</f>
        <v/>
      </c>
      <c r="JD183" s="110" t="str">
        <f>IF('Supp. Result Entry'!AG181="","",'Supp. Result Entry'!AG181)</f>
        <v/>
      </c>
      <c r="JE183" s="110" t="str">
        <f>IF('Supp. Result Entry'!AJ181="","",'Supp. Result Entry'!AJ181)</f>
        <v/>
      </c>
      <c r="JF183" s="110" t="str">
        <f>IF('Supp. Result Entry'!AM181="","",'Supp. Result Entry'!AM181)</f>
        <v/>
      </c>
      <c r="JG183" s="110" t="str">
        <f>IF('Supp. Result Entry'!V181="","",'Supp. Result Entry'!V181)</f>
        <v/>
      </c>
      <c r="JH183" s="110" t="str">
        <f>IF('Supp. Result Entry'!Y181="","",'Supp. Result Entry'!Y181)</f>
        <v/>
      </c>
      <c r="JI183" s="110" t="str">
        <f>IF('Supp. Result Entry'!AB181="","",'Supp. Result Entry'!AB181)</f>
        <v/>
      </c>
      <c r="JJ183" s="110" t="str">
        <f>IF('Supp. Result Entry'!AE181="","",'Supp. Result Entry'!AE181)</f>
        <v/>
      </c>
      <c r="JK183" s="110" t="str">
        <f>IF('Supp. Result Entry'!AH181="","",'Supp. Result Entry'!AH181)</f>
        <v/>
      </c>
      <c r="JL183" s="110" t="str">
        <f>IF('Supp. Result Entry'!AK181="","",'Supp. Result Entry'!AK181)</f>
        <v/>
      </c>
      <c r="JM183" s="110" t="str">
        <f>IF('Supp. Result Entry'!AN181="","",'Supp. Result Entry'!AN181)</f>
        <v/>
      </c>
      <c r="JN183" s="110">
        <f>COUNTIF('Supp. Result Entry'!K181:Q181,"S")</f>
        <v>0</v>
      </c>
      <c r="JO183" s="110">
        <f t="shared" si="416"/>
        <v>0</v>
      </c>
      <c r="JP183" s="110">
        <f t="shared" si="493"/>
        <v>0</v>
      </c>
      <c r="JQ183" s="110" t="str">
        <f t="shared" si="417"/>
        <v/>
      </c>
      <c r="JR183" s="110" t="str">
        <f t="shared" si="418"/>
        <v/>
      </c>
      <c r="JS183" s="110" t="str">
        <f t="shared" si="419"/>
        <v/>
      </c>
      <c r="JT183" s="110" t="str">
        <f t="shared" si="420"/>
        <v/>
      </c>
      <c r="JU183" s="110" t="str">
        <f t="shared" si="421"/>
        <v/>
      </c>
      <c r="JV183" s="110" t="str">
        <f t="shared" si="422"/>
        <v/>
      </c>
      <c r="JW183" s="110" t="str">
        <f t="shared" si="423"/>
        <v/>
      </c>
      <c r="JX183" s="110" t="str">
        <f t="shared" si="494"/>
        <v/>
      </c>
      <c r="JY183" s="110" t="str">
        <f t="shared" si="495"/>
        <v/>
      </c>
      <c r="JZ183" s="110" t="str">
        <f t="shared" si="424"/>
        <v/>
      </c>
      <c r="KA183" s="108" t="str">
        <f t="shared" si="496"/>
        <v/>
      </c>
    </row>
    <row r="184" spans="1:287" s="108" customFormat="1" ht="21.95" customHeight="1">
      <c r="A184" s="89">
        <v>178</v>
      </c>
      <c r="B184" s="90" t="str">
        <f>IF('Marks Entry'!B184="","",'Marks Entry'!B184)</f>
        <v/>
      </c>
      <c r="C184" s="94" t="str">
        <f>IF('Marks Entry'!D184="","",'Marks Entry'!D184)</f>
        <v/>
      </c>
      <c r="D184" s="91" t="str">
        <f>IF('Marks Entry'!E184="","",'Marks Entry'!E184)</f>
        <v/>
      </c>
      <c r="E184" s="92" t="str">
        <f>IF('Marks Entry'!F184="","",'Marks Entry'!F184)</f>
        <v/>
      </c>
      <c r="F184" s="93" t="str">
        <f>IF('Marks Entry'!G184="","",'Marks Entry'!G184)</f>
        <v/>
      </c>
      <c r="G184" s="93" t="str">
        <f>IF('Marks Entry'!H184="","",'Marks Entry'!H184)</f>
        <v/>
      </c>
      <c r="H184" s="93" t="str">
        <f>IF('Marks Entry'!I184="","",'Marks Entry'!I184)</f>
        <v/>
      </c>
      <c r="I184" s="94" t="str">
        <f>IF('Marks Entry'!J184="","",'Marks Entry'!J184)</f>
        <v/>
      </c>
      <c r="J184" s="95" t="str">
        <f>IF('Marks Entry'!K184="","",'Marks Entry'!K184)</f>
        <v/>
      </c>
      <c r="K184" s="68" t="str">
        <f>IF('Marks Entry'!L184="","",'Marks Entry'!L184)</f>
        <v/>
      </c>
      <c r="L184" s="68" t="str">
        <f>IF('Marks Entry'!M184="","",'Marks Entry'!M184)</f>
        <v/>
      </c>
      <c r="M184" s="68" t="str">
        <f>IF('Marks Entry'!N184="","",'Marks Entry'!N184)</f>
        <v/>
      </c>
      <c r="N184" s="514" t="str">
        <f t="shared" si="425"/>
        <v/>
      </c>
      <c r="O184" s="68" t="str">
        <f>IF('Marks Entry'!O184="","",'Marks Entry'!O184)</f>
        <v/>
      </c>
      <c r="P184" s="515" t="str">
        <f t="shared" si="426"/>
        <v/>
      </c>
      <c r="Q184" s="68" t="str">
        <f>IF('Marks Entry'!P184="","",'Marks Entry'!P184)</f>
        <v/>
      </c>
      <c r="R184" s="96" t="str">
        <f t="shared" si="427"/>
        <v/>
      </c>
      <c r="S184" s="65">
        <f t="shared" si="428"/>
        <v>0</v>
      </c>
      <c r="T184" s="65">
        <f t="shared" si="429"/>
        <v>0</v>
      </c>
      <c r="U184" s="66" t="str">
        <f t="shared" si="339"/>
        <v/>
      </c>
      <c r="V184" s="65" t="str">
        <f t="shared" si="340"/>
        <v/>
      </c>
      <c r="W184" s="65" t="str">
        <f t="shared" si="430"/>
        <v/>
      </c>
      <c r="X184" s="65" t="str">
        <f t="shared" si="341"/>
        <v/>
      </c>
      <c r="Y184" s="68" t="str">
        <f>IF('Marks Entry'!Q184="","",'Marks Entry'!Q184)</f>
        <v/>
      </c>
      <c r="Z184" s="68" t="str">
        <f>IF('Marks Entry'!R184="","",'Marks Entry'!R184)</f>
        <v/>
      </c>
      <c r="AA184" s="68" t="str">
        <f>IF('Marks Entry'!S184="","",'Marks Entry'!S184)</f>
        <v/>
      </c>
      <c r="AB184" s="514" t="str">
        <f t="shared" si="342"/>
        <v/>
      </c>
      <c r="AC184" s="68" t="str">
        <f>IF('Marks Entry'!T184="","",'Marks Entry'!T184)</f>
        <v/>
      </c>
      <c r="AD184" s="515" t="str">
        <f t="shared" si="343"/>
        <v/>
      </c>
      <c r="AE184" s="68" t="str">
        <f>IF('Marks Entry'!U184="","",'Marks Entry'!U184)</f>
        <v/>
      </c>
      <c r="AF184" s="96" t="str">
        <f t="shared" si="344"/>
        <v/>
      </c>
      <c r="AG184" s="65">
        <f t="shared" si="345"/>
        <v>0</v>
      </c>
      <c r="AH184" s="65">
        <f t="shared" si="346"/>
        <v>0</v>
      </c>
      <c r="AI184" s="66" t="str">
        <f t="shared" si="347"/>
        <v/>
      </c>
      <c r="AJ184" s="65" t="str">
        <f t="shared" si="348"/>
        <v/>
      </c>
      <c r="AK184" s="65" t="str">
        <f t="shared" si="349"/>
        <v/>
      </c>
      <c r="AL184" s="65" t="str">
        <f t="shared" si="350"/>
        <v/>
      </c>
      <c r="AM184" s="524" t="str">
        <f>IF('Marks Entry'!V184="","",IF('Marks Entry'!V184=1,'School Profile'!$I$9,IF('Marks Entry'!V184=2,'School Profile'!$I$10,IF('Marks Entry'!V184=3,'School Profile'!$I$11,IF('Marks Entry'!V184=4,'School Profile'!$I$12,IF('Marks Entry'!V184=5,'School Profile'!$I$13,IF('Marks Entry'!V184=6,'School Profile'!$I$14,"")))))))</f>
        <v/>
      </c>
      <c r="AN184" s="68" t="str">
        <f>IF('Marks Entry'!W184="","",'Marks Entry'!W184)</f>
        <v/>
      </c>
      <c r="AO184" s="68" t="str">
        <f>IF('Marks Entry'!X184="","",'Marks Entry'!X184)</f>
        <v/>
      </c>
      <c r="AP184" s="68" t="str">
        <f>IF('Marks Entry'!Y184="","",'Marks Entry'!Y184)</f>
        <v/>
      </c>
      <c r="AQ184" s="514" t="str">
        <f t="shared" si="351"/>
        <v/>
      </c>
      <c r="AR184" s="68" t="str">
        <f>IF('Marks Entry'!Z184="","",'Marks Entry'!Z184)</f>
        <v/>
      </c>
      <c r="AS184" s="515" t="str">
        <f t="shared" si="352"/>
        <v/>
      </c>
      <c r="AT184" s="68" t="str">
        <f>IF('Marks Entry'!AA184="","",'Marks Entry'!AA184)</f>
        <v/>
      </c>
      <c r="AU184" s="96" t="str">
        <f t="shared" si="353"/>
        <v/>
      </c>
      <c r="AV184" s="65">
        <f t="shared" si="354"/>
        <v>0</v>
      </c>
      <c r="AW184" s="65">
        <f t="shared" si="355"/>
        <v>0</v>
      </c>
      <c r="AX184" s="66" t="str">
        <f t="shared" si="356"/>
        <v/>
      </c>
      <c r="AY184" s="65" t="str">
        <f t="shared" si="357"/>
        <v/>
      </c>
      <c r="AZ184" s="65" t="str">
        <f t="shared" si="358"/>
        <v/>
      </c>
      <c r="BA184" s="65" t="str">
        <f t="shared" si="359"/>
        <v/>
      </c>
      <c r="BB184" s="68" t="str">
        <f>IF('Marks Entry'!AB184="","",'Marks Entry'!AB184)</f>
        <v/>
      </c>
      <c r="BC184" s="68" t="str">
        <f>IF('Marks Entry'!AC184="","",'Marks Entry'!AC184)</f>
        <v/>
      </c>
      <c r="BD184" s="68" t="str">
        <f>IF('Marks Entry'!AD184="","",'Marks Entry'!AD184)</f>
        <v/>
      </c>
      <c r="BE184" s="514" t="str">
        <f t="shared" si="360"/>
        <v/>
      </c>
      <c r="BF184" s="68" t="str">
        <f>IF('Marks Entry'!AE184="","",'Marks Entry'!AE184)</f>
        <v/>
      </c>
      <c r="BG184" s="515" t="str">
        <f t="shared" si="361"/>
        <v/>
      </c>
      <c r="BH184" s="68" t="str">
        <f>IF('Marks Entry'!AF184="","",'Marks Entry'!AF184)</f>
        <v/>
      </c>
      <c r="BI184" s="96" t="str">
        <f t="shared" si="362"/>
        <v/>
      </c>
      <c r="BJ184" s="65">
        <f t="shared" si="363"/>
        <v>0</v>
      </c>
      <c r="BK184" s="65">
        <f t="shared" si="431"/>
        <v>0</v>
      </c>
      <c r="BL184" s="66" t="str">
        <f t="shared" si="364"/>
        <v/>
      </c>
      <c r="BM184" s="65" t="str">
        <f t="shared" si="365"/>
        <v/>
      </c>
      <c r="BN184" s="65" t="str">
        <f t="shared" si="366"/>
        <v/>
      </c>
      <c r="BO184" s="65" t="str">
        <f t="shared" si="367"/>
        <v/>
      </c>
      <c r="BP184" s="68" t="str">
        <f>IF('Marks Entry'!AG184="","",'Marks Entry'!AG184)</f>
        <v/>
      </c>
      <c r="BQ184" s="68" t="str">
        <f>IF('Marks Entry'!AH184="","",'Marks Entry'!AH184)</f>
        <v/>
      </c>
      <c r="BR184" s="68" t="str">
        <f>IF('Marks Entry'!AI184="","",'Marks Entry'!AI184)</f>
        <v/>
      </c>
      <c r="BS184" s="514" t="str">
        <f t="shared" si="368"/>
        <v/>
      </c>
      <c r="BT184" s="68" t="str">
        <f>IF('Marks Entry'!AJ184="","",'Marks Entry'!AJ184)</f>
        <v/>
      </c>
      <c r="BU184" s="515" t="str">
        <f t="shared" si="369"/>
        <v/>
      </c>
      <c r="BV184" s="68" t="str">
        <f>IF('Marks Entry'!AK184="","",'Marks Entry'!AK184)</f>
        <v/>
      </c>
      <c r="BW184" s="96" t="str">
        <f t="shared" si="370"/>
        <v/>
      </c>
      <c r="BX184" s="65">
        <f t="shared" si="371"/>
        <v>0</v>
      </c>
      <c r="BY184" s="65">
        <f t="shared" si="372"/>
        <v>0</v>
      </c>
      <c r="BZ184" s="66" t="str">
        <f t="shared" si="373"/>
        <v/>
      </c>
      <c r="CA184" s="65" t="str">
        <f t="shared" si="374"/>
        <v/>
      </c>
      <c r="CB184" s="65" t="str">
        <f t="shared" si="375"/>
        <v/>
      </c>
      <c r="CC184" s="65" t="str">
        <f t="shared" si="376"/>
        <v/>
      </c>
      <c r="CD184" s="66">
        <f t="shared" si="497"/>
        <v>0</v>
      </c>
      <c r="CE184" s="68" t="str">
        <f>IF('Marks Entry'!AL184="","",'Marks Entry'!AL184)</f>
        <v/>
      </c>
      <c r="CF184" s="68" t="str">
        <f>IF('Marks Entry'!AM184="","",'Marks Entry'!AM184)</f>
        <v/>
      </c>
      <c r="CG184" s="68" t="str">
        <f>IF('Marks Entry'!AN184="","",'Marks Entry'!AN184)</f>
        <v/>
      </c>
      <c r="CH184" s="514" t="str">
        <f t="shared" si="378"/>
        <v/>
      </c>
      <c r="CI184" s="68" t="str">
        <f>IF('Marks Entry'!AO184="","",'Marks Entry'!AO184)</f>
        <v/>
      </c>
      <c r="CJ184" s="515" t="str">
        <f t="shared" si="379"/>
        <v/>
      </c>
      <c r="CK184" s="68" t="str">
        <f>IF('Marks Entry'!AP184="","",'Marks Entry'!AP184)</f>
        <v/>
      </c>
      <c r="CL184" s="96" t="str">
        <f t="shared" si="380"/>
        <v/>
      </c>
      <c r="CM184" s="65">
        <f t="shared" si="381"/>
        <v>0</v>
      </c>
      <c r="CN184" s="65">
        <f t="shared" si="382"/>
        <v>0</v>
      </c>
      <c r="CO184" s="66" t="str">
        <f t="shared" si="383"/>
        <v/>
      </c>
      <c r="CP184" s="65" t="str">
        <f t="shared" si="384"/>
        <v/>
      </c>
      <c r="CQ184" s="65" t="str">
        <f t="shared" si="385"/>
        <v/>
      </c>
      <c r="CR184" s="65" t="str">
        <f t="shared" si="386"/>
        <v/>
      </c>
      <c r="CS184" s="616" t="str">
        <f>IF('School Profile'!$D$20="NO","",IF('Marks Entry'!AQ184="","",IF('Marks Entry'!AQ184=1,'School Profile'!$I$29,IF('Marks Entry'!AQ184=2,'School Profile'!$I$30,IF('Marks Entry'!AQ184=3,'School Profile'!$I$31,IF('Marks Entry'!AQ184=4,'School Profile'!$I$32,IF('Marks Entry'!AQ184=5,'School Profile'!$I$33,IF('Marks Entry'!AQ184=6,'School Profile'!$I$34,IF('Marks Entry'!AQ184=7,'School Profile'!$I$35,IF('Marks Entry'!AQ184=8,'School Profile'!$I$36,IF('Marks Entry'!AQ184=9,'School Profile'!$I$37,IF('Marks Entry'!AQ184=10,'School Profile'!$I$38,IF('Marks Entry'!AQ184=11,'School Profile'!$I$39,"")))))))))))))</f>
        <v/>
      </c>
      <c r="CT184" s="68" t="str">
        <f>IF('School Profile'!$D$20="NO","",IF('Marks Entry'!AR184="","",'Marks Entry'!AR184))</f>
        <v/>
      </c>
      <c r="CU184" s="68" t="str">
        <f>IF('School Profile'!$D$20="NO","",IF('Marks Entry'!AS184="","",'Marks Entry'!AS184))</f>
        <v/>
      </c>
      <c r="CV184" s="68" t="str">
        <f>IF('School Profile'!$D$20="NO","",IF('Marks Entry'!AT184="","",'Marks Entry'!AT184))</f>
        <v/>
      </c>
      <c r="CW184" s="514" t="str">
        <f>IF('School Profile'!$D$20="NO","",IF(AND(CT184="",CU184="",CV184=""),"",SUM(CT184:CV184)))</f>
        <v/>
      </c>
      <c r="CX184" s="68" t="str">
        <f>IF('School Profile'!$D$20="NO","",IF('Marks Entry'!AU184="","",'Marks Entry'!AU184))</f>
        <v/>
      </c>
      <c r="CY184" s="68" t="str">
        <f>IF('School Profile'!$D$20="NO","",IF('Marks Entry'!AV184="","",'Marks Entry'!AV184))</f>
        <v/>
      </c>
      <c r="CZ184" s="515" t="str">
        <f>IF('School Profile'!$D$20="NO","",IF(AND(CX184="",CY184=""),"",SUM(CX184,CY184)))</f>
        <v/>
      </c>
      <c r="DA184" s="69" t="str">
        <f>IF('School Profile'!$D$20="NO","",IF(AND(CW184="",CZ184=""),"",SUM(CW184+CZ184)))</f>
        <v/>
      </c>
      <c r="DB184" s="68" t="str">
        <f>IF('School Profile'!$D$20="NO","",IF('Marks Entry'!AW184="","",'Marks Entry'!AW184))</f>
        <v/>
      </c>
      <c r="DC184" s="68" t="str">
        <f>IF('School Profile'!$D$20="NO","",IF('Marks Entry'!AX184="","",'Marks Entry'!AX184))</f>
        <v/>
      </c>
      <c r="DD184" s="515" t="str">
        <f>IF('School Profile'!$D$20="NO","",IF(AND(DB184="",DC184=""),"",SUM(DB184,DC184)))</f>
        <v/>
      </c>
      <c r="DE184" s="96" t="str">
        <f>IF('School Profile'!$D$20="NO","",IF(AND(DA184="",DD184=""),"",SUM(DA184,DD184)))</f>
        <v/>
      </c>
      <c r="DF184" s="532">
        <f t="shared" si="387"/>
        <v>0</v>
      </c>
      <c r="DG184" s="65">
        <f t="shared" si="388"/>
        <v>0</v>
      </c>
      <c r="DH184" s="66" t="str">
        <f t="shared" si="389"/>
        <v/>
      </c>
      <c r="DI184" s="65" t="str">
        <f t="shared" si="390"/>
        <v/>
      </c>
      <c r="DJ184" s="65" t="str">
        <f t="shared" si="391"/>
        <v/>
      </c>
      <c r="DK184" s="65" t="str">
        <f t="shared" si="392"/>
        <v/>
      </c>
      <c r="DL184" s="97" t="str">
        <f t="shared" si="432"/>
        <v/>
      </c>
      <c r="DM184" s="97" t="str">
        <f t="shared" si="433"/>
        <v/>
      </c>
      <c r="DN184" s="97" t="str">
        <f t="shared" si="434"/>
        <v/>
      </c>
      <c r="DO184" s="97" t="str">
        <f t="shared" si="435"/>
        <v/>
      </c>
      <c r="DP184" s="97" t="str">
        <f t="shared" si="436"/>
        <v/>
      </c>
      <c r="DQ184" s="97" t="str">
        <f t="shared" si="437"/>
        <v/>
      </c>
      <c r="DR184" s="97" t="str">
        <f t="shared" si="438"/>
        <v/>
      </c>
      <c r="DS184" s="98">
        <f t="shared" si="439"/>
        <v>0</v>
      </c>
      <c r="DT184" s="98">
        <f t="shared" si="440"/>
        <v>0</v>
      </c>
      <c r="DU184" s="98">
        <f t="shared" si="441"/>
        <v>0</v>
      </c>
      <c r="DV184" s="98">
        <f t="shared" si="442"/>
        <v>0</v>
      </c>
      <c r="DW184" s="98">
        <f t="shared" si="443"/>
        <v>0</v>
      </c>
      <c r="DX184" s="98" t="str">
        <f t="shared" si="444"/>
        <v/>
      </c>
      <c r="DY184" s="99" t="str">
        <f t="shared" si="445"/>
        <v/>
      </c>
      <c r="DZ184" s="74" t="str">
        <f>IF('Marks Entry'!AY184="","",'Marks Entry'!AY184)</f>
        <v/>
      </c>
      <c r="EA184" s="74" t="str">
        <f>IF('Marks Entry'!AZ184="","",'Marks Entry'!AZ184)</f>
        <v/>
      </c>
      <c r="EB184" s="74" t="str">
        <f>IF('Marks Entry'!BA184="","",'Marks Entry'!BA184)</f>
        <v/>
      </c>
      <c r="EC184" s="527" t="str">
        <f t="shared" si="393"/>
        <v/>
      </c>
      <c r="ED184" s="74" t="str">
        <f>IF('Marks Entry'!BB184="","",'Marks Entry'!BB184)</f>
        <v/>
      </c>
      <c r="EE184" s="528" t="str">
        <f t="shared" si="394"/>
        <v/>
      </c>
      <c r="EF184" s="74" t="str">
        <f>IF('Marks Entry'!BC184="","",'Marks Entry'!BC184)</f>
        <v/>
      </c>
      <c r="EG184" s="530" t="str">
        <f t="shared" si="395"/>
        <v/>
      </c>
      <c r="EH184" s="368" t="str">
        <f t="shared" si="446"/>
        <v/>
      </c>
      <c r="EI184" s="65">
        <f t="shared" si="447"/>
        <v>0</v>
      </c>
      <c r="EJ184" s="65">
        <f t="shared" si="448"/>
        <v>0</v>
      </c>
      <c r="EK184" s="66" t="str">
        <f t="shared" si="449"/>
        <v/>
      </c>
      <c r="EL184" s="74" t="str">
        <f>IF('Marks Entry'!BD184="","",'Marks Entry'!BD184)</f>
        <v/>
      </c>
      <c r="EM184" s="74" t="str">
        <f>IF('Marks Entry'!BE184="","",'Marks Entry'!BE184)</f>
        <v/>
      </c>
      <c r="EN184" s="74" t="str">
        <f>IF('Marks Entry'!BF184="","",'Marks Entry'!BF184)</f>
        <v/>
      </c>
      <c r="EO184" s="527" t="str">
        <f t="shared" si="396"/>
        <v/>
      </c>
      <c r="EP184" s="74" t="str">
        <f>IF('Marks Entry'!BG184="","",'Marks Entry'!BG184)</f>
        <v/>
      </c>
      <c r="EQ184" s="74" t="str">
        <f>IF('Marks Entry'!BH184="","",'Marks Entry'!BH184)</f>
        <v/>
      </c>
      <c r="ER184" s="528" t="str">
        <f t="shared" si="397"/>
        <v/>
      </c>
      <c r="ES184" s="529" t="str">
        <f t="shared" si="398"/>
        <v/>
      </c>
      <c r="ET184" s="74" t="str">
        <f>IF('Marks Entry'!BI184="","",'Marks Entry'!BI184)</f>
        <v/>
      </c>
      <c r="EU184" s="74" t="str">
        <f>IF('Marks Entry'!BJ184="","",'Marks Entry'!BJ184)</f>
        <v/>
      </c>
      <c r="EV184" s="528" t="str">
        <f t="shared" si="399"/>
        <v/>
      </c>
      <c r="EW184" s="530" t="str">
        <f t="shared" si="400"/>
        <v/>
      </c>
      <c r="EX184" s="368" t="str">
        <f t="shared" si="450"/>
        <v/>
      </c>
      <c r="EY184" s="65">
        <f t="shared" si="451"/>
        <v>0</v>
      </c>
      <c r="EZ184" s="65">
        <f t="shared" si="452"/>
        <v>0</v>
      </c>
      <c r="FA184" s="66" t="str">
        <f t="shared" si="453"/>
        <v/>
      </c>
      <c r="FB184" s="74" t="str">
        <f>IF('Marks Entry'!BK184="","",'Marks Entry'!BK184)</f>
        <v/>
      </c>
      <c r="FC184" s="74" t="str">
        <f>IF('Marks Entry'!BL184="","",'Marks Entry'!BL184)</f>
        <v/>
      </c>
      <c r="FD184" s="74" t="str">
        <f>IF('Marks Entry'!BM184="","",'Marks Entry'!BM184)</f>
        <v/>
      </c>
      <c r="FE184" s="74" t="str">
        <f>IF('Marks Entry'!BN184="","",'Marks Entry'!BN184)</f>
        <v/>
      </c>
      <c r="FF184" s="74" t="str">
        <f>IF('Marks Entry'!BO184="","",'Marks Entry'!BO184)</f>
        <v/>
      </c>
      <c r="FG184" s="74" t="str">
        <f>IF('Marks Entry'!BP184="","",'Marks Entry'!BP184)</f>
        <v/>
      </c>
      <c r="FH184" s="527" t="str">
        <f t="shared" si="401"/>
        <v/>
      </c>
      <c r="FI184" s="74" t="str">
        <f>IF('Marks Entry'!BQ184="","",'Marks Entry'!BQ184)</f>
        <v/>
      </c>
      <c r="FJ184" s="74" t="str">
        <f>IF('Marks Entry'!BR184="","",'Marks Entry'!BR184)</f>
        <v/>
      </c>
      <c r="FK184" s="528" t="str">
        <f t="shared" si="402"/>
        <v/>
      </c>
      <c r="FL184" s="529" t="str">
        <f t="shared" si="403"/>
        <v/>
      </c>
      <c r="FM184" s="74" t="str">
        <f>IF('Marks Entry'!BS184="","",'Marks Entry'!BS184)</f>
        <v/>
      </c>
      <c r="FN184" s="74" t="str">
        <f>IF('Marks Entry'!BT184="","",'Marks Entry'!BT184)</f>
        <v/>
      </c>
      <c r="FO184" s="528" t="str">
        <f t="shared" si="404"/>
        <v/>
      </c>
      <c r="FP184" s="530" t="str">
        <f t="shared" si="405"/>
        <v/>
      </c>
      <c r="FQ184" s="368" t="str">
        <f t="shared" si="454"/>
        <v/>
      </c>
      <c r="FR184" s="65">
        <f t="shared" si="455"/>
        <v>0</v>
      </c>
      <c r="FS184" s="65">
        <f t="shared" si="456"/>
        <v>0</v>
      </c>
      <c r="FT184" s="66" t="str">
        <f t="shared" si="457"/>
        <v/>
      </c>
      <c r="FU184" s="74" t="str">
        <f>IF('Marks Entry'!BU184="","",'Marks Entry'!BU184)</f>
        <v/>
      </c>
      <c r="FV184" s="74" t="str">
        <f>IF('Marks Entry'!BV184="","",'Marks Entry'!BV184)</f>
        <v/>
      </c>
      <c r="FW184" s="74" t="str">
        <f>IF('Marks Entry'!BW184="","",'Marks Entry'!BW184)</f>
        <v/>
      </c>
      <c r="FX184" s="75" t="str">
        <f t="shared" si="406"/>
        <v/>
      </c>
      <c r="FY184" s="368" t="str">
        <f t="shared" si="458"/>
        <v/>
      </c>
      <c r="FZ184" s="65">
        <f t="shared" si="459"/>
        <v>0</v>
      </c>
      <c r="GA184" s="66">
        <f t="shared" si="460"/>
        <v>0</v>
      </c>
      <c r="GB184" s="66" t="str">
        <f t="shared" si="461"/>
        <v/>
      </c>
      <c r="GC184" s="74" t="str">
        <f>IF('Marks Entry'!BX184="","",'Marks Entry'!BX184)</f>
        <v/>
      </c>
      <c r="GD184" s="74" t="str">
        <f>IF('Marks Entry'!BY184="","",'Marks Entry'!BY184)</f>
        <v/>
      </c>
      <c r="GE184" s="74" t="str">
        <f>IF('Marks Entry'!BZ184="","",'Marks Entry'!BZ184)</f>
        <v/>
      </c>
      <c r="GF184" s="75" t="str">
        <f t="shared" si="462"/>
        <v/>
      </c>
      <c r="GG184" s="368" t="str">
        <f t="shared" si="463"/>
        <v/>
      </c>
      <c r="GH184" s="65">
        <f t="shared" si="464"/>
        <v>0</v>
      </c>
      <c r="GI184" s="66">
        <f t="shared" si="465"/>
        <v>0</v>
      </c>
      <c r="GJ184" s="66" t="str">
        <f t="shared" si="466"/>
        <v/>
      </c>
      <c r="GK184" s="100" t="str">
        <f>IF(AND(F184="",B184=""),"",IF('Student DATA Entry'!M181="","",'Student DATA Entry'!M181))</f>
        <v/>
      </c>
      <c r="GL184" s="101" t="str">
        <f>IF(AND(B184="",F184=""),"",IF('Student DATA Entry'!N181="","",'Student DATA Entry'!N181))</f>
        <v/>
      </c>
      <c r="GM184" s="581" t="str">
        <f t="shared" si="467"/>
        <v/>
      </c>
      <c r="GN184" s="94" t="str">
        <f t="shared" si="468"/>
        <v/>
      </c>
      <c r="GO184" s="94" t="str">
        <f t="shared" si="469"/>
        <v/>
      </c>
      <c r="GP184" s="102" t="str">
        <f t="shared" si="498"/>
        <v/>
      </c>
      <c r="GQ184" s="94" t="str">
        <f t="shared" si="470"/>
        <v/>
      </c>
      <c r="GR184" s="103" t="str">
        <f t="shared" si="471"/>
        <v/>
      </c>
      <c r="GS184" s="102" t="str">
        <f t="shared" si="499"/>
        <v/>
      </c>
      <c r="GT184" s="104" t="str">
        <f t="shared" si="472"/>
        <v/>
      </c>
      <c r="GU184" s="94" t="str">
        <f>IF('Marks Entry'!V184=1,GT184,"")</f>
        <v/>
      </c>
      <c r="GV184" s="94" t="str">
        <f>IF('Marks Entry'!V184=2,GT184,"")</f>
        <v/>
      </c>
      <c r="GW184" s="94" t="str">
        <f>IF('Marks Entry'!V184=3,GT184,"")</f>
        <v/>
      </c>
      <c r="GX184" s="94" t="str">
        <f>IF('Marks Entry'!V184=4,GT184,"")</f>
        <v/>
      </c>
      <c r="GY184" s="94" t="str">
        <f>IF('Marks Entry'!V184=5,GT184,"")</f>
        <v/>
      </c>
      <c r="GZ184" s="94" t="str">
        <f t="shared" si="473"/>
        <v/>
      </c>
      <c r="HA184" s="105" t="str">
        <f t="shared" si="500"/>
        <v/>
      </c>
      <c r="HB184" s="94" t="str">
        <f t="shared" si="474"/>
        <v/>
      </c>
      <c r="HC184" s="94" t="str">
        <f t="shared" si="475"/>
        <v/>
      </c>
      <c r="HD184" s="105" t="str">
        <f t="shared" si="501"/>
        <v/>
      </c>
      <c r="HE184" s="94" t="str">
        <f t="shared" si="476"/>
        <v/>
      </c>
      <c r="HF184" s="94" t="str">
        <f t="shared" si="477"/>
        <v/>
      </c>
      <c r="HG184" s="105" t="str">
        <f t="shared" si="502"/>
        <v/>
      </c>
      <c r="HH184" s="94" t="str">
        <f t="shared" si="478"/>
        <v/>
      </c>
      <c r="HI184" s="94" t="str">
        <f t="shared" si="479"/>
        <v/>
      </c>
      <c r="HJ184" s="105" t="str">
        <f t="shared" si="503"/>
        <v/>
      </c>
      <c r="HK184" s="94" t="str">
        <f t="shared" si="480"/>
        <v/>
      </c>
      <c r="HL184" s="94" t="str">
        <f t="shared" si="481"/>
        <v/>
      </c>
      <c r="HM184" s="105" t="str">
        <f t="shared" si="504"/>
        <v/>
      </c>
      <c r="HN184" s="367" t="str">
        <f t="shared" si="482"/>
        <v xml:space="preserve">      </v>
      </c>
      <c r="HO184" s="418" t="str">
        <f t="shared" si="505"/>
        <v xml:space="preserve">      </v>
      </c>
      <c r="HP184" s="367" t="str">
        <f t="shared" si="483"/>
        <v xml:space="preserve">      </v>
      </c>
      <c r="HQ184" s="107" t="str">
        <f t="shared" si="484"/>
        <v xml:space="preserve">      </v>
      </c>
      <c r="HR184" s="366" t="str">
        <f t="shared" si="485"/>
        <v xml:space="preserve">      </v>
      </c>
      <c r="HS184" s="544" t="str">
        <f t="shared" si="506"/>
        <v/>
      </c>
      <c r="HT184" s="542" t="str">
        <f t="shared" si="486"/>
        <v/>
      </c>
      <c r="HU184" s="541" t="str">
        <f t="shared" si="487"/>
        <v/>
      </c>
      <c r="HV184" s="540" t="str">
        <f t="shared" si="488"/>
        <v/>
      </c>
      <c r="HW184" s="537" t="str">
        <f t="shared" si="489"/>
        <v/>
      </c>
      <c r="HX184" s="539" t="str">
        <f t="shared" si="490"/>
        <v/>
      </c>
      <c r="HY184" s="553" t="str">
        <f>IFERROR(IF(OR(HS184="SUPPLEMENTARY",HS184="RE-EXAM"),'Supp. Result Entry'!AQ182,""),"")</f>
        <v/>
      </c>
      <c r="HZ184" s="538" t="str">
        <f t="shared" si="491"/>
        <v/>
      </c>
      <c r="IA184" s="415" t="str">
        <f t="shared" si="492"/>
        <v/>
      </c>
      <c r="IB184" s="415" t="str">
        <f>IF(AND(HZ184="",IA184=""),"",IF(OR(HS184="SUPPLEMENTARY",HS184="RE-EXAM"),'Supp. Result Entry'!AQ182,HS184))</f>
        <v/>
      </c>
      <c r="IC184" s="87"/>
      <c r="IS184" s="109" t="str">
        <f>IF('Supp. Result Entry'!T182="","",'Supp. Result Entry'!$T$4)</f>
        <v/>
      </c>
      <c r="IT184" s="110" t="str">
        <f>IF('Supp. Result Entry'!W182="","",'Supp. Result Entry'!$W$4)</f>
        <v/>
      </c>
      <c r="IU184" s="110" t="str">
        <f>IF('Supp. Result Entry'!Z182="","",'Supp. Result Entry'!$Z$4)</f>
        <v/>
      </c>
      <c r="IV184" s="110" t="str">
        <f>IF('Supp. Result Entry'!AC182="","",'Supp. Result Entry'!$AC$4)</f>
        <v/>
      </c>
      <c r="IW184" s="110" t="str">
        <f>IF('Supp. Result Entry'!AF182="","",'Supp. Result Entry'!$AF$4)</f>
        <v/>
      </c>
      <c r="IX184" s="110" t="str">
        <f>IF('Supp. Result Entry'!AI182="","",'Supp. Result Entry'!$AI$4)</f>
        <v/>
      </c>
      <c r="IY184" s="110" t="str">
        <f>IF('Supp. Result Entry'!AI182="","",'Supp. Result Entry'!$AL$4)</f>
        <v/>
      </c>
      <c r="IZ184" s="110" t="str">
        <f>IF('Supp. Result Entry'!U182="","",'Supp. Result Entry'!U182)</f>
        <v/>
      </c>
      <c r="JA184" s="110" t="str">
        <f>IF('Supp. Result Entry'!X182="","",'Supp. Result Entry'!X182)</f>
        <v/>
      </c>
      <c r="JB184" s="110" t="str">
        <f>IF('Supp. Result Entry'!AA182="","",'Supp. Result Entry'!AA182)</f>
        <v/>
      </c>
      <c r="JC184" s="110" t="str">
        <f>IF('Supp. Result Entry'!AD182="","",'Supp. Result Entry'!AD182)</f>
        <v/>
      </c>
      <c r="JD184" s="110" t="str">
        <f>IF('Supp. Result Entry'!AG182="","",'Supp. Result Entry'!AG182)</f>
        <v/>
      </c>
      <c r="JE184" s="110" t="str">
        <f>IF('Supp. Result Entry'!AJ182="","",'Supp. Result Entry'!AJ182)</f>
        <v/>
      </c>
      <c r="JF184" s="110" t="str">
        <f>IF('Supp. Result Entry'!AM182="","",'Supp. Result Entry'!AM182)</f>
        <v/>
      </c>
      <c r="JG184" s="110" t="str">
        <f>IF('Supp. Result Entry'!V182="","",'Supp. Result Entry'!V182)</f>
        <v/>
      </c>
      <c r="JH184" s="110" t="str">
        <f>IF('Supp. Result Entry'!Y182="","",'Supp. Result Entry'!Y182)</f>
        <v/>
      </c>
      <c r="JI184" s="110" t="str">
        <f>IF('Supp. Result Entry'!AB182="","",'Supp. Result Entry'!AB182)</f>
        <v/>
      </c>
      <c r="JJ184" s="110" t="str">
        <f>IF('Supp. Result Entry'!AE182="","",'Supp. Result Entry'!AE182)</f>
        <v/>
      </c>
      <c r="JK184" s="110" t="str">
        <f>IF('Supp. Result Entry'!AH182="","",'Supp. Result Entry'!AH182)</f>
        <v/>
      </c>
      <c r="JL184" s="110" t="str">
        <f>IF('Supp. Result Entry'!AK182="","",'Supp. Result Entry'!AK182)</f>
        <v/>
      </c>
      <c r="JM184" s="110" t="str">
        <f>IF('Supp. Result Entry'!AN182="","",'Supp. Result Entry'!AN182)</f>
        <v/>
      </c>
      <c r="JN184" s="110">
        <f>COUNTIF('Supp. Result Entry'!K182:Q182,"S")</f>
        <v>0</v>
      </c>
      <c r="JO184" s="110">
        <f t="shared" si="416"/>
        <v>0</v>
      </c>
      <c r="JP184" s="110">
        <f t="shared" si="493"/>
        <v>0</v>
      </c>
      <c r="JQ184" s="110" t="str">
        <f t="shared" si="417"/>
        <v/>
      </c>
      <c r="JR184" s="110" t="str">
        <f t="shared" si="418"/>
        <v/>
      </c>
      <c r="JS184" s="110" t="str">
        <f t="shared" si="419"/>
        <v/>
      </c>
      <c r="JT184" s="110" t="str">
        <f t="shared" si="420"/>
        <v/>
      </c>
      <c r="JU184" s="110" t="str">
        <f t="shared" si="421"/>
        <v/>
      </c>
      <c r="JV184" s="110" t="str">
        <f t="shared" si="422"/>
        <v/>
      </c>
      <c r="JW184" s="110" t="str">
        <f t="shared" si="423"/>
        <v/>
      </c>
      <c r="JX184" s="110" t="str">
        <f t="shared" si="494"/>
        <v/>
      </c>
      <c r="JY184" s="110" t="str">
        <f t="shared" si="495"/>
        <v/>
      </c>
      <c r="JZ184" s="110" t="str">
        <f t="shared" si="424"/>
        <v/>
      </c>
      <c r="KA184" s="108" t="str">
        <f t="shared" si="496"/>
        <v/>
      </c>
    </row>
    <row r="185" spans="1:287" s="108" customFormat="1" ht="21.95" customHeight="1">
      <c r="A185" s="89">
        <v>179</v>
      </c>
      <c r="B185" s="90" t="str">
        <f>IF('Marks Entry'!B185="","",'Marks Entry'!B185)</f>
        <v/>
      </c>
      <c r="C185" s="94" t="str">
        <f>IF('Marks Entry'!D185="","",'Marks Entry'!D185)</f>
        <v/>
      </c>
      <c r="D185" s="91" t="str">
        <f>IF('Marks Entry'!E185="","",'Marks Entry'!E185)</f>
        <v/>
      </c>
      <c r="E185" s="92" t="str">
        <f>IF('Marks Entry'!F185="","",'Marks Entry'!F185)</f>
        <v/>
      </c>
      <c r="F185" s="93" t="str">
        <f>IF('Marks Entry'!G185="","",'Marks Entry'!G185)</f>
        <v/>
      </c>
      <c r="G185" s="93" t="str">
        <f>IF('Marks Entry'!H185="","",'Marks Entry'!H185)</f>
        <v/>
      </c>
      <c r="H185" s="93" t="str">
        <f>IF('Marks Entry'!I185="","",'Marks Entry'!I185)</f>
        <v/>
      </c>
      <c r="I185" s="94" t="str">
        <f>IF('Marks Entry'!J185="","",'Marks Entry'!J185)</f>
        <v/>
      </c>
      <c r="J185" s="95" t="str">
        <f>IF('Marks Entry'!K185="","",'Marks Entry'!K185)</f>
        <v/>
      </c>
      <c r="K185" s="68" t="str">
        <f>IF('Marks Entry'!L185="","",'Marks Entry'!L185)</f>
        <v/>
      </c>
      <c r="L185" s="68" t="str">
        <f>IF('Marks Entry'!M185="","",'Marks Entry'!M185)</f>
        <v/>
      </c>
      <c r="M185" s="68" t="str">
        <f>IF('Marks Entry'!N185="","",'Marks Entry'!N185)</f>
        <v/>
      </c>
      <c r="N185" s="514" t="str">
        <f t="shared" si="425"/>
        <v/>
      </c>
      <c r="O185" s="68" t="str">
        <f>IF('Marks Entry'!O185="","",'Marks Entry'!O185)</f>
        <v/>
      </c>
      <c r="P185" s="515" t="str">
        <f t="shared" si="426"/>
        <v/>
      </c>
      <c r="Q185" s="68" t="str">
        <f>IF('Marks Entry'!P185="","",'Marks Entry'!P185)</f>
        <v/>
      </c>
      <c r="R185" s="96" t="str">
        <f t="shared" si="427"/>
        <v/>
      </c>
      <c r="S185" s="65">
        <f t="shared" si="428"/>
        <v>0</v>
      </c>
      <c r="T185" s="65">
        <f t="shared" si="429"/>
        <v>0</v>
      </c>
      <c r="U185" s="66" t="str">
        <f t="shared" si="339"/>
        <v/>
      </c>
      <c r="V185" s="65" t="str">
        <f t="shared" si="340"/>
        <v/>
      </c>
      <c r="W185" s="65" t="str">
        <f t="shared" si="430"/>
        <v/>
      </c>
      <c r="X185" s="65" t="str">
        <f t="shared" si="341"/>
        <v/>
      </c>
      <c r="Y185" s="68" t="str">
        <f>IF('Marks Entry'!Q185="","",'Marks Entry'!Q185)</f>
        <v/>
      </c>
      <c r="Z185" s="68" t="str">
        <f>IF('Marks Entry'!R185="","",'Marks Entry'!R185)</f>
        <v/>
      </c>
      <c r="AA185" s="68" t="str">
        <f>IF('Marks Entry'!S185="","",'Marks Entry'!S185)</f>
        <v/>
      </c>
      <c r="AB185" s="514" t="str">
        <f t="shared" si="342"/>
        <v/>
      </c>
      <c r="AC185" s="68" t="str">
        <f>IF('Marks Entry'!T185="","",'Marks Entry'!T185)</f>
        <v/>
      </c>
      <c r="AD185" s="515" t="str">
        <f t="shared" si="343"/>
        <v/>
      </c>
      <c r="AE185" s="68" t="str">
        <f>IF('Marks Entry'!U185="","",'Marks Entry'!U185)</f>
        <v/>
      </c>
      <c r="AF185" s="96" t="str">
        <f t="shared" si="344"/>
        <v/>
      </c>
      <c r="AG185" s="65">
        <f t="shared" si="345"/>
        <v>0</v>
      </c>
      <c r="AH185" s="65">
        <f t="shared" si="346"/>
        <v>0</v>
      </c>
      <c r="AI185" s="66" t="str">
        <f t="shared" si="347"/>
        <v/>
      </c>
      <c r="AJ185" s="65" t="str">
        <f t="shared" si="348"/>
        <v/>
      </c>
      <c r="AK185" s="65" t="str">
        <f t="shared" si="349"/>
        <v/>
      </c>
      <c r="AL185" s="65" t="str">
        <f t="shared" si="350"/>
        <v/>
      </c>
      <c r="AM185" s="524" t="str">
        <f>IF('Marks Entry'!V185="","",IF('Marks Entry'!V185=1,'School Profile'!$I$9,IF('Marks Entry'!V185=2,'School Profile'!$I$10,IF('Marks Entry'!V185=3,'School Profile'!$I$11,IF('Marks Entry'!V185=4,'School Profile'!$I$12,IF('Marks Entry'!V185=5,'School Profile'!$I$13,IF('Marks Entry'!V185=6,'School Profile'!$I$14,"")))))))</f>
        <v/>
      </c>
      <c r="AN185" s="68" t="str">
        <f>IF('Marks Entry'!W185="","",'Marks Entry'!W185)</f>
        <v/>
      </c>
      <c r="AO185" s="68" t="str">
        <f>IF('Marks Entry'!X185="","",'Marks Entry'!X185)</f>
        <v/>
      </c>
      <c r="AP185" s="68" t="str">
        <f>IF('Marks Entry'!Y185="","",'Marks Entry'!Y185)</f>
        <v/>
      </c>
      <c r="AQ185" s="514" t="str">
        <f t="shared" si="351"/>
        <v/>
      </c>
      <c r="AR185" s="68" t="str">
        <f>IF('Marks Entry'!Z185="","",'Marks Entry'!Z185)</f>
        <v/>
      </c>
      <c r="AS185" s="515" t="str">
        <f t="shared" si="352"/>
        <v/>
      </c>
      <c r="AT185" s="68" t="str">
        <f>IF('Marks Entry'!AA185="","",'Marks Entry'!AA185)</f>
        <v/>
      </c>
      <c r="AU185" s="96" t="str">
        <f t="shared" si="353"/>
        <v/>
      </c>
      <c r="AV185" s="65">
        <f t="shared" si="354"/>
        <v>0</v>
      </c>
      <c r="AW185" s="65">
        <f t="shared" si="355"/>
        <v>0</v>
      </c>
      <c r="AX185" s="66" t="str">
        <f t="shared" si="356"/>
        <v/>
      </c>
      <c r="AY185" s="65" t="str">
        <f t="shared" si="357"/>
        <v/>
      </c>
      <c r="AZ185" s="65" t="str">
        <f t="shared" si="358"/>
        <v/>
      </c>
      <c r="BA185" s="65" t="str">
        <f t="shared" si="359"/>
        <v/>
      </c>
      <c r="BB185" s="68" t="str">
        <f>IF('Marks Entry'!AB185="","",'Marks Entry'!AB185)</f>
        <v/>
      </c>
      <c r="BC185" s="68" t="str">
        <f>IF('Marks Entry'!AC185="","",'Marks Entry'!AC185)</f>
        <v/>
      </c>
      <c r="BD185" s="68" t="str">
        <f>IF('Marks Entry'!AD185="","",'Marks Entry'!AD185)</f>
        <v/>
      </c>
      <c r="BE185" s="514" t="str">
        <f t="shared" si="360"/>
        <v/>
      </c>
      <c r="BF185" s="68" t="str">
        <f>IF('Marks Entry'!AE185="","",'Marks Entry'!AE185)</f>
        <v/>
      </c>
      <c r="BG185" s="515" t="str">
        <f t="shared" si="361"/>
        <v/>
      </c>
      <c r="BH185" s="68" t="str">
        <f>IF('Marks Entry'!AF185="","",'Marks Entry'!AF185)</f>
        <v/>
      </c>
      <c r="BI185" s="96" t="str">
        <f t="shared" si="362"/>
        <v/>
      </c>
      <c r="BJ185" s="65">
        <f t="shared" si="363"/>
        <v>0</v>
      </c>
      <c r="BK185" s="65">
        <f t="shared" si="431"/>
        <v>0</v>
      </c>
      <c r="BL185" s="66" t="str">
        <f t="shared" si="364"/>
        <v/>
      </c>
      <c r="BM185" s="65" t="str">
        <f t="shared" si="365"/>
        <v/>
      </c>
      <c r="BN185" s="65" t="str">
        <f t="shared" si="366"/>
        <v/>
      </c>
      <c r="BO185" s="65" t="str">
        <f t="shared" si="367"/>
        <v/>
      </c>
      <c r="BP185" s="68" t="str">
        <f>IF('Marks Entry'!AG185="","",'Marks Entry'!AG185)</f>
        <v/>
      </c>
      <c r="BQ185" s="68" t="str">
        <f>IF('Marks Entry'!AH185="","",'Marks Entry'!AH185)</f>
        <v/>
      </c>
      <c r="BR185" s="68" t="str">
        <f>IF('Marks Entry'!AI185="","",'Marks Entry'!AI185)</f>
        <v/>
      </c>
      <c r="BS185" s="514" t="str">
        <f t="shared" si="368"/>
        <v/>
      </c>
      <c r="BT185" s="68" t="str">
        <f>IF('Marks Entry'!AJ185="","",'Marks Entry'!AJ185)</f>
        <v/>
      </c>
      <c r="BU185" s="515" t="str">
        <f t="shared" si="369"/>
        <v/>
      </c>
      <c r="BV185" s="68" t="str">
        <f>IF('Marks Entry'!AK185="","",'Marks Entry'!AK185)</f>
        <v/>
      </c>
      <c r="BW185" s="96" t="str">
        <f t="shared" si="370"/>
        <v/>
      </c>
      <c r="BX185" s="65">
        <f t="shared" si="371"/>
        <v>0</v>
      </c>
      <c r="BY185" s="65">
        <f t="shared" si="372"/>
        <v>0</v>
      </c>
      <c r="BZ185" s="66" t="str">
        <f t="shared" si="373"/>
        <v/>
      </c>
      <c r="CA185" s="65" t="str">
        <f t="shared" si="374"/>
        <v/>
      </c>
      <c r="CB185" s="65" t="str">
        <f t="shared" si="375"/>
        <v/>
      </c>
      <c r="CC185" s="65" t="str">
        <f t="shared" si="376"/>
        <v/>
      </c>
      <c r="CD185" s="66">
        <f t="shared" si="497"/>
        <v>0</v>
      </c>
      <c r="CE185" s="68" t="str">
        <f>IF('Marks Entry'!AL185="","",'Marks Entry'!AL185)</f>
        <v/>
      </c>
      <c r="CF185" s="68" t="str">
        <f>IF('Marks Entry'!AM185="","",'Marks Entry'!AM185)</f>
        <v/>
      </c>
      <c r="CG185" s="68" t="str">
        <f>IF('Marks Entry'!AN185="","",'Marks Entry'!AN185)</f>
        <v/>
      </c>
      <c r="CH185" s="514" t="str">
        <f t="shared" si="378"/>
        <v/>
      </c>
      <c r="CI185" s="68" t="str">
        <f>IF('Marks Entry'!AO185="","",'Marks Entry'!AO185)</f>
        <v/>
      </c>
      <c r="CJ185" s="515" t="str">
        <f t="shared" si="379"/>
        <v/>
      </c>
      <c r="CK185" s="68" t="str">
        <f>IF('Marks Entry'!AP185="","",'Marks Entry'!AP185)</f>
        <v/>
      </c>
      <c r="CL185" s="96" t="str">
        <f t="shared" si="380"/>
        <v/>
      </c>
      <c r="CM185" s="65">
        <f t="shared" si="381"/>
        <v>0</v>
      </c>
      <c r="CN185" s="65">
        <f t="shared" si="382"/>
        <v>0</v>
      </c>
      <c r="CO185" s="66" t="str">
        <f t="shared" si="383"/>
        <v/>
      </c>
      <c r="CP185" s="65" t="str">
        <f t="shared" si="384"/>
        <v/>
      </c>
      <c r="CQ185" s="65" t="str">
        <f t="shared" si="385"/>
        <v/>
      </c>
      <c r="CR185" s="65" t="str">
        <f t="shared" si="386"/>
        <v/>
      </c>
      <c r="CS185" s="616" t="str">
        <f>IF('School Profile'!$D$20="NO","",IF('Marks Entry'!AQ185="","",IF('Marks Entry'!AQ185=1,'School Profile'!$I$29,IF('Marks Entry'!AQ185=2,'School Profile'!$I$30,IF('Marks Entry'!AQ185=3,'School Profile'!$I$31,IF('Marks Entry'!AQ185=4,'School Profile'!$I$32,IF('Marks Entry'!AQ185=5,'School Profile'!$I$33,IF('Marks Entry'!AQ185=6,'School Profile'!$I$34,IF('Marks Entry'!AQ185=7,'School Profile'!$I$35,IF('Marks Entry'!AQ185=8,'School Profile'!$I$36,IF('Marks Entry'!AQ185=9,'School Profile'!$I$37,IF('Marks Entry'!AQ185=10,'School Profile'!$I$38,IF('Marks Entry'!AQ185=11,'School Profile'!$I$39,"")))))))))))))</f>
        <v/>
      </c>
      <c r="CT185" s="68" t="str">
        <f>IF('School Profile'!$D$20="NO","",IF('Marks Entry'!AR185="","",'Marks Entry'!AR185))</f>
        <v/>
      </c>
      <c r="CU185" s="68" t="str">
        <f>IF('School Profile'!$D$20="NO","",IF('Marks Entry'!AS185="","",'Marks Entry'!AS185))</f>
        <v/>
      </c>
      <c r="CV185" s="68" t="str">
        <f>IF('School Profile'!$D$20="NO","",IF('Marks Entry'!AT185="","",'Marks Entry'!AT185))</f>
        <v/>
      </c>
      <c r="CW185" s="514" t="str">
        <f>IF('School Profile'!$D$20="NO","",IF(AND(CT185="",CU185="",CV185=""),"",SUM(CT185:CV185)))</f>
        <v/>
      </c>
      <c r="CX185" s="68" t="str">
        <f>IF('School Profile'!$D$20="NO","",IF('Marks Entry'!AU185="","",'Marks Entry'!AU185))</f>
        <v/>
      </c>
      <c r="CY185" s="68" t="str">
        <f>IF('School Profile'!$D$20="NO","",IF('Marks Entry'!AV185="","",'Marks Entry'!AV185))</f>
        <v/>
      </c>
      <c r="CZ185" s="515" t="str">
        <f>IF('School Profile'!$D$20="NO","",IF(AND(CX185="",CY185=""),"",SUM(CX185,CY185)))</f>
        <v/>
      </c>
      <c r="DA185" s="69" t="str">
        <f>IF('School Profile'!$D$20="NO","",IF(AND(CW185="",CZ185=""),"",SUM(CW185+CZ185)))</f>
        <v/>
      </c>
      <c r="DB185" s="68" t="str">
        <f>IF('School Profile'!$D$20="NO","",IF('Marks Entry'!AW185="","",'Marks Entry'!AW185))</f>
        <v/>
      </c>
      <c r="DC185" s="68" t="str">
        <f>IF('School Profile'!$D$20="NO","",IF('Marks Entry'!AX185="","",'Marks Entry'!AX185))</f>
        <v/>
      </c>
      <c r="DD185" s="515" t="str">
        <f>IF('School Profile'!$D$20="NO","",IF(AND(DB185="",DC185=""),"",SUM(DB185,DC185)))</f>
        <v/>
      </c>
      <c r="DE185" s="96" t="str">
        <f>IF('School Profile'!$D$20="NO","",IF(AND(DA185="",DD185=""),"",SUM(DA185,DD185)))</f>
        <v/>
      </c>
      <c r="DF185" s="532">
        <f t="shared" si="387"/>
        <v>0</v>
      </c>
      <c r="DG185" s="65">
        <f t="shared" si="388"/>
        <v>0</v>
      </c>
      <c r="DH185" s="66" t="str">
        <f t="shared" si="389"/>
        <v/>
      </c>
      <c r="DI185" s="65" t="str">
        <f t="shared" si="390"/>
        <v/>
      </c>
      <c r="DJ185" s="65" t="str">
        <f t="shared" si="391"/>
        <v/>
      </c>
      <c r="DK185" s="65" t="str">
        <f t="shared" si="392"/>
        <v/>
      </c>
      <c r="DL185" s="97" t="str">
        <f t="shared" si="432"/>
        <v/>
      </c>
      <c r="DM185" s="97" t="str">
        <f t="shared" si="433"/>
        <v/>
      </c>
      <c r="DN185" s="97" t="str">
        <f t="shared" si="434"/>
        <v/>
      </c>
      <c r="DO185" s="97" t="str">
        <f t="shared" si="435"/>
        <v/>
      </c>
      <c r="DP185" s="97" t="str">
        <f t="shared" si="436"/>
        <v/>
      </c>
      <c r="DQ185" s="97" t="str">
        <f t="shared" si="437"/>
        <v/>
      </c>
      <c r="DR185" s="97" t="str">
        <f t="shared" si="438"/>
        <v/>
      </c>
      <c r="DS185" s="98">
        <f t="shared" si="439"/>
        <v>0</v>
      </c>
      <c r="DT185" s="98">
        <f t="shared" si="440"/>
        <v>0</v>
      </c>
      <c r="DU185" s="98">
        <f t="shared" si="441"/>
        <v>0</v>
      </c>
      <c r="DV185" s="98">
        <f t="shared" si="442"/>
        <v>0</v>
      </c>
      <c r="DW185" s="98">
        <f t="shared" si="443"/>
        <v>0</v>
      </c>
      <c r="DX185" s="98" t="str">
        <f t="shared" si="444"/>
        <v/>
      </c>
      <c r="DY185" s="99" t="str">
        <f t="shared" si="445"/>
        <v/>
      </c>
      <c r="DZ185" s="74" t="str">
        <f>IF('Marks Entry'!AY185="","",'Marks Entry'!AY185)</f>
        <v/>
      </c>
      <c r="EA185" s="74" t="str">
        <f>IF('Marks Entry'!AZ185="","",'Marks Entry'!AZ185)</f>
        <v/>
      </c>
      <c r="EB185" s="74" t="str">
        <f>IF('Marks Entry'!BA185="","",'Marks Entry'!BA185)</f>
        <v/>
      </c>
      <c r="EC185" s="527" t="str">
        <f t="shared" si="393"/>
        <v/>
      </c>
      <c r="ED185" s="74" t="str">
        <f>IF('Marks Entry'!BB185="","",'Marks Entry'!BB185)</f>
        <v/>
      </c>
      <c r="EE185" s="528" t="str">
        <f t="shared" si="394"/>
        <v/>
      </c>
      <c r="EF185" s="74" t="str">
        <f>IF('Marks Entry'!BC185="","",'Marks Entry'!BC185)</f>
        <v/>
      </c>
      <c r="EG185" s="530" t="str">
        <f t="shared" si="395"/>
        <v/>
      </c>
      <c r="EH185" s="368" t="str">
        <f t="shared" si="446"/>
        <v/>
      </c>
      <c r="EI185" s="65">
        <f t="shared" si="447"/>
        <v>0</v>
      </c>
      <c r="EJ185" s="65">
        <f t="shared" si="448"/>
        <v>0</v>
      </c>
      <c r="EK185" s="66" t="str">
        <f t="shared" si="449"/>
        <v/>
      </c>
      <c r="EL185" s="74" t="str">
        <f>IF('Marks Entry'!BD185="","",'Marks Entry'!BD185)</f>
        <v/>
      </c>
      <c r="EM185" s="74" t="str">
        <f>IF('Marks Entry'!BE185="","",'Marks Entry'!BE185)</f>
        <v/>
      </c>
      <c r="EN185" s="74" t="str">
        <f>IF('Marks Entry'!BF185="","",'Marks Entry'!BF185)</f>
        <v/>
      </c>
      <c r="EO185" s="527" t="str">
        <f t="shared" si="396"/>
        <v/>
      </c>
      <c r="EP185" s="74" t="str">
        <f>IF('Marks Entry'!BG185="","",'Marks Entry'!BG185)</f>
        <v/>
      </c>
      <c r="EQ185" s="74" t="str">
        <f>IF('Marks Entry'!BH185="","",'Marks Entry'!BH185)</f>
        <v/>
      </c>
      <c r="ER185" s="528" t="str">
        <f t="shared" si="397"/>
        <v/>
      </c>
      <c r="ES185" s="529" t="str">
        <f t="shared" si="398"/>
        <v/>
      </c>
      <c r="ET185" s="74" t="str">
        <f>IF('Marks Entry'!BI185="","",'Marks Entry'!BI185)</f>
        <v/>
      </c>
      <c r="EU185" s="74" t="str">
        <f>IF('Marks Entry'!BJ185="","",'Marks Entry'!BJ185)</f>
        <v/>
      </c>
      <c r="EV185" s="528" t="str">
        <f t="shared" si="399"/>
        <v/>
      </c>
      <c r="EW185" s="530" t="str">
        <f t="shared" si="400"/>
        <v/>
      </c>
      <c r="EX185" s="368" t="str">
        <f t="shared" si="450"/>
        <v/>
      </c>
      <c r="EY185" s="65">
        <f t="shared" si="451"/>
        <v>0</v>
      </c>
      <c r="EZ185" s="65">
        <f t="shared" si="452"/>
        <v>0</v>
      </c>
      <c r="FA185" s="66" t="str">
        <f t="shared" si="453"/>
        <v/>
      </c>
      <c r="FB185" s="74" t="str">
        <f>IF('Marks Entry'!BK185="","",'Marks Entry'!BK185)</f>
        <v/>
      </c>
      <c r="FC185" s="74" t="str">
        <f>IF('Marks Entry'!BL185="","",'Marks Entry'!BL185)</f>
        <v/>
      </c>
      <c r="FD185" s="74" t="str">
        <f>IF('Marks Entry'!BM185="","",'Marks Entry'!BM185)</f>
        <v/>
      </c>
      <c r="FE185" s="74" t="str">
        <f>IF('Marks Entry'!BN185="","",'Marks Entry'!BN185)</f>
        <v/>
      </c>
      <c r="FF185" s="74" t="str">
        <f>IF('Marks Entry'!BO185="","",'Marks Entry'!BO185)</f>
        <v/>
      </c>
      <c r="FG185" s="74" t="str">
        <f>IF('Marks Entry'!BP185="","",'Marks Entry'!BP185)</f>
        <v/>
      </c>
      <c r="FH185" s="527" t="str">
        <f t="shared" si="401"/>
        <v/>
      </c>
      <c r="FI185" s="74" t="str">
        <f>IF('Marks Entry'!BQ185="","",'Marks Entry'!BQ185)</f>
        <v/>
      </c>
      <c r="FJ185" s="74" t="str">
        <f>IF('Marks Entry'!BR185="","",'Marks Entry'!BR185)</f>
        <v/>
      </c>
      <c r="FK185" s="528" t="str">
        <f t="shared" si="402"/>
        <v/>
      </c>
      <c r="FL185" s="529" t="str">
        <f t="shared" si="403"/>
        <v/>
      </c>
      <c r="FM185" s="74" t="str">
        <f>IF('Marks Entry'!BS185="","",'Marks Entry'!BS185)</f>
        <v/>
      </c>
      <c r="FN185" s="74" t="str">
        <f>IF('Marks Entry'!BT185="","",'Marks Entry'!BT185)</f>
        <v/>
      </c>
      <c r="FO185" s="528" t="str">
        <f t="shared" si="404"/>
        <v/>
      </c>
      <c r="FP185" s="530" t="str">
        <f t="shared" si="405"/>
        <v/>
      </c>
      <c r="FQ185" s="368" t="str">
        <f t="shared" si="454"/>
        <v/>
      </c>
      <c r="FR185" s="65">
        <f t="shared" si="455"/>
        <v>0</v>
      </c>
      <c r="FS185" s="65">
        <f t="shared" si="456"/>
        <v>0</v>
      </c>
      <c r="FT185" s="66" t="str">
        <f t="shared" si="457"/>
        <v/>
      </c>
      <c r="FU185" s="74" t="str">
        <f>IF('Marks Entry'!BU185="","",'Marks Entry'!BU185)</f>
        <v/>
      </c>
      <c r="FV185" s="74" t="str">
        <f>IF('Marks Entry'!BV185="","",'Marks Entry'!BV185)</f>
        <v/>
      </c>
      <c r="FW185" s="74" t="str">
        <f>IF('Marks Entry'!BW185="","",'Marks Entry'!BW185)</f>
        <v/>
      </c>
      <c r="FX185" s="75" t="str">
        <f t="shared" si="406"/>
        <v/>
      </c>
      <c r="FY185" s="368" t="str">
        <f t="shared" si="458"/>
        <v/>
      </c>
      <c r="FZ185" s="65">
        <f t="shared" si="459"/>
        <v>0</v>
      </c>
      <c r="GA185" s="66">
        <f t="shared" si="460"/>
        <v>0</v>
      </c>
      <c r="GB185" s="66" t="str">
        <f t="shared" si="461"/>
        <v/>
      </c>
      <c r="GC185" s="74" t="str">
        <f>IF('Marks Entry'!BX185="","",'Marks Entry'!BX185)</f>
        <v/>
      </c>
      <c r="GD185" s="74" t="str">
        <f>IF('Marks Entry'!BY185="","",'Marks Entry'!BY185)</f>
        <v/>
      </c>
      <c r="GE185" s="74" t="str">
        <f>IF('Marks Entry'!BZ185="","",'Marks Entry'!BZ185)</f>
        <v/>
      </c>
      <c r="GF185" s="75" t="str">
        <f t="shared" si="462"/>
        <v/>
      </c>
      <c r="GG185" s="368" t="str">
        <f t="shared" si="463"/>
        <v/>
      </c>
      <c r="GH185" s="65">
        <f t="shared" si="464"/>
        <v>0</v>
      </c>
      <c r="GI185" s="66">
        <f t="shared" si="465"/>
        <v>0</v>
      </c>
      <c r="GJ185" s="66" t="str">
        <f t="shared" si="466"/>
        <v/>
      </c>
      <c r="GK185" s="100" t="str">
        <f>IF(AND(F185="",B185=""),"",IF('Student DATA Entry'!M182="","",'Student DATA Entry'!M182))</f>
        <v/>
      </c>
      <c r="GL185" s="101" t="str">
        <f>IF(AND(B185="",F185=""),"",IF('Student DATA Entry'!N182="","",'Student DATA Entry'!N182))</f>
        <v/>
      </c>
      <c r="GM185" s="581" t="str">
        <f t="shared" si="467"/>
        <v/>
      </c>
      <c r="GN185" s="94" t="str">
        <f t="shared" si="468"/>
        <v/>
      </c>
      <c r="GO185" s="94" t="str">
        <f t="shared" si="469"/>
        <v/>
      </c>
      <c r="GP185" s="102" t="str">
        <f t="shared" si="498"/>
        <v/>
      </c>
      <c r="GQ185" s="94" t="str">
        <f t="shared" si="470"/>
        <v/>
      </c>
      <c r="GR185" s="103" t="str">
        <f t="shared" si="471"/>
        <v/>
      </c>
      <c r="GS185" s="102" t="str">
        <f t="shared" si="499"/>
        <v/>
      </c>
      <c r="GT185" s="104" t="str">
        <f t="shared" si="472"/>
        <v/>
      </c>
      <c r="GU185" s="94" t="str">
        <f>IF('Marks Entry'!V185=1,GT185,"")</f>
        <v/>
      </c>
      <c r="GV185" s="94" t="str">
        <f>IF('Marks Entry'!V185=2,GT185,"")</f>
        <v/>
      </c>
      <c r="GW185" s="94" t="str">
        <f>IF('Marks Entry'!V185=3,GT185,"")</f>
        <v/>
      </c>
      <c r="GX185" s="94" t="str">
        <f>IF('Marks Entry'!V185=4,GT185,"")</f>
        <v/>
      </c>
      <c r="GY185" s="94" t="str">
        <f>IF('Marks Entry'!V185=5,GT185,"")</f>
        <v/>
      </c>
      <c r="GZ185" s="94" t="str">
        <f t="shared" si="473"/>
        <v/>
      </c>
      <c r="HA185" s="105" t="str">
        <f t="shared" si="500"/>
        <v/>
      </c>
      <c r="HB185" s="94" t="str">
        <f t="shared" si="474"/>
        <v/>
      </c>
      <c r="HC185" s="94" t="str">
        <f t="shared" si="475"/>
        <v/>
      </c>
      <c r="HD185" s="105" t="str">
        <f t="shared" si="501"/>
        <v/>
      </c>
      <c r="HE185" s="94" t="str">
        <f t="shared" si="476"/>
        <v/>
      </c>
      <c r="HF185" s="94" t="str">
        <f t="shared" si="477"/>
        <v/>
      </c>
      <c r="HG185" s="105" t="str">
        <f t="shared" si="502"/>
        <v/>
      </c>
      <c r="HH185" s="94" t="str">
        <f t="shared" si="478"/>
        <v/>
      </c>
      <c r="HI185" s="94" t="str">
        <f t="shared" si="479"/>
        <v/>
      </c>
      <c r="HJ185" s="105" t="str">
        <f t="shared" si="503"/>
        <v/>
      </c>
      <c r="HK185" s="94" t="str">
        <f t="shared" si="480"/>
        <v/>
      </c>
      <c r="HL185" s="94" t="str">
        <f t="shared" si="481"/>
        <v/>
      </c>
      <c r="HM185" s="105" t="str">
        <f t="shared" si="504"/>
        <v/>
      </c>
      <c r="HN185" s="367" t="str">
        <f t="shared" si="482"/>
        <v xml:space="preserve">      </v>
      </c>
      <c r="HO185" s="418" t="str">
        <f t="shared" si="505"/>
        <v xml:space="preserve">      </v>
      </c>
      <c r="HP185" s="367" t="str">
        <f t="shared" si="483"/>
        <v xml:space="preserve">      </v>
      </c>
      <c r="HQ185" s="107" t="str">
        <f t="shared" si="484"/>
        <v xml:space="preserve">      </v>
      </c>
      <c r="HR185" s="366" t="str">
        <f t="shared" si="485"/>
        <v xml:space="preserve">      </v>
      </c>
      <c r="HS185" s="544" t="str">
        <f t="shared" si="506"/>
        <v/>
      </c>
      <c r="HT185" s="542" t="str">
        <f t="shared" si="486"/>
        <v/>
      </c>
      <c r="HU185" s="541" t="str">
        <f t="shared" si="487"/>
        <v/>
      </c>
      <c r="HV185" s="540" t="str">
        <f t="shared" si="488"/>
        <v/>
      </c>
      <c r="HW185" s="537" t="str">
        <f t="shared" si="489"/>
        <v/>
      </c>
      <c r="HX185" s="539" t="str">
        <f t="shared" si="490"/>
        <v/>
      </c>
      <c r="HY185" s="553" t="str">
        <f>IFERROR(IF(OR(HS185="SUPPLEMENTARY",HS185="RE-EXAM"),'Supp. Result Entry'!AQ183,""),"")</f>
        <v/>
      </c>
      <c r="HZ185" s="538" t="str">
        <f t="shared" si="491"/>
        <v/>
      </c>
      <c r="IA185" s="415" t="str">
        <f t="shared" si="492"/>
        <v/>
      </c>
      <c r="IB185" s="415" t="str">
        <f>IF(AND(HZ185="",IA185=""),"",IF(OR(HS185="SUPPLEMENTARY",HS185="RE-EXAM"),'Supp. Result Entry'!AQ183,HS185))</f>
        <v/>
      </c>
      <c r="IC185" s="87"/>
      <c r="IS185" s="109" t="str">
        <f>IF('Supp. Result Entry'!T183="","",'Supp. Result Entry'!$T$4)</f>
        <v/>
      </c>
      <c r="IT185" s="110" t="str">
        <f>IF('Supp. Result Entry'!W183="","",'Supp. Result Entry'!$W$4)</f>
        <v/>
      </c>
      <c r="IU185" s="110" t="str">
        <f>IF('Supp. Result Entry'!Z183="","",'Supp. Result Entry'!$Z$4)</f>
        <v/>
      </c>
      <c r="IV185" s="110" t="str">
        <f>IF('Supp. Result Entry'!AC183="","",'Supp. Result Entry'!$AC$4)</f>
        <v/>
      </c>
      <c r="IW185" s="110" t="str">
        <f>IF('Supp. Result Entry'!AF183="","",'Supp. Result Entry'!$AF$4)</f>
        <v/>
      </c>
      <c r="IX185" s="110" t="str">
        <f>IF('Supp. Result Entry'!AI183="","",'Supp. Result Entry'!$AI$4)</f>
        <v/>
      </c>
      <c r="IY185" s="110" t="str">
        <f>IF('Supp. Result Entry'!AI183="","",'Supp. Result Entry'!$AL$4)</f>
        <v/>
      </c>
      <c r="IZ185" s="110" t="str">
        <f>IF('Supp. Result Entry'!U183="","",'Supp. Result Entry'!U183)</f>
        <v/>
      </c>
      <c r="JA185" s="110" t="str">
        <f>IF('Supp. Result Entry'!X183="","",'Supp. Result Entry'!X183)</f>
        <v/>
      </c>
      <c r="JB185" s="110" t="str">
        <f>IF('Supp. Result Entry'!AA183="","",'Supp. Result Entry'!AA183)</f>
        <v/>
      </c>
      <c r="JC185" s="110" t="str">
        <f>IF('Supp. Result Entry'!AD183="","",'Supp. Result Entry'!AD183)</f>
        <v/>
      </c>
      <c r="JD185" s="110" t="str">
        <f>IF('Supp. Result Entry'!AG183="","",'Supp. Result Entry'!AG183)</f>
        <v/>
      </c>
      <c r="JE185" s="110" t="str">
        <f>IF('Supp. Result Entry'!AJ183="","",'Supp. Result Entry'!AJ183)</f>
        <v/>
      </c>
      <c r="JF185" s="110" t="str">
        <f>IF('Supp. Result Entry'!AM183="","",'Supp. Result Entry'!AM183)</f>
        <v/>
      </c>
      <c r="JG185" s="110" t="str">
        <f>IF('Supp. Result Entry'!V183="","",'Supp. Result Entry'!V183)</f>
        <v/>
      </c>
      <c r="JH185" s="110" t="str">
        <f>IF('Supp. Result Entry'!Y183="","",'Supp. Result Entry'!Y183)</f>
        <v/>
      </c>
      <c r="JI185" s="110" t="str">
        <f>IF('Supp. Result Entry'!AB183="","",'Supp. Result Entry'!AB183)</f>
        <v/>
      </c>
      <c r="JJ185" s="110" t="str">
        <f>IF('Supp. Result Entry'!AE183="","",'Supp. Result Entry'!AE183)</f>
        <v/>
      </c>
      <c r="JK185" s="110" t="str">
        <f>IF('Supp. Result Entry'!AH183="","",'Supp. Result Entry'!AH183)</f>
        <v/>
      </c>
      <c r="JL185" s="110" t="str">
        <f>IF('Supp. Result Entry'!AK183="","",'Supp. Result Entry'!AK183)</f>
        <v/>
      </c>
      <c r="JM185" s="110" t="str">
        <f>IF('Supp. Result Entry'!AN183="","",'Supp. Result Entry'!AN183)</f>
        <v/>
      </c>
      <c r="JN185" s="110">
        <f>COUNTIF('Supp. Result Entry'!K183:Q183,"S")</f>
        <v>0</v>
      </c>
      <c r="JO185" s="110">
        <f t="shared" si="416"/>
        <v>0</v>
      </c>
      <c r="JP185" s="110">
        <f t="shared" si="493"/>
        <v>0</v>
      </c>
      <c r="JQ185" s="110" t="str">
        <f t="shared" si="417"/>
        <v/>
      </c>
      <c r="JR185" s="110" t="str">
        <f t="shared" si="418"/>
        <v/>
      </c>
      <c r="JS185" s="110" t="str">
        <f t="shared" si="419"/>
        <v/>
      </c>
      <c r="JT185" s="110" t="str">
        <f t="shared" si="420"/>
        <v/>
      </c>
      <c r="JU185" s="110" t="str">
        <f t="shared" si="421"/>
        <v/>
      </c>
      <c r="JV185" s="110" t="str">
        <f t="shared" si="422"/>
        <v/>
      </c>
      <c r="JW185" s="110" t="str">
        <f t="shared" si="423"/>
        <v/>
      </c>
      <c r="JX185" s="110" t="str">
        <f t="shared" si="494"/>
        <v/>
      </c>
      <c r="JY185" s="110" t="str">
        <f t="shared" si="495"/>
        <v/>
      </c>
      <c r="JZ185" s="110" t="str">
        <f t="shared" si="424"/>
        <v/>
      </c>
      <c r="KA185" s="108" t="str">
        <f t="shared" si="496"/>
        <v/>
      </c>
    </row>
    <row r="186" spans="1:287" s="108" customFormat="1" ht="21.95" customHeight="1">
      <c r="A186" s="89">
        <v>180</v>
      </c>
      <c r="B186" s="90" t="str">
        <f>IF('Marks Entry'!B186="","",'Marks Entry'!B186)</f>
        <v/>
      </c>
      <c r="C186" s="94" t="str">
        <f>IF('Marks Entry'!D186="","",'Marks Entry'!D186)</f>
        <v/>
      </c>
      <c r="D186" s="91" t="str">
        <f>IF('Marks Entry'!E186="","",'Marks Entry'!E186)</f>
        <v/>
      </c>
      <c r="E186" s="92" t="str">
        <f>IF('Marks Entry'!F186="","",'Marks Entry'!F186)</f>
        <v/>
      </c>
      <c r="F186" s="93" t="str">
        <f>IF('Marks Entry'!G186="","",'Marks Entry'!G186)</f>
        <v/>
      </c>
      <c r="G186" s="93" t="str">
        <f>IF('Marks Entry'!H186="","",'Marks Entry'!H186)</f>
        <v/>
      </c>
      <c r="H186" s="93" t="str">
        <f>IF('Marks Entry'!I186="","",'Marks Entry'!I186)</f>
        <v/>
      </c>
      <c r="I186" s="94" t="str">
        <f>IF('Marks Entry'!J186="","",'Marks Entry'!J186)</f>
        <v/>
      </c>
      <c r="J186" s="95" t="str">
        <f>IF('Marks Entry'!K186="","",'Marks Entry'!K186)</f>
        <v/>
      </c>
      <c r="K186" s="68" t="str">
        <f>IF('Marks Entry'!L186="","",'Marks Entry'!L186)</f>
        <v/>
      </c>
      <c r="L186" s="68" t="str">
        <f>IF('Marks Entry'!M186="","",'Marks Entry'!M186)</f>
        <v/>
      </c>
      <c r="M186" s="68" t="str">
        <f>IF('Marks Entry'!N186="","",'Marks Entry'!N186)</f>
        <v/>
      </c>
      <c r="N186" s="514" t="str">
        <f t="shared" si="425"/>
        <v/>
      </c>
      <c r="O186" s="68" t="str">
        <f>IF('Marks Entry'!O186="","",'Marks Entry'!O186)</f>
        <v/>
      </c>
      <c r="P186" s="515" t="str">
        <f t="shared" si="426"/>
        <v/>
      </c>
      <c r="Q186" s="68" t="str">
        <f>IF('Marks Entry'!P186="","",'Marks Entry'!P186)</f>
        <v/>
      </c>
      <c r="R186" s="96" t="str">
        <f t="shared" si="427"/>
        <v/>
      </c>
      <c r="S186" s="65">
        <f t="shared" si="428"/>
        <v>0</v>
      </c>
      <c r="T186" s="65">
        <f t="shared" si="429"/>
        <v>0</v>
      </c>
      <c r="U186" s="66" t="str">
        <f t="shared" si="339"/>
        <v/>
      </c>
      <c r="V186" s="65" t="str">
        <f t="shared" si="340"/>
        <v/>
      </c>
      <c r="W186" s="65" t="str">
        <f t="shared" si="430"/>
        <v/>
      </c>
      <c r="X186" s="65" t="str">
        <f t="shared" si="341"/>
        <v/>
      </c>
      <c r="Y186" s="68" t="str">
        <f>IF('Marks Entry'!Q186="","",'Marks Entry'!Q186)</f>
        <v/>
      </c>
      <c r="Z186" s="68" t="str">
        <f>IF('Marks Entry'!R186="","",'Marks Entry'!R186)</f>
        <v/>
      </c>
      <c r="AA186" s="68" t="str">
        <f>IF('Marks Entry'!S186="","",'Marks Entry'!S186)</f>
        <v/>
      </c>
      <c r="AB186" s="514" t="str">
        <f t="shared" si="342"/>
        <v/>
      </c>
      <c r="AC186" s="68" t="str">
        <f>IF('Marks Entry'!T186="","",'Marks Entry'!T186)</f>
        <v/>
      </c>
      <c r="AD186" s="515" t="str">
        <f t="shared" si="343"/>
        <v/>
      </c>
      <c r="AE186" s="68" t="str">
        <f>IF('Marks Entry'!U186="","",'Marks Entry'!U186)</f>
        <v/>
      </c>
      <c r="AF186" s="96" t="str">
        <f t="shared" si="344"/>
        <v/>
      </c>
      <c r="AG186" s="65">
        <f t="shared" si="345"/>
        <v>0</v>
      </c>
      <c r="AH186" s="65">
        <f t="shared" si="346"/>
        <v>0</v>
      </c>
      <c r="AI186" s="66" t="str">
        <f t="shared" si="347"/>
        <v/>
      </c>
      <c r="AJ186" s="65" t="str">
        <f t="shared" si="348"/>
        <v/>
      </c>
      <c r="AK186" s="65" t="str">
        <f t="shared" si="349"/>
        <v/>
      </c>
      <c r="AL186" s="65" t="str">
        <f t="shared" si="350"/>
        <v/>
      </c>
      <c r="AM186" s="524" t="str">
        <f>IF('Marks Entry'!V186="","",IF('Marks Entry'!V186=1,'School Profile'!$I$9,IF('Marks Entry'!V186=2,'School Profile'!$I$10,IF('Marks Entry'!V186=3,'School Profile'!$I$11,IF('Marks Entry'!V186=4,'School Profile'!$I$12,IF('Marks Entry'!V186=5,'School Profile'!$I$13,IF('Marks Entry'!V186=6,'School Profile'!$I$14,"")))))))</f>
        <v/>
      </c>
      <c r="AN186" s="68" t="str">
        <f>IF('Marks Entry'!W186="","",'Marks Entry'!W186)</f>
        <v/>
      </c>
      <c r="AO186" s="68" t="str">
        <f>IF('Marks Entry'!X186="","",'Marks Entry'!X186)</f>
        <v/>
      </c>
      <c r="AP186" s="68" t="str">
        <f>IF('Marks Entry'!Y186="","",'Marks Entry'!Y186)</f>
        <v/>
      </c>
      <c r="AQ186" s="514" t="str">
        <f t="shared" si="351"/>
        <v/>
      </c>
      <c r="AR186" s="68" t="str">
        <f>IF('Marks Entry'!Z186="","",'Marks Entry'!Z186)</f>
        <v/>
      </c>
      <c r="AS186" s="515" t="str">
        <f t="shared" si="352"/>
        <v/>
      </c>
      <c r="AT186" s="68" t="str">
        <f>IF('Marks Entry'!AA186="","",'Marks Entry'!AA186)</f>
        <v/>
      </c>
      <c r="AU186" s="96" t="str">
        <f t="shared" si="353"/>
        <v/>
      </c>
      <c r="AV186" s="65">
        <f t="shared" si="354"/>
        <v>0</v>
      </c>
      <c r="AW186" s="65">
        <f t="shared" si="355"/>
        <v>0</v>
      </c>
      <c r="AX186" s="66" t="str">
        <f t="shared" si="356"/>
        <v/>
      </c>
      <c r="AY186" s="65" t="str">
        <f t="shared" si="357"/>
        <v/>
      </c>
      <c r="AZ186" s="65" t="str">
        <f t="shared" si="358"/>
        <v/>
      </c>
      <c r="BA186" s="65" t="str">
        <f t="shared" si="359"/>
        <v/>
      </c>
      <c r="BB186" s="68" t="str">
        <f>IF('Marks Entry'!AB186="","",'Marks Entry'!AB186)</f>
        <v/>
      </c>
      <c r="BC186" s="68" t="str">
        <f>IF('Marks Entry'!AC186="","",'Marks Entry'!AC186)</f>
        <v/>
      </c>
      <c r="BD186" s="68" t="str">
        <f>IF('Marks Entry'!AD186="","",'Marks Entry'!AD186)</f>
        <v/>
      </c>
      <c r="BE186" s="514" t="str">
        <f t="shared" si="360"/>
        <v/>
      </c>
      <c r="BF186" s="68" t="str">
        <f>IF('Marks Entry'!AE186="","",'Marks Entry'!AE186)</f>
        <v/>
      </c>
      <c r="BG186" s="515" t="str">
        <f t="shared" si="361"/>
        <v/>
      </c>
      <c r="BH186" s="68" t="str">
        <f>IF('Marks Entry'!AF186="","",'Marks Entry'!AF186)</f>
        <v/>
      </c>
      <c r="BI186" s="96" t="str">
        <f t="shared" si="362"/>
        <v/>
      </c>
      <c r="BJ186" s="65">
        <f t="shared" si="363"/>
        <v>0</v>
      </c>
      <c r="BK186" s="65">
        <f t="shared" si="431"/>
        <v>0</v>
      </c>
      <c r="BL186" s="66" t="str">
        <f t="shared" si="364"/>
        <v/>
      </c>
      <c r="BM186" s="65" t="str">
        <f t="shared" si="365"/>
        <v/>
      </c>
      <c r="BN186" s="65" t="str">
        <f t="shared" si="366"/>
        <v/>
      </c>
      <c r="BO186" s="65" t="str">
        <f t="shared" si="367"/>
        <v/>
      </c>
      <c r="BP186" s="68" t="str">
        <f>IF('Marks Entry'!AG186="","",'Marks Entry'!AG186)</f>
        <v/>
      </c>
      <c r="BQ186" s="68" t="str">
        <f>IF('Marks Entry'!AH186="","",'Marks Entry'!AH186)</f>
        <v/>
      </c>
      <c r="BR186" s="68" t="str">
        <f>IF('Marks Entry'!AI186="","",'Marks Entry'!AI186)</f>
        <v/>
      </c>
      <c r="BS186" s="514" t="str">
        <f t="shared" si="368"/>
        <v/>
      </c>
      <c r="BT186" s="68" t="str">
        <f>IF('Marks Entry'!AJ186="","",'Marks Entry'!AJ186)</f>
        <v/>
      </c>
      <c r="BU186" s="515" t="str">
        <f t="shared" si="369"/>
        <v/>
      </c>
      <c r="BV186" s="68" t="str">
        <f>IF('Marks Entry'!AK186="","",'Marks Entry'!AK186)</f>
        <v/>
      </c>
      <c r="BW186" s="96" t="str">
        <f t="shared" si="370"/>
        <v/>
      </c>
      <c r="BX186" s="65">
        <f t="shared" si="371"/>
        <v>0</v>
      </c>
      <c r="BY186" s="65">
        <f t="shared" si="372"/>
        <v>0</v>
      </c>
      <c r="BZ186" s="66" t="str">
        <f t="shared" si="373"/>
        <v/>
      </c>
      <c r="CA186" s="65" t="str">
        <f t="shared" si="374"/>
        <v/>
      </c>
      <c r="CB186" s="65" t="str">
        <f t="shared" si="375"/>
        <v/>
      </c>
      <c r="CC186" s="65" t="str">
        <f t="shared" si="376"/>
        <v/>
      </c>
      <c r="CD186" s="66">
        <f t="shared" si="497"/>
        <v>0</v>
      </c>
      <c r="CE186" s="68" t="str">
        <f>IF('Marks Entry'!AL186="","",'Marks Entry'!AL186)</f>
        <v/>
      </c>
      <c r="CF186" s="68" t="str">
        <f>IF('Marks Entry'!AM186="","",'Marks Entry'!AM186)</f>
        <v/>
      </c>
      <c r="CG186" s="68" t="str">
        <f>IF('Marks Entry'!AN186="","",'Marks Entry'!AN186)</f>
        <v/>
      </c>
      <c r="CH186" s="514" t="str">
        <f t="shared" si="378"/>
        <v/>
      </c>
      <c r="CI186" s="68" t="str">
        <f>IF('Marks Entry'!AO186="","",'Marks Entry'!AO186)</f>
        <v/>
      </c>
      <c r="CJ186" s="515" t="str">
        <f t="shared" si="379"/>
        <v/>
      </c>
      <c r="CK186" s="68" t="str">
        <f>IF('Marks Entry'!AP186="","",'Marks Entry'!AP186)</f>
        <v/>
      </c>
      <c r="CL186" s="96" t="str">
        <f t="shared" si="380"/>
        <v/>
      </c>
      <c r="CM186" s="65">
        <f t="shared" si="381"/>
        <v>0</v>
      </c>
      <c r="CN186" s="65">
        <f t="shared" si="382"/>
        <v>0</v>
      </c>
      <c r="CO186" s="66" t="str">
        <f t="shared" si="383"/>
        <v/>
      </c>
      <c r="CP186" s="65" t="str">
        <f t="shared" si="384"/>
        <v/>
      </c>
      <c r="CQ186" s="65" t="str">
        <f t="shared" si="385"/>
        <v/>
      </c>
      <c r="CR186" s="65" t="str">
        <f t="shared" si="386"/>
        <v/>
      </c>
      <c r="CS186" s="616" t="str">
        <f>IF('School Profile'!$D$20="NO","",IF('Marks Entry'!AQ186="","",IF('Marks Entry'!AQ186=1,'School Profile'!$I$29,IF('Marks Entry'!AQ186=2,'School Profile'!$I$30,IF('Marks Entry'!AQ186=3,'School Profile'!$I$31,IF('Marks Entry'!AQ186=4,'School Profile'!$I$32,IF('Marks Entry'!AQ186=5,'School Profile'!$I$33,IF('Marks Entry'!AQ186=6,'School Profile'!$I$34,IF('Marks Entry'!AQ186=7,'School Profile'!$I$35,IF('Marks Entry'!AQ186=8,'School Profile'!$I$36,IF('Marks Entry'!AQ186=9,'School Profile'!$I$37,IF('Marks Entry'!AQ186=10,'School Profile'!$I$38,IF('Marks Entry'!AQ186=11,'School Profile'!$I$39,"")))))))))))))</f>
        <v/>
      </c>
      <c r="CT186" s="68" t="str">
        <f>IF('School Profile'!$D$20="NO","",IF('Marks Entry'!AR186="","",'Marks Entry'!AR186))</f>
        <v/>
      </c>
      <c r="CU186" s="68" t="str">
        <f>IF('School Profile'!$D$20="NO","",IF('Marks Entry'!AS186="","",'Marks Entry'!AS186))</f>
        <v/>
      </c>
      <c r="CV186" s="68" t="str">
        <f>IF('School Profile'!$D$20="NO","",IF('Marks Entry'!AT186="","",'Marks Entry'!AT186))</f>
        <v/>
      </c>
      <c r="CW186" s="514" t="str">
        <f>IF('School Profile'!$D$20="NO","",IF(AND(CT186="",CU186="",CV186=""),"",SUM(CT186:CV186)))</f>
        <v/>
      </c>
      <c r="CX186" s="68" t="str">
        <f>IF('School Profile'!$D$20="NO","",IF('Marks Entry'!AU186="","",'Marks Entry'!AU186))</f>
        <v/>
      </c>
      <c r="CY186" s="68" t="str">
        <f>IF('School Profile'!$D$20="NO","",IF('Marks Entry'!AV186="","",'Marks Entry'!AV186))</f>
        <v/>
      </c>
      <c r="CZ186" s="515" t="str">
        <f>IF('School Profile'!$D$20="NO","",IF(AND(CX186="",CY186=""),"",SUM(CX186,CY186)))</f>
        <v/>
      </c>
      <c r="DA186" s="69" t="str">
        <f>IF('School Profile'!$D$20="NO","",IF(AND(CW186="",CZ186=""),"",SUM(CW186+CZ186)))</f>
        <v/>
      </c>
      <c r="DB186" s="68" t="str">
        <f>IF('School Profile'!$D$20="NO","",IF('Marks Entry'!AW186="","",'Marks Entry'!AW186))</f>
        <v/>
      </c>
      <c r="DC186" s="68" t="str">
        <f>IF('School Profile'!$D$20="NO","",IF('Marks Entry'!AX186="","",'Marks Entry'!AX186))</f>
        <v/>
      </c>
      <c r="DD186" s="515" t="str">
        <f>IF('School Profile'!$D$20="NO","",IF(AND(DB186="",DC186=""),"",SUM(DB186,DC186)))</f>
        <v/>
      </c>
      <c r="DE186" s="96" t="str">
        <f>IF('School Profile'!$D$20="NO","",IF(AND(DA186="",DD186=""),"",SUM(DA186,DD186)))</f>
        <v/>
      </c>
      <c r="DF186" s="532">
        <f t="shared" si="387"/>
        <v>0</v>
      </c>
      <c r="DG186" s="65">
        <f t="shared" si="388"/>
        <v>0</v>
      </c>
      <c r="DH186" s="66" t="str">
        <f t="shared" si="389"/>
        <v/>
      </c>
      <c r="DI186" s="65" t="str">
        <f t="shared" si="390"/>
        <v/>
      </c>
      <c r="DJ186" s="65" t="str">
        <f t="shared" si="391"/>
        <v/>
      </c>
      <c r="DK186" s="65" t="str">
        <f t="shared" si="392"/>
        <v/>
      </c>
      <c r="DL186" s="97" t="str">
        <f t="shared" si="432"/>
        <v/>
      </c>
      <c r="DM186" s="97" t="str">
        <f t="shared" si="433"/>
        <v/>
      </c>
      <c r="DN186" s="97" t="str">
        <f t="shared" si="434"/>
        <v/>
      </c>
      <c r="DO186" s="97" t="str">
        <f t="shared" si="435"/>
        <v/>
      </c>
      <c r="DP186" s="97" t="str">
        <f t="shared" si="436"/>
        <v/>
      </c>
      <c r="DQ186" s="97" t="str">
        <f t="shared" si="437"/>
        <v/>
      </c>
      <c r="DR186" s="97" t="str">
        <f t="shared" si="438"/>
        <v/>
      </c>
      <c r="DS186" s="98">
        <f t="shared" si="439"/>
        <v>0</v>
      </c>
      <c r="DT186" s="98">
        <f t="shared" si="440"/>
        <v>0</v>
      </c>
      <c r="DU186" s="98">
        <f t="shared" si="441"/>
        <v>0</v>
      </c>
      <c r="DV186" s="98">
        <f t="shared" si="442"/>
        <v>0</v>
      </c>
      <c r="DW186" s="98">
        <f t="shared" si="443"/>
        <v>0</v>
      </c>
      <c r="DX186" s="98" t="str">
        <f t="shared" si="444"/>
        <v/>
      </c>
      <c r="DY186" s="99" t="str">
        <f t="shared" si="445"/>
        <v/>
      </c>
      <c r="DZ186" s="74" t="str">
        <f>IF('Marks Entry'!AY186="","",'Marks Entry'!AY186)</f>
        <v/>
      </c>
      <c r="EA186" s="74" t="str">
        <f>IF('Marks Entry'!AZ186="","",'Marks Entry'!AZ186)</f>
        <v/>
      </c>
      <c r="EB186" s="74" t="str">
        <f>IF('Marks Entry'!BA186="","",'Marks Entry'!BA186)</f>
        <v/>
      </c>
      <c r="EC186" s="527" t="str">
        <f t="shared" si="393"/>
        <v/>
      </c>
      <c r="ED186" s="74" t="str">
        <f>IF('Marks Entry'!BB186="","",'Marks Entry'!BB186)</f>
        <v/>
      </c>
      <c r="EE186" s="528" t="str">
        <f t="shared" si="394"/>
        <v/>
      </c>
      <c r="EF186" s="74" t="str">
        <f>IF('Marks Entry'!BC186="","",'Marks Entry'!BC186)</f>
        <v/>
      </c>
      <c r="EG186" s="530" t="str">
        <f t="shared" si="395"/>
        <v/>
      </c>
      <c r="EH186" s="368" t="str">
        <f t="shared" si="446"/>
        <v/>
      </c>
      <c r="EI186" s="65">
        <f t="shared" si="447"/>
        <v>0</v>
      </c>
      <c r="EJ186" s="65">
        <f t="shared" si="448"/>
        <v>0</v>
      </c>
      <c r="EK186" s="66" t="str">
        <f t="shared" si="449"/>
        <v/>
      </c>
      <c r="EL186" s="74" t="str">
        <f>IF('Marks Entry'!BD186="","",'Marks Entry'!BD186)</f>
        <v/>
      </c>
      <c r="EM186" s="74" t="str">
        <f>IF('Marks Entry'!BE186="","",'Marks Entry'!BE186)</f>
        <v/>
      </c>
      <c r="EN186" s="74" t="str">
        <f>IF('Marks Entry'!BF186="","",'Marks Entry'!BF186)</f>
        <v/>
      </c>
      <c r="EO186" s="527" t="str">
        <f t="shared" si="396"/>
        <v/>
      </c>
      <c r="EP186" s="74" t="str">
        <f>IF('Marks Entry'!BG186="","",'Marks Entry'!BG186)</f>
        <v/>
      </c>
      <c r="EQ186" s="74" t="str">
        <f>IF('Marks Entry'!BH186="","",'Marks Entry'!BH186)</f>
        <v/>
      </c>
      <c r="ER186" s="528" t="str">
        <f t="shared" si="397"/>
        <v/>
      </c>
      <c r="ES186" s="529" t="str">
        <f t="shared" si="398"/>
        <v/>
      </c>
      <c r="ET186" s="74" t="str">
        <f>IF('Marks Entry'!BI186="","",'Marks Entry'!BI186)</f>
        <v/>
      </c>
      <c r="EU186" s="74" t="str">
        <f>IF('Marks Entry'!BJ186="","",'Marks Entry'!BJ186)</f>
        <v/>
      </c>
      <c r="EV186" s="528" t="str">
        <f t="shared" si="399"/>
        <v/>
      </c>
      <c r="EW186" s="530" t="str">
        <f t="shared" si="400"/>
        <v/>
      </c>
      <c r="EX186" s="368" t="str">
        <f t="shared" si="450"/>
        <v/>
      </c>
      <c r="EY186" s="65">
        <f t="shared" si="451"/>
        <v>0</v>
      </c>
      <c r="EZ186" s="65">
        <f t="shared" si="452"/>
        <v>0</v>
      </c>
      <c r="FA186" s="66" t="str">
        <f t="shared" si="453"/>
        <v/>
      </c>
      <c r="FB186" s="74" t="str">
        <f>IF('Marks Entry'!BK186="","",'Marks Entry'!BK186)</f>
        <v/>
      </c>
      <c r="FC186" s="74" t="str">
        <f>IF('Marks Entry'!BL186="","",'Marks Entry'!BL186)</f>
        <v/>
      </c>
      <c r="FD186" s="74" t="str">
        <f>IF('Marks Entry'!BM186="","",'Marks Entry'!BM186)</f>
        <v/>
      </c>
      <c r="FE186" s="74" t="str">
        <f>IF('Marks Entry'!BN186="","",'Marks Entry'!BN186)</f>
        <v/>
      </c>
      <c r="FF186" s="74" t="str">
        <f>IF('Marks Entry'!BO186="","",'Marks Entry'!BO186)</f>
        <v/>
      </c>
      <c r="FG186" s="74" t="str">
        <f>IF('Marks Entry'!BP186="","",'Marks Entry'!BP186)</f>
        <v/>
      </c>
      <c r="FH186" s="527" t="str">
        <f t="shared" si="401"/>
        <v/>
      </c>
      <c r="FI186" s="74" t="str">
        <f>IF('Marks Entry'!BQ186="","",'Marks Entry'!BQ186)</f>
        <v/>
      </c>
      <c r="FJ186" s="74" t="str">
        <f>IF('Marks Entry'!BR186="","",'Marks Entry'!BR186)</f>
        <v/>
      </c>
      <c r="FK186" s="528" t="str">
        <f t="shared" si="402"/>
        <v/>
      </c>
      <c r="FL186" s="529" t="str">
        <f t="shared" si="403"/>
        <v/>
      </c>
      <c r="FM186" s="74" t="str">
        <f>IF('Marks Entry'!BS186="","",'Marks Entry'!BS186)</f>
        <v/>
      </c>
      <c r="FN186" s="74" t="str">
        <f>IF('Marks Entry'!BT186="","",'Marks Entry'!BT186)</f>
        <v/>
      </c>
      <c r="FO186" s="528" t="str">
        <f t="shared" si="404"/>
        <v/>
      </c>
      <c r="FP186" s="530" t="str">
        <f t="shared" si="405"/>
        <v/>
      </c>
      <c r="FQ186" s="368" t="str">
        <f t="shared" si="454"/>
        <v/>
      </c>
      <c r="FR186" s="65">
        <f t="shared" si="455"/>
        <v>0</v>
      </c>
      <c r="FS186" s="65">
        <f t="shared" si="456"/>
        <v>0</v>
      </c>
      <c r="FT186" s="66" t="str">
        <f t="shared" si="457"/>
        <v/>
      </c>
      <c r="FU186" s="74" t="str">
        <f>IF('Marks Entry'!BU186="","",'Marks Entry'!BU186)</f>
        <v/>
      </c>
      <c r="FV186" s="74" t="str">
        <f>IF('Marks Entry'!BV186="","",'Marks Entry'!BV186)</f>
        <v/>
      </c>
      <c r="FW186" s="74" t="str">
        <f>IF('Marks Entry'!BW186="","",'Marks Entry'!BW186)</f>
        <v/>
      </c>
      <c r="FX186" s="75" t="str">
        <f t="shared" si="406"/>
        <v/>
      </c>
      <c r="FY186" s="368" t="str">
        <f t="shared" si="458"/>
        <v/>
      </c>
      <c r="FZ186" s="65">
        <f t="shared" si="459"/>
        <v>0</v>
      </c>
      <c r="GA186" s="66">
        <f t="shared" si="460"/>
        <v>0</v>
      </c>
      <c r="GB186" s="66" t="str">
        <f t="shared" si="461"/>
        <v/>
      </c>
      <c r="GC186" s="74" t="str">
        <f>IF('Marks Entry'!BX186="","",'Marks Entry'!BX186)</f>
        <v/>
      </c>
      <c r="GD186" s="74" t="str">
        <f>IF('Marks Entry'!BY186="","",'Marks Entry'!BY186)</f>
        <v/>
      </c>
      <c r="GE186" s="74" t="str">
        <f>IF('Marks Entry'!BZ186="","",'Marks Entry'!BZ186)</f>
        <v/>
      </c>
      <c r="GF186" s="75" t="str">
        <f t="shared" si="462"/>
        <v/>
      </c>
      <c r="GG186" s="368" t="str">
        <f t="shared" si="463"/>
        <v/>
      </c>
      <c r="GH186" s="65">
        <f t="shared" si="464"/>
        <v>0</v>
      </c>
      <c r="GI186" s="66">
        <f t="shared" si="465"/>
        <v>0</v>
      </c>
      <c r="GJ186" s="66" t="str">
        <f t="shared" si="466"/>
        <v/>
      </c>
      <c r="GK186" s="100" t="str">
        <f>IF(AND(F186="",B186=""),"",IF('Student DATA Entry'!M183="","",'Student DATA Entry'!M183))</f>
        <v/>
      </c>
      <c r="GL186" s="101" t="str">
        <f>IF(AND(B186="",F186=""),"",IF('Student DATA Entry'!N183="","",'Student DATA Entry'!N183))</f>
        <v/>
      </c>
      <c r="GM186" s="581" t="str">
        <f t="shared" si="467"/>
        <v/>
      </c>
      <c r="GN186" s="94" t="str">
        <f t="shared" si="468"/>
        <v/>
      </c>
      <c r="GO186" s="94" t="str">
        <f t="shared" si="469"/>
        <v/>
      </c>
      <c r="GP186" s="102" t="str">
        <f t="shared" si="498"/>
        <v/>
      </c>
      <c r="GQ186" s="94" t="str">
        <f t="shared" si="470"/>
        <v/>
      </c>
      <c r="GR186" s="103" t="str">
        <f t="shared" si="471"/>
        <v/>
      </c>
      <c r="GS186" s="102" t="str">
        <f t="shared" si="499"/>
        <v/>
      </c>
      <c r="GT186" s="104" t="str">
        <f t="shared" si="472"/>
        <v/>
      </c>
      <c r="GU186" s="94" t="str">
        <f>IF('Marks Entry'!V186=1,GT186,"")</f>
        <v/>
      </c>
      <c r="GV186" s="94" t="str">
        <f>IF('Marks Entry'!V186=2,GT186,"")</f>
        <v/>
      </c>
      <c r="GW186" s="94" t="str">
        <f>IF('Marks Entry'!V186=3,GT186,"")</f>
        <v/>
      </c>
      <c r="GX186" s="94" t="str">
        <f>IF('Marks Entry'!V186=4,GT186,"")</f>
        <v/>
      </c>
      <c r="GY186" s="94" t="str">
        <f>IF('Marks Entry'!V186=5,GT186,"")</f>
        <v/>
      </c>
      <c r="GZ186" s="94" t="str">
        <f t="shared" si="473"/>
        <v/>
      </c>
      <c r="HA186" s="105" t="str">
        <f t="shared" si="500"/>
        <v/>
      </c>
      <c r="HB186" s="94" t="str">
        <f t="shared" si="474"/>
        <v/>
      </c>
      <c r="HC186" s="94" t="str">
        <f t="shared" si="475"/>
        <v/>
      </c>
      <c r="HD186" s="105" t="str">
        <f t="shared" si="501"/>
        <v/>
      </c>
      <c r="HE186" s="94" t="str">
        <f t="shared" si="476"/>
        <v/>
      </c>
      <c r="HF186" s="94" t="str">
        <f t="shared" si="477"/>
        <v/>
      </c>
      <c r="HG186" s="105" t="str">
        <f t="shared" si="502"/>
        <v/>
      </c>
      <c r="HH186" s="94" t="str">
        <f t="shared" si="478"/>
        <v/>
      </c>
      <c r="HI186" s="94" t="str">
        <f t="shared" si="479"/>
        <v/>
      </c>
      <c r="HJ186" s="105" t="str">
        <f t="shared" si="503"/>
        <v/>
      </c>
      <c r="HK186" s="94" t="str">
        <f t="shared" si="480"/>
        <v/>
      </c>
      <c r="HL186" s="94" t="str">
        <f t="shared" si="481"/>
        <v/>
      </c>
      <c r="HM186" s="105" t="str">
        <f t="shared" si="504"/>
        <v/>
      </c>
      <c r="HN186" s="367" t="str">
        <f t="shared" si="482"/>
        <v xml:space="preserve">      </v>
      </c>
      <c r="HO186" s="418" t="str">
        <f t="shared" si="505"/>
        <v xml:space="preserve">      </v>
      </c>
      <c r="HP186" s="367" t="str">
        <f t="shared" si="483"/>
        <v xml:space="preserve">      </v>
      </c>
      <c r="HQ186" s="107" t="str">
        <f t="shared" si="484"/>
        <v xml:space="preserve">      </v>
      </c>
      <c r="HR186" s="366" t="str">
        <f t="shared" si="485"/>
        <v xml:space="preserve">      </v>
      </c>
      <c r="HS186" s="544" t="str">
        <f t="shared" si="506"/>
        <v/>
      </c>
      <c r="HT186" s="542" t="str">
        <f t="shared" si="486"/>
        <v/>
      </c>
      <c r="HU186" s="541" t="str">
        <f t="shared" si="487"/>
        <v/>
      </c>
      <c r="HV186" s="540" t="str">
        <f t="shared" si="488"/>
        <v/>
      </c>
      <c r="HW186" s="537" t="str">
        <f t="shared" si="489"/>
        <v/>
      </c>
      <c r="HX186" s="539" t="str">
        <f t="shared" si="490"/>
        <v/>
      </c>
      <c r="HY186" s="553" t="str">
        <f>IFERROR(IF(OR(HS186="SUPPLEMENTARY",HS186="RE-EXAM"),'Supp. Result Entry'!AQ184,""),"")</f>
        <v/>
      </c>
      <c r="HZ186" s="538" t="str">
        <f t="shared" si="491"/>
        <v/>
      </c>
      <c r="IA186" s="415" t="str">
        <f t="shared" si="492"/>
        <v/>
      </c>
      <c r="IB186" s="415" t="str">
        <f>IF(AND(HZ186="",IA186=""),"",IF(OR(HS186="SUPPLEMENTARY",HS186="RE-EXAM"),'Supp. Result Entry'!AQ184,HS186))</f>
        <v/>
      </c>
      <c r="IC186" s="87"/>
      <c r="IS186" s="109" t="str">
        <f>IF('Supp. Result Entry'!T184="","",'Supp. Result Entry'!$T$4)</f>
        <v/>
      </c>
      <c r="IT186" s="110" t="str">
        <f>IF('Supp. Result Entry'!W184="","",'Supp. Result Entry'!$W$4)</f>
        <v/>
      </c>
      <c r="IU186" s="110" t="str">
        <f>IF('Supp. Result Entry'!Z184="","",'Supp. Result Entry'!$Z$4)</f>
        <v/>
      </c>
      <c r="IV186" s="110" t="str">
        <f>IF('Supp. Result Entry'!AC184="","",'Supp. Result Entry'!$AC$4)</f>
        <v/>
      </c>
      <c r="IW186" s="110" t="str">
        <f>IF('Supp. Result Entry'!AF184="","",'Supp. Result Entry'!$AF$4)</f>
        <v/>
      </c>
      <c r="IX186" s="110" t="str">
        <f>IF('Supp. Result Entry'!AI184="","",'Supp. Result Entry'!$AI$4)</f>
        <v/>
      </c>
      <c r="IY186" s="110" t="str">
        <f>IF('Supp. Result Entry'!AI184="","",'Supp. Result Entry'!$AL$4)</f>
        <v/>
      </c>
      <c r="IZ186" s="110" t="str">
        <f>IF('Supp. Result Entry'!U184="","",'Supp. Result Entry'!U184)</f>
        <v/>
      </c>
      <c r="JA186" s="110" t="str">
        <f>IF('Supp. Result Entry'!X184="","",'Supp. Result Entry'!X184)</f>
        <v/>
      </c>
      <c r="JB186" s="110" t="str">
        <f>IF('Supp. Result Entry'!AA184="","",'Supp. Result Entry'!AA184)</f>
        <v/>
      </c>
      <c r="JC186" s="110" t="str">
        <f>IF('Supp. Result Entry'!AD184="","",'Supp. Result Entry'!AD184)</f>
        <v/>
      </c>
      <c r="JD186" s="110" t="str">
        <f>IF('Supp. Result Entry'!AG184="","",'Supp. Result Entry'!AG184)</f>
        <v/>
      </c>
      <c r="JE186" s="110" t="str">
        <f>IF('Supp. Result Entry'!AJ184="","",'Supp. Result Entry'!AJ184)</f>
        <v/>
      </c>
      <c r="JF186" s="110" t="str">
        <f>IF('Supp. Result Entry'!AM184="","",'Supp. Result Entry'!AM184)</f>
        <v/>
      </c>
      <c r="JG186" s="110" t="str">
        <f>IF('Supp. Result Entry'!V184="","",'Supp. Result Entry'!V184)</f>
        <v/>
      </c>
      <c r="JH186" s="110" t="str">
        <f>IF('Supp. Result Entry'!Y184="","",'Supp. Result Entry'!Y184)</f>
        <v/>
      </c>
      <c r="JI186" s="110" t="str">
        <f>IF('Supp. Result Entry'!AB184="","",'Supp. Result Entry'!AB184)</f>
        <v/>
      </c>
      <c r="JJ186" s="110" t="str">
        <f>IF('Supp. Result Entry'!AE184="","",'Supp. Result Entry'!AE184)</f>
        <v/>
      </c>
      <c r="JK186" s="110" t="str">
        <f>IF('Supp. Result Entry'!AH184="","",'Supp. Result Entry'!AH184)</f>
        <v/>
      </c>
      <c r="JL186" s="110" t="str">
        <f>IF('Supp. Result Entry'!AK184="","",'Supp. Result Entry'!AK184)</f>
        <v/>
      </c>
      <c r="JM186" s="110" t="str">
        <f>IF('Supp. Result Entry'!AN184="","",'Supp. Result Entry'!AN184)</f>
        <v/>
      </c>
      <c r="JN186" s="110">
        <f>COUNTIF('Supp. Result Entry'!K184:Q184,"S")</f>
        <v>0</v>
      </c>
      <c r="JO186" s="110">
        <f t="shared" si="416"/>
        <v>0</v>
      </c>
      <c r="JP186" s="110">
        <f t="shared" si="493"/>
        <v>0</v>
      </c>
      <c r="JQ186" s="110" t="str">
        <f t="shared" si="417"/>
        <v/>
      </c>
      <c r="JR186" s="110" t="str">
        <f t="shared" si="418"/>
        <v/>
      </c>
      <c r="JS186" s="110" t="str">
        <f t="shared" si="419"/>
        <v/>
      </c>
      <c r="JT186" s="110" t="str">
        <f t="shared" si="420"/>
        <v/>
      </c>
      <c r="JU186" s="110" t="str">
        <f t="shared" si="421"/>
        <v/>
      </c>
      <c r="JV186" s="110" t="str">
        <f t="shared" si="422"/>
        <v/>
      </c>
      <c r="JW186" s="110" t="str">
        <f t="shared" si="423"/>
        <v/>
      </c>
      <c r="JX186" s="110" t="str">
        <f t="shared" si="494"/>
        <v/>
      </c>
      <c r="JY186" s="110" t="str">
        <f t="shared" si="495"/>
        <v/>
      </c>
      <c r="JZ186" s="110" t="str">
        <f t="shared" si="424"/>
        <v/>
      </c>
      <c r="KA186" s="108" t="str">
        <f t="shared" si="496"/>
        <v/>
      </c>
    </row>
    <row r="187" spans="1:287" s="108" customFormat="1" ht="21.95" customHeight="1">
      <c r="A187" s="89">
        <v>181</v>
      </c>
      <c r="B187" s="90" t="str">
        <f>IF('Marks Entry'!B187="","",'Marks Entry'!B187)</f>
        <v/>
      </c>
      <c r="C187" s="94" t="str">
        <f>IF('Marks Entry'!D187="","",'Marks Entry'!D187)</f>
        <v/>
      </c>
      <c r="D187" s="91" t="str">
        <f>IF('Marks Entry'!E187="","",'Marks Entry'!E187)</f>
        <v/>
      </c>
      <c r="E187" s="92" t="str">
        <f>IF('Marks Entry'!F187="","",'Marks Entry'!F187)</f>
        <v/>
      </c>
      <c r="F187" s="93" t="str">
        <f>IF('Marks Entry'!G187="","",'Marks Entry'!G187)</f>
        <v/>
      </c>
      <c r="G187" s="93" t="str">
        <f>IF('Marks Entry'!H187="","",'Marks Entry'!H187)</f>
        <v/>
      </c>
      <c r="H187" s="93" t="str">
        <f>IF('Marks Entry'!I187="","",'Marks Entry'!I187)</f>
        <v/>
      </c>
      <c r="I187" s="94" t="str">
        <f>IF('Marks Entry'!J187="","",'Marks Entry'!J187)</f>
        <v/>
      </c>
      <c r="J187" s="95" t="str">
        <f>IF('Marks Entry'!K187="","",'Marks Entry'!K187)</f>
        <v/>
      </c>
      <c r="K187" s="68" t="str">
        <f>IF('Marks Entry'!L187="","",'Marks Entry'!L187)</f>
        <v/>
      </c>
      <c r="L187" s="68" t="str">
        <f>IF('Marks Entry'!M187="","",'Marks Entry'!M187)</f>
        <v/>
      </c>
      <c r="M187" s="68" t="str">
        <f>IF('Marks Entry'!N187="","",'Marks Entry'!N187)</f>
        <v/>
      </c>
      <c r="N187" s="514" t="str">
        <f t="shared" si="425"/>
        <v/>
      </c>
      <c r="O187" s="68" t="str">
        <f>IF('Marks Entry'!O187="","",'Marks Entry'!O187)</f>
        <v/>
      </c>
      <c r="P187" s="515" t="str">
        <f t="shared" si="426"/>
        <v/>
      </c>
      <c r="Q187" s="68" t="str">
        <f>IF('Marks Entry'!P187="","",'Marks Entry'!P187)</f>
        <v/>
      </c>
      <c r="R187" s="96" t="str">
        <f t="shared" si="427"/>
        <v/>
      </c>
      <c r="S187" s="65">
        <f t="shared" si="428"/>
        <v>0</v>
      </c>
      <c r="T187" s="65">
        <f t="shared" si="429"/>
        <v>0</v>
      </c>
      <c r="U187" s="66" t="str">
        <f t="shared" si="339"/>
        <v/>
      </c>
      <c r="V187" s="65" t="str">
        <f t="shared" si="340"/>
        <v/>
      </c>
      <c r="W187" s="65" t="str">
        <f t="shared" si="430"/>
        <v/>
      </c>
      <c r="X187" s="65" t="str">
        <f t="shared" si="341"/>
        <v/>
      </c>
      <c r="Y187" s="68" t="str">
        <f>IF('Marks Entry'!Q187="","",'Marks Entry'!Q187)</f>
        <v/>
      </c>
      <c r="Z187" s="68" t="str">
        <f>IF('Marks Entry'!R187="","",'Marks Entry'!R187)</f>
        <v/>
      </c>
      <c r="AA187" s="68" t="str">
        <f>IF('Marks Entry'!S187="","",'Marks Entry'!S187)</f>
        <v/>
      </c>
      <c r="AB187" s="514" t="str">
        <f t="shared" si="342"/>
        <v/>
      </c>
      <c r="AC187" s="68" t="str">
        <f>IF('Marks Entry'!T187="","",'Marks Entry'!T187)</f>
        <v/>
      </c>
      <c r="AD187" s="515" t="str">
        <f t="shared" si="343"/>
        <v/>
      </c>
      <c r="AE187" s="68" t="str">
        <f>IF('Marks Entry'!U187="","",'Marks Entry'!U187)</f>
        <v/>
      </c>
      <c r="AF187" s="96" t="str">
        <f t="shared" si="344"/>
        <v/>
      </c>
      <c r="AG187" s="65">
        <f t="shared" si="345"/>
        <v>0</v>
      </c>
      <c r="AH187" s="65">
        <f t="shared" si="346"/>
        <v>0</v>
      </c>
      <c r="AI187" s="66" t="str">
        <f t="shared" si="347"/>
        <v/>
      </c>
      <c r="AJ187" s="65" t="str">
        <f t="shared" si="348"/>
        <v/>
      </c>
      <c r="AK187" s="65" t="str">
        <f t="shared" si="349"/>
        <v/>
      </c>
      <c r="AL187" s="65" t="str">
        <f t="shared" si="350"/>
        <v/>
      </c>
      <c r="AM187" s="524" t="str">
        <f>IF('Marks Entry'!V187="","",IF('Marks Entry'!V187=1,'School Profile'!$I$9,IF('Marks Entry'!V187=2,'School Profile'!$I$10,IF('Marks Entry'!V187=3,'School Profile'!$I$11,IF('Marks Entry'!V187=4,'School Profile'!$I$12,IF('Marks Entry'!V187=5,'School Profile'!$I$13,IF('Marks Entry'!V187=6,'School Profile'!$I$14,"")))))))</f>
        <v/>
      </c>
      <c r="AN187" s="68" t="str">
        <f>IF('Marks Entry'!W187="","",'Marks Entry'!W187)</f>
        <v/>
      </c>
      <c r="AO187" s="68" t="str">
        <f>IF('Marks Entry'!X187="","",'Marks Entry'!X187)</f>
        <v/>
      </c>
      <c r="AP187" s="68" t="str">
        <f>IF('Marks Entry'!Y187="","",'Marks Entry'!Y187)</f>
        <v/>
      </c>
      <c r="AQ187" s="514" t="str">
        <f t="shared" si="351"/>
        <v/>
      </c>
      <c r="AR187" s="68" t="str">
        <f>IF('Marks Entry'!Z187="","",'Marks Entry'!Z187)</f>
        <v/>
      </c>
      <c r="AS187" s="515" t="str">
        <f t="shared" si="352"/>
        <v/>
      </c>
      <c r="AT187" s="68" t="str">
        <f>IF('Marks Entry'!AA187="","",'Marks Entry'!AA187)</f>
        <v/>
      </c>
      <c r="AU187" s="96" t="str">
        <f t="shared" si="353"/>
        <v/>
      </c>
      <c r="AV187" s="65">
        <f t="shared" si="354"/>
        <v>0</v>
      </c>
      <c r="AW187" s="65">
        <f t="shared" si="355"/>
        <v>0</v>
      </c>
      <c r="AX187" s="66" t="str">
        <f t="shared" si="356"/>
        <v/>
      </c>
      <c r="AY187" s="65" t="str">
        <f t="shared" si="357"/>
        <v/>
      </c>
      <c r="AZ187" s="65" t="str">
        <f t="shared" si="358"/>
        <v/>
      </c>
      <c r="BA187" s="65" t="str">
        <f t="shared" si="359"/>
        <v/>
      </c>
      <c r="BB187" s="68" t="str">
        <f>IF('Marks Entry'!AB187="","",'Marks Entry'!AB187)</f>
        <v/>
      </c>
      <c r="BC187" s="68" t="str">
        <f>IF('Marks Entry'!AC187="","",'Marks Entry'!AC187)</f>
        <v/>
      </c>
      <c r="BD187" s="68" t="str">
        <f>IF('Marks Entry'!AD187="","",'Marks Entry'!AD187)</f>
        <v/>
      </c>
      <c r="BE187" s="514" t="str">
        <f t="shared" si="360"/>
        <v/>
      </c>
      <c r="BF187" s="68" t="str">
        <f>IF('Marks Entry'!AE187="","",'Marks Entry'!AE187)</f>
        <v/>
      </c>
      <c r="BG187" s="515" t="str">
        <f t="shared" si="361"/>
        <v/>
      </c>
      <c r="BH187" s="68" t="str">
        <f>IF('Marks Entry'!AF187="","",'Marks Entry'!AF187)</f>
        <v/>
      </c>
      <c r="BI187" s="96" t="str">
        <f t="shared" si="362"/>
        <v/>
      </c>
      <c r="BJ187" s="65">
        <f t="shared" si="363"/>
        <v>0</v>
      </c>
      <c r="BK187" s="65">
        <f t="shared" si="431"/>
        <v>0</v>
      </c>
      <c r="BL187" s="66" t="str">
        <f t="shared" si="364"/>
        <v/>
      </c>
      <c r="BM187" s="65" t="str">
        <f t="shared" si="365"/>
        <v/>
      </c>
      <c r="BN187" s="65" t="str">
        <f t="shared" si="366"/>
        <v/>
      </c>
      <c r="BO187" s="65" t="str">
        <f t="shared" si="367"/>
        <v/>
      </c>
      <c r="BP187" s="68" t="str">
        <f>IF('Marks Entry'!AG187="","",'Marks Entry'!AG187)</f>
        <v/>
      </c>
      <c r="BQ187" s="68" t="str">
        <f>IF('Marks Entry'!AH187="","",'Marks Entry'!AH187)</f>
        <v/>
      </c>
      <c r="BR187" s="68" t="str">
        <f>IF('Marks Entry'!AI187="","",'Marks Entry'!AI187)</f>
        <v/>
      </c>
      <c r="BS187" s="514" t="str">
        <f t="shared" si="368"/>
        <v/>
      </c>
      <c r="BT187" s="68" t="str">
        <f>IF('Marks Entry'!AJ187="","",'Marks Entry'!AJ187)</f>
        <v/>
      </c>
      <c r="BU187" s="515" t="str">
        <f t="shared" si="369"/>
        <v/>
      </c>
      <c r="BV187" s="68" t="str">
        <f>IF('Marks Entry'!AK187="","",'Marks Entry'!AK187)</f>
        <v/>
      </c>
      <c r="BW187" s="96" t="str">
        <f t="shared" si="370"/>
        <v/>
      </c>
      <c r="BX187" s="65">
        <f t="shared" si="371"/>
        <v>0</v>
      </c>
      <c r="BY187" s="65">
        <f t="shared" si="372"/>
        <v>0</v>
      </c>
      <c r="BZ187" s="66" t="str">
        <f t="shared" si="373"/>
        <v/>
      </c>
      <c r="CA187" s="65" t="str">
        <f t="shared" si="374"/>
        <v/>
      </c>
      <c r="CB187" s="65" t="str">
        <f t="shared" si="375"/>
        <v/>
      </c>
      <c r="CC187" s="65" t="str">
        <f t="shared" si="376"/>
        <v/>
      </c>
      <c r="CD187" s="66">
        <f t="shared" si="497"/>
        <v>0</v>
      </c>
      <c r="CE187" s="68" t="str">
        <f>IF('Marks Entry'!AL187="","",'Marks Entry'!AL187)</f>
        <v/>
      </c>
      <c r="CF187" s="68" t="str">
        <f>IF('Marks Entry'!AM187="","",'Marks Entry'!AM187)</f>
        <v/>
      </c>
      <c r="CG187" s="68" t="str">
        <f>IF('Marks Entry'!AN187="","",'Marks Entry'!AN187)</f>
        <v/>
      </c>
      <c r="CH187" s="514" t="str">
        <f t="shared" si="378"/>
        <v/>
      </c>
      <c r="CI187" s="68" t="str">
        <f>IF('Marks Entry'!AO187="","",'Marks Entry'!AO187)</f>
        <v/>
      </c>
      <c r="CJ187" s="515" t="str">
        <f t="shared" si="379"/>
        <v/>
      </c>
      <c r="CK187" s="68" t="str">
        <f>IF('Marks Entry'!AP187="","",'Marks Entry'!AP187)</f>
        <v/>
      </c>
      <c r="CL187" s="96" t="str">
        <f t="shared" si="380"/>
        <v/>
      </c>
      <c r="CM187" s="65">
        <f t="shared" si="381"/>
        <v>0</v>
      </c>
      <c r="CN187" s="65">
        <f t="shared" si="382"/>
        <v>0</v>
      </c>
      <c r="CO187" s="66" t="str">
        <f t="shared" si="383"/>
        <v/>
      </c>
      <c r="CP187" s="65" t="str">
        <f t="shared" si="384"/>
        <v/>
      </c>
      <c r="CQ187" s="65" t="str">
        <f t="shared" si="385"/>
        <v/>
      </c>
      <c r="CR187" s="65" t="str">
        <f t="shared" si="386"/>
        <v/>
      </c>
      <c r="CS187" s="616" t="str">
        <f>IF('School Profile'!$D$20="NO","",IF('Marks Entry'!AQ187="","",IF('Marks Entry'!AQ187=1,'School Profile'!$I$29,IF('Marks Entry'!AQ187=2,'School Profile'!$I$30,IF('Marks Entry'!AQ187=3,'School Profile'!$I$31,IF('Marks Entry'!AQ187=4,'School Profile'!$I$32,IF('Marks Entry'!AQ187=5,'School Profile'!$I$33,IF('Marks Entry'!AQ187=6,'School Profile'!$I$34,IF('Marks Entry'!AQ187=7,'School Profile'!$I$35,IF('Marks Entry'!AQ187=8,'School Profile'!$I$36,IF('Marks Entry'!AQ187=9,'School Profile'!$I$37,IF('Marks Entry'!AQ187=10,'School Profile'!$I$38,IF('Marks Entry'!AQ187=11,'School Profile'!$I$39,"")))))))))))))</f>
        <v/>
      </c>
      <c r="CT187" s="68" t="str">
        <f>IF('School Profile'!$D$20="NO","",IF('Marks Entry'!AR187="","",'Marks Entry'!AR187))</f>
        <v/>
      </c>
      <c r="CU187" s="68" t="str">
        <f>IF('School Profile'!$D$20="NO","",IF('Marks Entry'!AS187="","",'Marks Entry'!AS187))</f>
        <v/>
      </c>
      <c r="CV187" s="68" t="str">
        <f>IF('School Profile'!$D$20="NO","",IF('Marks Entry'!AT187="","",'Marks Entry'!AT187))</f>
        <v/>
      </c>
      <c r="CW187" s="514" t="str">
        <f>IF('School Profile'!$D$20="NO","",IF(AND(CT187="",CU187="",CV187=""),"",SUM(CT187:CV187)))</f>
        <v/>
      </c>
      <c r="CX187" s="68" t="str">
        <f>IF('School Profile'!$D$20="NO","",IF('Marks Entry'!AU187="","",'Marks Entry'!AU187))</f>
        <v/>
      </c>
      <c r="CY187" s="68" t="str">
        <f>IF('School Profile'!$D$20="NO","",IF('Marks Entry'!AV187="","",'Marks Entry'!AV187))</f>
        <v/>
      </c>
      <c r="CZ187" s="515" t="str">
        <f>IF('School Profile'!$D$20="NO","",IF(AND(CX187="",CY187=""),"",SUM(CX187,CY187)))</f>
        <v/>
      </c>
      <c r="DA187" s="69" t="str">
        <f>IF('School Profile'!$D$20="NO","",IF(AND(CW187="",CZ187=""),"",SUM(CW187+CZ187)))</f>
        <v/>
      </c>
      <c r="DB187" s="68" t="str">
        <f>IF('School Profile'!$D$20="NO","",IF('Marks Entry'!AW187="","",'Marks Entry'!AW187))</f>
        <v/>
      </c>
      <c r="DC187" s="68" t="str">
        <f>IF('School Profile'!$D$20="NO","",IF('Marks Entry'!AX187="","",'Marks Entry'!AX187))</f>
        <v/>
      </c>
      <c r="DD187" s="515" t="str">
        <f>IF('School Profile'!$D$20="NO","",IF(AND(DB187="",DC187=""),"",SUM(DB187,DC187)))</f>
        <v/>
      </c>
      <c r="DE187" s="96" t="str">
        <f>IF('School Profile'!$D$20="NO","",IF(AND(DA187="",DD187=""),"",SUM(DA187,DD187)))</f>
        <v/>
      </c>
      <c r="DF187" s="532">
        <f t="shared" si="387"/>
        <v>0</v>
      </c>
      <c r="DG187" s="65">
        <f t="shared" si="388"/>
        <v>0</v>
      </c>
      <c r="DH187" s="66" t="str">
        <f t="shared" si="389"/>
        <v/>
      </c>
      <c r="DI187" s="65" t="str">
        <f t="shared" si="390"/>
        <v/>
      </c>
      <c r="DJ187" s="65" t="str">
        <f t="shared" si="391"/>
        <v/>
      </c>
      <c r="DK187" s="65" t="str">
        <f t="shared" si="392"/>
        <v/>
      </c>
      <c r="DL187" s="97" t="str">
        <f t="shared" si="432"/>
        <v/>
      </c>
      <c r="DM187" s="97" t="str">
        <f t="shared" si="433"/>
        <v/>
      </c>
      <c r="DN187" s="97" t="str">
        <f t="shared" si="434"/>
        <v/>
      </c>
      <c r="DO187" s="97" t="str">
        <f t="shared" si="435"/>
        <v/>
      </c>
      <c r="DP187" s="97" t="str">
        <f t="shared" si="436"/>
        <v/>
      </c>
      <c r="DQ187" s="97" t="str">
        <f t="shared" si="437"/>
        <v/>
      </c>
      <c r="DR187" s="97" t="str">
        <f t="shared" si="438"/>
        <v/>
      </c>
      <c r="DS187" s="98">
        <f t="shared" si="439"/>
        <v>0</v>
      </c>
      <c r="DT187" s="98">
        <f t="shared" si="440"/>
        <v>0</v>
      </c>
      <c r="DU187" s="98">
        <f t="shared" si="441"/>
        <v>0</v>
      </c>
      <c r="DV187" s="98">
        <f t="shared" si="442"/>
        <v>0</v>
      </c>
      <c r="DW187" s="98">
        <f t="shared" si="443"/>
        <v>0</v>
      </c>
      <c r="DX187" s="98" t="str">
        <f t="shared" si="444"/>
        <v/>
      </c>
      <c r="DY187" s="99" t="str">
        <f t="shared" si="445"/>
        <v/>
      </c>
      <c r="DZ187" s="74" t="str">
        <f>IF('Marks Entry'!AY187="","",'Marks Entry'!AY187)</f>
        <v/>
      </c>
      <c r="EA187" s="74" t="str">
        <f>IF('Marks Entry'!AZ187="","",'Marks Entry'!AZ187)</f>
        <v/>
      </c>
      <c r="EB187" s="74" t="str">
        <f>IF('Marks Entry'!BA187="","",'Marks Entry'!BA187)</f>
        <v/>
      </c>
      <c r="EC187" s="527" t="str">
        <f t="shared" si="393"/>
        <v/>
      </c>
      <c r="ED187" s="74" t="str">
        <f>IF('Marks Entry'!BB187="","",'Marks Entry'!BB187)</f>
        <v/>
      </c>
      <c r="EE187" s="528" t="str">
        <f t="shared" si="394"/>
        <v/>
      </c>
      <c r="EF187" s="74" t="str">
        <f>IF('Marks Entry'!BC187="","",'Marks Entry'!BC187)</f>
        <v/>
      </c>
      <c r="EG187" s="530" t="str">
        <f t="shared" si="395"/>
        <v/>
      </c>
      <c r="EH187" s="368" t="str">
        <f t="shared" si="446"/>
        <v/>
      </c>
      <c r="EI187" s="65">
        <f t="shared" si="447"/>
        <v>0</v>
      </c>
      <c r="EJ187" s="65">
        <f t="shared" si="448"/>
        <v>0</v>
      </c>
      <c r="EK187" s="66" t="str">
        <f t="shared" si="449"/>
        <v/>
      </c>
      <c r="EL187" s="74" t="str">
        <f>IF('Marks Entry'!BD187="","",'Marks Entry'!BD187)</f>
        <v/>
      </c>
      <c r="EM187" s="74" t="str">
        <f>IF('Marks Entry'!BE187="","",'Marks Entry'!BE187)</f>
        <v/>
      </c>
      <c r="EN187" s="74" t="str">
        <f>IF('Marks Entry'!BF187="","",'Marks Entry'!BF187)</f>
        <v/>
      </c>
      <c r="EO187" s="527" t="str">
        <f t="shared" si="396"/>
        <v/>
      </c>
      <c r="EP187" s="74" t="str">
        <f>IF('Marks Entry'!BG187="","",'Marks Entry'!BG187)</f>
        <v/>
      </c>
      <c r="EQ187" s="74" t="str">
        <f>IF('Marks Entry'!BH187="","",'Marks Entry'!BH187)</f>
        <v/>
      </c>
      <c r="ER187" s="528" t="str">
        <f t="shared" si="397"/>
        <v/>
      </c>
      <c r="ES187" s="529" t="str">
        <f t="shared" si="398"/>
        <v/>
      </c>
      <c r="ET187" s="74" t="str">
        <f>IF('Marks Entry'!BI187="","",'Marks Entry'!BI187)</f>
        <v/>
      </c>
      <c r="EU187" s="74" t="str">
        <f>IF('Marks Entry'!BJ187="","",'Marks Entry'!BJ187)</f>
        <v/>
      </c>
      <c r="EV187" s="528" t="str">
        <f t="shared" si="399"/>
        <v/>
      </c>
      <c r="EW187" s="530" t="str">
        <f t="shared" si="400"/>
        <v/>
      </c>
      <c r="EX187" s="368" t="str">
        <f t="shared" si="450"/>
        <v/>
      </c>
      <c r="EY187" s="65">
        <f t="shared" si="451"/>
        <v>0</v>
      </c>
      <c r="EZ187" s="65">
        <f t="shared" si="452"/>
        <v>0</v>
      </c>
      <c r="FA187" s="66" t="str">
        <f t="shared" si="453"/>
        <v/>
      </c>
      <c r="FB187" s="74" t="str">
        <f>IF('Marks Entry'!BK187="","",'Marks Entry'!BK187)</f>
        <v/>
      </c>
      <c r="FC187" s="74" t="str">
        <f>IF('Marks Entry'!BL187="","",'Marks Entry'!BL187)</f>
        <v/>
      </c>
      <c r="FD187" s="74" t="str">
        <f>IF('Marks Entry'!BM187="","",'Marks Entry'!BM187)</f>
        <v/>
      </c>
      <c r="FE187" s="74" t="str">
        <f>IF('Marks Entry'!BN187="","",'Marks Entry'!BN187)</f>
        <v/>
      </c>
      <c r="FF187" s="74" t="str">
        <f>IF('Marks Entry'!BO187="","",'Marks Entry'!BO187)</f>
        <v/>
      </c>
      <c r="FG187" s="74" t="str">
        <f>IF('Marks Entry'!BP187="","",'Marks Entry'!BP187)</f>
        <v/>
      </c>
      <c r="FH187" s="527" t="str">
        <f t="shared" si="401"/>
        <v/>
      </c>
      <c r="FI187" s="74" t="str">
        <f>IF('Marks Entry'!BQ187="","",'Marks Entry'!BQ187)</f>
        <v/>
      </c>
      <c r="FJ187" s="74" t="str">
        <f>IF('Marks Entry'!BR187="","",'Marks Entry'!BR187)</f>
        <v/>
      </c>
      <c r="FK187" s="528" t="str">
        <f t="shared" si="402"/>
        <v/>
      </c>
      <c r="FL187" s="529" t="str">
        <f t="shared" si="403"/>
        <v/>
      </c>
      <c r="FM187" s="74" t="str">
        <f>IF('Marks Entry'!BS187="","",'Marks Entry'!BS187)</f>
        <v/>
      </c>
      <c r="FN187" s="74" t="str">
        <f>IF('Marks Entry'!BT187="","",'Marks Entry'!BT187)</f>
        <v/>
      </c>
      <c r="FO187" s="528" t="str">
        <f t="shared" si="404"/>
        <v/>
      </c>
      <c r="FP187" s="530" t="str">
        <f t="shared" si="405"/>
        <v/>
      </c>
      <c r="FQ187" s="368" t="str">
        <f t="shared" si="454"/>
        <v/>
      </c>
      <c r="FR187" s="65">
        <f t="shared" si="455"/>
        <v>0</v>
      </c>
      <c r="FS187" s="65">
        <f t="shared" si="456"/>
        <v>0</v>
      </c>
      <c r="FT187" s="66" t="str">
        <f t="shared" si="457"/>
        <v/>
      </c>
      <c r="FU187" s="74" t="str">
        <f>IF('Marks Entry'!BU187="","",'Marks Entry'!BU187)</f>
        <v/>
      </c>
      <c r="FV187" s="74" t="str">
        <f>IF('Marks Entry'!BV187="","",'Marks Entry'!BV187)</f>
        <v/>
      </c>
      <c r="FW187" s="74" t="str">
        <f>IF('Marks Entry'!BW187="","",'Marks Entry'!BW187)</f>
        <v/>
      </c>
      <c r="FX187" s="75" t="str">
        <f t="shared" si="406"/>
        <v/>
      </c>
      <c r="FY187" s="368" t="str">
        <f t="shared" si="458"/>
        <v/>
      </c>
      <c r="FZ187" s="65">
        <f t="shared" si="459"/>
        <v>0</v>
      </c>
      <c r="GA187" s="66">
        <f t="shared" si="460"/>
        <v>0</v>
      </c>
      <c r="GB187" s="66" t="str">
        <f t="shared" si="461"/>
        <v/>
      </c>
      <c r="GC187" s="74" t="str">
        <f>IF('Marks Entry'!BX187="","",'Marks Entry'!BX187)</f>
        <v/>
      </c>
      <c r="GD187" s="74" t="str">
        <f>IF('Marks Entry'!BY187="","",'Marks Entry'!BY187)</f>
        <v/>
      </c>
      <c r="GE187" s="74" t="str">
        <f>IF('Marks Entry'!BZ187="","",'Marks Entry'!BZ187)</f>
        <v/>
      </c>
      <c r="GF187" s="75" t="str">
        <f t="shared" si="462"/>
        <v/>
      </c>
      <c r="GG187" s="368" t="str">
        <f t="shared" si="463"/>
        <v/>
      </c>
      <c r="GH187" s="65">
        <f t="shared" si="464"/>
        <v>0</v>
      </c>
      <c r="GI187" s="66">
        <f t="shared" si="465"/>
        <v>0</v>
      </c>
      <c r="GJ187" s="66" t="str">
        <f t="shared" si="466"/>
        <v/>
      </c>
      <c r="GK187" s="100" t="str">
        <f>IF(AND(F187="",B187=""),"",IF('Student DATA Entry'!M184="","",'Student DATA Entry'!M184))</f>
        <v/>
      </c>
      <c r="GL187" s="101" t="str">
        <f>IF(AND(B187="",F187=""),"",IF('Student DATA Entry'!N184="","",'Student DATA Entry'!N184))</f>
        <v/>
      </c>
      <c r="GM187" s="581" t="str">
        <f t="shared" si="467"/>
        <v/>
      </c>
      <c r="GN187" s="94" t="str">
        <f t="shared" si="468"/>
        <v/>
      </c>
      <c r="GO187" s="94" t="str">
        <f t="shared" si="469"/>
        <v/>
      </c>
      <c r="GP187" s="102" t="str">
        <f t="shared" si="498"/>
        <v/>
      </c>
      <c r="GQ187" s="94" t="str">
        <f t="shared" si="470"/>
        <v/>
      </c>
      <c r="GR187" s="103" t="str">
        <f t="shared" si="471"/>
        <v/>
      </c>
      <c r="GS187" s="102" t="str">
        <f t="shared" si="499"/>
        <v/>
      </c>
      <c r="GT187" s="104" t="str">
        <f t="shared" si="472"/>
        <v/>
      </c>
      <c r="GU187" s="94" t="str">
        <f>IF('Marks Entry'!V187=1,GT187,"")</f>
        <v/>
      </c>
      <c r="GV187" s="94" t="str">
        <f>IF('Marks Entry'!V187=2,GT187,"")</f>
        <v/>
      </c>
      <c r="GW187" s="94" t="str">
        <f>IF('Marks Entry'!V187=3,GT187,"")</f>
        <v/>
      </c>
      <c r="GX187" s="94" t="str">
        <f>IF('Marks Entry'!V187=4,GT187,"")</f>
        <v/>
      </c>
      <c r="GY187" s="94" t="str">
        <f>IF('Marks Entry'!V187=5,GT187,"")</f>
        <v/>
      </c>
      <c r="GZ187" s="94" t="str">
        <f t="shared" si="473"/>
        <v/>
      </c>
      <c r="HA187" s="105" t="str">
        <f t="shared" si="500"/>
        <v/>
      </c>
      <c r="HB187" s="94" t="str">
        <f t="shared" si="474"/>
        <v/>
      </c>
      <c r="HC187" s="94" t="str">
        <f t="shared" si="475"/>
        <v/>
      </c>
      <c r="HD187" s="105" t="str">
        <f t="shared" si="501"/>
        <v/>
      </c>
      <c r="HE187" s="94" t="str">
        <f t="shared" si="476"/>
        <v/>
      </c>
      <c r="HF187" s="94" t="str">
        <f t="shared" si="477"/>
        <v/>
      </c>
      <c r="HG187" s="105" t="str">
        <f t="shared" si="502"/>
        <v/>
      </c>
      <c r="HH187" s="94" t="str">
        <f t="shared" si="478"/>
        <v/>
      </c>
      <c r="HI187" s="94" t="str">
        <f t="shared" si="479"/>
        <v/>
      </c>
      <c r="HJ187" s="105" t="str">
        <f t="shared" si="503"/>
        <v/>
      </c>
      <c r="HK187" s="94" t="str">
        <f t="shared" si="480"/>
        <v/>
      </c>
      <c r="HL187" s="94" t="str">
        <f t="shared" si="481"/>
        <v/>
      </c>
      <c r="HM187" s="105" t="str">
        <f t="shared" si="504"/>
        <v/>
      </c>
      <c r="HN187" s="367" t="str">
        <f t="shared" si="482"/>
        <v xml:space="preserve">      </v>
      </c>
      <c r="HO187" s="418" t="str">
        <f t="shared" si="505"/>
        <v xml:space="preserve">      </v>
      </c>
      <c r="HP187" s="367" t="str">
        <f t="shared" si="483"/>
        <v xml:space="preserve">      </v>
      </c>
      <c r="HQ187" s="107" t="str">
        <f t="shared" si="484"/>
        <v xml:space="preserve">      </v>
      </c>
      <c r="HR187" s="366" t="str">
        <f t="shared" si="485"/>
        <v xml:space="preserve">      </v>
      </c>
      <c r="HS187" s="544" t="str">
        <f t="shared" si="506"/>
        <v/>
      </c>
      <c r="HT187" s="542" t="str">
        <f t="shared" si="486"/>
        <v/>
      </c>
      <c r="HU187" s="541" t="str">
        <f t="shared" si="487"/>
        <v/>
      </c>
      <c r="HV187" s="540" t="str">
        <f t="shared" si="488"/>
        <v/>
      </c>
      <c r="HW187" s="537" t="str">
        <f t="shared" si="489"/>
        <v/>
      </c>
      <c r="HX187" s="539" t="str">
        <f t="shared" si="490"/>
        <v/>
      </c>
      <c r="HY187" s="553" t="str">
        <f>IFERROR(IF(OR(HS187="SUPPLEMENTARY",HS187="RE-EXAM"),'Supp. Result Entry'!AQ185,""),"")</f>
        <v/>
      </c>
      <c r="HZ187" s="538" t="str">
        <f t="shared" si="491"/>
        <v/>
      </c>
      <c r="IA187" s="415" t="str">
        <f t="shared" si="492"/>
        <v/>
      </c>
      <c r="IB187" s="415" t="str">
        <f>IF(AND(HZ187="",IA187=""),"",IF(OR(HS187="SUPPLEMENTARY",HS187="RE-EXAM"),'Supp. Result Entry'!AQ185,HS187))</f>
        <v/>
      </c>
      <c r="IC187" s="87"/>
      <c r="IS187" s="109" t="str">
        <f>IF('Supp. Result Entry'!T185="","",'Supp. Result Entry'!$T$4)</f>
        <v/>
      </c>
      <c r="IT187" s="110" t="str">
        <f>IF('Supp. Result Entry'!W185="","",'Supp. Result Entry'!$W$4)</f>
        <v/>
      </c>
      <c r="IU187" s="110" t="str">
        <f>IF('Supp. Result Entry'!Z185="","",'Supp. Result Entry'!$Z$4)</f>
        <v/>
      </c>
      <c r="IV187" s="110" t="str">
        <f>IF('Supp. Result Entry'!AC185="","",'Supp. Result Entry'!$AC$4)</f>
        <v/>
      </c>
      <c r="IW187" s="110" t="str">
        <f>IF('Supp. Result Entry'!AF185="","",'Supp. Result Entry'!$AF$4)</f>
        <v/>
      </c>
      <c r="IX187" s="110" t="str">
        <f>IF('Supp. Result Entry'!AI185="","",'Supp. Result Entry'!$AI$4)</f>
        <v/>
      </c>
      <c r="IY187" s="110" t="str">
        <f>IF('Supp. Result Entry'!AI185="","",'Supp. Result Entry'!$AL$4)</f>
        <v/>
      </c>
      <c r="IZ187" s="110" t="str">
        <f>IF('Supp. Result Entry'!U185="","",'Supp. Result Entry'!U185)</f>
        <v/>
      </c>
      <c r="JA187" s="110" t="str">
        <f>IF('Supp. Result Entry'!X185="","",'Supp. Result Entry'!X185)</f>
        <v/>
      </c>
      <c r="JB187" s="110" t="str">
        <f>IF('Supp. Result Entry'!AA185="","",'Supp. Result Entry'!AA185)</f>
        <v/>
      </c>
      <c r="JC187" s="110" t="str">
        <f>IF('Supp. Result Entry'!AD185="","",'Supp. Result Entry'!AD185)</f>
        <v/>
      </c>
      <c r="JD187" s="110" t="str">
        <f>IF('Supp. Result Entry'!AG185="","",'Supp. Result Entry'!AG185)</f>
        <v/>
      </c>
      <c r="JE187" s="110" t="str">
        <f>IF('Supp. Result Entry'!AJ185="","",'Supp. Result Entry'!AJ185)</f>
        <v/>
      </c>
      <c r="JF187" s="110" t="str">
        <f>IF('Supp. Result Entry'!AM185="","",'Supp. Result Entry'!AM185)</f>
        <v/>
      </c>
      <c r="JG187" s="110" t="str">
        <f>IF('Supp. Result Entry'!V185="","",'Supp. Result Entry'!V185)</f>
        <v/>
      </c>
      <c r="JH187" s="110" t="str">
        <f>IF('Supp. Result Entry'!Y185="","",'Supp. Result Entry'!Y185)</f>
        <v/>
      </c>
      <c r="JI187" s="110" t="str">
        <f>IF('Supp. Result Entry'!AB185="","",'Supp. Result Entry'!AB185)</f>
        <v/>
      </c>
      <c r="JJ187" s="110" t="str">
        <f>IF('Supp. Result Entry'!AE185="","",'Supp. Result Entry'!AE185)</f>
        <v/>
      </c>
      <c r="JK187" s="110" t="str">
        <f>IF('Supp. Result Entry'!AH185="","",'Supp. Result Entry'!AH185)</f>
        <v/>
      </c>
      <c r="JL187" s="110" t="str">
        <f>IF('Supp. Result Entry'!AK185="","",'Supp. Result Entry'!AK185)</f>
        <v/>
      </c>
      <c r="JM187" s="110" t="str">
        <f>IF('Supp. Result Entry'!AN185="","",'Supp. Result Entry'!AN185)</f>
        <v/>
      </c>
      <c r="JN187" s="110">
        <f>COUNTIF('Supp. Result Entry'!K185:Q185,"S")</f>
        <v>0</v>
      </c>
      <c r="JO187" s="110">
        <f t="shared" si="416"/>
        <v>0</v>
      </c>
      <c r="JP187" s="110">
        <f t="shared" si="493"/>
        <v>0</v>
      </c>
      <c r="JQ187" s="110" t="str">
        <f t="shared" si="417"/>
        <v/>
      </c>
      <c r="JR187" s="110" t="str">
        <f t="shared" si="418"/>
        <v/>
      </c>
      <c r="JS187" s="110" t="str">
        <f t="shared" si="419"/>
        <v/>
      </c>
      <c r="JT187" s="110" t="str">
        <f t="shared" si="420"/>
        <v/>
      </c>
      <c r="JU187" s="110" t="str">
        <f t="shared" si="421"/>
        <v/>
      </c>
      <c r="JV187" s="110" t="str">
        <f t="shared" si="422"/>
        <v/>
      </c>
      <c r="JW187" s="110" t="str">
        <f t="shared" si="423"/>
        <v/>
      </c>
      <c r="JX187" s="110" t="str">
        <f t="shared" si="494"/>
        <v/>
      </c>
      <c r="JY187" s="110" t="str">
        <f t="shared" si="495"/>
        <v/>
      </c>
      <c r="JZ187" s="110" t="str">
        <f t="shared" si="424"/>
        <v/>
      </c>
      <c r="KA187" s="108" t="str">
        <f t="shared" si="496"/>
        <v/>
      </c>
    </row>
    <row r="188" spans="1:287" s="108" customFormat="1" ht="21.95" customHeight="1">
      <c r="A188" s="89">
        <v>182</v>
      </c>
      <c r="B188" s="90" t="str">
        <f>IF('Marks Entry'!B188="","",'Marks Entry'!B188)</f>
        <v/>
      </c>
      <c r="C188" s="94" t="str">
        <f>IF('Marks Entry'!D188="","",'Marks Entry'!D188)</f>
        <v/>
      </c>
      <c r="D188" s="91" t="str">
        <f>IF('Marks Entry'!E188="","",'Marks Entry'!E188)</f>
        <v/>
      </c>
      <c r="E188" s="92" t="str">
        <f>IF('Marks Entry'!F188="","",'Marks Entry'!F188)</f>
        <v/>
      </c>
      <c r="F188" s="93" t="str">
        <f>IF('Marks Entry'!G188="","",'Marks Entry'!G188)</f>
        <v/>
      </c>
      <c r="G188" s="93" t="str">
        <f>IF('Marks Entry'!H188="","",'Marks Entry'!H188)</f>
        <v/>
      </c>
      <c r="H188" s="93" t="str">
        <f>IF('Marks Entry'!I188="","",'Marks Entry'!I188)</f>
        <v/>
      </c>
      <c r="I188" s="94" t="str">
        <f>IF('Marks Entry'!J188="","",'Marks Entry'!J188)</f>
        <v/>
      </c>
      <c r="J188" s="95" t="str">
        <f>IF('Marks Entry'!K188="","",'Marks Entry'!K188)</f>
        <v/>
      </c>
      <c r="K188" s="68" t="str">
        <f>IF('Marks Entry'!L188="","",'Marks Entry'!L188)</f>
        <v/>
      </c>
      <c r="L188" s="68" t="str">
        <f>IF('Marks Entry'!M188="","",'Marks Entry'!M188)</f>
        <v/>
      </c>
      <c r="M188" s="68" t="str">
        <f>IF('Marks Entry'!N188="","",'Marks Entry'!N188)</f>
        <v/>
      </c>
      <c r="N188" s="514" t="str">
        <f t="shared" si="425"/>
        <v/>
      </c>
      <c r="O188" s="68" t="str">
        <f>IF('Marks Entry'!O188="","",'Marks Entry'!O188)</f>
        <v/>
      </c>
      <c r="P188" s="515" t="str">
        <f t="shared" si="426"/>
        <v/>
      </c>
      <c r="Q188" s="68" t="str">
        <f>IF('Marks Entry'!P188="","",'Marks Entry'!P188)</f>
        <v/>
      </c>
      <c r="R188" s="96" t="str">
        <f t="shared" si="427"/>
        <v/>
      </c>
      <c r="S188" s="65">
        <f t="shared" si="428"/>
        <v>0</v>
      </c>
      <c r="T188" s="65">
        <f t="shared" si="429"/>
        <v>0</v>
      </c>
      <c r="U188" s="66" t="str">
        <f t="shared" si="339"/>
        <v/>
      </c>
      <c r="V188" s="65" t="str">
        <f t="shared" si="340"/>
        <v/>
      </c>
      <c r="W188" s="65" t="str">
        <f t="shared" si="430"/>
        <v/>
      </c>
      <c r="X188" s="65" t="str">
        <f t="shared" si="341"/>
        <v/>
      </c>
      <c r="Y188" s="68" t="str">
        <f>IF('Marks Entry'!Q188="","",'Marks Entry'!Q188)</f>
        <v/>
      </c>
      <c r="Z188" s="68" t="str">
        <f>IF('Marks Entry'!R188="","",'Marks Entry'!R188)</f>
        <v/>
      </c>
      <c r="AA188" s="68" t="str">
        <f>IF('Marks Entry'!S188="","",'Marks Entry'!S188)</f>
        <v/>
      </c>
      <c r="AB188" s="514" t="str">
        <f t="shared" si="342"/>
        <v/>
      </c>
      <c r="AC188" s="68" t="str">
        <f>IF('Marks Entry'!T188="","",'Marks Entry'!T188)</f>
        <v/>
      </c>
      <c r="AD188" s="515" t="str">
        <f t="shared" si="343"/>
        <v/>
      </c>
      <c r="AE188" s="68" t="str">
        <f>IF('Marks Entry'!U188="","",'Marks Entry'!U188)</f>
        <v/>
      </c>
      <c r="AF188" s="96" t="str">
        <f t="shared" si="344"/>
        <v/>
      </c>
      <c r="AG188" s="65">
        <f t="shared" si="345"/>
        <v>0</v>
      </c>
      <c r="AH188" s="65">
        <f t="shared" si="346"/>
        <v>0</v>
      </c>
      <c r="AI188" s="66" t="str">
        <f t="shared" si="347"/>
        <v/>
      </c>
      <c r="AJ188" s="65" t="str">
        <f t="shared" si="348"/>
        <v/>
      </c>
      <c r="AK188" s="65" t="str">
        <f t="shared" si="349"/>
        <v/>
      </c>
      <c r="AL188" s="65" t="str">
        <f t="shared" si="350"/>
        <v/>
      </c>
      <c r="AM188" s="524" t="str">
        <f>IF('Marks Entry'!V188="","",IF('Marks Entry'!V188=1,'School Profile'!$I$9,IF('Marks Entry'!V188=2,'School Profile'!$I$10,IF('Marks Entry'!V188=3,'School Profile'!$I$11,IF('Marks Entry'!V188=4,'School Profile'!$I$12,IF('Marks Entry'!V188=5,'School Profile'!$I$13,IF('Marks Entry'!V188=6,'School Profile'!$I$14,"")))))))</f>
        <v/>
      </c>
      <c r="AN188" s="68" t="str">
        <f>IF('Marks Entry'!W188="","",'Marks Entry'!W188)</f>
        <v/>
      </c>
      <c r="AO188" s="68" t="str">
        <f>IF('Marks Entry'!X188="","",'Marks Entry'!X188)</f>
        <v/>
      </c>
      <c r="AP188" s="68" t="str">
        <f>IF('Marks Entry'!Y188="","",'Marks Entry'!Y188)</f>
        <v/>
      </c>
      <c r="AQ188" s="514" t="str">
        <f t="shared" si="351"/>
        <v/>
      </c>
      <c r="AR188" s="68" t="str">
        <f>IF('Marks Entry'!Z188="","",'Marks Entry'!Z188)</f>
        <v/>
      </c>
      <c r="AS188" s="515" t="str">
        <f t="shared" si="352"/>
        <v/>
      </c>
      <c r="AT188" s="68" t="str">
        <f>IF('Marks Entry'!AA188="","",'Marks Entry'!AA188)</f>
        <v/>
      </c>
      <c r="AU188" s="96" t="str">
        <f t="shared" si="353"/>
        <v/>
      </c>
      <c r="AV188" s="65">
        <f t="shared" si="354"/>
        <v>0</v>
      </c>
      <c r="AW188" s="65">
        <f t="shared" si="355"/>
        <v>0</v>
      </c>
      <c r="AX188" s="66" t="str">
        <f t="shared" si="356"/>
        <v/>
      </c>
      <c r="AY188" s="65" t="str">
        <f t="shared" si="357"/>
        <v/>
      </c>
      <c r="AZ188" s="65" t="str">
        <f t="shared" si="358"/>
        <v/>
      </c>
      <c r="BA188" s="65" t="str">
        <f t="shared" si="359"/>
        <v/>
      </c>
      <c r="BB188" s="68" t="str">
        <f>IF('Marks Entry'!AB188="","",'Marks Entry'!AB188)</f>
        <v/>
      </c>
      <c r="BC188" s="68" t="str">
        <f>IF('Marks Entry'!AC188="","",'Marks Entry'!AC188)</f>
        <v/>
      </c>
      <c r="BD188" s="68" t="str">
        <f>IF('Marks Entry'!AD188="","",'Marks Entry'!AD188)</f>
        <v/>
      </c>
      <c r="BE188" s="514" t="str">
        <f t="shared" si="360"/>
        <v/>
      </c>
      <c r="BF188" s="68" t="str">
        <f>IF('Marks Entry'!AE188="","",'Marks Entry'!AE188)</f>
        <v/>
      </c>
      <c r="BG188" s="515" t="str">
        <f t="shared" si="361"/>
        <v/>
      </c>
      <c r="BH188" s="68" t="str">
        <f>IF('Marks Entry'!AF188="","",'Marks Entry'!AF188)</f>
        <v/>
      </c>
      <c r="BI188" s="96" t="str">
        <f t="shared" si="362"/>
        <v/>
      </c>
      <c r="BJ188" s="65">
        <f t="shared" si="363"/>
        <v>0</v>
      </c>
      <c r="BK188" s="65">
        <f t="shared" si="431"/>
        <v>0</v>
      </c>
      <c r="BL188" s="66" t="str">
        <f t="shared" si="364"/>
        <v/>
      </c>
      <c r="BM188" s="65" t="str">
        <f t="shared" si="365"/>
        <v/>
      </c>
      <c r="BN188" s="65" t="str">
        <f t="shared" si="366"/>
        <v/>
      </c>
      <c r="BO188" s="65" t="str">
        <f t="shared" si="367"/>
        <v/>
      </c>
      <c r="BP188" s="68" t="str">
        <f>IF('Marks Entry'!AG188="","",'Marks Entry'!AG188)</f>
        <v/>
      </c>
      <c r="BQ188" s="68" t="str">
        <f>IF('Marks Entry'!AH188="","",'Marks Entry'!AH188)</f>
        <v/>
      </c>
      <c r="BR188" s="68" t="str">
        <f>IF('Marks Entry'!AI188="","",'Marks Entry'!AI188)</f>
        <v/>
      </c>
      <c r="BS188" s="514" t="str">
        <f t="shared" si="368"/>
        <v/>
      </c>
      <c r="BT188" s="68" t="str">
        <f>IF('Marks Entry'!AJ188="","",'Marks Entry'!AJ188)</f>
        <v/>
      </c>
      <c r="BU188" s="515" t="str">
        <f t="shared" si="369"/>
        <v/>
      </c>
      <c r="BV188" s="68" t="str">
        <f>IF('Marks Entry'!AK188="","",'Marks Entry'!AK188)</f>
        <v/>
      </c>
      <c r="BW188" s="96" t="str">
        <f t="shared" si="370"/>
        <v/>
      </c>
      <c r="BX188" s="65">
        <f t="shared" si="371"/>
        <v>0</v>
      </c>
      <c r="BY188" s="65">
        <f t="shared" si="372"/>
        <v>0</v>
      </c>
      <c r="BZ188" s="66" t="str">
        <f t="shared" si="373"/>
        <v/>
      </c>
      <c r="CA188" s="65" t="str">
        <f t="shared" si="374"/>
        <v/>
      </c>
      <c r="CB188" s="65" t="str">
        <f t="shared" si="375"/>
        <v/>
      </c>
      <c r="CC188" s="65" t="str">
        <f t="shared" si="376"/>
        <v/>
      </c>
      <c r="CD188" s="66">
        <f t="shared" si="497"/>
        <v>0</v>
      </c>
      <c r="CE188" s="68" t="str">
        <f>IF('Marks Entry'!AL188="","",'Marks Entry'!AL188)</f>
        <v/>
      </c>
      <c r="CF188" s="68" t="str">
        <f>IF('Marks Entry'!AM188="","",'Marks Entry'!AM188)</f>
        <v/>
      </c>
      <c r="CG188" s="68" t="str">
        <f>IF('Marks Entry'!AN188="","",'Marks Entry'!AN188)</f>
        <v/>
      </c>
      <c r="CH188" s="514" t="str">
        <f t="shared" si="378"/>
        <v/>
      </c>
      <c r="CI188" s="68" t="str">
        <f>IF('Marks Entry'!AO188="","",'Marks Entry'!AO188)</f>
        <v/>
      </c>
      <c r="CJ188" s="515" t="str">
        <f t="shared" si="379"/>
        <v/>
      </c>
      <c r="CK188" s="68" t="str">
        <f>IF('Marks Entry'!AP188="","",'Marks Entry'!AP188)</f>
        <v/>
      </c>
      <c r="CL188" s="96" t="str">
        <f t="shared" si="380"/>
        <v/>
      </c>
      <c r="CM188" s="65">
        <f t="shared" si="381"/>
        <v>0</v>
      </c>
      <c r="CN188" s="65">
        <f t="shared" si="382"/>
        <v>0</v>
      </c>
      <c r="CO188" s="66" t="str">
        <f t="shared" si="383"/>
        <v/>
      </c>
      <c r="CP188" s="65" t="str">
        <f t="shared" si="384"/>
        <v/>
      </c>
      <c r="CQ188" s="65" t="str">
        <f t="shared" si="385"/>
        <v/>
      </c>
      <c r="CR188" s="65" t="str">
        <f t="shared" si="386"/>
        <v/>
      </c>
      <c r="CS188" s="616" t="str">
        <f>IF('School Profile'!$D$20="NO","",IF('Marks Entry'!AQ188="","",IF('Marks Entry'!AQ188=1,'School Profile'!$I$29,IF('Marks Entry'!AQ188=2,'School Profile'!$I$30,IF('Marks Entry'!AQ188=3,'School Profile'!$I$31,IF('Marks Entry'!AQ188=4,'School Profile'!$I$32,IF('Marks Entry'!AQ188=5,'School Profile'!$I$33,IF('Marks Entry'!AQ188=6,'School Profile'!$I$34,IF('Marks Entry'!AQ188=7,'School Profile'!$I$35,IF('Marks Entry'!AQ188=8,'School Profile'!$I$36,IF('Marks Entry'!AQ188=9,'School Profile'!$I$37,IF('Marks Entry'!AQ188=10,'School Profile'!$I$38,IF('Marks Entry'!AQ188=11,'School Profile'!$I$39,"")))))))))))))</f>
        <v/>
      </c>
      <c r="CT188" s="68" t="str">
        <f>IF('School Profile'!$D$20="NO","",IF('Marks Entry'!AR188="","",'Marks Entry'!AR188))</f>
        <v/>
      </c>
      <c r="CU188" s="68" t="str">
        <f>IF('School Profile'!$D$20="NO","",IF('Marks Entry'!AS188="","",'Marks Entry'!AS188))</f>
        <v/>
      </c>
      <c r="CV188" s="68" t="str">
        <f>IF('School Profile'!$D$20="NO","",IF('Marks Entry'!AT188="","",'Marks Entry'!AT188))</f>
        <v/>
      </c>
      <c r="CW188" s="514" t="str">
        <f>IF('School Profile'!$D$20="NO","",IF(AND(CT188="",CU188="",CV188=""),"",SUM(CT188:CV188)))</f>
        <v/>
      </c>
      <c r="CX188" s="68" t="str">
        <f>IF('School Profile'!$D$20="NO","",IF('Marks Entry'!AU188="","",'Marks Entry'!AU188))</f>
        <v/>
      </c>
      <c r="CY188" s="68" t="str">
        <f>IF('School Profile'!$D$20="NO","",IF('Marks Entry'!AV188="","",'Marks Entry'!AV188))</f>
        <v/>
      </c>
      <c r="CZ188" s="515" t="str">
        <f>IF('School Profile'!$D$20="NO","",IF(AND(CX188="",CY188=""),"",SUM(CX188,CY188)))</f>
        <v/>
      </c>
      <c r="DA188" s="69" t="str">
        <f>IF('School Profile'!$D$20="NO","",IF(AND(CW188="",CZ188=""),"",SUM(CW188+CZ188)))</f>
        <v/>
      </c>
      <c r="DB188" s="68" t="str">
        <f>IF('School Profile'!$D$20="NO","",IF('Marks Entry'!AW188="","",'Marks Entry'!AW188))</f>
        <v/>
      </c>
      <c r="DC188" s="68" t="str">
        <f>IF('School Profile'!$D$20="NO","",IF('Marks Entry'!AX188="","",'Marks Entry'!AX188))</f>
        <v/>
      </c>
      <c r="DD188" s="515" t="str">
        <f>IF('School Profile'!$D$20="NO","",IF(AND(DB188="",DC188=""),"",SUM(DB188,DC188)))</f>
        <v/>
      </c>
      <c r="DE188" s="96" t="str">
        <f>IF('School Profile'!$D$20="NO","",IF(AND(DA188="",DD188=""),"",SUM(DA188,DD188)))</f>
        <v/>
      </c>
      <c r="DF188" s="532">
        <f t="shared" si="387"/>
        <v>0</v>
      </c>
      <c r="DG188" s="65">
        <f t="shared" si="388"/>
        <v>0</v>
      </c>
      <c r="DH188" s="66" t="str">
        <f t="shared" si="389"/>
        <v/>
      </c>
      <c r="DI188" s="65" t="str">
        <f t="shared" si="390"/>
        <v/>
      </c>
      <c r="DJ188" s="65" t="str">
        <f t="shared" si="391"/>
        <v/>
      </c>
      <c r="DK188" s="65" t="str">
        <f t="shared" si="392"/>
        <v/>
      </c>
      <c r="DL188" s="97" t="str">
        <f t="shared" si="432"/>
        <v/>
      </c>
      <c r="DM188" s="97" t="str">
        <f t="shared" si="433"/>
        <v/>
      </c>
      <c r="DN188" s="97" t="str">
        <f t="shared" si="434"/>
        <v/>
      </c>
      <c r="DO188" s="97" t="str">
        <f t="shared" si="435"/>
        <v/>
      </c>
      <c r="DP188" s="97" t="str">
        <f t="shared" si="436"/>
        <v/>
      </c>
      <c r="DQ188" s="97" t="str">
        <f t="shared" si="437"/>
        <v/>
      </c>
      <c r="DR188" s="97" t="str">
        <f t="shared" si="438"/>
        <v/>
      </c>
      <c r="DS188" s="98">
        <f t="shared" si="439"/>
        <v>0</v>
      </c>
      <c r="DT188" s="98">
        <f t="shared" si="440"/>
        <v>0</v>
      </c>
      <c r="DU188" s="98">
        <f t="shared" si="441"/>
        <v>0</v>
      </c>
      <c r="DV188" s="98">
        <f t="shared" si="442"/>
        <v>0</v>
      </c>
      <c r="DW188" s="98">
        <f t="shared" si="443"/>
        <v>0</v>
      </c>
      <c r="DX188" s="98" t="str">
        <f t="shared" si="444"/>
        <v/>
      </c>
      <c r="DY188" s="99" t="str">
        <f t="shared" si="445"/>
        <v/>
      </c>
      <c r="DZ188" s="74" t="str">
        <f>IF('Marks Entry'!AY188="","",'Marks Entry'!AY188)</f>
        <v/>
      </c>
      <c r="EA188" s="74" t="str">
        <f>IF('Marks Entry'!AZ188="","",'Marks Entry'!AZ188)</f>
        <v/>
      </c>
      <c r="EB188" s="74" t="str">
        <f>IF('Marks Entry'!BA188="","",'Marks Entry'!BA188)</f>
        <v/>
      </c>
      <c r="EC188" s="527" t="str">
        <f t="shared" si="393"/>
        <v/>
      </c>
      <c r="ED188" s="74" t="str">
        <f>IF('Marks Entry'!BB188="","",'Marks Entry'!BB188)</f>
        <v/>
      </c>
      <c r="EE188" s="528" t="str">
        <f t="shared" si="394"/>
        <v/>
      </c>
      <c r="EF188" s="74" t="str">
        <f>IF('Marks Entry'!BC188="","",'Marks Entry'!BC188)</f>
        <v/>
      </c>
      <c r="EG188" s="530" t="str">
        <f t="shared" si="395"/>
        <v/>
      </c>
      <c r="EH188" s="368" t="str">
        <f t="shared" si="446"/>
        <v/>
      </c>
      <c r="EI188" s="65">
        <f t="shared" si="447"/>
        <v>0</v>
      </c>
      <c r="EJ188" s="65">
        <f t="shared" si="448"/>
        <v>0</v>
      </c>
      <c r="EK188" s="66" t="str">
        <f t="shared" si="449"/>
        <v/>
      </c>
      <c r="EL188" s="74" t="str">
        <f>IF('Marks Entry'!BD188="","",'Marks Entry'!BD188)</f>
        <v/>
      </c>
      <c r="EM188" s="74" t="str">
        <f>IF('Marks Entry'!BE188="","",'Marks Entry'!BE188)</f>
        <v/>
      </c>
      <c r="EN188" s="74" t="str">
        <f>IF('Marks Entry'!BF188="","",'Marks Entry'!BF188)</f>
        <v/>
      </c>
      <c r="EO188" s="527" t="str">
        <f t="shared" si="396"/>
        <v/>
      </c>
      <c r="EP188" s="74" t="str">
        <f>IF('Marks Entry'!BG188="","",'Marks Entry'!BG188)</f>
        <v/>
      </c>
      <c r="EQ188" s="74" t="str">
        <f>IF('Marks Entry'!BH188="","",'Marks Entry'!BH188)</f>
        <v/>
      </c>
      <c r="ER188" s="528" t="str">
        <f t="shared" si="397"/>
        <v/>
      </c>
      <c r="ES188" s="529" t="str">
        <f t="shared" si="398"/>
        <v/>
      </c>
      <c r="ET188" s="74" t="str">
        <f>IF('Marks Entry'!BI188="","",'Marks Entry'!BI188)</f>
        <v/>
      </c>
      <c r="EU188" s="74" t="str">
        <f>IF('Marks Entry'!BJ188="","",'Marks Entry'!BJ188)</f>
        <v/>
      </c>
      <c r="EV188" s="528" t="str">
        <f t="shared" si="399"/>
        <v/>
      </c>
      <c r="EW188" s="530" t="str">
        <f t="shared" si="400"/>
        <v/>
      </c>
      <c r="EX188" s="368" t="str">
        <f t="shared" si="450"/>
        <v/>
      </c>
      <c r="EY188" s="65">
        <f t="shared" si="451"/>
        <v>0</v>
      </c>
      <c r="EZ188" s="65">
        <f t="shared" si="452"/>
        <v>0</v>
      </c>
      <c r="FA188" s="66" t="str">
        <f t="shared" si="453"/>
        <v/>
      </c>
      <c r="FB188" s="74" t="str">
        <f>IF('Marks Entry'!BK188="","",'Marks Entry'!BK188)</f>
        <v/>
      </c>
      <c r="FC188" s="74" t="str">
        <f>IF('Marks Entry'!BL188="","",'Marks Entry'!BL188)</f>
        <v/>
      </c>
      <c r="FD188" s="74" t="str">
        <f>IF('Marks Entry'!BM188="","",'Marks Entry'!BM188)</f>
        <v/>
      </c>
      <c r="FE188" s="74" t="str">
        <f>IF('Marks Entry'!BN188="","",'Marks Entry'!BN188)</f>
        <v/>
      </c>
      <c r="FF188" s="74" t="str">
        <f>IF('Marks Entry'!BO188="","",'Marks Entry'!BO188)</f>
        <v/>
      </c>
      <c r="FG188" s="74" t="str">
        <f>IF('Marks Entry'!BP188="","",'Marks Entry'!BP188)</f>
        <v/>
      </c>
      <c r="FH188" s="527" t="str">
        <f t="shared" si="401"/>
        <v/>
      </c>
      <c r="FI188" s="74" t="str">
        <f>IF('Marks Entry'!BQ188="","",'Marks Entry'!BQ188)</f>
        <v/>
      </c>
      <c r="FJ188" s="74" t="str">
        <f>IF('Marks Entry'!BR188="","",'Marks Entry'!BR188)</f>
        <v/>
      </c>
      <c r="FK188" s="528" t="str">
        <f t="shared" si="402"/>
        <v/>
      </c>
      <c r="FL188" s="529" t="str">
        <f t="shared" si="403"/>
        <v/>
      </c>
      <c r="FM188" s="74" t="str">
        <f>IF('Marks Entry'!BS188="","",'Marks Entry'!BS188)</f>
        <v/>
      </c>
      <c r="FN188" s="74" t="str">
        <f>IF('Marks Entry'!BT188="","",'Marks Entry'!BT188)</f>
        <v/>
      </c>
      <c r="FO188" s="528" t="str">
        <f t="shared" si="404"/>
        <v/>
      </c>
      <c r="FP188" s="530" t="str">
        <f t="shared" si="405"/>
        <v/>
      </c>
      <c r="FQ188" s="368" t="str">
        <f t="shared" si="454"/>
        <v/>
      </c>
      <c r="FR188" s="65">
        <f t="shared" si="455"/>
        <v>0</v>
      </c>
      <c r="FS188" s="65">
        <f t="shared" si="456"/>
        <v>0</v>
      </c>
      <c r="FT188" s="66" t="str">
        <f t="shared" si="457"/>
        <v/>
      </c>
      <c r="FU188" s="74" t="str">
        <f>IF('Marks Entry'!BU188="","",'Marks Entry'!BU188)</f>
        <v/>
      </c>
      <c r="FV188" s="74" t="str">
        <f>IF('Marks Entry'!BV188="","",'Marks Entry'!BV188)</f>
        <v/>
      </c>
      <c r="FW188" s="74" t="str">
        <f>IF('Marks Entry'!BW188="","",'Marks Entry'!BW188)</f>
        <v/>
      </c>
      <c r="FX188" s="75" t="str">
        <f t="shared" si="406"/>
        <v/>
      </c>
      <c r="FY188" s="368" t="str">
        <f t="shared" si="458"/>
        <v/>
      </c>
      <c r="FZ188" s="65">
        <f t="shared" si="459"/>
        <v>0</v>
      </c>
      <c r="GA188" s="66">
        <f t="shared" si="460"/>
        <v>0</v>
      </c>
      <c r="GB188" s="66" t="str">
        <f t="shared" si="461"/>
        <v/>
      </c>
      <c r="GC188" s="74" t="str">
        <f>IF('Marks Entry'!BX188="","",'Marks Entry'!BX188)</f>
        <v/>
      </c>
      <c r="GD188" s="74" t="str">
        <f>IF('Marks Entry'!BY188="","",'Marks Entry'!BY188)</f>
        <v/>
      </c>
      <c r="GE188" s="74" t="str">
        <f>IF('Marks Entry'!BZ188="","",'Marks Entry'!BZ188)</f>
        <v/>
      </c>
      <c r="GF188" s="75" t="str">
        <f t="shared" si="462"/>
        <v/>
      </c>
      <c r="GG188" s="368" t="str">
        <f t="shared" si="463"/>
        <v/>
      </c>
      <c r="GH188" s="65">
        <f t="shared" si="464"/>
        <v>0</v>
      </c>
      <c r="GI188" s="66">
        <f t="shared" si="465"/>
        <v>0</v>
      </c>
      <c r="GJ188" s="66" t="str">
        <f t="shared" si="466"/>
        <v/>
      </c>
      <c r="GK188" s="100" t="str">
        <f>IF(AND(F188="",B188=""),"",IF('Student DATA Entry'!M185="","",'Student DATA Entry'!M185))</f>
        <v/>
      </c>
      <c r="GL188" s="101" t="str">
        <f>IF(AND(B188="",F188=""),"",IF('Student DATA Entry'!N185="","",'Student DATA Entry'!N185))</f>
        <v/>
      </c>
      <c r="GM188" s="581" t="str">
        <f t="shared" si="467"/>
        <v/>
      </c>
      <c r="GN188" s="94" t="str">
        <f t="shared" si="468"/>
        <v/>
      </c>
      <c r="GO188" s="94" t="str">
        <f t="shared" si="469"/>
        <v/>
      </c>
      <c r="GP188" s="102" t="str">
        <f t="shared" si="498"/>
        <v/>
      </c>
      <c r="GQ188" s="94" t="str">
        <f t="shared" si="470"/>
        <v/>
      </c>
      <c r="GR188" s="103" t="str">
        <f t="shared" si="471"/>
        <v/>
      </c>
      <c r="GS188" s="102" t="str">
        <f t="shared" si="499"/>
        <v/>
      </c>
      <c r="GT188" s="104" t="str">
        <f t="shared" si="472"/>
        <v/>
      </c>
      <c r="GU188" s="94" t="str">
        <f>IF('Marks Entry'!V188=1,GT188,"")</f>
        <v/>
      </c>
      <c r="GV188" s="94" t="str">
        <f>IF('Marks Entry'!V188=2,GT188,"")</f>
        <v/>
      </c>
      <c r="GW188" s="94" t="str">
        <f>IF('Marks Entry'!V188=3,GT188,"")</f>
        <v/>
      </c>
      <c r="GX188" s="94" t="str">
        <f>IF('Marks Entry'!V188=4,GT188,"")</f>
        <v/>
      </c>
      <c r="GY188" s="94" t="str">
        <f>IF('Marks Entry'!V188=5,GT188,"")</f>
        <v/>
      </c>
      <c r="GZ188" s="94" t="str">
        <f t="shared" si="473"/>
        <v/>
      </c>
      <c r="HA188" s="105" t="str">
        <f t="shared" si="500"/>
        <v/>
      </c>
      <c r="HB188" s="94" t="str">
        <f t="shared" si="474"/>
        <v/>
      </c>
      <c r="HC188" s="94" t="str">
        <f t="shared" si="475"/>
        <v/>
      </c>
      <c r="HD188" s="105" t="str">
        <f t="shared" si="501"/>
        <v/>
      </c>
      <c r="HE188" s="94" t="str">
        <f t="shared" si="476"/>
        <v/>
      </c>
      <c r="HF188" s="94" t="str">
        <f t="shared" si="477"/>
        <v/>
      </c>
      <c r="HG188" s="105" t="str">
        <f t="shared" si="502"/>
        <v/>
      </c>
      <c r="HH188" s="94" t="str">
        <f t="shared" si="478"/>
        <v/>
      </c>
      <c r="HI188" s="94" t="str">
        <f t="shared" si="479"/>
        <v/>
      </c>
      <c r="HJ188" s="105" t="str">
        <f t="shared" si="503"/>
        <v/>
      </c>
      <c r="HK188" s="94" t="str">
        <f t="shared" si="480"/>
        <v/>
      </c>
      <c r="HL188" s="94" t="str">
        <f t="shared" si="481"/>
        <v/>
      </c>
      <c r="HM188" s="105" t="str">
        <f t="shared" si="504"/>
        <v/>
      </c>
      <c r="HN188" s="367" t="str">
        <f t="shared" si="482"/>
        <v xml:space="preserve">      </v>
      </c>
      <c r="HO188" s="418" t="str">
        <f t="shared" si="505"/>
        <v xml:space="preserve">      </v>
      </c>
      <c r="HP188" s="367" t="str">
        <f t="shared" si="483"/>
        <v xml:space="preserve">      </v>
      </c>
      <c r="HQ188" s="107" t="str">
        <f t="shared" si="484"/>
        <v xml:space="preserve">      </v>
      </c>
      <c r="HR188" s="366" t="str">
        <f t="shared" si="485"/>
        <v xml:space="preserve">      </v>
      </c>
      <c r="HS188" s="544" t="str">
        <f t="shared" si="506"/>
        <v/>
      </c>
      <c r="HT188" s="542" t="str">
        <f t="shared" si="486"/>
        <v/>
      </c>
      <c r="HU188" s="541" t="str">
        <f t="shared" si="487"/>
        <v/>
      </c>
      <c r="HV188" s="540" t="str">
        <f t="shared" si="488"/>
        <v/>
      </c>
      <c r="HW188" s="537" t="str">
        <f t="shared" si="489"/>
        <v/>
      </c>
      <c r="HX188" s="539" t="str">
        <f t="shared" si="490"/>
        <v/>
      </c>
      <c r="HY188" s="553" t="str">
        <f>IFERROR(IF(OR(HS188="SUPPLEMENTARY",HS188="RE-EXAM"),'Supp. Result Entry'!AQ186,""),"")</f>
        <v/>
      </c>
      <c r="HZ188" s="538" t="str">
        <f t="shared" si="491"/>
        <v/>
      </c>
      <c r="IA188" s="415" t="str">
        <f t="shared" si="492"/>
        <v/>
      </c>
      <c r="IB188" s="415" t="str">
        <f>IF(AND(HZ188="",IA188=""),"",IF(OR(HS188="SUPPLEMENTARY",HS188="RE-EXAM"),'Supp. Result Entry'!AQ186,HS188))</f>
        <v/>
      </c>
      <c r="IC188" s="87"/>
      <c r="IS188" s="109" t="str">
        <f>IF('Supp. Result Entry'!T186="","",'Supp. Result Entry'!$T$4)</f>
        <v/>
      </c>
      <c r="IT188" s="110" t="str">
        <f>IF('Supp. Result Entry'!W186="","",'Supp. Result Entry'!$W$4)</f>
        <v/>
      </c>
      <c r="IU188" s="110" t="str">
        <f>IF('Supp. Result Entry'!Z186="","",'Supp. Result Entry'!$Z$4)</f>
        <v/>
      </c>
      <c r="IV188" s="110" t="str">
        <f>IF('Supp. Result Entry'!AC186="","",'Supp. Result Entry'!$AC$4)</f>
        <v/>
      </c>
      <c r="IW188" s="110" t="str">
        <f>IF('Supp. Result Entry'!AF186="","",'Supp. Result Entry'!$AF$4)</f>
        <v/>
      </c>
      <c r="IX188" s="110" t="str">
        <f>IF('Supp. Result Entry'!AI186="","",'Supp. Result Entry'!$AI$4)</f>
        <v/>
      </c>
      <c r="IY188" s="110" t="str">
        <f>IF('Supp. Result Entry'!AI186="","",'Supp. Result Entry'!$AL$4)</f>
        <v/>
      </c>
      <c r="IZ188" s="110" t="str">
        <f>IF('Supp. Result Entry'!U186="","",'Supp. Result Entry'!U186)</f>
        <v/>
      </c>
      <c r="JA188" s="110" t="str">
        <f>IF('Supp. Result Entry'!X186="","",'Supp. Result Entry'!X186)</f>
        <v/>
      </c>
      <c r="JB188" s="110" t="str">
        <f>IF('Supp. Result Entry'!AA186="","",'Supp. Result Entry'!AA186)</f>
        <v/>
      </c>
      <c r="JC188" s="110" t="str">
        <f>IF('Supp. Result Entry'!AD186="","",'Supp. Result Entry'!AD186)</f>
        <v/>
      </c>
      <c r="JD188" s="110" t="str">
        <f>IF('Supp. Result Entry'!AG186="","",'Supp. Result Entry'!AG186)</f>
        <v/>
      </c>
      <c r="JE188" s="110" t="str">
        <f>IF('Supp. Result Entry'!AJ186="","",'Supp. Result Entry'!AJ186)</f>
        <v/>
      </c>
      <c r="JF188" s="110" t="str">
        <f>IF('Supp. Result Entry'!AM186="","",'Supp. Result Entry'!AM186)</f>
        <v/>
      </c>
      <c r="JG188" s="110" t="str">
        <f>IF('Supp. Result Entry'!V186="","",'Supp. Result Entry'!V186)</f>
        <v/>
      </c>
      <c r="JH188" s="110" t="str">
        <f>IF('Supp. Result Entry'!Y186="","",'Supp. Result Entry'!Y186)</f>
        <v/>
      </c>
      <c r="JI188" s="110" t="str">
        <f>IF('Supp. Result Entry'!AB186="","",'Supp. Result Entry'!AB186)</f>
        <v/>
      </c>
      <c r="JJ188" s="110" t="str">
        <f>IF('Supp. Result Entry'!AE186="","",'Supp. Result Entry'!AE186)</f>
        <v/>
      </c>
      <c r="JK188" s="110" t="str">
        <f>IF('Supp. Result Entry'!AH186="","",'Supp. Result Entry'!AH186)</f>
        <v/>
      </c>
      <c r="JL188" s="110" t="str">
        <f>IF('Supp. Result Entry'!AK186="","",'Supp. Result Entry'!AK186)</f>
        <v/>
      </c>
      <c r="JM188" s="110" t="str">
        <f>IF('Supp. Result Entry'!AN186="","",'Supp. Result Entry'!AN186)</f>
        <v/>
      </c>
      <c r="JN188" s="110">
        <f>COUNTIF('Supp. Result Entry'!K186:Q186,"S")</f>
        <v>0</v>
      </c>
      <c r="JO188" s="110">
        <f t="shared" si="416"/>
        <v>0</v>
      </c>
      <c r="JP188" s="110">
        <f t="shared" si="493"/>
        <v>0</v>
      </c>
      <c r="JQ188" s="110" t="str">
        <f t="shared" si="417"/>
        <v/>
      </c>
      <c r="JR188" s="110" t="str">
        <f t="shared" si="418"/>
        <v/>
      </c>
      <c r="JS188" s="110" t="str">
        <f t="shared" si="419"/>
        <v/>
      </c>
      <c r="JT188" s="110" t="str">
        <f t="shared" si="420"/>
        <v/>
      </c>
      <c r="JU188" s="110" t="str">
        <f t="shared" si="421"/>
        <v/>
      </c>
      <c r="JV188" s="110" t="str">
        <f t="shared" si="422"/>
        <v/>
      </c>
      <c r="JW188" s="110" t="str">
        <f t="shared" si="423"/>
        <v/>
      </c>
      <c r="JX188" s="110" t="str">
        <f t="shared" si="494"/>
        <v/>
      </c>
      <c r="JY188" s="110" t="str">
        <f t="shared" si="495"/>
        <v/>
      </c>
      <c r="JZ188" s="110" t="str">
        <f t="shared" si="424"/>
        <v/>
      </c>
      <c r="KA188" s="108" t="str">
        <f t="shared" si="496"/>
        <v/>
      </c>
    </row>
    <row r="189" spans="1:287" s="108" customFormat="1" ht="21.95" customHeight="1">
      <c r="A189" s="89">
        <v>183</v>
      </c>
      <c r="B189" s="90" t="str">
        <f>IF('Marks Entry'!B189="","",'Marks Entry'!B189)</f>
        <v/>
      </c>
      <c r="C189" s="94" t="str">
        <f>IF('Marks Entry'!D189="","",'Marks Entry'!D189)</f>
        <v/>
      </c>
      <c r="D189" s="91" t="str">
        <f>IF('Marks Entry'!E189="","",'Marks Entry'!E189)</f>
        <v/>
      </c>
      <c r="E189" s="92" t="str">
        <f>IF('Marks Entry'!F189="","",'Marks Entry'!F189)</f>
        <v/>
      </c>
      <c r="F189" s="93" t="str">
        <f>IF('Marks Entry'!G189="","",'Marks Entry'!G189)</f>
        <v/>
      </c>
      <c r="G189" s="93" t="str">
        <f>IF('Marks Entry'!H189="","",'Marks Entry'!H189)</f>
        <v/>
      </c>
      <c r="H189" s="93" t="str">
        <f>IF('Marks Entry'!I189="","",'Marks Entry'!I189)</f>
        <v/>
      </c>
      <c r="I189" s="94" t="str">
        <f>IF('Marks Entry'!J189="","",'Marks Entry'!J189)</f>
        <v/>
      </c>
      <c r="J189" s="95" t="str">
        <f>IF('Marks Entry'!K189="","",'Marks Entry'!K189)</f>
        <v/>
      </c>
      <c r="K189" s="68" t="str">
        <f>IF('Marks Entry'!L189="","",'Marks Entry'!L189)</f>
        <v/>
      </c>
      <c r="L189" s="68" t="str">
        <f>IF('Marks Entry'!M189="","",'Marks Entry'!M189)</f>
        <v/>
      </c>
      <c r="M189" s="68" t="str">
        <f>IF('Marks Entry'!N189="","",'Marks Entry'!N189)</f>
        <v/>
      </c>
      <c r="N189" s="514" t="str">
        <f t="shared" si="425"/>
        <v/>
      </c>
      <c r="O189" s="68" t="str">
        <f>IF('Marks Entry'!O189="","",'Marks Entry'!O189)</f>
        <v/>
      </c>
      <c r="P189" s="515" t="str">
        <f t="shared" si="426"/>
        <v/>
      </c>
      <c r="Q189" s="68" t="str">
        <f>IF('Marks Entry'!P189="","",'Marks Entry'!P189)</f>
        <v/>
      </c>
      <c r="R189" s="96" t="str">
        <f t="shared" si="427"/>
        <v/>
      </c>
      <c r="S189" s="65">
        <f t="shared" si="428"/>
        <v>0</v>
      </c>
      <c r="T189" s="65">
        <f t="shared" si="429"/>
        <v>0</v>
      </c>
      <c r="U189" s="66" t="str">
        <f t="shared" si="339"/>
        <v/>
      </c>
      <c r="V189" s="65" t="str">
        <f t="shared" si="340"/>
        <v/>
      </c>
      <c r="W189" s="65" t="str">
        <f t="shared" si="430"/>
        <v/>
      </c>
      <c r="X189" s="65" t="str">
        <f t="shared" si="341"/>
        <v/>
      </c>
      <c r="Y189" s="68" t="str">
        <f>IF('Marks Entry'!Q189="","",'Marks Entry'!Q189)</f>
        <v/>
      </c>
      <c r="Z189" s="68" t="str">
        <f>IF('Marks Entry'!R189="","",'Marks Entry'!R189)</f>
        <v/>
      </c>
      <c r="AA189" s="68" t="str">
        <f>IF('Marks Entry'!S189="","",'Marks Entry'!S189)</f>
        <v/>
      </c>
      <c r="AB189" s="514" t="str">
        <f t="shared" si="342"/>
        <v/>
      </c>
      <c r="AC189" s="68" t="str">
        <f>IF('Marks Entry'!T189="","",'Marks Entry'!T189)</f>
        <v/>
      </c>
      <c r="AD189" s="515" t="str">
        <f t="shared" si="343"/>
        <v/>
      </c>
      <c r="AE189" s="68" t="str">
        <f>IF('Marks Entry'!U189="","",'Marks Entry'!U189)</f>
        <v/>
      </c>
      <c r="AF189" s="96" t="str">
        <f t="shared" si="344"/>
        <v/>
      </c>
      <c r="AG189" s="65">
        <f t="shared" si="345"/>
        <v>0</v>
      </c>
      <c r="AH189" s="65">
        <f t="shared" si="346"/>
        <v>0</v>
      </c>
      <c r="AI189" s="66" t="str">
        <f t="shared" si="347"/>
        <v/>
      </c>
      <c r="AJ189" s="65" t="str">
        <f t="shared" si="348"/>
        <v/>
      </c>
      <c r="AK189" s="65" t="str">
        <f t="shared" si="349"/>
        <v/>
      </c>
      <c r="AL189" s="65" t="str">
        <f t="shared" si="350"/>
        <v/>
      </c>
      <c r="AM189" s="524" t="str">
        <f>IF('Marks Entry'!V189="","",IF('Marks Entry'!V189=1,'School Profile'!$I$9,IF('Marks Entry'!V189=2,'School Profile'!$I$10,IF('Marks Entry'!V189=3,'School Profile'!$I$11,IF('Marks Entry'!V189=4,'School Profile'!$I$12,IF('Marks Entry'!V189=5,'School Profile'!$I$13,IF('Marks Entry'!V189=6,'School Profile'!$I$14,"")))))))</f>
        <v/>
      </c>
      <c r="AN189" s="68" t="str">
        <f>IF('Marks Entry'!W189="","",'Marks Entry'!W189)</f>
        <v/>
      </c>
      <c r="AO189" s="68" t="str">
        <f>IF('Marks Entry'!X189="","",'Marks Entry'!X189)</f>
        <v/>
      </c>
      <c r="AP189" s="68" t="str">
        <f>IF('Marks Entry'!Y189="","",'Marks Entry'!Y189)</f>
        <v/>
      </c>
      <c r="AQ189" s="514" t="str">
        <f t="shared" si="351"/>
        <v/>
      </c>
      <c r="AR189" s="68" t="str">
        <f>IF('Marks Entry'!Z189="","",'Marks Entry'!Z189)</f>
        <v/>
      </c>
      <c r="AS189" s="515" t="str">
        <f t="shared" si="352"/>
        <v/>
      </c>
      <c r="AT189" s="68" t="str">
        <f>IF('Marks Entry'!AA189="","",'Marks Entry'!AA189)</f>
        <v/>
      </c>
      <c r="AU189" s="96" t="str">
        <f t="shared" si="353"/>
        <v/>
      </c>
      <c r="AV189" s="65">
        <f t="shared" si="354"/>
        <v>0</v>
      </c>
      <c r="AW189" s="65">
        <f t="shared" si="355"/>
        <v>0</v>
      </c>
      <c r="AX189" s="66" t="str">
        <f t="shared" si="356"/>
        <v/>
      </c>
      <c r="AY189" s="65" t="str">
        <f t="shared" si="357"/>
        <v/>
      </c>
      <c r="AZ189" s="65" t="str">
        <f t="shared" si="358"/>
        <v/>
      </c>
      <c r="BA189" s="65" t="str">
        <f t="shared" si="359"/>
        <v/>
      </c>
      <c r="BB189" s="68" t="str">
        <f>IF('Marks Entry'!AB189="","",'Marks Entry'!AB189)</f>
        <v/>
      </c>
      <c r="BC189" s="68" t="str">
        <f>IF('Marks Entry'!AC189="","",'Marks Entry'!AC189)</f>
        <v/>
      </c>
      <c r="BD189" s="68" t="str">
        <f>IF('Marks Entry'!AD189="","",'Marks Entry'!AD189)</f>
        <v/>
      </c>
      <c r="BE189" s="514" t="str">
        <f t="shared" si="360"/>
        <v/>
      </c>
      <c r="BF189" s="68" t="str">
        <f>IF('Marks Entry'!AE189="","",'Marks Entry'!AE189)</f>
        <v/>
      </c>
      <c r="BG189" s="515" t="str">
        <f t="shared" si="361"/>
        <v/>
      </c>
      <c r="BH189" s="68" t="str">
        <f>IF('Marks Entry'!AF189="","",'Marks Entry'!AF189)</f>
        <v/>
      </c>
      <c r="BI189" s="96" t="str">
        <f t="shared" si="362"/>
        <v/>
      </c>
      <c r="BJ189" s="65">
        <f t="shared" si="363"/>
        <v>0</v>
      </c>
      <c r="BK189" s="65">
        <f t="shared" si="431"/>
        <v>0</v>
      </c>
      <c r="BL189" s="66" t="str">
        <f t="shared" si="364"/>
        <v/>
      </c>
      <c r="BM189" s="65" t="str">
        <f t="shared" si="365"/>
        <v/>
      </c>
      <c r="BN189" s="65" t="str">
        <f t="shared" si="366"/>
        <v/>
      </c>
      <c r="BO189" s="65" t="str">
        <f t="shared" si="367"/>
        <v/>
      </c>
      <c r="BP189" s="68" t="str">
        <f>IF('Marks Entry'!AG189="","",'Marks Entry'!AG189)</f>
        <v/>
      </c>
      <c r="BQ189" s="68" t="str">
        <f>IF('Marks Entry'!AH189="","",'Marks Entry'!AH189)</f>
        <v/>
      </c>
      <c r="BR189" s="68" t="str">
        <f>IF('Marks Entry'!AI189="","",'Marks Entry'!AI189)</f>
        <v/>
      </c>
      <c r="BS189" s="514" t="str">
        <f t="shared" si="368"/>
        <v/>
      </c>
      <c r="BT189" s="68" t="str">
        <f>IF('Marks Entry'!AJ189="","",'Marks Entry'!AJ189)</f>
        <v/>
      </c>
      <c r="BU189" s="515" t="str">
        <f t="shared" si="369"/>
        <v/>
      </c>
      <c r="BV189" s="68" t="str">
        <f>IF('Marks Entry'!AK189="","",'Marks Entry'!AK189)</f>
        <v/>
      </c>
      <c r="BW189" s="96" t="str">
        <f t="shared" si="370"/>
        <v/>
      </c>
      <c r="BX189" s="65">
        <f t="shared" si="371"/>
        <v>0</v>
      </c>
      <c r="BY189" s="65">
        <f t="shared" si="372"/>
        <v>0</v>
      </c>
      <c r="BZ189" s="66" t="str">
        <f t="shared" si="373"/>
        <v/>
      </c>
      <c r="CA189" s="65" t="str">
        <f t="shared" si="374"/>
        <v/>
      </c>
      <c r="CB189" s="65" t="str">
        <f t="shared" si="375"/>
        <v/>
      </c>
      <c r="CC189" s="65" t="str">
        <f t="shared" si="376"/>
        <v/>
      </c>
      <c r="CD189" s="66">
        <f t="shared" si="497"/>
        <v>0</v>
      </c>
      <c r="CE189" s="68" t="str">
        <f>IF('Marks Entry'!AL189="","",'Marks Entry'!AL189)</f>
        <v/>
      </c>
      <c r="CF189" s="68" t="str">
        <f>IF('Marks Entry'!AM189="","",'Marks Entry'!AM189)</f>
        <v/>
      </c>
      <c r="CG189" s="68" t="str">
        <f>IF('Marks Entry'!AN189="","",'Marks Entry'!AN189)</f>
        <v/>
      </c>
      <c r="CH189" s="514" t="str">
        <f t="shared" si="378"/>
        <v/>
      </c>
      <c r="CI189" s="68" t="str">
        <f>IF('Marks Entry'!AO189="","",'Marks Entry'!AO189)</f>
        <v/>
      </c>
      <c r="CJ189" s="515" t="str">
        <f t="shared" si="379"/>
        <v/>
      </c>
      <c r="CK189" s="68" t="str">
        <f>IF('Marks Entry'!AP189="","",'Marks Entry'!AP189)</f>
        <v/>
      </c>
      <c r="CL189" s="96" t="str">
        <f t="shared" si="380"/>
        <v/>
      </c>
      <c r="CM189" s="65">
        <f t="shared" si="381"/>
        <v>0</v>
      </c>
      <c r="CN189" s="65">
        <f t="shared" si="382"/>
        <v>0</v>
      </c>
      <c r="CO189" s="66" t="str">
        <f t="shared" si="383"/>
        <v/>
      </c>
      <c r="CP189" s="65" t="str">
        <f t="shared" si="384"/>
        <v/>
      </c>
      <c r="CQ189" s="65" t="str">
        <f t="shared" si="385"/>
        <v/>
      </c>
      <c r="CR189" s="65" t="str">
        <f t="shared" si="386"/>
        <v/>
      </c>
      <c r="CS189" s="616" t="str">
        <f>IF('School Profile'!$D$20="NO","",IF('Marks Entry'!AQ189="","",IF('Marks Entry'!AQ189=1,'School Profile'!$I$29,IF('Marks Entry'!AQ189=2,'School Profile'!$I$30,IF('Marks Entry'!AQ189=3,'School Profile'!$I$31,IF('Marks Entry'!AQ189=4,'School Profile'!$I$32,IF('Marks Entry'!AQ189=5,'School Profile'!$I$33,IF('Marks Entry'!AQ189=6,'School Profile'!$I$34,IF('Marks Entry'!AQ189=7,'School Profile'!$I$35,IF('Marks Entry'!AQ189=8,'School Profile'!$I$36,IF('Marks Entry'!AQ189=9,'School Profile'!$I$37,IF('Marks Entry'!AQ189=10,'School Profile'!$I$38,IF('Marks Entry'!AQ189=11,'School Profile'!$I$39,"")))))))))))))</f>
        <v/>
      </c>
      <c r="CT189" s="68" t="str">
        <f>IF('School Profile'!$D$20="NO","",IF('Marks Entry'!AR189="","",'Marks Entry'!AR189))</f>
        <v/>
      </c>
      <c r="CU189" s="68" t="str">
        <f>IF('School Profile'!$D$20="NO","",IF('Marks Entry'!AS189="","",'Marks Entry'!AS189))</f>
        <v/>
      </c>
      <c r="CV189" s="68" t="str">
        <f>IF('School Profile'!$D$20="NO","",IF('Marks Entry'!AT189="","",'Marks Entry'!AT189))</f>
        <v/>
      </c>
      <c r="CW189" s="514" t="str">
        <f>IF('School Profile'!$D$20="NO","",IF(AND(CT189="",CU189="",CV189=""),"",SUM(CT189:CV189)))</f>
        <v/>
      </c>
      <c r="CX189" s="68" t="str">
        <f>IF('School Profile'!$D$20="NO","",IF('Marks Entry'!AU189="","",'Marks Entry'!AU189))</f>
        <v/>
      </c>
      <c r="CY189" s="68" t="str">
        <f>IF('School Profile'!$D$20="NO","",IF('Marks Entry'!AV189="","",'Marks Entry'!AV189))</f>
        <v/>
      </c>
      <c r="CZ189" s="515" t="str">
        <f>IF('School Profile'!$D$20="NO","",IF(AND(CX189="",CY189=""),"",SUM(CX189,CY189)))</f>
        <v/>
      </c>
      <c r="DA189" s="69" t="str">
        <f>IF('School Profile'!$D$20="NO","",IF(AND(CW189="",CZ189=""),"",SUM(CW189+CZ189)))</f>
        <v/>
      </c>
      <c r="DB189" s="68" t="str">
        <f>IF('School Profile'!$D$20="NO","",IF('Marks Entry'!AW189="","",'Marks Entry'!AW189))</f>
        <v/>
      </c>
      <c r="DC189" s="68" t="str">
        <f>IF('School Profile'!$D$20="NO","",IF('Marks Entry'!AX189="","",'Marks Entry'!AX189))</f>
        <v/>
      </c>
      <c r="DD189" s="515" t="str">
        <f>IF('School Profile'!$D$20="NO","",IF(AND(DB189="",DC189=""),"",SUM(DB189,DC189)))</f>
        <v/>
      </c>
      <c r="DE189" s="96" t="str">
        <f>IF('School Profile'!$D$20="NO","",IF(AND(DA189="",DD189=""),"",SUM(DA189,DD189)))</f>
        <v/>
      </c>
      <c r="DF189" s="532">
        <f t="shared" si="387"/>
        <v>0</v>
      </c>
      <c r="DG189" s="65">
        <f t="shared" si="388"/>
        <v>0</v>
      </c>
      <c r="DH189" s="66" t="str">
        <f t="shared" si="389"/>
        <v/>
      </c>
      <c r="DI189" s="65" t="str">
        <f t="shared" si="390"/>
        <v/>
      </c>
      <c r="DJ189" s="65" t="str">
        <f t="shared" si="391"/>
        <v/>
      </c>
      <c r="DK189" s="65" t="str">
        <f t="shared" si="392"/>
        <v/>
      </c>
      <c r="DL189" s="97" t="str">
        <f t="shared" si="432"/>
        <v/>
      </c>
      <c r="DM189" s="97" t="str">
        <f t="shared" si="433"/>
        <v/>
      </c>
      <c r="DN189" s="97" t="str">
        <f t="shared" si="434"/>
        <v/>
      </c>
      <c r="DO189" s="97" t="str">
        <f t="shared" si="435"/>
        <v/>
      </c>
      <c r="DP189" s="97" t="str">
        <f t="shared" si="436"/>
        <v/>
      </c>
      <c r="DQ189" s="97" t="str">
        <f t="shared" si="437"/>
        <v/>
      </c>
      <c r="DR189" s="97" t="str">
        <f t="shared" si="438"/>
        <v/>
      </c>
      <c r="DS189" s="98">
        <f t="shared" si="439"/>
        <v>0</v>
      </c>
      <c r="DT189" s="98">
        <f t="shared" si="440"/>
        <v>0</v>
      </c>
      <c r="DU189" s="98">
        <f t="shared" si="441"/>
        <v>0</v>
      </c>
      <c r="DV189" s="98">
        <f t="shared" si="442"/>
        <v>0</v>
      </c>
      <c r="DW189" s="98">
        <f t="shared" si="443"/>
        <v>0</v>
      </c>
      <c r="DX189" s="98" t="str">
        <f t="shared" si="444"/>
        <v/>
      </c>
      <c r="DY189" s="99" t="str">
        <f t="shared" si="445"/>
        <v/>
      </c>
      <c r="DZ189" s="74" t="str">
        <f>IF('Marks Entry'!AY189="","",'Marks Entry'!AY189)</f>
        <v/>
      </c>
      <c r="EA189" s="74" t="str">
        <f>IF('Marks Entry'!AZ189="","",'Marks Entry'!AZ189)</f>
        <v/>
      </c>
      <c r="EB189" s="74" t="str">
        <f>IF('Marks Entry'!BA189="","",'Marks Entry'!BA189)</f>
        <v/>
      </c>
      <c r="EC189" s="527" t="str">
        <f t="shared" si="393"/>
        <v/>
      </c>
      <c r="ED189" s="74" t="str">
        <f>IF('Marks Entry'!BB189="","",'Marks Entry'!BB189)</f>
        <v/>
      </c>
      <c r="EE189" s="528" t="str">
        <f t="shared" si="394"/>
        <v/>
      </c>
      <c r="EF189" s="74" t="str">
        <f>IF('Marks Entry'!BC189="","",'Marks Entry'!BC189)</f>
        <v/>
      </c>
      <c r="EG189" s="530" t="str">
        <f t="shared" si="395"/>
        <v/>
      </c>
      <c r="EH189" s="368" t="str">
        <f t="shared" si="446"/>
        <v/>
      </c>
      <c r="EI189" s="65">
        <f t="shared" si="447"/>
        <v>0</v>
      </c>
      <c r="EJ189" s="65">
        <f t="shared" si="448"/>
        <v>0</v>
      </c>
      <c r="EK189" s="66" t="str">
        <f t="shared" si="449"/>
        <v/>
      </c>
      <c r="EL189" s="74" t="str">
        <f>IF('Marks Entry'!BD189="","",'Marks Entry'!BD189)</f>
        <v/>
      </c>
      <c r="EM189" s="74" t="str">
        <f>IF('Marks Entry'!BE189="","",'Marks Entry'!BE189)</f>
        <v/>
      </c>
      <c r="EN189" s="74" t="str">
        <f>IF('Marks Entry'!BF189="","",'Marks Entry'!BF189)</f>
        <v/>
      </c>
      <c r="EO189" s="527" t="str">
        <f t="shared" si="396"/>
        <v/>
      </c>
      <c r="EP189" s="74" t="str">
        <f>IF('Marks Entry'!BG189="","",'Marks Entry'!BG189)</f>
        <v/>
      </c>
      <c r="EQ189" s="74" t="str">
        <f>IF('Marks Entry'!BH189="","",'Marks Entry'!BH189)</f>
        <v/>
      </c>
      <c r="ER189" s="528" t="str">
        <f t="shared" si="397"/>
        <v/>
      </c>
      <c r="ES189" s="529" t="str">
        <f t="shared" si="398"/>
        <v/>
      </c>
      <c r="ET189" s="74" t="str">
        <f>IF('Marks Entry'!BI189="","",'Marks Entry'!BI189)</f>
        <v/>
      </c>
      <c r="EU189" s="74" t="str">
        <f>IF('Marks Entry'!BJ189="","",'Marks Entry'!BJ189)</f>
        <v/>
      </c>
      <c r="EV189" s="528" t="str">
        <f t="shared" si="399"/>
        <v/>
      </c>
      <c r="EW189" s="530" t="str">
        <f t="shared" si="400"/>
        <v/>
      </c>
      <c r="EX189" s="368" t="str">
        <f t="shared" si="450"/>
        <v/>
      </c>
      <c r="EY189" s="65">
        <f t="shared" si="451"/>
        <v>0</v>
      </c>
      <c r="EZ189" s="65">
        <f t="shared" si="452"/>
        <v>0</v>
      </c>
      <c r="FA189" s="66" t="str">
        <f t="shared" si="453"/>
        <v/>
      </c>
      <c r="FB189" s="74" t="str">
        <f>IF('Marks Entry'!BK189="","",'Marks Entry'!BK189)</f>
        <v/>
      </c>
      <c r="FC189" s="74" t="str">
        <f>IF('Marks Entry'!BL189="","",'Marks Entry'!BL189)</f>
        <v/>
      </c>
      <c r="FD189" s="74" t="str">
        <f>IF('Marks Entry'!BM189="","",'Marks Entry'!BM189)</f>
        <v/>
      </c>
      <c r="FE189" s="74" t="str">
        <f>IF('Marks Entry'!BN189="","",'Marks Entry'!BN189)</f>
        <v/>
      </c>
      <c r="FF189" s="74" t="str">
        <f>IF('Marks Entry'!BO189="","",'Marks Entry'!BO189)</f>
        <v/>
      </c>
      <c r="FG189" s="74" t="str">
        <f>IF('Marks Entry'!BP189="","",'Marks Entry'!BP189)</f>
        <v/>
      </c>
      <c r="FH189" s="527" t="str">
        <f t="shared" si="401"/>
        <v/>
      </c>
      <c r="FI189" s="74" t="str">
        <f>IF('Marks Entry'!BQ189="","",'Marks Entry'!BQ189)</f>
        <v/>
      </c>
      <c r="FJ189" s="74" t="str">
        <f>IF('Marks Entry'!BR189="","",'Marks Entry'!BR189)</f>
        <v/>
      </c>
      <c r="FK189" s="528" t="str">
        <f t="shared" si="402"/>
        <v/>
      </c>
      <c r="FL189" s="529" t="str">
        <f t="shared" si="403"/>
        <v/>
      </c>
      <c r="FM189" s="74" t="str">
        <f>IF('Marks Entry'!BS189="","",'Marks Entry'!BS189)</f>
        <v/>
      </c>
      <c r="FN189" s="74" t="str">
        <f>IF('Marks Entry'!BT189="","",'Marks Entry'!BT189)</f>
        <v/>
      </c>
      <c r="FO189" s="528" t="str">
        <f t="shared" si="404"/>
        <v/>
      </c>
      <c r="FP189" s="530" t="str">
        <f t="shared" si="405"/>
        <v/>
      </c>
      <c r="FQ189" s="368" t="str">
        <f t="shared" si="454"/>
        <v/>
      </c>
      <c r="FR189" s="65">
        <f t="shared" si="455"/>
        <v>0</v>
      </c>
      <c r="FS189" s="65">
        <f t="shared" si="456"/>
        <v>0</v>
      </c>
      <c r="FT189" s="66" t="str">
        <f t="shared" si="457"/>
        <v/>
      </c>
      <c r="FU189" s="74" t="str">
        <f>IF('Marks Entry'!BU189="","",'Marks Entry'!BU189)</f>
        <v/>
      </c>
      <c r="FV189" s="74" t="str">
        <f>IF('Marks Entry'!BV189="","",'Marks Entry'!BV189)</f>
        <v/>
      </c>
      <c r="FW189" s="74" t="str">
        <f>IF('Marks Entry'!BW189="","",'Marks Entry'!BW189)</f>
        <v/>
      </c>
      <c r="FX189" s="75" t="str">
        <f t="shared" si="406"/>
        <v/>
      </c>
      <c r="FY189" s="368" t="str">
        <f t="shared" si="458"/>
        <v/>
      </c>
      <c r="FZ189" s="65">
        <f t="shared" si="459"/>
        <v>0</v>
      </c>
      <c r="GA189" s="66">
        <f t="shared" si="460"/>
        <v>0</v>
      </c>
      <c r="GB189" s="66" t="str">
        <f t="shared" si="461"/>
        <v/>
      </c>
      <c r="GC189" s="74" t="str">
        <f>IF('Marks Entry'!BX189="","",'Marks Entry'!BX189)</f>
        <v/>
      </c>
      <c r="GD189" s="74" t="str">
        <f>IF('Marks Entry'!BY189="","",'Marks Entry'!BY189)</f>
        <v/>
      </c>
      <c r="GE189" s="74" t="str">
        <f>IF('Marks Entry'!BZ189="","",'Marks Entry'!BZ189)</f>
        <v/>
      </c>
      <c r="GF189" s="75" t="str">
        <f t="shared" si="462"/>
        <v/>
      </c>
      <c r="GG189" s="368" t="str">
        <f t="shared" si="463"/>
        <v/>
      </c>
      <c r="GH189" s="65">
        <f t="shared" si="464"/>
        <v>0</v>
      </c>
      <c r="GI189" s="66">
        <f t="shared" si="465"/>
        <v>0</v>
      </c>
      <c r="GJ189" s="66" t="str">
        <f t="shared" si="466"/>
        <v/>
      </c>
      <c r="GK189" s="100" t="str">
        <f>IF(AND(F189="",B189=""),"",IF('Student DATA Entry'!M186="","",'Student DATA Entry'!M186))</f>
        <v/>
      </c>
      <c r="GL189" s="101" t="str">
        <f>IF(AND(B189="",F189=""),"",IF('Student DATA Entry'!N186="","",'Student DATA Entry'!N186))</f>
        <v/>
      </c>
      <c r="GM189" s="581" t="str">
        <f t="shared" si="467"/>
        <v/>
      </c>
      <c r="GN189" s="94" t="str">
        <f t="shared" si="468"/>
        <v/>
      </c>
      <c r="GO189" s="94" t="str">
        <f t="shared" si="469"/>
        <v/>
      </c>
      <c r="GP189" s="102" t="str">
        <f t="shared" si="498"/>
        <v/>
      </c>
      <c r="GQ189" s="94" t="str">
        <f t="shared" si="470"/>
        <v/>
      </c>
      <c r="GR189" s="103" t="str">
        <f t="shared" si="471"/>
        <v/>
      </c>
      <c r="GS189" s="102" t="str">
        <f t="shared" si="499"/>
        <v/>
      </c>
      <c r="GT189" s="104" t="str">
        <f t="shared" si="472"/>
        <v/>
      </c>
      <c r="GU189" s="94" t="str">
        <f>IF('Marks Entry'!V189=1,GT189,"")</f>
        <v/>
      </c>
      <c r="GV189" s="94" t="str">
        <f>IF('Marks Entry'!V189=2,GT189,"")</f>
        <v/>
      </c>
      <c r="GW189" s="94" t="str">
        <f>IF('Marks Entry'!V189=3,GT189,"")</f>
        <v/>
      </c>
      <c r="GX189" s="94" t="str">
        <f>IF('Marks Entry'!V189=4,GT189,"")</f>
        <v/>
      </c>
      <c r="GY189" s="94" t="str">
        <f>IF('Marks Entry'!V189=5,GT189,"")</f>
        <v/>
      </c>
      <c r="GZ189" s="94" t="str">
        <f t="shared" si="473"/>
        <v/>
      </c>
      <c r="HA189" s="105" t="str">
        <f t="shared" si="500"/>
        <v/>
      </c>
      <c r="HB189" s="94" t="str">
        <f t="shared" si="474"/>
        <v/>
      </c>
      <c r="HC189" s="94" t="str">
        <f t="shared" si="475"/>
        <v/>
      </c>
      <c r="HD189" s="105" t="str">
        <f t="shared" si="501"/>
        <v/>
      </c>
      <c r="HE189" s="94" t="str">
        <f t="shared" si="476"/>
        <v/>
      </c>
      <c r="HF189" s="94" t="str">
        <f t="shared" si="477"/>
        <v/>
      </c>
      <c r="HG189" s="105" t="str">
        <f t="shared" si="502"/>
        <v/>
      </c>
      <c r="HH189" s="94" t="str">
        <f t="shared" si="478"/>
        <v/>
      </c>
      <c r="HI189" s="94" t="str">
        <f t="shared" si="479"/>
        <v/>
      </c>
      <c r="HJ189" s="105" t="str">
        <f t="shared" si="503"/>
        <v/>
      </c>
      <c r="HK189" s="94" t="str">
        <f t="shared" si="480"/>
        <v/>
      </c>
      <c r="HL189" s="94" t="str">
        <f t="shared" si="481"/>
        <v/>
      </c>
      <c r="HM189" s="105" t="str">
        <f t="shared" si="504"/>
        <v/>
      </c>
      <c r="HN189" s="367" t="str">
        <f t="shared" si="482"/>
        <v xml:space="preserve">      </v>
      </c>
      <c r="HO189" s="418" t="str">
        <f t="shared" si="505"/>
        <v xml:space="preserve">      </v>
      </c>
      <c r="HP189" s="367" t="str">
        <f t="shared" si="483"/>
        <v xml:space="preserve">      </v>
      </c>
      <c r="HQ189" s="107" t="str">
        <f t="shared" si="484"/>
        <v xml:space="preserve">      </v>
      </c>
      <c r="HR189" s="366" t="str">
        <f t="shared" si="485"/>
        <v xml:space="preserve">      </v>
      </c>
      <c r="HS189" s="544" t="str">
        <f t="shared" si="506"/>
        <v/>
      </c>
      <c r="HT189" s="542" t="str">
        <f t="shared" si="486"/>
        <v/>
      </c>
      <c r="HU189" s="541" t="str">
        <f t="shared" si="487"/>
        <v/>
      </c>
      <c r="HV189" s="540" t="str">
        <f t="shared" si="488"/>
        <v/>
      </c>
      <c r="HW189" s="537" t="str">
        <f t="shared" si="489"/>
        <v/>
      </c>
      <c r="HX189" s="539" t="str">
        <f t="shared" si="490"/>
        <v/>
      </c>
      <c r="HY189" s="553" t="str">
        <f>IFERROR(IF(OR(HS189="SUPPLEMENTARY",HS189="RE-EXAM"),'Supp. Result Entry'!AQ187,""),"")</f>
        <v/>
      </c>
      <c r="HZ189" s="538" t="str">
        <f t="shared" si="491"/>
        <v/>
      </c>
      <c r="IA189" s="415" t="str">
        <f t="shared" si="492"/>
        <v/>
      </c>
      <c r="IB189" s="415" t="str">
        <f>IF(AND(HZ189="",IA189=""),"",IF(OR(HS189="SUPPLEMENTARY",HS189="RE-EXAM"),'Supp. Result Entry'!AQ187,HS189))</f>
        <v/>
      </c>
      <c r="IC189" s="87"/>
      <c r="IS189" s="109" t="str">
        <f>IF('Supp. Result Entry'!T187="","",'Supp. Result Entry'!$T$4)</f>
        <v/>
      </c>
      <c r="IT189" s="110" t="str">
        <f>IF('Supp. Result Entry'!W187="","",'Supp. Result Entry'!$W$4)</f>
        <v/>
      </c>
      <c r="IU189" s="110" t="str">
        <f>IF('Supp. Result Entry'!Z187="","",'Supp. Result Entry'!$Z$4)</f>
        <v/>
      </c>
      <c r="IV189" s="110" t="str">
        <f>IF('Supp. Result Entry'!AC187="","",'Supp. Result Entry'!$AC$4)</f>
        <v/>
      </c>
      <c r="IW189" s="110" t="str">
        <f>IF('Supp. Result Entry'!AF187="","",'Supp. Result Entry'!$AF$4)</f>
        <v/>
      </c>
      <c r="IX189" s="110" t="str">
        <f>IF('Supp. Result Entry'!AI187="","",'Supp. Result Entry'!$AI$4)</f>
        <v/>
      </c>
      <c r="IY189" s="110" t="str">
        <f>IF('Supp. Result Entry'!AI187="","",'Supp. Result Entry'!$AL$4)</f>
        <v/>
      </c>
      <c r="IZ189" s="110" t="str">
        <f>IF('Supp. Result Entry'!U187="","",'Supp. Result Entry'!U187)</f>
        <v/>
      </c>
      <c r="JA189" s="110" t="str">
        <f>IF('Supp. Result Entry'!X187="","",'Supp. Result Entry'!X187)</f>
        <v/>
      </c>
      <c r="JB189" s="110" t="str">
        <f>IF('Supp. Result Entry'!AA187="","",'Supp. Result Entry'!AA187)</f>
        <v/>
      </c>
      <c r="JC189" s="110" t="str">
        <f>IF('Supp. Result Entry'!AD187="","",'Supp. Result Entry'!AD187)</f>
        <v/>
      </c>
      <c r="JD189" s="110" t="str">
        <f>IF('Supp. Result Entry'!AG187="","",'Supp. Result Entry'!AG187)</f>
        <v/>
      </c>
      <c r="JE189" s="110" t="str">
        <f>IF('Supp. Result Entry'!AJ187="","",'Supp. Result Entry'!AJ187)</f>
        <v/>
      </c>
      <c r="JF189" s="110" t="str">
        <f>IF('Supp. Result Entry'!AM187="","",'Supp. Result Entry'!AM187)</f>
        <v/>
      </c>
      <c r="JG189" s="110" t="str">
        <f>IF('Supp. Result Entry'!V187="","",'Supp. Result Entry'!V187)</f>
        <v/>
      </c>
      <c r="JH189" s="110" t="str">
        <f>IF('Supp. Result Entry'!Y187="","",'Supp. Result Entry'!Y187)</f>
        <v/>
      </c>
      <c r="JI189" s="110" t="str">
        <f>IF('Supp. Result Entry'!AB187="","",'Supp. Result Entry'!AB187)</f>
        <v/>
      </c>
      <c r="JJ189" s="110" t="str">
        <f>IF('Supp. Result Entry'!AE187="","",'Supp. Result Entry'!AE187)</f>
        <v/>
      </c>
      <c r="JK189" s="110" t="str">
        <f>IF('Supp. Result Entry'!AH187="","",'Supp. Result Entry'!AH187)</f>
        <v/>
      </c>
      <c r="JL189" s="110" t="str">
        <f>IF('Supp. Result Entry'!AK187="","",'Supp. Result Entry'!AK187)</f>
        <v/>
      </c>
      <c r="JM189" s="110" t="str">
        <f>IF('Supp. Result Entry'!AN187="","",'Supp. Result Entry'!AN187)</f>
        <v/>
      </c>
      <c r="JN189" s="110">
        <f>COUNTIF('Supp. Result Entry'!K187:Q187,"S")</f>
        <v>0</v>
      </c>
      <c r="JO189" s="110">
        <f t="shared" si="416"/>
        <v>0</v>
      </c>
      <c r="JP189" s="110">
        <f t="shared" si="493"/>
        <v>0</v>
      </c>
      <c r="JQ189" s="110" t="str">
        <f t="shared" si="417"/>
        <v/>
      </c>
      <c r="JR189" s="110" t="str">
        <f t="shared" si="418"/>
        <v/>
      </c>
      <c r="JS189" s="110" t="str">
        <f t="shared" si="419"/>
        <v/>
      </c>
      <c r="JT189" s="110" t="str">
        <f t="shared" si="420"/>
        <v/>
      </c>
      <c r="JU189" s="110" t="str">
        <f t="shared" si="421"/>
        <v/>
      </c>
      <c r="JV189" s="110" t="str">
        <f t="shared" si="422"/>
        <v/>
      </c>
      <c r="JW189" s="110" t="str">
        <f t="shared" si="423"/>
        <v/>
      </c>
      <c r="JX189" s="110" t="str">
        <f t="shared" si="494"/>
        <v/>
      </c>
      <c r="JY189" s="110" t="str">
        <f t="shared" si="495"/>
        <v/>
      </c>
      <c r="JZ189" s="110" t="str">
        <f t="shared" si="424"/>
        <v/>
      </c>
      <c r="KA189" s="108" t="str">
        <f t="shared" si="496"/>
        <v/>
      </c>
    </row>
    <row r="190" spans="1:287" s="108" customFormat="1" ht="21.95" customHeight="1">
      <c r="A190" s="89">
        <v>184</v>
      </c>
      <c r="B190" s="90" t="str">
        <f>IF('Marks Entry'!B190="","",'Marks Entry'!B190)</f>
        <v/>
      </c>
      <c r="C190" s="94" t="str">
        <f>IF('Marks Entry'!D190="","",'Marks Entry'!D190)</f>
        <v/>
      </c>
      <c r="D190" s="91" t="str">
        <f>IF('Marks Entry'!E190="","",'Marks Entry'!E190)</f>
        <v/>
      </c>
      <c r="E190" s="92" t="str">
        <f>IF('Marks Entry'!F190="","",'Marks Entry'!F190)</f>
        <v/>
      </c>
      <c r="F190" s="93" t="str">
        <f>IF('Marks Entry'!G190="","",'Marks Entry'!G190)</f>
        <v/>
      </c>
      <c r="G190" s="93" t="str">
        <f>IF('Marks Entry'!H190="","",'Marks Entry'!H190)</f>
        <v/>
      </c>
      <c r="H190" s="93" t="str">
        <f>IF('Marks Entry'!I190="","",'Marks Entry'!I190)</f>
        <v/>
      </c>
      <c r="I190" s="94" t="str">
        <f>IF('Marks Entry'!J190="","",'Marks Entry'!J190)</f>
        <v/>
      </c>
      <c r="J190" s="95" t="str">
        <f>IF('Marks Entry'!K190="","",'Marks Entry'!K190)</f>
        <v/>
      </c>
      <c r="K190" s="68" t="str">
        <f>IF('Marks Entry'!L190="","",'Marks Entry'!L190)</f>
        <v/>
      </c>
      <c r="L190" s="68" t="str">
        <f>IF('Marks Entry'!M190="","",'Marks Entry'!M190)</f>
        <v/>
      </c>
      <c r="M190" s="68" t="str">
        <f>IF('Marks Entry'!N190="","",'Marks Entry'!N190)</f>
        <v/>
      </c>
      <c r="N190" s="514" t="str">
        <f t="shared" si="425"/>
        <v/>
      </c>
      <c r="O190" s="68" t="str">
        <f>IF('Marks Entry'!O190="","",'Marks Entry'!O190)</f>
        <v/>
      </c>
      <c r="P190" s="515" t="str">
        <f t="shared" si="426"/>
        <v/>
      </c>
      <c r="Q190" s="68" t="str">
        <f>IF('Marks Entry'!P190="","",'Marks Entry'!P190)</f>
        <v/>
      </c>
      <c r="R190" s="96" t="str">
        <f t="shared" si="427"/>
        <v/>
      </c>
      <c r="S190" s="65">
        <f t="shared" si="428"/>
        <v>0</v>
      </c>
      <c r="T190" s="65">
        <f t="shared" si="429"/>
        <v>0</v>
      </c>
      <c r="U190" s="66" t="str">
        <f t="shared" si="339"/>
        <v/>
      </c>
      <c r="V190" s="65" t="str">
        <f t="shared" si="340"/>
        <v/>
      </c>
      <c r="W190" s="65" t="str">
        <f t="shared" si="430"/>
        <v/>
      </c>
      <c r="X190" s="65" t="str">
        <f t="shared" si="341"/>
        <v/>
      </c>
      <c r="Y190" s="68" t="str">
        <f>IF('Marks Entry'!Q190="","",'Marks Entry'!Q190)</f>
        <v/>
      </c>
      <c r="Z190" s="68" t="str">
        <f>IF('Marks Entry'!R190="","",'Marks Entry'!R190)</f>
        <v/>
      </c>
      <c r="AA190" s="68" t="str">
        <f>IF('Marks Entry'!S190="","",'Marks Entry'!S190)</f>
        <v/>
      </c>
      <c r="AB190" s="514" t="str">
        <f t="shared" si="342"/>
        <v/>
      </c>
      <c r="AC190" s="68" t="str">
        <f>IF('Marks Entry'!T190="","",'Marks Entry'!T190)</f>
        <v/>
      </c>
      <c r="AD190" s="515" t="str">
        <f t="shared" si="343"/>
        <v/>
      </c>
      <c r="AE190" s="68" t="str">
        <f>IF('Marks Entry'!U190="","",'Marks Entry'!U190)</f>
        <v/>
      </c>
      <c r="AF190" s="96" t="str">
        <f t="shared" si="344"/>
        <v/>
      </c>
      <c r="AG190" s="65">
        <f t="shared" si="345"/>
        <v>0</v>
      </c>
      <c r="AH190" s="65">
        <f t="shared" si="346"/>
        <v>0</v>
      </c>
      <c r="AI190" s="66" t="str">
        <f t="shared" si="347"/>
        <v/>
      </c>
      <c r="AJ190" s="65" t="str">
        <f t="shared" si="348"/>
        <v/>
      </c>
      <c r="AK190" s="65" t="str">
        <f t="shared" si="349"/>
        <v/>
      </c>
      <c r="AL190" s="65" t="str">
        <f t="shared" si="350"/>
        <v/>
      </c>
      <c r="AM190" s="524" t="str">
        <f>IF('Marks Entry'!V190="","",IF('Marks Entry'!V190=1,'School Profile'!$I$9,IF('Marks Entry'!V190=2,'School Profile'!$I$10,IF('Marks Entry'!V190=3,'School Profile'!$I$11,IF('Marks Entry'!V190=4,'School Profile'!$I$12,IF('Marks Entry'!V190=5,'School Profile'!$I$13,IF('Marks Entry'!V190=6,'School Profile'!$I$14,"")))))))</f>
        <v/>
      </c>
      <c r="AN190" s="68" t="str">
        <f>IF('Marks Entry'!W190="","",'Marks Entry'!W190)</f>
        <v/>
      </c>
      <c r="AO190" s="68" t="str">
        <f>IF('Marks Entry'!X190="","",'Marks Entry'!X190)</f>
        <v/>
      </c>
      <c r="AP190" s="68" t="str">
        <f>IF('Marks Entry'!Y190="","",'Marks Entry'!Y190)</f>
        <v/>
      </c>
      <c r="AQ190" s="514" t="str">
        <f t="shared" si="351"/>
        <v/>
      </c>
      <c r="AR190" s="68" t="str">
        <f>IF('Marks Entry'!Z190="","",'Marks Entry'!Z190)</f>
        <v/>
      </c>
      <c r="AS190" s="515" t="str">
        <f t="shared" si="352"/>
        <v/>
      </c>
      <c r="AT190" s="68" t="str">
        <f>IF('Marks Entry'!AA190="","",'Marks Entry'!AA190)</f>
        <v/>
      </c>
      <c r="AU190" s="96" t="str">
        <f t="shared" si="353"/>
        <v/>
      </c>
      <c r="AV190" s="65">
        <f t="shared" si="354"/>
        <v>0</v>
      </c>
      <c r="AW190" s="65">
        <f t="shared" si="355"/>
        <v>0</v>
      </c>
      <c r="AX190" s="66" t="str">
        <f t="shared" si="356"/>
        <v/>
      </c>
      <c r="AY190" s="65" t="str">
        <f t="shared" si="357"/>
        <v/>
      </c>
      <c r="AZ190" s="65" t="str">
        <f t="shared" si="358"/>
        <v/>
      </c>
      <c r="BA190" s="65" t="str">
        <f t="shared" si="359"/>
        <v/>
      </c>
      <c r="BB190" s="68" t="str">
        <f>IF('Marks Entry'!AB190="","",'Marks Entry'!AB190)</f>
        <v/>
      </c>
      <c r="BC190" s="68" t="str">
        <f>IF('Marks Entry'!AC190="","",'Marks Entry'!AC190)</f>
        <v/>
      </c>
      <c r="BD190" s="68" t="str">
        <f>IF('Marks Entry'!AD190="","",'Marks Entry'!AD190)</f>
        <v/>
      </c>
      <c r="BE190" s="514" t="str">
        <f t="shared" si="360"/>
        <v/>
      </c>
      <c r="BF190" s="68" t="str">
        <f>IF('Marks Entry'!AE190="","",'Marks Entry'!AE190)</f>
        <v/>
      </c>
      <c r="BG190" s="515" t="str">
        <f t="shared" si="361"/>
        <v/>
      </c>
      <c r="BH190" s="68" t="str">
        <f>IF('Marks Entry'!AF190="","",'Marks Entry'!AF190)</f>
        <v/>
      </c>
      <c r="BI190" s="96" t="str">
        <f t="shared" si="362"/>
        <v/>
      </c>
      <c r="BJ190" s="65">
        <f t="shared" si="363"/>
        <v>0</v>
      </c>
      <c r="BK190" s="65">
        <f t="shared" si="431"/>
        <v>0</v>
      </c>
      <c r="BL190" s="66" t="str">
        <f t="shared" si="364"/>
        <v/>
      </c>
      <c r="BM190" s="65" t="str">
        <f t="shared" si="365"/>
        <v/>
      </c>
      <c r="BN190" s="65" t="str">
        <f t="shared" si="366"/>
        <v/>
      </c>
      <c r="BO190" s="65" t="str">
        <f t="shared" si="367"/>
        <v/>
      </c>
      <c r="BP190" s="68" t="str">
        <f>IF('Marks Entry'!AG190="","",'Marks Entry'!AG190)</f>
        <v/>
      </c>
      <c r="BQ190" s="68" t="str">
        <f>IF('Marks Entry'!AH190="","",'Marks Entry'!AH190)</f>
        <v/>
      </c>
      <c r="BR190" s="68" t="str">
        <f>IF('Marks Entry'!AI190="","",'Marks Entry'!AI190)</f>
        <v/>
      </c>
      <c r="BS190" s="514" t="str">
        <f t="shared" si="368"/>
        <v/>
      </c>
      <c r="BT190" s="68" t="str">
        <f>IF('Marks Entry'!AJ190="","",'Marks Entry'!AJ190)</f>
        <v/>
      </c>
      <c r="BU190" s="515" t="str">
        <f t="shared" si="369"/>
        <v/>
      </c>
      <c r="BV190" s="68" t="str">
        <f>IF('Marks Entry'!AK190="","",'Marks Entry'!AK190)</f>
        <v/>
      </c>
      <c r="BW190" s="96" t="str">
        <f t="shared" si="370"/>
        <v/>
      </c>
      <c r="BX190" s="65">
        <f t="shared" si="371"/>
        <v>0</v>
      </c>
      <c r="BY190" s="65">
        <f t="shared" si="372"/>
        <v>0</v>
      </c>
      <c r="BZ190" s="66" t="str">
        <f t="shared" si="373"/>
        <v/>
      </c>
      <c r="CA190" s="65" t="str">
        <f t="shared" si="374"/>
        <v/>
      </c>
      <c r="CB190" s="65" t="str">
        <f t="shared" si="375"/>
        <v/>
      </c>
      <c r="CC190" s="65" t="str">
        <f t="shared" si="376"/>
        <v/>
      </c>
      <c r="CD190" s="66">
        <f t="shared" si="497"/>
        <v>0</v>
      </c>
      <c r="CE190" s="68" t="str">
        <f>IF('Marks Entry'!AL190="","",'Marks Entry'!AL190)</f>
        <v/>
      </c>
      <c r="CF190" s="68" t="str">
        <f>IF('Marks Entry'!AM190="","",'Marks Entry'!AM190)</f>
        <v/>
      </c>
      <c r="CG190" s="68" t="str">
        <f>IF('Marks Entry'!AN190="","",'Marks Entry'!AN190)</f>
        <v/>
      </c>
      <c r="CH190" s="514" t="str">
        <f t="shared" si="378"/>
        <v/>
      </c>
      <c r="CI190" s="68" t="str">
        <f>IF('Marks Entry'!AO190="","",'Marks Entry'!AO190)</f>
        <v/>
      </c>
      <c r="CJ190" s="515" t="str">
        <f t="shared" si="379"/>
        <v/>
      </c>
      <c r="CK190" s="68" t="str">
        <f>IF('Marks Entry'!AP190="","",'Marks Entry'!AP190)</f>
        <v/>
      </c>
      <c r="CL190" s="96" t="str">
        <f t="shared" si="380"/>
        <v/>
      </c>
      <c r="CM190" s="65">
        <f t="shared" si="381"/>
        <v>0</v>
      </c>
      <c r="CN190" s="65">
        <f t="shared" si="382"/>
        <v>0</v>
      </c>
      <c r="CO190" s="66" t="str">
        <f t="shared" si="383"/>
        <v/>
      </c>
      <c r="CP190" s="65" t="str">
        <f t="shared" si="384"/>
        <v/>
      </c>
      <c r="CQ190" s="65" t="str">
        <f t="shared" si="385"/>
        <v/>
      </c>
      <c r="CR190" s="65" t="str">
        <f t="shared" si="386"/>
        <v/>
      </c>
      <c r="CS190" s="616" t="str">
        <f>IF('School Profile'!$D$20="NO","",IF('Marks Entry'!AQ190="","",IF('Marks Entry'!AQ190=1,'School Profile'!$I$29,IF('Marks Entry'!AQ190=2,'School Profile'!$I$30,IF('Marks Entry'!AQ190=3,'School Profile'!$I$31,IF('Marks Entry'!AQ190=4,'School Profile'!$I$32,IF('Marks Entry'!AQ190=5,'School Profile'!$I$33,IF('Marks Entry'!AQ190=6,'School Profile'!$I$34,IF('Marks Entry'!AQ190=7,'School Profile'!$I$35,IF('Marks Entry'!AQ190=8,'School Profile'!$I$36,IF('Marks Entry'!AQ190=9,'School Profile'!$I$37,IF('Marks Entry'!AQ190=10,'School Profile'!$I$38,IF('Marks Entry'!AQ190=11,'School Profile'!$I$39,"")))))))))))))</f>
        <v/>
      </c>
      <c r="CT190" s="68" t="str">
        <f>IF('School Profile'!$D$20="NO","",IF('Marks Entry'!AR190="","",'Marks Entry'!AR190))</f>
        <v/>
      </c>
      <c r="CU190" s="68" t="str">
        <f>IF('School Profile'!$D$20="NO","",IF('Marks Entry'!AS190="","",'Marks Entry'!AS190))</f>
        <v/>
      </c>
      <c r="CV190" s="68" t="str">
        <f>IF('School Profile'!$D$20="NO","",IF('Marks Entry'!AT190="","",'Marks Entry'!AT190))</f>
        <v/>
      </c>
      <c r="CW190" s="514" t="str">
        <f>IF('School Profile'!$D$20="NO","",IF(AND(CT190="",CU190="",CV190=""),"",SUM(CT190:CV190)))</f>
        <v/>
      </c>
      <c r="CX190" s="68" t="str">
        <f>IF('School Profile'!$D$20="NO","",IF('Marks Entry'!AU190="","",'Marks Entry'!AU190))</f>
        <v/>
      </c>
      <c r="CY190" s="68" t="str">
        <f>IF('School Profile'!$D$20="NO","",IF('Marks Entry'!AV190="","",'Marks Entry'!AV190))</f>
        <v/>
      </c>
      <c r="CZ190" s="515" t="str">
        <f>IF('School Profile'!$D$20="NO","",IF(AND(CX190="",CY190=""),"",SUM(CX190,CY190)))</f>
        <v/>
      </c>
      <c r="DA190" s="69" t="str">
        <f>IF('School Profile'!$D$20="NO","",IF(AND(CW190="",CZ190=""),"",SUM(CW190+CZ190)))</f>
        <v/>
      </c>
      <c r="DB190" s="68" t="str">
        <f>IF('School Profile'!$D$20="NO","",IF('Marks Entry'!AW190="","",'Marks Entry'!AW190))</f>
        <v/>
      </c>
      <c r="DC190" s="68" t="str">
        <f>IF('School Profile'!$D$20="NO","",IF('Marks Entry'!AX190="","",'Marks Entry'!AX190))</f>
        <v/>
      </c>
      <c r="DD190" s="515" t="str">
        <f>IF('School Profile'!$D$20="NO","",IF(AND(DB190="",DC190=""),"",SUM(DB190,DC190)))</f>
        <v/>
      </c>
      <c r="DE190" s="96" t="str">
        <f>IF('School Profile'!$D$20="NO","",IF(AND(DA190="",DD190=""),"",SUM(DA190,DD190)))</f>
        <v/>
      </c>
      <c r="DF190" s="532">
        <f t="shared" si="387"/>
        <v>0</v>
      </c>
      <c r="DG190" s="65">
        <f t="shared" si="388"/>
        <v>0</v>
      </c>
      <c r="DH190" s="66" t="str">
        <f t="shared" si="389"/>
        <v/>
      </c>
      <c r="DI190" s="65" t="str">
        <f t="shared" si="390"/>
        <v/>
      </c>
      <c r="DJ190" s="65" t="str">
        <f t="shared" si="391"/>
        <v/>
      </c>
      <c r="DK190" s="65" t="str">
        <f t="shared" si="392"/>
        <v/>
      </c>
      <c r="DL190" s="97" t="str">
        <f t="shared" si="432"/>
        <v/>
      </c>
      <c r="DM190" s="97" t="str">
        <f t="shared" si="433"/>
        <v/>
      </c>
      <c r="DN190" s="97" t="str">
        <f t="shared" si="434"/>
        <v/>
      </c>
      <c r="DO190" s="97" t="str">
        <f t="shared" si="435"/>
        <v/>
      </c>
      <c r="DP190" s="97" t="str">
        <f t="shared" si="436"/>
        <v/>
      </c>
      <c r="DQ190" s="97" t="str">
        <f t="shared" si="437"/>
        <v/>
      </c>
      <c r="DR190" s="97" t="str">
        <f t="shared" si="438"/>
        <v/>
      </c>
      <c r="DS190" s="98">
        <f t="shared" si="439"/>
        <v>0</v>
      </c>
      <c r="DT190" s="98">
        <f t="shared" si="440"/>
        <v>0</v>
      </c>
      <c r="DU190" s="98">
        <f t="shared" si="441"/>
        <v>0</v>
      </c>
      <c r="DV190" s="98">
        <f t="shared" si="442"/>
        <v>0</v>
      </c>
      <c r="DW190" s="98">
        <f t="shared" si="443"/>
        <v>0</v>
      </c>
      <c r="DX190" s="98" t="str">
        <f t="shared" si="444"/>
        <v/>
      </c>
      <c r="DY190" s="99" t="str">
        <f t="shared" si="445"/>
        <v/>
      </c>
      <c r="DZ190" s="74" t="str">
        <f>IF('Marks Entry'!AY190="","",'Marks Entry'!AY190)</f>
        <v/>
      </c>
      <c r="EA190" s="74" t="str">
        <f>IF('Marks Entry'!AZ190="","",'Marks Entry'!AZ190)</f>
        <v/>
      </c>
      <c r="EB190" s="74" t="str">
        <f>IF('Marks Entry'!BA190="","",'Marks Entry'!BA190)</f>
        <v/>
      </c>
      <c r="EC190" s="527" t="str">
        <f t="shared" si="393"/>
        <v/>
      </c>
      <c r="ED190" s="74" t="str">
        <f>IF('Marks Entry'!BB190="","",'Marks Entry'!BB190)</f>
        <v/>
      </c>
      <c r="EE190" s="528" t="str">
        <f t="shared" si="394"/>
        <v/>
      </c>
      <c r="EF190" s="74" t="str">
        <f>IF('Marks Entry'!BC190="","",'Marks Entry'!BC190)</f>
        <v/>
      </c>
      <c r="EG190" s="530" t="str">
        <f t="shared" si="395"/>
        <v/>
      </c>
      <c r="EH190" s="368" t="str">
        <f t="shared" si="446"/>
        <v/>
      </c>
      <c r="EI190" s="65">
        <f t="shared" si="447"/>
        <v>0</v>
      </c>
      <c r="EJ190" s="65">
        <f t="shared" si="448"/>
        <v>0</v>
      </c>
      <c r="EK190" s="66" t="str">
        <f t="shared" si="449"/>
        <v/>
      </c>
      <c r="EL190" s="74" t="str">
        <f>IF('Marks Entry'!BD190="","",'Marks Entry'!BD190)</f>
        <v/>
      </c>
      <c r="EM190" s="74" t="str">
        <f>IF('Marks Entry'!BE190="","",'Marks Entry'!BE190)</f>
        <v/>
      </c>
      <c r="EN190" s="74" t="str">
        <f>IF('Marks Entry'!BF190="","",'Marks Entry'!BF190)</f>
        <v/>
      </c>
      <c r="EO190" s="527" t="str">
        <f t="shared" si="396"/>
        <v/>
      </c>
      <c r="EP190" s="74" t="str">
        <f>IF('Marks Entry'!BG190="","",'Marks Entry'!BG190)</f>
        <v/>
      </c>
      <c r="EQ190" s="74" t="str">
        <f>IF('Marks Entry'!BH190="","",'Marks Entry'!BH190)</f>
        <v/>
      </c>
      <c r="ER190" s="528" t="str">
        <f t="shared" si="397"/>
        <v/>
      </c>
      <c r="ES190" s="529" t="str">
        <f t="shared" si="398"/>
        <v/>
      </c>
      <c r="ET190" s="74" t="str">
        <f>IF('Marks Entry'!BI190="","",'Marks Entry'!BI190)</f>
        <v/>
      </c>
      <c r="EU190" s="74" t="str">
        <f>IF('Marks Entry'!BJ190="","",'Marks Entry'!BJ190)</f>
        <v/>
      </c>
      <c r="EV190" s="528" t="str">
        <f t="shared" si="399"/>
        <v/>
      </c>
      <c r="EW190" s="530" t="str">
        <f t="shared" si="400"/>
        <v/>
      </c>
      <c r="EX190" s="368" t="str">
        <f t="shared" si="450"/>
        <v/>
      </c>
      <c r="EY190" s="65">
        <f t="shared" si="451"/>
        <v>0</v>
      </c>
      <c r="EZ190" s="65">
        <f t="shared" si="452"/>
        <v>0</v>
      </c>
      <c r="FA190" s="66" t="str">
        <f t="shared" si="453"/>
        <v/>
      </c>
      <c r="FB190" s="74" t="str">
        <f>IF('Marks Entry'!BK190="","",'Marks Entry'!BK190)</f>
        <v/>
      </c>
      <c r="FC190" s="74" t="str">
        <f>IF('Marks Entry'!BL190="","",'Marks Entry'!BL190)</f>
        <v/>
      </c>
      <c r="FD190" s="74" t="str">
        <f>IF('Marks Entry'!BM190="","",'Marks Entry'!BM190)</f>
        <v/>
      </c>
      <c r="FE190" s="74" t="str">
        <f>IF('Marks Entry'!BN190="","",'Marks Entry'!BN190)</f>
        <v/>
      </c>
      <c r="FF190" s="74" t="str">
        <f>IF('Marks Entry'!BO190="","",'Marks Entry'!BO190)</f>
        <v/>
      </c>
      <c r="FG190" s="74" t="str">
        <f>IF('Marks Entry'!BP190="","",'Marks Entry'!BP190)</f>
        <v/>
      </c>
      <c r="FH190" s="527" t="str">
        <f t="shared" si="401"/>
        <v/>
      </c>
      <c r="FI190" s="74" t="str">
        <f>IF('Marks Entry'!BQ190="","",'Marks Entry'!BQ190)</f>
        <v/>
      </c>
      <c r="FJ190" s="74" t="str">
        <f>IF('Marks Entry'!BR190="","",'Marks Entry'!BR190)</f>
        <v/>
      </c>
      <c r="FK190" s="528" t="str">
        <f t="shared" si="402"/>
        <v/>
      </c>
      <c r="FL190" s="529" t="str">
        <f t="shared" si="403"/>
        <v/>
      </c>
      <c r="FM190" s="74" t="str">
        <f>IF('Marks Entry'!BS190="","",'Marks Entry'!BS190)</f>
        <v/>
      </c>
      <c r="FN190" s="74" t="str">
        <f>IF('Marks Entry'!BT190="","",'Marks Entry'!BT190)</f>
        <v/>
      </c>
      <c r="FO190" s="528" t="str">
        <f t="shared" si="404"/>
        <v/>
      </c>
      <c r="FP190" s="530" t="str">
        <f t="shared" si="405"/>
        <v/>
      </c>
      <c r="FQ190" s="368" t="str">
        <f t="shared" si="454"/>
        <v/>
      </c>
      <c r="FR190" s="65">
        <f t="shared" si="455"/>
        <v>0</v>
      </c>
      <c r="FS190" s="65">
        <f t="shared" si="456"/>
        <v>0</v>
      </c>
      <c r="FT190" s="66" t="str">
        <f t="shared" si="457"/>
        <v/>
      </c>
      <c r="FU190" s="74" t="str">
        <f>IF('Marks Entry'!BU190="","",'Marks Entry'!BU190)</f>
        <v/>
      </c>
      <c r="FV190" s="74" t="str">
        <f>IF('Marks Entry'!BV190="","",'Marks Entry'!BV190)</f>
        <v/>
      </c>
      <c r="FW190" s="74" t="str">
        <f>IF('Marks Entry'!BW190="","",'Marks Entry'!BW190)</f>
        <v/>
      </c>
      <c r="FX190" s="75" t="str">
        <f t="shared" si="406"/>
        <v/>
      </c>
      <c r="FY190" s="368" t="str">
        <f t="shared" si="458"/>
        <v/>
      </c>
      <c r="FZ190" s="65">
        <f t="shared" si="459"/>
        <v>0</v>
      </c>
      <c r="GA190" s="66">
        <f t="shared" si="460"/>
        <v>0</v>
      </c>
      <c r="GB190" s="66" t="str">
        <f t="shared" si="461"/>
        <v/>
      </c>
      <c r="GC190" s="74" t="str">
        <f>IF('Marks Entry'!BX190="","",'Marks Entry'!BX190)</f>
        <v/>
      </c>
      <c r="GD190" s="74" t="str">
        <f>IF('Marks Entry'!BY190="","",'Marks Entry'!BY190)</f>
        <v/>
      </c>
      <c r="GE190" s="74" t="str">
        <f>IF('Marks Entry'!BZ190="","",'Marks Entry'!BZ190)</f>
        <v/>
      </c>
      <c r="GF190" s="75" t="str">
        <f t="shared" si="462"/>
        <v/>
      </c>
      <c r="GG190" s="368" t="str">
        <f t="shared" si="463"/>
        <v/>
      </c>
      <c r="GH190" s="65">
        <f t="shared" si="464"/>
        <v>0</v>
      </c>
      <c r="GI190" s="66">
        <f t="shared" si="465"/>
        <v>0</v>
      </c>
      <c r="GJ190" s="66" t="str">
        <f t="shared" si="466"/>
        <v/>
      </c>
      <c r="GK190" s="100" t="str">
        <f>IF(AND(F190="",B190=""),"",IF('Student DATA Entry'!M187="","",'Student DATA Entry'!M187))</f>
        <v/>
      </c>
      <c r="GL190" s="101" t="str">
        <f>IF(AND(B190="",F190=""),"",IF('Student DATA Entry'!N187="","",'Student DATA Entry'!N187))</f>
        <v/>
      </c>
      <c r="GM190" s="581" t="str">
        <f t="shared" si="467"/>
        <v/>
      </c>
      <c r="GN190" s="94" t="str">
        <f t="shared" si="468"/>
        <v/>
      </c>
      <c r="GO190" s="94" t="str">
        <f t="shared" si="469"/>
        <v/>
      </c>
      <c r="GP190" s="102" t="str">
        <f t="shared" si="498"/>
        <v/>
      </c>
      <c r="GQ190" s="94" t="str">
        <f t="shared" si="470"/>
        <v/>
      </c>
      <c r="GR190" s="103" t="str">
        <f t="shared" si="471"/>
        <v/>
      </c>
      <c r="GS190" s="102" t="str">
        <f t="shared" si="499"/>
        <v/>
      </c>
      <c r="GT190" s="104" t="str">
        <f t="shared" si="472"/>
        <v/>
      </c>
      <c r="GU190" s="94" t="str">
        <f>IF('Marks Entry'!V190=1,GT190,"")</f>
        <v/>
      </c>
      <c r="GV190" s="94" t="str">
        <f>IF('Marks Entry'!V190=2,GT190,"")</f>
        <v/>
      </c>
      <c r="GW190" s="94" t="str">
        <f>IF('Marks Entry'!V190=3,GT190,"")</f>
        <v/>
      </c>
      <c r="GX190" s="94" t="str">
        <f>IF('Marks Entry'!V190=4,GT190,"")</f>
        <v/>
      </c>
      <c r="GY190" s="94" t="str">
        <f>IF('Marks Entry'!V190=5,GT190,"")</f>
        <v/>
      </c>
      <c r="GZ190" s="94" t="str">
        <f t="shared" si="473"/>
        <v/>
      </c>
      <c r="HA190" s="105" t="str">
        <f t="shared" si="500"/>
        <v/>
      </c>
      <c r="HB190" s="94" t="str">
        <f t="shared" si="474"/>
        <v/>
      </c>
      <c r="HC190" s="94" t="str">
        <f t="shared" si="475"/>
        <v/>
      </c>
      <c r="HD190" s="105" t="str">
        <f t="shared" si="501"/>
        <v/>
      </c>
      <c r="HE190" s="94" t="str">
        <f t="shared" si="476"/>
        <v/>
      </c>
      <c r="HF190" s="94" t="str">
        <f t="shared" si="477"/>
        <v/>
      </c>
      <c r="HG190" s="105" t="str">
        <f t="shared" si="502"/>
        <v/>
      </c>
      <c r="HH190" s="94" t="str">
        <f t="shared" si="478"/>
        <v/>
      </c>
      <c r="HI190" s="94" t="str">
        <f t="shared" si="479"/>
        <v/>
      </c>
      <c r="HJ190" s="105" t="str">
        <f t="shared" si="503"/>
        <v/>
      </c>
      <c r="HK190" s="94" t="str">
        <f t="shared" si="480"/>
        <v/>
      </c>
      <c r="HL190" s="94" t="str">
        <f t="shared" si="481"/>
        <v/>
      </c>
      <c r="HM190" s="105" t="str">
        <f t="shared" si="504"/>
        <v/>
      </c>
      <c r="HN190" s="367" t="str">
        <f t="shared" si="482"/>
        <v xml:space="preserve">      </v>
      </c>
      <c r="HO190" s="418" t="str">
        <f t="shared" si="505"/>
        <v xml:space="preserve">      </v>
      </c>
      <c r="HP190" s="367" t="str">
        <f t="shared" si="483"/>
        <v xml:space="preserve">      </v>
      </c>
      <c r="HQ190" s="107" t="str">
        <f t="shared" si="484"/>
        <v xml:space="preserve">      </v>
      </c>
      <c r="HR190" s="366" t="str">
        <f t="shared" si="485"/>
        <v xml:space="preserve">      </v>
      </c>
      <c r="HS190" s="544" t="str">
        <f t="shared" si="506"/>
        <v/>
      </c>
      <c r="HT190" s="542" t="str">
        <f t="shared" si="486"/>
        <v/>
      </c>
      <c r="HU190" s="541" t="str">
        <f t="shared" si="487"/>
        <v/>
      </c>
      <c r="HV190" s="540" t="str">
        <f t="shared" si="488"/>
        <v/>
      </c>
      <c r="HW190" s="537" t="str">
        <f t="shared" si="489"/>
        <v/>
      </c>
      <c r="HX190" s="539" t="str">
        <f t="shared" si="490"/>
        <v/>
      </c>
      <c r="HY190" s="553" t="str">
        <f>IFERROR(IF(OR(HS190="SUPPLEMENTARY",HS190="RE-EXAM"),'Supp. Result Entry'!AQ188,""),"")</f>
        <v/>
      </c>
      <c r="HZ190" s="538" t="str">
        <f t="shared" si="491"/>
        <v/>
      </c>
      <c r="IA190" s="415" t="str">
        <f t="shared" si="492"/>
        <v/>
      </c>
      <c r="IB190" s="415" t="str">
        <f>IF(AND(HZ190="",IA190=""),"",IF(OR(HS190="SUPPLEMENTARY",HS190="RE-EXAM"),'Supp. Result Entry'!AQ188,HS190))</f>
        <v/>
      </c>
      <c r="IC190" s="87"/>
      <c r="IS190" s="109" t="str">
        <f>IF('Supp. Result Entry'!T188="","",'Supp. Result Entry'!$T$4)</f>
        <v/>
      </c>
      <c r="IT190" s="110" t="str">
        <f>IF('Supp. Result Entry'!W188="","",'Supp. Result Entry'!$W$4)</f>
        <v/>
      </c>
      <c r="IU190" s="110" t="str">
        <f>IF('Supp. Result Entry'!Z188="","",'Supp. Result Entry'!$Z$4)</f>
        <v/>
      </c>
      <c r="IV190" s="110" t="str">
        <f>IF('Supp. Result Entry'!AC188="","",'Supp. Result Entry'!$AC$4)</f>
        <v/>
      </c>
      <c r="IW190" s="110" t="str">
        <f>IF('Supp. Result Entry'!AF188="","",'Supp. Result Entry'!$AF$4)</f>
        <v/>
      </c>
      <c r="IX190" s="110" t="str">
        <f>IF('Supp. Result Entry'!AI188="","",'Supp. Result Entry'!$AI$4)</f>
        <v/>
      </c>
      <c r="IY190" s="110" t="str">
        <f>IF('Supp. Result Entry'!AI188="","",'Supp. Result Entry'!$AL$4)</f>
        <v/>
      </c>
      <c r="IZ190" s="110" t="str">
        <f>IF('Supp. Result Entry'!U188="","",'Supp. Result Entry'!U188)</f>
        <v/>
      </c>
      <c r="JA190" s="110" t="str">
        <f>IF('Supp. Result Entry'!X188="","",'Supp. Result Entry'!X188)</f>
        <v/>
      </c>
      <c r="JB190" s="110" t="str">
        <f>IF('Supp. Result Entry'!AA188="","",'Supp. Result Entry'!AA188)</f>
        <v/>
      </c>
      <c r="JC190" s="110" t="str">
        <f>IF('Supp. Result Entry'!AD188="","",'Supp. Result Entry'!AD188)</f>
        <v/>
      </c>
      <c r="JD190" s="110" t="str">
        <f>IF('Supp. Result Entry'!AG188="","",'Supp. Result Entry'!AG188)</f>
        <v/>
      </c>
      <c r="JE190" s="110" t="str">
        <f>IF('Supp. Result Entry'!AJ188="","",'Supp. Result Entry'!AJ188)</f>
        <v/>
      </c>
      <c r="JF190" s="110" t="str">
        <f>IF('Supp. Result Entry'!AM188="","",'Supp. Result Entry'!AM188)</f>
        <v/>
      </c>
      <c r="JG190" s="110" t="str">
        <f>IF('Supp. Result Entry'!V188="","",'Supp. Result Entry'!V188)</f>
        <v/>
      </c>
      <c r="JH190" s="110" t="str">
        <f>IF('Supp. Result Entry'!Y188="","",'Supp. Result Entry'!Y188)</f>
        <v/>
      </c>
      <c r="JI190" s="110" t="str">
        <f>IF('Supp. Result Entry'!AB188="","",'Supp. Result Entry'!AB188)</f>
        <v/>
      </c>
      <c r="JJ190" s="110" t="str">
        <f>IF('Supp. Result Entry'!AE188="","",'Supp. Result Entry'!AE188)</f>
        <v/>
      </c>
      <c r="JK190" s="110" t="str">
        <f>IF('Supp. Result Entry'!AH188="","",'Supp. Result Entry'!AH188)</f>
        <v/>
      </c>
      <c r="JL190" s="110" t="str">
        <f>IF('Supp. Result Entry'!AK188="","",'Supp. Result Entry'!AK188)</f>
        <v/>
      </c>
      <c r="JM190" s="110" t="str">
        <f>IF('Supp. Result Entry'!AN188="","",'Supp. Result Entry'!AN188)</f>
        <v/>
      </c>
      <c r="JN190" s="110">
        <f>COUNTIF('Supp. Result Entry'!K188:Q188,"S")</f>
        <v>0</v>
      </c>
      <c r="JO190" s="110">
        <f t="shared" si="416"/>
        <v>0</v>
      </c>
      <c r="JP190" s="110">
        <f t="shared" si="493"/>
        <v>0</v>
      </c>
      <c r="JQ190" s="110" t="str">
        <f t="shared" si="417"/>
        <v/>
      </c>
      <c r="JR190" s="110" t="str">
        <f t="shared" si="418"/>
        <v/>
      </c>
      <c r="JS190" s="110" t="str">
        <f t="shared" si="419"/>
        <v/>
      </c>
      <c r="JT190" s="110" t="str">
        <f t="shared" si="420"/>
        <v/>
      </c>
      <c r="JU190" s="110" t="str">
        <f t="shared" si="421"/>
        <v/>
      </c>
      <c r="JV190" s="110" t="str">
        <f t="shared" si="422"/>
        <v/>
      </c>
      <c r="JW190" s="110" t="str">
        <f t="shared" si="423"/>
        <v/>
      </c>
      <c r="JX190" s="110" t="str">
        <f t="shared" si="494"/>
        <v/>
      </c>
      <c r="JY190" s="110" t="str">
        <f t="shared" si="495"/>
        <v/>
      </c>
      <c r="JZ190" s="110" t="str">
        <f t="shared" si="424"/>
        <v/>
      </c>
      <c r="KA190" s="108" t="str">
        <f t="shared" si="496"/>
        <v/>
      </c>
    </row>
    <row r="191" spans="1:287" s="108" customFormat="1" ht="21.95" customHeight="1">
      <c r="A191" s="89">
        <v>185</v>
      </c>
      <c r="B191" s="90" t="str">
        <f>IF('Marks Entry'!B191="","",'Marks Entry'!B191)</f>
        <v/>
      </c>
      <c r="C191" s="94" t="str">
        <f>IF('Marks Entry'!D191="","",'Marks Entry'!D191)</f>
        <v/>
      </c>
      <c r="D191" s="91" t="str">
        <f>IF('Marks Entry'!E191="","",'Marks Entry'!E191)</f>
        <v/>
      </c>
      <c r="E191" s="92" t="str">
        <f>IF('Marks Entry'!F191="","",'Marks Entry'!F191)</f>
        <v/>
      </c>
      <c r="F191" s="93" t="str">
        <f>IF('Marks Entry'!G191="","",'Marks Entry'!G191)</f>
        <v/>
      </c>
      <c r="G191" s="93" t="str">
        <f>IF('Marks Entry'!H191="","",'Marks Entry'!H191)</f>
        <v/>
      </c>
      <c r="H191" s="93" t="str">
        <f>IF('Marks Entry'!I191="","",'Marks Entry'!I191)</f>
        <v/>
      </c>
      <c r="I191" s="94" t="str">
        <f>IF('Marks Entry'!J191="","",'Marks Entry'!J191)</f>
        <v/>
      </c>
      <c r="J191" s="95" t="str">
        <f>IF('Marks Entry'!K191="","",'Marks Entry'!K191)</f>
        <v/>
      </c>
      <c r="K191" s="68" t="str">
        <f>IF('Marks Entry'!L191="","",'Marks Entry'!L191)</f>
        <v/>
      </c>
      <c r="L191" s="68" t="str">
        <f>IF('Marks Entry'!M191="","",'Marks Entry'!M191)</f>
        <v/>
      </c>
      <c r="M191" s="68" t="str">
        <f>IF('Marks Entry'!N191="","",'Marks Entry'!N191)</f>
        <v/>
      </c>
      <c r="N191" s="514" t="str">
        <f t="shared" si="425"/>
        <v/>
      </c>
      <c r="O191" s="68" t="str">
        <f>IF('Marks Entry'!O191="","",'Marks Entry'!O191)</f>
        <v/>
      </c>
      <c r="P191" s="515" t="str">
        <f t="shared" si="426"/>
        <v/>
      </c>
      <c r="Q191" s="68" t="str">
        <f>IF('Marks Entry'!P191="","",'Marks Entry'!P191)</f>
        <v/>
      </c>
      <c r="R191" s="96" t="str">
        <f t="shared" si="427"/>
        <v/>
      </c>
      <c r="S191" s="65">
        <f t="shared" si="428"/>
        <v>0</v>
      </c>
      <c r="T191" s="65">
        <f t="shared" si="429"/>
        <v>0</v>
      </c>
      <c r="U191" s="66" t="str">
        <f t="shared" si="339"/>
        <v/>
      </c>
      <c r="V191" s="65" t="str">
        <f t="shared" si="340"/>
        <v/>
      </c>
      <c r="W191" s="65" t="str">
        <f t="shared" si="430"/>
        <v/>
      </c>
      <c r="X191" s="65" t="str">
        <f t="shared" si="341"/>
        <v/>
      </c>
      <c r="Y191" s="68" t="str">
        <f>IF('Marks Entry'!Q191="","",'Marks Entry'!Q191)</f>
        <v/>
      </c>
      <c r="Z191" s="68" t="str">
        <f>IF('Marks Entry'!R191="","",'Marks Entry'!R191)</f>
        <v/>
      </c>
      <c r="AA191" s="68" t="str">
        <f>IF('Marks Entry'!S191="","",'Marks Entry'!S191)</f>
        <v/>
      </c>
      <c r="AB191" s="514" t="str">
        <f t="shared" si="342"/>
        <v/>
      </c>
      <c r="AC191" s="68" t="str">
        <f>IF('Marks Entry'!T191="","",'Marks Entry'!T191)</f>
        <v/>
      </c>
      <c r="AD191" s="515" t="str">
        <f t="shared" si="343"/>
        <v/>
      </c>
      <c r="AE191" s="68" t="str">
        <f>IF('Marks Entry'!U191="","",'Marks Entry'!U191)</f>
        <v/>
      </c>
      <c r="AF191" s="96" t="str">
        <f t="shared" si="344"/>
        <v/>
      </c>
      <c r="AG191" s="65">
        <f t="shared" si="345"/>
        <v>0</v>
      </c>
      <c r="AH191" s="65">
        <f t="shared" si="346"/>
        <v>0</v>
      </c>
      <c r="AI191" s="66" t="str">
        <f t="shared" si="347"/>
        <v/>
      </c>
      <c r="AJ191" s="65" t="str">
        <f t="shared" si="348"/>
        <v/>
      </c>
      <c r="AK191" s="65" t="str">
        <f t="shared" si="349"/>
        <v/>
      </c>
      <c r="AL191" s="65" t="str">
        <f t="shared" si="350"/>
        <v/>
      </c>
      <c r="AM191" s="524" t="str">
        <f>IF('Marks Entry'!V191="","",IF('Marks Entry'!V191=1,'School Profile'!$I$9,IF('Marks Entry'!V191=2,'School Profile'!$I$10,IF('Marks Entry'!V191=3,'School Profile'!$I$11,IF('Marks Entry'!V191=4,'School Profile'!$I$12,IF('Marks Entry'!V191=5,'School Profile'!$I$13,IF('Marks Entry'!V191=6,'School Profile'!$I$14,"")))))))</f>
        <v/>
      </c>
      <c r="AN191" s="68" t="str">
        <f>IF('Marks Entry'!W191="","",'Marks Entry'!W191)</f>
        <v/>
      </c>
      <c r="AO191" s="68" t="str">
        <f>IF('Marks Entry'!X191="","",'Marks Entry'!X191)</f>
        <v/>
      </c>
      <c r="AP191" s="68" t="str">
        <f>IF('Marks Entry'!Y191="","",'Marks Entry'!Y191)</f>
        <v/>
      </c>
      <c r="AQ191" s="514" t="str">
        <f t="shared" si="351"/>
        <v/>
      </c>
      <c r="AR191" s="68" t="str">
        <f>IF('Marks Entry'!Z191="","",'Marks Entry'!Z191)</f>
        <v/>
      </c>
      <c r="AS191" s="515" t="str">
        <f t="shared" si="352"/>
        <v/>
      </c>
      <c r="AT191" s="68" t="str">
        <f>IF('Marks Entry'!AA191="","",'Marks Entry'!AA191)</f>
        <v/>
      </c>
      <c r="AU191" s="96" t="str">
        <f t="shared" si="353"/>
        <v/>
      </c>
      <c r="AV191" s="65">
        <f t="shared" si="354"/>
        <v>0</v>
      </c>
      <c r="AW191" s="65">
        <f t="shared" si="355"/>
        <v>0</v>
      </c>
      <c r="AX191" s="66" t="str">
        <f t="shared" si="356"/>
        <v/>
      </c>
      <c r="AY191" s="65" t="str">
        <f t="shared" si="357"/>
        <v/>
      </c>
      <c r="AZ191" s="65" t="str">
        <f t="shared" si="358"/>
        <v/>
      </c>
      <c r="BA191" s="65" t="str">
        <f t="shared" si="359"/>
        <v/>
      </c>
      <c r="BB191" s="68" t="str">
        <f>IF('Marks Entry'!AB191="","",'Marks Entry'!AB191)</f>
        <v/>
      </c>
      <c r="BC191" s="68" t="str">
        <f>IF('Marks Entry'!AC191="","",'Marks Entry'!AC191)</f>
        <v/>
      </c>
      <c r="BD191" s="68" t="str">
        <f>IF('Marks Entry'!AD191="","",'Marks Entry'!AD191)</f>
        <v/>
      </c>
      <c r="BE191" s="514" t="str">
        <f t="shared" si="360"/>
        <v/>
      </c>
      <c r="BF191" s="68" t="str">
        <f>IF('Marks Entry'!AE191="","",'Marks Entry'!AE191)</f>
        <v/>
      </c>
      <c r="BG191" s="515" t="str">
        <f t="shared" si="361"/>
        <v/>
      </c>
      <c r="BH191" s="68" t="str">
        <f>IF('Marks Entry'!AF191="","",'Marks Entry'!AF191)</f>
        <v/>
      </c>
      <c r="BI191" s="96" t="str">
        <f t="shared" si="362"/>
        <v/>
      </c>
      <c r="BJ191" s="65">
        <f t="shared" si="363"/>
        <v>0</v>
      </c>
      <c r="BK191" s="65">
        <f t="shared" si="431"/>
        <v>0</v>
      </c>
      <c r="BL191" s="66" t="str">
        <f t="shared" si="364"/>
        <v/>
      </c>
      <c r="BM191" s="65" t="str">
        <f t="shared" si="365"/>
        <v/>
      </c>
      <c r="BN191" s="65" t="str">
        <f t="shared" si="366"/>
        <v/>
      </c>
      <c r="BO191" s="65" t="str">
        <f t="shared" si="367"/>
        <v/>
      </c>
      <c r="BP191" s="68" t="str">
        <f>IF('Marks Entry'!AG191="","",'Marks Entry'!AG191)</f>
        <v/>
      </c>
      <c r="BQ191" s="68" t="str">
        <f>IF('Marks Entry'!AH191="","",'Marks Entry'!AH191)</f>
        <v/>
      </c>
      <c r="BR191" s="68" t="str">
        <f>IF('Marks Entry'!AI191="","",'Marks Entry'!AI191)</f>
        <v/>
      </c>
      <c r="BS191" s="514" t="str">
        <f t="shared" si="368"/>
        <v/>
      </c>
      <c r="BT191" s="68" t="str">
        <f>IF('Marks Entry'!AJ191="","",'Marks Entry'!AJ191)</f>
        <v/>
      </c>
      <c r="BU191" s="515" t="str">
        <f t="shared" si="369"/>
        <v/>
      </c>
      <c r="BV191" s="68" t="str">
        <f>IF('Marks Entry'!AK191="","",'Marks Entry'!AK191)</f>
        <v/>
      </c>
      <c r="BW191" s="96" t="str">
        <f t="shared" si="370"/>
        <v/>
      </c>
      <c r="BX191" s="65">
        <f t="shared" si="371"/>
        <v>0</v>
      </c>
      <c r="BY191" s="65">
        <f t="shared" si="372"/>
        <v>0</v>
      </c>
      <c r="BZ191" s="66" t="str">
        <f t="shared" si="373"/>
        <v/>
      </c>
      <c r="CA191" s="65" t="str">
        <f t="shared" si="374"/>
        <v/>
      </c>
      <c r="CB191" s="65" t="str">
        <f t="shared" si="375"/>
        <v/>
      </c>
      <c r="CC191" s="65" t="str">
        <f t="shared" si="376"/>
        <v/>
      </c>
      <c r="CD191" s="66">
        <f t="shared" si="497"/>
        <v>0</v>
      </c>
      <c r="CE191" s="68" t="str">
        <f>IF('Marks Entry'!AL191="","",'Marks Entry'!AL191)</f>
        <v/>
      </c>
      <c r="CF191" s="68" t="str">
        <f>IF('Marks Entry'!AM191="","",'Marks Entry'!AM191)</f>
        <v/>
      </c>
      <c r="CG191" s="68" t="str">
        <f>IF('Marks Entry'!AN191="","",'Marks Entry'!AN191)</f>
        <v/>
      </c>
      <c r="CH191" s="514" t="str">
        <f t="shared" si="378"/>
        <v/>
      </c>
      <c r="CI191" s="68" t="str">
        <f>IF('Marks Entry'!AO191="","",'Marks Entry'!AO191)</f>
        <v/>
      </c>
      <c r="CJ191" s="515" t="str">
        <f t="shared" si="379"/>
        <v/>
      </c>
      <c r="CK191" s="68" t="str">
        <f>IF('Marks Entry'!AP191="","",'Marks Entry'!AP191)</f>
        <v/>
      </c>
      <c r="CL191" s="96" t="str">
        <f t="shared" si="380"/>
        <v/>
      </c>
      <c r="CM191" s="65">
        <f t="shared" si="381"/>
        <v>0</v>
      </c>
      <c r="CN191" s="65">
        <f t="shared" si="382"/>
        <v>0</v>
      </c>
      <c r="CO191" s="66" t="str">
        <f t="shared" si="383"/>
        <v/>
      </c>
      <c r="CP191" s="65" t="str">
        <f t="shared" si="384"/>
        <v/>
      </c>
      <c r="CQ191" s="65" t="str">
        <f t="shared" si="385"/>
        <v/>
      </c>
      <c r="CR191" s="65" t="str">
        <f t="shared" si="386"/>
        <v/>
      </c>
      <c r="CS191" s="616" t="str">
        <f>IF('School Profile'!$D$20="NO","",IF('Marks Entry'!AQ191="","",IF('Marks Entry'!AQ191=1,'School Profile'!$I$29,IF('Marks Entry'!AQ191=2,'School Profile'!$I$30,IF('Marks Entry'!AQ191=3,'School Profile'!$I$31,IF('Marks Entry'!AQ191=4,'School Profile'!$I$32,IF('Marks Entry'!AQ191=5,'School Profile'!$I$33,IF('Marks Entry'!AQ191=6,'School Profile'!$I$34,IF('Marks Entry'!AQ191=7,'School Profile'!$I$35,IF('Marks Entry'!AQ191=8,'School Profile'!$I$36,IF('Marks Entry'!AQ191=9,'School Profile'!$I$37,IF('Marks Entry'!AQ191=10,'School Profile'!$I$38,IF('Marks Entry'!AQ191=11,'School Profile'!$I$39,"")))))))))))))</f>
        <v/>
      </c>
      <c r="CT191" s="68" t="str">
        <f>IF('School Profile'!$D$20="NO","",IF('Marks Entry'!AR191="","",'Marks Entry'!AR191))</f>
        <v/>
      </c>
      <c r="CU191" s="68" t="str">
        <f>IF('School Profile'!$D$20="NO","",IF('Marks Entry'!AS191="","",'Marks Entry'!AS191))</f>
        <v/>
      </c>
      <c r="CV191" s="68" t="str">
        <f>IF('School Profile'!$D$20="NO","",IF('Marks Entry'!AT191="","",'Marks Entry'!AT191))</f>
        <v/>
      </c>
      <c r="CW191" s="514" t="str">
        <f>IF('School Profile'!$D$20="NO","",IF(AND(CT191="",CU191="",CV191=""),"",SUM(CT191:CV191)))</f>
        <v/>
      </c>
      <c r="CX191" s="68" t="str">
        <f>IF('School Profile'!$D$20="NO","",IF('Marks Entry'!AU191="","",'Marks Entry'!AU191))</f>
        <v/>
      </c>
      <c r="CY191" s="68" t="str">
        <f>IF('School Profile'!$D$20="NO","",IF('Marks Entry'!AV191="","",'Marks Entry'!AV191))</f>
        <v/>
      </c>
      <c r="CZ191" s="515" t="str">
        <f>IF('School Profile'!$D$20="NO","",IF(AND(CX191="",CY191=""),"",SUM(CX191,CY191)))</f>
        <v/>
      </c>
      <c r="DA191" s="69" t="str">
        <f>IF('School Profile'!$D$20="NO","",IF(AND(CW191="",CZ191=""),"",SUM(CW191+CZ191)))</f>
        <v/>
      </c>
      <c r="DB191" s="68" t="str">
        <f>IF('School Profile'!$D$20="NO","",IF('Marks Entry'!AW191="","",'Marks Entry'!AW191))</f>
        <v/>
      </c>
      <c r="DC191" s="68" t="str">
        <f>IF('School Profile'!$D$20="NO","",IF('Marks Entry'!AX191="","",'Marks Entry'!AX191))</f>
        <v/>
      </c>
      <c r="DD191" s="515" t="str">
        <f>IF('School Profile'!$D$20="NO","",IF(AND(DB191="",DC191=""),"",SUM(DB191,DC191)))</f>
        <v/>
      </c>
      <c r="DE191" s="96" t="str">
        <f>IF('School Profile'!$D$20="NO","",IF(AND(DA191="",DD191=""),"",SUM(DA191,DD191)))</f>
        <v/>
      </c>
      <c r="DF191" s="532">
        <f t="shared" si="387"/>
        <v>0</v>
      </c>
      <c r="DG191" s="65">
        <f t="shared" si="388"/>
        <v>0</v>
      </c>
      <c r="DH191" s="66" t="str">
        <f t="shared" si="389"/>
        <v/>
      </c>
      <c r="DI191" s="65" t="str">
        <f t="shared" si="390"/>
        <v/>
      </c>
      <c r="DJ191" s="65" t="str">
        <f t="shared" si="391"/>
        <v/>
      </c>
      <c r="DK191" s="65" t="str">
        <f t="shared" si="392"/>
        <v/>
      </c>
      <c r="DL191" s="97" t="str">
        <f t="shared" si="432"/>
        <v/>
      </c>
      <c r="DM191" s="97" t="str">
        <f t="shared" si="433"/>
        <v/>
      </c>
      <c r="DN191" s="97" t="str">
        <f t="shared" si="434"/>
        <v/>
      </c>
      <c r="DO191" s="97" t="str">
        <f t="shared" si="435"/>
        <v/>
      </c>
      <c r="DP191" s="97" t="str">
        <f t="shared" si="436"/>
        <v/>
      </c>
      <c r="DQ191" s="97" t="str">
        <f t="shared" si="437"/>
        <v/>
      </c>
      <c r="DR191" s="97" t="str">
        <f t="shared" si="438"/>
        <v/>
      </c>
      <c r="DS191" s="98">
        <f t="shared" si="439"/>
        <v>0</v>
      </c>
      <c r="DT191" s="98">
        <f t="shared" si="440"/>
        <v>0</v>
      </c>
      <c r="DU191" s="98">
        <f t="shared" si="441"/>
        <v>0</v>
      </c>
      <c r="DV191" s="98">
        <f t="shared" si="442"/>
        <v>0</v>
      </c>
      <c r="DW191" s="98">
        <f t="shared" si="443"/>
        <v>0</v>
      </c>
      <c r="DX191" s="98" t="str">
        <f t="shared" si="444"/>
        <v/>
      </c>
      <c r="DY191" s="99" t="str">
        <f t="shared" si="445"/>
        <v/>
      </c>
      <c r="DZ191" s="74" t="str">
        <f>IF('Marks Entry'!AY191="","",'Marks Entry'!AY191)</f>
        <v/>
      </c>
      <c r="EA191" s="74" t="str">
        <f>IF('Marks Entry'!AZ191="","",'Marks Entry'!AZ191)</f>
        <v/>
      </c>
      <c r="EB191" s="74" t="str">
        <f>IF('Marks Entry'!BA191="","",'Marks Entry'!BA191)</f>
        <v/>
      </c>
      <c r="EC191" s="527" t="str">
        <f t="shared" si="393"/>
        <v/>
      </c>
      <c r="ED191" s="74" t="str">
        <f>IF('Marks Entry'!BB191="","",'Marks Entry'!BB191)</f>
        <v/>
      </c>
      <c r="EE191" s="528" t="str">
        <f t="shared" si="394"/>
        <v/>
      </c>
      <c r="EF191" s="74" t="str">
        <f>IF('Marks Entry'!BC191="","",'Marks Entry'!BC191)</f>
        <v/>
      </c>
      <c r="EG191" s="530" t="str">
        <f t="shared" si="395"/>
        <v/>
      </c>
      <c r="EH191" s="368" t="str">
        <f t="shared" si="446"/>
        <v/>
      </c>
      <c r="EI191" s="65">
        <f t="shared" si="447"/>
        <v>0</v>
      </c>
      <c r="EJ191" s="65">
        <f t="shared" si="448"/>
        <v>0</v>
      </c>
      <c r="EK191" s="66" t="str">
        <f t="shared" si="449"/>
        <v/>
      </c>
      <c r="EL191" s="74" t="str">
        <f>IF('Marks Entry'!BD191="","",'Marks Entry'!BD191)</f>
        <v/>
      </c>
      <c r="EM191" s="74" t="str">
        <f>IF('Marks Entry'!BE191="","",'Marks Entry'!BE191)</f>
        <v/>
      </c>
      <c r="EN191" s="74" t="str">
        <f>IF('Marks Entry'!BF191="","",'Marks Entry'!BF191)</f>
        <v/>
      </c>
      <c r="EO191" s="527" t="str">
        <f t="shared" si="396"/>
        <v/>
      </c>
      <c r="EP191" s="74" t="str">
        <f>IF('Marks Entry'!BG191="","",'Marks Entry'!BG191)</f>
        <v/>
      </c>
      <c r="EQ191" s="74" t="str">
        <f>IF('Marks Entry'!BH191="","",'Marks Entry'!BH191)</f>
        <v/>
      </c>
      <c r="ER191" s="528" t="str">
        <f t="shared" si="397"/>
        <v/>
      </c>
      <c r="ES191" s="529" t="str">
        <f t="shared" si="398"/>
        <v/>
      </c>
      <c r="ET191" s="74" t="str">
        <f>IF('Marks Entry'!BI191="","",'Marks Entry'!BI191)</f>
        <v/>
      </c>
      <c r="EU191" s="74" t="str">
        <f>IF('Marks Entry'!BJ191="","",'Marks Entry'!BJ191)</f>
        <v/>
      </c>
      <c r="EV191" s="528" t="str">
        <f t="shared" si="399"/>
        <v/>
      </c>
      <c r="EW191" s="530" t="str">
        <f t="shared" si="400"/>
        <v/>
      </c>
      <c r="EX191" s="368" t="str">
        <f t="shared" si="450"/>
        <v/>
      </c>
      <c r="EY191" s="65">
        <f t="shared" si="451"/>
        <v>0</v>
      </c>
      <c r="EZ191" s="65">
        <f t="shared" si="452"/>
        <v>0</v>
      </c>
      <c r="FA191" s="66" t="str">
        <f t="shared" si="453"/>
        <v/>
      </c>
      <c r="FB191" s="74" t="str">
        <f>IF('Marks Entry'!BK191="","",'Marks Entry'!BK191)</f>
        <v/>
      </c>
      <c r="FC191" s="74" t="str">
        <f>IF('Marks Entry'!BL191="","",'Marks Entry'!BL191)</f>
        <v/>
      </c>
      <c r="FD191" s="74" t="str">
        <f>IF('Marks Entry'!BM191="","",'Marks Entry'!BM191)</f>
        <v/>
      </c>
      <c r="FE191" s="74" t="str">
        <f>IF('Marks Entry'!BN191="","",'Marks Entry'!BN191)</f>
        <v/>
      </c>
      <c r="FF191" s="74" t="str">
        <f>IF('Marks Entry'!BO191="","",'Marks Entry'!BO191)</f>
        <v/>
      </c>
      <c r="FG191" s="74" t="str">
        <f>IF('Marks Entry'!BP191="","",'Marks Entry'!BP191)</f>
        <v/>
      </c>
      <c r="FH191" s="527" t="str">
        <f t="shared" si="401"/>
        <v/>
      </c>
      <c r="FI191" s="74" t="str">
        <f>IF('Marks Entry'!BQ191="","",'Marks Entry'!BQ191)</f>
        <v/>
      </c>
      <c r="FJ191" s="74" t="str">
        <f>IF('Marks Entry'!BR191="","",'Marks Entry'!BR191)</f>
        <v/>
      </c>
      <c r="FK191" s="528" t="str">
        <f t="shared" si="402"/>
        <v/>
      </c>
      <c r="FL191" s="529" t="str">
        <f t="shared" si="403"/>
        <v/>
      </c>
      <c r="FM191" s="74" t="str">
        <f>IF('Marks Entry'!BS191="","",'Marks Entry'!BS191)</f>
        <v/>
      </c>
      <c r="FN191" s="74" t="str">
        <f>IF('Marks Entry'!BT191="","",'Marks Entry'!BT191)</f>
        <v/>
      </c>
      <c r="FO191" s="528" t="str">
        <f t="shared" si="404"/>
        <v/>
      </c>
      <c r="FP191" s="530" t="str">
        <f t="shared" si="405"/>
        <v/>
      </c>
      <c r="FQ191" s="368" t="str">
        <f t="shared" si="454"/>
        <v/>
      </c>
      <c r="FR191" s="65">
        <f t="shared" si="455"/>
        <v>0</v>
      </c>
      <c r="FS191" s="65">
        <f t="shared" si="456"/>
        <v>0</v>
      </c>
      <c r="FT191" s="66" t="str">
        <f t="shared" si="457"/>
        <v/>
      </c>
      <c r="FU191" s="74" t="str">
        <f>IF('Marks Entry'!BU191="","",'Marks Entry'!BU191)</f>
        <v/>
      </c>
      <c r="FV191" s="74" t="str">
        <f>IF('Marks Entry'!BV191="","",'Marks Entry'!BV191)</f>
        <v/>
      </c>
      <c r="FW191" s="74" t="str">
        <f>IF('Marks Entry'!BW191="","",'Marks Entry'!BW191)</f>
        <v/>
      </c>
      <c r="FX191" s="75" t="str">
        <f t="shared" si="406"/>
        <v/>
      </c>
      <c r="FY191" s="368" t="str">
        <f t="shared" si="458"/>
        <v/>
      </c>
      <c r="FZ191" s="65">
        <f t="shared" si="459"/>
        <v>0</v>
      </c>
      <c r="GA191" s="66">
        <f t="shared" si="460"/>
        <v>0</v>
      </c>
      <c r="GB191" s="66" t="str">
        <f t="shared" si="461"/>
        <v/>
      </c>
      <c r="GC191" s="74" t="str">
        <f>IF('Marks Entry'!BX191="","",'Marks Entry'!BX191)</f>
        <v/>
      </c>
      <c r="GD191" s="74" t="str">
        <f>IF('Marks Entry'!BY191="","",'Marks Entry'!BY191)</f>
        <v/>
      </c>
      <c r="GE191" s="74" t="str">
        <f>IF('Marks Entry'!BZ191="","",'Marks Entry'!BZ191)</f>
        <v/>
      </c>
      <c r="GF191" s="75" t="str">
        <f t="shared" si="462"/>
        <v/>
      </c>
      <c r="GG191" s="368" t="str">
        <f t="shared" si="463"/>
        <v/>
      </c>
      <c r="GH191" s="65">
        <f t="shared" si="464"/>
        <v>0</v>
      </c>
      <c r="GI191" s="66">
        <f t="shared" si="465"/>
        <v>0</v>
      </c>
      <c r="GJ191" s="66" t="str">
        <f t="shared" si="466"/>
        <v/>
      </c>
      <c r="GK191" s="100" t="str">
        <f>IF(AND(F191="",B191=""),"",IF('Student DATA Entry'!M188="","",'Student DATA Entry'!M188))</f>
        <v/>
      </c>
      <c r="GL191" s="101" t="str">
        <f>IF(AND(B191="",F191=""),"",IF('Student DATA Entry'!N188="","",'Student DATA Entry'!N188))</f>
        <v/>
      </c>
      <c r="GM191" s="581" t="str">
        <f t="shared" si="467"/>
        <v/>
      </c>
      <c r="GN191" s="94" t="str">
        <f t="shared" si="468"/>
        <v/>
      </c>
      <c r="GO191" s="94" t="str">
        <f t="shared" si="469"/>
        <v/>
      </c>
      <c r="GP191" s="102" t="str">
        <f t="shared" si="498"/>
        <v/>
      </c>
      <c r="GQ191" s="94" t="str">
        <f t="shared" si="470"/>
        <v/>
      </c>
      <c r="GR191" s="103" t="str">
        <f t="shared" si="471"/>
        <v/>
      </c>
      <c r="GS191" s="102" t="str">
        <f t="shared" si="499"/>
        <v/>
      </c>
      <c r="GT191" s="104" t="str">
        <f t="shared" si="472"/>
        <v/>
      </c>
      <c r="GU191" s="94" t="str">
        <f>IF('Marks Entry'!V191=1,GT191,"")</f>
        <v/>
      </c>
      <c r="GV191" s="94" t="str">
        <f>IF('Marks Entry'!V191=2,GT191,"")</f>
        <v/>
      </c>
      <c r="GW191" s="94" t="str">
        <f>IF('Marks Entry'!V191=3,GT191,"")</f>
        <v/>
      </c>
      <c r="GX191" s="94" t="str">
        <f>IF('Marks Entry'!V191=4,GT191,"")</f>
        <v/>
      </c>
      <c r="GY191" s="94" t="str">
        <f>IF('Marks Entry'!V191=5,GT191,"")</f>
        <v/>
      </c>
      <c r="GZ191" s="94" t="str">
        <f t="shared" si="473"/>
        <v/>
      </c>
      <c r="HA191" s="105" t="str">
        <f t="shared" si="500"/>
        <v/>
      </c>
      <c r="HB191" s="94" t="str">
        <f t="shared" si="474"/>
        <v/>
      </c>
      <c r="HC191" s="94" t="str">
        <f t="shared" si="475"/>
        <v/>
      </c>
      <c r="HD191" s="105" t="str">
        <f t="shared" si="501"/>
        <v/>
      </c>
      <c r="HE191" s="94" t="str">
        <f t="shared" si="476"/>
        <v/>
      </c>
      <c r="HF191" s="94" t="str">
        <f t="shared" si="477"/>
        <v/>
      </c>
      <c r="HG191" s="105" t="str">
        <f t="shared" si="502"/>
        <v/>
      </c>
      <c r="HH191" s="94" t="str">
        <f t="shared" si="478"/>
        <v/>
      </c>
      <c r="HI191" s="94" t="str">
        <f t="shared" si="479"/>
        <v/>
      </c>
      <c r="HJ191" s="105" t="str">
        <f t="shared" si="503"/>
        <v/>
      </c>
      <c r="HK191" s="94" t="str">
        <f t="shared" si="480"/>
        <v/>
      </c>
      <c r="HL191" s="94" t="str">
        <f t="shared" si="481"/>
        <v/>
      </c>
      <c r="HM191" s="105" t="str">
        <f t="shared" si="504"/>
        <v/>
      </c>
      <c r="HN191" s="367" t="str">
        <f t="shared" si="482"/>
        <v xml:space="preserve">      </v>
      </c>
      <c r="HO191" s="418" t="str">
        <f t="shared" si="505"/>
        <v xml:space="preserve">      </v>
      </c>
      <c r="HP191" s="367" t="str">
        <f t="shared" si="483"/>
        <v xml:space="preserve">      </v>
      </c>
      <c r="HQ191" s="107" t="str">
        <f t="shared" si="484"/>
        <v xml:space="preserve">      </v>
      </c>
      <c r="HR191" s="366" t="str">
        <f t="shared" si="485"/>
        <v xml:space="preserve">      </v>
      </c>
      <c r="HS191" s="544" t="str">
        <f t="shared" si="506"/>
        <v/>
      </c>
      <c r="HT191" s="542" t="str">
        <f t="shared" si="486"/>
        <v/>
      </c>
      <c r="HU191" s="541" t="str">
        <f t="shared" si="487"/>
        <v/>
      </c>
      <c r="HV191" s="540" t="str">
        <f t="shared" si="488"/>
        <v/>
      </c>
      <c r="HW191" s="537" t="str">
        <f t="shared" si="489"/>
        <v/>
      </c>
      <c r="HX191" s="539" t="str">
        <f t="shared" si="490"/>
        <v/>
      </c>
      <c r="HY191" s="553" t="str">
        <f>IFERROR(IF(OR(HS191="SUPPLEMENTARY",HS191="RE-EXAM"),'Supp. Result Entry'!AQ189,""),"")</f>
        <v/>
      </c>
      <c r="HZ191" s="538" t="str">
        <f t="shared" si="491"/>
        <v/>
      </c>
      <c r="IA191" s="415" t="str">
        <f t="shared" si="492"/>
        <v/>
      </c>
      <c r="IB191" s="415" t="str">
        <f>IF(AND(HZ191="",IA191=""),"",IF(OR(HS191="SUPPLEMENTARY",HS191="RE-EXAM"),'Supp. Result Entry'!AQ189,HS191))</f>
        <v/>
      </c>
      <c r="IC191" s="87"/>
      <c r="IS191" s="109" t="str">
        <f>IF('Supp. Result Entry'!T189="","",'Supp. Result Entry'!$T$4)</f>
        <v/>
      </c>
      <c r="IT191" s="110" t="str">
        <f>IF('Supp. Result Entry'!W189="","",'Supp. Result Entry'!$W$4)</f>
        <v/>
      </c>
      <c r="IU191" s="110" t="str">
        <f>IF('Supp. Result Entry'!Z189="","",'Supp. Result Entry'!$Z$4)</f>
        <v/>
      </c>
      <c r="IV191" s="110" t="str">
        <f>IF('Supp. Result Entry'!AC189="","",'Supp. Result Entry'!$AC$4)</f>
        <v/>
      </c>
      <c r="IW191" s="110" t="str">
        <f>IF('Supp. Result Entry'!AF189="","",'Supp. Result Entry'!$AF$4)</f>
        <v/>
      </c>
      <c r="IX191" s="110" t="str">
        <f>IF('Supp. Result Entry'!AI189="","",'Supp. Result Entry'!$AI$4)</f>
        <v/>
      </c>
      <c r="IY191" s="110" t="str">
        <f>IF('Supp. Result Entry'!AI189="","",'Supp. Result Entry'!$AL$4)</f>
        <v/>
      </c>
      <c r="IZ191" s="110" t="str">
        <f>IF('Supp. Result Entry'!U189="","",'Supp. Result Entry'!U189)</f>
        <v/>
      </c>
      <c r="JA191" s="110" t="str">
        <f>IF('Supp. Result Entry'!X189="","",'Supp. Result Entry'!X189)</f>
        <v/>
      </c>
      <c r="JB191" s="110" t="str">
        <f>IF('Supp. Result Entry'!AA189="","",'Supp. Result Entry'!AA189)</f>
        <v/>
      </c>
      <c r="JC191" s="110" t="str">
        <f>IF('Supp. Result Entry'!AD189="","",'Supp. Result Entry'!AD189)</f>
        <v/>
      </c>
      <c r="JD191" s="110" t="str">
        <f>IF('Supp. Result Entry'!AG189="","",'Supp. Result Entry'!AG189)</f>
        <v/>
      </c>
      <c r="JE191" s="110" t="str">
        <f>IF('Supp. Result Entry'!AJ189="","",'Supp. Result Entry'!AJ189)</f>
        <v/>
      </c>
      <c r="JF191" s="110" t="str">
        <f>IF('Supp. Result Entry'!AM189="","",'Supp. Result Entry'!AM189)</f>
        <v/>
      </c>
      <c r="JG191" s="110" t="str">
        <f>IF('Supp. Result Entry'!V189="","",'Supp. Result Entry'!V189)</f>
        <v/>
      </c>
      <c r="JH191" s="110" t="str">
        <f>IF('Supp. Result Entry'!Y189="","",'Supp. Result Entry'!Y189)</f>
        <v/>
      </c>
      <c r="JI191" s="110" t="str">
        <f>IF('Supp. Result Entry'!AB189="","",'Supp. Result Entry'!AB189)</f>
        <v/>
      </c>
      <c r="JJ191" s="110" t="str">
        <f>IF('Supp. Result Entry'!AE189="","",'Supp. Result Entry'!AE189)</f>
        <v/>
      </c>
      <c r="JK191" s="110" t="str">
        <f>IF('Supp. Result Entry'!AH189="","",'Supp. Result Entry'!AH189)</f>
        <v/>
      </c>
      <c r="JL191" s="110" t="str">
        <f>IF('Supp. Result Entry'!AK189="","",'Supp. Result Entry'!AK189)</f>
        <v/>
      </c>
      <c r="JM191" s="110" t="str">
        <f>IF('Supp. Result Entry'!AN189="","",'Supp. Result Entry'!AN189)</f>
        <v/>
      </c>
      <c r="JN191" s="110">
        <f>COUNTIF('Supp. Result Entry'!K189:Q189,"S")</f>
        <v>0</v>
      </c>
      <c r="JO191" s="110">
        <f t="shared" si="416"/>
        <v>0</v>
      </c>
      <c r="JP191" s="110">
        <f t="shared" si="493"/>
        <v>0</v>
      </c>
      <c r="JQ191" s="110" t="str">
        <f t="shared" si="417"/>
        <v/>
      </c>
      <c r="JR191" s="110" t="str">
        <f t="shared" si="418"/>
        <v/>
      </c>
      <c r="JS191" s="110" t="str">
        <f t="shared" si="419"/>
        <v/>
      </c>
      <c r="JT191" s="110" t="str">
        <f t="shared" si="420"/>
        <v/>
      </c>
      <c r="JU191" s="110" t="str">
        <f t="shared" si="421"/>
        <v/>
      </c>
      <c r="JV191" s="110" t="str">
        <f t="shared" si="422"/>
        <v/>
      </c>
      <c r="JW191" s="110" t="str">
        <f t="shared" si="423"/>
        <v/>
      </c>
      <c r="JX191" s="110" t="str">
        <f t="shared" si="494"/>
        <v/>
      </c>
      <c r="JY191" s="110" t="str">
        <f t="shared" si="495"/>
        <v/>
      </c>
      <c r="JZ191" s="110" t="str">
        <f t="shared" si="424"/>
        <v/>
      </c>
      <c r="KA191" s="108" t="str">
        <f t="shared" si="496"/>
        <v/>
      </c>
    </row>
    <row r="192" spans="1:287" s="108" customFormat="1" ht="21.95" customHeight="1">
      <c r="A192" s="89">
        <v>186</v>
      </c>
      <c r="B192" s="90" t="str">
        <f>IF('Marks Entry'!B192="","",'Marks Entry'!B192)</f>
        <v/>
      </c>
      <c r="C192" s="94" t="str">
        <f>IF('Marks Entry'!D192="","",'Marks Entry'!D192)</f>
        <v/>
      </c>
      <c r="D192" s="91" t="str">
        <f>IF('Marks Entry'!E192="","",'Marks Entry'!E192)</f>
        <v/>
      </c>
      <c r="E192" s="92" t="str">
        <f>IF('Marks Entry'!F192="","",'Marks Entry'!F192)</f>
        <v/>
      </c>
      <c r="F192" s="93" t="str">
        <f>IF('Marks Entry'!G192="","",'Marks Entry'!G192)</f>
        <v/>
      </c>
      <c r="G192" s="93" t="str">
        <f>IF('Marks Entry'!H192="","",'Marks Entry'!H192)</f>
        <v/>
      </c>
      <c r="H192" s="93" t="str">
        <f>IF('Marks Entry'!I192="","",'Marks Entry'!I192)</f>
        <v/>
      </c>
      <c r="I192" s="94" t="str">
        <f>IF('Marks Entry'!J192="","",'Marks Entry'!J192)</f>
        <v/>
      </c>
      <c r="J192" s="95" t="str">
        <f>IF('Marks Entry'!K192="","",'Marks Entry'!K192)</f>
        <v/>
      </c>
      <c r="K192" s="68" t="str">
        <f>IF('Marks Entry'!L192="","",'Marks Entry'!L192)</f>
        <v/>
      </c>
      <c r="L192" s="68" t="str">
        <f>IF('Marks Entry'!M192="","",'Marks Entry'!M192)</f>
        <v/>
      </c>
      <c r="M192" s="68" t="str">
        <f>IF('Marks Entry'!N192="","",'Marks Entry'!N192)</f>
        <v/>
      </c>
      <c r="N192" s="514" t="str">
        <f t="shared" si="425"/>
        <v/>
      </c>
      <c r="O192" s="68" t="str">
        <f>IF('Marks Entry'!O192="","",'Marks Entry'!O192)</f>
        <v/>
      </c>
      <c r="P192" s="515" t="str">
        <f t="shared" si="426"/>
        <v/>
      </c>
      <c r="Q192" s="68" t="str">
        <f>IF('Marks Entry'!P192="","",'Marks Entry'!P192)</f>
        <v/>
      </c>
      <c r="R192" s="96" t="str">
        <f t="shared" si="427"/>
        <v/>
      </c>
      <c r="S192" s="65">
        <f t="shared" si="428"/>
        <v>0</v>
      </c>
      <c r="T192" s="65">
        <f t="shared" si="429"/>
        <v>0</v>
      </c>
      <c r="U192" s="66" t="str">
        <f t="shared" si="339"/>
        <v/>
      </c>
      <c r="V192" s="65" t="str">
        <f t="shared" si="340"/>
        <v/>
      </c>
      <c r="W192" s="65" t="str">
        <f t="shared" si="430"/>
        <v/>
      </c>
      <c r="X192" s="65" t="str">
        <f t="shared" si="341"/>
        <v/>
      </c>
      <c r="Y192" s="68" t="str">
        <f>IF('Marks Entry'!Q192="","",'Marks Entry'!Q192)</f>
        <v/>
      </c>
      <c r="Z192" s="68" t="str">
        <f>IF('Marks Entry'!R192="","",'Marks Entry'!R192)</f>
        <v/>
      </c>
      <c r="AA192" s="68" t="str">
        <f>IF('Marks Entry'!S192="","",'Marks Entry'!S192)</f>
        <v/>
      </c>
      <c r="AB192" s="514" t="str">
        <f t="shared" si="342"/>
        <v/>
      </c>
      <c r="AC192" s="68" t="str">
        <f>IF('Marks Entry'!T192="","",'Marks Entry'!T192)</f>
        <v/>
      </c>
      <c r="AD192" s="515" t="str">
        <f t="shared" si="343"/>
        <v/>
      </c>
      <c r="AE192" s="68" t="str">
        <f>IF('Marks Entry'!U192="","",'Marks Entry'!U192)</f>
        <v/>
      </c>
      <c r="AF192" s="96" t="str">
        <f t="shared" si="344"/>
        <v/>
      </c>
      <c r="AG192" s="65">
        <f t="shared" si="345"/>
        <v>0</v>
      </c>
      <c r="AH192" s="65">
        <f t="shared" si="346"/>
        <v>0</v>
      </c>
      <c r="AI192" s="66" t="str">
        <f t="shared" si="347"/>
        <v/>
      </c>
      <c r="AJ192" s="65" t="str">
        <f t="shared" si="348"/>
        <v/>
      </c>
      <c r="AK192" s="65" t="str">
        <f t="shared" si="349"/>
        <v/>
      </c>
      <c r="AL192" s="65" t="str">
        <f t="shared" si="350"/>
        <v/>
      </c>
      <c r="AM192" s="524" t="str">
        <f>IF('Marks Entry'!V192="","",IF('Marks Entry'!V192=1,'School Profile'!$I$9,IF('Marks Entry'!V192=2,'School Profile'!$I$10,IF('Marks Entry'!V192=3,'School Profile'!$I$11,IF('Marks Entry'!V192=4,'School Profile'!$I$12,IF('Marks Entry'!V192=5,'School Profile'!$I$13,IF('Marks Entry'!V192=6,'School Profile'!$I$14,"")))))))</f>
        <v/>
      </c>
      <c r="AN192" s="68" t="str">
        <f>IF('Marks Entry'!W192="","",'Marks Entry'!W192)</f>
        <v/>
      </c>
      <c r="AO192" s="68" t="str">
        <f>IF('Marks Entry'!X192="","",'Marks Entry'!X192)</f>
        <v/>
      </c>
      <c r="AP192" s="68" t="str">
        <f>IF('Marks Entry'!Y192="","",'Marks Entry'!Y192)</f>
        <v/>
      </c>
      <c r="AQ192" s="514" t="str">
        <f t="shared" si="351"/>
        <v/>
      </c>
      <c r="AR192" s="68" t="str">
        <f>IF('Marks Entry'!Z192="","",'Marks Entry'!Z192)</f>
        <v/>
      </c>
      <c r="AS192" s="515" t="str">
        <f t="shared" si="352"/>
        <v/>
      </c>
      <c r="AT192" s="68" t="str">
        <f>IF('Marks Entry'!AA192="","",'Marks Entry'!AA192)</f>
        <v/>
      </c>
      <c r="AU192" s="96" t="str">
        <f t="shared" si="353"/>
        <v/>
      </c>
      <c r="AV192" s="65">
        <f t="shared" si="354"/>
        <v>0</v>
      </c>
      <c r="AW192" s="65">
        <f t="shared" si="355"/>
        <v>0</v>
      </c>
      <c r="AX192" s="66" t="str">
        <f t="shared" si="356"/>
        <v/>
      </c>
      <c r="AY192" s="65" t="str">
        <f t="shared" si="357"/>
        <v/>
      </c>
      <c r="AZ192" s="65" t="str">
        <f t="shared" si="358"/>
        <v/>
      </c>
      <c r="BA192" s="65" t="str">
        <f t="shared" si="359"/>
        <v/>
      </c>
      <c r="BB192" s="68" t="str">
        <f>IF('Marks Entry'!AB192="","",'Marks Entry'!AB192)</f>
        <v/>
      </c>
      <c r="BC192" s="68" t="str">
        <f>IF('Marks Entry'!AC192="","",'Marks Entry'!AC192)</f>
        <v/>
      </c>
      <c r="BD192" s="68" t="str">
        <f>IF('Marks Entry'!AD192="","",'Marks Entry'!AD192)</f>
        <v/>
      </c>
      <c r="BE192" s="514" t="str">
        <f t="shared" si="360"/>
        <v/>
      </c>
      <c r="BF192" s="68" t="str">
        <f>IF('Marks Entry'!AE192="","",'Marks Entry'!AE192)</f>
        <v/>
      </c>
      <c r="BG192" s="515" t="str">
        <f t="shared" si="361"/>
        <v/>
      </c>
      <c r="BH192" s="68" t="str">
        <f>IF('Marks Entry'!AF192="","",'Marks Entry'!AF192)</f>
        <v/>
      </c>
      <c r="BI192" s="96" t="str">
        <f t="shared" si="362"/>
        <v/>
      </c>
      <c r="BJ192" s="65">
        <f t="shared" si="363"/>
        <v>0</v>
      </c>
      <c r="BK192" s="65">
        <f t="shared" si="431"/>
        <v>0</v>
      </c>
      <c r="BL192" s="66" t="str">
        <f t="shared" si="364"/>
        <v/>
      </c>
      <c r="BM192" s="65" t="str">
        <f t="shared" si="365"/>
        <v/>
      </c>
      <c r="BN192" s="65" t="str">
        <f t="shared" si="366"/>
        <v/>
      </c>
      <c r="BO192" s="65" t="str">
        <f t="shared" si="367"/>
        <v/>
      </c>
      <c r="BP192" s="68" t="str">
        <f>IF('Marks Entry'!AG192="","",'Marks Entry'!AG192)</f>
        <v/>
      </c>
      <c r="BQ192" s="68" t="str">
        <f>IF('Marks Entry'!AH192="","",'Marks Entry'!AH192)</f>
        <v/>
      </c>
      <c r="BR192" s="68" t="str">
        <f>IF('Marks Entry'!AI192="","",'Marks Entry'!AI192)</f>
        <v/>
      </c>
      <c r="BS192" s="514" t="str">
        <f t="shared" si="368"/>
        <v/>
      </c>
      <c r="BT192" s="68" t="str">
        <f>IF('Marks Entry'!AJ192="","",'Marks Entry'!AJ192)</f>
        <v/>
      </c>
      <c r="BU192" s="515" t="str">
        <f t="shared" si="369"/>
        <v/>
      </c>
      <c r="BV192" s="68" t="str">
        <f>IF('Marks Entry'!AK192="","",'Marks Entry'!AK192)</f>
        <v/>
      </c>
      <c r="BW192" s="96" t="str">
        <f t="shared" si="370"/>
        <v/>
      </c>
      <c r="BX192" s="65">
        <f t="shared" si="371"/>
        <v>0</v>
      </c>
      <c r="BY192" s="65">
        <f t="shared" si="372"/>
        <v>0</v>
      </c>
      <c r="BZ192" s="66" t="str">
        <f t="shared" si="373"/>
        <v/>
      </c>
      <c r="CA192" s="65" t="str">
        <f t="shared" si="374"/>
        <v/>
      </c>
      <c r="CB192" s="65" t="str">
        <f t="shared" si="375"/>
        <v/>
      </c>
      <c r="CC192" s="65" t="str">
        <f t="shared" si="376"/>
        <v/>
      </c>
      <c r="CD192" s="66">
        <f t="shared" si="497"/>
        <v>0</v>
      </c>
      <c r="CE192" s="68" t="str">
        <f>IF('Marks Entry'!AL192="","",'Marks Entry'!AL192)</f>
        <v/>
      </c>
      <c r="CF192" s="68" t="str">
        <f>IF('Marks Entry'!AM192="","",'Marks Entry'!AM192)</f>
        <v/>
      </c>
      <c r="CG192" s="68" t="str">
        <f>IF('Marks Entry'!AN192="","",'Marks Entry'!AN192)</f>
        <v/>
      </c>
      <c r="CH192" s="514" t="str">
        <f t="shared" si="378"/>
        <v/>
      </c>
      <c r="CI192" s="68" t="str">
        <f>IF('Marks Entry'!AO192="","",'Marks Entry'!AO192)</f>
        <v/>
      </c>
      <c r="CJ192" s="515" t="str">
        <f t="shared" si="379"/>
        <v/>
      </c>
      <c r="CK192" s="68" t="str">
        <f>IF('Marks Entry'!AP192="","",'Marks Entry'!AP192)</f>
        <v/>
      </c>
      <c r="CL192" s="96" t="str">
        <f t="shared" si="380"/>
        <v/>
      </c>
      <c r="CM192" s="65">
        <f t="shared" si="381"/>
        <v>0</v>
      </c>
      <c r="CN192" s="65">
        <f t="shared" si="382"/>
        <v>0</v>
      </c>
      <c r="CO192" s="66" t="str">
        <f t="shared" si="383"/>
        <v/>
      </c>
      <c r="CP192" s="65" t="str">
        <f t="shared" si="384"/>
        <v/>
      </c>
      <c r="CQ192" s="65" t="str">
        <f t="shared" si="385"/>
        <v/>
      </c>
      <c r="CR192" s="65" t="str">
        <f t="shared" si="386"/>
        <v/>
      </c>
      <c r="CS192" s="616" t="str">
        <f>IF('School Profile'!$D$20="NO","",IF('Marks Entry'!AQ192="","",IF('Marks Entry'!AQ192=1,'School Profile'!$I$29,IF('Marks Entry'!AQ192=2,'School Profile'!$I$30,IF('Marks Entry'!AQ192=3,'School Profile'!$I$31,IF('Marks Entry'!AQ192=4,'School Profile'!$I$32,IF('Marks Entry'!AQ192=5,'School Profile'!$I$33,IF('Marks Entry'!AQ192=6,'School Profile'!$I$34,IF('Marks Entry'!AQ192=7,'School Profile'!$I$35,IF('Marks Entry'!AQ192=8,'School Profile'!$I$36,IF('Marks Entry'!AQ192=9,'School Profile'!$I$37,IF('Marks Entry'!AQ192=10,'School Profile'!$I$38,IF('Marks Entry'!AQ192=11,'School Profile'!$I$39,"")))))))))))))</f>
        <v/>
      </c>
      <c r="CT192" s="68" t="str">
        <f>IF('School Profile'!$D$20="NO","",IF('Marks Entry'!AR192="","",'Marks Entry'!AR192))</f>
        <v/>
      </c>
      <c r="CU192" s="68" t="str">
        <f>IF('School Profile'!$D$20="NO","",IF('Marks Entry'!AS192="","",'Marks Entry'!AS192))</f>
        <v/>
      </c>
      <c r="CV192" s="68" t="str">
        <f>IF('School Profile'!$D$20="NO","",IF('Marks Entry'!AT192="","",'Marks Entry'!AT192))</f>
        <v/>
      </c>
      <c r="CW192" s="514" t="str">
        <f>IF('School Profile'!$D$20="NO","",IF(AND(CT192="",CU192="",CV192=""),"",SUM(CT192:CV192)))</f>
        <v/>
      </c>
      <c r="CX192" s="68" t="str">
        <f>IF('School Profile'!$D$20="NO","",IF('Marks Entry'!AU192="","",'Marks Entry'!AU192))</f>
        <v/>
      </c>
      <c r="CY192" s="68" t="str">
        <f>IF('School Profile'!$D$20="NO","",IF('Marks Entry'!AV192="","",'Marks Entry'!AV192))</f>
        <v/>
      </c>
      <c r="CZ192" s="515" t="str">
        <f>IF('School Profile'!$D$20="NO","",IF(AND(CX192="",CY192=""),"",SUM(CX192,CY192)))</f>
        <v/>
      </c>
      <c r="DA192" s="69" t="str">
        <f>IF('School Profile'!$D$20="NO","",IF(AND(CW192="",CZ192=""),"",SUM(CW192+CZ192)))</f>
        <v/>
      </c>
      <c r="DB192" s="68" t="str">
        <f>IF('School Profile'!$D$20="NO","",IF('Marks Entry'!AW192="","",'Marks Entry'!AW192))</f>
        <v/>
      </c>
      <c r="DC192" s="68" t="str">
        <f>IF('School Profile'!$D$20="NO","",IF('Marks Entry'!AX192="","",'Marks Entry'!AX192))</f>
        <v/>
      </c>
      <c r="DD192" s="515" t="str">
        <f>IF('School Profile'!$D$20="NO","",IF(AND(DB192="",DC192=""),"",SUM(DB192,DC192)))</f>
        <v/>
      </c>
      <c r="DE192" s="96" t="str">
        <f>IF('School Profile'!$D$20="NO","",IF(AND(DA192="",DD192=""),"",SUM(DA192,DD192)))</f>
        <v/>
      </c>
      <c r="DF192" s="532">
        <f t="shared" si="387"/>
        <v>0</v>
      </c>
      <c r="DG192" s="65">
        <f t="shared" si="388"/>
        <v>0</v>
      </c>
      <c r="DH192" s="66" t="str">
        <f t="shared" si="389"/>
        <v/>
      </c>
      <c r="DI192" s="65" t="str">
        <f t="shared" si="390"/>
        <v/>
      </c>
      <c r="DJ192" s="65" t="str">
        <f t="shared" si="391"/>
        <v/>
      </c>
      <c r="DK192" s="65" t="str">
        <f t="shared" si="392"/>
        <v/>
      </c>
      <c r="DL192" s="97" t="str">
        <f t="shared" si="432"/>
        <v/>
      </c>
      <c r="DM192" s="97" t="str">
        <f t="shared" si="433"/>
        <v/>
      </c>
      <c r="DN192" s="97" t="str">
        <f t="shared" si="434"/>
        <v/>
      </c>
      <c r="DO192" s="97" t="str">
        <f t="shared" si="435"/>
        <v/>
      </c>
      <c r="DP192" s="97" t="str">
        <f t="shared" si="436"/>
        <v/>
      </c>
      <c r="DQ192" s="97" t="str">
        <f t="shared" si="437"/>
        <v/>
      </c>
      <c r="DR192" s="97" t="str">
        <f t="shared" si="438"/>
        <v/>
      </c>
      <c r="DS192" s="98">
        <f t="shared" si="439"/>
        <v>0</v>
      </c>
      <c r="DT192" s="98">
        <f t="shared" si="440"/>
        <v>0</v>
      </c>
      <c r="DU192" s="98">
        <f t="shared" si="441"/>
        <v>0</v>
      </c>
      <c r="DV192" s="98">
        <f t="shared" si="442"/>
        <v>0</v>
      </c>
      <c r="DW192" s="98">
        <f t="shared" si="443"/>
        <v>0</v>
      </c>
      <c r="DX192" s="98" t="str">
        <f t="shared" si="444"/>
        <v/>
      </c>
      <c r="DY192" s="99" t="str">
        <f t="shared" si="445"/>
        <v/>
      </c>
      <c r="DZ192" s="74" t="str">
        <f>IF('Marks Entry'!AY192="","",'Marks Entry'!AY192)</f>
        <v/>
      </c>
      <c r="EA192" s="74" t="str">
        <f>IF('Marks Entry'!AZ192="","",'Marks Entry'!AZ192)</f>
        <v/>
      </c>
      <c r="EB192" s="74" t="str">
        <f>IF('Marks Entry'!BA192="","",'Marks Entry'!BA192)</f>
        <v/>
      </c>
      <c r="EC192" s="527" t="str">
        <f t="shared" si="393"/>
        <v/>
      </c>
      <c r="ED192" s="74" t="str">
        <f>IF('Marks Entry'!BB192="","",'Marks Entry'!BB192)</f>
        <v/>
      </c>
      <c r="EE192" s="528" t="str">
        <f t="shared" si="394"/>
        <v/>
      </c>
      <c r="EF192" s="74" t="str">
        <f>IF('Marks Entry'!BC192="","",'Marks Entry'!BC192)</f>
        <v/>
      </c>
      <c r="EG192" s="530" t="str">
        <f t="shared" si="395"/>
        <v/>
      </c>
      <c r="EH192" s="368" t="str">
        <f t="shared" si="446"/>
        <v/>
      </c>
      <c r="EI192" s="65">
        <f t="shared" si="447"/>
        <v>0</v>
      </c>
      <c r="EJ192" s="65">
        <f t="shared" si="448"/>
        <v>0</v>
      </c>
      <c r="EK192" s="66" t="str">
        <f t="shared" si="449"/>
        <v/>
      </c>
      <c r="EL192" s="74" t="str">
        <f>IF('Marks Entry'!BD192="","",'Marks Entry'!BD192)</f>
        <v/>
      </c>
      <c r="EM192" s="74" t="str">
        <f>IF('Marks Entry'!BE192="","",'Marks Entry'!BE192)</f>
        <v/>
      </c>
      <c r="EN192" s="74" t="str">
        <f>IF('Marks Entry'!BF192="","",'Marks Entry'!BF192)</f>
        <v/>
      </c>
      <c r="EO192" s="527" t="str">
        <f t="shared" si="396"/>
        <v/>
      </c>
      <c r="EP192" s="74" t="str">
        <f>IF('Marks Entry'!BG192="","",'Marks Entry'!BG192)</f>
        <v/>
      </c>
      <c r="EQ192" s="74" t="str">
        <f>IF('Marks Entry'!BH192="","",'Marks Entry'!BH192)</f>
        <v/>
      </c>
      <c r="ER192" s="528" t="str">
        <f t="shared" si="397"/>
        <v/>
      </c>
      <c r="ES192" s="529" t="str">
        <f t="shared" si="398"/>
        <v/>
      </c>
      <c r="ET192" s="74" t="str">
        <f>IF('Marks Entry'!BI192="","",'Marks Entry'!BI192)</f>
        <v/>
      </c>
      <c r="EU192" s="74" t="str">
        <f>IF('Marks Entry'!BJ192="","",'Marks Entry'!BJ192)</f>
        <v/>
      </c>
      <c r="EV192" s="528" t="str">
        <f t="shared" si="399"/>
        <v/>
      </c>
      <c r="EW192" s="530" t="str">
        <f t="shared" si="400"/>
        <v/>
      </c>
      <c r="EX192" s="368" t="str">
        <f t="shared" si="450"/>
        <v/>
      </c>
      <c r="EY192" s="65">
        <f t="shared" si="451"/>
        <v>0</v>
      </c>
      <c r="EZ192" s="65">
        <f t="shared" si="452"/>
        <v>0</v>
      </c>
      <c r="FA192" s="66" t="str">
        <f t="shared" si="453"/>
        <v/>
      </c>
      <c r="FB192" s="74" t="str">
        <f>IF('Marks Entry'!BK192="","",'Marks Entry'!BK192)</f>
        <v/>
      </c>
      <c r="FC192" s="74" t="str">
        <f>IF('Marks Entry'!BL192="","",'Marks Entry'!BL192)</f>
        <v/>
      </c>
      <c r="FD192" s="74" t="str">
        <f>IF('Marks Entry'!BM192="","",'Marks Entry'!BM192)</f>
        <v/>
      </c>
      <c r="FE192" s="74" t="str">
        <f>IF('Marks Entry'!BN192="","",'Marks Entry'!BN192)</f>
        <v/>
      </c>
      <c r="FF192" s="74" t="str">
        <f>IF('Marks Entry'!BO192="","",'Marks Entry'!BO192)</f>
        <v/>
      </c>
      <c r="FG192" s="74" t="str">
        <f>IF('Marks Entry'!BP192="","",'Marks Entry'!BP192)</f>
        <v/>
      </c>
      <c r="FH192" s="527" t="str">
        <f t="shared" si="401"/>
        <v/>
      </c>
      <c r="FI192" s="74" t="str">
        <f>IF('Marks Entry'!BQ192="","",'Marks Entry'!BQ192)</f>
        <v/>
      </c>
      <c r="FJ192" s="74" t="str">
        <f>IF('Marks Entry'!BR192="","",'Marks Entry'!BR192)</f>
        <v/>
      </c>
      <c r="FK192" s="528" t="str">
        <f t="shared" si="402"/>
        <v/>
      </c>
      <c r="FL192" s="529" t="str">
        <f t="shared" si="403"/>
        <v/>
      </c>
      <c r="FM192" s="74" t="str">
        <f>IF('Marks Entry'!BS192="","",'Marks Entry'!BS192)</f>
        <v/>
      </c>
      <c r="FN192" s="74" t="str">
        <f>IF('Marks Entry'!BT192="","",'Marks Entry'!BT192)</f>
        <v/>
      </c>
      <c r="FO192" s="528" t="str">
        <f t="shared" si="404"/>
        <v/>
      </c>
      <c r="FP192" s="530" t="str">
        <f t="shared" si="405"/>
        <v/>
      </c>
      <c r="FQ192" s="368" t="str">
        <f t="shared" si="454"/>
        <v/>
      </c>
      <c r="FR192" s="65">
        <f t="shared" si="455"/>
        <v>0</v>
      </c>
      <c r="FS192" s="65">
        <f t="shared" si="456"/>
        <v>0</v>
      </c>
      <c r="FT192" s="66" t="str">
        <f t="shared" si="457"/>
        <v/>
      </c>
      <c r="FU192" s="74" t="str">
        <f>IF('Marks Entry'!BU192="","",'Marks Entry'!BU192)</f>
        <v/>
      </c>
      <c r="FV192" s="74" t="str">
        <f>IF('Marks Entry'!BV192="","",'Marks Entry'!BV192)</f>
        <v/>
      </c>
      <c r="FW192" s="74" t="str">
        <f>IF('Marks Entry'!BW192="","",'Marks Entry'!BW192)</f>
        <v/>
      </c>
      <c r="FX192" s="75" t="str">
        <f t="shared" si="406"/>
        <v/>
      </c>
      <c r="FY192" s="368" t="str">
        <f t="shared" si="458"/>
        <v/>
      </c>
      <c r="FZ192" s="65">
        <f t="shared" si="459"/>
        <v>0</v>
      </c>
      <c r="GA192" s="66">
        <f t="shared" si="460"/>
        <v>0</v>
      </c>
      <c r="GB192" s="66" t="str">
        <f t="shared" si="461"/>
        <v/>
      </c>
      <c r="GC192" s="74" t="str">
        <f>IF('Marks Entry'!BX192="","",'Marks Entry'!BX192)</f>
        <v/>
      </c>
      <c r="GD192" s="74" t="str">
        <f>IF('Marks Entry'!BY192="","",'Marks Entry'!BY192)</f>
        <v/>
      </c>
      <c r="GE192" s="74" t="str">
        <f>IF('Marks Entry'!BZ192="","",'Marks Entry'!BZ192)</f>
        <v/>
      </c>
      <c r="GF192" s="75" t="str">
        <f t="shared" si="462"/>
        <v/>
      </c>
      <c r="GG192" s="368" t="str">
        <f t="shared" si="463"/>
        <v/>
      </c>
      <c r="GH192" s="65">
        <f t="shared" si="464"/>
        <v>0</v>
      </c>
      <c r="GI192" s="66">
        <f t="shared" si="465"/>
        <v>0</v>
      </c>
      <c r="GJ192" s="66" t="str">
        <f t="shared" si="466"/>
        <v/>
      </c>
      <c r="GK192" s="100" t="str">
        <f>IF(AND(F192="",B192=""),"",IF('Student DATA Entry'!M189="","",'Student DATA Entry'!M189))</f>
        <v/>
      </c>
      <c r="GL192" s="101" t="str">
        <f>IF(AND(B192="",F192=""),"",IF('Student DATA Entry'!N189="","",'Student DATA Entry'!N189))</f>
        <v/>
      </c>
      <c r="GM192" s="581" t="str">
        <f t="shared" si="467"/>
        <v/>
      </c>
      <c r="GN192" s="94" t="str">
        <f t="shared" si="468"/>
        <v/>
      </c>
      <c r="GO192" s="94" t="str">
        <f t="shared" si="469"/>
        <v/>
      </c>
      <c r="GP192" s="102" t="str">
        <f t="shared" si="498"/>
        <v/>
      </c>
      <c r="GQ192" s="94" t="str">
        <f t="shared" si="470"/>
        <v/>
      </c>
      <c r="GR192" s="103" t="str">
        <f t="shared" si="471"/>
        <v/>
      </c>
      <c r="GS192" s="102" t="str">
        <f t="shared" si="499"/>
        <v/>
      </c>
      <c r="GT192" s="104" t="str">
        <f t="shared" si="472"/>
        <v/>
      </c>
      <c r="GU192" s="94" t="str">
        <f>IF('Marks Entry'!V192=1,GT192,"")</f>
        <v/>
      </c>
      <c r="GV192" s="94" t="str">
        <f>IF('Marks Entry'!V192=2,GT192,"")</f>
        <v/>
      </c>
      <c r="GW192" s="94" t="str">
        <f>IF('Marks Entry'!V192=3,GT192,"")</f>
        <v/>
      </c>
      <c r="GX192" s="94" t="str">
        <f>IF('Marks Entry'!V192=4,GT192,"")</f>
        <v/>
      </c>
      <c r="GY192" s="94" t="str">
        <f>IF('Marks Entry'!V192=5,GT192,"")</f>
        <v/>
      </c>
      <c r="GZ192" s="94" t="str">
        <f t="shared" si="473"/>
        <v/>
      </c>
      <c r="HA192" s="105" t="str">
        <f t="shared" si="500"/>
        <v/>
      </c>
      <c r="HB192" s="94" t="str">
        <f t="shared" si="474"/>
        <v/>
      </c>
      <c r="HC192" s="94" t="str">
        <f t="shared" si="475"/>
        <v/>
      </c>
      <c r="HD192" s="105" t="str">
        <f t="shared" si="501"/>
        <v/>
      </c>
      <c r="HE192" s="94" t="str">
        <f t="shared" si="476"/>
        <v/>
      </c>
      <c r="HF192" s="94" t="str">
        <f t="shared" si="477"/>
        <v/>
      </c>
      <c r="HG192" s="105" t="str">
        <f t="shared" si="502"/>
        <v/>
      </c>
      <c r="HH192" s="94" t="str">
        <f t="shared" si="478"/>
        <v/>
      </c>
      <c r="HI192" s="94" t="str">
        <f t="shared" si="479"/>
        <v/>
      </c>
      <c r="HJ192" s="105" t="str">
        <f t="shared" si="503"/>
        <v/>
      </c>
      <c r="HK192" s="94" t="str">
        <f t="shared" si="480"/>
        <v/>
      </c>
      <c r="HL192" s="94" t="str">
        <f t="shared" si="481"/>
        <v/>
      </c>
      <c r="HM192" s="105" t="str">
        <f t="shared" si="504"/>
        <v/>
      </c>
      <c r="HN192" s="367" t="str">
        <f t="shared" si="482"/>
        <v xml:space="preserve">      </v>
      </c>
      <c r="HO192" s="418" t="str">
        <f t="shared" si="505"/>
        <v xml:space="preserve">      </v>
      </c>
      <c r="HP192" s="367" t="str">
        <f t="shared" si="483"/>
        <v xml:space="preserve">      </v>
      </c>
      <c r="HQ192" s="107" t="str">
        <f t="shared" si="484"/>
        <v xml:space="preserve">      </v>
      </c>
      <c r="HR192" s="366" t="str">
        <f t="shared" si="485"/>
        <v xml:space="preserve">      </v>
      </c>
      <c r="HS192" s="544" t="str">
        <f t="shared" si="506"/>
        <v/>
      </c>
      <c r="HT192" s="542" t="str">
        <f t="shared" si="486"/>
        <v/>
      </c>
      <c r="HU192" s="541" t="str">
        <f t="shared" si="487"/>
        <v/>
      </c>
      <c r="HV192" s="540" t="str">
        <f t="shared" si="488"/>
        <v/>
      </c>
      <c r="HW192" s="537" t="str">
        <f t="shared" si="489"/>
        <v/>
      </c>
      <c r="HX192" s="539" t="str">
        <f t="shared" si="490"/>
        <v/>
      </c>
      <c r="HY192" s="553" t="str">
        <f>IFERROR(IF(OR(HS192="SUPPLEMENTARY",HS192="RE-EXAM"),'Supp. Result Entry'!AQ190,""),"")</f>
        <v/>
      </c>
      <c r="HZ192" s="538" t="str">
        <f t="shared" si="491"/>
        <v/>
      </c>
      <c r="IA192" s="415" t="str">
        <f t="shared" si="492"/>
        <v/>
      </c>
      <c r="IB192" s="415" t="str">
        <f>IF(AND(HZ192="",IA192=""),"",IF(OR(HS192="SUPPLEMENTARY",HS192="RE-EXAM"),'Supp. Result Entry'!AQ190,HS192))</f>
        <v/>
      </c>
      <c r="IC192" s="87"/>
      <c r="IS192" s="109" t="str">
        <f>IF('Supp. Result Entry'!T190="","",'Supp. Result Entry'!$T$4)</f>
        <v/>
      </c>
      <c r="IT192" s="110" t="str">
        <f>IF('Supp. Result Entry'!W190="","",'Supp. Result Entry'!$W$4)</f>
        <v/>
      </c>
      <c r="IU192" s="110" t="str">
        <f>IF('Supp. Result Entry'!Z190="","",'Supp. Result Entry'!$Z$4)</f>
        <v/>
      </c>
      <c r="IV192" s="110" t="str">
        <f>IF('Supp. Result Entry'!AC190="","",'Supp. Result Entry'!$AC$4)</f>
        <v/>
      </c>
      <c r="IW192" s="110" t="str">
        <f>IF('Supp. Result Entry'!AF190="","",'Supp. Result Entry'!$AF$4)</f>
        <v/>
      </c>
      <c r="IX192" s="110" t="str">
        <f>IF('Supp. Result Entry'!AI190="","",'Supp. Result Entry'!$AI$4)</f>
        <v/>
      </c>
      <c r="IY192" s="110" t="str">
        <f>IF('Supp. Result Entry'!AI190="","",'Supp. Result Entry'!$AL$4)</f>
        <v/>
      </c>
      <c r="IZ192" s="110" t="str">
        <f>IF('Supp. Result Entry'!U190="","",'Supp. Result Entry'!U190)</f>
        <v/>
      </c>
      <c r="JA192" s="110" t="str">
        <f>IF('Supp. Result Entry'!X190="","",'Supp. Result Entry'!X190)</f>
        <v/>
      </c>
      <c r="JB192" s="110" t="str">
        <f>IF('Supp. Result Entry'!AA190="","",'Supp. Result Entry'!AA190)</f>
        <v/>
      </c>
      <c r="JC192" s="110" t="str">
        <f>IF('Supp. Result Entry'!AD190="","",'Supp. Result Entry'!AD190)</f>
        <v/>
      </c>
      <c r="JD192" s="110" t="str">
        <f>IF('Supp. Result Entry'!AG190="","",'Supp. Result Entry'!AG190)</f>
        <v/>
      </c>
      <c r="JE192" s="110" t="str">
        <f>IF('Supp. Result Entry'!AJ190="","",'Supp. Result Entry'!AJ190)</f>
        <v/>
      </c>
      <c r="JF192" s="110" t="str">
        <f>IF('Supp. Result Entry'!AM190="","",'Supp. Result Entry'!AM190)</f>
        <v/>
      </c>
      <c r="JG192" s="110" t="str">
        <f>IF('Supp. Result Entry'!V190="","",'Supp. Result Entry'!V190)</f>
        <v/>
      </c>
      <c r="JH192" s="110" t="str">
        <f>IF('Supp. Result Entry'!Y190="","",'Supp. Result Entry'!Y190)</f>
        <v/>
      </c>
      <c r="JI192" s="110" t="str">
        <f>IF('Supp. Result Entry'!AB190="","",'Supp. Result Entry'!AB190)</f>
        <v/>
      </c>
      <c r="JJ192" s="110" t="str">
        <f>IF('Supp. Result Entry'!AE190="","",'Supp. Result Entry'!AE190)</f>
        <v/>
      </c>
      <c r="JK192" s="110" t="str">
        <f>IF('Supp. Result Entry'!AH190="","",'Supp. Result Entry'!AH190)</f>
        <v/>
      </c>
      <c r="JL192" s="110" t="str">
        <f>IF('Supp. Result Entry'!AK190="","",'Supp. Result Entry'!AK190)</f>
        <v/>
      </c>
      <c r="JM192" s="110" t="str">
        <f>IF('Supp. Result Entry'!AN190="","",'Supp. Result Entry'!AN190)</f>
        <v/>
      </c>
      <c r="JN192" s="110">
        <f>COUNTIF('Supp. Result Entry'!K190:Q190,"S")</f>
        <v>0</v>
      </c>
      <c r="JO192" s="110">
        <f t="shared" si="416"/>
        <v>0</v>
      </c>
      <c r="JP192" s="110">
        <f t="shared" si="493"/>
        <v>0</v>
      </c>
      <c r="JQ192" s="110" t="str">
        <f t="shared" si="417"/>
        <v/>
      </c>
      <c r="JR192" s="110" t="str">
        <f t="shared" si="418"/>
        <v/>
      </c>
      <c r="JS192" s="110" t="str">
        <f t="shared" si="419"/>
        <v/>
      </c>
      <c r="JT192" s="110" t="str">
        <f t="shared" si="420"/>
        <v/>
      </c>
      <c r="JU192" s="110" t="str">
        <f t="shared" si="421"/>
        <v/>
      </c>
      <c r="JV192" s="110" t="str">
        <f t="shared" si="422"/>
        <v/>
      </c>
      <c r="JW192" s="110" t="str">
        <f t="shared" si="423"/>
        <v/>
      </c>
      <c r="JX192" s="110" t="str">
        <f t="shared" si="494"/>
        <v/>
      </c>
      <c r="JY192" s="110" t="str">
        <f t="shared" si="495"/>
        <v/>
      </c>
      <c r="JZ192" s="110" t="str">
        <f t="shared" si="424"/>
        <v/>
      </c>
      <c r="KA192" s="108" t="str">
        <f t="shared" si="496"/>
        <v/>
      </c>
    </row>
    <row r="193" spans="1:287" s="108" customFormat="1" ht="21.95" customHeight="1">
      <c r="A193" s="89">
        <v>187</v>
      </c>
      <c r="B193" s="90" t="str">
        <f>IF('Marks Entry'!B193="","",'Marks Entry'!B193)</f>
        <v/>
      </c>
      <c r="C193" s="94" t="str">
        <f>IF('Marks Entry'!D193="","",'Marks Entry'!D193)</f>
        <v/>
      </c>
      <c r="D193" s="91" t="str">
        <f>IF('Marks Entry'!E193="","",'Marks Entry'!E193)</f>
        <v/>
      </c>
      <c r="E193" s="92" t="str">
        <f>IF('Marks Entry'!F193="","",'Marks Entry'!F193)</f>
        <v/>
      </c>
      <c r="F193" s="93" t="str">
        <f>IF('Marks Entry'!G193="","",'Marks Entry'!G193)</f>
        <v/>
      </c>
      <c r="G193" s="93" t="str">
        <f>IF('Marks Entry'!H193="","",'Marks Entry'!H193)</f>
        <v/>
      </c>
      <c r="H193" s="93" t="str">
        <f>IF('Marks Entry'!I193="","",'Marks Entry'!I193)</f>
        <v/>
      </c>
      <c r="I193" s="94" t="str">
        <f>IF('Marks Entry'!J193="","",'Marks Entry'!J193)</f>
        <v/>
      </c>
      <c r="J193" s="95" t="str">
        <f>IF('Marks Entry'!K193="","",'Marks Entry'!K193)</f>
        <v/>
      </c>
      <c r="K193" s="68" t="str">
        <f>IF('Marks Entry'!L193="","",'Marks Entry'!L193)</f>
        <v/>
      </c>
      <c r="L193" s="68" t="str">
        <f>IF('Marks Entry'!M193="","",'Marks Entry'!M193)</f>
        <v/>
      </c>
      <c r="M193" s="68" t="str">
        <f>IF('Marks Entry'!N193="","",'Marks Entry'!N193)</f>
        <v/>
      </c>
      <c r="N193" s="514" t="str">
        <f t="shared" si="425"/>
        <v/>
      </c>
      <c r="O193" s="68" t="str">
        <f>IF('Marks Entry'!O193="","",'Marks Entry'!O193)</f>
        <v/>
      </c>
      <c r="P193" s="515" t="str">
        <f t="shared" si="426"/>
        <v/>
      </c>
      <c r="Q193" s="68" t="str">
        <f>IF('Marks Entry'!P193="","",'Marks Entry'!P193)</f>
        <v/>
      </c>
      <c r="R193" s="96" t="str">
        <f t="shared" si="427"/>
        <v/>
      </c>
      <c r="S193" s="65">
        <f t="shared" si="428"/>
        <v>0</v>
      </c>
      <c r="T193" s="65">
        <f t="shared" si="429"/>
        <v>0</v>
      </c>
      <c r="U193" s="66" t="str">
        <f t="shared" si="339"/>
        <v/>
      </c>
      <c r="V193" s="65" t="str">
        <f t="shared" si="340"/>
        <v/>
      </c>
      <c r="W193" s="65" t="str">
        <f t="shared" si="430"/>
        <v/>
      </c>
      <c r="X193" s="65" t="str">
        <f t="shared" si="341"/>
        <v/>
      </c>
      <c r="Y193" s="68" t="str">
        <f>IF('Marks Entry'!Q193="","",'Marks Entry'!Q193)</f>
        <v/>
      </c>
      <c r="Z193" s="68" t="str">
        <f>IF('Marks Entry'!R193="","",'Marks Entry'!R193)</f>
        <v/>
      </c>
      <c r="AA193" s="68" t="str">
        <f>IF('Marks Entry'!S193="","",'Marks Entry'!S193)</f>
        <v/>
      </c>
      <c r="AB193" s="514" t="str">
        <f t="shared" si="342"/>
        <v/>
      </c>
      <c r="AC193" s="68" t="str">
        <f>IF('Marks Entry'!T193="","",'Marks Entry'!T193)</f>
        <v/>
      </c>
      <c r="AD193" s="515" t="str">
        <f t="shared" si="343"/>
        <v/>
      </c>
      <c r="AE193" s="68" t="str">
        <f>IF('Marks Entry'!U193="","",'Marks Entry'!U193)</f>
        <v/>
      </c>
      <c r="AF193" s="96" t="str">
        <f t="shared" si="344"/>
        <v/>
      </c>
      <c r="AG193" s="65">
        <f t="shared" si="345"/>
        <v>0</v>
      </c>
      <c r="AH193" s="65">
        <f t="shared" si="346"/>
        <v>0</v>
      </c>
      <c r="AI193" s="66" t="str">
        <f t="shared" si="347"/>
        <v/>
      </c>
      <c r="AJ193" s="65" t="str">
        <f t="shared" si="348"/>
        <v/>
      </c>
      <c r="AK193" s="65" t="str">
        <f t="shared" si="349"/>
        <v/>
      </c>
      <c r="AL193" s="65" t="str">
        <f t="shared" si="350"/>
        <v/>
      </c>
      <c r="AM193" s="524" t="str">
        <f>IF('Marks Entry'!V193="","",IF('Marks Entry'!V193=1,'School Profile'!$I$9,IF('Marks Entry'!V193=2,'School Profile'!$I$10,IF('Marks Entry'!V193=3,'School Profile'!$I$11,IF('Marks Entry'!V193=4,'School Profile'!$I$12,IF('Marks Entry'!V193=5,'School Profile'!$I$13,IF('Marks Entry'!V193=6,'School Profile'!$I$14,"")))))))</f>
        <v/>
      </c>
      <c r="AN193" s="68" t="str">
        <f>IF('Marks Entry'!W193="","",'Marks Entry'!W193)</f>
        <v/>
      </c>
      <c r="AO193" s="68" t="str">
        <f>IF('Marks Entry'!X193="","",'Marks Entry'!X193)</f>
        <v/>
      </c>
      <c r="AP193" s="68" t="str">
        <f>IF('Marks Entry'!Y193="","",'Marks Entry'!Y193)</f>
        <v/>
      </c>
      <c r="AQ193" s="514" t="str">
        <f t="shared" si="351"/>
        <v/>
      </c>
      <c r="AR193" s="68" t="str">
        <f>IF('Marks Entry'!Z193="","",'Marks Entry'!Z193)</f>
        <v/>
      </c>
      <c r="AS193" s="515" t="str">
        <f t="shared" si="352"/>
        <v/>
      </c>
      <c r="AT193" s="68" t="str">
        <f>IF('Marks Entry'!AA193="","",'Marks Entry'!AA193)</f>
        <v/>
      </c>
      <c r="AU193" s="96" t="str">
        <f t="shared" si="353"/>
        <v/>
      </c>
      <c r="AV193" s="65">
        <f t="shared" si="354"/>
        <v>0</v>
      </c>
      <c r="AW193" s="65">
        <f t="shared" si="355"/>
        <v>0</v>
      </c>
      <c r="AX193" s="66" t="str">
        <f t="shared" si="356"/>
        <v/>
      </c>
      <c r="AY193" s="65" t="str">
        <f t="shared" si="357"/>
        <v/>
      </c>
      <c r="AZ193" s="65" t="str">
        <f t="shared" si="358"/>
        <v/>
      </c>
      <c r="BA193" s="65" t="str">
        <f t="shared" si="359"/>
        <v/>
      </c>
      <c r="BB193" s="68" t="str">
        <f>IF('Marks Entry'!AB193="","",'Marks Entry'!AB193)</f>
        <v/>
      </c>
      <c r="BC193" s="68" t="str">
        <f>IF('Marks Entry'!AC193="","",'Marks Entry'!AC193)</f>
        <v/>
      </c>
      <c r="BD193" s="68" t="str">
        <f>IF('Marks Entry'!AD193="","",'Marks Entry'!AD193)</f>
        <v/>
      </c>
      <c r="BE193" s="514" t="str">
        <f t="shared" si="360"/>
        <v/>
      </c>
      <c r="BF193" s="68" t="str">
        <f>IF('Marks Entry'!AE193="","",'Marks Entry'!AE193)</f>
        <v/>
      </c>
      <c r="BG193" s="515" t="str">
        <f t="shared" si="361"/>
        <v/>
      </c>
      <c r="BH193" s="68" t="str">
        <f>IF('Marks Entry'!AF193="","",'Marks Entry'!AF193)</f>
        <v/>
      </c>
      <c r="BI193" s="96" t="str">
        <f t="shared" si="362"/>
        <v/>
      </c>
      <c r="BJ193" s="65">
        <f t="shared" si="363"/>
        <v>0</v>
      </c>
      <c r="BK193" s="65">
        <f t="shared" si="431"/>
        <v>0</v>
      </c>
      <c r="BL193" s="66" t="str">
        <f t="shared" si="364"/>
        <v/>
      </c>
      <c r="BM193" s="65" t="str">
        <f t="shared" si="365"/>
        <v/>
      </c>
      <c r="BN193" s="65" t="str">
        <f t="shared" si="366"/>
        <v/>
      </c>
      <c r="BO193" s="65" t="str">
        <f t="shared" si="367"/>
        <v/>
      </c>
      <c r="BP193" s="68" t="str">
        <f>IF('Marks Entry'!AG193="","",'Marks Entry'!AG193)</f>
        <v/>
      </c>
      <c r="BQ193" s="68" t="str">
        <f>IF('Marks Entry'!AH193="","",'Marks Entry'!AH193)</f>
        <v/>
      </c>
      <c r="BR193" s="68" t="str">
        <f>IF('Marks Entry'!AI193="","",'Marks Entry'!AI193)</f>
        <v/>
      </c>
      <c r="BS193" s="514" t="str">
        <f t="shared" si="368"/>
        <v/>
      </c>
      <c r="BT193" s="68" t="str">
        <f>IF('Marks Entry'!AJ193="","",'Marks Entry'!AJ193)</f>
        <v/>
      </c>
      <c r="BU193" s="515" t="str">
        <f t="shared" si="369"/>
        <v/>
      </c>
      <c r="BV193" s="68" t="str">
        <f>IF('Marks Entry'!AK193="","",'Marks Entry'!AK193)</f>
        <v/>
      </c>
      <c r="BW193" s="96" t="str">
        <f t="shared" si="370"/>
        <v/>
      </c>
      <c r="BX193" s="65">
        <f t="shared" si="371"/>
        <v>0</v>
      </c>
      <c r="BY193" s="65">
        <f t="shared" si="372"/>
        <v>0</v>
      </c>
      <c r="BZ193" s="66" t="str">
        <f t="shared" si="373"/>
        <v/>
      </c>
      <c r="CA193" s="65" t="str">
        <f t="shared" si="374"/>
        <v/>
      </c>
      <c r="CB193" s="65" t="str">
        <f t="shared" si="375"/>
        <v/>
      </c>
      <c r="CC193" s="65" t="str">
        <f t="shared" si="376"/>
        <v/>
      </c>
      <c r="CD193" s="66">
        <f t="shared" si="497"/>
        <v>0</v>
      </c>
      <c r="CE193" s="68" t="str">
        <f>IF('Marks Entry'!AL193="","",'Marks Entry'!AL193)</f>
        <v/>
      </c>
      <c r="CF193" s="68" t="str">
        <f>IF('Marks Entry'!AM193="","",'Marks Entry'!AM193)</f>
        <v/>
      </c>
      <c r="CG193" s="68" t="str">
        <f>IF('Marks Entry'!AN193="","",'Marks Entry'!AN193)</f>
        <v/>
      </c>
      <c r="CH193" s="514" t="str">
        <f t="shared" si="378"/>
        <v/>
      </c>
      <c r="CI193" s="68" t="str">
        <f>IF('Marks Entry'!AO193="","",'Marks Entry'!AO193)</f>
        <v/>
      </c>
      <c r="CJ193" s="515" t="str">
        <f t="shared" si="379"/>
        <v/>
      </c>
      <c r="CK193" s="68" t="str">
        <f>IF('Marks Entry'!AP193="","",'Marks Entry'!AP193)</f>
        <v/>
      </c>
      <c r="CL193" s="96" t="str">
        <f t="shared" si="380"/>
        <v/>
      </c>
      <c r="CM193" s="65">
        <f t="shared" si="381"/>
        <v>0</v>
      </c>
      <c r="CN193" s="65">
        <f t="shared" si="382"/>
        <v>0</v>
      </c>
      <c r="CO193" s="66" t="str">
        <f t="shared" si="383"/>
        <v/>
      </c>
      <c r="CP193" s="65" t="str">
        <f t="shared" si="384"/>
        <v/>
      </c>
      <c r="CQ193" s="65" t="str">
        <f t="shared" si="385"/>
        <v/>
      </c>
      <c r="CR193" s="65" t="str">
        <f t="shared" si="386"/>
        <v/>
      </c>
      <c r="CS193" s="616" t="str">
        <f>IF('School Profile'!$D$20="NO","",IF('Marks Entry'!AQ193="","",IF('Marks Entry'!AQ193=1,'School Profile'!$I$29,IF('Marks Entry'!AQ193=2,'School Profile'!$I$30,IF('Marks Entry'!AQ193=3,'School Profile'!$I$31,IF('Marks Entry'!AQ193=4,'School Profile'!$I$32,IF('Marks Entry'!AQ193=5,'School Profile'!$I$33,IF('Marks Entry'!AQ193=6,'School Profile'!$I$34,IF('Marks Entry'!AQ193=7,'School Profile'!$I$35,IF('Marks Entry'!AQ193=8,'School Profile'!$I$36,IF('Marks Entry'!AQ193=9,'School Profile'!$I$37,IF('Marks Entry'!AQ193=10,'School Profile'!$I$38,IF('Marks Entry'!AQ193=11,'School Profile'!$I$39,"")))))))))))))</f>
        <v/>
      </c>
      <c r="CT193" s="68" t="str">
        <f>IF('School Profile'!$D$20="NO","",IF('Marks Entry'!AR193="","",'Marks Entry'!AR193))</f>
        <v/>
      </c>
      <c r="CU193" s="68" t="str">
        <f>IF('School Profile'!$D$20="NO","",IF('Marks Entry'!AS193="","",'Marks Entry'!AS193))</f>
        <v/>
      </c>
      <c r="CV193" s="68" t="str">
        <f>IF('School Profile'!$D$20="NO","",IF('Marks Entry'!AT193="","",'Marks Entry'!AT193))</f>
        <v/>
      </c>
      <c r="CW193" s="514" t="str">
        <f>IF('School Profile'!$D$20="NO","",IF(AND(CT193="",CU193="",CV193=""),"",SUM(CT193:CV193)))</f>
        <v/>
      </c>
      <c r="CX193" s="68" t="str">
        <f>IF('School Profile'!$D$20="NO","",IF('Marks Entry'!AU193="","",'Marks Entry'!AU193))</f>
        <v/>
      </c>
      <c r="CY193" s="68" t="str">
        <f>IF('School Profile'!$D$20="NO","",IF('Marks Entry'!AV193="","",'Marks Entry'!AV193))</f>
        <v/>
      </c>
      <c r="CZ193" s="515" t="str">
        <f>IF('School Profile'!$D$20="NO","",IF(AND(CX193="",CY193=""),"",SUM(CX193,CY193)))</f>
        <v/>
      </c>
      <c r="DA193" s="69" t="str">
        <f>IF('School Profile'!$D$20="NO","",IF(AND(CW193="",CZ193=""),"",SUM(CW193+CZ193)))</f>
        <v/>
      </c>
      <c r="DB193" s="68" t="str">
        <f>IF('School Profile'!$D$20="NO","",IF('Marks Entry'!AW193="","",'Marks Entry'!AW193))</f>
        <v/>
      </c>
      <c r="DC193" s="68" t="str">
        <f>IF('School Profile'!$D$20="NO","",IF('Marks Entry'!AX193="","",'Marks Entry'!AX193))</f>
        <v/>
      </c>
      <c r="DD193" s="515" t="str">
        <f>IF('School Profile'!$D$20="NO","",IF(AND(DB193="",DC193=""),"",SUM(DB193,DC193)))</f>
        <v/>
      </c>
      <c r="DE193" s="96" t="str">
        <f>IF('School Profile'!$D$20="NO","",IF(AND(DA193="",DD193=""),"",SUM(DA193,DD193)))</f>
        <v/>
      </c>
      <c r="DF193" s="532">
        <f t="shared" si="387"/>
        <v>0</v>
      </c>
      <c r="DG193" s="65">
        <f t="shared" si="388"/>
        <v>0</v>
      </c>
      <c r="DH193" s="66" t="str">
        <f t="shared" si="389"/>
        <v/>
      </c>
      <c r="DI193" s="65" t="str">
        <f t="shared" si="390"/>
        <v/>
      </c>
      <c r="DJ193" s="65" t="str">
        <f t="shared" si="391"/>
        <v/>
      </c>
      <c r="DK193" s="65" t="str">
        <f t="shared" si="392"/>
        <v/>
      </c>
      <c r="DL193" s="97" t="str">
        <f t="shared" si="432"/>
        <v/>
      </c>
      <c r="DM193" s="97" t="str">
        <f t="shared" si="433"/>
        <v/>
      </c>
      <c r="DN193" s="97" t="str">
        <f t="shared" si="434"/>
        <v/>
      </c>
      <c r="DO193" s="97" t="str">
        <f t="shared" si="435"/>
        <v/>
      </c>
      <c r="DP193" s="97" t="str">
        <f t="shared" si="436"/>
        <v/>
      </c>
      <c r="DQ193" s="97" t="str">
        <f t="shared" si="437"/>
        <v/>
      </c>
      <c r="DR193" s="97" t="str">
        <f t="shared" si="438"/>
        <v/>
      </c>
      <c r="DS193" s="98">
        <f t="shared" si="439"/>
        <v>0</v>
      </c>
      <c r="DT193" s="98">
        <f t="shared" si="440"/>
        <v>0</v>
      </c>
      <c r="DU193" s="98">
        <f t="shared" si="441"/>
        <v>0</v>
      </c>
      <c r="DV193" s="98">
        <f t="shared" si="442"/>
        <v>0</v>
      </c>
      <c r="DW193" s="98">
        <f t="shared" si="443"/>
        <v>0</v>
      </c>
      <c r="DX193" s="98" t="str">
        <f t="shared" si="444"/>
        <v/>
      </c>
      <c r="DY193" s="99" t="str">
        <f t="shared" si="445"/>
        <v/>
      </c>
      <c r="DZ193" s="74" t="str">
        <f>IF('Marks Entry'!AY193="","",'Marks Entry'!AY193)</f>
        <v/>
      </c>
      <c r="EA193" s="74" t="str">
        <f>IF('Marks Entry'!AZ193="","",'Marks Entry'!AZ193)</f>
        <v/>
      </c>
      <c r="EB193" s="74" t="str">
        <f>IF('Marks Entry'!BA193="","",'Marks Entry'!BA193)</f>
        <v/>
      </c>
      <c r="EC193" s="527" t="str">
        <f t="shared" si="393"/>
        <v/>
      </c>
      <c r="ED193" s="74" t="str">
        <f>IF('Marks Entry'!BB193="","",'Marks Entry'!BB193)</f>
        <v/>
      </c>
      <c r="EE193" s="528" t="str">
        <f t="shared" si="394"/>
        <v/>
      </c>
      <c r="EF193" s="74" t="str">
        <f>IF('Marks Entry'!BC193="","",'Marks Entry'!BC193)</f>
        <v/>
      </c>
      <c r="EG193" s="530" t="str">
        <f t="shared" si="395"/>
        <v/>
      </c>
      <c r="EH193" s="368" t="str">
        <f t="shared" si="446"/>
        <v/>
      </c>
      <c r="EI193" s="65">
        <f t="shared" si="447"/>
        <v>0</v>
      </c>
      <c r="EJ193" s="65">
        <f t="shared" si="448"/>
        <v>0</v>
      </c>
      <c r="EK193" s="66" t="str">
        <f t="shared" si="449"/>
        <v/>
      </c>
      <c r="EL193" s="74" t="str">
        <f>IF('Marks Entry'!BD193="","",'Marks Entry'!BD193)</f>
        <v/>
      </c>
      <c r="EM193" s="74" t="str">
        <f>IF('Marks Entry'!BE193="","",'Marks Entry'!BE193)</f>
        <v/>
      </c>
      <c r="EN193" s="74" t="str">
        <f>IF('Marks Entry'!BF193="","",'Marks Entry'!BF193)</f>
        <v/>
      </c>
      <c r="EO193" s="527" t="str">
        <f t="shared" si="396"/>
        <v/>
      </c>
      <c r="EP193" s="74" t="str">
        <f>IF('Marks Entry'!BG193="","",'Marks Entry'!BG193)</f>
        <v/>
      </c>
      <c r="EQ193" s="74" t="str">
        <f>IF('Marks Entry'!BH193="","",'Marks Entry'!BH193)</f>
        <v/>
      </c>
      <c r="ER193" s="528" t="str">
        <f t="shared" si="397"/>
        <v/>
      </c>
      <c r="ES193" s="529" t="str">
        <f t="shared" si="398"/>
        <v/>
      </c>
      <c r="ET193" s="74" t="str">
        <f>IF('Marks Entry'!BI193="","",'Marks Entry'!BI193)</f>
        <v/>
      </c>
      <c r="EU193" s="74" t="str">
        <f>IF('Marks Entry'!BJ193="","",'Marks Entry'!BJ193)</f>
        <v/>
      </c>
      <c r="EV193" s="528" t="str">
        <f t="shared" si="399"/>
        <v/>
      </c>
      <c r="EW193" s="530" t="str">
        <f t="shared" si="400"/>
        <v/>
      </c>
      <c r="EX193" s="368" t="str">
        <f t="shared" si="450"/>
        <v/>
      </c>
      <c r="EY193" s="65">
        <f t="shared" si="451"/>
        <v>0</v>
      </c>
      <c r="EZ193" s="65">
        <f t="shared" si="452"/>
        <v>0</v>
      </c>
      <c r="FA193" s="66" t="str">
        <f t="shared" si="453"/>
        <v/>
      </c>
      <c r="FB193" s="74" t="str">
        <f>IF('Marks Entry'!BK193="","",'Marks Entry'!BK193)</f>
        <v/>
      </c>
      <c r="FC193" s="74" t="str">
        <f>IF('Marks Entry'!BL193="","",'Marks Entry'!BL193)</f>
        <v/>
      </c>
      <c r="FD193" s="74" t="str">
        <f>IF('Marks Entry'!BM193="","",'Marks Entry'!BM193)</f>
        <v/>
      </c>
      <c r="FE193" s="74" t="str">
        <f>IF('Marks Entry'!BN193="","",'Marks Entry'!BN193)</f>
        <v/>
      </c>
      <c r="FF193" s="74" t="str">
        <f>IF('Marks Entry'!BO193="","",'Marks Entry'!BO193)</f>
        <v/>
      </c>
      <c r="FG193" s="74" t="str">
        <f>IF('Marks Entry'!BP193="","",'Marks Entry'!BP193)</f>
        <v/>
      </c>
      <c r="FH193" s="527" t="str">
        <f t="shared" si="401"/>
        <v/>
      </c>
      <c r="FI193" s="74" t="str">
        <f>IF('Marks Entry'!BQ193="","",'Marks Entry'!BQ193)</f>
        <v/>
      </c>
      <c r="FJ193" s="74" t="str">
        <f>IF('Marks Entry'!BR193="","",'Marks Entry'!BR193)</f>
        <v/>
      </c>
      <c r="FK193" s="528" t="str">
        <f t="shared" si="402"/>
        <v/>
      </c>
      <c r="FL193" s="529" t="str">
        <f t="shared" si="403"/>
        <v/>
      </c>
      <c r="FM193" s="74" t="str">
        <f>IF('Marks Entry'!BS193="","",'Marks Entry'!BS193)</f>
        <v/>
      </c>
      <c r="FN193" s="74" t="str">
        <f>IF('Marks Entry'!BT193="","",'Marks Entry'!BT193)</f>
        <v/>
      </c>
      <c r="FO193" s="528" t="str">
        <f t="shared" si="404"/>
        <v/>
      </c>
      <c r="FP193" s="530" t="str">
        <f t="shared" si="405"/>
        <v/>
      </c>
      <c r="FQ193" s="368" t="str">
        <f t="shared" si="454"/>
        <v/>
      </c>
      <c r="FR193" s="65">
        <f t="shared" si="455"/>
        <v>0</v>
      </c>
      <c r="FS193" s="65">
        <f t="shared" si="456"/>
        <v>0</v>
      </c>
      <c r="FT193" s="66" t="str">
        <f t="shared" si="457"/>
        <v/>
      </c>
      <c r="FU193" s="74" t="str">
        <f>IF('Marks Entry'!BU193="","",'Marks Entry'!BU193)</f>
        <v/>
      </c>
      <c r="FV193" s="74" t="str">
        <f>IF('Marks Entry'!BV193="","",'Marks Entry'!BV193)</f>
        <v/>
      </c>
      <c r="FW193" s="74" t="str">
        <f>IF('Marks Entry'!BW193="","",'Marks Entry'!BW193)</f>
        <v/>
      </c>
      <c r="FX193" s="75" t="str">
        <f t="shared" si="406"/>
        <v/>
      </c>
      <c r="FY193" s="368" t="str">
        <f t="shared" si="458"/>
        <v/>
      </c>
      <c r="FZ193" s="65">
        <f t="shared" si="459"/>
        <v>0</v>
      </c>
      <c r="GA193" s="66">
        <f t="shared" si="460"/>
        <v>0</v>
      </c>
      <c r="GB193" s="66" t="str">
        <f t="shared" si="461"/>
        <v/>
      </c>
      <c r="GC193" s="74" t="str">
        <f>IF('Marks Entry'!BX193="","",'Marks Entry'!BX193)</f>
        <v/>
      </c>
      <c r="GD193" s="74" t="str">
        <f>IF('Marks Entry'!BY193="","",'Marks Entry'!BY193)</f>
        <v/>
      </c>
      <c r="GE193" s="74" t="str">
        <f>IF('Marks Entry'!BZ193="","",'Marks Entry'!BZ193)</f>
        <v/>
      </c>
      <c r="GF193" s="75" t="str">
        <f t="shared" si="462"/>
        <v/>
      </c>
      <c r="GG193" s="368" t="str">
        <f t="shared" si="463"/>
        <v/>
      </c>
      <c r="GH193" s="65">
        <f t="shared" si="464"/>
        <v>0</v>
      </c>
      <c r="GI193" s="66">
        <f t="shared" si="465"/>
        <v>0</v>
      </c>
      <c r="GJ193" s="66" t="str">
        <f t="shared" si="466"/>
        <v/>
      </c>
      <c r="GK193" s="100" t="str">
        <f>IF(AND(F193="",B193=""),"",IF('Student DATA Entry'!M190="","",'Student DATA Entry'!M190))</f>
        <v/>
      </c>
      <c r="GL193" s="101" t="str">
        <f>IF(AND(B193="",F193=""),"",IF('Student DATA Entry'!N190="","",'Student DATA Entry'!N190))</f>
        <v/>
      </c>
      <c r="GM193" s="581" t="str">
        <f t="shared" si="467"/>
        <v/>
      </c>
      <c r="GN193" s="94" t="str">
        <f t="shared" si="468"/>
        <v/>
      </c>
      <c r="GO193" s="94" t="str">
        <f t="shared" si="469"/>
        <v/>
      </c>
      <c r="GP193" s="102" t="str">
        <f t="shared" si="498"/>
        <v/>
      </c>
      <c r="GQ193" s="94" t="str">
        <f t="shared" si="470"/>
        <v/>
      </c>
      <c r="GR193" s="103" t="str">
        <f t="shared" si="471"/>
        <v/>
      </c>
      <c r="GS193" s="102" t="str">
        <f t="shared" si="499"/>
        <v/>
      </c>
      <c r="GT193" s="104" t="str">
        <f t="shared" si="472"/>
        <v/>
      </c>
      <c r="GU193" s="94" t="str">
        <f>IF('Marks Entry'!V193=1,GT193,"")</f>
        <v/>
      </c>
      <c r="GV193" s="94" t="str">
        <f>IF('Marks Entry'!V193=2,GT193,"")</f>
        <v/>
      </c>
      <c r="GW193" s="94" t="str">
        <f>IF('Marks Entry'!V193=3,GT193,"")</f>
        <v/>
      </c>
      <c r="GX193" s="94" t="str">
        <f>IF('Marks Entry'!V193=4,GT193,"")</f>
        <v/>
      </c>
      <c r="GY193" s="94" t="str">
        <f>IF('Marks Entry'!V193=5,GT193,"")</f>
        <v/>
      </c>
      <c r="GZ193" s="94" t="str">
        <f t="shared" si="473"/>
        <v/>
      </c>
      <c r="HA193" s="105" t="str">
        <f t="shared" si="500"/>
        <v/>
      </c>
      <c r="HB193" s="94" t="str">
        <f t="shared" si="474"/>
        <v/>
      </c>
      <c r="HC193" s="94" t="str">
        <f t="shared" si="475"/>
        <v/>
      </c>
      <c r="HD193" s="105" t="str">
        <f t="shared" si="501"/>
        <v/>
      </c>
      <c r="HE193" s="94" t="str">
        <f t="shared" si="476"/>
        <v/>
      </c>
      <c r="HF193" s="94" t="str">
        <f t="shared" si="477"/>
        <v/>
      </c>
      <c r="HG193" s="105" t="str">
        <f t="shared" si="502"/>
        <v/>
      </c>
      <c r="HH193" s="94" t="str">
        <f t="shared" si="478"/>
        <v/>
      </c>
      <c r="HI193" s="94" t="str">
        <f t="shared" si="479"/>
        <v/>
      </c>
      <c r="HJ193" s="105" t="str">
        <f t="shared" si="503"/>
        <v/>
      </c>
      <c r="HK193" s="94" t="str">
        <f t="shared" si="480"/>
        <v/>
      </c>
      <c r="HL193" s="94" t="str">
        <f t="shared" si="481"/>
        <v/>
      </c>
      <c r="HM193" s="105" t="str">
        <f t="shared" si="504"/>
        <v/>
      </c>
      <c r="HN193" s="367" t="str">
        <f t="shared" si="482"/>
        <v xml:space="preserve">      </v>
      </c>
      <c r="HO193" s="418" t="str">
        <f t="shared" si="505"/>
        <v xml:space="preserve">      </v>
      </c>
      <c r="HP193" s="367" t="str">
        <f t="shared" si="483"/>
        <v xml:space="preserve">      </v>
      </c>
      <c r="HQ193" s="107" t="str">
        <f t="shared" si="484"/>
        <v xml:space="preserve">      </v>
      </c>
      <c r="HR193" s="366" t="str">
        <f t="shared" si="485"/>
        <v xml:space="preserve">      </v>
      </c>
      <c r="HS193" s="544" t="str">
        <f t="shared" si="506"/>
        <v/>
      </c>
      <c r="HT193" s="542" t="str">
        <f t="shared" si="486"/>
        <v/>
      </c>
      <c r="HU193" s="541" t="str">
        <f t="shared" si="487"/>
        <v/>
      </c>
      <c r="HV193" s="540" t="str">
        <f t="shared" si="488"/>
        <v/>
      </c>
      <c r="HW193" s="537" t="str">
        <f t="shared" si="489"/>
        <v/>
      </c>
      <c r="HX193" s="539" t="str">
        <f t="shared" si="490"/>
        <v/>
      </c>
      <c r="HY193" s="553" t="str">
        <f>IFERROR(IF(OR(HS193="SUPPLEMENTARY",HS193="RE-EXAM"),'Supp. Result Entry'!AQ191,""),"")</f>
        <v/>
      </c>
      <c r="HZ193" s="538" t="str">
        <f t="shared" si="491"/>
        <v/>
      </c>
      <c r="IA193" s="415" t="str">
        <f t="shared" si="492"/>
        <v/>
      </c>
      <c r="IB193" s="415" t="str">
        <f>IF(AND(HZ193="",IA193=""),"",IF(OR(HS193="SUPPLEMENTARY",HS193="RE-EXAM"),'Supp. Result Entry'!AQ191,HS193))</f>
        <v/>
      </c>
      <c r="IC193" s="87"/>
      <c r="IS193" s="109" t="str">
        <f>IF('Supp. Result Entry'!T191="","",'Supp. Result Entry'!$T$4)</f>
        <v/>
      </c>
      <c r="IT193" s="110" t="str">
        <f>IF('Supp. Result Entry'!W191="","",'Supp. Result Entry'!$W$4)</f>
        <v/>
      </c>
      <c r="IU193" s="110" t="str">
        <f>IF('Supp. Result Entry'!Z191="","",'Supp. Result Entry'!$Z$4)</f>
        <v/>
      </c>
      <c r="IV193" s="110" t="str">
        <f>IF('Supp. Result Entry'!AC191="","",'Supp. Result Entry'!$AC$4)</f>
        <v/>
      </c>
      <c r="IW193" s="110" t="str">
        <f>IF('Supp. Result Entry'!AF191="","",'Supp. Result Entry'!$AF$4)</f>
        <v/>
      </c>
      <c r="IX193" s="110" t="str">
        <f>IF('Supp. Result Entry'!AI191="","",'Supp. Result Entry'!$AI$4)</f>
        <v/>
      </c>
      <c r="IY193" s="110" t="str">
        <f>IF('Supp. Result Entry'!AI191="","",'Supp. Result Entry'!$AL$4)</f>
        <v/>
      </c>
      <c r="IZ193" s="110" t="str">
        <f>IF('Supp. Result Entry'!U191="","",'Supp. Result Entry'!U191)</f>
        <v/>
      </c>
      <c r="JA193" s="110" t="str">
        <f>IF('Supp. Result Entry'!X191="","",'Supp. Result Entry'!X191)</f>
        <v/>
      </c>
      <c r="JB193" s="110" t="str">
        <f>IF('Supp. Result Entry'!AA191="","",'Supp. Result Entry'!AA191)</f>
        <v/>
      </c>
      <c r="JC193" s="110" t="str">
        <f>IF('Supp. Result Entry'!AD191="","",'Supp. Result Entry'!AD191)</f>
        <v/>
      </c>
      <c r="JD193" s="110" t="str">
        <f>IF('Supp. Result Entry'!AG191="","",'Supp. Result Entry'!AG191)</f>
        <v/>
      </c>
      <c r="JE193" s="110" t="str">
        <f>IF('Supp. Result Entry'!AJ191="","",'Supp. Result Entry'!AJ191)</f>
        <v/>
      </c>
      <c r="JF193" s="110" t="str">
        <f>IF('Supp. Result Entry'!AM191="","",'Supp. Result Entry'!AM191)</f>
        <v/>
      </c>
      <c r="JG193" s="110" t="str">
        <f>IF('Supp. Result Entry'!V191="","",'Supp. Result Entry'!V191)</f>
        <v/>
      </c>
      <c r="JH193" s="110" t="str">
        <f>IF('Supp. Result Entry'!Y191="","",'Supp. Result Entry'!Y191)</f>
        <v/>
      </c>
      <c r="JI193" s="110" t="str">
        <f>IF('Supp. Result Entry'!AB191="","",'Supp. Result Entry'!AB191)</f>
        <v/>
      </c>
      <c r="JJ193" s="110" t="str">
        <f>IF('Supp. Result Entry'!AE191="","",'Supp. Result Entry'!AE191)</f>
        <v/>
      </c>
      <c r="JK193" s="110" t="str">
        <f>IF('Supp. Result Entry'!AH191="","",'Supp. Result Entry'!AH191)</f>
        <v/>
      </c>
      <c r="JL193" s="110" t="str">
        <f>IF('Supp. Result Entry'!AK191="","",'Supp. Result Entry'!AK191)</f>
        <v/>
      </c>
      <c r="JM193" s="110" t="str">
        <f>IF('Supp. Result Entry'!AN191="","",'Supp. Result Entry'!AN191)</f>
        <v/>
      </c>
      <c r="JN193" s="110">
        <f>COUNTIF('Supp. Result Entry'!K191:Q191,"S")</f>
        <v>0</v>
      </c>
      <c r="JO193" s="110">
        <f t="shared" si="416"/>
        <v>0</v>
      </c>
      <c r="JP193" s="110">
        <f t="shared" si="493"/>
        <v>0</v>
      </c>
      <c r="JQ193" s="110" t="str">
        <f t="shared" si="417"/>
        <v/>
      </c>
      <c r="JR193" s="110" t="str">
        <f t="shared" si="418"/>
        <v/>
      </c>
      <c r="JS193" s="110" t="str">
        <f t="shared" si="419"/>
        <v/>
      </c>
      <c r="JT193" s="110" t="str">
        <f t="shared" si="420"/>
        <v/>
      </c>
      <c r="JU193" s="110" t="str">
        <f t="shared" si="421"/>
        <v/>
      </c>
      <c r="JV193" s="110" t="str">
        <f t="shared" si="422"/>
        <v/>
      </c>
      <c r="JW193" s="110" t="str">
        <f t="shared" si="423"/>
        <v/>
      </c>
      <c r="JX193" s="110" t="str">
        <f t="shared" si="494"/>
        <v/>
      </c>
      <c r="JY193" s="110" t="str">
        <f t="shared" si="495"/>
        <v/>
      </c>
      <c r="JZ193" s="110" t="str">
        <f t="shared" si="424"/>
        <v/>
      </c>
      <c r="KA193" s="108" t="str">
        <f t="shared" si="496"/>
        <v/>
      </c>
    </row>
    <row r="194" spans="1:287" s="108" customFormat="1" ht="21.95" customHeight="1">
      <c r="A194" s="89">
        <v>188</v>
      </c>
      <c r="B194" s="90" t="str">
        <f>IF('Marks Entry'!B194="","",'Marks Entry'!B194)</f>
        <v/>
      </c>
      <c r="C194" s="94" t="str">
        <f>IF('Marks Entry'!D194="","",'Marks Entry'!D194)</f>
        <v/>
      </c>
      <c r="D194" s="91" t="str">
        <f>IF('Marks Entry'!E194="","",'Marks Entry'!E194)</f>
        <v/>
      </c>
      <c r="E194" s="92" t="str">
        <f>IF('Marks Entry'!F194="","",'Marks Entry'!F194)</f>
        <v/>
      </c>
      <c r="F194" s="93" t="str">
        <f>IF('Marks Entry'!G194="","",'Marks Entry'!G194)</f>
        <v/>
      </c>
      <c r="G194" s="93" t="str">
        <f>IF('Marks Entry'!H194="","",'Marks Entry'!H194)</f>
        <v/>
      </c>
      <c r="H194" s="93" t="str">
        <f>IF('Marks Entry'!I194="","",'Marks Entry'!I194)</f>
        <v/>
      </c>
      <c r="I194" s="94" t="str">
        <f>IF('Marks Entry'!J194="","",'Marks Entry'!J194)</f>
        <v/>
      </c>
      <c r="J194" s="95" t="str">
        <f>IF('Marks Entry'!K194="","",'Marks Entry'!K194)</f>
        <v/>
      </c>
      <c r="K194" s="68" t="str">
        <f>IF('Marks Entry'!L194="","",'Marks Entry'!L194)</f>
        <v/>
      </c>
      <c r="L194" s="68" t="str">
        <f>IF('Marks Entry'!M194="","",'Marks Entry'!M194)</f>
        <v/>
      </c>
      <c r="M194" s="68" t="str">
        <f>IF('Marks Entry'!N194="","",'Marks Entry'!N194)</f>
        <v/>
      </c>
      <c r="N194" s="514" t="str">
        <f t="shared" si="425"/>
        <v/>
      </c>
      <c r="O194" s="68" t="str">
        <f>IF('Marks Entry'!O194="","",'Marks Entry'!O194)</f>
        <v/>
      </c>
      <c r="P194" s="515" t="str">
        <f t="shared" si="426"/>
        <v/>
      </c>
      <c r="Q194" s="68" t="str">
        <f>IF('Marks Entry'!P194="","",'Marks Entry'!P194)</f>
        <v/>
      </c>
      <c r="R194" s="96" t="str">
        <f t="shared" si="427"/>
        <v/>
      </c>
      <c r="S194" s="65">
        <f t="shared" si="428"/>
        <v>0</v>
      </c>
      <c r="T194" s="65">
        <f t="shared" si="429"/>
        <v>0</v>
      </c>
      <c r="U194" s="66" t="str">
        <f t="shared" si="339"/>
        <v/>
      </c>
      <c r="V194" s="65" t="str">
        <f t="shared" si="340"/>
        <v/>
      </c>
      <c r="W194" s="65" t="str">
        <f t="shared" si="430"/>
        <v/>
      </c>
      <c r="X194" s="65" t="str">
        <f t="shared" si="341"/>
        <v/>
      </c>
      <c r="Y194" s="68" t="str">
        <f>IF('Marks Entry'!Q194="","",'Marks Entry'!Q194)</f>
        <v/>
      </c>
      <c r="Z194" s="68" t="str">
        <f>IF('Marks Entry'!R194="","",'Marks Entry'!R194)</f>
        <v/>
      </c>
      <c r="AA194" s="68" t="str">
        <f>IF('Marks Entry'!S194="","",'Marks Entry'!S194)</f>
        <v/>
      </c>
      <c r="AB194" s="514" t="str">
        <f t="shared" si="342"/>
        <v/>
      </c>
      <c r="AC194" s="68" t="str">
        <f>IF('Marks Entry'!T194="","",'Marks Entry'!T194)</f>
        <v/>
      </c>
      <c r="AD194" s="515" t="str">
        <f t="shared" si="343"/>
        <v/>
      </c>
      <c r="AE194" s="68" t="str">
        <f>IF('Marks Entry'!U194="","",'Marks Entry'!U194)</f>
        <v/>
      </c>
      <c r="AF194" s="96" t="str">
        <f t="shared" si="344"/>
        <v/>
      </c>
      <c r="AG194" s="65">
        <f t="shared" si="345"/>
        <v>0</v>
      </c>
      <c r="AH194" s="65">
        <f t="shared" si="346"/>
        <v>0</v>
      </c>
      <c r="AI194" s="66" t="str">
        <f t="shared" si="347"/>
        <v/>
      </c>
      <c r="AJ194" s="65" t="str">
        <f t="shared" si="348"/>
        <v/>
      </c>
      <c r="AK194" s="65" t="str">
        <f t="shared" si="349"/>
        <v/>
      </c>
      <c r="AL194" s="65" t="str">
        <f t="shared" si="350"/>
        <v/>
      </c>
      <c r="AM194" s="524" t="str">
        <f>IF('Marks Entry'!V194="","",IF('Marks Entry'!V194=1,'School Profile'!$I$9,IF('Marks Entry'!V194=2,'School Profile'!$I$10,IF('Marks Entry'!V194=3,'School Profile'!$I$11,IF('Marks Entry'!V194=4,'School Profile'!$I$12,IF('Marks Entry'!V194=5,'School Profile'!$I$13,IF('Marks Entry'!V194=6,'School Profile'!$I$14,"")))))))</f>
        <v/>
      </c>
      <c r="AN194" s="68" t="str">
        <f>IF('Marks Entry'!W194="","",'Marks Entry'!W194)</f>
        <v/>
      </c>
      <c r="AO194" s="68" t="str">
        <f>IF('Marks Entry'!X194="","",'Marks Entry'!X194)</f>
        <v/>
      </c>
      <c r="AP194" s="68" t="str">
        <f>IF('Marks Entry'!Y194="","",'Marks Entry'!Y194)</f>
        <v/>
      </c>
      <c r="AQ194" s="514" t="str">
        <f t="shared" si="351"/>
        <v/>
      </c>
      <c r="AR194" s="68" t="str">
        <f>IF('Marks Entry'!Z194="","",'Marks Entry'!Z194)</f>
        <v/>
      </c>
      <c r="AS194" s="515" t="str">
        <f t="shared" si="352"/>
        <v/>
      </c>
      <c r="AT194" s="68" t="str">
        <f>IF('Marks Entry'!AA194="","",'Marks Entry'!AA194)</f>
        <v/>
      </c>
      <c r="AU194" s="96" t="str">
        <f t="shared" si="353"/>
        <v/>
      </c>
      <c r="AV194" s="65">
        <f t="shared" si="354"/>
        <v>0</v>
      </c>
      <c r="AW194" s="65">
        <f t="shared" si="355"/>
        <v>0</v>
      </c>
      <c r="AX194" s="66" t="str">
        <f t="shared" si="356"/>
        <v/>
      </c>
      <c r="AY194" s="65" t="str">
        <f t="shared" si="357"/>
        <v/>
      </c>
      <c r="AZ194" s="65" t="str">
        <f t="shared" si="358"/>
        <v/>
      </c>
      <c r="BA194" s="65" t="str">
        <f t="shared" si="359"/>
        <v/>
      </c>
      <c r="BB194" s="68" t="str">
        <f>IF('Marks Entry'!AB194="","",'Marks Entry'!AB194)</f>
        <v/>
      </c>
      <c r="BC194" s="68" t="str">
        <f>IF('Marks Entry'!AC194="","",'Marks Entry'!AC194)</f>
        <v/>
      </c>
      <c r="BD194" s="68" t="str">
        <f>IF('Marks Entry'!AD194="","",'Marks Entry'!AD194)</f>
        <v/>
      </c>
      <c r="BE194" s="514" t="str">
        <f t="shared" si="360"/>
        <v/>
      </c>
      <c r="BF194" s="68" t="str">
        <f>IF('Marks Entry'!AE194="","",'Marks Entry'!AE194)</f>
        <v/>
      </c>
      <c r="BG194" s="515" t="str">
        <f t="shared" si="361"/>
        <v/>
      </c>
      <c r="BH194" s="68" t="str">
        <f>IF('Marks Entry'!AF194="","",'Marks Entry'!AF194)</f>
        <v/>
      </c>
      <c r="BI194" s="96" t="str">
        <f t="shared" si="362"/>
        <v/>
      </c>
      <c r="BJ194" s="65">
        <f t="shared" si="363"/>
        <v>0</v>
      </c>
      <c r="BK194" s="65">
        <f t="shared" si="431"/>
        <v>0</v>
      </c>
      <c r="BL194" s="66" t="str">
        <f t="shared" si="364"/>
        <v/>
      </c>
      <c r="BM194" s="65" t="str">
        <f t="shared" si="365"/>
        <v/>
      </c>
      <c r="BN194" s="65" t="str">
        <f t="shared" si="366"/>
        <v/>
      </c>
      <c r="BO194" s="65" t="str">
        <f t="shared" si="367"/>
        <v/>
      </c>
      <c r="BP194" s="68" t="str">
        <f>IF('Marks Entry'!AG194="","",'Marks Entry'!AG194)</f>
        <v/>
      </c>
      <c r="BQ194" s="68" t="str">
        <f>IF('Marks Entry'!AH194="","",'Marks Entry'!AH194)</f>
        <v/>
      </c>
      <c r="BR194" s="68" t="str">
        <f>IF('Marks Entry'!AI194="","",'Marks Entry'!AI194)</f>
        <v/>
      </c>
      <c r="BS194" s="514" t="str">
        <f t="shared" si="368"/>
        <v/>
      </c>
      <c r="BT194" s="68" t="str">
        <f>IF('Marks Entry'!AJ194="","",'Marks Entry'!AJ194)</f>
        <v/>
      </c>
      <c r="BU194" s="515" t="str">
        <f t="shared" si="369"/>
        <v/>
      </c>
      <c r="BV194" s="68" t="str">
        <f>IF('Marks Entry'!AK194="","",'Marks Entry'!AK194)</f>
        <v/>
      </c>
      <c r="BW194" s="96" t="str">
        <f t="shared" si="370"/>
        <v/>
      </c>
      <c r="BX194" s="65">
        <f t="shared" si="371"/>
        <v>0</v>
      </c>
      <c r="BY194" s="65">
        <f t="shared" si="372"/>
        <v>0</v>
      </c>
      <c r="BZ194" s="66" t="str">
        <f t="shared" si="373"/>
        <v/>
      </c>
      <c r="CA194" s="65" t="str">
        <f t="shared" si="374"/>
        <v/>
      </c>
      <c r="CB194" s="65" t="str">
        <f t="shared" si="375"/>
        <v/>
      </c>
      <c r="CC194" s="65" t="str">
        <f t="shared" si="376"/>
        <v/>
      </c>
      <c r="CD194" s="66">
        <f t="shared" si="497"/>
        <v>0</v>
      </c>
      <c r="CE194" s="68" t="str">
        <f>IF('Marks Entry'!AL194="","",'Marks Entry'!AL194)</f>
        <v/>
      </c>
      <c r="CF194" s="68" t="str">
        <f>IF('Marks Entry'!AM194="","",'Marks Entry'!AM194)</f>
        <v/>
      </c>
      <c r="CG194" s="68" t="str">
        <f>IF('Marks Entry'!AN194="","",'Marks Entry'!AN194)</f>
        <v/>
      </c>
      <c r="CH194" s="514" t="str">
        <f t="shared" si="378"/>
        <v/>
      </c>
      <c r="CI194" s="68" t="str">
        <f>IF('Marks Entry'!AO194="","",'Marks Entry'!AO194)</f>
        <v/>
      </c>
      <c r="CJ194" s="515" t="str">
        <f t="shared" si="379"/>
        <v/>
      </c>
      <c r="CK194" s="68" t="str">
        <f>IF('Marks Entry'!AP194="","",'Marks Entry'!AP194)</f>
        <v/>
      </c>
      <c r="CL194" s="96" t="str">
        <f t="shared" si="380"/>
        <v/>
      </c>
      <c r="CM194" s="65">
        <f t="shared" si="381"/>
        <v>0</v>
      </c>
      <c r="CN194" s="65">
        <f t="shared" si="382"/>
        <v>0</v>
      </c>
      <c r="CO194" s="66" t="str">
        <f t="shared" si="383"/>
        <v/>
      </c>
      <c r="CP194" s="65" t="str">
        <f t="shared" si="384"/>
        <v/>
      </c>
      <c r="CQ194" s="65" t="str">
        <f t="shared" si="385"/>
        <v/>
      </c>
      <c r="CR194" s="65" t="str">
        <f t="shared" si="386"/>
        <v/>
      </c>
      <c r="CS194" s="616" t="str">
        <f>IF('School Profile'!$D$20="NO","",IF('Marks Entry'!AQ194="","",IF('Marks Entry'!AQ194=1,'School Profile'!$I$29,IF('Marks Entry'!AQ194=2,'School Profile'!$I$30,IF('Marks Entry'!AQ194=3,'School Profile'!$I$31,IF('Marks Entry'!AQ194=4,'School Profile'!$I$32,IF('Marks Entry'!AQ194=5,'School Profile'!$I$33,IF('Marks Entry'!AQ194=6,'School Profile'!$I$34,IF('Marks Entry'!AQ194=7,'School Profile'!$I$35,IF('Marks Entry'!AQ194=8,'School Profile'!$I$36,IF('Marks Entry'!AQ194=9,'School Profile'!$I$37,IF('Marks Entry'!AQ194=10,'School Profile'!$I$38,IF('Marks Entry'!AQ194=11,'School Profile'!$I$39,"")))))))))))))</f>
        <v/>
      </c>
      <c r="CT194" s="68" t="str">
        <f>IF('School Profile'!$D$20="NO","",IF('Marks Entry'!AR194="","",'Marks Entry'!AR194))</f>
        <v/>
      </c>
      <c r="CU194" s="68" t="str">
        <f>IF('School Profile'!$D$20="NO","",IF('Marks Entry'!AS194="","",'Marks Entry'!AS194))</f>
        <v/>
      </c>
      <c r="CV194" s="68" t="str">
        <f>IF('School Profile'!$D$20="NO","",IF('Marks Entry'!AT194="","",'Marks Entry'!AT194))</f>
        <v/>
      </c>
      <c r="CW194" s="514" t="str">
        <f>IF('School Profile'!$D$20="NO","",IF(AND(CT194="",CU194="",CV194=""),"",SUM(CT194:CV194)))</f>
        <v/>
      </c>
      <c r="CX194" s="68" t="str">
        <f>IF('School Profile'!$D$20="NO","",IF('Marks Entry'!AU194="","",'Marks Entry'!AU194))</f>
        <v/>
      </c>
      <c r="CY194" s="68" t="str">
        <f>IF('School Profile'!$D$20="NO","",IF('Marks Entry'!AV194="","",'Marks Entry'!AV194))</f>
        <v/>
      </c>
      <c r="CZ194" s="515" t="str">
        <f>IF('School Profile'!$D$20="NO","",IF(AND(CX194="",CY194=""),"",SUM(CX194,CY194)))</f>
        <v/>
      </c>
      <c r="DA194" s="69" t="str">
        <f>IF('School Profile'!$D$20="NO","",IF(AND(CW194="",CZ194=""),"",SUM(CW194+CZ194)))</f>
        <v/>
      </c>
      <c r="DB194" s="68" t="str">
        <f>IF('School Profile'!$D$20="NO","",IF('Marks Entry'!AW194="","",'Marks Entry'!AW194))</f>
        <v/>
      </c>
      <c r="DC194" s="68" t="str">
        <f>IF('School Profile'!$D$20="NO","",IF('Marks Entry'!AX194="","",'Marks Entry'!AX194))</f>
        <v/>
      </c>
      <c r="DD194" s="515" t="str">
        <f>IF('School Profile'!$D$20="NO","",IF(AND(DB194="",DC194=""),"",SUM(DB194,DC194)))</f>
        <v/>
      </c>
      <c r="DE194" s="96" t="str">
        <f>IF('School Profile'!$D$20="NO","",IF(AND(DA194="",DD194=""),"",SUM(DA194,DD194)))</f>
        <v/>
      </c>
      <c r="DF194" s="532">
        <f t="shared" si="387"/>
        <v>0</v>
      </c>
      <c r="DG194" s="65">
        <f t="shared" si="388"/>
        <v>0</v>
      </c>
      <c r="DH194" s="66" t="str">
        <f t="shared" si="389"/>
        <v/>
      </c>
      <c r="DI194" s="65" t="str">
        <f t="shared" si="390"/>
        <v/>
      </c>
      <c r="DJ194" s="65" t="str">
        <f t="shared" si="391"/>
        <v/>
      </c>
      <c r="DK194" s="65" t="str">
        <f t="shared" si="392"/>
        <v/>
      </c>
      <c r="DL194" s="97" t="str">
        <f t="shared" si="432"/>
        <v/>
      </c>
      <c r="DM194" s="97" t="str">
        <f t="shared" si="433"/>
        <v/>
      </c>
      <c r="DN194" s="97" t="str">
        <f t="shared" si="434"/>
        <v/>
      </c>
      <c r="DO194" s="97" t="str">
        <f t="shared" si="435"/>
        <v/>
      </c>
      <c r="DP194" s="97" t="str">
        <f t="shared" si="436"/>
        <v/>
      </c>
      <c r="DQ194" s="97" t="str">
        <f t="shared" si="437"/>
        <v/>
      </c>
      <c r="DR194" s="97" t="str">
        <f t="shared" si="438"/>
        <v/>
      </c>
      <c r="DS194" s="98">
        <f t="shared" si="439"/>
        <v>0</v>
      </c>
      <c r="DT194" s="98">
        <f t="shared" si="440"/>
        <v>0</v>
      </c>
      <c r="DU194" s="98">
        <f t="shared" si="441"/>
        <v>0</v>
      </c>
      <c r="DV194" s="98">
        <f t="shared" si="442"/>
        <v>0</v>
      </c>
      <c r="DW194" s="98">
        <f t="shared" si="443"/>
        <v>0</v>
      </c>
      <c r="DX194" s="98" t="str">
        <f t="shared" si="444"/>
        <v/>
      </c>
      <c r="DY194" s="99" t="str">
        <f t="shared" si="445"/>
        <v/>
      </c>
      <c r="DZ194" s="74" t="str">
        <f>IF('Marks Entry'!AY194="","",'Marks Entry'!AY194)</f>
        <v/>
      </c>
      <c r="EA194" s="74" t="str">
        <f>IF('Marks Entry'!AZ194="","",'Marks Entry'!AZ194)</f>
        <v/>
      </c>
      <c r="EB194" s="74" t="str">
        <f>IF('Marks Entry'!BA194="","",'Marks Entry'!BA194)</f>
        <v/>
      </c>
      <c r="EC194" s="527" t="str">
        <f t="shared" si="393"/>
        <v/>
      </c>
      <c r="ED194" s="74" t="str">
        <f>IF('Marks Entry'!BB194="","",'Marks Entry'!BB194)</f>
        <v/>
      </c>
      <c r="EE194" s="528" t="str">
        <f t="shared" si="394"/>
        <v/>
      </c>
      <c r="EF194" s="74" t="str">
        <f>IF('Marks Entry'!BC194="","",'Marks Entry'!BC194)</f>
        <v/>
      </c>
      <c r="EG194" s="530" t="str">
        <f t="shared" si="395"/>
        <v/>
      </c>
      <c r="EH194" s="368" t="str">
        <f t="shared" si="446"/>
        <v/>
      </c>
      <c r="EI194" s="65">
        <f t="shared" si="447"/>
        <v>0</v>
      </c>
      <c r="EJ194" s="65">
        <f t="shared" si="448"/>
        <v>0</v>
      </c>
      <c r="EK194" s="66" t="str">
        <f t="shared" si="449"/>
        <v/>
      </c>
      <c r="EL194" s="74" t="str">
        <f>IF('Marks Entry'!BD194="","",'Marks Entry'!BD194)</f>
        <v/>
      </c>
      <c r="EM194" s="74" t="str">
        <f>IF('Marks Entry'!BE194="","",'Marks Entry'!BE194)</f>
        <v/>
      </c>
      <c r="EN194" s="74" t="str">
        <f>IF('Marks Entry'!BF194="","",'Marks Entry'!BF194)</f>
        <v/>
      </c>
      <c r="EO194" s="527" t="str">
        <f t="shared" si="396"/>
        <v/>
      </c>
      <c r="EP194" s="74" t="str">
        <f>IF('Marks Entry'!BG194="","",'Marks Entry'!BG194)</f>
        <v/>
      </c>
      <c r="EQ194" s="74" t="str">
        <f>IF('Marks Entry'!BH194="","",'Marks Entry'!BH194)</f>
        <v/>
      </c>
      <c r="ER194" s="528" t="str">
        <f t="shared" si="397"/>
        <v/>
      </c>
      <c r="ES194" s="529" t="str">
        <f t="shared" si="398"/>
        <v/>
      </c>
      <c r="ET194" s="74" t="str">
        <f>IF('Marks Entry'!BI194="","",'Marks Entry'!BI194)</f>
        <v/>
      </c>
      <c r="EU194" s="74" t="str">
        <f>IF('Marks Entry'!BJ194="","",'Marks Entry'!BJ194)</f>
        <v/>
      </c>
      <c r="EV194" s="528" t="str">
        <f t="shared" si="399"/>
        <v/>
      </c>
      <c r="EW194" s="530" t="str">
        <f t="shared" si="400"/>
        <v/>
      </c>
      <c r="EX194" s="368" t="str">
        <f t="shared" si="450"/>
        <v/>
      </c>
      <c r="EY194" s="65">
        <f t="shared" si="451"/>
        <v>0</v>
      </c>
      <c r="EZ194" s="65">
        <f t="shared" si="452"/>
        <v>0</v>
      </c>
      <c r="FA194" s="66" t="str">
        <f t="shared" si="453"/>
        <v/>
      </c>
      <c r="FB194" s="74" t="str">
        <f>IF('Marks Entry'!BK194="","",'Marks Entry'!BK194)</f>
        <v/>
      </c>
      <c r="FC194" s="74" t="str">
        <f>IF('Marks Entry'!BL194="","",'Marks Entry'!BL194)</f>
        <v/>
      </c>
      <c r="FD194" s="74" t="str">
        <f>IF('Marks Entry'!BM194="","",'Marks Entry'!BM194)</f>
        <v/>
      </c>
      <c r="FE194" s="74" t="str">
        <f>IF('Marks Entry'!BN194="","",'Marks Entry'!BN194)</f>
        <v/>
      </c>
      <c r="FF194" s="74" t="str">
        <f>IF('Marks Entry'!BO194="","",'Marks Entry'!BO194)</f>
        <v/>
      </c>
      <c r="FG194" s="74" t="str">
        <f>IF('Marks Entry'!BP194="","",'Marks Entry'!BP194)</f>
        <v/>
      </c>
      <c r="FH194" s="527" t="str">
        <f t="shared" si="401"/>
        <v/>
      </c>
      <c r="FI194" s="74" t="str">
        <f>IF('Marks Entry'!BQ194="","",'Marks Entry'!BQ194)</f>
        <v/>
      </c>
      <c r="FJ194" s="74" t="str">
        <f>IF('Marks Entry'!BR194="","",'Marks Entry'!BR194)</f>
        <v/>
      </c>
      <c r="FK194" s="528" t="str">
        <f t="shared" si="402"/>
        <v/>
      </c>
      <c r="FL194" s="529" t="str">
        <f t="shared" si="403"/>
        <v/>
      </c>
      <c r="FM194" s="74" t="str">
        <f>IF('Marks Entry'!BS194="","",'Marks Entry'!BS194)</f>
        <v/>
      </c>
      <c r="FN194" s="74" t="str">
        <f>IF('Marks Entry'!BT194="","",'Marks Entry'!BT194)</f>
        <v/>
      </c>
      <c r="FO194" s="528" t="str">
        <f t="shared" si="404"/>
        <v/>
      </c>
      <c r="FP194" s="530" t="str">
        <f t="shared" si="405"/>
        <v/>
      </c>
      <c r="FQ194" s="368" t="str">
        <f t="shared" si="454"/>
        <v/>
      </c>
      <c r="FR194" s="65">
        <f t="shared" si="455"/>
        <v>0</v>
      </c>
      <c r="FS194" s="65">
        <f t="shared" si="456"/>
        <v>0</v>
      </c>
      <c r="FT194" s="66" t="str">
        <f t="shared" si="457"/>
        <v/>
      </c>
      <c r="FU194" s="74" t="str">
        <f>IF('Marks Entry'!BU194="","",'Marks Entry'!BU194)</f>
        <v/>
      </c>
      <c r="FV194" s="74" t="str">
        <f>IF('Marks Entry'!BV194="","",'Marks Entry'!BV194)</f>
        <v/>
      </c>
      <c r="FW194" s="74" t="str">
        <f>IF('Marks Entry'!BW194="","",'Marks Entry'!BW194)</f>
        <v/>
      </c>
      <c r="FX194" s="75" t="str">
        <f t="shared" si="406"/>
        <v/>
      </c>
      <c r="FY194" s="368" t="str">
        <f t="shared" si="458"/>
        <v/>
      </c>
      <c r="FZ194" s="65">
        <f t="shared" si="459"/>
        <v>0</v>
      </c>
      <c r="GA194" s="66">
        <f t="shared" si="460"/>
        <v>0</v>
      </c>
      <c r="GB194" s="66" t="str">
        <f t="shared" si="461"/>
        <v/>
      </c>
      <c r="GC194" s="74" t="str">
        <f>IF('Marks Entry'!BX194="","",'Marks Entry'!BX194)</f>
        <v/>
      </c>
      <c r="GD194" s="74" t="str">
        <f>IF('Marks Entry'!BY194="","",'Marks Entry'!BY194)</f>
        <v/>
      </c>
      <c r="GE194" s="74" t="str">
        <f>IF('Marks Entry'!BZ194="","",'Marks Entry'!BZ194)</f>
        <v/>
      </c>
      <c r="GF194" s="75" t="str">
        <f t="shared" si="462"/>
        <v/>
      </c>
      <c r="GG194" s="368" t="str">
        <f t="shared" si="463"/>
        <v/>
      </c>
      <c r="GH194" s="65">
        <f t="shared" si="464"/>
        <v>0</v>
      </c>
      <c r="GI194" s="66">
        <f t="shared" si="465"/>
        <v>0</v>
      </c>
      <c r="GJ194" s="66" t="str">
        <f t="shared" si="466"/>
        <v/>
      </c>
      <c r="GK194" s="100" t="str">
        <f>IF(AND(F194="",B194=""),"",IF('Student DATA Entry'!M191="","",'Student DATA Entry'!M191))</f>
        <v/>
      </c>
      <c r="GL194" s="101" t="str">
        <f>IF(AND(B194="",F194=""),"",IF('Student DATA Entry'!N191="","",'Student DATA Entry'!N191))</f>
        <v/>
      </c>
      <c r="GM194" s="581" t="str">
        <f t="shared" si="467"/>
        <v/>
      </c>
      <c r="GN194" s="94" t="str">
        <f t="shared" si="468"/>
        <v/>
      </c>
      <c r="GO194" s="94" t="str">
        <f t="shared" si="469"/>
        <v/>
      </c>
      <c r="GP194" s="102" t="str">
        <f t="shared" si="498"/>
        <v/>
      </c>
      <c r="GQ194" s="94" t="str">
        <f t="shared" si="470"/>
        <v/>
      </c>
      <c r="GR194" s="103" t="str">
        <f t="shared" si="471"/>
        <v/>
      </c>
      <c r="GS194" s="102" t="str">
        <f t="shared" si="499"/>
        <v/>
      </c>
      <c r="GT194" s="104" t="str">
        <f t="shared" si="472"/>
        <v/>
      </c>
      <c r="GU194" s="94" t="str">
        <f>IF('Marks Entry'!V194=1,GT194,"")</f>
        <v/>
      </c>
      <c r="GV194" s="94" t="str">
        <f>IF('Marks Entry'!V194=2,GT194,"")</f>
        <v/>
      </c>
      <c r="GW194" s="94" t="str">
        <f>IF('Marks Entry'!V194=3,GT194,"")</f>
        <v/>
      </c>
      <c r="GX194" s="94" t="str">
        <f>IF('Marks Entry'!V194=4,GT194,"")</f>
        <v/>
      </c>
      <c r="GY194" s="94" t="str">
        <f>IF('Marks Entry'!V194=5,GT194,"")</f>
        <v/>
      </c>
      <c r="GZ194" s="94" t="str">
        <f t="shared" si="473"/>
        <v/>
      </c>
      <c r="HA194" s="105" t="str">
        <f t="shared" si="500"/>
        <v/>
      </c>
      <c r="HB194" s="94" t="str">
        <f t="shared" si="474"/>
        <v/>
      </c>
      <c r="HC194" s="94" t="str">
        <f t="shared" si="475"/>
        <v/>
      </c>
      <c r="HD194" s="105" t="str">
        <f t="shared" si="501"/>
        <v/>
      </c>
      <c r="HE194" s="94" t="str">
        <f t="shared" si="476"/>
        <v/>
      </c>
      <c r="HF194" s="94" t="str">
        <f t="shared" si="477"/>
        <v/>
      </c>
      <c r="HG194" s="105" t="str">
        <f t="shared" si="502"/>
        <v/>
      </c>
      <c r="HH194" s="94" t="str">
        <f t="shared" si="478"/>
        <v/>
      </c>
      <c r="HI194" s="94" t="str">
        <f t="shared" si="479"/>
        <v/>
      </c>
      <c r="HJ194" s="105" t="str">
        <f t="shared" si="503"/>
        <v/>
      </c>
      <c r="HK194" s="94" t="str">
        <f t="shared" si="480"/>
        <v/>
      </c>
      <c r="HL194" s="94" t="str">
        <f t="shared" si="481"/>
        <v/>
      </c>
      <c r="HM194" s="105" t="str">
        <f t="shared" si="504"/>
        <v/>
      </c>
      <c r="HN194" s="367" t="str">
        <f t="shared" si="482"/>
        <v xml:space="preserve">      </v>
      </c>
      <c r="HO194" s="418" t="str">
        <f t="shared" si="505"/>
        <v xml:space="preserve">      </v>
      </c>
      <c r="HP194" s="367" t="str">
        <f t="shared" si="483"/>
        <v xml:space="preserve">      </v>
      </c>
      <c r="HQ194" s="107" t="str">
        <f t="shared" si="484"/>
        <v xml:space="preserve">      </v>
      </c>
      <c r="HR194" s="366" t="str">
        <f t="shared" si="485"/>
        <v xml:space="preserve">      </v>
      </c>
      <c r="HS194" s="544" t="str">
        <f t="shared" si="506"/>
        <v/>
      </c>
      <c r="HT194" s="542" t="str">
        <f t="shared" si="486"/>
        <v/>
      </c>
      <c r="HU194" s="541" t="str">
        <f t="shared" si="487"/>
        <v/>
      </c>
      <c r="HV194" s="540" t="str">
        <f t="shared" si="488"/>
        <v/>
      </c>
      <c r="HW194" s="537" t="str">
        <f t="shared" si="489"/>
        <v/>
      </c>
      <c r="HX194" s="539" t="str">
        <f t="shared" si="490"/>
        <v/>
      </c>
      <c r="HY194" s="553" t="str">
        <f>IFERROR(IF(OR(HS194="SUPPLEMENTARY",HS194="RE-EXAM"),'Supp. Result Entry'!AQ192,""),"")</f>
        <v/>
      </c>
      <c r="HZ194" s="538" t="str">
        <f t="shared" si="491"/>
        <v/>
      </c>
      <c r="IA194" s="415" t="str">
        <f t="shared" si="492"/>
        <v/>
      </c>
      <c r="IB194" s="415" t="str">
        <f>IF(AND(HZ194="",IA194=""),"",IF(OR(HS194="SUPPLEMENTARY",HS194="RE-EXAM"),'Supp. Result Entry'!AQ192,HS194))</f>
        <v/>
      </c>
      <c r="IC194" s="87"/>
      <c r="IS194" s="109" t="str">
        <f>IF('Supp. Result Entry'!T192="","",'Supp. Result Entry'!$T$4)</f>
        <v/>
      </c>
      <c r="IT194" s="110" t="str">
        <f>IF('Supp. Result Entry'!W192="","",'Supp. Result Entry'!$W$4)</f>
        <v/>
      </c>
      <c r="IU194" s="110" t="str">
        <f>IF('Supp. Result Entry'!Z192="","",'Supp. Result Entry'!$Z$4)</f>
        <v/>
      </c>
      <c r="IV194" s="110" t="str">
        <f>IF('Supp. Result Entry'!AC192="","",'Supp. Result Entry'!$AC$4)</f>
        <v/>
      </c>
      <c r="IW194" s="110" t="str">
        <f>IF('Supp. Result Entry'!AF192="","",'Supp. Result Entry'!$AF$4)</f>
        <v/>
      </c>
      <c r="IX194" s="110" t="str">
        <f>IF('Supp. Result Entry'!AI192="","",'Supp. Result Entry'!$AI$4)</f>
        <v/>
      </c>
      <c r="IY194" s="110" t="str">
        <f>IF('Supp. Result Entry'!AI192="","",'Supp. Result Entry'!$AL$4)</f>
        <v/>
      </c>
      <c r="IZ194" s="110" t="str">
        <f>IF('Supp. Result Entry'!U192="","",'Supp. Result Entry'!U192)</f>
        <v/>
      </c>
      <c r="JA194" s="110" t="str">
        <f>IF('Supp. Result Entry'!X192="","",'Supp. Result Entry'!X192)</f>
        <v/>
      </c>
      <c r="JB194" s="110" t="str">
        <f>IF('Supp. Result Entry'!AA192="","",'Supp. Result Entry'!AA192)</f>
        <v/>
      </c>
      <c r="JC194" s="110" t="str">
        <f>IF('Supp. Result Entry'!AD192="","",'Supp. Result Entry'!AD192)</f>
        <v/>
      </c>
      <c r="JD194" s="110" t="str">
        <f>IF('Supp. Result Entry'!AG192="","",'Supp. Result Entry'!AG192)</f>
        <v/>
      </c>
      <c r="JE194" s="110" t="str">
        <f>IF('Supp. Result Entry'!AJ192="","",'Supp. Result Entry'!AJ192)</f>
        <v/>
      </c>
      <c r="JF194" s="110" t="str">
        <f>IF('Supp. Result Entry'!AM192="","",'Supp. Result Entry'!AM192)</f>
        <v/>
      </c>
      <c r="JG194" s="110" t="str">
        <f>IF('Supp. Result Entry'!V192="","",'Supp. Result Entry'!V192)</f>
        <v/>
      </c>
      <c r="JH194" s="110" t="str">
        <f>IF('Supp. Result Entry'!Y192="","",'Supp. Result Entry'!Y192)</f>
        <v/>
      </c>
      <c r="JI194" s="110" t="str">
        <f>IF('Supp. Result Entry'!AB192="","",'Supp. Result Entry'!AB192)</f>
        <v/>
      </c>
      <c r="JJ194" s="110" t="str">
        <f>IF('Supp. Result Entry'!AE192="","",'Supp. Result Entry'!AE192)</f>
        <v/>
      </c>
      <c r="JK194" s="110" t="str">
        <f>IF('Supp. Result Entry'!AH192="","",'Supp. Result Entry'!AH192)</f>
        <v/>
      </c>
      <c r="JL194" s="110" t="str">
        <f>IF('Supp. Result Entry'!AK192="","",'Supp. Result Entry'!AK192)</f>
        <v/>
      </c>
      <c r="JM194" s="110" t="str">
        <f>IF('Supp. Result Entry'!AN192="","",'Supp. Result Entry'!AN192)</f>
        <v/>
      </c>
      <c r="JN194" s="110">
        <f>COUNTIF('Supp. Result Entry'!K192:Q192,"S")</f>
        <v>0</v>
      </c>
      <c r="JO194" s="110">
        <f t="shared" si="416"/>
        <v>0</v>
      </c>
      <c r="JP194" s="110">
        <f t="shared" si="493"/>
        <v>0</v>
      </c>
      <c r="JQ194" s="110" t="str">
        <f t="shared" si="417"/>
        <v/>
      </c>
      <c r="JR194" s="110" t="str">
        <f t="shared" si="418"/>
        <v/>
      </c>
      <c r="JS194" s="110" t="str">
        <f t="shared" si="419"/>
        <v/>
      </c>
      <c r="JT194" s="110" t="str">
        <f t="shared" si="420"/>
        <v/>
      </c>
      <c r="JU194" s="110" t="str">
        <f t="shared" si="421"/>
        <v/>
      </c>
      <c r="JV194" s="110" t="str">
        <f t="shared" si="422"/>
        <v/>
      </c>
      <c r="JW194" s="110" t="str">
        <f t="shared" si="423"/>
        <v/>
      </c>
      <c r="JX194" s="110" t="str">
        <f t="shared" si="494"/>
        <v/>
      </c>
      <c r="JY194" s="110" t="str">
        <f t="shared" si="495"/>
        <v/>
      </c>
      <c r="JZ194" s="110" t="str">
        <f t="shared" si="424"/>
        <v/>
      </c>
      <c r="KA194" s="108" t="str">
        <f t="shared" si="496"/>
        <v/>
      </c>
    </row>
    <row r="195" spans="1:287" s="108" customFormat="1" ht="21.95" customHeight="1">
      <c r="A195" s="89">
        <v>189</v>
      </c>
      <c r="B195" s="90" t="str">
        <f>IF('Marks Entry'!B195="","",'Marks Entry'!B195)</f>
        <v/>
      </c>
      <c r="C195" s="94" t="str">
        <f>IF('Marks Entry'!D195="","",'Marks Entry'!D195)</f>
        <v/>
      </c>
      <c r="D195" s="91" t="str">
        <f>IF('Marks Entry'!E195="","",'Marks Entry'!E195)</f>
        <v/>
      </c>
      <c r="E195" s="92" t="str">
        <f>IF('Marks Entry'!F195="","",'Marks Entry'!F195)</f>
        <v/>
      </c>
      <c r="F195" s="93" t="str">
        <f>IF('Marks Entry'!G195="","",'Marks Entry'!G195)</f>
        <v/>
      </c>
      <c r="G195" s="93" t="str">
        <f>IF('Marks Entry'!H195="","",'Marks Entry'!H195)</f>
        <v/>
      </c>
      <c r="H195" s="93" t="str">
        <f>IF('Marks Entry'!I195="","",'Marks Entry'!I195)</f>
        <v/>
      </c>
      <c r="I195" s="94" t="str">
        <f>IF('Marks Entry'!J195="","",'Marks Entry'!J195)</f>
        <v/>
      </c>
      <c r="J195" s="95" t="str">
        <f>IF('Marks Entry'!K195="","",'Marks Entry'!K195)</f>
        <v/>
      </c>
      <c r="K195" s="68" t="str">
        <f>IF('Marks Entry'!L195="","",'Marks Entry'!L195)</f>
        <v/>
      </c>
      <c r="L195" s="68" t="str">
        <f>IF('Marks Entry'!M195="","",'Marks Entry'!M195)</f>
        <v/>
      </c>
      <c r="M195" s="68" t="str">
        <f>IF('Marks Entry'!N195="","",'Marks Entry'!N195)</f>
        <v/>
      </c>
      <c r="N195" s="514" t="str">
        <f t="shared" si="425"/>
        <v/>
      </c>
      <c r="O195" s="68" t="str">
        <f>IF('Marks Entry'!O195="","",'Marks Entry'!O195)</f>
        <v/>
      </c>
      <c r="P195" s="515" t="str">
        <f t="shared" si="426"/>
        <v/>
      </c>
      <c r="Q195" s="68" t="str">
        <f>IF('Marks Entry'!P195="","",'Marks Entry'!P195)</f>
        <v/>
      </c>
      <c r="R195" s="96" t="str">
        <f t="shared" si="427"/>
        <v/>
      </c>
      <c r="S195" s="65">
        <f t="shared" si="428"/>
        <v>0</v>
      </c>
      <c r="T195" s="65">
        <f t="shared" si="429"/>
        <v>0</v>
      </c>
      <c r="U195" s="66" t="str">
        <f t="shared" si="339"/>
        <v/>
      </c>
      <c r="V195" s="65" t="str">
        <f t="shared" si="340"/>
        <v/>
      </c>
      <c r="W195" s="65" t="str">
        <f t="shared" si="430"/>
        <v/>
      </c>
      <c r="X195" s="65" t="str">
        <f t="shared" si="341"/>
        <v/>
      </c>
      <c r="Y195" s="68" t="str">
        <f>IF('Marks Entry'!Q195="","",'Marks Entry'!Q195)</f>
        <v/>
      </c>
      <c r="Z195" s="68" t="str">
        <f>IF('Marks Entry'!R195="","",'Marks Entry'!R195)</f>
        <v/>
      </c>
      <c r="AA195" s="68" t="str">
        <f>IF('Marks Entry'!S195="","",'Marks Entry'!S195)</f>
        <v/>
      </c>
      <c r="AB195" s="514" t="str">
        <f t="shared" si="342"/>
        <v/>
      </c>
      <c r="AC195" s="68" t="str">
        <f>IF('Marks Entry'!T195="","",'Marks Entry'!T195)</f>
        <v/>
      </c>
      <c r="AD195" s="515" t="str">
        <f t="shared" si="343"/>
        <v/>
      </c>
      <c r="AE195" s="68" t="str">
        <f>IF('Marks Entry'!U195="","",'Marks Entry'!U195)</f>
        <v/>
      </c>
      <c r="AF195" s="96" t="str">
        <f t="shared" si="344"/>
        <v/>
      </c>
      <c r="AG195" s="65">
        <f t="shared" si="345"/>
        <v>0</v>
      </c>
      <c r="AH195" s="65">
        <f t="shared" si="346"/>
        <v>0</v>
      </c>
      <c r="AI195" s="66" t="str">
        <f t="shared" si="347"/>
        <v/>
      </c>
      <c r="AJ195" s="65" t="str">
        <f t="shared" si="348"/>
        <v/>
      </c>
      <c r="AK195" s="65" t="str">
        <f t="shared" si="349"/>
        <v/>
      </c>
      <c r="AL195" s="65" t="str">
        <f t="shared" si="350"/>
        <v/>
      </c>
      <c r="AM195" s="524" t="str">
        <f>IF('Marks Entry'!V195="","",IF('Marks Entry'!V195=1,'School Profile'!$I$9,IF('Marks Entry'!V195=2,'School Profile'!$I$10,IF('Marks Entry'!V195=3,'School Profile'!$I$11,IF('Marks Entry'!V195=4,'School Profile'!$I$12,IF('Marks Entry'!V195=5,'School Profile'!$I$13,IF('Marks Entry'!V195=6,'School Profile'!$I$14,"")))))))</f>
        <v/>
      </c>
      <c r="AN195" s="68" t="str">
        <f>IF('Marks Entry'!W195="","",'Marks Entry'!W195)</f>
        <v/>
      </c>
      <c r="AO195" s="68" t="str">
        <f>IF('Marks Entry'!X195="","",'Marks Entry'!X195)</f>
        <v/>
      </c>
      <c r="AP195" s="68" t="str">
        <f>IF('Marks Entry'!Y195="","",'Marks Entry'!Y195)</f>
        <v/>
      </c>
      <c r="AQ195" s="514" t="str">
        <f t="shared" si="351"/>
        <v/>
      </c>
      <c r="AR195" s="68" t="str">
        <f>IF('Marks Entry'!Z195="","",'Marks Entry'!Z195)</f>
        <v/>
      </c>
      <c r="AS195" s="515" t="str">
        <f t="shared" si="352"/>
        <v/>
      </c>
      <c r="AT195" s="68" t="str">
        <f>IF('Marks Entry'!AA195="","",'Marks Entry'!AA195)</f>
        <v/>
      </c>
      <c r="AU195" s="96" t="str">
        <f t="shared" si="353"/>
        <v/>
      </c>
      <c r="AV195" s="65">
        <f t="shared" si="354"/>
        <v>0</v>
      </c>
      <c r="AW195" s="65">
        <f t="shared" si="355"/>
        <v>0</v>
      </c>
      <c r="AX195" s="66" t="str">
        <f t="shared" si="356"/>
        <v/>
      </c>
      <c r="AY195" s="65" t="str">
        <f t="shared" si="357"/>
        <v/>
      </c>
      <c r="AZ195" s="65" t="str">
        <f t="shared" si="358"/>
        <v/>
      </c>
      <c r="BA195" s="65" t="str">
        <f t="shared" si="359"/>
        <v/>
      </c>
      <c r="BB195" s="68" t="str">
        <f>IF('Marks Entry'!AB195="","",'Marks Entry'!AB195)</f>
        <v/>
      </c>
      <c r="BC195" s="68" t="str">
        <f>IF('Marks Entry'!AC195="","",'Marks Entry'!AC195)</f>
        <v/>
      </c>
      <c r="BD195" s="68" t="str">
        <f>IF('Marks Entry'!AD195="","",'Marks Entry'!AD195)</f>
        <v/>
      </c>
      <c r="BE195" s="514" t="str">
        <f t="shared" si="360"/>
        <v/>
      </c>
      <c r="BF195" s="68" t="str">
        <f>IF('Marks Entry'!AE195="","",'Marks Entry'!AE195)</f>
        <v/>
      </c>
      <c r="BG195" s="515" t="str">
        <f t="shared" si="361"/>
        <v/>
      </c>
      <c r="BH195" s="68" t="str">
        <f>IF('Marks Entry'!AF195="","",'Marks Entry'!AF195)</f>
        <v/>
      </c>
      <c r="BI195" s="96" t="str">
        <f t="shared" si="362"/>
        <v/>
      </c>
      <c r="BJ195" s="65">
        <f t="shared" si="363"/>
        <v>0</v>
      </c>
      <c r="BK195" s="65">
        <f t="shared" si="431"/>
        <v>0</v>
      </c>
      <c r="BL195" s="66" t="str">
        <f t="shared" si="364"/>
        <v/>
      </c>
      <c r="BM195" s="65" t="str">
        <f t="shared" si="365"/>
        <v/>
      </c>
      <c r="BN195" s="65" t="str">
        <f t="shared" si="366"/>
        <v/>
      </c>
      <c r="BO195" s="65" t="str">
        <f t="shared" si="367"/>
        <v/>
      </c>
      <c r="BP195" s="68" t="str">
        <f>IF('Marks Entry'!AG195="","",'Marks Entry'!AG195)</f>
        <v/>
      </c>
      <c r="BQ195" s="68" t="str">
        <f>IF('Marks Entry'!AH195="","",'Marks Entry'!AH195)</f>
        <v/>
      </c>
      <c r="BR195" s="68" t="str">
        <f>IF('Marks Entry'!AI195="","",'Marks Entry'!AI195)</f>
        <v/>
      </c>
      <c r="BS195" s="514" t="str">
        <f t="shared" si="368"/>
        <v/>
      </c>
      <c r="BT195" s="68" t="str">
        <f>IF('Marks Entry'!AJ195="","",'Marks Entry'!AJ195)</f>
        <v/>
      </c>
      <c r="BU195" s="515" t="str">
        <f t="shared" si="369"/>
        <v/>
      </c>
      <c r="BV195" s="68" t="str">
        <f>IF('Marks Entry'!AK195="","",'Marks Entry'!AK195)</f>
        <v/>
      </c>
      <c r="BW195" s="96" t="str">
        <f t="shared" si="370"/>
        <v/>
      </c>
      <c r="BX195" s="65">
        <f t="shared" si="371"/>
        <v>0</v>
      </c>
      <c r="BY195" s="65">
        <f t="shared" si="372"/>
        <v>0</v>
      </c>
      <c r="BZ195" s="66" t="str">
        <f t="shared" si="373"/>
        <v/>
      </c>
      <c r="CA195" s="65" t="str">
        <f t="shared" si="374"/>
        <v/>
      </c>
      <c r="CB195" s="65" t="str">
        <f t="shared" si="375"/>
        <v/>
      </c>
      <c r="CC195" s="65" t="str">
        <f t="shared" si="376"/>
        <v/>
      </c>
      <c r="CD195" s="66">
        <f t="shared" si="497"/>
        <v>0</v>
      </c>
      <c r="CE195" s="68" t="str">
        <f>IF('Marks Entry'!AL195="","",'Marks Entry'!AL195)</f>
        <v/>
      </c>
      <c r="CF195" s="68" t="str">
        <f>IF('Marks Entry'!AM195="","",'Marks Entry'!AM195)</f>
        <v/>
      </c>
      <c r="CG195" s="68" t="str">
        <f>IF('Marks Entry'!AN195="","",'Marks Entry'!AN195)</f>
        <v/>
      </c>
      <c r="CH195" s="514" t="str">
        <f t="shared" si="378"/>
        <v/>
      </c>
      <c r="CI195" s="68" t="str">
        <f>IF('Marks Entry'!AO195="","",'Marks Entry'!AO195)</f>
        <v/>
      </c>
      <c r="CJ195" s="515" t="str">
        <f t="shared" si="379"/>
        <v/>
      </c>
      <c r="CK195" s="68" t="str">
        <f>IF('Marks Entry'!AP195="","",'Marks Entry'!AP195)</f>
        <v/>
      </c>
      <c r="CL195" s="96" t="str">
        <f t="shared" si="380"/>
        <v/>
      </c>
      <c r="CM195" s="65">
        <f t="shared" si="381"/>
        <v>0</v>
      </c>
      <c r="CN195" s="65">
        <f t="shared" si="382"/>
        <v>0</v>
      </c>
      <c r="CO195" s="66" t="str">
        <f t="shared" si="383"/>
        <v/>
      </c>
      <c r="CP195" s="65" t="str">
        <f t="shared" si="384"/>
        <v/>
      </c>
      <c r="CQ195" s="65" t="str">
        <f t="shared" si="385"/>
        <v/>
      </c>
      <c r="CR195" s="65" t="str">
        <f t="shared" si="386"/>
        <v/>
      </c>
      <c r="CS195" s="616" t="str">
        <f>IF('School Profile'!$D$20="NO","",IF('Marks Entry'!AQ195="","",IF('Marks Entry'!AQ195=1,'School Profile'!$I$29,IF('Marks Entry'!AQ195=2,'School Profile'!$I$30,IF('Marks Entry'!AQ195=3,'School Profile'!$I$31,IF('Marks Entry'!AQ195=4,'School Profile'!$I$32,IF('Marks Entry'!AQ195=5,'School Profile'!$I$33,IF('Marks Entry'!AQ195=6,'School Profile'!$I$34,IF('Marks Entry'!AQ195=7,'School Profile'!$I$35,IF('Marks Entry'!AQ195=8,'School Profile'!$I$36,IF('Marks Entry'!AQ195=9,'School Profile'!$I$37,IF('Marks Entry'!AQ195=10,'School Profile'!$I$38,IF('Marks Entry'!AQ195=11,'School Profile'!$I$39,"")))))))))))))</f>
        <v/>
      </c>
      <c r="CT195" s="68" t="str">
        <f>IF('School Profile'!$D$20="NO","",IF('Marks Entry'!AR195="","",'Marks Entry'!AR195))</f>
        <v/>
      </c>
      <c r="CU195" s="68" t="str">
        <f>IF('School Profile'!$D$20="NO","",IF('Marks Entry'!AS195="","",'Marks Entry'!AS195))</f>
        <v/>
      </c>
      <c r="CV195" s="68" t="str">
        <f>IF('School Profile'!$D$20="NO","",IF('Marks Entry'!AT195="","",'Marks Entry'!AT195))</f>
        <v/>
      </c>
      <c r="CW195" s="514" t="str">
        <f>IF('School Profile'!$D$20="NO","",IF(AND(CT195="",CU195="",CV195=""),"",SUM(CT195:CV195)))</f>
        <v/>
      </c>
      <c r="CX195" s="68" t="str">
        <f>IF('School Profile'!$D$20="NO","",IF('Marks Entry'!AU195="","",'Marks Entry'!AU195))</f>
        <v/>
      </c>
      <c r="CY195" s="68" t="str">
        <f>IF('School Profile'!$D$20="NO","",IF('Marks Entry'!AV195="","",'Marks Entry'!AV195))</f>
        <v/>
      </c>
      <c r="CZ195" s="515" t="str">
        <f>IF('School Profile'!$D$20="NO","",IF(AND(CX195="",CY195=""),"",SUM(CX195,CY195)))</f>
        <v/>
      </c>
      <c r="DA195" s="69" t="str">
        <f>IF('School Profile'!$D$20="NO","",IF(AND(CW195="",CZ195=""),"",SUM(CW195+CZ195)))</f>
        <v/>
      </c>
      <c r="DB195" s="68" t="str">
        <f>IF('School Profile'!$D$20="NO","",IF('Marks Entry'!AW195="","",'Marks Entry'!AW195))</f>
        <v/>
      </c>
      <c r="DC195" s="68" t="str">
        <f>IF('School Profile'!$D$20="NO","",IF('Marks Entry'!AX195="","",'Marks Entry'!AX195))</f>
        <v/>
      </c>
      <c r="DD195" s="515" t="str">
        <f>IF('School Profile'!$D$20="NO","",IF(AND(DB195="",DC195=""),"",SUM(DB195,DC195)))</f>
        <v/>
      </c>
      <c r="DE195" s="96" t="str">
        <f>IF('School Profile'!$D$20="NO","",IF(AND(DA195="",DD195=""),"",SUM(DA195,DD195)))</f>
        <v/>
      </c>
      <c r="DF195" s="532">
        <f t="shared" si="387"/>
        <v>0</v>
      </c>
      <c r="DG195" s="65">
        <f t="shared" si="388"/>
        <v>0</v>
      </c>
      <c r="DH195" s="66" t="str">
        <f t="shared" si="389"/>
        <v/>
      </c>
      <c r="DI195" s="65" t="str">
        <f t="shared" si="390"/>
        <v/>
      </c>
      <c r="DJ195" s="65" t="str">
        <f t="shared" si="391"/>
        <v/>
      </c>
      <c r="DK195" s="65" t="str">
        <f t="shared" si="392"/>
        <v/>
      </c>
      <c r="DL195" s="97" t="str">
        <f t="shared" si="432"/>
        <v/>
      </c>
      <c r="DM195" s="97" t="str">
        <f t="shared" si="433"/>
        <v/>
      </c>
      <c r="DN195" s="97" t="str">
        <f t="shared" si="434"/>
        <v/>
      </c>
      <c r="DO195" s="97" t="str">
        <f t="shared" si="435"/>
        <v/>
      </c>
      <c r="DP195" s="97" t="str">
        <f t="shared" si="436"/>
        <v/>
      </c>
      <c r="DQ195" s="97" t="str">
        <f t="shared" si="437"/>
        <v/>
      </c>
      <c r="DR195" s="97" t="str">
        <f t="shared" si="438"/>
        <v/>
      </c>
      <c r="DS195" s="98">
        <f t="shared" si="439"/>
        <v>0</v>
      </c>
      <c r="DT195" s="98">
        <f t="shared" si="440"/>
        <v>0</v>
      </c>
      <c r="DU195" s="98">
        <f t="shared" si="441"/>
        <v>0</v>
      </c>
      <c r="DV195" s="98">
        <f t="shared" si="442"/>
        <v>0</v>
      </c>
      <c r="DW195" s="98">
        <f t="shared" si="443"/>
        <v>0</v>
      </c>
      <c r="DX195" s="98" t="str">
        <f t="shared" si="444"/>
        <v/>
      </c>
      <c r="DY195" s="99" t="str">
        <f t="shared" si="445"/>
        <v/>
      </c>
      <c r="DZ195" s="74" t="str">
        <f>IF('Marks Entry'!AY195="","",'Marks Entry'!AY195)</f>
        <v/>
      </c>
      <c r="EA195" s="74" t="str">
        <f>IF('Marks Entry'!AZ195="","",'Marks Entry'!AZ195)</f>
        <v/>
      </c>
      <c r="EB195" s="74" t="str">
        <f>IF('Marks Entry'!BA195="","",'Marks Entry'!BA195)</f>
        <v/>
      </c>
      <c r="EC195" s="527" t="str">
        <f t="shared" si="393"/>
        <v/>
      </c>
      <c r="ED195" s="74" t="str">
        <f>IF('Marks Entry'!BB195="","",'Marks Entry'!BB195)</f>
        <v/>
      </c>
      <c r="EE195" s="528" t="str">
        <f t="shared" si="394"/>
        <v/>
      </c>
      <c r="EF195" s="74" t="str">
        <f>IF('Marks Entry'!BC195="","",'Marks Entry'!BC195)</f>
        <v/>
      </c>
      <c r="EG195" s="530" t="str">
        <f t="shared" si="395"/>
        <v/>
      </c>
      <c r="EH195" s="368" t="str">
        <f t="shared" si="446"/>
        <v/>
      </c>
      <c r="EI195" s="65">
        <f t="shared" si="447"/>
        <v>0</v>
      </c>
      <c r="EJ195" s="65">
        <f t="shared" si="448"/>
        <v>0</v>
      </c>
      <c r="EK195" s="66" t="str">
        <f t="shared" si="449"/>
        <v/>
      </c>
      <c r="EL195" s="74" t="str">
        <f>IF('Marks Entry'!BD195="","",'Marks Entry'!BD195)</f>
        <v/>
      </c>
      <c r="EM195" s="74" t="str">
        <f>IF('Marks Entry'!BE195="","",'Marks Entry'!BE195)</f>
        <v/>
      </c>
      <c r="EN195" s="74" t="str">
        <f>IF('Marks Entry'!BF195="","",'Marks Entry'!BF195)</f>
        <v/>
      </c>
      <c r="EO195" s="527" t="str">
        <f t="shared" si="396"/>
        <v/>
      </c>
      <c r="EP195" s="74" t="str">
        <f>IF('Marks Entry'!BG195="","",'Marks Entry'!BG195)</f>
        <v/>
      </c>
      <c r="EQ195" s="74" t="str">
        <f>IF('Marks Entry'!BH195="","",'Marks Entry'!BH195)</f>
        <v/>
      </c>
      <c r="ER195" s="528" t="str">
        <f t="shared" si="397"/>
        <v/>
      </c>
      <c r="ES195" s="529" t="str">
        <f t="shared" si="398"/>
        <v/>
      </c>
      <c r="ET195" s="74" t="str">
        <f>IF('Marks Entry'!BI195="","",'Marks Entry'!BI195)</f>
        <v/>
      </c>
      <c r="EU195" s="74" t="str">
        <f>IF('Marks Entry'!BJ195="","",'Marks Entry'!BJ195)</f>
        <v/>
      </c>
      <c r="EV195" s="528" t="str">
        <f t="shared" si="399"/>
        <v/>
      </c>
      <c r="EW195" s="530" t="str">
        <f t="shared" si="400"/>
        <v/>
      </c>
      <c r="EX195" s="368" t="str">
        <f t="shared" si="450"/>
        <v/>
      </c>
      <c r="EY195" s="65">
        <f t="shared" si="451"/>
        <v>0</v>
      </c>
      <c r="EZ195" s="65">
        <f t="shared" si="452"/>
        <v>0</v>
      </c>
      <c r="FA195" s="66" t="str">
        <f t="shared" si="453"/>
        <v/>
      </c>
      <c r="FB195" s="74" t="str">
        <f>IF('Marks Entry'!BK195="","",'Marks Entry'!BK195)</f>
        <v/>
      </c>
      <c r="FC195" s="74" t="str">
        <f>IF('Marks Entry'!BL195="","",'Marks Entry'!BL195)</f>
        <v/>
      </c>
      <c r="FD195" s="74" t="str">
        <f>IF('Marks Entry'!BM195="","",'Marks Entry'!BM195)</f>
        <v/>
      </c>
      <c r="FE195" s="74" t="str">
        <f>IF('Marks Entry'!BN195="","",'Marks Entry'!BN195)</f>
        <v/>
      </c>
      <c r="FF195" s="74" t="str">
        <f>IF('Marks Entry'!BO195="","",'Marks Entry'!BO195)</f>
        <v/>
      </c>
      <c r="FG195" s="74" t="str">
        <f>IF('Marks Entry'!BP195="","",'Marks Entry'!BP195)</f>
        <v/>
      </c>
      <c r="FH195" s="527" t="str">
        <f t="shared" si="401"/>
        <v/>
      </c>
      <c r="FI195" s="74" t="str">
        <f>IF('Marks Entry'!BQ195="","",'Marks Entry'!BQ195)</f>
        <v/>
      </c>
      <c r="FJ195" s="74" t="str">
        <f>IF('Marks Entry'!BR195="","",'Marks Entry'!BR195)</f>
        <v/>
      </c>
      <c r="FK195" s="528" t="str">
        <f t="shared" si="402"/>
        <v/>
      </c>
      <c r="FL195" s="529" t="str">
        <f t="shared" si="403"/>
        <v/>
      </c>
      <c r="FM195" s="74" t="str">
        <f>IF('Marks Entry'!BS195="","",'Marks Entry'!BS195)</f>
        <v/>
      </c>
      <c r="FN195" s="74" t="str">
        <f>IF('Marks Entry'!BT195="","",'Marks Entry'!BT195)</f>
        <v/>
      </c>
      <c r="FO195" s="528" t="str">
        <f t="shared" si="404"/>
        <v/>
      </c>
      <c r="FP195" s="530" t="str">
        <f t="shared" si="405"/>
        <v/>
      </c>
      <c r="FQ195" s="368" t="str">
        <f t="shared" si="454"/>
        <v/>
      </c>
      <c r="FR195" s="65">
        <f t="shared" si="455"/>
        <v>0</v>
      </c>
      <c r="FS195" s="65">
        <f t="shared" si="456"/>
        <v>0</v>
      </c>
      <c r="FT195" s="66" t="str">
        <f t="shared" si="457"/>
        <v/>
      </c>
      <c r="FU195" s="74" t="str">
        <f>IF('Marks Entry'!BU195="","",'Marks Entry'!BU195)</f>
        <v/>
      </c>
      <c r="FV195" s="74" t="str">
        <f>IF('Marks Entry'!BV195="","",'Marks Entry'!BV195)</f>
        <v/>
      </c>
      <c r="FW195" s="74" t="str">
        <f>IF('Marks Entry'!BW195="","",'Marks Entry'!BW195)</f>
        <v/>
      </c>
      <c r="FX195" s="75" t="str">
        <f t="shared" si="406"/>
        <v/>
      </c>
      <c r="FY195" s="368" t="str">
        <f t="shared" si="458"/>
        <v/>
      </c>
      <c r="FZ195" s="65">
        <f t="shared" si="459"/>
        <v>0</v>
      </c>
      <c r="GA195" s="66">
        <f t="shared" si="460"/>
        <v>0</v>
      </c>
      <c r="GB195" s="66" t="str">
        <f t="shared" si="461"/>
        <v/>
      </c>
      <c r="GC195" s="74" t="str">
        <f>IF('Marks Entry'!BX195="","",'Marks Entry'!BX195)</f>
        <v/>
      </c>
      <c r="GD195" s="74" t="str">
        <f>IF('Marks Entry'!BY195="","",'Marks Entry'!BY195)</f>
        <v/>
      </c>
      <c r="GE195" s="74" t="str">
        <f>IF('Marks Entry'!BZ195="","",'Marks Entry'!BZ195)</f>
        <v/>
      </c>
      <c r="GF195" s="75" t="str">
        <f t="shared" si="462"/>
        <v/>
      </c>
      <c r="GG195" s="368" t="str">
        <f t="shared" si="463"/>
        <v/>
      </c>
      <c r="GH195" s="65">
        <f t="shared" si="464"/>
        <v>0</v>
      </c>
      <c r="GI195" s="66">
        <f t="shared" si="465"/>
        <v>0</v>
      </c>
      <c r="GJ195" s="66" t="str">
        <f t="shared" si="466"/>
        <v/>
      </c>
      <c r="GK195" s="100" t="str">
        <f>IF(AND(F195="",B195=""),"",IF('Student DATA Entry'!M192="","",'Student DATA Entry'!M192))</f>
        <v/>
      </c>
      <c r="GL195" s="101" t="str">
        <f>IF(AND(B195="",F195=""),"",IF('Student DATA Entry'!N192="","",'Student DATA Entry'!N192))</f>
        <v/>
      </c>
      <c r="GM195" s="581" t="str">
        <f t="shared" si="467"/>
        <v/>
      </c>
      <c r="GN195" s="94" t="str">
        <f t="shared" si="468"/>
        <v/>
      </c>
      <c r="GO195" s="94" t="str">
        <f t="shared" si="469"/>
        <v/>
      </c>
      <c r="GP195" s="102" t="str">
        <f t="shared" si="498"/>
        <v/>
      </c>
      <c r="GQ195" s="94" t="str">
        <f t="shared" si="470"/>
        <v/>
      </c>
      <c r="GR195" s="103" t="str">
        <f t="shared" si="471"/>
        <v/>
      </c>
      <c r="GS195" s="102" t="str">
        <f t="shared" si="499"/>
        <v/>
      </c>
      <c r="GT195" s="104" t="str">
        <f t="shared" si="472"/>
        <v/>
      </c>
      <c r="GU195" s="94" t="str">
        <f>IF('Marks Entry'!V195=1,GT195,"")</f>
        <v/>
      </c>
      <c r="GV195" s="94" t="str">
        <f>IF('Marks Entry'!V195=2,GT195,"")</f>
        <v/>
      </c>
      <c r="GW195" s="94" t="str">
        <f>IF('Marks Entry'!V195=3,GT195,"")</f>
        <v/>
      </c>
      <c r="GX195" s="94" t="str">
        <f>IF('Marks Entry'!V195=4,GT195,"")</f>
        <v/>
      </c>
      <c r="GY195" s="94" t="str">
        <f>IF('Marks Entry'!V195=5,GT195,"")</f>
        <v/>
      </c>
      <c r="GZ195" s="94" t="str">
        <f t="shared" si="473"/>
        <v/>
      </c>
      <c r="HA195" s="105" t="str">
        <f t="shared" si="500"/>
        <v/>
      </c>
      <c r="HB195" s="94" t="str">
        <f t="shared" si="474"/>
        <v/>
      </c>
      <c r="HC195" s="94" t="str">
        <f t="shared" si="475"/>
        <v/>
      </c>
      <c r="HD195" s="105" t="str">
        <f t="shared" si="501"/>
        <v/>
      </c>
      <c r="HE195" s="94" t="str">
        <f t="shared" si="476"/>
        <v/>
      </c>
      <c r="HF195" s="94" t="str">
        <f t="shared" si="477"/>
        <v/>
      </c>
      <c r="HG195" s="105" t="str">
        <f t="shared" si="502"/>
        <v/>
      </c>
      <c r="HH195" s="94" t="str">
        <f t="shared" si="478"/>
        <v/>
      </c>
      <c r="HI195" s="94" t="str">
        <f t="shared" si="479"/>
        <v/>
      </c>
      <c r="HJ195" s="105" t="str">
        <f t="shared" si="503"/>
        <v/>
      </c>
      <c r="HK195" s="94" t="str">
        <f t="shared" si="480"/>
        <v/>
      </c>
      <c r="HL195" s="94" t="str">
        <f t="shared" si="481"/>
        <v/>
      </c>
      <c r="HM195" s="105" t="str">
        <f t="shared" si="504"/>
        <v/>
      </c>
      <c r="HN195" s="367" t="str">
        <f t="shared" si="482"/>
        <v xml:space="preserve">      </v>
      </c>
      <c r="HO195" s="418" t="str">
        <f t="shared" si="505"/>
        <v xml:space="preserve">      </v>
      </c>
      <c r="HP195" s="367" t="str">
        <f t="shared" si="483"/>
        <v xml:space="preserve">      </v>
      </c>
      <c r="HQ195" s="107" t="str">
        <f t="shared" si="484"/>
        <v xml:space="preserve">      </v>
      </c>
      <c r="HR195" s="366" t="str">
        <f t="shared" si="485"/>
        <v xml:space="preserve">      </v>
      </c>
      <c r="HS195" s="544" t="str">
        <f t="shared" si="506"/>
        <v/>
      </c>
      <c r="HT195" s="542" t="str">
        <f t="shared" si="486"/>
        <v/>
      </c>
      <c r="HU195" s="541" t="str">
        <f t="shared" si="487"/>
        <v/>
      </c>
      <c r="HV195" s="540" t="str">
        <f t="shared" si="488"/>
        <v/>
      </c>
      <c r="HW195" s="537" t="str">
        <f t="shared" si="489"/>
        <v/>
      </c>
      <c r="HX195" s="539" t="str">
        <f t="shared" si="490"/>
        <v/>
      </c>
      <c r="HY195" s="553" t="str">
        <f>IFERROR(IF(OR(HS195="SUPPLEMENTARY",HS195="RE-EXAM"),'Supp. Result Entry'!AQ193,""),"")</f>
        <v/>
      </c>
      <c r="HZ195" s="538" t="str">
        <f t="shared" si="491"/>
        <v/>
      </c>
      <c r="IA195" s="415" t="str">
        <f t="shared" si="492"/>
        <v/>
      </c>
      <c r="IB195" s="415" t="str">
        <f>IF(AND(HZ195="",IA195=""),"",IF(OR(HS195="SUPPLEMENTARY",HS195="RE-EXAM"),'Supp. Result Entry'!AQ193,HS195))</f>
        <v/>
      </c>
      <c r="IC195" s="87"/>
      <c r="IS195" s="109" t="str">
        <f>IF('Supp. Result Entry'!T193="","",'Supp. Result Entry'!$T$4)</f>
        <v/>
      </c>
      <c r="IT195" s="110" t="str">
        <f>IF('Supp. Result Entry'!W193="","",'Supp. Result Entry'!$W$4)</f>
        <v/>
      </c>
      <c r="IU195" s="110" t="str">
        <f>IF('Supp. Result Entry'!Z193="","",'Supp. Result Entry'!$Z$4)</f>
        <v/>
      </c>
      <c r="IV195" s="110" t="str">
        <f>IF('Supp. Result Entry'!AC193="","",'Supp. Result Entry'!$AC$4)</f>
        <v/>
      </c>
      <c r="IW195" s="110" t="str">
        <f>IF('Supp. Result Entry'!AF193="","",'Supp. Result Entry'!$AF$4)</f>
        <v/>
      </c>
      <c r="IX195" s="110" t="str">
        <f>IF('Supp. Result Entry'!AI193="","",'Supp. Result Entry'!$AI$4)</f>
        <v/>
      </c>
      <c r="IY195" s="110" t="str">
        <f>IF('Supp. Result Entry'!AI193="","",'Supp. Result Entry'!$AL$4)</f>
        <v/>
      </c>
      <c r="IZ195" s="110" t="str">
        <f>IF('Supp. Result Entry'!U193="","",'Supp. Result Entry'!U193)</f>
        <v/>
      </c>
      <c r="JA195" s="110" t="str">
        <f>IF('Supp. Result Entry'!X193="","",'Supp. Result Entry'!X193)</f>
        <v/>
      </c>
      <c r="JB195" s="110" t="str">
        <f>IF('Supp. Result Entry'!AA193="","",'Supp. Result Entry'!AA193)</f>
        <v/>
      </c>
      <c r="JC195" s="110" t="str">
        <f>IF('Supp. Result Entry'!AD193="","",'Supp. Result Entry'!AD193)</f>
        <v/>
      </c>
      <c r="JD195" s="110" t="str">
        <f>IF('Supp. Result Entry'!AG193="","",'Supp. Result Entry'!AG193)</f>
        <v/>
      </c>
      <c r="JE195" s="110" t="str">
        <f>IF('Supp. Result Entry'!AJ193="","",'Supp. Result Entry'!AJ193)</f>
        <v/>
      </c>
      <c r="JF195" s="110" t="str">
        <f>IF('Supp. Result Entry'!AM193="","",'Supp. Result Entry'!AM193)</f>
        <v/>
      </c>
      <c r="JG195" s="110" t="str">
        <f>IF('Supp. Result Entry'!V193="","",'Supp. Result Entry'!V193)</f>
        <v/>
      </c>
      <c r="JH195" s="110" t="str">
        <f>IF('Supp. Result Entry'!Y193="","",'Supp. Result Entry'!Y193)</f>
        <v/>
      </c>
      <c r="JI195" s="110" t="str">
        <f>IF('Supp. Result Entry'!AB193="","",'Supp. Result Entry'!AB193)</f>
        <v/>
      </c>
      <c r="JJ195" s="110" t="str">
        <f>IF('Supp. Result Entry'!AE193="","",'Supp. Result Entry'!AE193)</f>
        <v/>
      </c>
      <c r="JK195" s="110" t="str">
        <f>IF('Supp. Result Entry'!AH193="","",'Supp. Result Entry'!AH193)</f>
        <v/>
      </c>
      <c r="JL195" s="110" t="str">
        <f>IF('Supp. Result Entry'!AK193="","",'Supp. Result Entry'!AK193)</f>
        <v/>
      </c>
      <c r="JM195" s="110" t="str">
        <f>IF('Supp. Result Entry'!AN193="","",'Supp. Result Entry'!AN193)</f>
        <v/>
      </c>
      <c r="JN195" s="110">
        <f>COUNTIF('Supp. Result Entry'!K193:Q193,"S")</f>
        <v>0</v>
      </c>
      <c r="JO195" s="110">
        <f t="shared" si="416"/>
        <v>0</v>
      </c>
      <c r="JP195" s="110">
        <f t="shared" si="493"/>
        <v>0</v>
      </c>
      <c r="JQ195" s="110" t="str">
        <f t="shared" si="417"/>
        <v/>
      </c>
      <c r="JR195" s="110" t="str">
        <f t="shared" si="418"/>
        <v/>
      </c>
      <c r="JS195" s="110" t="str">
        <f t="shared" si="419"/>
        <v/>
      </c>
      <c r="JT195" s="110" t="str">
        <f t="shared" si="420"/>
        <v/>
      </c>
      <c r="JU195" s="110" t="str">
        <f t="shared" si="421"/>
        <v/>
      </c>
      <c r="JV195" s="110" t="str">
        <f t="shared" si="422"/>
        <v/>
      </c>
      <c r="JW195" s="110" t="str">
        <f t="shared" si="423"/>
        <v/>
      </c>
      <c r="JX195" s="110" t="str">
        <f t="shared" si="494"/>
        <v/>
      </c>
      <c r="JY195" s="110" t="str">
        <f t="shared" si="495"/>
        <v/>
      </c>
      <c r="JZ195" s="110" t="str">
        <f t="shared" si="424"/>
        <v/>
      </c>
      <c r="KA195" s="108" t="str">
        <f t="shared" si="496"/>
        <v/>
      </c>
    </row>
    <row r="196" spans="1:287" s="108" customFormat="1" ht="21.95" customHeight="1">
      <c r="A196" s="89">
        <v>190</v>
      </c>
      <c r="B196" s="90" t="str">
        <f>IF('Marks Entry'!B196="","",'Marks Entry'!B196)</f>
        <v/>
      </c>
      <c r="C196" s="94" t="str">
        <f>IF('Marks Entry'!D196="","",'Marks Entry'!D196)</f>
        <v/>
      </c>
      <c r="D196" s="91" t="str">
        <f>IF('Marks Entry'!E196="","",'Marks Entry'!E196)</f>
        <v/>
      </c>
      <c r="E196" s="92" t="str">
        <f>IF('Marks Entry'!F196="","",'Marks Entry'!F196)</f>
        <v/>
      </c>
      <c r="F196" s="93" t="str">
        <f>IF('Marks Entry'!G196="","",'Marks Entry'!G196)</f>
        <v/>
      </c>
      <c r="G196" s="93" t="str">
        <f>IF('Marks Entry'!H196="","",'Marks Entry'!H196)</f>
        <v/>
      </c>
      <c r="H196" s="93" t="str">
        <f>IF('Marks Entry'!I196="","",'Marks Entry'!I196)</f>
        <v/>
      </c>
      <c r="I196" s="94" t="str">
        <f>IF('Marks Entry'!J196="","",'Marks Entry'!J196)</f>
        <v/>
      </c>
      <c r="J196" s="95" t="str">
        <f>IF('Marks Entry'!K196="","",'Marks Entry'!K196)</f>
        <v/>
      </c>
      <c r="K196" s="68" t="str">
        <f>IF('Marks Entry'!L196="","",'Marks Entry'!L196)</f>
        <v/>
      </c>
      <c r="L196" s="68" t="str">
        <f>IF('Marks Entry'!M196="","",'Marks Entry'!M196)</f>
        <v/>
      </c>
      <c r="M196" s="68" t="str">
        <f>IF('Marks Entry'!N196="","",'Marks Entry'!N196)</f>
        <v/>
      </c>
      <c r="N196" s="514" t="str">
        <f t="shared" si="425"/>
        <v/>
      </c>
      <c r="O196" s="68" t="str">
        <f>IF('Marks Entry'!O196="","",'Marks Entry'!O196)</f>
        <v/>
      </c>
      <c r="P196" s="515" t="str">
        <f t="shared" si="426"/>
        <v/>
      </c>
      <c r="Q196" s="68" t="str">
        <f>IF('Marks Entry'!P196="","",'Marks Entry'!P196)</f>
        <v/>
      </c>
      <c r="R196" s="96" t="str">
        <f t="shared" si="427"/>
        <v/>
      </c>
      <c r="S196" s="65">
        <f t="shared" si="428"/>
        <v>0</v>
      </c>
      <c r="T196" s="65">
        <f t="shared" si="429"/>
        <v>0</v>
      </c>
      <c r="U196" s="66" t="str">
        <f t="shared" si="339"/>
        <v/>
      </c>
      <c r="V196" s="65" t="str">
        <f t="shared" si="340"/>
        <v/>
      </c>
      <c r="W196" s="65" t="str">
        <f t="shared" si="430"/>
        <v/>
      </c>
      <c r="X196" s="65" t="str">
        <f t="shared" si="341"/>
        <v/>
      </c>
      <c r="Y196" s="68" t="str">
        <f>IF('Marks Entry'!Q196="","",'Marks Entry'!Q196)</f>
        <v/>
      </c>
      <c r="Z196" s="68" t="str">
        <f>IF('Marks Entry'!R196="","",'Marks Entry'!R196)</f>
        <v/>
      </c>
      <c r="AA196" s="68" t="str">
        <f>IF('Marks Entry'!S196="","",'Marks Entry'!S196)</f>
        <v/>
      </c>
      <c r="AB196" s="514" t="str">
        <f t="shared" si="342"/>
        <v/>
      </c>
      <c r="AC196" s="68" t="str">
        <f>IF('Marks Entry'!T196="","",'Marks Entry'!T196)</f>
        <v/>
      </c>
      <c r="AD196" s="515" t="str">
        <f t="shared" si="343"/>
        <v/>
      </c>
      <c r="AE196" s="68" t="str">
        <f>IF('Marks Entry'!U196="","",'Marks Entry'!U196)</f>
        <v/>
      </c>
      <c r="AF196" s="96" t="str">
        <f t="shared" si="344"/>
        <v/>
      </c>
      <c r="AG196" s="65">
        <f t="shared" si="345"/>
        <v>0</v>
      </c>
      <c r="AH196" s="65">
        <f t="shared" si="346"/>
        <v>0</v>
      </c>
      <c r="AI196" s="66" t="str">
        <f t="shared" si="347"/>
        <v/>
      </c>
      <c r="AJ196" s="65" t="str">
        <f t="shared" si="348"/>
        <v/>
      </c>
      <c r="AK196" s="65" t="str">
        <f t="shared" si="349"/>
        <v/>
      </c>
      <c r="AL196" s="65" t="str">
        <f t="shared" si="350"/>
        <v/>
      </c>
      <c r="AM196" s="524" t="str">
        <f>IF('Marks Entry'!V196="","",IF('Marks Entry'!V196=1,'School Profile'!$I$9,IF('Marks Entry'!V196=2,'School Profile'!$I$10,IF('Marks Entry'!V196=3,'School Profile'!$I$11,IF('Marks Entry'!V196=4,'School Profile'!$I$12,IF('Marks Entry'!V196=5,'School Profile'!$I$13,IF('Marks Entry'!V196=6,'School Profile'!$I$14,"")))))))</f>
        <v/>
      </c>
      <c r="AN196" s="68" t="str">
        <f>IF('Marks Entry'!W196="","",'Marks Entry'!W196)</f>
        <v/>
      </c>
      <c r="AO196" s="68" t="str">
        <f>IF('Marks Entry'!X196="","",'Marks Entry'!X196)</f>
        <v/>
      </c>
      <c r="AP196" s="68" t="str">
        <f>IF('Marks Entry'!Y196="","",'Marks Entry'!Y196)</f>
        <v/>
      </c>
      <c r="AQ196" s="514" t="str">
        <f t="shared" si="351"/>
        <v/>
      </c>
      <c r="AR196" s="68" t="str">
        <f>IF('Marks Entry'!Z196="","",'Marks Entry'!Z196)</f>
        <v/>
      </c>
      <c r="AS196" s="515" t="str">
        <f t="shared" si="352"/>
        <v/>
      </c>
      <c r="AT196" s="68" t="str">
        <f>IF('Marks Entry'!AA196="","",'Marks Entry'!AA196)</f>
        <v/>
      </c>
      <c r="AU196" s="96" t="str">
        <f t="shared" si="353"/>
        <v/>
      </c>
      <c r="AV196" s="65">
        <f t="shared" si="354"/>
        <v>0</v>
      </c>
      <c r="AW196" s="65">
        <f t="shared" si="355"/>
        <v>0</v>
      </c>
      <c r="AX196" s="66" t="str">
        <f t="shared" si="356"/>
        <v/>
      </c>
      <c r="AY196" s="65" t="str">
        <f t="shared" si="357"/>
        <v/>
      </c>
      <c r="AZ196" s="65" t="str">
        <f t="shared" si="358"/>
        <v/>
      </c>
      <c r="BA196" s="65" t="str">
        <f t="shared" si="359"/>
        <v/>
      </c>
      <c r="BB196" s="68" t="str">
        <f>IF('Marks Entry'!AB196="","",'Marks Entry'!AB196)</f>
        <v/>
      </c>
      <c r="BC196" s="68" t="str">
        <f>IF('Marks Entry'!AC196="","",'Marks Entry'!AC196)</f>
        <v/>
      </c>
      <c r="BD196" s="68" t="str">
        <f>IF('Marks Entry'!AD196="","",'Marks Entry'!AD196)</f>
        <v/>
      </c>
      <c r="BE196" s="514" t="str">
        <f t="shared" si="360"/>
        <v/>
      </c>
      <c r="BF196" s="68" t="str">
        <f>IF('Marks Entry'!AE196="","",'Marks Entry'!AE196)</f>
        <v/>
      </c>
      <c r="BG196" s="515" t="str">
        <f t="shared" si="361"/>
        <v/>
      </c>
      <c r="BH196" s="68" t="str">
        <f>IF('Marks Entry'!AF196="","",'Marks Entry'!AF196)</f>
        <v/>
      </c>
      <c r="BI196" s="96" t="str">
        <f t="shared" si="362"/>
        <v/>
      </c>
      <c r="BJ196" s="65">
        <f t="shared" si="363"/>
        <v>0</v>
      </c>
      <c r="BK196" s="65">
        <f t="shared" si="431"/>
        <v>0</v>
      </c>
      <c r="BL196" s="66" t="str">
        <f t="shared" si="364"/>
        <v/>
      </c>
      <c r="BM196" s="65" t="str">
        <f t="shared" si="365"/>
        <v/>
      </c>
      <c r="BN196" s="65" t="str">
        <f t="shared" si="366"/>
        <v/>
      </c>
      <c r="BO196" s="65" t="str">
        <f t="shared" si="367"/>
        <v/>
      </c>
      <c r="BP196" s="68" t="str">
        <f>IF('Marks Entry'!AG196="","",'Marks Entry'!AG196)</f>
        <v/>
      </c>
      <c r="BQ196" s="68" t="str">
        <f>IF('Marks Entry'!AH196="","",'Marks Entry'!AH196)</f>
        <v/>
      </c>
      <c r="BR196" s="68" t="str">
        <f>IF('Marks Entry'!AI196="","",'Marks Entry'!AI196)</f>
        <v/>
      </c>
      <c r="BS196" s="514" t="str">
        <f t="shared" si="368"/>
        <v/>
      </c>
      <c r="BT196" s="68" t="str">
        <f>IF('Marks Entry'!AJ196="","",'Marks Entry'!AJ196)</f>
        <v/>
      </c>
      <c r="BU196" s="515" t="str">
        <f t="shared" si="369"/>
        <v/>
      </c>
      <c r="BV196" s="68" t="str">
        <f>IF('Marks Entry'!AK196="","",'Marks Entry'!AK196)</f>
        <v/>
      </c>
      <c r="BW196" s="96" t="str">
        <f t="shared" si="370"/>
        <v/>
      </c>
      <c r="BX196" s="65">
        <f t="shared" si="371"/>
        <v>0</v>
      </c>
      <c r="BY196" s="65">
        <f t="shared" si="372"/>
        <v>0</v>
      </c>
      <c r="BZ196" s="66" t="str">
        <f t="shared" si="373"/>
        <v/>
      </c>
      <c r="CA196" s="65" t="str">
        <f t="shared" si="374"/>
        <v/>
      </c>
      <c r="CB196" s="65" t="str">
        <f t="shared" si="375"/>
        <v/>
      </c>
      <c r="CC196" s="65" t="str">
        <f t="shared" si="376"/>
        <v/>
      </c>
      <c r="CD196" s="66">
        <f t="shared" si="497"/>
        <v>0</v>
      </c>
      <c r="CE196" s="68" t="str">
        <f>IF('Marks Entry'!AL196="","",'Marks Entry'!AL196)</f>
        <v/>
      </c>
      <c r="CF196" s="68" t="str">
        <f>IF('Marks Entry'!AM196="","",'Marks Entry'!AM196)</f>
        <v/>
      </c>
      <c r="CG196" s="68" t="str">
        <f>IF('Marks Entry'!AN196="","",'Marks Entry'!AN196)</f>
        <v/>
      </c>
      <c r="CH196" s="514" t="str">
        <f t="shared" si="378"/>
        <v/>
      </c>
      <c r="CI196" s="68" t="str">
        <f>IF('Marks Entry'!AO196="","",'Marks Entry'!AO196)</f>
        <v/>
      </c>
      <c r="CJ196" s="515" t="str">
        <f t="shared" si="379"/>
        <v/>
      </c>
      <c r="CK196" s="68" t="str">
        <f>IF('Marks Entry'!AP196="","",'Marks Entry'!AP196)</f>
        <v/>
      </c>
      <c r="CL196" s="96" t="str">
        <f t="shared" si="380"/>
        <v/>
      </c>
      <c r="CM196" s="65">
        <f t="shared" si="381"/>
        <v>0</v>
      </c>
      <c r="CN196" s="65">
        <f t="shared" si="382"/>
        <v>0</v>
      </c>
      <c r="CO196" s="66" t="str">
        <f t="shared" si="383"/>
        <v/>
      </c>
      <c r="CP196" s="65" t="str">
        <f t="shared" si="384"/>
        <v/>
      </c>
      <c r="CQ196" s="65" t="str">
        <f t="shared" si="385"/>
        <v/>
      </c>
      <c r="CR196" s="65" t="str">
        <f t="shared" si="386"/>
        <v/>
      </c>
      <c r="CS196" s="616" t="str">
        <f>IF('School Profile'!$D$20="NO","",IF('Marks Entry'!AQ196="","",IF('Marks Entry'!AQ196=1,'School Profile'!$I$29,IF('Marks Entry'!AQ196=2,'School Profile'!$I$30,IF('Marks Entry'!AQ196=3,'School Profile'!$I$31,IF('Marks Entry'!AQ196=4,'School Profile'!$I$32,IF('Marks Entry'!AQ196=5,'School Profile'!$I$33,IF('Marks Entry'!AQ196=6,'School Profile'!$I$34,IF('Marks Entry'!AQ196=7,'School Profile'!$I$35,IF('Marks Entry'!AQ196=8,'School Profile'!$I$36,IF('Marks Entry'!AQ196=9,'School Profile'!$I$37,IF('Marks Entry'!AQ196=10,'School Profile'!$I$38,IF('Marks Entry'!AQ196=11,'School Profile'!$I$39,"")))))))))))))</f>
        <v/>
      </c>
      <c r="CT196" s="68" t="str">
        <f>IF('School Profile'!$D$20="NO","",IF('Marks Entry'!AR196="","",'Marks Entry'!AR196))</f>
        <v/>
      </c>
      <c r="CU196" s="68" t="str">
        <f>IF('School Profile'!$D$20="NO","",IF('Marks Entry'!AS196="","",'Marks Entry'!AS196))</f>
        <v/>
      </c>
      <c r="CV196" s="68" t="str">
        <f>IF('School Profile'!$D$20="NO","",IF('Marks Entry'!AT196="","",'Marks Entry'!AT196))</f>
        <v/>
      </c>
      <c r="CW196" s="514" t="str">
        <f>IF('School Profile'!$D$20="NO","",IF(AND(CT196="",CU196="",CV196=""),"",SUM(CT196:CV196)))</f>
        <v/>
      </c>
      <c r="CX196" s="68" t="str">
        <f>IF('School Profile'!$D$20="NO","",IF('Marks Entry'!AU196="","",'Marks Entry'!AU196))</f>
        <v/>
      </c>
      <c r="CY196" s="68" t="str">
        <f>IF('School Profile'!$D$20="NO","",IF('Marks Entry'!AV196="","",'Marks Entry'!AV196))</f>
        <v/>
      </c>
      <c r="CZ196" s="515" t="str">
        <f>IF('School Profile'!$D$20="NO","",IF(AND(CX196="",CY196=""),"",SUM(CX196,CY196)))</f>
        <v/>
      </c>
      <c r="DA196" s="69" t="str">
        <f>IF('School Profile'!$D$20="NO","",IF(AND(CW196="",CZ196=""),"",SUM(CW196+CZ196)))</f>
        <v/>
      </c>
      <c r="DB196" s="68" t="str">
        <f>IF('School Profile'!$D$20="NO","",IF('Marks Entry'!AW196="","",'Marks Entry'!AW196))</f>
        <v/>
      </c>
      <c r="DC196" s="68" t="str">
        <f>IF('School Profile'!$D$20="NO","",IF('Marks Entry'!AX196="","",'Marks Entry'!AX196))</f>
        <v/>
      </c>
      <c r="DD196" s="515" t="str">
        <f>IF('School Profile'!$D$20="NO","",IF(AND(DB196="",DC196=""),"",SUM(DB196,DC196)))</f>
        <v/>
      </c>
      <c r="DE196" s="96" t="str">
        <f>IF('School Profile'!$D$20="NO","",IF(AND(DA196="",DD196=""),"",SUM(DA196,DD196)))</f>
        <v/>
      </c>
      <c r="DF196" s="532">
        <f t="shared" si="387"/>
        <v>0</v>
      </c>
      <c r="DG196" s="65">
        <f t="shared" si="388"/>
        <v>0</v>
      </c>
      <c r="DH196" s="66" t="str">
        <f t="shared" si="389"/>
        <v/>
      </c>
      <c r="DI196" s="65" t="str">
        <f t="shared" si="390"/>
        <v/>
      </c>
      <c r="DJ196" s="65" t="str">
        <f t="shared" si="391"/>
        <v/>
      </c>
      <c r="DK196" s="65" t="str">
        <f t="shared" si="392"/>
        <v/>
      </c>
      <c r="DL196" s="97" t="str">
        <f t="shared" si="432"/>
        <v/>
      </c>
      <c r="DM196" s="97" t="str">
        <f t="shared" si="433"/>
        <v/>
      </c>
      <c r="DN196" s="97" t="str">
        <f t="shared" si="434"/>
        <v/>
      </c>
      <c r="DO196" s="97" t="str">
        <f t="shared" si="435"/>
        <v/>
      </c>
      <c r="DP196" s="97" t="str">
        <f t="shared" si="436"/>
        <v/>
      </c>
      <c r="DQ196" s="97" t="str">
        <f t="shared" si="437"/>
        <v/>
      </c>
      <c r="DR196" s="97" t="str">
        <f t="shared" si="438"/>
        <v/>
      </c>
      <c r="DS196" s="98">
        <f t="shared" si="439"/>
        <v>0</v>
      </c>
      <c r="DT196" s="98">
        <f t="shared" si="440"/>
        <v>0</v>
      </c>
      <c r="DU196" s="98">
        <f t="shared" si="441"/>
        <v>0</v>
      </c>
      <c r="DV196" s="98">
        <f t="shared" si="442"/>
        <v>0</v>
      </c>
      <c r="DW196" s="98">
        <f t="shared" si="443"/>
        <v>0</v>
      </c>
      <c r="DX196" s="98" t="str">
        <f t="shared" si="444"/>
        <v/>
      </c>
      <c r="DY196" s="99" t="str">
        <f t="shared" si="445"/>
        <v/>
      </c>
      <c r="DZ196" s="74" t="str">
        <f>IF('Marks Entry'!AY196="","",'Marks Entry'!AY196)</f>
        <v/>
      </c>
      <c r="EA196" s="74" t="str">
        <f>IF('Marks Entry'!AZ196="","",'Marks Entry'!AZ196)</f>
        <v/>
      </c>
      <c r="EB196" s="74" t="str">
        <f>IF('Marks Entry'!BA196="","",'Marks Entry'!BA196)</f>
        <v/>
      </c>
      <c r="EC196" s="527" t="str">
        <f t="shared" si="393"/>
        <v/>
      </c>
      <c r="ED196" s="74" t="str">
        <f>IF('Marks Entry'!BB196="","",'Marks Entry'!BB196)</f>
        <v/>
      </c>
      <c r="EE196" s="528" t="str">
        <f t="shared" si="394"/>
        <v/>
      </c>
      <c r="EF196" s="74" t="str">
        <f>IF('Marks Entry'!BC196="","",'Marks Entry'!BC196)</f>
        <v/>
      </c>
      <c r="EG196" s="530" t="str">
        <f t="shared" si="395"/>
        <v/>
      </c>
      <c r="EH196" s="368" t="str">
        <f t="shared" si="446"/>
        <v/>
      </c>
      <c r="EI196" s="65">
        <f t="shared" si="447"/>
        <v>0</v>
      </c>
      <c r="EJ196" s="65">
        <f t="shared" si="448"/>
        <v>0</v>
      </c>
      <c r="EK196" s="66" t="str">
        <f t="shared" si="449"/>
        <v/>
      </c>
      <c r="EL196" s="74" t="str">
        <f>IF('Marks Entry'!BD196="","",'Marks Entry'!BD196)</f>
        <v/>
      </c>
      <c r="EM196" s="74" t="str">
        <f>IF('Marks Entry'!BE196="","",'Marks Entry'!BE196)</f>
        <v/>
      </c>
      <c r="EN196" s="74" t="str">
        <f>IF('Marks Entry'!BF196="","",'Marks Entry'!BF196)</f>
        <v/>
      </c>
      <c r="EO196" s="527" t="str">
        <f t="shared" si="396"/>
        <v/>
      </c>
      <c r="EP196" s="74" t="str">
        <f>IF('Marks Entry'!BG196="","",'Marks Entry'!BG196)</f>
        <v/>
      </c>
      <c r="EQ196" s="74" t="str">
        <f>IF('Marks Entry'!BH196="","",'Marks Entry'!BH196)</f>
        <v/>
      </c>
      <c r="ER196" s="528" t="str">
        <f t="shared" si="397"/>
        <v/>
      </c>
      <c r="ES196" s="529" t="str">
        <f t="shared" si="398"/>
        <v/>
      </c>
      <c r="ET196" s="74" t="str">
        <f>IF('Marks Entry'!BI196="","",'Marks Entry'!BI196)</f>
        <v/>
      </c>
      <c r="EU196" s="74" t="str">
        <f>IF('Marks Entry'!BJ196="","",'Marks Entry'!BJ196)</f>
        <v/>
      </c>
      <c r="EV196" s="528" t="str">
        <f t="shared" si="399"/>
        <v/>
      </c>
      <c r="EW196" s="530" t="str">
        <f t="shared" si="400"/>
        <v/>
      </c>
      <c r="EX196" s="368" t="str">
        <f t="shared" si="450"/>
        <v/>
      </c>
      <c r="EY196" s="65">
        <f t="shared" si="451"/>
        <v>0</v>
      </c>
      <c r="EZ196" s="65">
        <f t="shared" si="452"/>
        <v>0</v>
      </c>
      <c r="FA196" s="66" t="str">
        <f t="shared" si="453"/>
        <v/>
      </c>
      <c r="FB196" s="74" t="str">
        <f>IF('Marks Entry'!BK196="","",'Marks Entry'!BK196)</f>
        <v/>
      </c>
      <c r="FC196" s="74" t="str">
        <f>IF('Marks Entry'!BL196="","",'Marks Entry'!BL196)</f>
        <v/>
      </c>
      <c r="FD196" s="74" t="str">
        <f>IF('Marks Entry'!BM196="","",'Marks Entry'!BM196)</f>
        <v/>
      </c>
      <c r="FE196" s="74" t="str">
        <f>IF('Marks Entry'!BN196="","",'Marks Entry'!BN196)</f>
        <v/>
      </c>
      <c r="FF196" s="74" t="str">
        <f>IF('Marks Entry'!BO196="","",'Marks Entry'!BO196)</f>
        <v/>
      </c>
      <c r="FG196" s="74" t="str">
        <f>IF('Marks Entry'!BP196="","",'Marks Entry'!BP196)</f>
        <v/>
      </c>
      <c r="FH196" s="527" t="str">
        <f t="shared" si="401"/>
        <v/>
      </c>
      <c r="FI196" s="74" t="str">
        <f>IF('Marks Entry'!BQ196="","",'Marks Entry'!BQ196)</f>
        <v/>
      </c>
      <c r="FJ196" s="74" t="str">
        <f>IF('Marks Entry'!BR196="","",'Marks Entry'!BR196)</f>
        <v/>
      </c>
      <c r="FK196" s="528" t="str">
        <f t="shared" si="402"/>
        <v/>
      </c>
      <c r="FL196" s="529" t="str">
        <f t="shared" si="403"/>
        <v/>
      </c>
      <c r="FM196" s="74" t="str">
        <f>IF('Marks Entry'!BS196="","",'Marks Entry'!BS196)</f>
        <v/>
      </c>
      <c r="FN196" s="74" t="str">
        <f>IF('Marks Entry'!BT196="","",'Marks Entry'!BT196)</f>
        <v/>
      </c>
      <c r="FO196" s="528" t="str">
        <f t="shared" si="404"/>
        <v/>
      </c>
      <c r="FP196" s="530" t="str">
        <f t="shared" si="405"/>
        <v/>
      </c>
      <c r="FQ196" s="368" t="str">
        <f t="shared" si="454"/>
        <v/>
      </c>
      <c r="FR196" s="65">
        <f t="shared" si="455"/>
        <v>0</v>
      </c>
      <c r="FS196" s="65">
        <f t="shared" si="456"/>
        <v>0</v>
      </c>
      <c r="FT196" s="66" t="str">
        <f t="shared" si="457"/>
        <v/>
      </c>
      <c r="FU196" s="74" t="str">
        <f>IF('Marks Entry'!BU196="","",'Marks Entry'!BU196)</f>
        <v/>
      </c>
      <c r="FV196" s="74" t="str">
        <f>IF('Marks Entry'!BV196="","",'Marks Entry'!BV196)</f>
        <v/>
      </c>
      <c r="FW196" s="74" t="str">
        <f>IF('Marks Entry'!BW196="","",'Marks Entry'!BW196)</f>
        <v/>
      </c>
      <c r="FX196" s="75" t="str">
        <f t="shared" si="406"/>
        <v/>
      </c>
      <c r="FY196" s="368" t="str">
        <f t="shared" si="458"/>
        <v/>
      </c>
      <c r="FZ196" s="65">
        <f t="shared" si="459"/>
        <v>0</v>
      </c>
      <c r="GA196" s="66">
        <f t="shared" si="460"/>
        <v>0</v>
      </c>
      <c r="GB196" s="66" t="str">
        <f t="shared" si="461"/>
        <v/>
      </c>
      <c r="GC196" s="74" t="str">
        <f>IF('Marks Entry'!BX196="","",'Marks Entry'!BX196)</f>
        <v/>
      </c>
      <c r="GD196" s="74" t="str">
        <f>IF('Marks Entry'!BY196="","",'Marks Entry'!BY196)</f>
        <v/>
      </c>
      <c r="GE196" s="74" t="str">
        <f>IF('Marks Entry'!BZ196="","",'Marks Entry'!BZ196)</f>
        <v/>
      </c>
      <c r="GF196" s="75" t="str">
        <f t="shared" si="462"/>
        <v/>
      </c>
      <c r="GG196" s="368" t="str">
        <f t="shared" si="463"/>
        <v/>
      </c>
      <c r="GH196" s="65">
        <f t="shared" si="464"/>
        <v>0</v>
      </c>
      <c r="GI196" s="66">
        <f t="shared" si="465"/>
        <v>0</v>
      </c>
      <c r="GJ196" s="66" t="str">
        <f t="shared" si="466"/>
        <v/>
      </c>
      <c r="GK196" s="100" t="str">
        <f>IF(AND(F196="",B196=""),"",IF('Student DATA Entry'!M193="","",'Student DATA Entry'!M193))</f>
        <v/>
      </c>
      <c r="GL196" s="101" t="str">
        <f>IF(AND(B196="",F196=""),"",IF('Student DATA Entry'!N193="","",'Student DATA Entry'!N193))</f>
        <v/>
      </c>
      <c r="GM196" s="581" t="str">
        <f t="shared" si="467"/>
        <v/>
      </c>
      <c r="GN196" s="94" t="str">
        <f t="shared" si="468"/>
        <v/>
      </c>
      <c r="GO196" s="94" t="str">
        <f t="shared" si="469"/>
        <v/>
      </c>
      <c r="GP196" s="102" t="str">
        <f t="shared" si="498"/>
        <v/>
      </c>
      <c r="GQ196" s="94" t="str">
        <f t="shared" si="470"/>
        <v/>
      </c>
      <c r="GR196" s="103" t="str">
        <f t="shared" si="471"/>
        <v/>
      </c>
      <c r="GS196" s="102" t="str">
        <f t="shared" si="499"/>
        <v/>
      </c>
      <c r="GT196" s="104" t="str">
        <f t="shared" si="472"/>
        <v/>
      </c>
      <c r="GU196" s="94" t="str">
        <f>IF('Marks Entry'!V196=1,GT196,"")</f>
        <v/>
      </c>
      <c r="GV196" s="94" t="str">
        <f>IF('Marks Entry'!V196=2,GT196,"")</f>
        <v/>
      </c>
      <c r="GW196" s="94" t="str">
        <f>IF('Marks Entry'!V196=3,GT196,"")</f>
        <v/>
      </c>
      <c r="GX196" s="94" t="str">
        <f>IF('Marks Entry'!V196=4,GT196,"")</f>
        <v/>
      </c>
      <c r="GY196" s="94" t="str">
        <f>IF('Marks Entry'!V196=5,GT196,"")</f>
        <v/>
      </c>
      <c r="GZ196" s="94" t="str">
        <f t="shared" si="473"/>
        <v/>
      </c>
      <c r="HA196" s="105" t="str">
        <f t="shared" si="500"/>
        <v/>
      </c>
      <c r="HB196" s="94" t="str">
        <f t="shared" si="474"/>
        <v/>
      </c>
      <c r="HC196" s="94" t="str">
        <f t="shared" si="475"/>
        <v/>
      </c>
      <c r="HD196" s="105" t="str">
        <f t="shared" si="501"/>
        <v/>
      </c>
      <c r="HE196" s="94" t="str">
        <f t="shared" si="476"/>
        <v/>
      </c>
      <c r="HF196" s="94" t="str">
        <f t="shared" si="477"/>
        <v/>
      </c>
      <c r="HG196" s="105" t="str">
        <f t="shared" si="502"/>
        <v/>
      </c>
      <c r="HH196" s="94" t="str">
        <f t="shared" si="478"/>
        <v/>
      </c>
      <c r="HI196" s="94" t="str">
        <f t="shared" si="479"/>
        <v/>
      </c>
      <c r="HJ196" s="105" t="str">
        <f t="shared" si="503"/>
        <v/>
      </c>
      <c r="HK196" s="94" t="str">
        <f t="shared" si="480"/>
        <v/>
      </c>
      <c r="HL196" s="94" t="str">
        <f t="shared" si="481"/>
        <v/>
      </c>
      <c r="HM196" s="105" t="str">
        <f t="shared" si="504"/>
        <v/>
      </c>
      <c r="HN196" s="367" t="str">
        <f t="shared" si="482"/>
        <v xml:space="preserve">      </v>
      </c>
      <c r="HO196" s="418" t="str">
        <f t="shared" si="505"/>
        <v xml:space="preserve">      </v>
      </c>
      <c r="HP196" s="367" t="str">
        <f t="shared" si="483"/>
        <v xml:space="preserve">      </v>
      </c>
      <c r="HQ196" s="107" t="str">
        <f t="shared" si="484"/>
        <v xml:space="preserve">      </v>
      </c>
      <c r="HR196" s="366" t="str">
        <f t="shared" si="485"/>
        <v xml:space="preserve">      </v>
      </c>
      <c r="HS196" s="544" t="str">
        <f t="shared" si="506"/>
        <v/>
      </c>
      <c r="HT196" s="542" t="str">
        <f t="shared" si="486"/>
        <v/>
      </c>
      <c r="HU196" s="541" t="str">
        <f t="shared" si="487"/>
        <v/>
      </c>
      <c r="HV196" s="540" t="str">
        <f t="shared" si="488"/>
        <v/>
      </c>
      <c r="HW196" s="537" t="str">
        <f t="shared" si="489"/>
        <v/>
      </c>
      <c r="HX196" s="539" t="str">
        <f t="shared" si="490"/>
        <v/>
      </c>
      <c r="HY196" s="553" t="str">
        <f>IFERROR(IF(OR(HS196="SUPPLEMENTARY",HS196="RE-EXAM"),'Supp. Result Entry'!AQ194,""),"")</f>
        <v/>
      </c>
      <c r="HZ196" s="538" t="str">
        <f t="shared" si="491"/>
        <v/>
      </c>
      <c r="IA196" s="415" t="str">
        <f t="shared" si="492"/>
        <v/>
      </c>
      <c r="IB196" s="415" t="str">
        <f>IF(AND(HZ196="",IA196=""),"",IF(OR(HS196="SUPPLEMENTARY",HS196="RE-EXAM"),'Supp. Result Entry'!AQ194,HS196))</f>
        <v/>
      </c>
      <c r="IC196" s="87"/>
      <c r="IS196" s="109" t="str">
        <f>IF('Supp. Result Entry'!T194="","",'Supp. Result Entry'!$T$4)</f>
        <v/>
      </c>
      <c r="IT196" s="110" t="str">
        <f>IF('Supp. Result Entry'!W194="","",'Supp. Result Entry'!$W$4)</f>
        <v/>
      </c>
      <c r="IU196" s="110" t="str">
        <f>IF('Supp. Result Entry'!Z194="","",'Supp. Result Entry'!$Z$4)</f>
        <v/>
      </c>
      <c r="IV196" s="110" t="str">
        <f>IF('Supp. Result Entry'!AC194="","",'Supp. Result Entry'!$AC$4)</f>
        <v/>
      </c>
      <c r="IW196" s="110" t="str">
        <f>IF('Supp. Result Entry'!AF194="","",'Supp. Result Entry'!$AF$4)</f>
        <v/>
      </c>
      <c r="IX196" s="110" t="str">
        <f>IF('Supp. Result Entry'!AI194="","",'Supp. Result Entry'!$AI$4)</f>
        <v/>
      </c>
      <c r="IY196" s="110" t="str">
        <f>IF('Supp. Result Entry'!AI194="","",'Supp. Result Entry'!$AL$4)</f>
        <v/>
      </c>
      <c r="IZ196" s="110" t="str">
        <f>IF('Supp. Result Entry'!U194="","",'Supp. Result Entry'!U194)</f>
        <v/>
      </c>
      <c r="JA196" s="110" t="str">
        <f>IF('Supp. Result Entry'!X194="","",'Supp. Result Entry'!X194)</f>
        <v/>
      </c>
      <c r="JB196" s="110" t="str">
        <f>IF('Supp. Result Entry'!AA194="","",'Supp. Result Entry'!AA194)</f>
        <v/>
      </c>
      <c r="JC196" s="110" t="str">
        <f>IF('Supp. Result Entry'!AD194="","",'Supp. Result Entry'!AD194)</f>
        <v/>
      </c>
      <c r="JD196" s="110" t="str">
        <f>IF('Supp. Result Entry'!AG194="","",'Supp. Result Entry'!AG194)</f>
        <v/>
      </c>
      <c r="JE196" s="110" t="str">
        <f>IF('Supp. Result Entry'!AJ194="","",'Supp. Result Entry'!AJ194)</f>
        <v/>
      </c>
      <c r="JF196" s="110" t="str">
        <f>IF('Supp. Result Entry'!AM194="","",'Supp. Result Entry'!AM194)</f>
        <v/>
      </c>
      <c r="JG196" s="110" t="str">
        <f>IF('Supp. Result Entry'!V194="","",'Supp. Result Entry'!V194)</f>
        <v/>
      </c>
      <c r="JH196" s="110" t="str">
        <f>IF('Supp. Result Entry'!Y194="","",'Supp. Result Entry'!Y194)</f>
        <v/>
      </c>
      <c r="JI196" s="110" t="str">
        <f>IF('Supp. Result Entry'!AB194="","",'Supp. Result Entry'!AB194)</f>
        <v/>
      </c>
      <c r="JJ196" s="110" t="str">
        <f>IF('Supp. Result Entry'!AE194="","",'Supp. Result Entry'!AE194)</f>
        <v/>
      </c>
      <c r="JK196" s="110" t="str">
        <f>IF('Supp. Result Entry'!AH194="","",'Supp. Result Entry'!AH194)</f>
        <v/>
      </c>
      <c r="JL196" s="110" t="str">
        <f>IF('Supp. Result Entry'!AK194="","",'Supp. Result Entry'!AK194)</f>
        <v/>
      </c>
      <c r="JM196" s="110" t="str">
        <f>IF('Supp. Result Entry'!AN194="","",'Supp. Result Entry'!AN194)</f>
        <v/>
      </c>
      <c r="JN196" s="110">
        <f>COUNTIF('Supp. Result Entry'!K194:Q194,"S")</f>
        <v>0</v>
      </c>
      <c r="JO196" s="110">
        <f t="shared" si="416"/>
        <v>0</v>
      </c>
      <c r="JP196" s="110">
        <f t="shared" si="493"/>
        <v>0</v>
      </c>
      <c r="JQ196" s="110" t="str">
        <f t="shared" si="417"/>
        <v/>
      </c>
      <c r="JR196" s="110" t="str">
        <f t="shared" si="418"/>
        <v/>
      </c>
      <c r="JS196" s="110" t="str">
        <f t="shared" si="419"/>
        <v/>
      </c>
      <c r="JT196" s="110" t="str">
        <f t="shared" si="420"/>
        <v/>
      </c>
      <c r="JU196" s="110" t="str">
        <f t="shared" si="421"/>
        <v/>
      </c>
      <c r="JV196" s="110" t="str">
        <f t="shared" si="422"/>
        <v/>
      </c>
      <c r="JW196" s="110" t="str">
        <f t="shared" si="423"/>
        <v/>
      </c>
      <c r="JX196" s="110" t="str">
        <f t="shared" si="494"/>
        <v/>
      </c>
      <c r="JY196" s="110" t="str">
        <f t="shared" si="495"/>
        <v/>
      </c>
      <c r="JZ196" s="110" t="str">
        <f t="shared" si="424"/>
        <v/>
      </c>
      <c r="KA196" s="108" t="str">
        <f t="shared" si="496"/>
        <v/>
      </c>
    </row>
    <row r="197" spans="1:287" s="108" customFormat="1" ht="21.95" customHeight="1">
      <c r="A197" s="89">
        <v>191</v>
      </c>
      <c r="B197" s="90" t="str">
        <f>IF('Marks Entry'!B197="","",'Marks Entry'!B197)</f>
        <v/>
      </c>
      <c r="C197" s="94" t="str">
        <f>IF('Marks Entry'!D197="","",'Marks Entry'!D197)</f>
        <v/>
      </c>
      <c r="D197" s="91" t="str">
        <f>IF('Marks Entry'!E197="","",'Marks Entry'!E197)</f>
        <v/>
      </c>
      <c r="E197" s="92" t="str">
        <f>IF('Marks Entry'!F197="","",'Marks Entry'!F197)</f>
        <v/>
      </c>
      <c r="F197" s="93" t="str">
        <f>IF('Marks Entry'!G197="","",'Marks Entry'!G197)</f>
        <v/>
      </c>
      <c r="G197" s="93" t="str">
        <f>IF('Marks Entry'!H197="","",'Marks Entry'!H197)</f>
        <v/>
      </c>
      <c r="H197" s="93" t="str">
        <f>IF('Marks Entry'!I197="","",'Marks Entry'!I197)</f>
        <v/>
      </c>
      <c r="I197" s="94" t="str">
        <f>IF('Marks Entry'!J197="","",'Marks Entry'!J197)</f>
        <v/>
      </c>
      <c r="J197" s="95" t="str">
        <f>IF('Marks Entry'!K197="","",'Marks Entry'!K197)</f>
        <v/>
      </c>
      <c r="K197" s="68" t="str">
        <f>IF('Marks Entry'!L197="","",'Marks Entry'!L197)</f>
        <v/>
      </c>
      <c r="L197" s="68" t="str">
        <f>IF('Marks Entry'!M197="","",'Marks Entry'!M197)</f>
        <v/>
      </c>
      <c r="M197" s="68" t="str">
        <f>IF('Marks Entry'!N197="","",'Marks Entry'!N197)</f>
        <v/>
      </c>
      <c r="N197" s="514" t="str">
        <f t="shared" si="425"/>
        <v/>
      </c>
      <c r="O197" s="68" t="str">
        <f>IF('Marks Entry'!O197="","",'Marks Entry'!O197)</f>
        <v/>
      </c>
      <c r="P197" s="515" t="str">
        <f t="shared" si="426"/>
        <v/>
      </c>
      <c r="Q197" s="68" t="str">
        <f>IF('Marks Entry'!P197="","",'Marks Entry'!P197)</f>
        <v/>
      </c>
      <c r="R197" s="96" t="str">
        <f t="shared" si="427"/>
        <v/>
      </c>
      <c r="S197" s="65">
        <f t="shared" si="428"/>
        <v>0</v>
      </c>
      <c r="T197" s="65">
        <f t="shared" si="429"/>
        <v>0</v>
      </c>
      <c r="U197" s="66" t="str">
        <f t="shared" si="339"/>
        <v/>
      </c>
      <c r="V197" s="65" t="str">
        <f t="shared" si="340"/>
        <v/>
      </c>
      <c r="W197" s="65" t="str">
        <f t="shared" si="430"/>
        <v/>
      </c>
      <c r="X197" s="65" t="str">
        <f t="shared" si="341"/>
        <v/>
      </c>
      <c r="Y197" s="68" t="str">
        <f>IF('Marks Entry'!Q197="","",'Marks Entry'!Q197)</f>
        <v/>
      </c>
      <c r="Z197" s="68" t="str">
        <f>IF('Marks Entry'!R197="","",'Marks Entry'!R197)</f>
        <v/>
      </c>
      <c r="AA197" s="68" t="str">
        <f>IF('Marks Entry'!S197="","",'Marks Entry'!S197)</f>
        <v/>
      </c>
      <c r="AB197" s="514" t="str">
        <f t="shared" si="342"/>
        <v/>
      </c>
      <c r="AC197" s="68" t="str">
        <f>IF('Marks Entry'!T197="","",'Marks Entry'!T197)</f>
        <v/>
      </c>
      <c r="AD197" s="515" t="str">
        <f t="shared" si="343"/>
        <v/>
      </c>
      <c r="AE197" s="68" t="str">
        <f>IF('Marks Entry'!U197="","",'Marks Entry'!U197)</f>
        <v/>
      </c>
      <c r="AF197" s="96" t="str">
        <f t="shared" si="344"/>
        <v/>
      </c>
      <c r="AG197" s="65">
        <f t="shared" si="345"/>
        <v>0</v>
      </c>
      <c r="AH197" s="65">
        <f t="shared" si="346"/>
        <v>0</v>
      </c>
      <c r="AI197" s="66" t="str">
        <f t="shared" si="347"/>
        <v/>
      </c>
      <c r="AJ197" s="65" t="str">
        <f t="shared" si="348"/>
        <v/>
      </c>
      <c r="AK197" s="65" t="str">
        <f t="shared" si="349"/>
        <v/>
      </c>
      <c r="AL197" s="65" t="str">
        <f t="shared" si="350"/>
        <v/>
      </c>
      <c r="AM197" s="524" t="str">
        <f>IF('Marks Entry'!V197="","",IF('Marks Entry'!V197=1,'School Profile'!$I$9,IF('Marks Entry'!V197=2,'School Profile'!$I$10,IF('Marks Entry'!V197=3,'School Profile'!$I$11,IF('Marks Entry'!V197=4,'School Profile'!$I$12,IF('Marks Entry'!V197=5,'School Profile'!$I$13,IF('Marks Entry'!V197=6,'School Profile'!$I$14,"")))))))</f>
        <v/>
      </c>
      <c r="AN197" s="68" t="str">
        <f>IF('Marks Entry'!W197="","",'Marks Entry'!W197)</f>
        <v/>
      </c>
      <c r="AO197" s="68" t="str">
        <f>IF('Marks Entry'!X197="","",'Marks Entry'!X197)</f>
        <v/>
      </c>
      <c r="AP197" s="68" t="str">
        <f>IF('Marks Entry'!Y197="","",'Marks Entry'!Y197)</f>
        <v/>
      </c>
      <c r="AQ197" s="514" t="str">
        <f t="shared" si="351"/>
        <v/>
      </c>
      <c r="AR197" s="68" t="str">
        <f>IF('Marks Entry'!Z197="","",'Marks Entry'!Z197)</f>
        <v/>
      </c>
      <c r="AS197" s="515" t="str">
        <f t="shared" si="352"/>
        <v/>
      </c>
      <c r="AT197" s="68" t="str">
        <f>IF('Marks Entry'!AA197="","",'Marks Entry'!AA197)</f>
        <v/>
      </c>
      <c r="AU197" s="96" t="str">
        <f t="shared" si="353"/>
        <v/>
      </c>
      <c r="AV197" s="65">
        <f t="shared" si="354"/>
        <v>0</v>
      </c>
      <c r="AW197" s="65">
        <f t="shared" si="355"/>
        <v>0</v>
      </c>
      <c r="AX197" s="66" t="str">
        <f t="shared" si="356"/>
        <v/>
      </c>
      <c r="AY197" s="65" t="str">
        <f t="shared" si="357"/>
        <v/>
      </c>
      <c r="AZ197" s="65" t="str">
        <f t="shared" si="358"/>
        <v/>
      </c>
      <c r="BA197" s="65" t="str">
        <f t="shared" si="359"/>
        <v/>
      </c>
      <c r="BB197" s="68" t="str">
        <f>IF('Marks Entry'!AB197="","",'Marks Entry'!AB197)</f>
        <v/>
      </c>
      <c r="BC197" s="68" t="str">
        <f>IF('Marks Entry'!AC197="","",'Marks Entry'!AC197)</f>
        <v/>
      </c>
      <c r="BD197" s="68" t="str">
        <f>IF('Marks Entry'!AD197="","",'Marks Entry'!AD197)</f>
        <v/>
      </c>
      <c r="BE197" s="514" t="str">
        <f t="shared" si="360"/>
        <v/>
      </c>
      <c r="BF197" s="68" t="str">
        <f>IF('Marks Entry'!AE197="","",'Marks Entry'!AE197)</f>
        <v/>
      </c>
      <c r="BG197" s="515" t="str">
        <f t="shared" si="361"/>
        <v/>
      </c>
      <c r="BH197" s="68" t="str">
        <f>IF('Marks Entry'!AF197="","",'Marks Entry'!AF197)</f>
        <v/>
      </c>
      <c r="BI197" s="96" t="str">
        <f t="shared" si="362"/>
        <v/>
      </c>
      <c r="BJ197" s="65">
        <f t="shared" si="363"/>
        <v>0</v>
      </c>
      <c r="BK197" s="65">
        <f t="shared" si="431"/>
        <v>0</v>
      </c>
      <c r="BL197" s="66" t="str">
        <f t="shared" si="364"/>
        <v/>
      </c>
      <c r="BM197" s="65" t="str">
        <f t="shared" si="365"/>
        <v/>
      </c>
      <c r="BN197" s="65" t="str">
        <f t="shared" si="366"/>
        <v/>
      </c>
      <c r="BO197" s="65" t="str">
        <f t="shared" si="367"/>
        <v/>
      </c>
      <c r="BP197" s="68" t="str">
        <f>IF('Marks Entry'!AG197="","",'Marks Entry'!AG197)</f>
        <v/>
      </c>
      <c r="BQ197" s="68" t="str">
        <f>IF('Marks Entry'!AH197="","",'Marks Entry'!AH197)</f>
        <v/>
      </c>
      <c r="BR197" s="68" t="str">
        <f>IF('Marks Entry'!AI197="","",'Marks Entry'!AI197)</f>
        <v/>
      </c>
      <c r="BS197" s="514" t="str">
        <f t="shared" si="368"/>
        <v/>
      </c>
      <c r="BT197" s="68" t="str">
        <f>IF('Marks Entry'!AJ197="","",'Marks Entry'!AJ197)</f>
        <v/>
      </c>
      <c r="BU197" s="515" t="str">
        <f t="shared" si="369"/>
        <v/>
      </c>
      <c r="BV197" s="68" t="str">
        <f>IF('Marks Entry'!AK197="","",'Marks Entry'!AK197)</f>
        <v/>
      </c>
      <c r="BW197" s="96" t="str">
        <f t="shared" si="370"/>
        <v/>
      </c>
      <c r="BX197" s="65">
        <f t="shared" si="371"/>
        <v>0</v>
      </c>
      <c r="BY197" s="65">
        <f t="shared" si="372"/>
        <v>0</v>
      </c>
      <c r="BZ197" s="66" t="str">
        <f t="shared" si="373"/>
        <v/>
      </c>
      <c r="CA197" s="65" t="str">
        <f t="shared" si="374"/>
        <v/>
      </c>
      <c r="CB197" s="65" t="str">
        <f t="shared" si="375"/>
        <v/>
      </c>
      <c r="CC197" s="65" t="str">
        <f t="shared" si="376"/>
        <v/>
      </c>
      <c r="CD197" s="66">
        <f t="shared" si="497"/>
        <v>0</v>
      </c>
      <c r="CE197" s="68" t="str">
        <f>IF('Marks Entry'!AL197="","",'Marks Entry'!AL197)</f>
        <v/>
      </c>
      <c r="CF197" s="68" t="str">
        <f>IF('Marks Entry'!AM197="","",'Marks Entry'!AM197)</f>
        <v/>
      </c>
      <c r="CG197" s="68" t="str">
        <f>IF('Marks Entry'!AN197="","",'Marks Entry'!AN197)</f>
        <v/>
      </c>
      <c r="CH197" s="514" t="str">
        <f t="shared" si="378"/>
        <v/>
      </c>
      <c r="CI197" s="68" t="str">
        <f>IF('Marks Entry'!AO197="","",'Marks Entry'!AO197)</f>
        <v/>
      </c>
      <c r="CJ197" s="515" t="str">
        <f t="shared" si="379"/>
        <v/>
      </c>
      <c r="CK197" s="68" t="str">
        <f>IF('Marks Entry'!AP197="","",'Marks Entry'!AP197)</f>
        <v/>
      </c>
      <c r="CL197" s="96" t="str">
        <f t="shared" si="380"/>
        <v/>
      </c>
      <c r="CM197" s="65">
        <f t="shared" si="381"/>
        <v>0</v>
      </c>
      <c r="CN197" s="65">
        <f t="shared" si="382"/>
        <v>0</v>
      </c>
      <c r="CO197" s="66" t="str">
        <f t="shared" si="383"/>
        <v/>
      </c>
      <c r="CP197" s="65" t="str">
        <f t="shared" si="384"/>
        <v/>
      </c>
      <c r="CQ197" s="65" t="str">
        <f t="shared" si="385"/>
        <v/>
      </c>
      <c r="CR197" s="65" t="str">
        <f t="shared" si="386"/>
        <v/>
      </c>
      <c r="CS197" s="616" t="str">
        <f>IF('School Profile'!$D$20="NO","",IF('Marks Entry'!AQ197="","",IF('Marks Entry'!AQ197=1,'School Profile'!$I$29,IF('Marks Entry'!AQ197=2,'School Profile'!$I$30,IF('Marks Entry'!AQ197=3,'School Profile'!$I$31,IF('Marks Entry'!AQ197=4,'School Profile'!$I$32,IF('Marks Entry'!AQ197=5,'School Profile'!$I$33,IF('Marks Entry'!AQ197=6,'School Profile'!$I$34,IF('Marks Entry'!AQ197=7,'School Profile'!$I$35,IF('Marks Entry'!AQ197=8,'School Profile'!$I$36,IF('Marks Entry'!AQ197=9,'School Profile'!$I$37,IF('Marks Entry'!AQ197=10,'School Profile'!$I$38,IF('Marks Entry'!AQ197=11,'School Profile'!$I$39,"")))))))))))))</f>
        <v/>
      </c>
      <c r="CT197" s="68" t="str">
        <f>IF('School Profile'!$D$20="NO","",IF('Marks Entry'!AR197="","",'Marks Entry'!AR197))</f>
        <v/>
      </c>
      <c r="CU197" s="68" t="str">
        <f>IF('School Profile'!$D$20="NO","",IF('Marks Entry'!AS197="","",'Marks Entry'!AS197))</f>
        <v/>
      </c>
      <c r="CV197" s="68" t="str">
        <f>IF('School Profile'!$D$20="NO","",IF('Marks Entry'!AT197="","",'Marks Entry'!AT197))</f>
        <v/>
      </c>
      <c r="CW197" s="514" t="str">
        <f>IF('School Profile'!$D$20="NO","",IF(AND(CT197="",CU197="",CV197=""),"",SUM(CT197:CV197)))</f>
        <v/>
      </c>
      <c r="CX197" s="68" t="str">
        <f>IF('School Profile'!$D$20="NO","",IF('Marks Entry'!AU197="","",'Marks Entry'!AU197))</f>
        <v/>
      </c>
      <c r="CY197" s="68" t="str">
        <f>IF('School Profile'!$D$20="NO","",IF('Marks Entry'!AV197="","",'Marks Entry'!AV197))</f>
        <v/>
      </c>
      <c r="CZ197" s="515" t="str">
        <f>IF('School Profile'!$D$20="NO","",IF(AND(CX197="",CY197=""),"",SUM(CX197,CY197)))</f>
        <v/>
      </c>
      <c r="DA197" s="69" t="str">
        <f>IF('School Profile'!$D$20="NO","",IF(AND(CW197="",CZ197=""),"",SUM(CW197+CZ197)))</f>
        <v/>
      </c>
      <c r="DB197" s="68" t="str">
        <f>IF('School Profile'!$D$20="NO","",IF('Marks Entry'!AW197="","",'Marks Entry'!AW197))</f>
        <v/>
      </c>
      <c r="DC197" s="68" t="str">
        <f>IF('School Profile'!$D$20="NO","",IF('Marks Entry'!AX197="","",'Marks Entry'!AX197))</f>
        <v/>
      </c>
      <c r="DD197" s="515" t="str">
        <f>IF('School Profile'!$D$20="NO","",IF(AND(DB197="",DC197=""),"",SUM(DB197,DC197)))</f>
        <v/>
      </c>
      <c r="DE197" s="96" t="str">
        <f>IF('School Profile'!$D$20="NO","",IF(AND(DA197="",DD197=""),"",SUM(DA197,DD197)))</f>
        <v/>
      </c>
      <c r="DF197" s="532">
        <f t="shared" si="387"/>
        <v>0</v>
      </c>
      <c r="DG197" s="65">
        <f t="shared" si="388"/>
        <v>0</v>
      </c>
      <c r="DH197" s="66" t="str">
        <f t="shared" si="389"/>
        <v/>
      </c>
      <c r="DI197" s="65" t="str">
        <f t="shared" si="390"/>
        <v/>
      </c>
      <c r="DJ197" s="65" t="str">
        <f t="shared" si="391"/>
        <v/>
      </c>
      <c r="DK197" s="65" t="str">
        <f t="shared" si="392"/>
        <v/>
      </c>
      <c r="DL197" s="97" t="str">
        <f t="shared" si="432"/>
        <v/>
      </c>
      <c r="DM197" s="97" t="str">
        <f t="shared" si="433"/>
        <v/>
      </c>
      <c r="DN197" s="97" t="str">
        <f t="shared" si="434"/>
        <v/>
      </c>
      <c r="DO197" s="97" t="str">
        <f t="shared" si="435"/>
        <v/>
      </c>
      <c r="DP197" s="97" t="str">
        <f t="shared" si="436"/>
        <v/>
      </c>
      <c r="DQ197" s="97" t="str">
        <f t="shared" si="437"/>
        <v/>
      </c>
      <c r="DR197" s="97" t="str">
        <f t="shared" si="438"/>
        <v/>
      </c>
      <c r="DS197" s="98">
        <f t="shared" si="439"/>
        <v>0</v>
      </c>
      <c r="DT197" s="98">
        <f t="shared" si="440"/>
        <v>0</v>
      </c>
      <c r="DU197" s="98">
        <f t="shared" si="441"/>
        <v>0</v>
      </c>
      <c r="DV197" s="98">
        <f t="shared" si="442"/>
        <v>0</v>
      </c>
      <c r="DW197" s="98">
        <f t="shared" si="443"/>
        <v>0</v>
      </c>
      <c r="DX197" s="98" t="str">
        <f t="shared" si="444"/>
        <v/>
      </c>
      <c r="DY197" s="99" t="str">
        <f t="shared" si="445"/>
        <v/>
      </c>
      <c r="DZ197" s="74" t="str">
        <f>IF('Marks Entry'!AY197="","",'Marks Entry'!AY197)</f>
        <v/>
      </c>
      <c r="EA197" s="74" t="str">
        <f>IF('Marks Entry'!AZ197="","",'Marks Entry'!AZ197)</f>
        <v/>
      </c>
      <c r="EB197" s="74" t="str">
        <f>IF('Marks Entry'!BA197="","",'Marks Entry'!BA197)</f>
        <v/>
      </c>
      <c r="EC197" s="527" t="str">
        <f t="shared" si="393"/>
        <v/>
      </c>
      <c r="ED197" s="74" t="str">
        <f>IF('Marks Entry'!BB197="","",'Marks Entry'!BB197)</f>
        <v/>
      </c>
      <c r="EE197" s="528" t="str">
        <f t="shared" si="394"/>
        <v/>
      </c>
      <c r="EF197" s="74" t="str">
        <f>IF('Marks Entry'!BC197="","",'Marks Entry'!BC197)</f>
        <v/>
      </c>
      <c r="EG197" s="530" t="str">
        <f t="shared" si="395"/>
        <v/>
      </c>
      <c r="EH197" s="368" t="str">
        <f t="shared" si="446"/>
        <v/>
      </c>
      <c r="EI197" s="65">
        <f t="shared" si="447"/>
        <v>0</v>
      </c>
      <c r="EJ197" s="65">
        <f t="shared" si="448"/>
        <v>0</v>
      </c>
      <c r="EK197" s="66" t="str">
        <f t="shared" si="449"/>
        <v/>
      </c>
      <c r="EL197" s="74" t="str">
        <f>IF('Marks Entry'!BD197="","",'Marks Entry'!BD197)</f>
        <v/>
      </c>
      <c r="EM197" s="74" t="str">
        <f>IF('Marks Entry'!BE197="","",'Marks Entry'!BE197)</f>
        <v/>
      </c>
      <c r="EN197" s="74" t="str">
        <f>IF('Marks Entry'!BF197="","",'Marks Entry'!BF197)</f>
        <v/>
      </c>
      <c r="EO197" s="527" t="str">
        <f t="shared" si="396"/>
        <v/>
      </c>
      <c r="EP197" s="74" t="str">
        <f>IF('Marks Entry'!BG197="","",'Marks Entry'!BG197)</f>
        <v/>
      </c>
      <c r="EQ197" s="74" t="str">
        <f>IF('Marks Entry'!BH197="","",'Marks Entry'!BH197)</f>
        <v/>
      </c>
      <c r="ER197" s="528" t="str">
        <f t="shared" si="397"/>
        <v/>
      </c>
      <c r="ES197" s="529" t="str">
        <f t="shared" si="398"/>
        <v/>
      </c>
      <c r="ET197" s="74" t="str">
        <f>IF('Marks Entry'!BI197="","",'Marks Entry'!BI197)</f>
        <v/>
      </c>
      <c r="EU197" s="74" t="str">
        <f>IF('Marks Entry'!BJ197="","",'Marks Entry'!BJ197)</f>
        <v/>
      </c>
      <c r="EV197" s="528" t="str">
        <f t="shared" si="399"/>
        <v/>
      </c>
      <c r="EW197" s="530" t="str">
        <f t="shared" si="400"/>
        <v/>
      </c>
      <c r="EX197" s="368" t="str">
        <f t="shared" si="450"/>
        <v/>
      </c>
      <c r="EY197" s="65">
        <f t="shared" si="451"/>
        <v>0</v>
      </c>
      <c r="EZ197" s="65">
        <f t="shared" si="452"/>
        <v>0</v>
      </c>
      <c r="FA197" s="66" t="str">
        <f t="shared" si="453"/>
        <v/>
      </c>
      <c r="FB197" s="74" t="str">
        <f>IF('Marks Entry'!BK197="","",'Marks Entry'!BK197)</f>
        <v/>
      </c>
      <c r="FC197" s="74" t="str">
        <f>IF('Marks Entry'!BL197="","",'Marks Entry'!BL197)</f>
        <v/>
      </c>
      <c r="FD197" s="74" t="str">
        <f>IF('Marks Entry'!BM197="","",'Marks Entry'!BM197)</f>
        <v/>
      </c>
      <c r="FE197" s="74" t="str">
        <f>IF('Marks Entry'!BN197="","",'Marks Entry'!BN197)</f>
        <v/>
      </c>
      <c r="FF197" s="74" t="str">
        <f>IF('Marks Entry'!BO197="","",'Marks Entry'!BO197)</f>
        <v/>
      </c>
      <c r="FG197" s="74" t="str">
        <f>IF('Marks Entry'!BP197="","",'Marks Entry'!BP197)</f>
        <v/>
      </c>
      <c r="FH197" s="527" t="str">
        <f t="shared" si="401"/>
        <v/>
      </c>
      <c r="FI197" s="74" t="str">
        <f>IF('Marks Entry'!BQ197="","",'Marks Entry'!BQ197)</f>
        <v/>
      </c>
      <c r="FJ197" s="74" t="str">
        <f>IF('Marks Entry'!BR197="","",'Marks Entry'!BR197)</f>
        <v/>
      </c>
      <c r="FK197" s="528" t="str">
        <f t="shared" si="402"/>
        <v/>
      </c>
      <c r="FL197" s="529" t="str">
        <f t="shared" si="403"/>
        <v/>
      </c>
      <c r="FM197" s="74" t="str">
        <f>IF('Marks Entry'!BS197="","",'Marks Entry'!BS197)</f>
        <v/>
      </c>
      <c r="FN197" s="74" t="str">
        <f>IF('Marks Entry'!BT197="","",'Marks Entry'!BT197)</f>
        <v/>
      </c>
      <c r="FO197" s="528" t="str">
        <f t="shared" si="404"/>
        <v/>
      </c>
      <c r="FP197" s="530" t="str">
        <f t="shared" si="405"/>
        <v/>
      </c>
      <c r="FQ197" s="368" t="str">
        <f t="shared" si="454"/>
        <v/>
      </c>
      <c r="FR197" s="65">
        <f t="shared" si="455"/>
        <v>0</v>
      </c>
      <c r="FS197" s="65">
        <f t="shared" si="456"/>
        <v>0</v>
      </c>
      <c r="FT197" s="66" t="str">
        <f t="shared" si="457"/>
        <v/>
      </c>
      <c r="FU197" s="74" t="str">
        <f>IF('Marks Entry'!BU197="","",'Marks Entry'!BU197)</f>
        <v/>
      </c>
      <c r="FV197" s="74" t="str">
        <f>IF('Marks Entry'!BV197="","",'Marks Entry'!BV197)</f>
        <v/>
      </c>
      <c r="FW197" s="74" t="str">
        <f>IF('Marks Entry'!BW197="","",'Marks Entry'!BW197)</f>
        <v/>
      </c>
      <c r="FX197" s="75" t="str">
        <f t="shared" si="406"/>
        <v/>
      </c>
      <c r="FY197" s="368" t="str">
        <f t="shared" si="458"/>
        <v/>
      </c>
      <c r="FZ197" s="65">
        <f t="shared" si="459"/>
        <v>0</v>
      </c>
      <c r="GA197" s="66">
        <f t="shared" si="460"/>
        <v>0</v>
      </c>
      <c r="GB197" s="66" t="str">
        <f t="shared" si="461"/>
        <v/>
      </c>
      <c r="GC197" s="74" t="str">
        <f>IF('Marks Entry'!BX197="","",'Marks Entry'!BX197)</f>
        <v/>
      </c>
      <c r="GD197" s="74" t="str">
        <f>IF('Marks Entry'!BY197="","",'Marks Entry'!BY197)</f>
        <v/>
      </c>
      <c r="GE197" s="74" t="str">
        <f>IF('Marks Entry'!BZ197="","",'Marks Entry'!BZ197)</f>
        <v/>
      </c>
      <c r="GF197" s="75" t="str">
        <f t="shared" si="462"/>
        <v/>
      </c>
      <c r="GG197" s="368" t="str">
        <f t="shared" si="463"/>
        <v/>
      </c>
      <c r="GH197" s="65">
        <f t="shared" si="464"/>
        <v>0</v>
      </c>
      <c r="GI197" s="66">
        <f t="shared" si="465"/>
        <v>0</v>
      </c>
      <c r="GJ197" s="66" t="str">
        <f t="shared" si="466"/>
        <v/>
      </c>
      <c r="GK197" s="100" t="str">
        <f>IF(AND(F197="",B197=""),"",IF('Student DATA Entry'!M194="","",'Student DATA Entry'!M194))</f>
        <v/>
      </c>
      <c r="GL197" s="101" t="str">
        <f>IF(AND(B197="",F197=""),"",IF('Student DATA Entry'!N194="","",'Student DATA Entry'!N194))</f>
        <v/>
      </c>
      <c r="GM197" s="581" t="str">
        <f t="shared" si="467"/>
        <v/>
      </c>
      <c r="GN197" s="94" t="str">
        <f t="shared" si="468"/>
        <v/>
      </c>
      <c r="GO197" s="94" t="str">
        <f t="shared" si="469"/>
        <v/>
      </c>
      <c r="GP197" s="102" t="str">
        <f t="shared" si="498"/>
        <v/>
      </c>
      <c r="GQ197" s="94" t="str">
        <f t="shared" si="470"/>
        <v/>
      </c>
      <c r="GR197" s="103" t="str">
        <f t="shared" si="471"/>
        <v/>
      </c>
      <c r="GS197" s="102" t="str">
        <f t="shared" si="499"/>
        <v/>
      </c>
      <c r="GT197" s="104" t="str">
        <f t="shared" si="472"/>
        <v/>
      </c>
      <c r="GU197" s="94" t="str">
        <f>IF('Marks Entry'!V197=1,GT197,"")</f>
        <v/>
      </c>
      <c r="GV197" s="94" t="str">
        <f>IF('Marks Entry'!V197=2,GT197,"")</f>
        <v/>
      </c>
      <c r="GW197" s="94" t="str">
        <f>IF('Marks Entry'!V197=3,GT197,"")</f>
        <v/>
      </c>
      <c r="GX197" s="94" t="str">
        <f>IF('Marks Entry'!V197=4,GT197,"")</f>
        <v/>
      </c>
      <c r="GY197" s="94" t="str">
        <f>IF('Marks Entry'!V197=5,GT197,"")</f>
        <v/>
      </c>
      <c r="GZ197" s="94" t="str">
        <f t="shared" si="473"/>
        <v/>
      </c>
      <c r="HA197" s="105" t="str">
        <f t="shared" si="500"/>
        <v/>
      </c>
      <c r="HB197" s="94" t="str">
        <f t="shared" si="474"/>
        <v/>
      </c>
      <c r="HC197" s="94" t="str">
        <f t="shared" si="475"/>
        <v/>
      </c>
      <c r="HD197" s="105" t="str">
        <f t="shared" si="501"/>
        <v/>
      </c>
      <c r="HE197" s="94" t="str">
        <f t="shared" si="476"/>
        <v/>
      </c>
      <c r="HF197" s="94" t="str">
        <f t="shared" si="477"/>
        <v/>
      </c>
      <c r="HG197" s="105" t="str">
        <f t="shared" si="502"/>
        <v/>
      </c>
      <c r="HH197" s="94" t="str">
        <f t="shared" si="478"/>
        <v/>
      </c>
      <c r="HI197" s="94" t="str">
        <f t="shared" si="479"/>
        <v/>
      </c>
      <c r="HJ197" s="105" t="str">
        <f t="shared" si="503"/>
        <v/>
      </c>
      <c r="HK197" s="94" t="str">
        <f t="shared" si="480"/>
        <v/>
      </c>
      <c r="HL197" s="94" t="str">
        <f t="shared" si="481"/>
        <v/>
      </c>
      <c r="HM197" s="105" t="str">
        <f t="shared" si="504"/>
        <v/>
      </c>
      <c r="HN197" s="367" t="str">
        <f t="shared" si="482"/>
        <v xml:space="preserve">      </v>
      </c>
      <c r="HO197" s="418" t="str">
        <f t="shared" si="505"/>
        <v xml:space="preserve">      </v>
      </c>
      <c r="HP197" s="367" t="str">
        <f t="shared" si="483"/>
        <v xml:space="preserve">      </v>
      </c>
      <c r="HQ197" s="107" t="str">
        <f t="shared" si="484"/>
        <v xml:space="preserve">      </v>
      </c>
      <c r="HR197" s="366" t="str">
        <f t="shared" si="485"/>
        <v xml:space="preserve">      </v>
      </c>
      <c r="HS197" s="544" t="str">
        <f t="shared" si="506"/>
        <v/>
      </c>
      <c r="HT197" s="542" t="str">
        <f t="shared" si="486"/>
        <v/>
      </c>
      <c r="HU197" s="541" t="str">
        <f t="shared" si="487"/>
        <v/>
      </c>
      <c r="HV197" s="540" t="str">
        <f t="shared" si="488"/>
        <v/>
      </c>
      <c r="HW197" s="537" t="str">
        <f t="shared" si="489"/>
        <v/>
      </c>
      <c r="HX197" s="539" t="str">
        <f t="shared" si="490"/>
        <v/>
      </c>
      <c r="HY197" s="553" t="str">
        <f>IFERROR(IF(OR(HS197="SUPPLEMENTARY",HS197="RE-EXAM"),'Supp. Result Entry'!AQ195,""),"")</f>
        <v/>
      </c>
      <c r="HZ197" s="538" t="str">
        <f t="shared" si="491"/>
        <v/>
      </c>
      <c r="IA197" s="415" t="str">
        <f t="shared" si="492"/>
        <v/>
      </c>
      <c r="IB197" s="415" t="str">
        <f>IF(AND(HZ197="",IA197=""),"",IF(OR(HS197="SUPPLEMENTARY",HS197="RE-EXAM"),'Supp. Result Entry'!AQ195,HS197))</f>
        <v/>
      </c>
      <c r="IC197" s="87"/>
      <c r="IS197" s="109" t="str">
        <f>IF('Supp. Result Entry'!T195="","",'Supp. Result Entry'!$T$4)</f>
        <v/>
      </c>
      <c r="IT197" s="110" t="str">
        <f>IF('Supp. Result Entry'!W195="","",'Supp. Result Entry'!$W$4)</f>
        <v/>
      </c>
      <c r="IU197" s="110" t="str">
        <f>IF('Supp. Result Entry'!Z195="","",'Supp. Result Entry'!$Z$4)</f>
        <v/>
      </c>
      <c r="IV197" s="110" t="str">
        <f>IF('Supp. Result Entry'!AC195="","",'Supp. Result Entry'!$AC$4)</f>
        <v/>
      </c>
      <c r="IW197" s="110" t="str">
        <f>IF('Supp. Result Entry'!AF195="","",'Supp. Result Entry'!$AF$4)</f>
        <v/>
      </c>
      <c r="IX197" s="110" t="str">
        <f>IF('Supp. Result Entry'!AI195="","",'Supp. Result Entry'!$AI$4)</f>
        <v/>
      </c>
      <c r="IY197" s="110" t="str">
        <f>IF('Supp. Result Entry'!AI195="","",'Supp. Result Entry'!$AL$4)</f>
        <v/>
      </c>
      <c r="IZ197" s="110" t="str">
        <f>IF('Supp. Result Entry'!U195="","",'Supp. Result Entry'!U195)</f>
        <v/>
      </c>
      <c r="JA197" s="110" t="str">
        <f>IF('Supp. Result Entry'!X195="","",'Supp. Result Entry'!X195)</f>
        <v/>
      </c>
      <c r="JB197" s="110" t="str">
        <f>IF('Supp. Result Entry'!AA195="","",'Supp. Result Entry'!AA195)</f>
        <v/>
      </c>
      <c r="JC197" s="110" t="str">
        <f>IF('Supp. Result Entry'!AD195="","",'Supp. Result Entry'!AD195)</f>
        <v/>
      </c>
      <c r="JD197" s="110" t="str">
        <f>IF('Supp. Result Entry'!AG195="","",'Supp. Result Entry'!AG195)</f>
        <v/>
      </c>
      <c r="JE197" s="110" t="str">
        <f>IF('Supp. Result Entry'!AJ195="","",'Supp. Result Entry'!AJ195)</f>
        <v/>
      </c>
      <c r="JF197" s="110" t="str">
        <f>IF('Supp. Result Entry'!AM195="","",'Supp. Result Entry'!AM195)</f>
        <v/>
      </c>
      <c r="JG197" s="110" t="str">
        <f>IF('Supp. Result Entry'!V195="","",'Supp. Result Entry'!V195)</f>
        <v/>
      </c>
      <c r="JH197" s="110" t="str">
        <f>IF('Supp. Result Entry'!Y195="","",'Supp. Result Entry'!Y195)</f>
        <v/>
      </c>
      <c r="JI197" s="110" t="str">
        <f>IF('Supp. Result Entry'!AB195="","",'Supp. Result Entry'!AB195)</f>
        <v/>
      </c>
      <c r="JJ197" s="110" t="str">
        <f>IF('Supp. Result Entry'!AE195="","",'Supp. Result Entry'!AE195)</f>
        <v/>
      </c>
      <c r="JK197" s="110" t="str">
        <f>IF('Supp. Result Entry'!AH195="","",'Supp. Result Entry'!AH195)</f>
        <v/>
      </c>
      <c r="JL197" s="110" t="str">
        <f>IF('Supp. Result Entry'!AK195="","",'Supp. Result Entry'!AK195)</f>
        <v/>
      </c>
      <c r="JM197" s="110" t="str">
        <f>IF('Supp. Result Entry'!AN195="","",'Supp. Result Entry'!AN195)</f>
        <v/>
      </c>
      <c r="JN197" s="110">
        <f>COUNTIF('Supp. Result Entry'!K195:Q195,"S")</f>
        <v>0</v>
      </c>
      <c r="JO197" s="110">
        <f t="shared" si="416"/>
        <v>0</v>
      </c>
      <c r="JP197" s="110">
        <f t="shared" si="493"/>
        <v>0</v>
      </c>
      <c r="JQ197" s="110" t="str">
        <f t="shared" si="417"/>
        <v/>
      </c>
      <c r="JR197" s="110" t="str">
        <f t="shared" si="418"/>
        <v/>
      </c>
      <c r="JS197" s="110" t="str">
        <f t="shared" si="419"/>
        <v/>
      </c>
      <c r="JT197" s="110" t="str">
        <f t="shared" si="420"/>
        <v/>
      </c>
      <c r="JU197" s="110" t="str">
        <f t="shared" si="421"/>
        <v/>
      </c>
      <c r="JV197" s="110" t="str">
        <f t="shared" si="422"/>
        <v/>
      </c>
      <c r="JW197" s="110" t="str">
        <f t="shared" si="423"/>
        <v/>
      </c>
      <c r="JX197" s="110" t="str">
        <f t="shared" si="494"/>
        <v/>
      </c>
      <c r="JY197" s="110" t="str">
        <f t="shared" si="495"/>
        <v/>
      </c>
      <c r="JZ197" s="110" t="str">
        <f t="shared" si="424"/>
        <v/>
      </c>
      <c r="KA197" s="108" t="str">
        <f t="shared" si="496"/>
        <v/>
      </c>
    </row>
    <row r="198" spans="1:287" s="108" customFormat="1" ht="21.95" customHeight="1">
      <c r="A198" s="89">
        <v>192</v>
      </c>
      <c r="B198" s="90" t="str">
        <f>IF('Marks Entry'!B198="","",'Marks Entry'!B198)</f>
        <v/>
      </c>
      <c r="C198" s="94" t="str">
        <f>IF('Marks Entry'!D198="","",'Marks Entry'!D198)</f>
        <v/>
      </c>
      <c r="D198" s="91" t="str">
        <f>IF('Marks Entry'!E198="","",'Marks Entry'!E198)</f>
        <v/>
      </c>
      <c r="E198" s="92" t="str">
        <f>IF('Marks Entry'!F198="","",'Marks Entry'!F198)</f>
        <v/>
      </c>
      <c r="F198" s="93" t="str">
        <f>IF('Marks Entry'!G198="","",'Marks Entry'!G198)</f>
        <v/>
      </c>
      <c r="G198" s="93" t="str">
        <f>IF('Marks Entry'!H198="","",'Marks Entry'!H198)</f>
        <v/>
      </c>
      <c r="H198" s="93" t="str">
        <f>IF('Marks Entry'!I198="","",'Marks Entry'!I198)</f>
        <v/>
      </c>
      <c r="I198" s="94" t="str">
        <f>IF('Marks Entry'!J198="","",'Marks Entry'!J198)</f>
        <v/>
      </c>
      <c r="J198" s="95" t="str">
        <f>IF('Marks Entry'!K198="","",'Marks Entry'!K198)</f>
        <v/>
      </c>
      <c r="K198" s="68" t="str">
        <f>IF('Marks Entry'!L198="","",'Marks Entry'!L198)</f>
        <v/>
      </c>
      <c r="L198" s="68" t="str">
        <f>IF('Marks Entry'!M198="","",'Marks Entry'!M198)</f>
        <v/>
      </c>
      <c r="M198" s="68" t="str">
        <f>IF('Marks Entry'!N198="","",'Marks Entry'!N198)</f>
        <v/>
      </c>
      <c r="N198" s="514" t="str">
        <f t="shared" si="425"/>
        <v/>
      </c>
      <c r="O198" s="68" t="str">
        <f>IF('Marks Entry'!O198="","",'Marks Entry'!O198)</f>
        <v/>
      </c>
      <c r="P198" s="515" t="str">
        <f t="shared" si="426"/>
        <v/>
      </c>
      <c r="Q198" s="68" t="str">
        <f>IF('Marks Entry'!P198="","",'Marks Entry'!P198)</f>
        <v/>
      </c>
      <c r="R198" s="96" t="str">
        <f t="shared" si="427"/>
        <v/>
      </c>
      <c r="S198" s="65">
        <f t="shared" si="428"/>
        <v>0</v>
      </c>
      <c r="T198" s="65">
        <f t="shared" si="429"/>
        <v>0</v>
      </c>
      <c r="U198" s="66" t="str">
        <f t="shared" si="339"/>
        <v/>
      </c>
      <c r="V198" s="65" t="str">
        <f t="shared" si="340"/>
        <v/>
      </c>
      <c r="W198" s="65" t="str">
        <f t="shared" si="430"/>
        <v/>
      </c>
      <c r="X198" s="65" t="str">
        <f t="shared" si="341"/>
        <v/>
      </c>
      <c r="Y198" s="68" t="str">
        <f>IF('Marks Entry'!Q198="","",'Marks Entry'!Q198)</f>
        <v/>
      </c>
      <c r="Z198" s="68" t="str">
        <f>IF('Marks Entry'!R198="","",'Marks Entry'!R198)</f>
        <v/>
      </c>
      <c r="AA198" s="68" t="str">
        <f>IF('Marks Entry'!S198="","",'Marks Entry'!S198)</f>
        <v/>
      </c>
      <c r="AB198" s="514" t="str">
        <f t="shared" si="342"/>
        <v/>
      </c>
      <c r="AC198" s="68" t="str">
        <f>IF('Marks Entry'!T198="","",'Marks Entry'!T198)</f>
        <v/>
      </c>
      <c r="AD198" s="515" t="str">
        <f t="shared" si="343"/>
        <v/>
      </c>
      <c r="AE198" s="68" t="str">
        <f>IF('Marks Entry'!U198="","",'Marks Entry'!U198)</f>
        <v/>
      </c>
      <c r="AF198" s="96" t="str">
        <f t="shared" si="344"/>
        <v/>
      </c>
      <c r="AG198" s="65">
        <f t="shared" si="345"/>
        <v>0</v>
      </c>
      <c r="AH198" s="65">
        <f t="shared" si="346"/>
        <v>0</v>
      </c>
      <c r="AI198" s="66" t="str">
        <f t="shared" si="347"/>
        <v/>
      </c>
      <c r="AJ198" s="65" t="str">
        <f t="shared" si="348"/>
        <v/>
      </c>
      <c r="AK198" s="65" t="str">
        <f t="shared" si="349"/>
        <v/>
      </c>
      <c r="AL198" s="65" t="str">
        <f t="shared" si="350"/>
        <v/>
      </c>
      <c r="AM198" s="524" t="str">
        <f>IF('Marks Entry'!V198="","",IF('Marks Entry'!V198=1,'School Profile'!$I$9,IF('Marks Entry'!V198=2,'School Profile'!$I$10,IF('Marks Entry'!V198=3,'School Profile'!$I$11,IF('Marks Entry'!V198=4,'School Profile'!$I$12,IF('Marks Entry'!V198=5,'School Profile'!$I$13,IF('Marks Entry'!V198=6,'School Profile'!$I$14,"")))))))</f>
        <v/>
      </c>
      <c r="AN198" s="68" t="str">
        <f>IF('Marks Entry'!W198="","",'Marks Entry'!W198)</f>
        <v/>
      </c>
      <c r="AO198" s="68" t="str">
        <f>IF('Marks Entry'!X198="","",'Marks Entry'!X198)</f>
        <v/>
      </c>
      <c r="AP198" s="68" t="str">
        <f>IF('Marks Entry'!Y198="","",'Marks Entry'!Y198)</f>
        <v/>
      </c>
      <c r="AQ198" s="514" t="str">
        <f t="shared" si="351"/>
        <v/>
      </c>
      <c r="AR198" s="68" t="str">
        <f>IF('Marks Entry'!Z198="","",'Marks Entry'!Z198)</f>
        <v/>
      </c>
      <c r="AS198" s="515" t="str">
        <f t="shared" si="352"/>
        <v/>
      </c>
      <c r="AT198" s="68" t="str">
        <f>IF('Marks Entry'!AA198="","",'Marks Entry'!AA198)</f>
        <v/>
      </c>
      <c r="AU198" s="96" t="str">
        <f t="shared" si="353"/>
        <v/>
      </c>
      <c r="AV198" s="65">
        <f t="shared" si="354"/>
        <v>0</v>
      </c>
      <c r="AW198" s="65">
        <f t="shared" si="355"/>
        <v>0</v>
      </c>
      <c r="AX198" s="66" t="str">
        <f t="shared" si="356"/>
        <v/>
      </c>
      <c r="AY198" s="65" t="str">
        <f t="shared" si="357"/>
        <v/>
      </c>
      <c r="AZ198" s="65" t="str">
        <f t="shared" si="358"/>
        <v/>
      </c>
      <c r="BA198" s="65" t="str">
        <f t="shared" si="359"/>
        <v/>
      </c>
      <c r="BB198" s="68" t="str">
        <f>IF('Marks Entry'!AB198="","",'Marks Entry'!AB198)</f>
        <v/>
      </c>
      <c r="BC198" s="68" t="str">
        <f>IF('Marks Entry'!AC198="","",'Marks Entry'!AC198)</f>
        <v/>
      </c>
      <c r="BD198" s="68" t="str">
        <f>IF('Marks Entry'!AD198="","",'Marks Entry'!AD198)</f>
        <v/>
      </c>
      <c r="BE198" s="514" t="str">
        <f t="shared" si="360"/>
        <v/>
      </c>
      <c r="BF198" s="68" t="str">
        <f>IF('Marks Entry'!AE198="","",'Marks Entry'!AE198)</f>
        <v/>
      </c>
      <c r="BG198" s="515" t="str">
        <f t="shared" si="361"/>
        <v/>
      </c>
      <c r="BH198" s="68" t="str">
        <f>IF('Marks Entry'!AF198="","",'Marks Entry'!AF198)</f>
        <v/>
      </c>
      <c r="BI198" s="96" t="str">
        <f t="shared" si="362"/>
        <v/>
      </c>
      <c r="BJ198" s="65">
        <f t="shared" si="363"/>
        <v>0</v>
      </c>
      <c r="BK198" s="65">
        <f t="shared" si="431"/>
        <v>0</v>
      </c>
      <c r="BL198" s="66" t="str">
        <f t="shared" si="364"/>
        <v/>
      </c>
      <c r="BM198" s="65" t="str">
        <f t="shared" si="365"/>
        <v/>
      </c>
      <c r="BN198" s="65" t="str">
        <f t="shared" si="366"/>
        <v/>
      </c>
      <c r="BO198" s="65" t="str">
        <f t="shared" si="367"/>
        <v/>
      </c>
      <c r="BP198" s="68" t="str">
        <f>IF('Marks Entry'!AG198="","",'Marks Entry'!AG198)</f>
        <v/>
      </c>
      <c r="BQ198" s="68" t="str">
        <f>IF('Marks Entry'!AH198="","",'Marks Entry'!AH198)</f>
        <v/>
      </c>
      <c r="BR198" s="68" t="str">
        <f>IF('Marks Entry'!AI198="","",'Marks Entry'!AI198)</f>
        <v/>
      </c>
      <c r="BS198" s="514" t="str">
        <f t="shared" si="368"/>
        <v/>
      </c>
      <c r="BT198" s="68" t="str">
        <f>IF('Marks Entry'!AJ198="","",'Marks Entry'!AJ198)</f>
        <v/>
      </c>
      <c r="BU198" s="515" t="str">
        <f t="shared" si="369"/>
        <v/>
      </c>
      <c r="BV198" s="68" t="str">
        <f>IF('Marks Entry'!AK198="","",'Marks Entry'!AK198)</f>
        <v/>
      </c>
      <c r="BW198" s="96" t="str">
        <f t="shared" si="370"/>
        <v/>
      </c>
      <c r="BX198" s="65">
        <f t="shared" si="371"/>
        <v>0</v>
      </c>
      <c r="BY198" s="65">
        <f t="shared" si="372"/>
        <v>0</v>
      </c>
      <c r="BZ198" s="66" t="str">
        <f t="shared" si="373"/>
        <v/>
      </c>
      <c r="CA198" s="65" t="str">
        <f t="shared" si="374"/>
        <v/>
      </c>
      <c r="CB198" s="65" t="str">
        <f t="shared" si="375"/>
        <v/>
      </c>
      <c r="CC198" s="65" t="str">
        <f t="shared" si="376"/>
        <v/>
      </c>
      <c r="CD198" s="66">
        <f t="shared" si="497"/>
        <v>0</v>
      </c>
      <c r="CE198" s="68" t="str">
        <f>IF('Marks Entry'!AL198="","",'Marks Entry'!AL198)</f>
        <v/>
      </c>
      <c r="CF198" s="68" t="str">
        <f>IF('Marks Entry'!AM198="","",'Marks Entry'!AM198)</f>
        <v/>
      </c>
      <c r="CG198" s="68" t="str">
        <f>IF('Marks Entry'!AN198="","",'Marks Entry'!AN198)</f>
        <v/>
      </c>
      <c r="CH198" s="514" t="str">
        <f t="shared" si="378"/>
        <v/>
      </c>
      <c r="CI198" s="68" t="str">
        <f>IF('Marks Entry'!AO198="","",'Marks Entry'!AO198)</f>
        <v/>
      </c>
      <c r="CJ198" s="515" t="str">
        <f t="shared" si="379"/>
        <v/>
      </c>
      <c r="CK198" s="68" t="str">
        <f>IF('Marks Entry'!AP198="","",'Marks Entry'!AP198)</f>
        <v/>
      </c>
      <c r="CL198" s="96" t="str">
        <f t="shared" si="380"/>
        <v/>
      </c>
      <c r="CM198" s="65">
        <f t="shared" si="381"/>
        <v>0</v>
      </c>
      <c r="CN198" s="65">
        <f t="shared" si="382"/>
        <v>0</v>
      </c>
      <c r="CO198" s="66" t="str">
        <f t="shared" si="383"/>
        <v/>
      </c>
      <c r="CP198" s="65" t="str">
        <f t="shared" si="384"/>
        <v/>
      </c>
      <c r="CQ198" s="65" t="str">
        <f t="shared" si="385"/>
        <v/>
      </c>
      <c r="CR198" s="65" t="str">
        <f t="shared" si="386"/>
        <v/>
      </c>
      <c r="CS198" s="616" t="str">
        <f>IF('School Profile'!$D$20="NO","",IF('Marks Entry'!AQ198="","",IF('Marks Entry'!AQ198=1,'School Profile'!$I$29,IF('Marks Entry'!AQ198=2,'School Profile'!$I$30,IF('Marks Entry'!AQ198=3,'School Profile'!$I$31,IF('Marks Entry'!AQ198=4,'School Profile'!$I$32,IF('Marks Entry'!AQ198=5,'School Profile'!$I$33,IF('Marks Entry'!AQ198=6,'School Profile'!$I$34,IF('Marks Entry'!AQ198=7,'School Profile'!$I$35,IF('Marks Entry'!AQ198=8,'School Profile'!$I$36,IF('Marks Entry'!AQ198=9,'School Profile'!$I$37,IF('Marks Entry'!AQ198=10,'School Profile'!$I$38,IF('Marks Entry'!AQ198=11,'School Profile'!$I$39,"")))))))))))))</f>
        <v/>
      </c>
      <c r="CT198" s="68" t="str">
        <f>IF('School Profile'!$D$20="NO","",IF('Marks Entry'!AR198="","",'Marks Entry'!AR198))</f>
        <v/>
      </c>
      <c r="CU198" s="68" t="str">
        <f>IF('School Profile'!$D$20="NO","",IF('Marks Entry'!AS198="","",'Marks Entry'!AS198))</f>
        <v/>
      </c>
      <c r="CV198" s="68" t="str">
        <f>IF('School Profile'!$D$20="NO","",IF('Marks Entry'!AT198="","",'Marks Entry'!AT198))</f>
        <v/>
      </c>
      <c r="CW198" s="514" t="str">
        <f>IF('School Profile'!$D$20="NO","",IF(AND(CT198="",CU198="",CV198=""),"",SUM(CT198:CV198)))</f>
        <v/>
      </c>
      <c r="CX198" s="68" t="str">
        <f>IF('School Profile'!$D$20="NO","",IF('Marks Entry'!AU198="","",'Marks Entry'!AU198))</f>
        <v/>
      </c>
      <c r="CY198" s="68" t="str">
        <f>IF('School Profile'!$D$20="NO","",IF('Marks Entry'!AV198="","",'Marks Entry'!AV198))</f>
        <v/>
      </c>
      <c r="CZ198" s="515" t="str">
        <f>IF('School Profile'!$D$20="NO","",IF(AND(CX198="",CY198=""),"",SUM(CX198,CY198)))</f>
        <v/>
      </c>
      <c r="DA198" s="69" t="str">
        <f>IF('School Profile'!$D$20="NO","",IF(AND(CW198="",CZ198=""),"",SUM(CW198+CZ198)))</f>
        <v/>
      </c>
      <c r="DB198" s="68" t="str">
        <f>IF('School Profile'!$D$20="NO","",IF('Marks Entry'!AW198="","",'Marks Entry'!AW198))</f>
        <v/>
      </c>
      <c r="DC198" s="68" t="str">
        <f>IF('School Profile'!$D$20="NO","",IF('Marks Entry'!AX198="","",'Marks Entry'!AX198))</f>
        <v/>
      </c>
      <c r="DD198" s="515" t="str">
        <f>IF('School Profile'!$D$20="NO","",IF(AND(DB198="",DC198=""),"",SUM(DB198,DC198)))</f>
        <v/>
      </c>
      <c r="DE198" s="96" t="str">
        <f>IF('School Profile'!$D$20="NO","",IF(AND(DA198="",DD198=""),"",SUM(DA198,DD198)))</f>
        <v/>
      </c>
      <c r="DF198" s="532">
        <f t="shared" si="387"/>
        <v>0</v>
      </c>
      <c r="DG198" s="65">
        <f t="shared" si="388"/>
        <v>0</v>
      </c>
      <c r="DH198" s="66" t="str">
        <f t="shared" si="389"/>
        <v/>
      </c>
      <c r="DI198" s="65" t="str">
        <f t="shared" si="390"/>
        <v/>
      </c>
      <c r="DJ198" s="65" t="str">
        <f t="shared" si="391"/>
        <v/>
      </c>
      <c r="DK198" s="65" t="str">
        <f t="shared" si="392"/>
        <v/>
      </c>
      <c r="DL198" s="97" t="str">
        <f t="shared" si="432"/>
        <v/>
      </c>
      <c r="DM198" s="97" t="str">
        <f t="shared" si="433"/>
        <v/>
      </c>
      <c r="DN198" s="97" t="str">
        <f t="shared" si="434"/>
        <v/>
      </c>
      <c r="DO198" s="97" t="str">
        <f t="shared" si="435"/>
        <v/>
      </c>
      <c r="DP198" s="97" t="str">
        <f t="shared" si="436"/>
        <v/>
      </c>
      <c r="DQ198" s="97" t="str">
        <f t="shared" si="437"/>
        <v/>
      </c>
      <c r="DR198" s="97" t="str">
        <f t="shared" si="438"/>
        <v/>
      </c>
      <c r="DS198" s="98">
        <f t="shared" si="439"/>
        <v>0</v>
      </c>
      <c r="DT198" s="98">
        <f t="shared" si="440"/>
        <v>0</v>
      </c>
      <c r="DU198" s="98">
        <f t="shared" si="441"/>
        <v>0</v>
      </c>
      <c r="DV198" s="98">
        <f t="shared" si="442"/>
        <v>0</v>
      </c>
      <c r="DW198" s="98">
        <f t="shared" si="443"/>
        <v>0</v>
      </c>
      <c r="DX198" s="98" t="str">
        <f t="shared" si="444"/>
        <v/>
      </c>
      <c r="DY198" s="99" t="str">
        <f t="shared" si="445"/>
        <v/>
      </c>
      <c r="DZ198" s="74" t="str">
        <f>IF('Marks Entry'!AY198="","",'Marks Entry'!AY198)</f>
        <v/>
      </c>
      <c r="EA198" s="74" t="str">
        <f>IF('Marks Entry'!AZ198="","",'Marks Entry'!AZ198)</f>
        <v/>
      </c>
      <c r="EB198" s="74" t="str">
        <f>IF('Marks Entry'!BA198="","",'Marks Entry'!BA198)</f>
        <v/>
      </c>
      <c r="EC198" s="527" t="str">
        <f t="shared" si="393"/>
        <v/>
      </c>
      <c r="ED198" s="74" t="str">
        <f>IF('Marks Entry'!BB198="","",'Marks Entry'!BB198)</f>
        <v/>
      </c>
      <c r="EE198" s="528" t="str">
        <f t="shared" si="394"/>
        <v/>
      </c>
      <c r="EF198" s="74" t="str">
        <f>IF('Marks Entry'!BC198="","",'Marks Entry'!BC198)</f>
        <v/>
      </c>
      <c r="EG198" s="530" t="str">
        <f t="shared" si="395"/>
        <v/>
      </c>
      <c r="EH198" s="368" t="str">
        <f t="shared" si="446"/>
        <v/>
      </c>
      <c r="EI198" s="65">
        <f t="shared" si="447"/>
        <v>0</v>
      </c>
      <c r="EJ198" s="65">
        <f t="shared" si="448"/>
        <v>0</v>
      </c>
      <c r="EK198" s="66" t="str">
        <f t="shared" si="449"/>
        <v/>
      </c>
      <c r="EL198" s="74" t="str">
        <f>IF('Marks Entry'!BD198="","",'Marks Entry'!BD198)</f>
        <v/>
      </c>
      <c r="EM198" s="74" t="str">
        <f>IF('Marks Entry'!BE198="","",'Marks Entry'!BE198)</f>
        <v/>
      </c>
      <c r="EN198" s="74" t="str">
        <f>IF('Marks Entry'!BF198="","",'Marks Entry'!BF198)</f>
        <v/>
      </c>
      <c r="EO198" s="527" t="str">
        <f t="shared" si="396"/>
        <v/>
      </c>
      <c r="EP198" s="74" t="str">
        <f>IF('Marks Entry'!BG198="","",'Marks Entry'!BG198)</f>
        <v/>
      </c>
      <c r="EQ198" s="74" t="str">
        <f>IF('Marks Entry'!BH198="","",'Marks Entry'!BH198)</f>
        <v/>
      </c>
      <c r="ER198" s="528" t="str">
        <f t="shared" si="397"/>
        <v/>
      </c>
      <c r="ES198" s="529" t="str">
        <f t="shared" si="398"/>
        <v/>
      </c>
      <c r="ET198" s="74" t="str">
        <f>IF('Marks Entry'!BI198="","",'Marks Entry'!BI198)</f>
        <v/>
      </c>
      <c r="EU198" s="74" t="str">
        <f>IF('Marks Entry'!BJ198="","",'Marks Entry'!BJ198)</f>
        <v/>
      </c>
      <c r="EV198" s="528" t="str">
        <f t="shared" si="399"/>
        <v/>
      </c>
      <c r="EW198" s="530" t="str">
        <f t="shared" si="400"/>
        <v/>
      </c>
      <c r="EX198" s="368" t="str">
        <f t="shared" si="450"/>
        <v/>
      </c>
      <c r="EY198" s="65">
        <f t="shared" si="451"/>
        <v>0</v>
      </c>
      <c r="EZ198" s="65">
        <f t="shared" si="452"/>
        <v>0</v>
      </c>
      <c r="FA198" s="66" t="str">
        <f t="shared" si="453"/>
        <v/>
      </c>
      <c r="FB198" s="74" t="str">
        <f>IF('Marks Entry'!BK198="","",'Marks Entry'!BK198)</f>
        <v/>
      </c>
      <c r="FC198" s="74" t="str">
        <f>IF('Marks Entry'!BL198="","",'Marks Entry'!BL198)</f>
        <v/>
      </c>
      <c r="FD198" s="74" t="str">
        <f>IF('Marks Entry'!BM198="","",'Marks Entry'!BM198)</f>
        <v/>
      </c>
      <c r="FE198" s="74" t="str">
        <f>IF('Marks Entry'!BN198="","",'Marks Entry'!BN198)</f>
        <v/>
      </c>
      <c r="FF198" s="74" t="str">
        <f>IF('Marks Entry'!BO198="","",'Marks Entry'!BO198)</f>
        <v/>
      </c>
      <c r="FG198" s="74" t="str">
        <f>IF('Marks Entry'!BP198="","",'Marks Entry'!BP198)</f>
        <v/>
      </c>
      <c r="FH198" s="527" t="str">
        <f t="shared" si="401"/>
        <v/>
      </c>
      <c r="FI198" s="74" t="str">
        <f>IF('Marks Entry'!BQ198="","",'Marks Entry'!BQ198)</f>
        <v/>
      </c>
      <c r="FJ198" s="74" t="str">
        <f>IF('Marks Entry'!BR198="","",'Marks Entry'!BR198)</f>
        <v/>
      </c>
      <c r="FK198" s="528" t="str">
        <f t="shared" si="402"/>
        <v/>
      </c>
      <c r="FL198" s="529" t="str">
        <f t="shared" si="403"/>
        <v/>
      </c>
      <c r="FM198" s="74" t="str">
        <f>IF('Marks Entry'!BS198="","",'Marks Entry'!BS198)</f>
        <v/>
      </c>
      <c r="FN198" s="74" t="str">
        <f>IF('Marks Entry'!BT198="","",'Marks Entry'!BT198)</f>
        <v/>
      </c>
      <c r="FO198" s="528" t="str">
        <f t="shared" si="404"/>
        <v/>
      </c>
      <c r="FP198" s="530" t="str">
        <f t="shared" si="405"/>
        <v/>
      </c>
      <c r="FQ198" s="368" t="str">
        <f t="shared" si="454"/>
        <v/>
      </c>
      <c r="FR198" s="65">
        <f t="shared" si="455"/>
        <v>0</v>
      </c>
      <c r="FS198" s="65">
        <f t="shared" si="456"/>
        <v>0</v>
      </c>
      <c r="FT198" s="66" t="str">
        <f t="shared" si="457"/>
        <v/>
      </c>
      <c r="FU198" s="74" t="str">
        <f>IF('Marks Entry'!BU198="","",'Marks Entry'!BU198)</f>
        <v/>
      </c>
      <c r="FV198" s="74" t="str">
        <f>IF('Marks Entry'!BV198="","",'Marks Entry'!BV198)</f>
        <v/>
      </c>
      <c r="FW198" s="74" t="str">
        <f>IF('Marks Entry'!BW198="","",'Marks Entry'!BW198)</f>
        <v/>
      </c>
      <c r="FX198" s="75" t="str">
        <f t="shared" si="406"/>
        <v/>
      </c>
      <c r="FY198" s="368" t="str">
        <f t="shared" si="458"/>
        <v/>
      </c>
      <c r="FZ198" s="65">
        <f t="shared" si="459"/>
        <v>0</v>
      </c>
      <c r="GA198" s="66">
        <f t="shared" si="460"/>
        <v>0</v>
      </c>
      <c r="GB198" s="66" t="str">
        <f t="shared" si="461"/>
        <v/>
      </c>
      <c r="GC198" s="74" t="str">
        <f>IF('Marks Entry'!BX198="","",'Marks Entry'!BX198)</f>
        <v/>
      </c>
      <c r="GD198" s="74" t="str">
        <f>IF('Marks Entry'!BY198="","",'Marks Entry'!BY198)</f>
        <v/>
      </c>
      <c r="GE198" s="74" t="str">
        <f>IF('Marks Entry'!BZ198="","",'Marks Entry'!BZ198)</f>
        <v/>
      </c>
      <c r="GF198" s="75" t="str">
        <f t="shared" si="462"/>
        <v/>
      </c>
      <c r="GG198" s="368" t="str">
        <f t="shared" si="463"/>
        <v/>
      </c>
      <c r="GH198" s="65">
        <f t="shared" si="464"/>
        <v>0</v>
      </c>
      <c r="GI198" s="66">
        <f t="shared" si="465"/>
        <v>0</v>
      </c>
      <c r="GJ198" s="66" t="str">
        <f t="shared" si="466"/>
        <v/>
      </c>
      <c r="GK198" s="100" t="str">
        <f>IF(AND(F198="",B198=""),"",IF('Student DATA Entry'!M195="","",'Student DATA Entry'!M195))</f>
        <v/>
      </c>
      <c r="GL198" s="101" t="str">
        <f>IF(AND(B198="",F198=""),"",IF('Student DATA Entry'!N195="","",'Student DATA Entry'!N195))</f>
        <v/>
      </c>
      <c r="GM198" s="581" t="str">
        <f t="shared" si="467"/>
        <v/>
      </c>
      <c r="GN198" s="94" t="str">
        <f t="shared" si="468"/>
        <v/>
      </c>
      <c r="GO198" s="94" t="str">
        <f t="shared" si="469"/>
        <v/>
      </c>
      <c r="GP198" s="102" t="str">
        <f t="shared" si="498"/>
        <v/>
      </c>
      <c r="GQ198" s="94" t="str">
        <f t="shared" si="470"/>
        <v/>
      </c>
      <c r="GR198" s="103" t="str">
        <f t="shared" si="471"/>
        <v/>
      </c>
      <c r="GS198" s="102" t="str">
        <f t="shared" si="499"/>
        <v/>
      </c>
      <c r="GT198" s="104" t="str">
        <f t="shared" si="472"/>
        <v/>
      </c>
      <c r="GU198" s="94" t="str">
        <f>IF('Marks Entry'!V198=1,GT198,"")</f>
        <v/>
      </c>
      <c r="GV198" s="94" t="str">
        <f>IF('Marks Entry'!V198=2,GT198,"")</f>
        <v/>
      </c>
      <c r="GW198" s="94" t="str">
        <f>IF('Marks Entry'!V198=3,GT198,"")</f>
        <v/>
      </c>
      <c r="GX198" s="94" t="str">
        <f>IF('Marks Entry'!V198=4,GT198,"")</f>
        <v/>
      </c>
      <c r="GY198" s="94" t="str">
        <f>IF('Marks Entry'!V198=5,GT198,"")</f>
        <v/>
      </c>
      <c r="GZ198" s="94" t="str">
        <f t="shared" si="473"/>
        <v/>
      </c>
      <c r="HA198" s="105" t="str">
        <f t="shared" si="500"/>
        <v/>
      </c>
      <c r="HB198" s="94" t="str">
        <f t="shared" si="474"/>
        <v/>
      </c>
      <c r="HC198" s="94" t="str">
        <f t="shared" si="475"/>
        <v/>
      </c>
      <c r="HD198" s="105" t="str">
        <f t="shared" si="501"/>
        <v/>
      </c>
      <c r="HE198" s="94" t="str">
        <f t="shared" si="476"/>
        <v/>
      </c>
      <c r="HF198" s="94" t="str">
        <f t="shared" si="477"/>
        <v/>
      </c>
      <c r="HG198" s="105" t="str">
        <f t="shared" si="502"/>
        <v/>
      </c>
      <c r="HH198" s="94" t="str">
        <f t="shared" si="478"/>
        <v/>
      </c>
      <c r="HI198" s="94" t="str">
        <f t="shared" si="479"/>
        <v/>
      </c>
      <c r="HJ198" s="105" t="str">
        <f t="shared" si="503"/>
        <v/>
      </c>
      <c r="HK198" s="94" t="str">
        <f t="shared" si="480"/>
        <v/>
      </c>
      <c r="HL198" s="94" t="str">
        <f t="shared" si="481"/>
        <v/>
      </c>
      <c r="HM198" s="105" t="str">
        <f t="shared" si="504"/>
        <v/>
      </c>
      <c r="HN198" s="367" t="str">
        <f t="shared" si="482"/>
        <v xml:space="preserve">      </v>
      </c>
      <c r="HO198" s="418" t="str">
        <f t="shared" si="505"/>
        <v xml:space="preserve">      </v>
      </c>
      <c r="HP198" s="367" t="str">
        <f t="shared" si="483"/>
        <v xml:space="preserve">      </v>
      </c>
      <c r="HQ198" s="107" t="str">
        <f t="shared" si="484"/>
        <v xml:space="preserve">      </v>
      </c>
      <c r="HR198" s="366" t="str">
        <f t="shared" si="485"/>
        <v xml:space="preserve">      </v>
      </c>
      <c r="HS198" s="544" t="str">
        <f t="shared" si="506"/>
        <v/>
      </c>
      <c r="HT198" s="542" t="str">
        <f t="shared" si="486"/>
        <v/>
      </c>
      <c r="HU198" s="541" t="str">
        <f t="shared" si="487"/>
        <v/>
      </c>
      <c r="HV198" s="540" t="str">
        <f t="shared" si="488"/>
        <v/>
      </c>
      <c r="HW198" s="537" t="str">
        <f t="shared" si="489"/>
        <v/>
      </c>
      <c r="HX198" s="539" t="str">
        <f t="shared" si="490"/>
        <v/>
      </c>
      <c r="HY198" s="553" t="str">
        <f>IFERROR(IF(OR(HS198="SUPPLEMENTARY",HS198="RE-EXAM"),'Supp. Result Entry'!AQ196,""),"")</f>
        <v/>
      </c>
      <c r="HZ198" s="538" t="str">
        <f t="shared" si="491"/>
        <v/>
      </c>
      <c r="IA198" s="415" t="str">
        <f t="shared" si="492"/>
        <v/>
      </c>
      <c r="IB198" s="415" t="str">
        <f>IF(AND(HZ198="",IA198=""),"",IF(OR(HS198="SUPPLEMENTARY",HS198="RE-EXAM"),'Supp. Result Entry'!AQ196,HS198))</f>
        <v/>
      </c>
      <c r="IC198" s="87"/>
      <c r="IS198" s="109" t="str">
        <f>IF('Supp. Result Entry'!T196="","",'Supp. Result Entry'!$T$4)</f>
        <v/>
      </c>
      <c r="IT198" s="110" t="str">
        <f>IF('Supp. Result Entry'!W196="","",'Supp. Result Entry'!$W$4)</f>
        <v/>
      </c>
      <c r="IU198" s="110" t="str">
        <f>IF('Supp. Result Entry'!Z196="","",'Supp. Result Entry'!$Z$4)</f>
        <v/>
      </c>
      <c r="IV198" s="110" t="str">
        <f>IF('Supp. Result Entry'!AC196="","",'Supp. Result Entry'!$AC$4)</f>
        <v/>
      </c>
      <c r="IW198" s="110" t="str">
        <f>IF('Supp. Result Entry'!AF196="","",'Supp. Result Entry'!$AF$4)</f>
        <v/>
      </c>
      <c r="IX198" s="110" t="str">
        <f>IF('Supp. Result Entry'!AI196="","",'Supp. Result Entry'!$AI$4)</f>
        <v/>
      </c>
      <c r="IY198" s="110" t="str">
        <f>IF('Supp. Result Entry'!AI196="","",'Supp. Result Entry'!$AL$4)</f>
        <v/>
      </c>
      <c r="IZ198" s="110" t="str">
        <f>IF('Supp. Result Entry'!U196="","",'Supp. Result Entry'!U196)</f>
        <v/>
      </c>
      <c r="JA198" s="110" t="str">
        <f>IF('Supp. Result Entry'!X196="","",'Supp. Result Entry'!X196)</f>
        <v/>
      </c>
      <c r="JB198" s="110" t="str">
        <f>IF('Supp. Result Entry'!AA196="","",'Supp. Result Entry'!AA196)</f>
        <v/>
      </c>
      <c r="JC198" s="110" t="str">
        <f>IF('Supp. Result Entry'!AD196="","",'Supp. Result Entry'!AD196)</f>
        <v/>
      </c>
      <c r="JD198" s="110" t="str">
        <f>IF('Supp. Result Entry'!AG196="","",'Supp. Result Entry'!AG196)</f>
        <v/>
      </c>
      <c r="JE198" s="110" t="str">
        <f>IF('Supp. Result Entry'!AJ196="","",'Supp. Result Entry'!AJ196)</f>
        <v/>
      </c>
      <c r="JF198" s="110" t="str">
        <f>IF('Supp. Result Entry'!AM196="","",'Supp. Result Entry'!AM196)</f>
        <v/>
      </c>
      <c r="JG198" s="110" t="str">
        <f>IF('Supp. Result Entry'!V196="","",'Supp. Result Entry'!V196)</f>
        <v/>
      </c>
      <c r="JH198" s="110" t="str">
        <f>IF('Supp. Result Entry'!Y196="","",'Supp. Result Entry'!Y196)</f>
        <v/>
      </c>
      <c r="JI198" s="110" t="str">
        <f>IF('Supp. Result Entry'!AB196="","",'Supp. Result Entry'!AB196)</f>
        <v/>
      </c>
      <c r="JJ198" s="110" t="str">
        <f>IF('Supp. Result Entry'!AE196="","",'Supp. Result Entry'!AE196)</f>
        <v/>
      </c>
      <c r="JK198" s="110" t="str">
        <f>IF('Supp. Result Entry'!AH196="","",'Supp. Result Entry'!AH196)</f>
        <v/>
      </c>
      <c r="JL198" s="110" t="str">
        <f>IF('Supp. Result Entry'!AK196="","",'Supp. Result Entry'!AK196)</f>
        <v/>
      </c>
      <c r="JM198" s="110" t="str">
        <f>IF('Supp. Result Entry'!AN196="","",'Supp. Result Entry'!AN196)</f>
        <v/>
      </c>
      <c r="JN198" s="110">
        <f>COUNTIF('Supp. Result Entry'!K196:Q196,"S")</f>
        <v>0</v>
      </c>
      <c r="JO198" s="110">
        <f t="shared" si="416"/>
        <v>0</v>
      </c>
      <c r="JP198" s="110">
        <f t="shared" si="493"/>
        <v>0</v>
      </c>
      <c r="JQ198" s="110" t="str">
        <f t="shared" si="417"/>
        <v/>
      </c>
      <c r="JR198" s="110" t="str">
        <f t="shared" si="418"/>
        <v/>
      </c>
      <c r="JS198" s="110" t="str">
        <f t="shared" si="419"/>
        <v/>
      </c>
      <c r="JT198" s="110" t="str">
        <f t="shared" si="420"/>
        <v/>
      </c>
      <c r="JU198" s="110" t="str">
        <f t="shared" si="421"/>
        <v/>
      </c>
      <c r="JV198" s="110" t="str">
        <f t="shared" si="422"/>
        <v/>
      </c>
      <c r="JW198" s="110" t="str">
        <f t="shared" si="423"/>
        <v/>
      </c>
      <c r="JX198" s="110" t="str">
        <f t="shared" si="494"/>
        <v/>
      </c>
      <c r="JY198" s="110" t="str">
        <f t="shared" si="495"/>
        <v/>
      </c>
      <c r="JZ198" s="110" t="str">
        <f t="shared" si="424"/>
        <v/>
      </c>
      <c r="KA198" s="108" t="str">
        <f t="shared" si="496"/>
        <v/>
      </c>
    </row>
    <row r="199" spans="1:287" s="108" customFormat="1" ht="21.95" customHeight="1">
      <c r="A199" s="89">
        <v>193</v>
      </c>
      <c r="B199" s="90" t="str">
        <f>IF('Marks Entry'!B199="","",'Marks Entry'!B199)</f>
        <v/>
      </c>
      <c r="C199" s="94" t="str">
        <f>IF('Marks Entry'!D199="","",'Marks Entry'!D199)</f>
        <v/>
      </c>
      <c r="D199" s="91" t="str">
        <f>IF('Marks Entry'!E199="","",'Marks Entry'!E199)</f>
        <v/>
      </c>
      <c r="E199" s="92" t="str">
        <f>IF('Marks Entry'!F199="","",'Marks Entry'!F199)</f>
        <v/>
      </c>
      <c r="F199" s="93" t="str">
        <f>IF('Marks Entry'!G199="","",'Marks Entry'!G199)</f>
        <v/>
      </c>
      <c r="G199" s="93" t="str">
        <f>IF('Marks Entry'!H199="","",'Marks Entry'!H199)</f>
        <v/>
      </c>
      <c r="H199" s="93" t="str">
        <f>IF('Marks Entry'!I199="","",'Marks Entry'!I199)</f>
        <v/>
      </c>
      <c r="I199" s="94" t="str">
        <f>IF('Marks Entry'!J199="","",'Marks Entry'!J199)</f>
        <v/>
      </c>
      <c r="J199" s="95" t="str">
        <f>IF('Marks Entry'!K199="","",'Marks Entry'!K199)</f>
        <v/>
      </c>
      <c r="K199" s="68" t="str">
        <f>IF('Marks Entry'!L199="","",'Marks Entry'!L199)</f>
        <v/>
      </c>
      <c r="L199" s="68" t="str">
        <f>IF('Marks Entry'!M199="","",'Marks Entry'!M199)</f>
        <v/>
      </c>
      <c r="M199" s="68" t="str">
        <f>IF('Marks Entry'!N199="","",'Marks Entry'!N199)</f>
        <v/>
      </c>
      <c r="N199" s="514" t="str">
        <f t="shared" si="425"/>
        <v/>
      </c>
      <c r="O199" s="68" t="str">
        <f>IF('Marks Entry'!O199="","",'Marks Entry'!O199)</f>
        <v/>
      </c>
      <c r="P199" s="515" t="str">
        <f t="shared" si="426"/>
        <v/>
      </c>
      <c r="Q199" s="68" t="str">
        <f>IF('Marks Entry'!P199="","",'Marks Entry'!P199)</f>
        <v/>
      </c>
      <c r="R199" s="96" t="str">
        <f t="shared" si="427"/>
        <v/>
      </c>
      <c r="S199" s="65">
        <f t="shared" si="428"/>
        <v>0</v>
      </c>
      <c r="T199" s="65">
        <f t="shared" si="429"/>
        <v>0</v>
      </c>
      <c r="U199" s="66" t="str">
        <f t="shared" ref="U199:U206" si="507">IF(AND(K199="",L199="",M199="",O199="",Q199=""),"",IF(AND(L199="",K199="",M199=""),170-S199-T199,IF(AND(O199=""),130-S199-T199,IF(Q199="",100-S199-T199,200-S199-T199))))</f>
        <v/>
      </c>
      <c r="V199" s="65" t="str">
        <f t="shared" ref="V199:V206" si="508">IF(OR($B199="NSO",$B199="",Q199=""),"",IF(AND(OR(K199="ab",K199="ml"),OR(L199="ab",L199="ml"),OR(M199="ab",M199="ml")),"AB",IF(AND(OR(K199="NA",K199=""),OR(L199="NA",L199=""),OR(M199="NA",M199="")),"AB",IF(AND(OR(K199="ab",K199="ml"),OR(L199="ab",L199="ml"),OR(O199="ab",O199="ml")),"AB",IF(AND(OR(O199="ab",O199="ml"),OR(Q199="ab",Q199="ml"),OR(O199="ab",Q199="ml")),"AB",IF(AND(OR(Q199="ab",Q199="ml"),OR(K199="ab",K199="ml"),OR(L199="ab",L199="ml")),"AB",""))))))</f>
        <v/>
      </c>
      <c r="W199" s="65" t="str">
        <f t="shared" si="430"/>
        <v/>
      </c>
      <c r="X199" s="65" t="str">
        <f t="shared" ref="X199:X206" si="509">IF(OR(W199="",W199=0,W199="S",W199="RE",W199="F",W199="AB"),W199,IF(R199&gt;=75%*U199,"D",IF(R199&gt;=60%*U199,"I",IF(R199&gt;=48%*U199,"II",IF(R199&gt;=36%*U199,"III",W199)))))</f>
        <v/>
      </c>
      <c r="Y199" s="68" t="str">
        <f>IF('Marks Entry'!Q199="","",'Marks Entry'!Q199)</f>
        <v/>
      </c>
      <c r="Z199" s="68" t="str">
        <f>IF('Marks Entry'!R199="","",'Marks Entry'!R199)</f>
        <v/>
      </c>
      <c r="AA199" s="68" t="str">
        <f>IF('Marks Entry'!S199="","",'Marks Entry'!S199)</f>
        <v/>
      </c>
      <c r="AB199" s="514" t="str">
        <f t="shared" ref="AB199:AB206" si="510">IF(AND(Y199="",Z199="",AA199=""),"",SUM(Y199:AA199))</f>
        <v/>
      </c>
      <c r="AC199" s="68" t="str">
        <f>IF('Marks Entry'!T199="","",'Marks Entry'!T199)</f>
        <v/>
      </c>
      <c r="AD199" s="515" t="str">
        <f t="shared" ref="AD199:AD206" si="511">IF(AND(AB199="",AC199=""),"",SUM(AB199,AC199))</f>
        <v/>
      </c>
      <c r="AE199" s="68" t="str">
        <f>IF('Marks Entry'!U199="","",'Marks Entry'!U199)</f>
        <v/>
      </c>
      <c r="AF199" s="96" t="str">
        <f t="shared" ref="AF199:AF206" si="512">IF(AND(AE199="",AD199=""),"",SUM(AD199,AE199))</f>
        <v/>
      </c>
      <c r="AG199" s="65">
        <f t="shared" ref="AG199:AG206" si="513">COUNTIF(Y199:AA199,"NA")*10</f>
        <v>0</v>
      </c>
      <c r="AH199" s="65">
        <f t="shared" ref="AH199:AH206" si="514">(COUNTIF(Y199:AA199,"ML")*10)+(COUNTIF(AC199,"ML")*70)+(COUNTIF(AE199,"ML")*100)</f>
        <v>0</v>
      </c>
      <c r="AI199" s="66" t="str">
        <f t="shared" ref="AI199:AI206" si="515">IF(AND(Y199="",Z199="",AA199="",AC199="",AE199=""),"",IF(AND(Z199="",Y199="",AA199=""),170-AG199-AH199,IF(AND(AC199=""),130-AG199-AH199,IF(AE199="",100-AG199-AH199,200-AG199-AH199))))</f>
        <v/>
      </c>
      <c r="AJ199" s="65" t="str">
        <f t="shared" ref="AJ199:AJ206" si="516">IF(OR($B199="NSO",$B199="",AE199=""),"",IF(AND(OR(Y199="ab",Y199="ml"),OR(Z199="ab",Z199="ml"),OR(AA199="ab",AA199="ml")),"AB",IF(AND(OR(Y199="NA",Y199=""),OR(Z199="NA",Z199=""),OR(AA199="NA",AA199="")),"AB",IF(AND(OR(Y199="ab",Y199="ml"),OR(Z199="ab",Z199="ml"),OR(AC199="ab",AC199="ml")),"AB",IF(AND(OR(AC199="ab",AC199="ml"),OR(AE199="ab",AE199="ml"),OR(AC199="ab",AE199="ml")),"AB",IF(AND(OR(AE199="ab",AE199="ml"),OR(Y199="ab",Y199="ml"),OR(Z199="ab",Z199="ml")),"AB",""))))))</f>
        <v/>
      </c>
      <c r="AK199" s="65" t="str">
        <f t="shared" ref="AK199:AK206" si="517">IF(OR($B199="NSO",$B199="",AE199=""),"",IF(OR(AJ199="AB",AE199="ab"),"AB",IF(AE199="ML","RE",IF(AE199&lt;20%*$AE$6,"F",IF(AND(AF199&gt;=36%*AI199,AE199&gt;=20),"P",IF(AND(AF199&gt;=34%*AI199,AH199=0,AE199&gt;=20),"G2",IF(AND(AF199&gt;=31%*AI199,AH199=0,AE199&gt;=20),"G1",IF(AF199&gt;=25%*AI199,"S","F"))))))))</f>
        <v/>
      </c>
      <c r="AL199" s="65" t="str">
        <f t="shared" ref="AL199:AL206" si="518">IF(OR(AK199="",AK199=0,AK199="S",AK199="RE",AK199="F",AK199="AB"),AK199,IF(AF199&gt;=75%*AI199,"D",IF(AF199&gt;=60%*AI199,"I",IF(AF199&gt;=48%*AI199,"II",IF(AF199&gt;=36%*AI199,"III",AK199)))))</f>
        <v/>
      </c>
      <c r="AM199" s="524" t="str">
        <f>IF('Marks Entry'!V199="","",IF('Marks Entry'!V199=1,'School Profile'!$I$9,IF('Marks Entry'!V199=2,'School Profile'!$I$10,IF('Marks Entry'!V199=3,'School Profile'!$I$11,IF('Marks Entry'!V199=4,'School Profile'!$I$12,IF('Marks Entry'!V199=5,'School Profile'!$I$13,IF('Marks Entry'!V199=6,'School Profile'!$I$14,"")))))))</f>
        <v/>
      </c>
      <c r="AN199" s="68" t="str">
        <f>IF('Marks Entry'!W199="","",'Marks Entry'!W199)</f>
        <v/>
      </c>
      <c r="AO199" s="68" t="str">
        <f>IF('Marks Entry'!X199="","",'Marks Entry'!X199)</f>
        <v/>
      </c>
      <c r="AP199" s="68" t="str">
        <f>IF('Marks Entry'!Y199="","",'Marks Entry'!Y199)</f>
        <v/>
      </c>
      <c r="AQ199" s="514" t="str">
        <f t="shared" ref="AQ199:AQ206" si="519">IF(AND(AN199="",AO199="",AP199=""),"",SUM(AN199:AP199))</f>
        <v/>
      </c>
      <c r="AR199" s="68" t="str">
        <f>IF('Marks Entry'!Z199="","",'Marks Entry'!Z199)</f>
        <v/>
      </c>
      <c r="AS199" s="515" t="str">
        <f t="shared" ref="AS199:AS206" si="520">IF(AND(AQ199="",AR199=""),"",SUM(AQ199,AR199))</f>
        <v/>
      </c>
      <c r="AT199" s="68" t="str">
        <f>IF('Marks Entry'!AA199="","",'Marks Entry'!AA199)</f>
        <v/>
      </c>
      <c r="AU199" s="96" t="str">
        <f t="shared" ref="AU199:AU206" si="521">IF(AND(AT199="",AS199=""),"",SUM(AS199,AT199))</f>
        <v/>
      </c>
      <c r="AV199" s="65">
        <f t="shared" ref="AV199:AV206" si="522">COUNTIF(AN199:AP199,"NA")*10</f>
        <v>0</v>
      </c>
      <c r="AW199" s="65">
        <f t="shared" ref="AW199:AW206" si="523">(COUNTIF(AN199:AP199,"ML")*10)+(COUNTIF(AR199,"ML")*70)+(COUNTIF(AT199,"ML")*100)</f>
        <v>0</v>
      </c>
      <c r="AX199" s="66" t="str">
        <f t="shared" ref="AX199:AX206" si="524">IF(AND(AN199="",AO199="",AP199="",AR199="",AT199=""),"",IF(AND(AO199="",AN199="",AP199=""),170-AV199-AW199,IF(AND(AR199=""),130-AV199-AW199,IF(AT199="",100-AV199-AW199,200-AV199-AW199))))</f>
        <v/>
      </c>
      <c r="AY199" s="65" t="str">
        <f t="shared" ref="AY199:AY206" si="525">IF(OR($B199="NSO",$B199="",AT199=""),"",IF(AND(OR(AN199="ab",AN199="ml"),OR(AO199="ab",AO199="ml"),OR(AP199="ab",AP199="ml")),"AB",IF(AND(OR(AN199="NA",AN199=""),OR(AO199="NA",AO199=""),OR(AP199="NA",AP199="")),"AB",IF(AND(OR(AN199="ab",AN199="ml"),OR(AO199="ab",AO199="ml"),OR(AR199="ab",AR199="ml")),"AB",IF(AND(OR(AR199="ab",AR199="ml"),OR(AT199="ab",AT199="ml"),OR(AR199="ab",AT199="ml")),"AB",IF(AND(OR(AT199="ab",AT199="ml"),OR(AN199="ab",AN199="ml"),OR(AO199="ab",AO199="ml")),"AB",""))))))</f>
        <v/>
      </c>
      <c r="AZ199" s="65" t="str">
        <f t="shared" ref="AZ199:AZ206" si="526">IF(OR($B199="NSO",$B199="",AT199=""),"",IF(OR(AY199="AB",AT199="ab"),"AB",IF(AT199="ML","RE",IF(AT199&lt;20%*$AT$6,"F",IF(AND(AU199&gt;=36%*AX199,AT199&gt;=20),"P",IF(AND(AU199&gt;=34%*AX199,AW199=0,AT199&gt;=20),"G2",IF(AND(AU199&gt;=31%*AX199,AW199=0,AT199&gt;=20),"G1",IF(AU199&gt;=25%*AX199,"S","F"))))))))</f>
        <v/>
      </c>
      <c r="BA199" s="65" t="str">
        <f t="shared" ref="BA199:BA206" si="527">IF(OR(AZ199="",AZ199=0,AZ199="S",AZ199="RE",AZ199="F",AZ199="AB"),AZ199,IF(AU199&gt;=75%*AX199,"D",IF(AU199&gt;=60%*AX199,"I",IF(AU199&gt;=48%*AX199,"II",IF(AU199&gt;=36%*AX199,"III",AZ199)))))</f>
        <v/>
      </c>
      <c r="BB199" s="68" t="str">
        <f>IF('Marks Entry'!AB199="","",'Marks Entry'!AB199)</f>
        <v/>
      </c>
      <c r="BC199" s="68" t="str">
        <f>IF('Marks Entry'!AC199="","",'Marks Entry'!AC199)</f>
        <v/>
      </c>
      <c r="BD199" s="68" t="str">
        <f>IF('Marks Entry'!AD199="","",'Marks Entry'!AD199)</f>
        <v/>
      </c>
      <c r="BE199" s="514" t="str">
        <f t="shared" ref="BE199:BE206" si="528">IF(AND(BB199="",BC199="",BD199=""),"",SUM(BB199:BD199))</f>
        <v/>
      </c>
      <c r="BF199" s="68" t="str">
        <f>IF('Marks Entry'!AE199="","",'Marks Entry'!AE199)</f>
        <v/>
      </c>
      <c r="BG199" s="515" t="str">
        <f t="shared" ref="BG199:BG206" si="529">IF(AND(BE199="",BF199=""),"",SUM(BE199,BF199))</f>
        <v/>
      </c>
      <c r="BH199" s="68" t="str">
        <f>IF('Marks Entry'!AF199="","",'Marks Entry'!AF199)</f>
        <v/>
      </c>
      <c r="BI199" s="96" t="str">
        <f t="shared" ref="BI199:BI206" si="530">IF(AND(BH199="",BG199=""),"",SUM(BG199,BH199))</f>
        <v/>
      </c>
      <c r="BJ199" s="65">
        <f t="shared" ref="BJ199:BJ206" si="531">COUNTIF(BB199:BD199,"NA")*10</f>
        <v>0</v>
      </c>
      <c r="BK199" s="65">
        <f t="shared" si="431"/>
        <v>0</v>
      </c>
      <c r="BL199" s="66" t="str">
        <f t="shared" ref="BL199:BL206" si="532">IF(AND(BB199="",BC199="",BD199="",BF199="",BH199=""),"",IF(AND(BC199="",BB199="",BD199=""),170-BJ199-BK199,IF(AND(BF199=""),130-BJ199-BK199,IF(BH199="",100-BJ199-BK199,200-BJ199-BK199))))</f>
        <v/>
      </c>
      <c r="BM199" s="65" t="str">
        <f t="shared" ref="BM199:BM206" si="533">IF(OR($B199="NSO",$B199="",BH199=""),"",IF(AND(OR(BB199="ab",BB199="ml"),OR(BC199="ab",BC199="ml"),OR(BD199="ab",BD199="ml")),"AB",IF(AND(OR(BB199="NA",BB199=""),OR(BC199="NA",BC199=""),OR(BD199="NA",BD199="")),"AB",IF(AND(OR(BB199="ab",BB199="ml"),OR(BC199="ab",BC199="ml"),OR(BF199="ab",BF199="ml")),"AB",IF(AND(OR(BF199="ab",BF199="ml"),OR(BH199="ab",BH199="ml"),OR(BF199="ab",BH199="ml")),"AB",IF(AND(OR(BH199="ab",BH199="ml"),OR(BB199="ab",BB199="ml"),OR(BC199="ab",BC199="ml")),"AB",""))))))</f>
        <v/>
      </c>
      <c r="BN199" s="65" t="str">
        <f t="shared" ref="BN199:BN206" si="534">IF(OR($B199="NSO",$B199="",BH199=""),"",IF(OR(BM199="AB",BH199="ab"),"AB",IF(BH199="ML","RE",IF(BH199&lt;20%*$BH$6,"F",IF(AND(BI199&gt;=36%*BL199,BH199&gt;=20),"P",IF(AND(BI199&gt;=34%*BL199,BK199=0,BH199&gt;=20),"G2",IF(AND(BI199&gt;=31%*BL199,BK199=0,BH199&gt;=20),"G1",IF(BI199&gt;=25%*BL199,"S","F"))))))))</f>
        <v/>
      </c>
      <c r="BO199" s="65" t="str">
        <f t="shared" ref="BO199:BO206" si="535">IF(OR(BN199="",BN199=0,BN199="S",BN199="RE",BN199="F",BN199="AB"),BN199,IF(BI199&gt;=75%*BL199,"D",IF(BI199&gt;=60%*BL199,"I",IF(BI199&gt;=48%*BL199,"II",IF(BI199&gt;=36%*BL199,"III",BN199)))))</f>
        <v/>
      </c>
      <c r="BP199" s="68" t="str">
        <f>IF('Marks Entry'!AG199="","",'Marks Entry'!AG199)</f>
        <v/>
      </c>
      <c r="BQ199" s="68" t="str">
        <f>IF('Marks Entry'!AH199="","",'Marks Entry'!AH199)</f>
        <v/>
      </c>
      <c r="BR199" s="68" t="str">
        <f>IF('Marks Entry'!AI199="","",'Marks Entry'!AI199)</f>
        <v/>
      </c>
      <c r="BS199" s="514" t="str">
        <f t="shared" ref="BS199:BS206" si="536">IF(AND(BP199="",BQ199="",BR199=""),"",SUM(BP199:BR199))</f>
        <v/>
      </c>
      <c r="BT199" s="68" t="str">
        <f>IF('Marks Entry'!AJ199="","",'Marks Entry'!AJ199)</f>
        <v/>
      </c>
      <c r="BU199" s="515" t="str">
        <f t="shared" ref="BU199:BU206" si="537">IF(AND(BS199="",BT199=""),"",SUM(BS199,BT199))</f>
        <v/>
      </c>
      <c r="BV199" s="68" t="str">
        <f>IF('Marks Entry'!AK199="","",'Marks Entry'!AK199)</f>
        <v/>
      </c>
      <c r="BW199" s="96" t="str">
        <f t="shared" ref="BW199:BW206" si="538">IF(AND(BV199="",BU199=""),"",SUM(BU199,BV199))</f>
        <v/>
      </c>
      <c r="BX199" s="65">
        <f t="shared" ref="BX199:BX206" si="539">COUNTIF(BP199:BR199,"NA")*10</f>
        <v>0</v>
      </c>
      <c r="BY199" s="65">
        <f t="shared" ref="BY199:BY206" si="540">(COUNTIF(BP199:BR199,"ML")*10)+(COUNTIF(BT199,"ML")*70)+(COUNTIF(BV199,"ML")*100)</f>
        <v>0</v>
      </c>
      <c r="BZ199" s="66" t="str">
        <f t="shared" ref="BZ199:BZ206" si="541">IF(AND(BP199="",BQ199="",BR199="",BT199="",BV199=""),"",IF(AND(BQ199="",BP199="",BR199=""),170-BX199-BY199,IF(AND(BT199=""),130-BX199-BY199,IF(BV199="",100-BX199-BY199,200-BX199-BY199))))</f>
        <v/>
      </c>
      <c r="CA199" s="65" t="str">
        <f t="shared" ref="CA199:CA206" si="542">IF(OR($B199="NSO",$B199="",BV199=""),"",IF(AND(OR(BP199="ab",BP199="ml"),OR(BQ199="ab",BQ199="ml"),OR(BR199="ab",BR199="ml")),"AB",IF(AND(OR(BP199="NA",BP199=""),OR(BQ199="NA",BQ199=""),OR(BR199="NA",BR199="")),"AB",IF(AND(OR(BP199="ab",BP199="ml"),OR(BQ199="ab",BQ199="ml"),OR(BT199="ab",BT199="ml")),"AB",IF(AND(OR(BT199="ab",BT199="ml"),OR(BV199="ab",BV199="ml"),OR(BT199="ab",BV199="ml")),"AB",IF(AND(OR(BV199="ab",BV199="ml"),OR(BP199="ab",BP199="ml"),OR(BQ199="ab",BQ199="ml")),"AB",""))))))</f>
        <v/>
      </c>
      <c r="CB199" s="65" t="str">
        <f t="shared" ref="CB199:CB206" si="543">IF(OR($B199="NSO",$B199="",BV199=""),"",IF(OR(CA199="AB",BV199="ab"),"AB",IF(BV199="ML","RE",IF(BV199&lt;20%*$BV$6,"F",IF(AND(BW199&gt;=36%*BZ199,BV199&gt;=20),"P",IF(AND(BW199&gt;=34%*BZ199,BY199=0,BV199&gt;=20),"G2",IF(AND(BW199&gt;=31%*BZ199,BY199=0,BV199&gt;=20),"G1",IF(BW199&gt;=25%*BZ199,"S","F"))))))))</f>
        <v/>
      </c>
      <c r="CC199" s="65" t="str">
        <f t="shared" ref="CC199:CC206" si="544">IF(OR(CB199="",CB199=0,CB199="S",CB199="RE",CB199="F",CB199="AB"),CB199,IF(BW199&gt;=75%*BZ199,"D",IF(BW199&gt;=60%*BZ199,"I",IF(BW199&gt;=48%*BZ199,"II",IF(BW199&gt;=36%*BZ199,"III",CB199)))))</f>
        <v/>
      </c>
      <c r="CD199" s="66">
        <f t="shared" ref="CD199:CD206" si="545">SUM(S199,T199,AG199,AH199,AV199,AW199,BJ199,BK199,BX199,BY199,CM199,CN199)</f>
        <v>0</v>
      </c>
      <c r="CE199" s="68" t="str">
        <f>IF('Marks Entry'!AL199="","",'Marks Entry'!AL199)</f>
        <v/>
      </c>
      <c r="CF199" s="68" t="str">
        <f>IF('Marks Entry'!AM199="","",'Marks Entry'!AM199)</f>
        <v/>
      </c>
      <c r="CG199" s="68" t="str">
        <f>IF('Marks Entry'!AN199="","",'Marks Entry'!AN199)</f>
        <v/>
      </c>
      <c r="CH199" s="514" t="str">
        <f t="shared" ref="CH199:CH206" si="546">IF(AND(CE199="",CF199="",CG199=""),"",SUM(CE199:CG199))</f>
        <v/>
      </c>
      <c r="CI199" s="68" t="str">
        <f>IF('Marks Entry'!AO199="","",'Marks Entry'!AO199)</f>
        <v/>
      </c>
      <c r="CJ199" s="515" t="str">
        <f t="shared" ref="CJ199:CJ206" si="547">IF(AND(CH199="",CI199=""),"",SUM(CH199,CI199))</f>
        <v/>
      </c>
      <c r="CK199" s="68" t="str">
        <f>IF('Marks Entry'!AP199="","",'Marks Entry'!AP199)</f>
        <v/>
      </c>
      <c r="CL199" s="96" t="str">
        <f t="shared" ref="CL199:CL206" si="548">IF(AND(CK199="",CJ199=""),"",SUM(CJ199,CK199))</f>
        <v/>
      </c>
      <c r="CM199" s="65">
        <f t="shared" ref="CM199:CM206" si="549">COUNTIF(CE199:CG199,"NA")*10</f>
        <v>0</v>
      </c>
      <c r="CN199" s="65">
        <f t="shared" ref="CN199:CN206" si="550">(COUNTIF(CE199:CG199,"ML")*10)+(COUNTIF(CI199,"ML")*70)+(COUNTIF(CK199,"ML")*100)</f>
        <v>0</v>
      </c>
      <c r="CO199" s="66" t="str">
        <f t="shared" ref="CO199:CO206" si="551">IF(AND(CE199="",CF199="",CG199="",CI199="",CK199=""),"",IF(AND(CF199="",CE199="",CG199=""),170-CM199-CN199,IF(AND(CI199=""),130-CM199-CN199,IF(CK199="",100-CM199-CN199,200-CM199-CN199))))</f>
        <v/>
      </c>
      <c r="CP199" s="65" t="str">
        <f t="shared" ref="CP199:CP206" si="552">IF(OR($B199="NSO",$B199="",CK199=""),"",IF(AND(OR(CE199="ab",CE199="ml"),OR(CF199="ab",CF199="ml"),OR(CG199="ab",CG199="ml")),"AB",IF(AND(OR(CE199="NA",CE199=""),OR(CF199="NA",CF199=""),OR(CG199="NA",CG199="")),"AB",IF(AND(OR(CE199="ab",CE199="ml"),OR(CF199="ab",CF199="ml"),OR(CI199="ab",CI199="ml")),"AB",IF(AND(OR(CI199="ab",CI199="ml"),OR(CK199="ab",CK199="ml"),OR(CI199="ab",CK199="ml")),"AB",IF(AND(OR(CK199="ab",CK199="ml"),OR(CE199="ab",CE199="ml"),OR(CF199="ab",CF199="ml")),"AB",""))))))</f>
        <v/>
      </c>
      <c r="CQ199" s="65" t="str">
        <f t="shared" ref="CQ199:CQ206" si="553">IF(OR($B199="NSO",$B199="",CK199=""),"",IF(OR(CP199="AB",CK199="ab"),"AB",IF(CK199="ML","RE",IF(CK199&lt;20%*$CK$6,"F",IF(AND(CL199&gt;=36%*CO199,CK199&gt;=20),"P",IF(AND(CL199&gt;=34%*CO199,CN199=0,CK199&gt;=20),"G2",IF(AND(CL199&gt;=31%*CO199,CN199=0,CK199&gt;=20),"G1",IF(CL199&gt;=25%*CO199,"S","F"))))))))</f>
        <v/>
      </c>
      <c r="CR199" s="65" t="str">
        <f t="shared" ref="CR199:CR206" si="554">IF(OR(CQ199="",CQ199=0,CQ199="S",CQ199="RE",CQ199="F",CQ199="AB"),CQ199,IF(CL199&gt;=75%*CO199,"D",IF(CL199&gt;=60%*CO199,"I",IF(CL199&gt;=48%*CO199,"II",IF(CL199&gt;=36%*CO199,"III",CQ199)))))</f>
        <v/>
      </c>
      <c r="CS199" s="616" t="str">
        <f>IF('School Profile'!$D$20="NO","",IF('Marks Entry'!AQ199="","",IF('Marks Entry'!AQ199=1,'School Profile'!$I$29,IF('Marks Entry'!AQ199=2,'School Profile'!$I$30,IF('Marks Entry'!AQ199=3,'School Profile'!$I$31,IF('Marks Entry'!AQ199=4,'School Profile'!$I$32,IF('Marks Entry'!AQ199=5,'School Profile'!$I$33,IF('Marks Entry'!AQ199=6,'School Profile'!$I$34,IF('Marks Entry'!AQ199=7,'School Profile'!$I$35,IF('Marks Entry'!AQ199=8,'School Profile'!$I$36,IF('Marks Entry'!AQ199=9,'School Profile'!$I$37,IF('Marks Entry'!AQ199=10,'School Profile'!$I$38,IF('Marks Entry'!AQ199=11,'School Profile'!$I$39,"")))))))))))))</f>
        <v/>
      </c>
      <c r="CT199" s="68" t="str">
        <f>IF('School Profile'!$D$20="NO","",IF('Marks Entry'!AR199="","",'Marks Entry'!AR199))</f>
        <v/>
      </c>
      <c r="CU199" s="68" t="str">
        <f>IF('School Profile'!$D$20="NO","",IF('Marks Entry'!AS199="","",'Marks Entry'!AS199))</f>
        <v/>
      </c>
      <c r="CV199" s="68" t="str">
        <f>IF('School Profile'!$D$20="NO","",IF('Marks Entry'!AT199="","",'Marks Entry'!AT199))</f>
        <v/>
      </c>
      <c r="CW199" s="514" t="str">
        <f>IF('School Profile'!$D$20="NO","",IF(AND(CT199="",CU199="",CV199=""),"",SUM(CT199:CV199)))</f>
        <v/>
      </c>
      <c r="CX199" s="68" t="str">
        <f>IF('School Profile'!$D$20="NO","",IF('Marks Entry'!AU199="","",'Marks Entry'!AU199))</f>
        <v/>
      </c>
      <c r="CY199" s="68" t="str">
        <f>IF('School Profile'!$D$20="NO","",IF('Marks Entry'!AV199="","",'Marks Entry'!AV199))</f>
        <v/>
      </c>
      <c r="CZ199" s="515" t="str">
        <f>IF('School Profile'!$D$20="NO","",IF(AND(CX199="",CY199=""),"",SUM(CX199,CY199)))</f>
        <v/>
      </c>
      <c r="DA199" s="69" t="str">
        <f>IF('School Profile'!$D$20="NO","",IF(AND(CW199="",CZ199=""),"",SUM(CW199+CZ199)))</f>
        <v/>
      </c>
      <c r="DB199" s="68" t="str">
        <f>IF('School Profile'!$D$20="NO","",IF('Marks Entry'!AW199="","",'Marks Entry'!AW199))</f>
        <v/>
      </c>
      <c r="DC199" s="68" t="str">
        <f>IF('School Profile'!$D$20="NO","",IF('Marks Entry'!AX199="","",'Marks Entry'!AX199))</f>
        <v/>
      </c>
      <c r="DD199" s="515" t="str">
        <f>IF('School Profile'!$D$20="NO","",IF(AND(DB199="",DC199=""),"",SUM(DB199,DC199)))</f>
        <v/>
      </c>
      <c r="DE199" s="96" t="str">
        <f>IF('School Profile'!$D$20="NO","",IF(AND(DA199="",DD199=""),"",SUM(DA199,DD199)))</f>
        <v/>
      </c>
      <c r="DF199" s="532">
        <f t="shared" ref="DF199:DF206" si="555">COUNTIF(CX199:CZ199,"NA")*10</f>
        <v>0</v>
      </c>
      <c r="DG199" s="65">
        <f t="shared" ref="DG199:DG206" si="556">(COUNTIF(CX199:CZ199,"ML")*10)+(COUNTIF(DB199,"ML")*70)+(COUNTIF(DD199,"ML")*100)</f>
        <v>0</v>
      </c>
      <c r="DH199" s="66" t="str">
        <f t="shared" ref="DH199:DH206" si="557">IF(AND(CX199="",CY199="",CZ199="",DB199="",DD199=""),"",IF(AND(CY199="",CX199="",CZ199=""),170-DF199-DG199,IF(AND(DB199=""),130-DF199-DG199,IF(DD199="",100-DF199-DG199,200-DF199-DG199))))</f>
        <v/>
      </c>
      <c r="DI199" s="65" t="str">
        <f t="shared" ref="DI199:DI206" si="558">IF(OR($B199="NSO",$B199="",DD199=""),"",IF(AND(OR(CX199="ab",CX199="ml"),OR(CY199="ab",CY199="ml"),OR(CZ199="ab",CZ199="ml")),"AB",IF(AND(OR(CX199="NA",CX199=""),OR(CY199="NA",CY199=""),OR(CZ199="NA",CZ199="")),"AB",IF(AND(OR(CX199="ab",CX199="ml"),OR(CY199="ab",CY199="ml"),OR(DB199="ab",DB199="ml")),"AB",IF(AND(OR(DB199="ab",DB199="ml"),OR(DD199="ab",DD199="ml"),OR(DB199="ab",DD199="ml")),"AB",IF(AND(OR(DD199="ab",DD199="ml"),OR(CX199="ab",CX199="ml"),OR(CY199="ab",CY199="ml")),"AB",""))))))</f>
        <v/>
      </c>
      <c r="DJ199" s="65" t="str">
        <f t="shared" ref="DJ199:DJ206" si="559">IF(OR($B199="NSO",$B199="",DD199=""),"",IF(OR(DI199="AB",DD199="ab"),"AB",IF(DD199="ML","RE",IF(DD199&lt;20%*$DD$6,"F",IF(AND(DE199&gt;=36%*DH199,DD199&gt;=20),"P",IF(AND(DE199&gt;=34%*DH199,DG199=0,DD199&gt;=20),"G2",IF(AND(DE199&gt;=31%*DH199,DG199=0,DD199&gt;=20),"G1",IF(DE199&gt;=25%*DH199,"S","F"))))))))</f>
        <v/>
      </c>
      <c r="DK199" s="65" t="str">
        <f t="shared" ref="DK199:DK206" si="560">IF(OR(DJ199="",DJ199=0,DJ199="S",DJ199="RE",DJ199="F",DJ199="AB"),DJ199,IF(DE199&gt;=75%*DH199,"D",IF(DE199&gt;=60%*DH199,"I",IF(DE199&gt;=48%*DH199,"II",IF(DE199&gt;=36%*DH199,"III",DJ199)))))</f>
        <v/>
      </c>
      <c r="DL199" s="97" t="str">
        <f t="shared" si="432"/>
        <v/>
      </c>
      <c r="DM199" s="97" t="str">
        <f t="shared" si="433"/>
        <v/>
      </c>
      <c r="DN199" s="97" t="str">
        <f t="shared" si="434"/>
        <v/>
      </c>
      <c r="DO199" s="97" t="str">
        <f t="shared" si="435"/>
        <v/>
      </c>
      <c r="DP199" s="97" t="str">
        <f t="shared" si="436"/>
        <v/>
      </c>
      <c r="DQ199" s="97" t="str">
        <f t="shared" si="437"/>
        <v/>
      </c>
      <c r="DR199" s="97" t="str">
        <f t="shared" si="438"/>
        <v/>
      </c>
      <c r="DS199" s="98">
        <f t="shared" si="439"/>
        <v>0</v>
      </c>
      <c r="DT199" s="98">
        <f t="shared" si="440"/>
        <v>0</v>
      </c>
      <c r="DU199" s="98">
        <f t="shared" si="441"/>
        <v>0</v>
      </c>
      <c r="DV199" s="98">
        <f t="shared" si="442"/>
        <v>0</v>
      </c>
      <c r="DW199" s="98">
        <f t="shared" si="443"/>
        <v>0</v>
      </c>
      <c r="DX199" s="98" t="str">
        <f t="shared" si="444"/>
        <v/>
      </c>
      <c r="DY199" s="99" t="str">
        <f t="shared" si="445"/>
        <v/>
      </c>
      <c r="DZ199" s="74" t="str">
        <f>IF('Marks Entry'!AY199="","",'Marks Entry'!AY199)</f>
        <v/>
      </c>
      <c r="EA199" s="74" t="str">
        <f>IF('Marks Entry'!AZ199="","",'Marks Entry'!AZ199)</f>
        <v/>
      </c>
      <c r="EB199" s="74" t="str">
        <f>IF('Marks Entry'!BA199="","",'Marks Entry'!BA199)</f>
        <v/>
      </c>
      <c r="EC199" s="527" t="str">
        <f t="shared" ref="EC199:EC206" si="561">IF(AND(DZ199="",EA199="",EB199=""),"",SUM(DZ199:EB199))</f>
        <v/>
      </c>
      <c r="ED199" s="74" t="str">
        <f>IF('Marks Entry'!BB199="","",'Marks Entry'!BB199)</f>
        <v/>
      </c>
      <c r="EE199" s="528" t="str">
        <f t="shared" ref="EE199:EE206" si="562">IF(AND(EC199="",ED199=""),"",SUM(EC199,ED199))</f>
        <v/>
      </c>
      <c r="EF199" s="74" t="str">
        <f>IF('Marks Entry'!BC199="","",'Marks Entry'!BC199)</f>
        <v/>
      </c>
      <c r="EG199" s="530" t="str">
        <f t="shared" ref="EG199:EG206" si="563">IF(AND(EF199="",EE199=""),"",SUM(EE199,EF199))</f>
        <v/>
      </c>
      <c r="EH199" s="368" t="str">
        <f t="shared" si="446"/>
        <v/>
      </c>
      <c r="EI199" s="65">
        <f t="shared" si="447"/>
        <v>0</v>
      </c>
      <c r="EJ199" s="65">
        <f t="shared" si="448"/>
        <v>0</v>
      </c>
      <c r="EK199" s="66" t="str">
        <f t="shared" si="449"/>
        <v/>
      </c>
      <c r="EL199" s="74" t="str">
        <f>IF('Marks Entry'!BD199="","",'Marks Entry'!BD199)</f>
        <v/>
      </c>
      <c r="EM199" s="74" t="str">
        <f>IF('Marks Entry'!BE199="","",'Marks Entry'!BE199)</f>
        <v/>
      </c>
      <c r="EN199" s="74" t="str">
        <f>IF('Marks Entry'!BF199="","",'Marks Entry'!BF199)</f>
        <v/>
      </c>
      <c r="EO199" s="527" t="str">
        <f t="shared" ref="EO199:EO206" si="564">IF(AND(EL199="",EM199="",EN199=""),"",SUM(EL199:EN199))</f>
        <v/>
      </c>
      <c r="EP199" s="74" t="str">
        <f>IF('Marks Entry'!BG199="","",'Marks Entry'!BG199)</f>
        <v/>
      </c>
      <c r="EQ199" s="74" t="str">
        <f>IF('Marks Entry'!BH199="","",'Marks Entry'!BH199)</f>
        <v/>
      </c>
      <c r="ER199" s="528" t="str">
        <f t="shared" ref="ER199:ER206" si="565">IF(AND(EP199="",EQ199=""),"",SUM(EP199,EQ199))</f>
        <v/>
      </c>
      <c r="ES199" s="529" t="str">
        <f t="shared" ref="ES199:ES206" si="566">IF(AND(EO199="",ER199=""),"",SUM(EO199+ER199))</f>
        <v/>
      </c>
      <c r="ET199" s="74" t="str">
        <f>IF('Marks Entry'!BI199="","",'Marks Entry'!BI199)</f>
        <v/>
      </c>
      <c r="EU199" s="74" t="str">
        <f>IF('Marks Entry'!BJ199="","",'Marks Entry'!BJ199)</f>
        <v/>
      </c>
      <c r="EV199" s="528" t="str">
        <f t="shared" ref="EV199:EV206" si="567">IF(AND(ET199="",EU199=""),"",SUM(ET199,EU199))</f>
        <v/>
      </c>
      <c r="EW199" s="530" t="str">
        <f t="shared" ref="EW199:EW206" si="568">IF(AND(ES199="",EV199=""),"",SUM(ES199,EV199))</f>
        <v/>
      </c>
      <c r="EX199" s="368" t="str">
        <f t="shared" si="450"/>
        <v/>
      </c>
      <c r="EY199" s="65">
        <f t="shared" si="451"/>
        <v>0</v>
      </c>
      <c r="EZ199" s="65">
        <f t="shared" si="452"/>
        <v>0</v>
      </c>
      <c r="FA199" s="66" t="str">
        <f t="shared" si="453"/>
        <v/>
      </c>
      <c r="FB199" s="74" t="str">
        <f>IF('Marks Entry'!BK199="","",'Marks Entry'!BK199)</f>
        <v/>
      </c>
      <c r="FC199" s="74" t="str">
        <f>IF('Marks Entry'!BL199="","",'Marks Entry'!BL199)</f>
        <v/>
      </c>
      <c r="FD199" s="74" t="str">
        <f>IF('Marks Entry'!BM199="","",'Marks Entry'!BM199)</f>
        <v/>
      </c>
      <c r="FE199" s="74" t="str">
        <f>IF('Marks Entry'!BN199="","",'Marks Entry'!BN199)</f>
        <v/>
      </c>
      <c r="FF199" s="74" t="str">
        <f>IF('Marks Entry'!BO199="","",'Marks Entry'!BO199)</f>
        <v/>
      </c>
      <c r="FG199" s="74" t="str">
        <f>IF('Marks Entry'!BP199="","",'Marks Entry'!BP199)</f>
        <v/>
      </c>
      <c r="FH199" s="527" t="str">
        <f t="shared" ref="FH199:FH206" si="569">IF(AND(FB199="",FC199="",FE199="",FF199="",FG199=""),"",SUM(FB199:FG199))</f>
        <v/>
      </c>
      <c r="FI199" s="74" t="str">
        <f>IF('Marks Entry'!BQ199="","",'Marks Entry'!BQ199)</f>
        <v/>
      </c>
      <c r="FJ199" s="74" t="str">
        <f>IF('Marks Entry'!BR199="","",'Marks Entry'!BR199)</f>
        <v/>
      </c>
      <c r="FK199" s="528" t="str">
        <f t="shared" ref="FK199:FK206" si="570">IF(AND(FI199="",FJ199=""),"",SUM(FI199,FJ199))</f>
        <v/>
      </c>
      <c r="FL199" s="529" t="str">
        <f t="shared" ref="FL199:FL206" si="571">IF(AND(FH199="",FK199=""),"",SUM(FH199+FK199))</f>
        <v/>
      </c>
      <c r="FM199" s="74" t="str">
        <f>IF('Marks Entry'!BS199="","",'Marks Entry'!BS199)</f>
        <v/>
      </c>
      <c r="FN199" s="74" t="str">
        <f>IF('Marks Entry'!BT199="","",'Marks Entry'!BT199)</f>
        <v/>
      </c>
      <c r="FO199" s="528" t="str">
        <f t="shared" ref="FO199:FO206" si="572">IF(AND(FM199="",FN199=""),"",SUM(FM199,FN199))</f>
        <v/>
      </c>
      <c r="FP199" s="530" t="str">
        <f t="shared" ref="FP199:FP206" si="573">IF(AND(FL199="",FO199=""),"",SUM(FL199,FO199))</f>
        <v/>
      </c>
      <c r="FQ199" s="368" t="str">
        <f t="shared" si="454"/>
        <v/>
      </c>
      <c r="FR199" s="65">
        <f t="shared" si="455"/>
        <v>0</v>
      </c>
      <c r="FS199" s="65">
        <f t="shared" si="456"/>
        <v>0</v>
      </c>
      <c r="FT199" s="66" t="str">
        <f t="shared" si="457"/>
        <v/>
      </c>
      <c r="FU199" s="74" t="str">
        <f>IF('Marks Entry'!BU199="","",'Marks Entry'!BU199)</f>
        <v/>
      </c>
      <c r="FV199" s="74" t="str">
        <f>IF('Marks Entry'!BV199="","",'Marks Entry'!BV199)</f>
        <v/>
      </c>
      <c r="FW199" s="74" t="str">
        <f>IF('Marks Entry'!BW199="","",'Marks Entry'!BW199)</f>
        <v/>
      </c>
      <c r="FX199" s="75" t="str">
        <f t="shared" ref="FX199:FX206" si="574">IF(AND(FU199="",FV199="",FW199=""),"",SUM(FU199,FV199,FW199))</f>
        <v/>
      </c>
      <c r="FY199" s="368" t="str">
        <f t="shared" si="458"/>
        <v/>
      </c>
      <c r="FZ199" s="65">
        <f t="shared" si="459"/>
        <v>0</v>
      </c>
      <c r="GA199" s="66">
        <f t="shared" si="460"/>
        <v>0</v>
      </c>
      <c r="GB199" s="66" t="str">
        <f t="shared" si="461"/>
        <v/>
      </c>
      <c r="GC199" s="74" t="str">
        <f>IF('Marks Entry'!BX199="","",'Marks Entry'!BX199)</f>
        <v/>
      </c>
      <c r="GD199" s="74" t="str">
        <f>IF('Marks Entry'!BY199="","",'Marks Entry'!BY199)</f>
        <v/>
      </c>
      <c r="GE199" s="74" t="str">
        <f>IF('Marks Entry'!BZ199="","",'Marks Entry'!BZ199)</f>
        <v/>
      </c>
      <c r="GF199" s="75" t="str">
        <f t="shared" si="462"/>
        <v/>
      </c>
      <c r="GG199" s="368" t="str">
        <f t="shared" si="463"/>
        <v/>
      </c>
      <c r="GH199" s="65">
        <f t="shared" si="464"/>
        <v>0</v>
      </c>
      <c r="GI199" s="66">
        <f t="shared" si="465"/>
        <v>0</v>
      </c>
      <c r="GJ199" s="66" t="str">
        <f t="shared" si="466"/>
        <v/>
      </c>
      <c r="GK199" s="100" t="str">
        <f>IF(AND(F199="",B199=""),"",IF('Student DATA Entry'!M196="","",'Student DATA Entry'!M196))</f>
        <v/>
      </c>
      <c r="GL199" s="101" t="str">
        <f>IF(AND(B199="",F199=""),"",IF('Student DATA Entry'!N196="","",'Student DATA Entry'!N196))</f>
        <v/>
      </c>
      <c r="GM199" s="581" t="str">
        <f t="shared" si="467"/>
        <v/>
      </c>
      <c r="GN199" s="94" t="str">
        <f t="shared" si="468"/>
        <v/>
      </c>
      <c r="GO199" s="94" t="str">
        <f t="shared" si="469"/>
        <v/>
      </c>
      <c r="GP199" s="102" t="str">
        <f t="shared" ref="GP199:GP206" si="575">IF(GN199="G",ROUNDUP(36%*U199-R199,0),"")</f>
        <v/>
      </c>
      <c r="GQ199" s="94" t="str">
        <f t="shared" si="470"/>
        <v/>
      </c>
      <c r="GR199" s="103" t="str">
        <f t="shared" si="471"/>
        <v/>
      </c>
      <c r="GS199" s="102" t="str">
        <f t="shared" ref="GS199:GS206" si="576">IF(GQ199="G",ROUNDUP(36%*AI199-AF199,0),"")</f>
        <v/>
      </c>
      <c r="GT199" s="104" t="str">
        <f t="shared" si="472"/>
        <v/>
      </c>
      <c r="GU199" s="94" t="str">
        <f>IF('Marks Entry'!V199=1,GT199,"")</f>
        <v/>
      </c>
      <c r="GV199" s="94" t="str">
        <f>IF('Marks Entry'!V199=2,GT199,"")</f>
        <v/>
      </c>
      <c r="GW199" s="94" t="str">
        <f>IF('Marks Entry'!V199=3,GT199,"")</f>
        <v/>
      </c>
      <c r="GX199" s="94" t="str">
        <f>IF('Marks Entry'!V199=4,GT199,"")</f>
        <v/>
      </c>
      <c r="GY199" s="94" t="str">
        <f>IF('Marks Entry'!V199=5,GT199,"")</f>
        <v/>
      </c>
      <c r="GZ199" s="94" t="str">
        <f t="shared" si="473"/>
        <v/>
      </c>
      <c r="HA199" s="105" t="str">
        <f t="shared" ref="HA199:HA206" si="577">IF(GT199="G",ROUNDUP(36%*AX199-AU199,0),"")</f>
        <v/>
      </c>
      <c r="HB199" s="94" t="str">
        <f t="shared" si="474"/>
        <v/>
      </c>
      <c r="HC199" s="94" t="str">
        <f t="shared" si="475"/>
        <v/>
      </c>
      <c r="HD199" s="105" t="str">
        <f t="shared" ref="HD199:HD206" si="578">IF(HB199="G",ROUNDUP(36%*BL199-BI199,0),"")</f>
        <v/>
      </c>
      <c r="HE199" s="94" t="str">
        <f t="shared" si="476"/>
        <v/>
      </c>
      <c r="HF199" s="94" t="str">
        <f t="shared" si="477"/>
        <v/>
      </c>
      <c r="HG199" s="105" t="str">
        <f t="shared" ref="HG199:HG206" si="579">IF(HE199="G",ROUNDUP(36%*BZ199-BW199,0),"")</f>
        <v/>
      </c>
      <c r="HH199" s="94" t="str">
        <f t="shared" si="478"/>
        <v/>
      </c>
      <c r="HI199" s="94" t="str">
        <f t="shared" si="479"/>
        <v/>
      </c>
      <c r="HJ199" s="105" t="str">
        <f t="shared" ref="HJ199:HJ206" si="580">IF(HH199="G",ROUNDUP(36%*CO199-CL199,0),"")</f>
        <v/>
      </c>
      <c r="HK199" s="94" t="str">
        <f t="shared" si="480"/>
        <v/>
      </c>
      <c r="HL199" s="94" t="str">
        <f t="shared" si="481"/>
        <v/>
      </c>
      <c r="HM199" s="105" t="str">
        <f t="shared" ref="HM199:HM206" si="581">IF(HK199="G",ROUNDUP(36%*DH199-DE199,0),"")</f>
        <v/>
      </c>
      <c r="HN199" s="367" t="str">
        <f t="shared" si="482"/>
        <v xml:space="preserve">      </v>
      </c>
      <c r="HO199" s="418" t="str">
        <f t="shared" ref="HO199:HO206" si="582">IF(COUNTIF(DL199:DR199,"F")&gt;0,"",CONCATENATE(IF(GN199="S",$GN$5,"")," ",IF(GQ199="S",$GQ$5,"")," ",IF(GU199="S",$GU$5,IF(GV199="S",$GV$5,IF(GW199="S",$GW$5,IF(GX199="S",$GX$5,IF(GY199="S",$GY$5,"")))))," ",IF(HB199="S",$HB$5,"")," ",IF(HE199="S",$HE$5,"")," ",IF(HH199="S",$HH$5,"")," ",IF(HK199="S",$HK$5,"")))</f>
        <v xml:space="preserve">      </v>
      </c>
      <c r="HP199" s="367" t="str">
        <f t="shared" si="483"/>
        <v xml:space="preserve">      </v>
      </c>
      <c r="HQ199" s="107" t="str">
        <f t="shared" si="484"/>
        <v xml:space="preserve">      </v>
      </c>
      <c r="HR199" s="366" t="str">
        <f t="shared" si="485"/>
        <v xml:space="preserve">      </v>
      </c>
      <c r="HS199" s="544" t="str">
        <f t="shared" ref="HS199:HS206" si="583">IF(B199="NSO","NSO",IF(AND(OR(DY199="PASS",DY199="BY GRACE PASS",DY199="RE-EXAM"),DX199="F"),"FAIL",IF(AND(OR(DY199="PASS",DY199="BY GRACE PASS"),DX199="RE"),"RE-EXAM",DY199)))</f>
        <v/>
      </c>
      <c r="HT199" s="542" t="str">
        <f t="shared" si="486"/>
        <v/>
      </c>
      <c r="HU199" s="541" t="str">
        <f t="shared" si="487"/>
        <v/>
      </c>
      <c r="HV199" s="540" t="str">
        <f t="shared" si="488"/>
        <v/>
      </c>
      <c r="HW199" s="537" t="str">
        <f t="shared" si="489"/>
        <v/>
      </c>
      <c r="HX199" s="539" t="str">
        <f t="shared" si="490"/>
        <v/>
      </c>
      <c r="HY199" s="553" t="str">
        <f>IFERROR(IF(OR(HS199="SUPPLEMENTARY",HS199="RE-EXAM"),'Supp. Result Entry'!AQ197,""),"")</f>
        <v/>
      </c>
      <c r="HZ199" s="538" t="str">
        <f t="shared" si="491"/>
        <v/>
      </c>
      <c r="IA199" s="415" t="str">
        <f t="shared" si="492"/>
        <v/>
      </c>
      <c r="IB199" s="415" t="str">
        <f>IF(AND(HZ199="",IA199=""),"",IF(OR(HS199="SUPPLEMENTARY",HS199="RE-EXAM"),'Supp. Result Entry'!AQ197,HS199))</f>
        <v/>
      </c>
      <c r="IC199" s="87"/>
      <c r="IS199" s="109" t="str">
        <f>IF('Supp. Result Entry'!T197="","",'Supp. Result Entry'!$T$4)</f>
        <v/>
      </c>
      <c r="IT199" s="110" t="str">
        <f>IF('Supp. Result Entry'!W197="","",'Supp. Result Entry'!$W$4)</f>
        <v/>
      </c>
      <c r="IU199" s="110" t="str">
        <f>IF('Supp. Result Entry'!Z197="","",'Supp. Result Entry'!$Z$4)</f>
        <v/>
      </c>
      <c r="IV199" s="110" t="str">
        <f>IF('Supp. Result Entry'!AC197="","",'Supp. Result Entry'!$AC$4)</f>
        <v/>
      </c>
      <c r="IW199" s="110" t="str">
        <f>IF('Supp. Result Entry'!AF197="","",'Supp. Result Entry'!$AF$4)</f>
        <v/>
      </c>
      <c r="IX199" s="110" t="str">
        <f>IF('Supp. Result Entry'!AI197="","",'Supp. Result Entry'!$AI$4)</f>
        <v/>
      </c>
      <c r="IY199" s="110" t="str">
        <f>IF('Supp. Result Entry'!AI197="","",'Supp. Result Entry'!$AL$4)</f>
        <v/>
      </c>
      <c r="IZ199" s="110" t="str">
        <f>IF('Supp. Result Entry'!U197="","",'Supp. Result Entry'!U197)</f>
        <v/>
      </c>
      <c r="JA199" s="110" t="str">
        <f>IF('Supp. Result Entry'!X197="","",'Supp. Result Entry'!X197)</f>
        <v/>
      </c>
      <c r="JB199" s="110" t="str">
        <f>IF('Supp. Result Entry'!AA197="","",'Supp. Result Entry'!AA197)</f>
        <v/>
      </c>
      <c r="JC199" s="110" t="str">
        <f>IF('Supp. Result Entry'!AD197="","",'Supp. Result Entry'!AD197)</f>
        <v/>
      </c>
      <c r="JD199" s="110" t="str">
        <f>IF('Supp. Result Entry'!AG197="","",'Supp. Result Entry'!AG197)</f>
        <v/>
      </c>
      <c r="JE199" s="110" t="str">
        <f>IF('Supp. Result Entry'!AJ197="","",'Supp. Result Entry'!AJ197)</f>
        <v/>
      </c>
      <c r="JF199" s="110" t="str">
        <f>IF('Supp. Result Entry'!AM197="","",'Supp. Result Entry'!AM197)</f>
        <v/>
      </c>
      <c r="JG199" s="110" t="str">
        <f>IF('Supp. Result Entry'!V197="","",'Supp. Result Entry'!V197)</f>
        <v/>
      </c>
      <c r="JH199" s="110" t="str">
        <f>IF('Supp. Result Entry'!Y197="","",'Supp. Result Entry'!Y197)</f>
        <v/>
      </c>
      <c r="JI199" s="110" t="str">
        <f>IF('Supp. Result Entry'!AB197="","",'Supp. Result Entry'!AB197)</f>
        <v/>
      </c>
      <c r="JJ199" s="110" t="str">
        <f>IF('Supp. Result Entry'!AE197="","",'Supp. Result Entry'!AE197)</f>
        <v/>
      </c>
      <c r="JK199" s="110" t="str">
        <f>IF('Supp. Result Entry'!AH197="","",'Supp. Result Entry'!AH197)</f>
        <v/>
      </c>
      <c r="JL199" s="110" t="str">
        <f>IF('Supp. Result Entry'!AK197="","",'Supp. Result Entry'!AK197)</f>
        <v/>
      </c>
      <c r="JM199" s="110" t="str">
        <f>IF('Supp. Result Entry'!AN197="","",'Supp. Result Entry'!AN197)</f>
        <v/>
      </c>
      <c r="JN199" s="110">
        <f>COUNTIF('Supp. Result Entry'!K197:Q197,"S")</f>
        <v>0</v>
      </c>
      <c r="JO199" s="110">
        <f t="shared" ref="JO199:JO218" si="584">COUNTIF(GN199:HM199,"RE")+COUNTIF(GN199:HM199,"REP")</f>
        <v>0</v>
      </c>
      <c r="JP199" s="110">
        <f t="shared" si="493"/>
        <v>0</v>
      </c>
      <c r="JQ199" s="110" t="str">
        <f t="shared" ref="JQ199:JQ218" si="585">IF(OR(JN199=0,JN199&lt;JP199),"",IF(OR(GN199="RE",GN199="REP"),SUM(R199,IZ199),IF(GN199="S",IZ199,R199)))</f>
        <v/>
      </c>
      <c r="JR199" s="110" t="str">
        <f t="shared" ref="JR199:JR218" si="586">IF(OR(JN199=0,JN199&lt;JP199),"",IF(OR(GQ199="RE",GQ199="REP"),SUM(AF199,JA199),IF(GQ199="S",JA199,AF199)))</f>
        <v/>
      </c>
      <c r="JS199" s="110" t="str">
        <f t="shared" ref="JS199:JS218" si="587">IF(OR(JN199=0,JN199&lt;JP199),"",IF(OR(GT199="RE",GT199="REP"),SUM(AU199,JB199),IF(GT199="S",JB199,AU199)))</f>
        <v/>
      </c>
      <c r="JT199" s="110" t="str">
        <f t="shared" ref="JT199:JT218" si="588">IF(OR(JN199=0,JN199&lt;JP199),"",IF(OR(HB199="RE",HB199="REP"),SUM(BI199,JC199),IF(HB199="S",JC199,BI199)))</f>
        <v/>
      </c>
      <c r="JU199" s="110" t="str">
        <f t="shared" ref="JU199:JU218" si="589">IF(OR(JN199=0,JN199&lt;JP199),"",IF(OR(HE199="RE",HE199="REP"),SUM(BW199,JD199),IF(HE199="S",JD199,BW199)))</f>
        <v/>
      </c>
      <c r="JV199" s="110" t="str">
        <f t="shared" ref="JV199:JV218" si="590">IF(OR(JN199=0,JN199&lt;JP199),"",IF(OR(HH199="RE",HH199="REP"),SUM(CL199,JE199),IF(HH199="S",JE199,CL199)))</f>
        <v/>
      </c>
      <c r="JW199" s="110" t="str">
        <f t="shared" ref="JW199:JW218" si="591">IF(OR(JN199=0,JN199&lt;JP199),"",IF(OR(HK199="RE",HK199="REP"),SUM(DE199,JF199),IF(HK199="S",JF199,DE199)))</f>
        <v/>
      </c>
      <c r="JX199" s="110" t="str">
        <f t="shared" si="494"/>
        <v/>
      </c>
      <c r="JY199" s="110" t="str">
        <f t="shared" si="495"/>
        <v/>
      </c>
      <c r="JZ199" s="110" t="str">
        <f t="shared" ref="JZ199:JZ218" si="592">IF(OR(JN199=0,JN199&lt;JP199),"",SUM(($R$6+$AF$6+$AU$6+$BI$6+$BW$6+$CL$6))-(JP199*100))</f>
        <v/>
      </c>
      <c r="KA199" s="108" t="str">
        <f t="shared" si="496"/>
        <v/>
      </c>
    </row>
    <row r="200" spans="1:287" s="108" customFormat="1" ht="21.95" customHeight="1">
      <c r="A200" s="89">
        <v>194</v>
      </c>
      <c r="B200" s="90" t="str">
        <f>IF('Marks Entry'!B200="","",'Marks Entry'!B200)</f>
        <v/>
      </c>
      <c r="C200" s="94" t="str">
        <f>IF('Marks Entry'!D200="","",'Marks Entry'!D200)</f>
        <v/>
      </c>
      <c r="D200" s="91" t="str">
        <f>IF('Marks Entry'!E200="","",'Marks Entry'!E200)</f>
        <v/>
      </c>
      <c r="E200" s="92" t="str">
        <f>IF('Marks Entry'!F200="","",'Marks Entry'!F200)</f>
        <v/>
      </c>
      <c r="F200" s="93" t="str">
        <f>IF('Marks Entry'!G200="","",'Marks Entry'!G200)</f>
        <v/>
      </c>
      <c r="G200" s="93" t="str">
        <f>IF('Marks Entry'!H200="","",'Marks Entry'!H200)</f>
        <v/>
      </c>
      <c r="H200" s="93" t="str">
        <f>IF('Marks Entry'!I200="","",'Marks Entry'!I200)</f>
        <v/>
      </c>
      <c r="I200" s="94" t="str">
        <f>IF('Marks Entry'!J200="","",'Marks Entry'!J200)</f>
        <v/>
      </c>
      <c r="J200" s="95" t="str">
        <f>IF('Marks Entry'!K200="","",'Marks Entry'!K200)</f>
        <v/>
      </c>
      <c r="K200" s="68" t="str">
        <f>IF('Marks Entry'!L200="","",'Marks Entry'!L200)</f>
        <v/>
      </c>
      <c r="L200" s="68" t="str">
        <f>IF('Marks Entry'!M200="","",'Marks Entry'!M200)</f>
        <v/>
      </c>
      <c r="M200" s="68" t="str">
        <f>IF('Marks Entry'!N200="","",'Marks Entry'!N200)</f>
        <v/>
      </c>
      <c r="N200" s="514" t="str">
        <f t="shared" ref="N200:N206" si="593">IF(AND(K200="",L200="",M200=""),"",IF(AND(K200="AB",L200="AB",M200="AB"),"AB",IF(AND(K200="ML",L200="ML",M200="ML"),"ML",SUM(K200:M200))))</f>
        <v/>
      </c>
      <c r="O200" s="68" t="str">
        <f>IF('Marks Entry'!O200="","",'Marks Entry'!O200)</f>
        <v/>
      </c>
      <c r="P200" s="515" t="str">
        <f t="shared" ref="P200:P206" si="594">IF(AND(N200="",O200=""),"",SUM(N200,O200))</f>
        <v/>
      </c>
      <c r="Q200" s="68" t="str">
        <f>IF('Marks Entry'!P200="","",'Marks Entry'!P200)</f>
        <v/>
      </c>
      <c r="R200" s="96" t="str">
        <f t="shared" ref="R200:R206" si="595">IF(AND(P200="",Q200=""),"",SUM(Q200,P200))</f>
        <v/>
      </c>
      <c r="S200" s="65">
        <f t="shared" ref="S200:S206" si="596">COUNTIF(K200:M200,"NA")*$K$6</f>
        <v>0</v>
      </c>
      <c r="T200" s="65">
        <f t="shared" ref="T200:T206" si="597">(COUNTIF(K200:M200,"ML")*$K$6)+(COUNTIF(O200,"ML")*$O$6)+(COUNTIF(Q200,"ML")*$Q$6)</f>
        <v>0</v>
      </c>
      <c r="U200" s="66" t="str">
        <f t="shared" si="507"/>
        <v/>
      </c>
      <c r="V200" s="65" t="str">
        <f t="shared" si="508"/>
        <v/>
      </c>
      <c r="W200" s="65" t="str">
        <f t="shared" ref="W200:W206" si="598">IF(OR($B200="NSO",$B200="",Q200=""),"",IF(OR(V200="AB",Q200="ab"),"AB",IF(Q200="ML","RE",IF(Q200&lt;20%*$Q$6,"F",IF(AND(R200&gt;=36%*U200,Q200&gt;=20%*$Q$6),"P",IF(AND(R200&gt;=34%*U200,T200=0,Q200&gt;=20%*$Q$6),"G2",IF(AND(R200&gt;=31%*U200,T200=0,Q200&gt;=20%*$Q$6),"G1",IF(R200&gt;=25%*U200,"S","F"))))))))</f>
        <v/>
      </c>
      <c r="X200" s="65" t="str">
        <f t="shared" si="509"/>
        <v/>
      </c>
      <c r="Y200" s="68" t="str">
        <f>IF('Marks Entry'!Q200="","",'Marks Entry'!Q200)</f>
        <v/>
      </c>
      <c r="Z200" s="68" t="str">
        <f>IF('Marks Entry'!R200="","",'Marks Entry'!R200)</f>
        <v/>
      </c>
      <c r="AA200" s="68" t="str">
        <f>IF('Marks Entry'!S200="","",'Marks Entry'!S200)</f>
        <v/>
      </c>
      <c r="AB200" s="514" t="str">
        <f t="shared" si="510"/>
        <v/>
      </c>
      <c r="AC200" s="68" t="str">
        <f>IF('Marks Entry'!T200="","",'Marks Entry'!T200)</f>
        <v/>
      </c>
      <c r="AD200" s="515" t="str">
        <f t="shared" si="511"/>
        <v/>
      </c>
      <c r="AE200" s="68" t="str">
        <f>IF('Marks Entry'!U200="","",'Marks Entry'!U200)</f>
        <v/>
      </c>
      <c r="AF200" s="96" t="str">
        <f t="shared" si="512"/>
        <v/>
      </c>
      <c r="AG200" s="65">
        <f t="shared" si="513"/>
        <v>0</v>
      </c>
      <c r="AH200" s="65">
        <f t="shared" si="514"/>
        <v>0</v>
      </c>
      <c r="AI200" s="66" t="str">
        <f t="shared" si="515"/>
        <v/>
      </c>
      <c r="AJ200" s="65" t="str">
        <f t="shared" si="516"/>
        <v/>
      </c>
      <c r="AK200" s="65" t="str">
        <f t="shared" si="517"/>
        <v/>
      </c>
      <c r="AL200" s="65" t="str">
        <f t="shared" si="518"/>
        <v/>
      </c>
      <c r="AM200" s="524" t="str">
        <f>IF('Marks Entry'!V200="","",IF('Marks Entry'!V200=1,'School Profile'!$I$9,IF('Marks Entry'!V200=2,'School Profile'!$I$10,IF('Marks Entry'!V200=3,'School Profile'!$I$11,IF('Marks Entry'!V200=4,'School Profile'!$I$12,IF('Marks Entry'!V200=5,'School Profile'!$I$13,IF('Marks Entry'!V200=6,'School Profile'!$I$14,"")))))))</f>
        <v/>
      </c>
      <c r="AN200" s="68" t="str">
        <f>IF('Marks Entry'!W200="","",'Marks Entry'!W200)</f>
        <v/>
      </c>
      <c r="AO200" s="68" t="str">
        <f>IF('Marks Entry'!X200="","",'Marks Entry'!X200)</f>
        <v/>
      </c>
      <c r="AP200" s="68" t="str">
        <f>IF('Marks Entry'!Y200="","",'Marks Entry'!Y200)</f>
        <v/>
      </c>
      <c r="AQ200" s="514" t="str">
        <f t="shared" si="519"/>
        <v/>
      </c>
      <c r="AR200" s="68" t="str">
        <f>IF('Marks Entry'!Z200="","",'Marks Entry'!Z200)</f>
        <v/>
      </c>
      <c r="AS200" s="515" t="str">
        <f t="shared" si="520"/>
        <v/>
      </c>
      <c r="AT200" s="68" t="str">
        <f>IF('Marks Entry'!AA200="","",'Marks Entry'!AA200)</f>
        <v/>
      </c>
      <c r="AU200" s="96" t="str">
        <f t="shared" si="521"/>
        <v/>
      </c>
      <c r="AV200" s="65">
        <f t="shared" si="522"/>
        <v>0</v>
      </c>
      <c r="AW200" s="65">
        <f t="shared" si="523"/>
        <v>0</v>
      </c>
      <c r="AX200" s="66" t="str">
        <f t="shared" si="524"/>
        <v/>
      </c>
      <c r="AY200" s="65" t="str">
        <f t="shared" si="525"/>
        <v/>
      </c>
      <c r="AZ200" s="65" t="str">
        <f t="shared" si="526"/>
        <v/>
      </c>
      <c r="BA200" s="65" t="str">
        <f t="shared" si="527"/>
        <v/>
      </c>
      <c r="BB200" s="68" t="str">
        <f>IF('Marks Entry'!AB200="","",'Marks Entry'!AB200)</f>
        <v/>
      </c>
      <c r="BC200" s="68" t="str">
        <f>IF('Marks Entry'!AC200="","",'Marks Entry'!AC200)</f>
        <v/>
      </c>
      <c r="BD200" s="68" t="str">
        <f>IF('Marks Entry'!AD200="","",'Marks Entry'!AD200)</f>
        <v/>
      </c>
      <c r="BE200" s="514" t="str">
        <f t="shared" si="528"/>
        <v/>
      </c>
      <c r="BF200" s="68" t="str">
        <f>IF('Marks Entry'!AE200="","",'Marks Entry'!AE200)</f>
        <v/>
      </c>
      <c r="BG200" s="515" t="str">
        <f t="shared" si="529"/>
        <v/>
      </c>
      <c r="BH200" s="68" t="str">
        <f>IF('Marks Entry'!AF200="","",'Marks Entry'!AF200)</f>
        <v/>
      </c>
      <c r="BI200" s="96" t="str">
        <f t="shared" si="530"/>
        <v/>
      </c>
      <c r="BJ200" s="65">
        <f t="shared" si="531"/>
        <v>0</v>
      </c>
      <c r="BK200" s="65">
        <f t="shared" ref="BK200:BK206" si="599">(COUNTIF(BB200:BD200,"ML")*10)+(COUNTIF(BF200,"ML")*$BF$6)+(COUNTIF(BH200,"ML")*$BH$6)</f>
        <v>0</v>
      </c>
      <c r="BL200" s="66" t="str">
        <f t="shared" si="532"/>
        <v/>
      </c>
      <c r="BM200" s="65" t="str">
        <f t="shared" si="533"/>
        <v/>
      </c>
      <c r="BN200" s="65" t="str">
        <f t="shared" si="534"/>
        <v/>
      </c>
      <c r="BO200" s="65" t="str">
        <f t="shared" si="535"/>
        <v/>
      </c>
      <c r="BP200" s="68" t="str">
        <f>IF('Marks Entry'!AG200="","",'Marks Entry'!AG200)</f>
        <v/>
      </c>
      <c r="BQ200" s="68" t="str">
        <f>IF('Marks Entry'!AH200="","",'Marks Entry'!AH200)</f>
        <v/>
      </c>
      <c r="BR200" s="68" t="str">
        <f>IF('Marks Entry'!AI200="","",'Marks Entry'!AI200)</f>
        <v/>
      </c>
      <c r="BS200" s="514" t="str">
        <f t="shared" si="536"/>
        <v/>
      </c>
      <c r="BT200" s="68" t="str">
        <f>IF('Marks Entry'!AJ200="","",'Marks Entry'!AJ200)</f>
        <v/>
      </c>
      <c r="BU200" s="515" t="str">
        <f t="shared" si="537"/>
        <v/>
      </c>
      <c r="BV200" s="68" t="str">
        <f>IF('Marks Entry'!AK200="","",'Marks Entry'!AK200)</f>
        <v/>
      </c>
      <c r="BW200" s="96" t="str">
        <f t="shared" si="538"/>
        <v/>
      </c>
      <c r="BX200" s="65">
        <f t="shared" si="539"/>
        <v>0</v>
      </c>
      <c r="BY200" s="65">
        <f t="shared" si="540"/>
        <v>0</v>
      </c>
      <c r="BZ200" s="66" t="str">
        <f t="shared" si="541"/>
        <v/>
      </c>
      <c r="CA200" s="65" t="str">
        <f t="shared" si="542"/>
        <v/>
      </c>
      <c r="CB200" s="65" t="str">
        <f t="shared" si="543"/>
        <v/>
      </c>
      <c r="CC200" s="65" t="str">
        <f t="shared" si="544"/>
        <v/>
      </c>
      <c r="CD200" s="66">
        <f t="shared" si="545"/>
        <v>0</v>
      </c>
      <c r="CE200" s="68" t="str">
        <f>IF('Marks Entry'!AL200="","",'Marks Entry'!AL200)</f>
        <v/>
      </c>
      <c r="CF200" s="68" t="str">
        <f>IF('Marks Entry'!AM200="","",'Marks Entry'!AM200)</f>
        <v/>
      </c>
      <c r="CG200" s="68" t="str">
        <f>IF('Marks Entry'!AN200="","",'Marks Entry'!AN200)</f>
        <v/>
      </c>
      <c r="CH200" s="514" t="str">
        <f t="shared" si="546"/>
        <v/>
      </c>
      <c r="CI200" s="68" t="str">
        <f>IF('Marks Entry'!AO200="","",'Marks Entry'!AO200)</f>
        <v/>
      </c>
      <c r="CJ200" s="515" t="str">
        <f t="shared" si="547"/>
        <v/>
      </c>
      <c r="CK200" s="68" t="str">
        <f>IF('Marks Entry'!AP200="","",'Marks Entry'!AP200)</f>
        <v/>
      </c>
      <c r="CL200" s="96" t="str">
        <f t="shared" si="548"/>
        <v/>
      </c>
      <c r="CM200" s="65">
        <f t="shared" si="549"/>
        <v>0</v>
      </c>
      <c r="CN200" s="65">
        <f t="shared" si="550"/>
        <v>0</v>
      </c>
      <c r="CO200" s="66" t="str">
        <f t="shared" si="551"/>
        <v/>
      </c>
      <c r="CP200" s="65" t="str">
        <f t="shared" si="552"/>
        <v/>
      </c>
      <c r="CQ200" s="65" t="str">
        <f t="shared" si="553"/>
        <v/>
      </c>
      <c r="CR200" s="65" t="str">
        <f t="shared" si="554"/>
        <v/>
      </c>
      <c r="CS200" s="616" t="str">
        <f>IF('School Profile'!$D$20="NO","",IF('Marks Entry'!AQ200="","",IF('Marks Entry'!AQ200=1,'School Profile'!$I$29,IF('Marks Entry'!AQ200=2,'School Profile'!$I$30,IF('Marks Entry'!AQ200=3,'School Profile'!$I$31,IF('Marks Entry'!AQ200=4,'School Profile'!$I$32,IF('Marks Entry'!AQ200=5,'School Profile'!$I$33,IF('Marks Entry'!AQ200=6,'School Profile'!$I$34,IF('Marks Entry'!AQ200=7,'School Profile'!$I$35,IF('Marks Entry'!AQ200=8,'School Profile'!$I$36,IF('Marks Entry'!AQ200=9,'School Profile'!$I$37,IF('Marks Entry'!AQ200=10,'School Profile'!$I$38,IF('Marks Entry'!AQ200=11,'School Profile'!$I$39,"")))))))))))))</f>
        <v/>
      </c>
      <c r="CT200" s="68" t="str">
        <f>IF('School Profile'!$D$20="NO","",IF('Marks Entry'!AR200="","",'Marks Entry'!AR200))</f>
        <v/>
      </c>
      <c r="CU200" s="68" t="str">
        <f>IF('School Profile'!$D$20="NO","",IF('Marks Entry'!AS200="","",'Marks Entry'!AS200))</f>
        <v/>
      </c>
      <c r="CV200" s="68" t="str">
        <f>IF('School Profile'!$D$20="NO","",IF('Marks Entry'!AT200="","",'Marks Entry'!AT200))</f>
        <v/>
      </c>
      <c r="CW200" s="514" t="str">
        <f>IF('School Profile'!$D$20="NO","",IF(AND(CT200="",CU200="",CV200=""),"",SUM(CT200:CV200)))</f>
        <v/>
      </c>
      <c r="CX200" s="68" t="str">
        <f>IF('School Profile'!$D$20="NO","",IF('Marks Entry'!AU200="","",'Marks Entry'!AU200))</f>
        <v/>
      </c>
      <c r="CY200" s="68" t="str">
        <f>IF('School Profile'!$D$20="NO","",IF('Marks Entry'!AV200="","",'Marks Entry'!AV200))</f>
        <v/>
      </c>
      <c r="CZ200" s="515" t="str">
        <f>IF('School Profile'!$D$20="NO","",IF(AND(CX200="",CY200=""),"",SUM(CX200,CY200)))</f>
        <v/>
      </c>
      <c r="DA200" s="69" t="str">
        <f>IF('School Profile'!$D$20="NO","",IF(AND(CW200="",CZ200=""),"",SUM(CW200+CZ200)))</f>
        <v/>
      </c>
      <c r="DB200" s="68" t="str">
        <f>IF('School Profile'!$D$20="NO","",IF('Marks Entry'!AW200="","",'Marks Entry'!AW200))</f>
        <v/>
      </c>
      <c r="DC200" s="68" t="str">
        <f>IF('School Profile'!$D$20="NO","",IF('Marks Entry'!AX200="","",'Marks Entry'!AX200))</f>
        <v/>
      </c>
      <c r="DD200" s="515" t="str">
        <f>IF('School Profile'!$D$20="NO","",IF(AND(DB200="",DC200=""),"",SUM(DB200,DC200)))</f>
        <v/>
      </c>
      <c r="DE200" s="96" t="str">
        <f>IF('School Profile'!$D$20="NO","",IF(AND(DA200="",DD200=""),"",SUM(DA200,DD200)))</f>
        <v/>
      </c>
      <c r="DF200" s="532">
        <f t="shared" si="555"/>
        <v>0</v>
      </c>
      <c r="DG200" s="65">
        <f t="shared" si="556"/>
        <v>0</v>
      </c>
      <c r="DH200" s="66" t="str">
        <f t="shared" si="557"/>
        <v/>
      </c>
      <c r="DI200" s="65" t="str">
        <f t="shared" si="558"/>
        <v/>
      </c>
      <c r="DJ200" s="65" t="str">
        <f t="shared" si="559"/>
        <v/>
      </c>
      <c r="DK200" s="65" t="str">
        <f t="shared" si="560"/>
        <v/>
      </c>
      <c r="DL200" s="97" t="str">
        <f t="shared" ref="DL200:DL206" si="600">X200</f>
        <v/>
      </c>
      <c r="DM200" s="97" t="str">
        <f t="shared" ref="DM200:DM206" si="601">AL200</f>
        <v/>
      </c>
      <c r="DN200" s="97" t="str">
        <f t="shared" ref="DN200:DN206" si="602">BA200</f>
        <v/>
      </c>
      <c r="DO200" s="97" t="str">
        <f t="shared" ref="DO200:DO206" si="603">BO200</f>
        <v/>
      </c>
      <c r="DP200" s="97" t="str">
        <f t="shared" ref="DP200:DP206" si="604">CC200</f>
        <v/>
      </c>
      <c r="DQ200" s="97" t="str">
        <f t="shared" ref="DQ200:DQ206" si="605">CR200</f>
        <v/>
      </c>
      <c r="DR200" s="97" t="str">
        <f t="shared" ref="DR200:DR206" si="606">DK200</f>
        <v/>
      </c>
      <c r="DS200" s="98">
        <f t="shared" ref="DS200:DS206" si="607">COUNTIF(DL200:DR200,"F")+COUNTIF(DL200:DR200,"AB")</f>
        <v>0</v>
      </c>
      <c r="DT200" s="98">
        <f t="shared" ref="DT200:DT206" si="608">COUNTIF(DL200:DR200,"S")</f>
        <v>0</v>
      </c>
      <c r="DU200" s="98">
        <f t="shared" ref="DU200:DU206" si="609">COUNTIF(DL200:DR200,"G1")</f>
        <v>0</v>
      </c>
      <c r="DV200" s="98">
        <f t="shared" ref="DV200:DV206" si="610">COUNTIF(DL200:DR200,"G2")</f>
        <v>0</v>
      </c>
      <c r="DW200" s="98">
        <f t="shared" ref="DW200:DW206" si="611">COUNTIF(DL200:DR200,"RE")+COUNTIF(DL200:DR200,"REP")</f>
        <v>0</v>
      </c>
      <c r="DX200" s="98" t="str">
        <f t="shared" ref="DX200:DX206" si="612">IF(OR(DK200="AB",DK200="F"),"F",IF(OR(DK200="RE"),"RE",""))</f>
        <v/>
      </c>
      <c r="DY200" s="99" t="str">
        <f t="shared" ref="DY200:DY206" si="613">IF(B200="NSO","NSO",IF(OR(B200="",B200=0,Q200="",AE200="",AT200="",BH200="",BV200="",CK200=""),"",IF(OR(DS200&gt;0,(DT200+DU200+DV200)&gt;2),"FAIL",IF(DW200&gt;0,"RE-EXAM",IF(OR(DT200&gt;0,DU200&gt;1),"SUPPLEMENTARY",IF(AND(DU200&gt;0,DV200&gt;0),"SUPPLEMENTARY",IF((DU200+DV200)&gt;0,"BY GRACE PASS","PASS")))))))</f>
        <v/>
      </c>
      <c r="DZ200" s="74" t="str">
        <f>IF('Marks Entry'!AY200="","",'Marks Entry'!AY200)</f>
        <v/>
      </c>
      <c r="EA200" s="74" t="str">
        <f>IF('Marks Entry'!AZ200="","",'Marks Entry'!AZ200)</f>
        <v/>
      </c>
      <c r="EB200" s="74" t="str">
        <f>IF('Marks Entry'!BA200="","",'Marks Entry'!BA200)</f>
        <v/>
      </c>
      <c r="EC200" s="527" t="str">
        <f t="shared" si="561"/>
        <v/>
      </c>
      <c r="ED200" s="74" t="str">
        <f>IF('Marks Entry'!BB200="","",'Marks Entry'!BB200)</f>
        <v/>
      </c>
      <c r="EE200" s="528" t="str">
        <f t="shared" si="562"/>
        <v/>
      </c>
      <c r="EF200" s="74" t="str">
        <f>IF('Marks Entry'!BC200="","",'Marks Entry'!BC200)</f>
        <v/>
      </c>
      <c r="EG200" s="530" t="str">
        <f t="shared" si="563"/>
        <v/>
      </c>
      <c r="EH200" s="368" t="str">
        <f t="shared" ref="EH200:EH206" si="614">IF(OR($B200="NSO",$B200=0,EG200=""),"",IF(OR(EG200="AB",EE200="AB",EF200="AB"),"AB",IF(AND(DY200="FAIL",(OR(EG200&lt;36%*EK200))),"D",IF(OR(EF200="ML",EF200&lt;20%*EF$6,EG200&lt;36%*EK200),"D",IF(EG200&gt;80%*EK200,"A",IF(EG200&gt;60%*EK200,"B",IF(EG200&gt;40%*EK200,"C","D")))))))</f>
        <v/>
      </c>
      <c r="EI200" s="65">
        <f t="shared" ref="EI200:EI206" si="615">COUNTIF(DZ200:EB200,"NA")*10</f>
        <v>0</v>
      </c>
      <c r="EJ200" s="65">
        <f t="shared" ref="EJ200:EJ206" si="616">(COUNTIF(DZ200:EB200,"ML")*10)+(COUNTIF(ED200,"ML")*70)+(COUNTIF(EF200,"ML")*100)</f>
        <v>0</v>
      </c>
      <c r="EK200" s="66" t="str">
        <f t="shared" ref="EK200:EK206" si="617">IF(OR($B200="NSO",$B200=0),"",IF(AND(DZ200="",EA200="",EC200="",EE200=""),"",IF(AND(EA200="",EC200="",ED200="",EE200="",EF200=""),($DZ$6)-EI200-EJ200,IF(AND(DZ200="",EC200="",ED200="",EE200="",EF200=""),($EA$6)-EI200-EJ200,IF(AND(EC200="",ED200="",EE200="",EF200=""),($DZ$6+$EA$6)-EI200-EJ200,IF(AND(EE200="",EF200=""),($EC$6+$ED$6)-EI200-EJ200,($EG$6)-EI200-EJ200))))))</f>
        <v/>
      </c>
      <c r="EL200" s="74" t="str">
        <f>IF('Marks Entry'!BD200="","",'Marks Entry'!BD200)</f>
        <v/>
      </c>
      <c r="EM200" s="74" t="str">
        <f>IF('Marks Entry'!BE200="","",'Marks Entry'!BE200)</f>
        <v/>
      </c>
      <c r="EN200" s="74" t="str">
        <f>IF('Marks Entry'!BF200="","",'Marks Entry'!BF200)</f>
        <v/>
      </c>
      <c r="EO200" s="527" t="str">
        <f t="shared" si="564"/>
        <v/>
      </c>
      <c r="EP200" s="74" t="str">
        <f>IF('Marks Entry'!BG200="","",'Marks Entry'!BG200)</f>
        <v/>
      </c>
      <c r="EQ200" s="74" t="str">
        <f>IF('Marks Entry'!BH200="","",'Marks Entry'!BH200)</f>
        <v/>
      </c>
      <c r="ER200" s="528" t="str">
        <f t="shared" si="565"/>
        <v/>
      </c>
      <c r="ES200" s="529" t="str">
        <f t="shared" si="566"/>
        <v/>
      </c>
      <c r="ET200" s="74" t="str">
        <f>IF('Marks Entry'!BI200="","",'Marks Entry'!BI200)</f>
        <v/>
      </c>
      <c r="EU200" s="74" t="str">
        <f>IF('Marks Entry'!BJ200="","",'Marks Entry'!BJ200)</f>
        <v/>
      </c>
      <c r="EV200" s="528" t="str">
        <f t="shared" si="567"/>
        <v/>
      </c>
      <c r="EW200" s="530" t="str">
        <f t="shared" si="568"/>
        <v/>
      </c>
      <c r="EX200" s="368" t="str">
        <f t="shared" ref="EX200:EX206" si="618">IF(OR($B200="NSO",$B200=0,EW200=""),"",IF(OR(ET200="AB",EU200="AB",EV200="AB"),"AB",IF(AND($DY200="FAIL",(OR(EW200&lt;36%*FA200))),"D",IF(OR(EV200="ML",EV200&lt;20%*EV$6,EW200&lt;36%*FA200),"D",IF(EW200&gt;80%*FA200,"A",IF(EW200&gt;60%*FA200,"B",IF(EW200&gt;40%*FA200,"C","D")))))))</f>
        <v/>
      </c>
      <c r="EY200" s="65">
        <f t="shared" ref="EY200:EY205" si="619">COUNTIF(EL200:EN200,"NA")*10</f>
        <v>0</v>
      </c>
      <c r="EZ200" s="65">
        <f t="shared" ref="EZ200:EZ205" si="620">(COUNTIF(EL200:EN200,"ML")*10)+(COUNTIF(ER200,"ML")*70)+(COUNTIF(EV200,"ML")*100)</f>
        <v>0</v>
      </c>
      <c r="FA200" s="66" t="str">
        <f t="shared" ref="FA200:FA205" si="621">IF(OR($B200="NSO",$B200=0),"",IF(AND(EL200="",EM200="",EP200="",ET200=""),"",IF(AND(EM200="",EP200="",EQ200="",ET200="",EU200=""),($EL$6)-EY200-EZ200,IF(AND(EL200="",EP200="",EQ200="",ET200="",EU200=""),($EM$6)-EY200-EZ200,IF(AND(EP200="",EQ200="",ET200="",EU200=""),($EL$6+$EM$6)-EY200-EZ200,IF(AND(ET200="",EU200=""),($EP$6+$EQ$6)-EY200-EZ200,($EW$6)-EY200-EZ200))))))</f>
        <v/>
      </c>
      <c r="FB200" s="74" t="str">
        <f>IF('Marks Entry'!BK200="","",'Marks Entry'!BK200)</f>
        <v/>
      </c>
      <c r="FC200" s="74" t="str">
        <f>IF('Marks Entry'!BL200="","",'Marks Entry'!BL200)</f>
        <v/>
      </c>
      <c r="FD200" s="74" t="str">
        <f>IF('Marks Entry'!BM200="","",'Marks Entry'!BM200)</f>
        <v/>
      </c>
      <c r="FE200" s="74" t="str">
        <f>IF('Marks Entry'!BN200="","",'Marks Entry'!BN200)</f>
        <v/>
      </c>
      <c r="FF200" s="74" t="str">
        <f>IF('Marks Entry'!BO200="","",'Marks Entry'!BO200)</f>
        <v/>
      </c>
      <c r="FG200" s="74" t="str">
        <f>IF('Marks Entry'!BP200="","",'Marks Entry'!BP200)</f>
        <v/>
      </c>
      <c r="FH200" s="527" t="str">
        <f t="shared" si="569"/>
        <v/>
      </c>
      <c r="FI200" s="74" t="str">
        <f>IF('Marks Entry'!BQ200="","",'Marks Entry'!BQ200)</f>
        <v/>
      </c>
      <c r="FJ200" s="74" t="str">
        <f>IF('Marks Entry'!BR200="","",'Marks Entry'!BR200)</f>
        <v/>
      </c>
      <c r="FK200" s="528" t="str">
        <f t="shared" si="570"/>
        <v/>
      </c>
      <c r="FL200" s="529" t="str">
        <f t="shared" si="571"/>
        <v/>
      </c>
      <c r="FM200" s="74" t="str">
        <f>IF('Marks Entry'!BS200="","",'Marks Entry'!BS200)</f>
        <v/>
      </c>
      <c r="FN200" s="74" t="str">
        <f>IF('Marks Entry'!BT200="","",'Marks Entry'!BT200)</f>
        <v/>
      </c>
      <c r="FO200" s="528" t="str">
        <f t="shared" si="572"/>
        <v/>
      </c>
      <c r="FP200" s="530" t="str">
        <f t="shared" si="573"/>
        <v/>
      </c>
      <c r="FQ200" s="368" t="str">
        <f t="shared" ref="FQ200:FQ206" si="622">IF(OR($B200="NSO",$B200=0,FP200=""),"",IF(OR(FM200="AB",FN200="AB",FO200="AB"),"AB",IF(AND($DY200="FAIL",(OR(FP200&lt;36%*FT200))),"D",IF(OR(FO200="ML",FO200&lt;20%*FO$6,FP200&lt;36%*FT200),"D",IF(FP200&gt;80%*FT200,"A",IF(FP200&gt;60%*FT200,"B",IF(FP200&gt;40%*FT200,"C","D")))))))</f>
        <v/>
      </c>
      <c r="FR200" s="65">
        <f t="shared" ref="FR200:FR206" si="623">COUNTIF(FB200,"NA")*10+COUNTIF(FD200,"NA")*10+COUNTIF(FF200,"NA")*10</f>
        <v>0</v>
      </c>
      <c r="FS200" s="65">
        <f t="shared" ref="FS200:FS206" si="624">(COUNTIF(FB200,"ML")*10)+(COUNTIF(FD200,"ML")*10)+(COUNTIF(FF200,"ML")*10)+(COUNTIF(FI200,"ML")*25)+(COUNTIF(FJ200,"ML")*15)+(COUNTIF(FM200,"ML")*30)+(COUNTIF(FN200,"ML")*70)</f>
        <v>0</v>
      </c>
      <c r="FT200" s="66" t="str">
        <f t="shared" ref="FT200:FT206" si="625">IF(OR($B200="NSO",$B200=0),"",IF(AND(FB200="",FD200="",FF200="",FI200="",FM200=""),"",IF(AND(FC200="",FI200="",FJ200="",FE200="",FN200=""),($FB$6)-FR200-FS200,IF(AND(FB200="",FI200="",FJ200="",FM200="",FN200=""),($FC$6)-FR200-FS200,IF(AND(FI200="",FJ200="",FM200="",FN200=""),($FB$6+$FC$6)-FR200-FS200,IF(AND(FM200="",FN200=""),($FI$6+$FJ$6)-FR200-FS200,($FP$6)-FR200-FS200))))))</f>
        <v/>
      </c>
      <c r="FU200" s="74" t="str">
        <f>IF('Marks Entry'!BU200="","",'Marks Entry'!BU200)</f>
        <v/>
      </c>
      <c r="FV200" s="74" t="str">
        <f>IF('Marks Entry'!BV200="","",'Marks Entry'!BV200)</f>
        <v/>
      </c>
      <c r="FW200" s="74" t="str">
        <f>IF('Marks Entry'!BW200="","",'Marks Entry'!BW200)</f>
        <v/>
      </c>
      <c r="FX200" s="75" t="str">
        <f t="shared" si="574"/>
        <v/>
      </c>
      <c r="FY200" s="368" t="str">
        <f t="shared" ref="FY200:FY206" si="626">IFERROR(IF(OR($B200="NSO",$B200=0,FX200=""),"",IF(OR(FU200="AB",FV200="AB",FW200="AB"),"AB",IF(AND($DY200="FAIL",(OR(FX200&lt;36%*GB200))),"D",IF(OR(FW200="ML",FX200&lt;20%*FX$6,FX200&lt;36%*GB200),"D",IF(FX200&gt;80%*GB200,"A",IF(FX200&gt;60%*GB200,"B",IF(FX200&gt;40%*GB200,"C","D"))))))),"")</f>
        <v/>
      </c>
      <c r="FZ200" s="65">
        <f t="shared" ref="FZ200:FZ206" si="627">COUNTIF(FU200,"NA")*25</f>
        <v>0</v>
      </c>
      <c r="GA200" s="66">
        <f t="shared" ref="GA200:GA206" si="628">IF(AND(FW200="",FU200="",FW200=""),(COUNTIF(FU200,"ML")*25+(COUNTIF(FW200,"ML"))*FW$6+(COUNTIF(FV200,"ML"))*FV$6),(COUNTIF(FU200,"ML")*25+(COUNTIF(FW200,"ML"))*FW$6+(COUNTIF(FX200,"ML"))*FX$6))</f>
        <v>0</v>
      </c>
      <c r="GB200" s="66" t="str">
        <f t="shared" ref="GB200:GB206" si="629">IF(OR($B200="NSO",$B200=0),"",IF(AND(FU200="",FV200="",FW200=""),"",IF(AND(FU200="",FV200="",FW200=""),($FX$6)-FZ200-GA200,IF(AND(FW200=""),($FW$6)-FZ200-GA200,IF(AND(FV200=""),($FV$6)-FZ200-GA200,IF(AND(FU200=""),($FU$6)-FZ200-GA200,($FX$6)-FZ200-GA200))))))</f>
        <v/>
      </c>
      <c r="GC200" s="74" t="str">
        <f>IF('Marks Entry'!BX200="","",'Marks Entry'!BX200)</f>
        <v/>
      </c>
      <c r="GD200" s="74" t="str">
        <f>IF('Marks Entry'!BY200="","",'Marks Entry'!BY200)</f>
        <v/>
      </c>
      <c r="GE200" s="74" t="str">
        <f>IF('Marks Entry'!BZ200="","",'Marks Entry'!BZ200)</f>
        <v/>
      </c>
      <c r="GF200" s="75" t="str">
        <f t="shared" ref="GF200:GF206" si="630">IF(AND(GC200="",GD200="",GE200=""),"",SUM(GC200,GD200,GE200))</f>
        <v/>
      </c>
      <c r="GG200" s="368" t="str">
        <f t="shared" ref="GG200:GG206" si="631">IFERROR(IF(OR($B200="NSO",$B200=0,GF200=""),"",IF(OR(GC200="AB",GD200="AB",GE200="AB"),"AB",IF(AND($DY200="FAIL",(OR(GF200&lt;36%*GJ200))),"D",IF(OR(GE200="ML",GF200&lt;20%*GF$6,GF200&lt;36%*GJ200),"D",IF(GF200&gt;80%*GJ200,"A",IF(GF200&gt;60%*GJ200,"B",IF(GF200&gt;40%*GJ200,"C","D"))))))),"")</f>
        <v/>
      </c>
      <c r="GH200" s="65">
        <f t="shared" ref="GH200:GH206" si="632">COUNTIF(GC200,"NA")*25</f>
        <v>0</v>
      </c>
      <c r="GI200" s="66">
        <f t="shared" ref="GI200:GI206" si="633">IF(AND(GE200="",GC200="",GE200=""),(COUNTIF(GC200,"ML")*25+(COUNTIF(GE200,"ML"))*GE$6+(COUNTIF(GD200,"ML"))*GD$6),(COUNTIF(GC200,"ML")*25+(COUNTIF(GE200,"ML"))*GE$6+(COUNTIF(GF200,"ML"))*GF$6))</f>
        <v>0</v>
      </c>
      <c r="GJ200" s="66" t="str">
        <f t="shared" ref="GJ200:GJ206" si="634">IF(OR($B200="NSO",$B200=0),"",IF(AND(GC200="",GD200="",GE200=""),"",IF(AND(GC200="",GD200="",GE200=""),($GF$6)-GH200-GI200,IF(AND(GE200=""),($GE$6)-GH200-GI200,IF(AND(GD200=""),($GD$6)-GH200-GI200,IF(AND(GC200=""),($GC$6)-GH200-GI200,($GF$6)-GH200-GI200))))))</f>
        <v/>
      </c>
      <c r="GK200" s="100" t="str">
        <f>IF(AND(F200="",B200=""),"",IF('Student DATA Entry'!M197="","",'Student DATA Entry'!M197))</f>
        <v/>
      </c>
      <c r="GL200" s="101" t="str">
        <f>IF(AND(B200="",F200=""),"",IF('Student DATA Entry'!N197="","",'Student DATA Entry'!N197))</f>
        <v/>
      </c>
      <c r="GM200" s="581" t="str">
        <f t="shared" ref="GM200:GM206" si="635">IF(OR(GK200=0,GL200=0,GK200="",GL200=""),"",GL200/GK200*100)</f>
        <v/>
      </c>
      <c r="GN200" s="94" t="str">
        <f t="shared" ref="GN200:GN206" si="636">IF(AND(DY200="FAIL",(OR(DL200="G1",DL200="G2",DL200="S",DL200="RE"))),"F",IF(AND(DY200="RE-EXAM",(OR(DL200="G1",DL200="G2",DL200="S"))),"S",IF(AND(DY200="SUPPLEMENTARY",(OR(DL200="G1",DL200="G2"))),"S",IF(AND(DY200="BY GRACE PASS",(OR(DL200="G1",DL200="G2"))),"G",DL200))))</f>
        <v/>
      </c>
      <c r="GO200" s="94" t="str">
        <f t="shared" ref="GO200:GO206" si="637">IF(GN200="G",",+","")</f>
        <v/>
      </c>
      <c r="GP200" s="102" t="str">
        <f t="shared" si="575"/>
        <v/>
      </c>
      <c r="GQ200" s="94" t="str">
        <f t="shared" ref="GQ200:GQ206" si="638">IF(AND(DY200="vuqRrh.kZ",(OR(DM200="G1",DM200="G2",DM200="S",DM200="RE"))),"F",IF(AND(DY200="iqu% ijh{kk",(OR(DM200="G1",DM200="G2",DM200="S"))),"S",IF(AND(DY200="iwjd",(OR(DM200="G1",DM200="G2"))),"S",IF(AND(DY200="lk- mRrh.kZ",(OR(DM200="G1",DM200="G2"))),"G",DM200))))</f>
        <v/>
      </c>
      <c r="GR200" s="103" t="str">
        <f t="shared" ref="GR200:GR206" si="639">IF(GQ200="G",",+","")</f>
        <v/>
      </c>
      <c r="GS200" s="102" t="str">
        <f t="shared" si="576"/>
        <v/>
      </c>
      <c r="GT200" s="104" t="str">
        <f t="shared" ref="GT200:GT206" si="640">IF(AND(DY200="FAIL",(OR(DN200="G1",DN200="G2",DN200="S",DN200="RE"))),"F",IF(AND(DY200="RE-EXAM",(OR(DN200="G1",DN200="G2",DN200="S"))),"S",IF(AND(DY200="SUPPLEMENTARY",(OR(DN200="G1",DN200="G2"))),"S",IF(AND(DY200="BY GRACE PASS",(OR(DN200="G1",DN200="G2"))),"G",DN200))))</f>
        <v/>
      </c>
      <c r="GU200" s="94" t="str">
        <f>IF('Marks Entry'!V200=1,GT200,"")</f>
        <v/>
      </c>
      <c r="GV200" s="94" t="str">
        <f>IF('Marks Entry'!V200=2,GT200,"")</f>
        <v/>
      </c>
      <c r="GW200" s="94" t="str">
        <f>IF('Marks Entry'!V200=3,GT200,"")</f>
        <v/>
      </c>
      <c r="GX200" s="94" t="str">
        <f>IF('Marks Entry'!V200=4,GT200,"")</f>
        <v/>
      </c>
      <c r="GY200" s="94" t="str">
        <f>IF('Marks Entry'!V200=5,GT200,"")</f>
        <v/>
      </c>
      <c r="GZ200" s="94" t="str">
        <f t="shared" ref="GZ200:GZ206" si="641">IF(GT200="G",",+","")</f>
        <v/>
      </c>
      <c r="HA200" s="105" t="str">
        <f t="shared" si="577"/>
        <v/>
      </c>
      <c r="HB200" s="94" t="str">
        <f t="shared" ref="HB200:HB206" si="642">IF(AND(DY200="FAIL",(OR(DO200="G1",DO200="G2",DO200="S",DO200="RE",))),"F",IF(AND(DY200="RE-EXAM",(OR(DO200="G1",DO200="G2",DO200="S"))),"S",IF(AND(DY200="SUPPLEMENTARY",(OR(DO200="G1",DO200="G2"))),"S",IF(AND(DY200="BY GRACE PASS",(OR(DO200="G1",DO200="G2"))),"G",DO200))))</f>
        <v/>
      </c>
      <c r="HC200" s="94" t="str">
        <f t="shared" ref="HC200:HC206" si="643">IF(HB200="G",",+","")</f>
        <v/>
      </c>
      <c r="HD200" s="105" t="str">
        <f t="shared" si="578"/>
        <v/>
      </c>
      <c r="HE200" s="94" t="str">
        <f t="shared" ref="HE200:HE206" si="644">IF(AND(DY200="FAIL",(OR(DP200="G1",DP200="G2",DP200="S",DP200="RE"))),"F",IF(AND(DY200="RE-EXAM",(OR(DP200="G1",DP200="G2",DP200="S"))),"S",IF(AND(DY200="SUPPLEMENTARY",(OR(DP200="G1",DP200="G2"))),"S",IF(AND(DY200="BY GRACE PASS",(OR(DP200="G1",DP200="G2"))),"G",DP200))))</f>
        <v/>
      </c>
      <c r="HF200" s="94" t="str">
        <f t="shared" ref="HF200:HF206" si="645">IF(HE200="G",",+","")</f>
        <v/>
      </c>
      <c r="HG200" s="105" t="str">
        <f t="shared" si="579"/>
        <v/>
      </c>
      <c r="HH200" s="94" t="str">
        <f t="shared" ref="HH200:HH206" si="646">IF(AND(DY200="FAIL",(OR(DQ200="G1",DQ200="G2",DQ200="S",DQ200="RE"))),"F",IF(AND(DY200="RE-EXAM",(OR(DQ200="G1",DQ200="G2",DQ200="S"))),"S",IF(AND(DY200="SUPPLEMENTARY",(OR(DQ200="G1",DQ200="G2"))),"S",IF(AND(DY200="BY GRACE PASS",(OR(DQ200="G1",DQ200="G2"))),"G",DQ200))))</f>
        <v/>
      </c>
      <c r="HI200" s="94" t="str">
        <f t="shared" ref="HI200:HI206" si="647">IF(HH200="G",",+","")</f>
        <v/>
      </c>
      <c r="HJ200" s="105" t="str">
        <f t="shared" si="580"/>
        <v/>
      </c>
      <c r="HK200" s="94" t="str">
        <f t="shared" ref="HK200:HK206" si="648">IF(AND(DY200="FAIL",(OR(DR200="G1",DR200="G2",DR200="S",DR200="RE"))),"F",IF(AND(DY200="RE-EXAM",(OR(DR200="G1",DR200="G2",DR200="S"))),"S",IF(AND(DY200="SUPPLEMENTARY",(OR(DR200="G1",DR200="G2"))),"S",IF(AND(DY200="BY GRACE PASS",(OR(DR200="G1",DR200="G2"))),"G",DR200))))</f>
        <v/>
      </c>
      <c r="HL200" s="94" t="str">
        <f t="shared" ref="HL200:HL206" si="649">IF(HK200="G",",+","")</f>
        <v/>
      </c>
      <c r="HM200" s="105" t="str">
        <f t="shared" si="581"/>
        <v/>
      </c>
      <c r="HN200" s="367" t="str">
        <f t="shared" ref="HN200:HN206" si="650">CONCATENATE(IF(GN200="F",$GN$5,IF(GN200="AB",$GN$5,""))," ",IF(GQ200="F",$GQ$5,IF(GQ200="AB",$GQ$5,""))," ",IF(GU200="F",$GU$5,IF(GV200="F",$GV$5,IF(GW200="F",$GW$5,IF(GX200="F",$GX$5,IF(GY200="F",$GY$5,IF(GU200="AB",$GU$5,IF(GV200="AB",$GV$5,IF(GW200="AB",$GW$5,IF(GX200="AB",$GX$5,IF(GY200="AB",$GY$5,""))))))))))," ",IF(HB200="F",$HB$5,IF(HB200="AB",$HB$5,""))," ",IF(HE200="F",$HE$5,IF(HE200="AB",$HE$5,""))," ",,IF(HH200="F",$HH$5,IF(HH200="AB",$HH$5,""))," ",IF(HK200="F",$HK$5,IF(HK200="AB",$HK$5,"")))</f>
        <v xml:space="preserve">      </v>
      </c>
      <c r="HO200" s="418" t="str">
        <f t="shared" si="582"/>
        <v xml:space="preserve">      </v>
      </c>
      <c r="HP200" s="367" t="str">
        <f t="shared" ref="HP200:HP206" si="651">CONCATENATE(IF(GN200="G",$GN$5,"")," ",IF(GQ200="G",$GQ$5,"")," ",IF(GU200="G",$GU$5,IF(GV200="G",$GV$5,IF(GW200="G",$GW$5,IF(GX200="G",$GX$5,IF(GY200="G",$GY$5,"")))))," ",IF(HB200="G",$HB$5,"")," ",IF(HE200="G",$HE$5,"")," ",IF(HH200="G",$HH$5,"")," ",IF(HK200="G",$HK$5,""))</f>
        <v xml:space="preserve">      </v>
      </c>
      <c r="HQ200" s="107" t="str">
        <f t="shared" ref="HQ200:HQ206" si="652">CONCATENATE(IF(GN200="RE",$GN$5,"")," ",IF(GQ200="RE",$GQ$5,"")," ",IF(OR(GU200="RE",GU200="REP"),$GU$5,IF(OR(GV200="RE",GV200="REP"),$GV$5,IF(OR(GW200="RE",GW200="REP"),$GW$5,IF(OR(GX200="RE",GX200="REP"),$GX$5,IF(OR(GY200="RE",GY200="REP"),$GY$5,"")))))," ",IF(OR(HB200="RE",HB200="REP"),$HB$5,"")," ",IF(OR(HE200="RE",HE200="REP"),$HE$5,"")," ",IF(OR(HH200="RE",HH200="REP"),$HH$5,"")," ",IF(OR(HK200="RE",HK200="REP"),$HK$5,""))</f>
        <v xml:space="preserve">      </v>
      </c>
      <c r="HR200" s="366" t="str">
        <f t="shared" ref="HR200:HR206" si="653">CONCATENATE(IF(GN200="D",$GN$5,"")," ",IF($GQ200="D",$GQ$5,"")," ",IF(GU200="D",$GU$5,IF(GV200="D",$GV$5,IF(GW200="D",$GW$5,IF(GX200="D",$GX$5,IF(GY200="D",$GY$5,"")))))," ",IF(HB200="D",$HB$5,"")," ",IF(HE200="D",$HE$5,"")," ",IF(HH200="D",$HH$5,"")," ",IF(HK200="D",$HK$5,""))</f>
        <v xml:space="preserve">      </v>
      </c>
      <c r="HS200" s="544" t="str">
        <f t="shared" si="583"/>
        <v/>
      </c>
      <c r="HT200" s="542" t="str">
        <f t="shared" ref="HT200:HT206" si="654">IF(AND(R200="",AF200="",AU200="",BI200="",BW200=""),"",IF(OR(CS200="",DE200=""),SUM(R200,AF200,AU200,BI200,BW200,CL200),IF((CL200/CO200*100)&gt;=(DE200/DH200*100),SUM(R200,AF200,AU200,BI200,BW200,CL200),SUM(R200,AF200,AU200,BI200,BW200,DE200))))</f>
        <v/>
      </c>
      <c r="HU200" s="541" t="str">
        <f t="shared" ref="HU200:HU206" si="655">IF(HT200="","",HT200*100/($HT$6-CD200))</f>
        <v/>
      </c>
      <c r="HV200" s="540" t="str">
        <f t="shared" ref="HV200:HV206" si="656">IFERROR(IF(HU200="","",IF(AND(HU200&gt;=60,(HS200="PASS")),"1st",IF(AND(HU200&gt;=60,(HS200="BY GRACE PASS")),"1st",IF(AND(HU200&gt;=48,(HS200="PASS")),"2nd",IF(AND(HU200&gt;=48,(HS200="BY GRACE PASS")),"2nd",IF(AND(HU200&gt;=36,(HS200="PASS")),"3rd",IF(AND(HU200&gt;=36,(HS200="BY GRACE PASS")),"3rd",""))))))),"")</f>
        <v/>
      </c>
      <c r="HW200" s="537" t="str">
        <f t="shared" ref="HW200:HW206" si="657">IFERROR(IF(OR(HS200="PASS",HS200="BY GRACE PASS"),HU200,""),"")</f>
        <v/>
      </c>
      <c r="HX200" s="539" t="str">
        <f t="shared" ref="HX200:HX206" si="658">IFERROR(IF(HW200="","",SUMPRODUCT((HW200&lt;HW$7:HW$206)/COUNTIF(HW$7:HW$206,HW$7:HW$206))),"")</f>
        <v/>
      </c>
      <c r="HY200" s="553" t="str">
        <f>IFERROR(IF(OR(HS200="SUPPLEMENTARY",HS200="RE-EXAM"),'Supp. Result Entry'!AQ198,""),"")</f>
        <v/>
      </c>
      <c r="HZ200" s="538" t="str">
        <f t="shared" ref="HZ200:HZ206" si="659">IF(OR(KA200="",JP200=0),"",IF(JY200="","",JY200))</f>
        <v/>
      </c>
      <c r="IA200" s="415" t="str">
        <f t="shared" ref="IA200:IA206" si="660">IF(AND(KA200=""),"",IF(HZ200="","",IF(AND(KA200="FAIL"),"Failed",KA200)))</f>
        <v/>
      </c>
      <c r="IB200" s="415" t="str">
        <f>IF(AND(HZ200="",IA200=""),"",IF(OR(HS200="SUPPLEMENTARY",HS200="RE-EXAM"),'Supp. Result Entry'!AQ198,HS200))</f>
        <v/>
      </c>
      <c r="IC200" s="87"/>
      <c r="IS200" s="109" t="str">
        <f>IF('Supp. Result Entry'!T198="","",'Supp. Result Entry'!$T$4)</f>
        <v/>
      </c>
      <c r="IT200" s="110" t="str">
        <f>IF('Supp. Result Entry'!W198="","",'Supp. Result Entry'!$W$4)</f>
        <v/>
      </c>
      <c r="IU200" s="110" t="str">
        <f>IF('Supp. Result Entry'!Z198="","",'Supp. Result Entry'!$Z$4)</f>
        <v/>
      </c>
      <c r="IV200" s="110" t="str">
        <f>IF('Supp. Result Entry'!AC198="","",'Supp. Result Entry'!$AC$4)</f>
        <v/>
      </c>
      <c r="IW200" s="110" t="str">
        <f>IF('Supp. Result Entry'!AF198="","",'Supp. Result Entry'!$AF$4)</f>
        <v/>
      </c>
      <c r="IX200" s="110" t="str">
        <f>IF('Supp. Result Entry'!AI198="","",'Supp. Result Entry'!$AI$4)</f>
        <v/>
      </c>
      <c r="IY200" s="110" t="str">
        <f>IF('Supp. Result Entry'!AI198="","",'Supp. Result Entry'!$AL$4)</f>
        <v/>
      </c>
      <c r="IZ200" s="110" t="str">
        <f>IF('Supp. Result Entry'!U198="","",'Supp. Result Entry'!U198)</f>
        <v/>
      </c>
      <c r="JA200" s="110" t="str">
        <f>IF('Supp. Result Entry'!X198="","",'Supp. Result Entry'!X198)</f>
        <v/>
      </c>
      <c r="JB200" s="110" t="str">
        <f>IF('Supp. Result Entry'!AA198="","",'Supp. Result Entry'!AA198)</f>
        <v/>
      </c>
      <c r="JC200" s="110" t="str">
        <f>IF('Supp. Result Entry'!AD198="","",'Supp. Result Entry'!AD198)</f>
        <v/>
      </c>
      <c r="JD200" s="110" t="str">
        <f>IF('Supp. Result Entry'!AG198="","",'Supp. Result Entry'!AG198)</f>
        <v/>
      </c>
      <c r="JE200" s="110" t="str">
        <f>IF('Supp. Result Entry'!AJ198="","",'Supp. Result Entry'!AJ198)</f>
        <v/>
      </c>
      <c r="JF200" s="110" t="str">
        <f>IF('Supp. Result Entry'!AM198="","",'Supp. Result Entry'!AM198)</f>
        <v/>
      </c>
      <c r="JG200" s="110" t="str">
        <f>IF('Supp. Result Entry'!V198="","",'Supp. Result Entry'!V198)</f>
        <v/>
      </c>
      <c r="JH200" s="110" t="str">
        <f>IF('Supp. Result Entry'!Y198="","",'Supp. Result Entry'!Y198)</f>
        <v/>
      </c>
      <c r="JI200" s="110" t="str">
        <f>IF('Supp. Result Entry'!AB198="","",'Supp. Result Entry'!AB198)</f>
        <v/>
      </c>
      <c r="JJ200" s="110" t="str">
        <f>IF('Supp. Result Entry'!AE198="","",'Supp. Result Entry'!AE198)</f>
        <v/>
      </c>
      <c r="JK200" s="110" t="str">
        <f>IF('Supp. Result Entry'!AH198="","",'Supp. Result Entry'!AH198)</f>
        <v/>
      </c>
      <c r="JL200" s="110" t="str">
        <f>IF('Supp. Result Entry'!AK198="","",'Supp. Result Entry'!AK198)</f>
        <v/>
      </c>
      <c r="JM200" s="110" t="str">
        <f>IF('Supp. Result Entry'!AN198="","",'Supp. Result Entry'!AN198)</f>
        <v/>
      </c>
      <c r="JN200" s="110">
        <f>COUNTIF('Supp. Result Entry'!K198:Q198,"S")</f>
        <v>0</v>
      </c>
      <c r="JO200" s="110">
        <f t="shared" si="584"/>
        <v>0</v>
      </c>
      <c r="JP200" s="110">
        <f t="shared" ref="JP200:JP218" si="661">COUNTIF(JG200:JM200,"P")</f>
        <v>0</v>
      </c>
      <c r="JQ200" s="110" t="str">
        <f t="shared" si="585"/>
        <v/>
      </c>
      <c r="JR200" s="110" t="str">
        <f t="shared" si="586"/>
        <v/>
      </c>
      <c r="JS200" s="110" t="str">
        <f t="shared" si="587"/>
        <v/>
      </c>
      <c r="JT200" s="110" t="str">
        <f t="shared" si="588"/>
        <v/>
      </c>
      <c r="JU200" s="110" t="str">
        <f t="shared" si="589"/>
        <v/>
      </c>
      <c r="JV200" s="110" t="str">
        <f t="shared" si="590"/>
        <v/>
      </c>
      <c r="JW200" s="110" t="str">
        <f t="shared" si="591"/>
        <v/>
      </c>
      <c r="JX200" s="110" t="str">
        <f t="shared" ref="JX200:JX218" si="662">IF(OR(JN200=0,JN200&lt;JP200),"",SUM(JQ200:JW200))</f>
        <v/>
      </c>
      <c r="JY200" s="110" t="str">
        <f t="shared" ref="JY200:JY218" si="663">IF(OR(JN200=0,JN200&lt;JP200),"",JX200/JZ200*100)</f>
        <v/>
      </c>
      <c r="JZ200" s="110" t="str">
        <f t="shared" si="592"/>
        <v/>
      </c>
      <c r="KA200" s="108" t="str">
        <f t="shared" ref="KA200:KA218" si="664">IF(JY200="","",IF(JY200&gt;=60,"I",IF(JY200&gt;=48,"II",IF(JY200&gt;=36,"III",""))))</f>
        <v/>
      </c>
    </row>
    <row r="201" spans="1:287" s="108" customFormat="1" ht="21.95" customHeight="1">
      <c r="A201" s="89">
        <v>195</v>
      </c>
      <c r="B201" s="90" t="str">
        <f>IF('Marks Entry'!B201="","",'Marks Entry'!B201)</f>
        <v/>
      </c>
      <c r="C201" s="94" t="str">
        <f>IF('Marks Entry'!D201="","",'Marks Entry'!D201)</f>
        <v/>
      </c>
      <c r="D201" s="91" t="str">
        <f>IF('Marks Entry'!E201="","",'Marks Entry'!E201)</f>
        <v/>
      </c>
      <c r="E201" s="92" t="str">
        <f>IF('Marks Entry'!F201="","",'Marks Entry'!F201)</f>
        <v/>
      </c>
      <c r="F201" s="93" t="str">
        <f>IF('Marks Entry'!G201="","",'Marks Entry'!G201)</f>
        <v/>
      </c>
      <c r="G201" s="93" t="str">
        <f>IF('Marks Entry'!H201="","",'Marks Entry'!H201)</f>
        <v/>
      </c>
      <c r="H201" s="93" t="str">
        <f>IF('Marks Entry'!I201="","",'Marks Entry'!I201)</f>
        <v/>
      </c>
      <c r="I201" s="94" t="str">
        <f>IF('Marks Entry'!J201="","",'Marks Entry'!J201)</f>
        <v/>
      </c>
      <c r="J201" s="95" t="str">
        <f>IF('Marks Entry'!K201="","",'Marks Entry'!K201)</f>
        <v/>
      </c>
      <c r="K201" s="68" t="str">
        <f>IF('Marks Entry'!L201="","",'Marks Entry'!L201)</f>
        <v/>
      </c>
      <c r="L201" s="68" t="str">
        <f>IF('Marks Entry'!M201="","",'Marks Entry'!M201)</f>
        <v/>
      </c>
      <c r="M201" s="68" t="str">
        <f>IF('Marks Entry'!N201="","",'Marks Entry'!N201)</f>
        <v/>
      </c>
      <c r="N201" s="514" t="str">
        <f t="shared" si="593"/>
        <v/>
      </c>
      <c r="O201" s="68" t="str">
        <f>IF('Marks Entry'!O201="","",'Marks Entry'!O201)</f>
        <v/>
      </c>
      <c r="P201" s="515" t="str">
        <f t="shared" si="594"/>
        <v/>
      </c>
      <c r="Q201" s="68" t="str">
        <f>IF('Marks Entry'!P201="","",'Marks Entry'!P201)</f>
        <v/>
      </c>
      <c r="R201" s="96" t="str">
        <f t="shared" si="595"/>
        <v/>
      </c>
      <c r="S201" s="65">
        <f t="shared" si="596"/>
        <v>0</v>
      </c>
      <c r="T201" s="65">
        <f t="shared" si="597"/>
        <v>0</v>
      </c>
      <c r="U201" s="66" t="str">
        <f t="shared" si="507"/>
        <v/>
      </c>
      <c r="V201" s="65" t="str">
        <f t="shared" si="508"/>
        <v/>
      </c>
      <c r="W201" s="65" t="str">
        <f t="shared" si="598"/>
        <v/>
      </c>
      <c r="X201" s="65" t="str">
        <f t="shared" si="509"/>
        <v/>
      </c>
      <c r="Y201" s="68" t="str">
        <f>IF('Marks Entry'!Q201="","",'Marks Entry'!Q201)</f>
        <v/>
      </c>
      <c r="Z201" s="68" t="str">
        <f>IF('Marks Entry'!R201="","",'Marks Entry'!R201)</f>
        <v/>
      </c>
      <c r="AA201" s="68" t="str">
        <f>IF('Marks Entry'!S201="","",'Marks Entry'!S201)</f>
        <v/>
      </c>
      <c r="AB201" s="514" t="str">
        <f t="shared" si="510"/>
        <v/>
      </c>
      <c r="AC201" s="68" t="str">
        <f>IF('Marks Entry'!T201="","",'Marks Entry'!T201)</f>
        <v/>
      </c>
      <c r="AD201" s="515" t="str">
        <f t="shared" si="511"/>
        <v/>
      </c>
      <c r="AE201" s="68" t="str">
        <f>IF('Marks Entry'!U201="","",'Marks Entry'!U201)</f>
        <v/>
      </c>
      <c r="AF201" s="96" t="str">
        <f t="shared" si="512"/>
        <v/>
      </c>
      <c r="AG201" s="65">
        <f t="shared" si="513"/>
        <v>0</v>
      </c>
      <c r="AH201" s="65">
        <f t="shared" si="514"/>
        <v>0</v>
      </c>
      <c r="AI201" s="66" t="str">
        <f t="shared" si="515"/>
        <v/>
      </c>
      <c r="AJ201" s="65" t="str">
        <f t="shared" si="516"/>
        <v/>
      </c>
      <c r="AK201" s="65" t="str">
        <f t="shared" si="517"/>
        <v/>
      </c>
      <c r="AL201" s="65" t="str">
        <f t="shared" si="518"/>
        <v/>
      </c>
      <c r="AM201" s="524" t="str">
        <f>IF('Marks Entry'!V201="","",IF('Marks Entry'!V201=1,'School Profile'!$I$9,IF('Marks Entry'!V201=2,'School Profile'!$I$10,IF('Marks Entry'!V201=3,'School Profile'!$I$11,IF('Marks Entry'!V201=4,'School Profile'!$I$12,IF('Marks Entry'!V201=5,'School Profile'!$I$13,IF('Marks Entry'!V201=6,'School Profile'!$I$14,"")))))))</f>
        <v/>
      </c>
      <c r="AN201" s="68" t="str">
        <f>IF('Marks Entry'!W201="","",'Marks Entry'!W201)</f>
        <v/>
      </c>
      <c r="AO201" s="68" t="str">
        <f>IF('Marks Entry'!X201="","",'Marks Entry'!X201)</f>
        <v/>
      </c>
      <c r="AP201" s="68" t="str">
        <f>IF('Marks Entry'!Y201="","",'Marks Entry'!Y201)</f>
        <v/>
      </c>
      <c r="AQ201" s="514" t="str">
        <f t="shared" si="519"/>
        <v/>
      </c>
      <c r="AR201" s="68" t="str">
        <f>IF('Marks Entry'!Z201="","",'Marks Entry'!Z201)</f>
        <v/>
      </c>
      <c r="AS201" s="515" t="str">
        <f t="shared" si="520"/>
        <v/>
      </c>
      <c r="AT201" s="68" t="str">
        <f>IF('Marks Entry'!AA201="","",'Marks Entry'!AA201)</f>
        <v/>
      </c>
      <c r="AU201" s="96" t="str">
        <f t="shared" si="521"/>
        <v/>
      </c>
      <c r="AV201" s="65">
        <f t="shared" si="522"/>
        <v>0</v>
      </c>
      <c r="AW201" s="65">
        <f t="shared" si="523"/>
        <v>0</v>
      </c>
      <c r="AX201" s="66" t="str">
        <f t="shared" si="524"/>
        <v/>
      </c>
      <c r="AY201" s="65" t="str">
        <f t="shared" si="525"/>
        <v/>
      </c>
      <c r="AZ201" s="65" t="str">
        <f t="shared" si="526"/>
        <v/>
      </c>
      <c r="BA201" s="65" t="str">
        <f t="shared" si="527"/>
        <v/>
      </c>
      <c r="BB201" s="68" t="str">
        <f>IF('Marks Entry'!AB201="","",'Marks Entry'!AB201)</f>
        <v/>
      </c>
      <c r="BC201" s="68" t="str">
        <f>IF('Marks Entry'!AC201="","",'Marks Entry'!AC201)</f>
        <v/>
      </c>
      <c r="BD201" s="68" t="str">
        <f>IF('Marks Entry'!AD201="","",'Marks Entry'!AD201)</f>
        <v/>
      </c>
      <c r="BE201" s="514" t="str">
        <f t="shared" si="528"/>
        <v/>
      </c>
      <c r="BF201" s="68" t="str">
        <f>IF('Marks Entry'!AE201="","",'Marks Entry'!AE201)</f>
        <v/>
      </c>
      <c r="BG201" s="515" t="str">
        <f t="shared" si="529"/>
        <v/>
      </c>
      <c r="BH201" s="68" t="str">
        <f>IF('Marks Entry'!AF201="","",'Marks Entry'!AF201)</f>
        <v/>
      </c>
      <c r="BI201" s="96" t="str">
        <f t="shared" si="530"/>
        <v/>
      </c>
      <c r="BJ201" s="65">
        <f t="shared" si="531"/>
        <v>0</v>
      </c>
      <c r="BK201" s="65">
        <f t="shared" si="599"/>
        <v>0</v>
      </c>
      <c r="BL201" s="66" t="str">
        <f t="shared" si="532"/>
        <v/>
      </c>
      <c r="BM201" s="65" t="str">
        <f t="shared" si="533"/>
        <v/>
      </c>
      <c r="BN201" s="65" t="str">
        <f t="shared" si="534"/>
        <v/>
      </c>
      <c r="BO201" s="65" t="str">
        <f t="shared" si="535"/>
        <v/>
      </c>
      <c r="BP201" s="68" t="str">
        <f>IF('Marks Entry'!AG201="","",'Marks Entry'!AG201)</f>
        <v/>
      </c>
      <c r="BQ201" s="68" t="str">
        <f>IF('Marks Entry'!AH201="","",'Marks Entry'!AH201)</f>
        <v/>
      </c>
      <c r="BR201" s="68" t="str">
        <f>IF('Marks Entry'!AI201="","",'Marks Entry'!AI201)</f>
        <v/>
      </c>
      <c r="BS201" s="514" t="str">
        <f t="shared" si="536"/>
        <v/>
      </c>
      <c r="BT201" s="68" t="str">
        <f>IF('Marks Entry'!AJ201="","",'Marks Entry'!AJ201)</f>
        <v/>
      </c>
      <c r="BU201" s="515" t="str">
        <f t="shared" si="537"/>
        <v/>
      </c>
      <c r="BV201" s="68" t="str">
        <f>IF('Marks Entry'!AK201="","",'Marks Entry'!AK201)</f>
        <v/>
      </c>
      <c r="BW201" s="96" t="str">
        <f t="shared" si="538"/>
        <v/>
      </c>
      <c r="BX201" s="65">
        <f t="shared" si="539"/>
        <v>0</v>
      </c>
      <c r="BY201" s="65">
        <f t="shared" si="540"/>
        <v>0</v>
      </c>
      <c r="BZ201" s="66" t="str">
        <f t="shared" si="541"/>
        <v/>
      </c>
      <c r="CA201" s="65" t="str">
        <f t="shared" si="542"/>
        <v/>
      </c>
      <c r="CB201" s="65" t="str">
        <f t="shared" si="543"/>
        <v/>
      </c>
      <c r="CC201" s="65" t="str">
        <f t="shared" si="544"/>
        <v/>
      </c>
      <c r="CD201" s="66">
        <f t="shared" si="545"/>
        <v>0</v>
      </c>
      <c r="CE201" s="68" t="str">
        <f>IF('Marks Entry'!AL201="","",'Marks Entry'!AL201)</f>
        <v/>
      </c>
      <c r="CF201" s="68" t="str">
        <f>IF('Marks Entry'!AM201="","",'Marks Entry'!AM201)</f>
        <v/>
      </c>
      <c r="CG201" s="68" t="str">
        <f>IF('Marks Entry'!AN201="","",'Marks Entry'!AN201)</f>
        <v/>
      </c>
      <c r="CH201" s="514" t="str">
        <f t="shared" si="546"/>
        <v/>
      </c>
      <c r="CI201" s="68" t="str">
        <f>IF('Marks Entry'!AO201="","",'Marks Entry'!AO201)</f>
        <v/>
      </c>
      <c r="CJ201" s="515" t="str">
        <f t="shared" si="547"/>
        <v/>
      </c>
      <c r="CK201" s="68" t="str">
        <f>IF('Marks Entry'!AP201="","",'Marks Entry'!AP201)</f>
        <v/>
      </c>
      <c r="CL201" s="96" t="str">
        <f t="shared" si="548"/>
        <v/>
      </c>
      <c r="CM201" s="65">
        <f t="shared" si="549"/>
        <v>0</v>
      </c>
      <c r="CN201" s="65">
        <f t="shared" si="550"/>
        <v>0</v>
      </c>
      <c r="CO201" s="66" t="str">
        <f t="shared" si="551"/>
        <v/>
      </c>
      <c r="CP201" s="65" t="str">
        <f t="shared" si="552"/>
        <v/>
      </c>
      <c r="CQ201" s="65" t="str">
        <f t="shared" si="553"/>
        <v/>
      </c>
      <c r="CR201" s="65" t="str">
        <f t="shared" si="554"/>
        <v/>
      </c>
      <c r="CS201" s="616" t="str">
        <f>IF('School Profile'!$D$20="NO","",IF('Marks Entry'!AQ201="","",IF('Marks Entry'!AQ201=1,'School Profile'!$I$29,IF('Marks Entry'!AQ201=2,'School Profile'!$I$30,IF('Marks Entry'!AQ201=3,'School Profile'!$I$31,IF('Marks Entry'!AQ201=4,'School Profile'!$I$32,IF('Marks Entry'!AQ201=5,'School Profile'!$I$33,IF('Marks Entry'!AQ201=6,'School Profile'!$I$34,IF('Marks Entry'!AQ201=7,'School Profile'!$I$35,IF('Marks Entry'!AQ201=8,'School Profile'!$I$36,IF('Marks Entry'!AQ201=9,'School Profile'!$I$37,IF('Marks Entry'!AQ201=10,'School Profile'!$I$38,IF('Marks Entry'!AQ201=11,'School Profile'!$I$39,"")))))))))))))</f>
        <v/>
      </c>
      <c r="CT201" s="68" t="str">
        <f>IF('School Profile'!$D$20="NO","",IF('Marks Entry'!AR201="","",'Marks Entry'!AR201))</f>
        <v/>
      </c>
      <c r="CU201" s="68" t="str">
        <f>IF('School Profile'!$D$20="NO","",IF('Marks Entry'!AS201="","",'Marks Entry'!AS201))</f>
        <v/>
      </c>
      <c r="CV201" s="68" t="str">
        <f>IF('School Profile'!$D$20="NO","",IF('Marks Entry'!AT201="","",'Marks Entry'!AT201))</f>
        <v/>
      </c>
      <c r="CW201" s="514" t="str">
        <f>IF('School Profile'!$D$20="NO","",IF(AND(CT201="",CU201="",CV201=""),"",SUM(CT201:CV201)))</f>
        <v/>
      </c>
      <c r="CX201" s="68" t="str">
        <f>IF('School Profile'!$D$20="NO","",IF('Marks Entry'!AU201="","",'Marks Entry'!AU201))</f>
        <v/>
      </c>
      <c r="CY201" s="68" t="str">
        <f>IF('School Profile'!$D$20="NO","",IF('Marks Entry'!AV201="","",'Marks Entry'!AV201))</f>
        <v/>
      </c>
      <c r="CZ201" s="515" t="str">
        <f>IF('School Profile'!$D$20="NO","",IF(AND(CX201="",CY201=""),"",SUM(CX201,CY201)))</f>
        <v/>
      </c>
      <c r="DA201" s="69" t="str">
        <f>IF('School Profile'!$D$20="NO","",IF(AND(CW201="",CZ201=""),"",SUM(CW201+CZ201)))</f>
        <v/>
      </c>
      <c r="DB201" s="68" t="str">
        <f>IF('School Profile'!$D$20="NO","",IF('Marks Entry'!AW201="","",'Marks Entry'!AW201))</f>
        <v/>
      </c>
      <c r="DC201" s="68" t="str">
        <f>IF('School Profile'!$D$20="NO","",IF('Marks Entry'!AX201="","",'Marks Entry'!AX201))</f>
        <v/>
      </c>
      <c r="DD201" s="515" t="str">
        <f>IF('School Profile'!$D$20="NO","",IF(AND(DB201="",DC201=""),"",SUM(DB201,DC201)))</f>
        <v/>
      </c>
      <c r="DE201" s="96" t="str">
        <f>IF('School Profile'!$D$20="NO","",IF(AND(DA201="",DD201=""),"",SUM(DA201,DD201)))</f>
        <v/>
      </c>
      <c r="DF201" s="532">
        <f t="shared" si="555"/>
        <v>0</v>
      </c>
      <c r="DG201" s="65">
        <f t="shared" si="556"/>
        <v>0</v>
      </c>
      <c r="DH201" s="66" t="str">
        <f t="shared" si="557"/>
        <v/>
      </c>
      <c r="DI201" s="65" t="str">
        <f t="shared" si="558"/>
        <v/>
      </c>
      <c r="DJ201" s="65" t="str">
        <f t="shared" si="559"/>
        <v/>
      </c>
      <c r="DK201" s="65" t="str">
        <f t="shared" si="560"/>
        <v/>
      </c>
      <c r="DL201" s="97" t="str">
        <f t="shared" si="600"/>
        <v/>
      </c>
      <c r="DM201" s="97" t="str">
        <f t="shared" si="601"/>
        <v/>
      </c>
      <c r="DN201" s="97" t="str">
        <f t="shared" si="602"/>
        <v/>
      </c>
      <c r="DO201" s="97" t="str">
        <f t="shared" si="603"/>
        <v/>
      </c>
      <c r="DP201" s="97" t="str">
        <f t="shared" si="604"/>
        <v/>
      </c>
      <c r="DQ201" s="97" t="str">
        <f t="shared" si="605"/>
        <v/>
      </c>
      <c r="DR201" s="97" t="str">
        <f t="shared" si="606"/>
        <v/>
      </c>
      <c r="DS201" s="98">
        <f t="shared" si="607"/>
        <v>0</v>
      </c>
      <c r="DT201" s="98">
        <f t="shared" si="608"/>
        <v>0</v>
      </c>
      <c r="DU201" s="98">
        <f t="shared" si="609"/>
        <v>0</v>
      </c>
      <c r="DV201" s="98">
        <f t="shared" si="610"/>
        <v>0</v>
      </c>
      <c r="DW201" s="98">
        <f t="shared" si="611"/>
        <v>0</v>
      </c>
      <c r="DX201" s="98" t="str">
        <f t="shared" si="612"/>
        <v/>
      </c>
      <c r="DY201" s="99" t="str">
        <f t="shared" si="613"/>
        <v/>
      </c>
      <c r="DZ201" s="74" t="str">
        <f>IF('Marks Entry'!AY201="","",'Marks Entry'!AY201)</f>
        <v/>
      </c>
      <c r="EA201" s="74" t="str">
        <f>IF('Marks Entry'!AZ201="","",'Marks Entry'!AZ201)</f>
        <v/>
      </c>
      <c r="EB201" s="74" t="str">
        <f>IF('Marks Entry'!BA201="","",'Marks Entry'!BA201)</f>
        <v/>
      </c>
      <c r="EC201" s="527" t="str">
        <f t="shared" si="561"/>
        <v/>
      </c>
      <c r="ED201" s="74" t="str">
        <f>IF('Marks Entry'!BB201="","",'Marks Entry'!BB201)</f>
        <v/>
      </c>
      <c r="EE201" s="528" t="str">
        <f t="shared" si="562"/>
        <v/>
      </c>
      <c r="EF201" s="74" t="str">
        <f>IF('Marks Entry'!BC201="","",'Marks Entry'!BC201)</f>
        <v/>
      </c>
      <c r="EG201" s="530" t="str">
        <f t="shared" si="563"/>
        <v/>
      </c>
      <c r="EH201" s="368" t="str">
        <f t="shared" si="614"/>
        <v/>
      </c>
      <c r="EI201" s="65">
        <f t="shared" si="615"/>
        <v>0</v>
      </c>
      <c r="EJ201" s="65">
        <f t="shared" si="616"/>
        <v>0</v>
      </c>
      <c r="EK201" s="66" t="str">
        <f t="shared" si="617"/>
        <v/>
      </c>
      <c r="EL201" s="74" t="str">
        <f>IF('Marks Entry'!BD201="","",'Marks Entry'!BD201)</f>
        <v/>
      </c>
      <c r="EM201" s="74" t="str">
        <f>IF('Marks Entry'!BE201="","",'Marks Entry'!BE201)</f>
        <v/>
      </c>
      <c r="EN201" s="74" t="str">
        <f>IF('Marks Entry'!BF201="","",'Marks Entry'!BF201)</f>
        <v/>
      </c>
      <c r="EO201" s="527" t="str">
        <f t="shared" si="564"/>
        <v/>
      </c>
      <c r="EP201" s="74" t="str">
        <f>IF('Marks Entry'!BG201="","",'Marks Entry'!BG201)</f>
        <v/>
      </c>
      <c r="EQ201" s="74" t="str">
        <f>IF('Marks Entry'!BH201="","",'Marks Entry'!BH201)</f>
        <v/>
      </c>
      <c r="ER201" s="528" t="str">
        <f t="shared" si="565"/>
        <v/>
      </c>
      <c r="ES201" s="529" t="str">
        <f t="shared" si="566"/>
        <v/>
      </c>
      <c r="ET201" s="74" t="str">
        <f>IF('Marks Entry'!BI201="","",'Marks Entry'!BI201)</f>
        <v/>
      </c>
      <c r="EU201" s="74" t="str">
        <f>IF('Marks Entry'!BJ201="","",'Marks Entry'!BJ201)</f>
        <v/>
      </c>
      <c r="EV201" s="528" t="str">
        <f t="shared" si="567"/>
        <v/>
      </c>
      <c r="EW201" s="530" t="str">
        <f t="shared" si="568"/>
        <v/>
      </c>
      <c r="EX201" s="368" t="str">
        <f t="shared" si="618"/>
        <v/>
      </c>
      <c r="EY201" s="65">
        <f t="shared" si="619"/>
        <v>0</v>
      </c>
      <c r="EZ201" s="65">
        <f t="shared" si="620"/>
        <v>0</v>
      </c>
      <c r="FA201" s="66" t="str">
        <f t="shared" si="621"/>
        <v/>
      </c>
      <c r="FB201" s="74" t="str">
        <f>IF('Marks Entry'!BK201="","",'Marks Entry'!BK201)</f>
        <v/>
      </c>
      <c r="FC201" s="74" t="str">
        <f>IF('Marks Entry'!BL201="","",'Marks Entry'!BL201)</f>
        <v/>
      </c>
      <c r="FD201" s="74" t="str">
        <f>IF('Marks Entry'!BM201="","",'Marks Entry'!BM201)</f>
        <v/>
      </c>
      <c r="FE201" s="74" t="str">
        <f>IF('Marks Entry'!BN201="","",'Marks Entry'!BN201)</f>
        <v/>
      </c>
      <c r="FF201" s="74" t="str">
        <f>IF('Marks Entry'!BO201="","",'Marks Entry'!BO201)</f>
        <v/>
      </c>
      <c r="FG201" s="74" t="str">
        <f>IF('Marks Entry'!BP201="","",'Marks Entry'!BP201)</f>
        <v/>
      </c>
      <c r="FH201" s="527" t="str">
        <f t="shared" si="569"/>
        <v/>
      </c>
      <c r="FI201" s="74" t="str">
        <f>IF('Marks Entry'!BQ201="","",'Marks Entry'!BQ201)</f>
        <v/>
      </c>
      <c r="FJ201" s="74" t="str">
        <f>IF('Marks Entry'!BR201="","",'Marks Entry'!BR201)</f>
        <v/>
      </c>
      <c r="FK201" s="528" t="str">
        <f t="shared" si="570"/>
        <v/>
      </c>
      <c r="FL201" s="529" t="str">
        <f t="shared" si="571"/>
        <v/>
      </c>
      <c r="FM201" s="74" t="str">
        <f>IF('Marks Entry'!BS201="","",'Marks Entry'!BS201)</f>
        <v/>
      </c>
      <c r="FN201" s="74" t="str">
        <f>IF('Marks Entry'!BT201="","",'Marks Entry'!BT201)</f>
        <v/>
      </c>
      <c r="FO201" s="528" t="str">
        <f t="shared" si="572"/>
        <v/>
      </c>
      <c r="FP201" s="530" t="str">
        <f t="shared" si="573"/>
        <v/>
      </c>
      <c r="FQ201" s="368" t="str">
        <f t="shared" si="622"/>
        <v/>
      </c>
      <c r="FR201" s="65">
        <f t="shared" si="623"/>
        <v>0</v>
      </c>
      <c r="FS201" s="65">
        <f t="shared" si="624"/>
        <v>0</v>
      </c>
      <c r="FT201" s="66" t="str">
        <f t="shared" si="625"/>
        <v/>
      </c>
      <c r="FU201" s="74" t="str">
        <f>IF('Marks Entry'!BU201="","",'Marks Entry'!BU201)</f>
        <v/>
      </c>
      <c r="FV201" s="74" t="str">
        <f>IF('Marks Entry'!BV201="","",'Marks Entry'!BV201)</f>
        <v/>
      </c>
      <c r="FW201" s="74" t="str">
        <f>IF('Marks Entry'!BW201="","",'Marks Entry'!BW201)</f>
        <v/>
      </c>
      <c r="FX201" s="75" t="str">
        <f t="shared" si="574"/>
        <v/>
      </c>
      <c r="FY201" s="368" t="str">
        <f t="shared" si="626"/>
        <v/>
      </c>
      <c r="FZ201" s="65">
        <f t="shared" si="627"/>
        <v>0</v>
      </c>
      <c r="GA201" s="66">
        <f t="shared" si="628"/>
        <v>0</v>
      </c>
      <c r="GB201" s="66" t="str">
        <f t="shared" si="629"/>
        <v/>
      </c>
      <c r="GC201" s="74" t="str">
        <f>IF('Marks Entry'!BX201="","",'Marks Entry'!BX201)</f>
        <v/>
      </c>
      <c r="GD201" s="74" t="str">
        <f>IF('Marks Entry'!BY201="","",'Marks Entry'!BY201)</f>
        <v/>
      </c>
      <c r="GE201" s="74" t="str">
        <f>IF('Marks Entry'!BZ201="","",'Marks Entry'!BZ201)</f>
        <v/>
      </c>
      <c r="GF201" s="75" t="str">
        <f t="shared" si="630"/>
        <v/>
      </c>
      <c r="GG201" s="368" t="str">
        <f t="shared" si="631"/>
        <v/>
      </c>
      <c r="GH201" s="65">
        <f t="shared" si="632"/>
        <v>0</v>
      </c>
      <c r="GI201" s="66">
        <f t="shared" si="633"/>
        <v>0</v>
      </c>
      <c r="GJ201" s="66" t="str">
        <f t="shared" si="634"/>
        <v/>
      </c>
      <c r="GK201" s="100" t="str">
        <f>IF(AND(F201="",B201=""),"",IF('Student DATA Entry'!M198="","",'Student DATA Entry'!M198))</f>
        <v/>
      </c>
      <c r="GL201" s="101" t="str">
        <f>IF(AND(B201="",F201=""),"",IF('Student DATA Entry'!N198="","",'Student DATA Entry'!N198))</f>
        <v/>
      </c>
      <c r="GM201" s="581" t="str">
        <f t="shared" si="635"/>
        <v/>
      </c>
      <c r="GN201" s="94" t="str">
        <f t="shared" si="636"/>
        <v/>
      </c>
      <c r="GO201" s="94" t="str">
        <f t="shared" si="637"/>
        <v/>
      </c>
      <c r="GP201" s="102" t="str">
        <f t="shared" si="575"/>
        <v/>
      </c>
      <c r="GQ201" s="94" t="str">
        <f t="shared" si="638"/>
        <v/>
      </c>
      <c r="GR201" s="103" t="str">
        <f t="shared" si="639"/>
        <v/>
      </c>
      <c r="GS201" s="102" t="str">
        <f t="shared" si="576"/>
        <v/>
      </c>
      <c r="GT201" s="104" t="str">
        <f t="shared" si="640"/>
        <v/>
      </c>
      <c r="GU201" s="94" t="str">
        <f>IF('Marks Entry'!V201=1,GT201,"")</f>
        <v/>
      </c>
      <c r="GV201" s="94" t="str">
        <f>IF('Marks Entry'!V201=2,GT201,"")</f>
        <v/>
      </c>
      <c r="GW201" s="94" t="str">
        <f>IF('Marks Entry'!V201=3,GT201,"")</f>
        <v/>
      </c>
      <c r="GX201" s="94" t="str">
        <f>IF('Marks Entry'!V201=4,GT201,"")</f>
        <v/>
      </c>
      <c r="GY201" s="94" t="str">
        <f>IF('Marks Entry'!V201=5,GT201,"")</f>
        <v/>
      </c>
      <c r="GZ201" s="94" t="str">
        <f t="shared" si="641"/>
        <v/>
      </c>
      <c r="HA201" s="105" t="str">
        <f t="shared" si="577"/>
        <v/>
      </c>
      <c r="HB201" s="94" t="str">
        <f t="shared" si="642"/>
        <v/>
      </c>
      <c r="HC201" s="94" t="str">
        <f t="shared" si="643"/>
        <v/>
      </c>
      <c r="HD201" s="105" t="str">
        <f t="shared" si="578"/>
        <v/>
      </c>
      <c r="HE201" s="94" t="str">
        <f t="shared" si="644"/>
        <v/>
      </c>
      <c r="HF201" s="94" t="str">
        <f t="shared" si="645"/>
        <v/>
      </c>
      <c r="HG201" s="105" t="str">
        <f t="shared" si="579"/>
        <v/>
      </c>
      <c r="HH201" s="94" t="str">
        <f t="shared" si="646"/>
        <v/>
      </c>
      <c r="HI201" s="94" t="str">
        <f t="shared" si="647"/>
        <v/>
      </c>
      <c r="HJ201" s="105" t="str">
        <f t="shared" si="580"/>
        <v/>
      </c>
      <c r="HK201" s="94" t="str">
        <f t="shared" si="648"/>
        <v/>
      </c>
      <c r="HL201" s="94" t="str">
        <f t="shared" si="649"/>
        <v/>
      </c>
      <c r="HM201" s="105" t="str">
        <f t="shared" si="581"/>
        <v/>
      </c>
      <c r="HN201" s="367" t="str">
        <f t="shared" si="650"/>
        <v xml:space="preserve">      </v>
      </c>
      <c r="HO201" s="418" t="str">
        <f t="shared" si="582"/>
        <v xml:space="preserve">      </v>
      </c>
      <c r="HP201" s="367" t="str">
        <f t="shared" si="651"/>
        <v xml:space="preserve">      </v>
      </c>
      <c r="HQ201" s="107" t="str">
        <f t="shared" si="652"/>
        <v xml:space="preserve">      </v>
      </c>
      <c r="HR201" s="366" t="str">
        <f t="shared" si="653"/>
        <v xml:space="preserve">      </v>
      </c>
      <c r="HS201" s="544" t="str">
        <f t="shared" si="583"/>
        <v/>
      </c>
      <c r="HT201" s="542" t="str">
        <f t="shared" si="654"/>
        <v/>
      </c>
      <c r="HU201" s="541" t="str">
        <f t="shared" si="655"/>
        <v/>
      </c>
      <c r="HV201" s="540" t="str">
        <f t="shared" si="656"/>
        <v/>
      </c>
      <c r="HW201" s="537" t="str">
        <f t="shared" si="657"/>
        <v/>
      </c>
      <c r="HX201" s="539" t="str">
        <f t="shared" si="658"/>
        <v/>
      </c>
      <c r="HY201" s="553" t="str">
        <f>IFERROR(IF(OR(HS201="SUPPLEMENTARY",HS201="RE-EXAM"),'Supp. Result Entry'!AQ199,""),"")</f>
        <v/>
      </c>
      <c r="HZ201" s="538" t="str">
        <f t="shared" si="659"/>
        <v/>
      </c>
      <c r="IA201" s="415" t="str">
        <f t="shared" si="660"/>
        <v/>
      </c>
      <c r="IB201" s="415" t="str">
        <f>IF(AND(HZ201="",IA201=""),"",IF(OR(HS201="SUPPLEMENTARY",HS201="RE-EXAM"),'Supp. Result Entry'!AQ199,HS201))</f>
        <v/>
      </c>
      <c r="IC201" s="87"/>
      <c r="IS201" s="109" t="str">
        <f>IF('Supp. Result Entry'!T199="","",'Supp. Result Entry'!$T$4)</f>
        <v/>
      </c>
      <c r="IT201" s="110" t="str">
        <f>IF('Supp. Result Entry'!W199="","",'Supp. Result Entry'!$W$4)</f>
        <v/>
      </c>
      <c r="IU201" s="110" t="str">
        <f>IF('Supp. Result Entry'!Z199="","",'Supp. Result Entry'!$Z$4)</f>
        <v/>
      </c>
      <c r="IV201" s="110" t="str">
        <f>IF('Supp. Result Entry'!AC199="","",'Supp. Result Entry'!$AC$4)</f>
        <v/>
      </c>
      <c r="IW201" s="110" t="str">
        <f>IF('Supp. Result Entry'!AF199="","",'Supp. Result Entry'!$AF$4)</f>
        <v/>
      </c>
      <c r="IX201" s="110" t="str">
        <f>IF('Supp. Result Entry'!AI199="","",'Supp. Result Entry'!$AI$4)</f>
        <v/>
      </c>
      <c r="IY201" s="110" t="str">
        <f>IF('Supp. Result Entry'!AI199="","",'Supp. Result Entry'!$AL$4)</f>
        <v/>
      </c>
      <c r="IZ201" s="110" t="str">
        <f>IF('Supp. Result Entry'!U199="","",'Supp. Result Entry'!U199)</f>
        <v/>
      </c>
      <c r="JA201" s="110" t="str">
        <f>IF('Supp. Result Entry'!X199="","",'Supp. Result Entry'!X199)</f>
        <v/>
      </c>
      <c r="JB201" s="110" t="str">
        <f>IF('Supp. Result Entry'!AA199="","",'Supp. Result Entry'!AA199)</f>
        <v/>
      </c>
      <c r="JC201" s="110" t="str">
        <f>IF('Supp. Result Entry'!AD199="","",'Supp. Result Entry'!AD199)</f>
        <v/>
      </c>
      <c r="JD201" s="110" t="str">
        <f>IF('Supp. Result Entry'!AG199="","",'Supp. Result Entry'!AG199)</f>
        <v/>
      </c>
      <c r="JE201" s="110" t="str">
        <f>IF('Supp. Result Entry'!AJ199="","",'Supp. Result Entry'!AJ199)</f>
        <v/>
      </c>
      <c r="JF201" s="110" t="str">
        <f>IF('Supp. Result Entry'!AM199="","",'Supp. Result Entry'!AM199)</f>
        <v/>
      </c>
      <c r="JG201" s="110" t="str">
        <f>IF('Supp. Result Entry'!V199="","",'Supp. Result Entry'!V199)</f>
        <v/>
      </c>
      <c r="JH201" s="110" t="str">
        <f>IF('Supp. Result Entry'!Y199="","",'Supp. Result Entry'!Y199)</f>
        <v/>
      </c>
      <c r="JI201" s="110" t="str">
        <f>IF('Supp. Result Entry'!AB199="","",'Supp. Result Entry'!AB199)</f>
        <v/>
      </c>
      <c r="JJ201" s="110" t="str">
        <f>IF('Supp. Result Entry'!AE199="","",'Supp. Result Entry'!AE199)</f>
        <v/>
      </c>
      <c r="JK201" s="110" t="str">
        <f>IF('Supp. Result Entry'!AH199="","",'Supp. Result Entry'!AH199)</f>
        <v/>
      </c>
      <c r="JL201" s="110" t="str">
        <f>IF('Supp. Result Entry'!AK199="","",'Supp. Result Entry'!AK199)</f>
        <v/>
      </c>
      <c r="JM201" s="110" t="str">
        <f>IF('Supp. Result Entry'!AN199="","",'Supp. Result Entry'!AN199)</f>
        <v/>
      </c>
      <c r="JN201" s="110">
        <f>COUNTIF('Supp. Result Entry'!K199:Q199,"S")</f>
        <v>0</v>
      </c>
      <c r="JO201" s="110">
        <f t="shared" si="584"/>
        <v>0</v>
      </c>
      <c r="JP201" s="110">
        <f t="shared" si="661"/>
        <v>0</v>
      </c>
      <c r="JQ201" s="110" t="str">
        <f t="shared" si="585"/>
        <v/>
      </c>
      <c r="JR201" s="110" t="str">
        <f t="shared" si="586"/>
        <v/>
      </c>
      <c r="JS201" s="110" t="str">
        <f t="shared" si="587"/>
        <v/>
      </c>
      <c r="JT201" s="110" t="str">
        <f t="shared" si="588"/>
        <v/>
      </c>
      <c r="JU201" s="110" t="str">
        <f t="shared" si="589"/>
        <v/>
      </c>
      <c r="JV201" s="110" t="str">
        <f t="shared" si="590"/>
        <v/>
      </c>
      <c r="JW201" s="110" t="str">
        <f t="shared" si="591"/>
        <v/>
      </c>
      <c r="JX201" s="110" t="str">
        <f t="shared" si="662"/>
        <v/>
      </c>
      <c r="JY201" s="110" t="str">
        <f t="shared" si="663"/>
        <v/>
      </c>
      <c r="JZ201" s="110" t="str">
        <f t="shared" si="592"/>
        <v/>
      </c>
      <c r="KA201" s="108" t="str">
        <f t="shared" si="664"/>
        <v/>
      </c>
    </row>
    <row r="202" spans="1:287" s="108" customFormat="1" ht="21.95" customHeight="1">
      <c r="A202" s="89">
        <v>196</v>
      </c>
      <c r="B202" s="90" t="str">
        <f>IF('Marks Entry'!B202="","",'Marks Entry'!B202)</f>
        <v/>
      </c>
      <c r="C202" s="94" t="str">
        <f>IF('Marks Entry'!D202="","",'Marks Entry'!D202)</f>
        <v/>
      </c>
      <c r="D202" s="91" t="str">
        <f>IF('Marks Entry'!E202="","",'Marks Entry'!E202)</f>
        <v/>
      </c>
      <c r="E202" s="92" t="str">
        <f>IF('Marks Entry'!F202="","",'Marks Entry'!F202)</f>
        <v/>
      </c>
      <c r="F202" s="93" t="str">
        <f>IF('Marks Entry'!G202="","",'Marks Entry'!G202)</f>
        <v/>
      </c>
      <c r="G202" s="93" t="str">
        <f>IF('Marks Entry'!H202="","",'Marks Entry'!H202)</f>
        <v/>
      </c>
      <c r="H202" s="93" t="str">
        <f>IF('Marks Entry'!I202="","",'Marks Entry'!I202)</f>
        <v/>
      </c>
      <c r="I202" s="94" t="str">
        <f>IF('Marks Entry'!J202="","",'Marks Entry'!J202)</f>
        <v/>
      </c>
      <c r="J202" s="95" t="str">
        <f>IF('Marks Entry'!K202="","",'Marks Entry'!K202)</f>
        <v/>
      </c>
      <c r="K202" s="68" t="str">
        <f>IF('Marks Entry'!L202="","",'Marks Entry'!L202)</f>
        <v/>
      </c>
      <c r="L202" s="68" t="str">
        <f>IF('Marks Entry'!M202="","",'Marks Entry'!M202)</f>
        <v/>
      </c>
      <c r="M202" s="68" t="str">
        <f>IF('Marks Entry'!N202="","",'Marks Entry'!N202)</f>
        <v/>
      </c>
      <c r="N202" s="514" t="str">
        <f t="shared" si="593"/>
        <v/>
      </c>
      <c r="O202" s="68" t="str">
        <f>IF('Marks Entry'!O202="","",'Marks Entry'!O202)</f>
        <v/>
      </c>
      <c r="P202" s="515" t="str">
        <f t="shared" si="594"/>
        <v/>
      </c>
      <c r="Q202" s="68" t="str">
        <f>IF('Marks Entry'!P202="","",'Marks Entry'!P202)</f>
        <v/>
      </c>
      <c r="R202" s="96" t="str">
        <f t="shared" si="595"/>
        <v/>
      </c>
      <c r="S202" s="65">
        <f t="shared" si="596"/>
        <v>0</v>
      </c>
      <c r="T202" s="65">
        <f t="shared" si="597"/>
        <v>0</v>
      </c>
      <c r="U202" s="66" t="str">
        <f t="shared" si="507"/>
        <v/>
      </c>
      <c r="V202" s="65" t="str">
        <f t="shared" si="508"/>
        <v/>
      </c>
      <c r="W202" s="65" t="str">
        <f t="shared" si="598"/>
        <v/>
      </c>
      <c r="X202" s="65" t="str">
        <f t="shared" si="509"/>
        <v/>
      </c>
      <c r="Y202" s="68" t="str">
        <f>IF('Marks Entry'!Q202="","",'Marks Entry'!Q202)</f>
        <v/>
      </c>
      <c r="Z202" s="68" t="str">
        <f>IF('Marks Entry'!R202="","",'Marks Entry'!R202)</f>
        <v/>
      </c>
      <c r="AA202" s="68" t="str">
        <f>IF('Marks Entry'!S202="","",'Marks Entry'!S202)</f>
        <v/>
      </c>
      <c r="AB202" s="514" t="str">
        <f t="shared" si="510"/>
        <v/>
      </c>
      <c r="AC202" s="68" t="str">
        <f>IF('Marks Entry'!T202="","",'Marks Entry'!T202)</f>
        <v/>
      </c>
      <c r="AD202" s="515" t="str">
        <f t="shared" si="511"/>
        <v/>
      </c>
      <c r="AE202" s="68" t="str">
        <f>IF('Marks Entry'!U202="","",'Marks Entry'!U202)</f>
        <v/>
      </c>
      <c r="AF202" s="96" t="str">
        <f t="shared" si="512"/>
        <v/>
      </c>
      <c r="AG202" s="65">
        <f t="shared" si="513"/>
        <v>0</v>
      </c>
      <c r="AH202" s="65">
        <f t="shared" si="514"/>
        <v>0</v>
      </c>
      <c r="AI202" s="66" t="str">
        <f t="shared" si="515"/>
        <v/>
      </c>
      <c r="AJ202" s="65" t="str">
        <f t="shared" si="516"/>
        <v/>
      </c>
      <c r="AK202" s="65" t="str">
        <f t="shared" si="517"/>
        <v/>
      </c>
      <c r="AL202" s="65" t="str">
        <f t="shared" si="518"/>
        <v/>
      </c>
      <c r="AM202" s="524" t="str">
        <f>IF('Marks Entry'!V202="","",IF('Marks Entry'!V202=1,'School Profile'!$I$9,IF('Marks Entry'!V202=2,'School Profile'!$I$10,IF('Marks Entry'!V202=3,'School Profile'!$I$11,IF('Marks Entry'!V202=4,'School Profile'!$I$12,IF('Marks Entry'!V202=5,'School Profile'!$I$13,IF('Marks Entry'!V202=6,'School Profile'!$I$14,"")))))))</f>
        <v/>
      </c>
      <c r="AN202" s="68" t="str">
        <f>IF('Marks Entry'!W202="","",'Marks Entry'!W202)</f>
        <v/>
      </c>
      <c r="AO202" s="68" t="str">
        <f>IF('Marks Entry'!X202="","",'Marks Entry'!X202)</f>
        <v/>
      </c>
      <c r="AP202" s="68" t="str">
        <f>IF('Marks Entry'!Y202="","",'Marks Entry'!Y202)</f>
        <v/>
      </c>
      <c r="AQ202" s="514" t="str">
        <f t="shared" si="519"/>
        <v/>
      </c>
      <c r="AR202" s="68" t="str">
        <f>IF('Marks Entry'!Z202="","",'Marks Entry'!Z202)</f>
        <v/>
      </c>
      <c r="AS202" s="515" t="str">
        <f t="shared" si="520"/>
        <v/>
      </c>
      <c r="AT202" s="68" t="str">
        <f>IF('Marks Entry'!AA202="","",'Marks Entry'!AA202)</f>
        <v/>
      </c>
      <c r="AU202" s="96" t="str">
        <f t="shared" si="521"/>
        <v/>
      </c>
      <c r="AV202" s="65">
        <f t="shared" si="522"/>
        <v>0</v>
      </c>
      <c r="AW202" s="65">
        <f t="shared" si="523"/>
        <v>0</v>
      </c>
      <c r="AX202" s="66" t="str">
        <f t="shared" si="524"/>
        <v/>
      </c>
      <c r="AY202" s="65" t="str">
        <f t="shared" si="525"/>
        <v/>
      </c>
      <c r="AZ202" s="65" t="str">
        <f t="shared" si="526"/>
        <v/>
      </c>
      <c r="BA202" s="65" t="str">
        <f t="shared" si="527"/>
        <v/>
      </c>
      <c r="BB202" s="68" t="str">
        <f>IF('Marks Entry'!AB202="","",'Marks Entry'!AB202)</f>
        <v/>
      </c>
      <c r="BC202" s="68" t="str">
        <f>IF('Marks Entry'!AC202="","",'Marks Entry'!AC202)</f>
        <v/>
      </c>
      <c r="BD202" s="68" t="str">
        <f>IF('Marks Entry'!AD202="","",'Marks Entry'!AD202)</f>
        <v/>
      </c>
      <c r="BE202" s="514" t="str">
        <f t="shared" si="528"/>
        <v/>
      </c>
      <c r="BF202" s="68" t="str">
        <f>IF('Marks Entry'!AE202="","",'Marks Entry'!AE202)</f>
        <v/>
      </c>
      <c r="BG202" s="515" t="str">
        <f t="shared" si="529"/>
        <v/>
      </c>
      <c r="BH202" s="68" t="str">
        <f>IF('Marks Entry'!AF202="","",'Marks Entry'!AF202)</f>
        <v/>
      </c>
      <c r="BI202" s="96" t="str">
        <f t="shared" si="530"/>
        <v/>
      </c>
      <c r="BJ202" s="65">
        <f t="shared" si="531"/>
        <v>0</v>
      </c>
      <c r="BK202" s="65">
        <f t="shared" si="599"/>
        <v>0</v>
      </c>
      <c r="BL202" s="66" t="str">
        <f t="shared" si="532"/>
        <v/>
      </c>
      <c r="BM202" s="65" t="str">
        <f t="shared" si="533"/>
        <v/>
      </c>
      <c r="BN202" s="65" t="str">
        <f t="shared" si="534"/>
        <v/>
      </c>
      <c r="BO202" s="65" t="str">
        <f t="shared" si="535"/>
        <v/>
      </c>
      <c r="BP202" s="68" t="str">
        <f>IF('Marks Entry'!AG202="","",'Marks Entry'!AG202)</f>
        <v/>
      </c>
      <c r="BQ202" s="68" t="str">
        <f>IF('Marks Entry'!AH202="","",'Marks Entry'!AH202)</f>
        <v/>
      </c>
      <c r="BR202" s="68" t="str">
        <f>IF('Marks Entry'!AI202="","",'Marks Entry'!AI202)</f>
        <v/>
      </c>
      <c r="BS202" s="514" t="str">
        <f t="shared" si="536"/>
        <v/>
      </c>
      <c r="BT202" s="68" t="str">
        <f>IF('Marks Entry'!AJ202="","",'Marks Entry'!AJ202)</f>
        <v/>
      </c>
      <c r="BU202" s="515" t="str">
        <f t="shared" si="537"/>
        <v/>
      </c>
      <c r="BV202" s="68" t="str">
        <f>IF('Marks Entry'!AK202="","",'Marks Entry'!AK202)</f>
        <v/>
      </c>
      <c r="BW202" s="96" t="str">
        <f t="shared" si="538"/>
        <v/>
      </c>
      <c r="BX202" s="65">
        <f t="shared" si="539"/>
        <v>0</v>
      </c>
      <c r="BY202" s="65">
        <f t="shared" si="540"/>
        <v>0</v>
      </c>
      <c r="BZ202" s="66" t="str">
        <f t="shared" si="541"/>
        <v/>
      </c>
      <c r="CA202" s="65" t="str">
        <f t="shared" si="542"/>
        <v/>
      </c>
      <c r="CB202" s="65" t="str">
        <f t="shared" si="543"/>
        <v/>
      </c>
      <c r="CC202" s="65" t="str">
        <f t="shared" si="544"/>
        <v/>
      </c>
      <c r="CD202" s="66">
        <f t="shared" si="545"/>
        <v>0</v>
      </c>
      <c r="CE202" s="68" t="str">
        <f>IF('Marks Entry'!AL202="","",'Marks Entry'!AL202)</f>
        <v/>
      </c>
      <c r="CF202" s="68" t="str">
        <f>IF('Marks Entry'!AM202="","",'Marks Entry'!AM202)</f>
        <v/>
      </c>
      <c r="CG202" s="68" t="str">
        <f>IF('Marks Entry'!AN202="","",'Marks Entry'!AN202)</f>
        <v/>
      </c>
      <c r="CH202" s="514" t="str">
        <f t="shared" si="546"/>
        <v/>
      </c>
      <c r="CI202" s="68" t="str">
        <f>IF('Marks Entry'!AO202="","",'Marks Entry'!AO202)</f>
        <v/>
      </c>
      <c r="CJ202" s="515" t="str">
        <f t="shared" si="547"/>
        <v/>
      </c>
      <c r="CK202" s="68" t="str">
        <f>IF('Marks Entry'!AP202="","",'Marks Entry'!AP202)</f>
        <v/>
      </c>
      <c r="CL202" s="96" t="str">
        <f t="shared" si="548"/>
        <v/>
      </c>
      <c r="CM202" s="65">
        <f t="shared" si="549"/>
        <v>0</v>
      </c>
      <c r="CN202" s="65">
        <f t="shared" si="550"/>
        <v>0</v>
      </c>
      <c r="CO202" s="66" t="str">
        <f t="shared" si="551"/>
        <v/>
      </c>
      <c r="CP202" s="65" t="str">
        <f t="shared" si="552"/>
        <v/>
      </c>
      <c r="CQ202" s="65" t="str">
        <f t="shared" si="553"/>
        <v/>
      </c>
      <c r="CR202" s="65" t="str">
        <f t="shared" si="554"/>
        <v/>
      </c>
      <c r="CS202" s="616" t="str">
        <f>IF('School Profile'!$D$20="NO","",IF('Marks Entry'!AQ202="","",IF('Marks Entry'!AQ202=1,'School Profile'!$I$29,IF('Marks Entry'!AQ202=2,'School Profile'!$I$30,IF('Marks Entry'!AQ202=3,'School Profile'!$I$31,IF('Marks Entry'!AQ202=4,'School Profile'!$I$32,IF('Marks Entry'!AQ202=5,'School Profile'!$I$33,IF('Marks Entry'!AQ202=6,'School Profile'!$I$34,IF('Marks Entry'!AQ202=7,'School Profile'!$I$35,IF('Marks Entry'!AQ202=8,'School Profile'!$I$36,IF('Marks Entry'!AQ202=9,'School Profile'!$I$37,IF('Marks Entry'!AQ202=10,'School Profile'!$I$38,IF('Marks Entry'!AQ202=11,'School Profile'!$I$39,"")))))))))))))</f>
        <v/>
      </c>
      <c r="CT202" s="68" t="str">
        <f>IF('School Profile'!$D$20="NO","",IF('Marks Entry'!AR202="","",'Marks Entry'!AR202))</f>
        <v/>
      </c>
      <c r="CU202" s="68" t="str">
        <f>IF('School Profile'!$D$20="NO","",IF('Marks Entry'!AS202="","",'Marks Entry'!AS202))</f>
        <v/>
      </c>
      <c r="CV202" s="68" t="str">
        <f>IF('School Profile'!$D$20="NO","",IF('Marks Entry'!AT202="","",'Marks Entry'!AT202))</f>
        <v/>
      </c>
      <c r="CW202" s="514" t="str">
        <f>IF('School Profile'!$D$20="NO","",IF(AND(CT202="",CU202="",CV202=""),"",SUM(CT202:CV202)))</f>
        <v/>
      </c>
      <c r="CX202" s="68" t="str">
        <f>IF('School Profile'!$D$20="NO","",IF('Marks Entry'!AU202="","",'Marks Entry'!AU202))</f>
        <v/>
      </c>
      <c r="CY202" s="68" t="str">
        <f>IF('School Profile'!$D$20="NO","",IF('Marks Entry'!AV202="","",'Marks Entry'!AV202))</f>
        <v/>
      </c>
      <c r="CZ202" s="515" t="str">
        <f>IF('School Profile'!$D$20="NO","",IF(AND(CX202="",CY202=""),"",SUM(CX202,CY202)))</f>
        <v/>
      </c>
      <c r="DA202" s="69" t="str">
        <f>IF('School Profile'!$D$20="NO","",IF(AND(CW202="",CZ202=""),"",SUM(CW202+CZ202)))</f>
        <v/>
      </c>
      <c r="DB202" s="68" t="str">
        <f>IF('School Profile'!$D$20="NO","",IF('Marks Entry'!AW202="","",'Marks Entry'!AW202))</f>
        <v/>
      </c>
      <c r="DC202" s="68" t="str">
        <f>IF('School Profile'!$D$20="NO","",IF('Marks Entry'!AX202="","",'Marks Entry'!AX202))</f>
        <v/>
      </c>
      <c r="DD202" s="515" t="str">
        <f>IF('School Profile'!$D$20="NO","",IF(AND(DB202="",DC202=""),"",SUM(DB202,DC202)))</f>
        <v/>
      </c>
      <c r="DE202" s="96" t="str">
        <f>IF('School Profile'!$D$20="NO","",IF(AND(DA202="",DD202=""),"",SUM(DA202,DD202)))</f>
        <v/>
      </c>
      <c r="DF202" s="532">
        <f t="shared" si="555"/>
        <v>0</v>
      </c>
      <c r="DG202" s="65">
        <f t="shared" si="556"/>
        <v>0</v>
      </c>
      <c r="DH202" s="66" t="str">
        <f t="shared" si="557"/>
        <v/>
      </c>
      <c r="DI202" s="65" t="str">
        <f t="shared" si="558"/>
        <v/>
      </c>
      <c r="DJ202" s="65" t="str">
        <f t="shared" si="559"/>
        <v/>
      </c>
      <c r="DK202" s="65" t="str">
        <f t="shared" si="560"/>
        <v/>
      </c>
      <c r="DL202" s="97" t="str">
        <f t="shared" si="600"/>
        <v/>
      </c>
      <c r="DM202" s="97" t="str">
        <f t="shared" si="601"/>
        <v/>
      </c>
      <c r="DN202" s="97" t="str">
        <f t="shared" si="602"/>
        <v/>
      </c>
      <c r="DO202" s="97" t="str">
        <f t="shared" si="603"/>
        <v/>
      </c>
      <c r="DP202" s="97" t="str">
        <f t="shared" si="604"/>
        <v/>
      </c>
      <c r="DQ202" s="97" t="str">
        <f t="shared" si="605"/>
        <v/>
      </c>
      <c r="DR202" s="97" t="str">
        <f t="shared" si="606"/>
        <v/>
      </c>
      <c r="DS202" s="98">
        <f t="shared" si="607"/>
        <v>0</v>
      </c>
      <c r="DT202" s="98">
        <f t="shared" si="608"/>
        <v>0</v>
      </c>
      <c r="DU202" s="98">
        <f t="shared" si="609"/>
        <v>0</v>
      </c>
      <c r="DV202" s="98">
        <f t="shared" si="610"/>
        <v>0</v>
      </c>
      <c r="DW202" s="98">
        <f t="shared" si="611"/>
        <v>0</v>
      </c>
      <c r="DX202" s="98" t="str">
        <f t="shared" si="612"/>
        <v/>
      </c>
      <c r="DY202" s="99" t="str">
        <f t="shared" si="613"/>
        <v/>
      </c>
      <c r="DZ202" s="74" t="str">
        <f>IF('Marks Entry'!AY202="","",'Marks Entry'!AY202)</f>
        <v/>
      </c>
      <c r="EA202" s="74" t="str">
        <f>IF('Marks Entry'!AZ202="","",'Marks Entry'!AZ202)</f>
        <v/>
      </c>
      <c r="EB202" s="74" t="str">
        <f>IF('Marks Entry'!BA202="","",'Marks Entry'!BA202)</f>
        <v/>
      </c>
      <c r="EC202" s="527" t="str">
        <f t="shared" si="561"/>
        <v/>
      </c>
      <c r="ED202" s="74" t="str">
        <f>IF('Marks Entry'!BB202="","",'Marks Entry'!BB202)</f>
        <v/>
      </c>
      <c r="EE202" s="528" t="str">
        <f t="shared" si="562"/>
        <v/>
      </c>
      <c r="EF202" s="74" t="str">
        <f>IF('Marks Entry'!BC202="","",'Marks Entry'!BC202)</f>
        <v/>
      </c>
      <c r="EG202" s="530" t="str">
        <f t="shared" si="563"/>
        <v/>
      </c>
      <c r="EH202" s="368" t="str">
        <f t="shared" si="614"/>
        <v/>
      </c>
      <c r="EI202" s="65">
        <f t="shared" si="615"/>
        <v>0</v>
      </c>
      <c r="EJ202" s="65">
        <f t="shared" si="616"/>
        <v>0</v>
      </c>
      <c r="EK202" s="66" t="str">
        <f t="shared" si="617"/>
        <v/>
      </c>
      <c r="EL202" s="74" t="str">
        <f>IF('Marks Entry'!BD202="","",'Marks Entry'!BD202)</f>
        <v/>
      </c>
      <c r="EM202" s="74" t="str">
        <f>IF('Marks Entry'!BE202="","",'Marks Entry'!BE202)</f>
        <v/>
      </c>
      <c r="EN202" s="74" t="str">
        <f>IF('Marks Entry'!BF202="","",'Marks Entry'!BF202)</f>
        <v/>
      </c>
      <c r="EO202" s="527" t="str">
        <f t="shared" si="564"/>
        <v/>
      </c>
      <c r="EP202" s="74" t="str">
        <f>IF('Marks Entry'!BG202="","",'Marks Entry'!BG202)</f>
        <v/>
      </c>
      <c r="EQ202" s="74" t="str">
        <f>IF('Marks Entry'!BH202="","",'Marks Entry'!BH202)</f>
        <v/>
      </c>
      <c r="ER202" s="528" t="str">
        <f t="shared" si="565"/>
        <v/>
      </c>
      <c r="ES202" s="529" t="str">
        <f t="shared" si="566"/>
        <v/>
      </c>
      <c r="ET202" s="74" t="str">
        <f>IF('Marks Entry'!BI202="","",'Marks Entry'!BI202)</f>
        <v/>
      </c>
      <c r="EU202" s="74" t="str">
        <f>IF('Marks Entry'!BJ202="","",'Marks Entry'!BJ202)</f>
        <v/>
      </c>
      <c r="EV202" s="528" t="str">
        <f t="shared" si="567"/>
        <v/>
      </c>
      <c r="EW202" s="530" t="str">
        <f t="shared" si="568"/>
        <v/>
      </c>
      <c r="EX202" s="368" t="str">
        <f t="shared" si="618"/>
        <v/>
      </c>
      <c r="EY202" s="65">
        <f t="shared" si="619"/>
        <v>0</v>
      </c>
      <c r="EZ202" s="65">
        <f t="shared" si="620"/>
        <v>0</v>
      </c>
      <c r="FA202" s="66" t="str">
        <f t="shared" si="621"/>
        <v/>
      </c>
      <c r="FB202" s="74" t="str">
        <f>IF('Marks Entry'!BK202="","",'Marks Entry'!BK202)</f>
        <v/>
      </c>
      <c r="FC202" s="74" t="str">
        <f>IF('Marks Entry'!BL202="","",'Marks Entry'!BL202)</f>
        <v/>
      </c>
      <c r="FD202" s="74" t="str">
        <f>IF('Marks Entry'!BM202="","",'Marks Entry'!BM202)</f>
        <v/>
      </c>
      <c r="FE202" s="74" t="str">
        <f>IF('Marks Entry'!BN202="","",'Marks Entry'!BN202)</f>
        <v/>
      </c>
      <c r="FF202" s="74" t="str">
        <f>IF('Marks Entry'!BO202="","",'Marks Entry'!BO202)</f>
        <v/>
      </c>
      <c r="FG202" s="74" t="str">
        <f>IF('Marks Entry'!BP202="","",'Marks Entry'!BP202)</f>
        <v/>
      </c>
      <c r="FH202" s="527" t="str">
        <f t="shared" si="569"/>
        <v/>
      </c>
      <c r="FI202" s="74" t="str">
        <f>IF('Marks Entry'!BQ202="","",'Marks Entry'!BQ202)</f>
        <v/>
      </c>
      <c r="FJ202" s="74" t="str">
        <f>IF('Marks Entry'!BR202="","",'Marks Entry'!BR202)</f>
        <v/>
      </c>
      <c r="FK202" s="528" t="str">
        <f t="shared" si="570"/>
        <v/>
      </c>
      <c r="FL202" s="529" t="str">
        <f t="shared" si="571"/>
        <v/>
      </c>
      <c r="FM202" s="74" t="str">
        <f>IF('Marks Entry'!BS202="","",'Marks Entry'!BS202)</f>
        <v/>
      </c>
      <c r="FN202" s="74" t="str">
        <f>IF('Marks Entry'!BT202="","",'Marks Entry'!BT202)</f>
        <v/>
      </c>
      <c r="FO202" s="528" t="str">
        <f t="shared" si="572"/>
        <v/>
      </c>
      <c r="FP202" s="530" t="str">
        <f t="shared" si="573"/>
        <v/>
      </c>
      <c r="FQ202" s="368" t="str">
        <f t="shared" si="622"/>
        <v/>
      </c>
      <c r="FR202" s="65">
        <f t="shared" si="623"/>
        <v>0</v>
      </c>
      <c r="FS202" s="65">
        <f t="shared" si="624"/>
        <v>0</v>
      </c>
      <c r="FT202" s="66" t="str">
        <f t="shared" si="625"/>
        <v/>
      </c>
      <c r="FU202" s="74" t="str">
        <f>IF('Marks Entry'!BU202="","",'Marks Entry'!BU202)</f>
        <v/>
      </c>
      <c r="FV202" s="74" t="str">
        <f>IF('Marks Entry'!BV202="","",'Marks Entry'!BV202)</f>
        <v/>
      </c>
      <c r="FW202" s="74" t="str">
        <f>IF('Marks Entry'!BW202="","",'Marks Entry'!BW202)</f>
        <v/>
      </c>
      <c r="FX202" s="75" t="str">
        <f t="shared" si="574"/>
        <v/>
      </c>
      <c r="FY202" s="368" t="str">
        <f t="shared" si="626"/>
        <v/>
      </c>
      <c r="FZ202" s="65">
        <f t="shared" si="627"/>
        <v>0</v>
      </c>
      <c r="GA202" s="66">
        <f t="shared" si="628"/>
        <v>0</v>
      </c>
      <c r="GB202" s="66" t="str">
        <f t="shared" si="629"/>
        <v/>
      </c>
      <c r="GC202" s="74" t="str">
        <f>IF('Marks Entry'!BX202="","",'Marks Entry'!BX202)</f>
        <v/>
      </c>
      <c r="GD202" s="74" t="str">
        <f>IF('Marks Entry'!BY202="","",'Marks Entry'!BY202)</f>
        <v/>
      </c>
      <c r="GE202" s="74" t="str">
        <f>IF('Marks Entry'!BZ202="","",'Marks Entry'!BZ202)</f>
        <v/>
      </c>
      <c r="GF202" s="75" t="str">
        <f t="shared" si="630"/>
        <v/>
      </c>
      <c r="GG202" s="368" t="str">
        <f t="shared" si="631"/>
        <v/>
      </c>
      <c r="GH202" s="65">
        <f t="shared" si="632"/>
        <v>0</v>
      </c>
      <c r="GI202" s="66">
        <f t="shared" si="633"/>
        <v>0</v>
      </c>
      <c r="GJ202" s="66" t="str">
        <f t="shared" si="634"/>
        <v/>
      </c>
      <c r="GK202" s="100" t="str">
        <f>IF(AND(F202="",B202=""),"",IF('Student DATA Entry'!M199="","",'Student DATA Entry'!M199))</f>
        <v/>
      </c>
      <c r="GL202" s="101" t="str">
        <f>IF(AND(B202="",F202=""),"",IF('Student DATA Entry'!N199="","",'Student DATA Entry'!N199))</f>
        <v/>
      </c>
      <c r="GM202" s="581" t="str">
        <f t="shared" si="635"/>
        <v/>
      </c>
      <c r="GN202" s="94" t="str">
        <f t="shared" si="636"/>
        <v/>
      </c>
      <c r="GO202" s="94" t="str">
        <f t="shared" si="637"/>
        <v/>
      </c>
      <c r="GP202" s="102" t="str">
        <f t="shared" si="575"/>
        <v/>
      </c>
      <c r="GQ202" s="94" t="str">
        <f t="shared" si="638"/>
        <v/>
      </c>
      <c r="GR202" s="103" t="str">
        <f t="shared" si="639"/>
        <v/>
      </c>
      <c r="GS202" s="102" t="str">
        <f t="shared" si="576"/>
        <v/>
      </c>
      <c r="GT202" s="104" t="str">
        <f t="shared" si="640"/>
        <v/>
      </c>
      <c r="GU202" s="94" t="str">
        <f>IF('Marks Entry'!V202=1,GT202,"")</f>
        <v/>
      </c>
      <c r="GV202" s="94" t="str">
        <f>IF('Marks Entry'!V202=2,GT202,"")</f>
        <v/>
      </c>
      <c r="GW202" s="94" t="str">
        <f>IF('Marks Entry'!V202=3,GT202,"")</f>
        <v/>
      </c>
      <c r="GX202" s="94" t="str">
        <f>IF('Marks Entry'!V202=4,GT202,"")</f>
        <v/>
      </c>
      <c r="GY202" s="94" t="str">
        <f>IF('Marks Entry'!V202=5,GT202,"")</f>
        <v/>
      </c>
      <c r="GZ202" s="94" t="str">
        <f t="shared" si="641"/>
        <v/>
      </c>
      <c r="HA202" s="105" t="str">
        <f t="shared" si="577"/>
        <v/>
      </c>
      <c r="HB202" s="94" t="str">
        <f t="shared" si="642"/>
        <v/>
      </c>
      <c r="HC202" s="94" t="str">
        <f t="shared" si="643"/>
        <v/>
      </c>
      <c r="HD202" s="105" t="str">
        <f t="shared" si="578"/>
        <v/>
      </c>
      <c r="HE202" s="94" t="str">
        <f t="shared" si="644"/>
        <v/>
      </c>
      <c r="HF202" s="94" t="str">
        <f t="shared" si="645"/>
        <v/>
      </c>
      <c r="HG202" s="105" t="str">
        <f t="shared" si="579"/>
        <v/>
      </c>
      <c r="HH202" s="94" t="str">
        <f t="shared" si="646"/>
        <v/>
      </c>
      <c r="HI202" s="94" t="str">
        <f t="shared" si="647"/>
        <v/>
      </c>
      <c r="HJ202" s="105" t="str">
        <f t="shared" si="580"/>
        <v/>
      </c>
      <c r="HK202" s="94" t="str">
        <f t="shared" si="648"/>
        <v/>
      </c>
      <c r="HL202" s="94" t="str">
        <f t="shared" si="649"/>
        <v/>
      </c>
      <c r="HM202" s="105" t="str">
        <f t="shared" si="581"/>
        <v/>
      </c>
      <c r="HN202" s="367" t="str">
        <f t="shared" si="650"/>
        <v xml:space="preserve">      </v>
      </c>
      <c r="HO202" s="418" t="str">
        <f t="shared" si="582"/>
        <v xml:space="preserve">      </v>
      </c>
      <c r="HP202" s="367" t="str">
        <f t="shared" si="651"/>
        <v xml:space="preserve">      </v>
      </c>
      <c r="HQ202" s="107" t="str">
        <f t="shared" si="652"/>
        <v xml:space="preserve">      </v>
      </c>
      <c r="HR202" s="366" t="str">
        <f t="shared" si="653"/>
        <v xml:space="preserve">      </v>
      </c>
      <c r="HS202" s="544" t="str">
        <f t="shared" si="583"/>
        <v/>
      </c>
      <c r="HT202" s="542" t="str">
        <f t="shared" si="654"/>
        <v/>
      </c>
      <c r="HU202" s="541" t="str">
        <f t="shared" si="655"/>
        <v/>
      </c>
      <c r="HV202" s="540" t="str">
        <f t="shared" si="656"/>
        <v/>
      </c>
      <c r="HW202" s="537" t="str">
        <f t="shared" si="657"/>
        <v/>
      </c>
      <c r="HX202" s="539" t="str">
        <f t="shared" si="658"/>
        <v/>
      </c>
      <c r="HY202" s="553" t="str">
        <f>IFERROR(IF(OR(HS202="SUPPLEMENTARY",HS202="RE-EXAM"),'Supp. Result Entry'!AQ200,""),"")</f>
        <v/>
      </c>
      <c r="HZ202" s="538" t="str">
        <f t="shared" si="659"/>
        <v/>
      </c>
      <c r="IA202" s="415" t="str">
        <f t="shared" si="660"/>
        <v/>
      </c>
      <c r="IB202" s="415" t="str">
        <f>IF(AND(HZ202="",IA202=""),"",IF(OR(HS202="SUPPLEMENTARY",HS202="RE-EXAM"),'Supp. Result Entry'!AQ200,HS202))</f>
        <v/>
      </c>
      <c r="IC202" s="87"/>
      <c r="IS202" s="109" t="str">
        <f>IF('Supp. Result Entry'!T200="","",'Supp. Result Entry'!$T$4)</f>
        <v/>
      </c>
      <c r="IT202" s="110" t="str">
        <f>IF('Supp. Result Entry'!W200="","",'Supp. Result Entry'!$W$4)</f>
        <v/>
      </c>
      <c r="IU202" s="110" t="str">
        <f>IF('Supp. Result Entry'!Z200="","",'Supp. Result Entry'!$Z$4)</f>
        <v/>
      </c>
      <c r="IV202" s="110" t="str">
        <f>IF('Supp. Result Entry'!AC200="","",'Supp. Result Entry'!$AC$4)</f>
        <v/>
      </c>
      <c r="IW202" s="110" t="str">
        <f>IF('Supp. Result Entry'!AF200="","",'Supp. Result Entry'!$AF$4)</f>
        <v/>
      </c>
      <c r="IX202" s="110" t="str">
        <f>IF('Supp. Result Entry'!AI200="","",'Supp. Result Entry'!$AI$4)</f>
        <v/>
      </c>
      <c r="IY202" s="110" t="str">
        <f>IF('Supp. Result Entry'!AI200="","",'Supp. Result Entry'!$AL$4)</f>
        <v/>
      </c>
      <c r="IZ202" s="110" t="str">
        <f>IF('Supp. Result Entry'!U200="","",'Supp. Result Entry'!U200)</f>
        <v/>
      </c>
      <c r="JA202" s="110" t="str">
        <f>IF('Supp. Result Entry'!X200="","",'Supp. Result Entry'!X200)</f>
        <v/>
      </c>
      <c r="JB202" s="110" t="str">
        <f>IF('Supp. Result Entry'!AA200="","",'Supp. Result Entry'!AA200)</f>
        <v/>
      </c>
      <c r="JC202" s="110" t="str">
        <f>IF('Supp. Result Entry'!AD200="","",'Supp. Result Entry'!AD200)</f>
        <v/>
      </c>
      <c r="JD202" s="110" t="str">
        <f>IF('Supp. Result Entry'!AG200="","",'Supp. Result Entry'!AG200)</f>
        <v/>
      </c>
      <c r="JE202" s="110" t="str">
        <f>IF('Supp. Result Entry'!AJ200="","",'Supp. Result Entry'!AJ200)</f>
        <v/>
      </c>
      <c r="JF202" s="110" t="str">
        <f>IF('Supp. Result Entry'!AM200="","",'Supp. Result Entry'!AM200)</f>
        <v/>
      </c>
      <c r="JG202" s="110" t="str">
        <f>IF('Supp. Result Entry'!V200="","",'Supp. Result Entry'!V200)</f>
        <v/>
      </c>
      <c r="JH202" s="110" t="str">
        <f>IF('Supp. Result Entry'!Y200="","",'Supp. Result Entry'!Y200)</f>
        <v/>
      </c>
      <c r="JI202" s="110" t="str">
        <f>IF('Supp. Result Entry'!AB200="","",'Supp. Result Entry'!AB200)</f>
        <v/>
      </c>
      <c r="JJ202" s="110" t="str">
        <f>IF('Supp. Result Entry'!AE200="","",'Supp. Result Entry'!AE200)</f>
        <v/>
      </c>
      <c r="JK202" s="110" t="str">
        <f>IF('Supp. Result Entry'!AH200="","",'Supp. Result Entry'!AH200)</f>
        <v/>
      </c>
      <c r="JL202" s="110" t="str">
        <f>IF('Supp. Result Entry'!AK200="","",'Supp. Result Entry'!AK200)</f>
        <v/>
      </c>
      <c r="JM202" s="110" t="str">
        <f>IF('Supp. Result Entry'!AN200="","",'Supp. Result Entry'!AN200)</f>
        <v/>
      </c>
      <c r="JN202" s="110">
        <f>COUNTIF('Supp. Result Entry'!K200:Q200,"S")</f>
        <v>0</v>
      </c>
      <c r="JO202" s="110">
        <f t="shared" si="584"/>
        <v>0</v>
      </c>
      <c r="JP202" s="110">
        <f t="shared" si="661"/>
        <v>0</v>
      </c>
      <c r="JQ202" s="110" t="str">
        <f t="shared" si="585"/>
        <v/>
      </c>
      <c r="JR202" s="110" t="str">
        <f t="shared" si="586"/>
        <v/>
      </c>
      <c r="JS202" s="110" t="str">
        <f t="shared" si="587"/>
        <v/>
      </c>
      <c r="JT202" s="110" t="str">
        <f t="shared" si="588"/>
        <v/>
      </c>
      <c r="JU202" s="110" t="str">
        <f t="shared" si="589"/>
        <v/>
      </c>
      <c r="JV202" s="110" t="str">
        <f t="shared" si="590"/>
        <v/>
      </c>
      <c r="JW202" s="110" t="str">
        <f t="shared" si="591"/>
        <v/>
      </c>
      <c r="JX202" s="110" t="str">
        <f t="shared" si="662"/>
        <v/>
      </c>
      <c r="JY202" s="110" t="str">
        <f t="shared" si="663"/>
        <v/>
      </c>
      <c r="JZ202" s="110" t="str">
        <f t="shared" si="592"/>
        <v/>
      </c>
      <c r="KA202" s="108" t="str">
        <f t="shared" si="664"/>
        <v/>
      </c>
    </row>
    <row r="203" spans="1:287" s="108" customFormat="1" ht="21.95" customHeight="1">
      <c r="A203" s="89">
        <v>197</v>
      </c>
      <c r="B203" s="90" t="str">
        <f>IF('Marks Entry'!B203="","",'Marks Entry'!B203)</f>
        <v/>
      </c>
      <c r="C203" s="94" t="str">
        <f>IF('Marks Entry'!D203="","",'Marks Entry'!D203)</f>
        <v/>
      </c>
      <c r="D203" s="91" t="str">
        <f>IF('Marks Entry'!E203="","",'Marks Entry'!E203)</f>
        <v/>
      </c>
      <c r="E203" s="92" t="str">
        <f>IF('Marks Entry'!F203="","",'Marks Entry'!F203)</f>
        <v/>
      </c>
      <c r="F203" s="93" t="str">
        <f>IF('Marks Entry'!G203="","",'Marks Entry'!G203)</f>
        <v/>
      </c>
      <c r="G203" s="93" t="str">
        <f>IF('Marks Entry'!H203="","",'Marks Entry'!H203)</f>
        <v/>
      </c>
      <c r="H203" s="93" t="str">
        <f>IF('Marks Entry'!I203="","",'Marks Entry'!I203)</f>
        <v/>
      </c>
      <c r="I203" s="94" t="str">
        <f>IF('Marks Entry'!J203="","",'Marks Entry'!J203)</f>
        <v/>
      </c>
      <c r="J203" s="95" t="str">
        <f>IF('Marks Entry'!K203="","",'Marks Entry'!K203)</f>
        <v/>
      </c>
      <c r="K203" s="68" t="str">
        <f>IF('Marks Entry'!L203="","",'Marks Entry'!L203)</f>
        <v/>
      </c>
      <c r="L203" s="68" t="str">
        <f>IF('Marks Entry'!M203="","",'Marks Entry'!M203)</f>
        <v/>
      </c>
      <c r="M203" s="68" t="str">
        <f>IF('Marks Entry'!N203="","",'Marks Entry'!N203)</f>
        <v/>
      </c>
      <c r="N203" s="514" t="str">
        <f t="shared" si="593"/>
        <v/>
      </c>
      <c r="O203" s="68" t="str">
        <f>IF('Marks Entry'!O203="","",'Marks Entry'!O203)</f>
        <v/>
      </c>
      <c r="P203" s="515" t="str">
        <f t="shared" si="594"/>
        <v/>
      </c>
      <c r="Q203" s="68" t="str">
        <f>IF('Marks Entry'!P203="","",'Marks Entry'!P203)</f>
        <v/>
      </c>
      <c r="R203" s="96" t="str">
        <f t="shared" si="595"/>
        <v/>
      </c>
      <c r="S203" s="65">
        <f t="shared" si="596"/>
        <v>0</v>
      </c>
      <c r="T203" s="65">
        <f t="shared" si="597"/>
        <v>0</v>
      </c>
      <c r="U203" s="66" t="str">
        <f t="shared" si="507"/>
        <v/>
      </c>
      <c r="V203" s="65" t="str">
        <f t="shared" si="508"/>
        <v/>
      </c>
      <c r="W203" s="65" t="str">
        <f t="shared" si="598"/>
        <v/>
      </c>
      <c r="X203" s="65" t="str">
        <f t="shared" si="509"/>
        <v/>
      </c>
      <c r="Y203" s="68" t="str">
        <f>IF('Marks Entry'!Q203="","",'Marks Entry'!Q203)</f>
        <v/>
      </c>
      <c r="Z203" s="68" t="str">
        <f>IF('Marks Entry'!R203="","",'Marks Entry'!R203)</f>
        <v/>
      </c>
      <c r="AA203" s="68" t="str">
        <f>IF('Marks Entry'!S203="","",'Marks Entry'!S203)</f>
        <v/>
      </c>
      <c r="AB203" s="514" t="str">
        <f t="shared" si="510"/>
        <v/>
      </c>
      <c r="AC203" s="68" t="str">
        <f>IF('Marks Entry'!T203="","",'Marks Entry'!T203)</f>
        <v/>
      </c>
      <c r="AD203" s="515" t="str">
        <f t="shared" si="511"/>
        <v/>
      </c>
      <c r="AE203" s="68" t="str">
        <f>IF('Marks Entry'!U203="","",'Marks Entry'!U203)</f>
        <v/>
      </c>
      <c r="AF203" s="96" t="str">
        <f t="shared" si="512"/>
        <v/>
      </c>
      <c r="AG203" s="65">
        <f t="shared" si="513"/>
        <v>0</v>
      </c>
      <c r="AH203" s="65">
        <f t="shared" si="514"/>
        <v>0</v>
      </c>
      <c r="AI203" s="66" t="str">
        <f t="shared" si="515"/>
        <v/>
      </c>
      <c r="AJ203" s="65" t="str">
        <f t="shared" si="516"/>
        <v/>
      </c>
      <c r="AK203" s="65" t="str">
        <f t="shared" si="517"/>
        <v/>
      </c>
      <c r="AL203" s="65" t="str">
        <f t="shared" si="518"/>
        <v/>
      </c>
      <c r="AM203" s="524" t="str">
        <f>IF('Marks Entry'!V203="","",IF('Marks Entry'!V203=1,'School Profile'!$I$9,IF('Marks Entry'!V203=2,'School Profile'!$I$10,IF('Marks Entry'!V203=3,'School Profile'!$I$11,IF('Marks Entry'!V203=4,'School Profile'!$I$12,IF('Marks Entry'!V203=5,'School Profile'!$I$13,IF('Marks Entry'!V203=6,'School Profile'!$I$14,"")))))))</f>
        <v/>
      </c>
      <c r="AN203" s="68" t="str">
        <f>IF('Marks Entry'!W203="","",'Marks Entry'!W203)</f>
        <v/>
      </c>
      <c r="AO203" s="68" t="str">
        <f>IF('Marks Entry'!X203="","",'Marks Entry'!X203)</f>
        <v/>
      </c>
      <c r="AP203" s="68" t="str">
        <f>IF('Marks Entry'!Y203="","",'Marks Entry'!Y203)</f>
        <v/>
      </c>
      <c r="AQ203" s="514" t="str">
        <f t="shared" si="519"/>
        <v/>
      </c>
      <c r="AR203" s="68" t="str">
        <f>IF('Marks Entry'!Z203="","",'Marks Entry'!Z203)</f>
        <v/>
      </c>
      <c r="AS203" s="515" t="str">
        <f t="shared" si="520"/>
        <v/>
      </c>
      <c r="AT203" s="68" t="str">
        <f>IF('Marks Entry'!AA203="","",'Marks Entry'!AA203)</f>
        <v/>
      </c>
      <c r="AU203" s="96" t="str">
        <f t="shared" si="521"/>
        <v/>
      </c>
      <c r="AV203" s="65">
        <f t="shared" si="522"/>
        <v>0</v>
      </c>
      <c r="AW203" s="65">
        <f t="shared" si="523"/>
        <v>0</v>
      </c>
      <c r="AX203" s="66" t="str">
        <f t="shared" si="524"/>
        <v/>
      </c>
      <c r="AY203" s="65" t="str">
        <f t="shared" si="525"/>
        <v/>
      </c>
      <c r="AZ203" s="65" t="str">
        <f t="shared" si="526"/>
        <v/>
      </c>
      <c r="BA203" s="65" t="str">
        <f t="shared" si="527"/>
        <v/>
      </c>
      <c r="BB203" s="68" t="str">
        <f>IF('Marks Entry'!AB203="","",'Marks Entry'!AB203)</f>
        <v/>
      </c>
      <c r="BC203" s="68" t="str">
        <f>IF('Marks Entry'!AC203="","",'Marks Entry'!AC203)</f>
        <v/>
      </c>
      <c r="BD203" s="68" t="str">
        <f>IF('Marks Entry'!AD203="","",'Marks Entry'!AD203)</f>
        <v/>
      </c>
      <c r="BE203" s="514" t="str">
        <f t="shared" si="528"/>
        <v/>
      </c>
      <c r="BF203" s="68" t="str">
        <f>IF('Marks Entry'!AE203="","",'Marks Entry'!AE203)</f>
        <v/>
      </c>
      <c r="BG203" s="515" t="str">
        <f t="shared" si="529"/>
        <v/>
      </c>
      <c r="BH203" s="68" t="str">
        <f>IF('Marks Entry'!AF203="","",'Marks Entry'!AF203)</f>
        <v/>
      </c>
      <c r="BI203" s="96" t="str">
        <f t="shared" si="530"/>
        <v/>
      </c>
      <c r="BJ203" s="65">
        <f t="shared" si="531"/>
        <v>0</v>
      </c>
      <c r="BK203" s="65">
        <f t="shared" si="599"/>
        <v>0</v>
      </c>
      <c r="BL203" s="66" t="str">
        <f t="shared" si="532"/>
        <v/>
      </c>
      <c r="BM203" s="65" t="str">
        <f t="shared" si="533"/>
        <v/>
      </c>
      <c r="BN203" s="65" t="str">
        <f t="shared" si="534"/>
        <v/>
      </c>
      <c r="BO203" s="65" t="str">
        <f t="shared" si="535"/>
        <v/>
      </c>
      <c r="BP203" s="68" t="str">
        <f>IF('Marks Entry'!AG203="","",'Marks Entry'!AG203)</f>
        <v/>
      </c>
      <c r="BQ203" s="68" t="str">
        <f>IF('Marks Entry'!AH203="","",'Marks Entry'!AH203)</f>
        <v/>
      </c>
      <c r="BR203" s="68" t="str">
        <f>IF('Marks Entry'!AI203="","",'Marks Entry'!AI203)</f>
        <v/>
      </c>
      <c r="BS203" s="514" t="str">
        <f t="shared" si="536"/>
        <v/>
      </c>
      <c r="BT203" s="68" t="str">
        <f>IF('Marks Entry'!AJ203="","",'Marks Entry'!AJ203)</f>
        <v/>
      </c>
      <c r="BU203" s="515" t="str">
        <f t="shared" si="537"/>
        <v/>
      </c>
      <c r="BV203" s="68" t="str">
        <f>IF('Marks Entry'!AK203="","",'Marks Entry'!AK203)</f>
        <v/>
      </c>
      <c r="BW203" s="96" t="str">
        <f t="shared" si="538"/>
        <v/>
      </c>
      <c r="BX203" s="65">
        <f t="shared" si="539"/>
        <v>0</v>
      </c>
      <c r="BY203" s="65">
        <f t="shared" si="540"/>
        <v>0</v>
      </c>
      <c r="BZ203" s="66" t="str">
        <f t="shared" si="541"/>
        <v/>
      </c>
      <c r="CA203" s="65" t="str">
        <f t="shared" si="542"/>
        <v/>
      </c>
      <c r="CB203" s="65" t="str">
        <f t="shared" si="543"/>
        <v/>
      </c>
      <c r="CC203" s="65" t="str">
        <f t="shared" si="544"/>
        <v/>
      </c>
      <c r="CD203" s="66">
        <f t="shared" si="545"/>
        <v>0</v>
      </c>
      <c r="CE203" s="68" t="str">
        <f>IF('Marks Entry'!AL203="","",'Marks Entry'!AL203)</f>
        <v/>
      </c>
      <c r="CF203" s="68" t="str">
        <f>IF('Marks Entry'!AM203="","",'Marks Entry'!AM203)</f>
        <v/>
      </c>
      <c r="CG203" s="68" t="str">
        <f>IF('Marks Entry'!AN203="","",'Marks Entry'!AN203)</f>
        <v/>
      </c>
      <c r="CH203" s="514" t="str">
        <f t="shared" si="546"/>
        <v/>
      </c>
      <c r="CI203" s="68" t="str">
        <f>IF('Marks Entry'!AO203="","",'Marks Entry'!AO203)</f>
        <v/>
      </c>
      <c r="CJ203" s="515" t="str">
        <f t="shared" si="547"/>
        <v/>
      </c>
      <c r="CK203" s="68" t="str">
        <f>IF('Marks Entry'!AP203="","",'Marks Entry'!AP203)</f>
        <v/>
      </c>
      <c r="CL203" s="96" t="str">
        <f t="shared" si="548"/>
        <v/>
      </c>
      <c r="CM203" s="65">
        <f t="shared" si="549"/>
        <v>0</v>
      </c>
      <c r="CN203" s="65">
        <f t="shared" si="550"/>
        <v>0</v>
      </c>
      <c r="CO203" s="66" t="str">
        <f t="shared" si="551"/>
        <v/>
      </c>
      <c r="CP203" s="65" t="str">
        <f t="shared" si="552"/>
        <v/>
      </c>
      <c r="CQ203" s="65" t="str">
        <f t="shared" si="553"/>
        <v/>
      </c>
      <c r="CR203" s="65" t="str">
        <f t="shared" si="554"/>
        <v/>
      </c>
      <c r="CS203" s="616" t="str">
        <f>IF('School Profile'!$D$20="NO","",IF('Marks Entry'!AQ203="","",IF('Marks Entry'!AQ203=1,'School Profile'!$I$29,IF('Marks Entry'!AQ203=2,'School Profile'!$I$30,IF('Marks Entry'!AQ203=3,'School Profile'!$I$31,IF('Marks Entry'!AQ203=4,'School Profile'!$I$32,IF('Marks Entry'!AQ203=5,'School Profile'!$I$33,IF('Marks Entry'!AQ203=6,'School Profile'!$I$34,IF('Marks Entry'!AQ203=7,'School Profile'!$I$35,IF('Marks Entry'!AQ203=8,'School Profile'!$I$36,IF('Marks Entry'!AQ203=9,'School Profile'!$I$37,IF('Marks Entry'!AQ203=10,'School Profile'!$I$38,IF('Marks Entry'!AQ203=11,'School Profile'!$I$39,"")))))))))))))</f>
        <v/>
      </c>
      <c r="CT203" s="68" t="str">
        <f>IF('School Profile'!$D$20="NO","",IF('Marks Entry'!AR203="","",'Marks Entry'!AR203))</f>
        <v/>
      </c>
      <c r="CU203" s="68" t="str">
        <f>IF('School Profile'!$D$20="NO","",IF('Marks Entry'!AS203="","",'Marks Entry'!AS203))</f>
        <v/>
      </c>
      <c r="CV203" s="68" t="str">
        <f>IF('School Profile'!$D$20="NO","",IF('Marks Entry'!AT203="","",'Marks Entry'!AT203))</f>
        <v/>
      </c>
      <c r="CW203" s="514" t="str">
        <f>IF('School Profile'!$D$20="NO","",IF(AND(CT203="",CU203="",CV203=""),"",SUM(CT203:CV203)))</f>
        <v/>
      </c>
      <c r="CX203" s="68" t="str">
        <f>IF('School Profile'!$D$20="NO","",IF('Marks Entry'!AU203="","",'Marks Entry'!AU203))</f>
        <v/>
      </c>
      <c r="CY203" s="68" t="str">
        <f>IF('School Profile'!$D$20="NO","",IF('Marks Entry'!AV203="","",'Marks Entry'!AV203))</f>
        <v/>
      </c>
      <c r="CZ203" s="515" t="str">
        <f>IF('School Profile'!$D$20="NO","",IF(AND(CX203="",CY203=""),"",SUM(CX203,CY203)))</f>
        <v/>
      </c>
      <c r="DA203" s="69" t="str">
        <f>IF('School Profile'!$D$20="NO","",IF(AND(CW203="",CZ203=""),"",SUM(CW203+CZ203)))</f>
        <v/>
      </c>
      <c r="DB203" s="68" t="str">
        <f>IF('School Profile'!$D$20="NO","",IF('Marks Entry'!AW203="","",'Marks Entry'!AW203))</f>
        <v/>
      </c>
      <c r="DC203" s="68" t="str">
        <f>IF('School Profile'!$D$20="NO","",IF('Marks Entry'!AX203="","",'Marks Entry'!AX203))</f>
        <v/>
      </c>
      <c r="DD203" s="515" t="str">
        <f>IF('School Profile'!$D$20="NO","",IF(AND(DB203="",DC203=""),"",SUM(DB203,DC203)))</f>
        <v/>
      </c>
      <c r="DE203" s="96" t="str">
        <f>IF('School Profile'!$D$20="NO","",IF(AND(DA203="",DD203=""),"",SUM(DA203,DD203)))</f>
        <v/>
      </c>
      <c r="DF203" s="532">
        <f t="shared" si="555"/>
        <v>0</v>
      </c>
      <c r="DG203" s="65">
        <f t="shared" si="556"/>
        <v>0</v>
      </c>
      <c r="DH203" s="66" t="str">
        <f t="shared" si="557"/>
        <v/>
      </c>
      <c r="DI203" s="65" t="str">
        <f t="shared" si="558"/>
        <v/>
      </c>
      <c r="DJ203" s="65" t="str">
        <f t="shared" si="559"/>
        <v/>
      </c>
      <c r="DK203" s="65" t="str">
        <f t="shared" si="560"/>
        <v/>
      </c>
      <c r="DL203" s="97" t="str">
        <f t="shared" si="600"/>
        <v/>
      </c>
      <c r="DM203" s="97" t="str">
        <f t="shared" si="601"/>
        <v/>
      </c>
      <c r="DN203" s="97" t="str">
        <f t="shared" si="602"/>
        <v/>
      </c>
      <c r="DO203" s="97" t="str">
        <f t="shared" si="603"/>
        <v/>
      </c>
      <c r="DP203" s="97" t="str">
        <f t="shared" si="604"/>
        <v/>
      </c>
      <c r="DQ203" s="97" t="str">
        <f t="shared" si="605"/>
        <v/>
      </c>
      <c r="DR203" s="97" t="str">
        <f t="shared" si="606"/>
        <v/>
      </c>
      <c r="DS203" s="98">
        <f t="shared" si="607"/>
        <v>0</v>
      </c>
      <c r="DT203" s="98">
        <f t="shared" si="608"/>
        <v>0</v>
      </c>
      <c r="DU203" s="98">
        <f t="shared" si="609"/>
        <v>0</v>
      </c>
      <c r="DV203" s="98">
        <f t="shared" si="610"/>
        <v>0</v>
      </c>
      <c r="DW203" s="98">
        <f t="shared" si="611"/>
        <v>0</v>
      </c>
      <c r="DX203" s="98" t="str">
        <f t="shared" si="612"/>
        <v/>
      </c>
      <c r="DY203" s="99" t="str">
        <f t="shared" si="613"/>
        <v/>
      </c>
      <c r="DZ203" s="74" t="str">
        <f>IF('Marks Entry'!AY203="","",'Marks Entry'!AY203)</f>
        <v/>
      </c>
      <c r="EA203" s="74" t="str">
        <f>IF('Marks Entry'!AZ203="","",'Marks Entry'!AZ203)</f>
        <v/>
      </c>
      <c r="EB203" s="74" t="str">
        <f>IF('Marks Entry'!BA203="","",'Marks Entry'!BA203)</f>
        <v/>
      </c>
      <c r="EC203" s="527" t="str">
        <f t="shared" si="561"/>
        <v/>
      </c>
      <c r="ED203" s="74" t="str">
        <f>IF('Marks Entry'!BB203="","",'Marks Entry'!BB203)</f>
        <v/>
      </c>
      <c r="EE203" s="528" t="str">
        <f t="shared" si="562"/>
        <v/>
      </c>
      <c r="EF203" s="74" t="str">
        <f>IF('Marks Entry'!BC203="","",'Marks Entry'!BC203)</f>
        <v/>
      </c>
      <c r="EG203" s="530" t="str">
        <f t="shared" si="563"/>
        <v/>
      </c>
      <c r="EH203" s="368" t="str">
        <f t="shared" si="614"/>
        <v/>
      </c>
      <c r="EI203" s="65">
        <f t="shared" si="615"/>
        <v>0</v>
      </c>
      <c r="EJ203" s="65">
        <f t="shared" si="616"/>
        <v>0</v>
      </c>
      <c r="EK203" s="66" t="str">
        <f t="shared" si="617"/>
        <v/>
      </c>
      <c r="EL203" s="74" t="str">
        <f>IF('Marks Entry'!BD203="","",'Marks Entry'!BD203)</f>
        <v/>
      </c>
      <c r="EM203" s="74" t="str">
        <f>IF('Marks Entry'!BE203="","",'Marks Entry'!BE203)</f>
        <v/>
      </c>
      <c r="EN203" s="74" t="str">
        <f>IF('Marks Entry'!BF203="","",'Marks Entry'!BF203)</f>
        <v/>
      </c>
      <c r="EO203" s="527" t="str">
        <f t="shared" si="564"/>
        <v/>
      </c>
      <c r="EP203" s="74" t="str">
        <f>IF('Marks Entry'!BG203="","",'Marks Entry'!BG203)</f>
        <v/>
      </c>
      <c r="EQ203" s="74" t="str">
        <f>IF('Marks Entry'!BH203="","",'Marks Entry'!BH203)</f>
        <v/>
      </c>
      <c r="ER203" s="528" t="str">
        <f t="shared" si="565"/>
        <v/>
      </c>
      <c r="ES203" s="529" t="str">
        <f t="shared" si="566"/>
        <v/>
      </c>
      <c r="ET203" s="74" t="str">
        <f>IF('Marks Entry'!BI203="","",'Marks Entry'!BI203)</f>
        <v/>
      </c>
      <c r="EU203" s="74" t="str">
        <f>IF('Marks Entry'!BJ203="","",'Marks Entry'!BJ203)</f>
        <v/>
      </c>
      <c r="EV203" s="528" t="str">
        <f t="shared" si="567"/>
        <v/>
      </c>
      <c r="EW203" s="530" t="str">
        <f t="shared" si="568"/>
        <v/>
      </c>
      <c r="EX203" s="368" t="str">
        <f t="shared" si="618"/>
        <v/>
      </c>
      <c r="EY203" s="65">
        <f t="shared" si="619"/>
        <v>0</v>
      </c>
      <c r="EZ203" s="65">
        <f t="shared" si="620"/>
        <v>0</v>
      </c>
      <c r="FA203" s="66" t="str">
        <f t="shared" si="621"/>
        <v/>
      </c>
      <c r="FB203" s="74" t="str">
        <f>IF('Marks Entry'!BK203="","",'Marks Entry'!BK203)</f>
        <v/>
      </c>
      <c r="FC203" s="74" t="str">
        <f>IF('Marks Entry'!BL203="","",'Marks Entry'!BL203)</f>
        <v/>
      </c>
      <c r="FD203" s="74" t="str">
        <f>IF('Marks Entry'!BM203="","",'Marks Entry'!BM203)</f>
        <v/>
      </c>
      <c r="FE203" s="74" t="str">
        <f>IF('Marks Entry'!BN203="","",'Marks Entry'!BN203)</f>
        <v/>
      </c>
      <c r="FF203" s="74" t="str">
        <f>IF('Marks Entry'!BO203="","",'Marks Entry'!BO203)</f>
        <v/>
      </c>
      <c r="FG203" s="74" t="str">
        <f>IF('Marks Entry'!BP203="","",'Marks Entry'!BP203)</f>
        <v/>
      </c>
      <c r="FH203" s="527" t="str">
        <f t="shared" si="569"/>
        <v/>
      </c>
      <c r="FI203" s="74" t="str">
        <f>IF('Marks Entry'!BQ203="","",'Marks Entry'!BQ203)</f>
        <v/>
      </c>
      <c r="FJ203" s="74" t="str">
        <f>IF('Marks Entry'!BR203="","",'Marks Entry'!BR203)</f>
        <v/>
      </c>
      <c r="FK203" s="528" t="str">
        <f t="shared" si="570"/>
        <v/>
      </c>
      <c r="FL203" s="529" t="str">
        <f t="shared" si="571"/>
        <v/>
      </c>
      <c r="FM203" s="74" t="str">
        <f>IF('Marks Entry'!BS203="","",'Marks Entry'!BS203)</f>
        <v/>
      </c>
      <c r="FN203" s="74" t="str">
        <f>IF('Marks Entry'!BT203="","",'Marks Entry'!BT203)</f>
        <v/>
      </c>
      <c r="FO203" s="528" t="str">
        <f t="shared" si="572"/>
        <v/>
      </c>
      <c r="FP203" s="530" t="str">
        <f t="shared" si="573"/>
        <v/>
      </c>
      <c r="FQ203" s="368" t="str">
        <f t="shared" si="622"/>
        <v/>
      </c>
      <c r="FR203" s="65">
        <f t="shared" si="623"/>
        <v>0</v>
      </c>
      <c r="FS203" s="65">
        <f t="shared" si="624"/>
        <v>0</v>
      </c>
      <c r="FT203" s="66" t="str">
        <f t="shared" si="625"/>
        <v/>
      </c>
      <c r="FU203" s="74" t="str">
        <f>IF('Marks Entry'!BU203="","",'Marks Entry'!BU203)</f>
        <v/>
      </c>
      <c r="FV203" s="74" t="str">
        <f>IF('Marks Entry'!BV203="","",'Marks Entry'!BV203)</f>
        <v/>
      </c>
      <c r="FW203" s="74" t="str">
        <f>IF('Marks Entry'!BW203="","",'Marks Entry'!BW203)</f>
        <v/>
      </c>
      <c r="FX203" s="75" t="str">
        <f t="shared" si="574"/>
        <v/>
      </c>
      <c r="FY203" s="368" t="str">
        <f t="shared" si="626"/>
        <v/>
      </c>
      <c r="FZ203" s="65">
        <f t="shared" si="627"/>
        <v>0</v>
      </c>
      <c r="GA203" s="66">
        <f t="shared" si="628"/>
        <v>0</v>
      </c>
      <c r="GB203" s="66" t="str">
        <f t="shared" si="629"/>
        <v/>
      </c>
      <c r="GC203" s="74" t="str">
        <f>IF('Marks Entry'!BX203="","",'Marks Entry'!BX203)</f>
        <v/>
      </c>
      <c r="GD203" s="74" t="str">
        <f>IF('Marks Entry'!BY203="","",'Marks Entry'!BY203)</f>
        <v/>
      </c>
      <c r="GE203" s="74" t="str">
        <f>IF('Marks Entry'!BZ203="","",'Marks Entry'!BZ203)</f>
        <v/>
      </c>
      <c r="GF203" s="75" t="str">
        <f t="shared" si="630"/>
        <v/>
      </c>
      <c r="GG203" s="368" t="str">
        <f t="shared" si="631"/>
        <v/>
      </c>
      <c r="GH203" s="65">
        <f t="shared" si="632"/>
        <v>0</v>
      </c>
      <c r="GI203" s="66">
        <f t="shared" si="633"/>
        <v>0</v>
      </c>
      <c r="GJ203" s="66" t="str">
        <f t="shared" si="634"/>
        <v/>
      </c>
      <c r="GK203" s="100" t="str">
        <f>IF(AND(F203="",B203=""),"",IF('Student DATA Entry'!M200="","",'Student DATA Entry'!M200))</f>
        <v/>
      </c>
      <c r="GL203" s="101" t="str">
        <f>IF(AND(B203="",F203=""),"",IF('Student DATA Entry'!N200="","",'Student DATA Entry'!N200))</f>
        <v/>
      </c>
      <c r="GM203" s="581" t="str">
        <f t="shared" si="635"/>
        <v/>
      </c>
      <c r="GN203" s="94" t="str">
        <f t="shared" si="636"/>
        <v/>
      </c>
      <c r="GO203" s="94" t="str">
        <f t="shared" si="637"/>
        <v/>
      </c>
      <c r="GP203" s="102" t="str">
        <f t="shared" si="575"/>
        <v/>
      </c>
      <c r="GQ203" s="94" t="str">
        <f t="shared" si="638"/>
        <v/>
      </c>
      <c r="GR203" s="103" t="str">
        <f t="shared" si="639"/>
        <v/>
      </c>
      <c r="GS203" s="102" t="str">
        <f t="shared" si="576"/>
        <v/>
      </c>
      <c r="GT203" s="104" t="str">
        <f t="shared" si="640"/>
        <v/>
      </c>
      <c r="GU203" s="94" t="str">
        <f>IF('Marks Entry'!V203=1,GT203,"")</f>
        <v/>
      </c>
      <c r="GV203" s="94" t="str">
        <f>IF('Marks Entry'!V203=2,GT203,"")</f>
        <v/>
      </c>
      <c r="GW203" s="94" t="str">
        <f>IF('Marks Entry'!V203=3,GT203,"")</f>
        <v/>
      </c>
      <c r="GX203" s="94" t="str">
        <f>IF('Marks Entry'!V203=4,GT203,"")</f>
        <v/>
      </c>
      <c r="GY203" s="94" t="str">
        <f>IF('Marks Entry'!V203=5,GT203,"")</f>
        <v/>
      </c>
      <c r="GZ203" s="94" t="str">
        <f t="shared" si="641"/>
        <v/>
      </c>
      <c r="HA203" s="105" t="str">
        <f t="shared" si="577"/>
        <v/>
      </c>
      <c r="HB203" s="94" t="str">
        <f t="shared" si="642"/>
        <v/>
      </c>
      <c r="HC203" s="94" t="str">
        <f t="shared" si="643"/>
        <v/>
      </c>
      <c r="HD203" s="105" t="str">
        <f t="shared" si="578"/>
        <v/>
      </c>
      <c r="HE203" s="94" t="str">
        <f t="shared" si="644"/>
        <v/>
      </c>
      <c r="HF203" s="94" t="str">
        <f t="shared" si="645"/>
        <v/>
      </c>
      <c r="HG203" s="105" t="str">
        <f t="shared" si="579"/>
        <v/>
      </c>
      <c r="HH203" s="94" t="str">
        <f t="shared" si="646"/>
        <v/>
      </c>
      <c r="HI203" s="94" t="str">
        <f t="shared" si="647"/>
        <v/>
      </c>
      <c r="HJ203" s="105" t="str">
        <f t="shared" si="580"/>
        <v/>
      </c>
      <c r="HK203" s="94" t="str">
        <f t="shared" si="648"/>
        <v/>
      </c>
      <c r="HL203" s="94" t="str">
        <f t="shared" si="649"/>
        <v/>
      </c>
      <c r="HM203" s="105" t="str">
        <f t="shared" si="581"/>
        <v/>
      </c>
      <c r="HN203" s="367" t="str">
        <f t="shared" si="650"/>
        <v xml:space="preserve">      </v>
      </c>
      <c r="HO203" s="418" t="str">
        <f t="shared" si="582"/>
        <v xml:space="preserve">      </v>
      </c>
      <c r="HP203" s="367" t="str">
        <f t="shared" si="651"/>
        <v xml:space="preserve">      </v>
      </c>
      <c r="HQ203" s="107" t="str">
        <f t="shared" si="652"/>
        <v xml:space="preserve">      </v>
      </c>
      <c r="HR203" s="366" t="str">
        <f t="shared" si="653"/>
        <v xml:space="preserve">      </v>
      </c>
      <c r="HS203" s="544" t="str">
        <f t="shared" si="583"/>
        <v/>
      </c>
      <c r="HT203" s="542" t="str">
        <f t="shared" si="654"/>
        <v/>
      </c>
      <c r="HU203" s="541" t="str">
        <f t="shared" si="655"/>
        <v/>
      </c>
      <c r="HV203" s="540" t="str">
        <f t="shared" si="656"/>
        <v/>
      </c>
      <c r="HW203" s="537" t="str">
        <f t="shared" si="657"/>
        <v/>
      </c>
      <c r="HX203" s="539" t="str">
        <f t="shared" si="658"/>
        <v/>
      </c>
      <c r="HY203" s="553" t="str">
        <f>IFERROR(IF(OR(HS203="SUPPLEMENTARY",HS203="RE-EXAM"),'Supp. Result Entry'!AQ201,""),"")</f>
        <v/>
      </c>
      <c r="HZ203" s="538" t="str">
        <f t="shared" si="659"/>
        <v/>
      </c>
      <c r="IA203" s="415" t="str">
        <f t="shared" si="660"/>
        <v/>
      </c>
      <c r="IB203" s="415" t="str">
        <f>IF(AND(HZ203="",IA203=""),"",IF(OR(HS203="SUPPLEMENTARY",HS203="RE-EXAM"),'Supp. Result Entry'!AQ201,HS203))</f>
        <v/>
      </c>
      <c r="IC203" s="87"/>
      <c r="IS203" s="109" t="str">
        <f>IF('Supp. Result Entry'!T201="","",'Supp. Result Entry'!$T$4)</f>
        <v/>
      </c>
      <c r="IT203" s="110" t="str">
        <f>IF('Supp. Result Entry'!W201="","",'Supp. Result Entry'!$W$4)</f>
        <v/>
      </c>
      <c r="IU203" s="110" t="str">
        <f>IF('Supp. Result Entry'!Z201="","",'Supp. Result Entry'!$Z$4)</f>
        <v/>
      </c>
      <c r="IV203" s="110" t="str">
        <f>IF('Supp. Result Entry'!AC201="","",'Supp. Result Entry'!$AC$4)</f>
        <v/>
      </c>
      <c r="IW203" s="110" t="str">
        <f>IF('Supp. Result Entry'!AF201="","",'Supp. Result Entry'!$AF$4)</f>
        <v/>
      </c>
      <c r="IX203" s="110" t="str">
        <f>IF('Supp. Result Entry'!AI201="","",'Supp. Result Entry'!$AI$4)</f>
        <v/>
      </c>
      <c r="IY203" s="110" t="str">
        <f>IF('Supp. Result Entry'!AI201="","",'Supp. Result Entry'!$AL$4)</f>
        <v/>
      </c>
      <c r="IZ203" s="110" t="str">
        <f>IF('Supp. Result Entry'!U201="","",'Supp. Result Entry'!U201)</f>
        <v/>
      </c>
      <c r="JA203" s="110" t="str">
        <f>IF('Supp. Result Entry'!X201="","",'Supp. Result Entry'!X201)</f>
        <v/>
      </c>
      <c r="JB203" s="110" t="str">
        <f>IF('Supp. Result Entry'!AA201="","",'Supp. Result Entry'!AA201)</f>
        <v/>
      </c>
      <c r="JC203" s="110" t="str">
        <f>IF('Supp. Result Entry'!AD201="","",'Supp. Result Entry'!AD201)</f>
        <v/>
      </c>
      <c r="JD203" s="110" t="str">
        <f>IF('Supp. Result Entry'!AG201="","",'Supp. Result Entry'!AG201)</f>
        <v/>
      </c>
      <c r="JE203" s="110" t="str">
        <f>IF('Supp. Result Entry'!AJ201="","",'Supp. Result Entry'!AJ201)</f>
        <v/>
      </c>
      <c r="JF203" s="110" t="str">
        <f>IF('Supp. Result Entry'!AM201="","",'Supp. Result Entry'!AM201)</f>
        <v/>
      </c>
      <c r="JG203" s="110" t="str">
        <f>IF('Supp. Result Entry'!V201="","",'Supp. Result Entry'!V201)</f>
        <v/>
      </c>
      <c r="JH203" s="110" t="str">
        <f>IF('Supp. Result Entry'!Y201="","",'Supp. Result Entry'!Y201)</f>
        <v/>
      </c>
      <c r="JI203" s="110" t="str">
        <f>IF('Supp. Result Entry'!AB201="","",'Supp. Result Entry'!AB201)</f>
        <v/>
      </c>
      <c r="JJ203" s="110" t="str">
        <f>IF('Supp. Result Entry'!AE201="","",'Supp. Result Entry'!AE201)</f>
        <v/>
      </c>
      <c r="JK203" s="110" t="str">
        <f>IF('Supp. Result Entry'!AH201="","",'Supp. Result Entry'!AH201)</f>
        <v/>
      </c>
      <c r="JL203" s="110" t="str">
        <f>IF('Supp. Result Entry'!AK201="","",'Supp. Result Entry'!AK201)</f>
        <v/>
      </c>
      <c r="JM203" s="110" t="str">
        <f>IF('Supp. Result Entry'!AN201="","",'Supp. Result Entry'!AN201)</f>
        <v/>
      </c>
      <c r="JN203" s="110">
        <f>COUNTIF('Supp. Result Entry'!K201:Q201,"S")</f>
        <v>0</v>
      </c>
      <c r="JO203" s="110">
        <f t="shared" si="584"/>
        <v>0</v>
      </c>
      <c r="JP203" s="110">
        <f t="shared" si="661"/>
        <v>0</v>
      </c>
      <c r="JQ203" s="110" t="str">
        <f t="shared" si="585"/>
        <v/>
      </c>
      <c r="JR203" s="110" t="str">
        <f t="shared" si="586"/>
        <v/>
      </c>
      <c r="JS203" s="110" t="str">
        <f t="shared" si="587"/>
        <v/>
      </c>
      <c r="JT203" s="110" t="str">
        <f t="shared" si="588"/>
        <v/>
      </c>
      <c r="JU203" s="110" t="str">
        <f t="shared" si="589"/>
        <v/>
      </c>
      <c r="JV203" s="110" t="str">
        <f t="shared" si="590"/>
        <v/>
      </c>
      <c r="JW203" s="110" t="str">
        <f t="shared" si="591"/>
        <v/>
      </c>
      <c r="JX203" s="110" t="str">
        <f t="shared" si="662"/>
        <v/>
      </c>
      <c r="JY203" s="110" t="str">
        <f t="shared" si="663"/>
        <v/>
      </c>
      <c r="JZ203" s="110" t="str">
        <f t="shared" si="592"/>
        <v/>
      </c>
      <c r="KA203" s="108" t="str">
        <f t="shared" si="664"/>
        <v/>
      </c>
    </row>
    <row r="204" spans="1:287" s="108" customFormat="1" ht="21.95" customHeight="1">
      <c r="A204" s="89">
        <v>198</v>
      </c>
      <c r="B204" s="90" t="str">
        <f>IF('Marks Entry'!B204="","",'Marks Entry'!B204)</f>
        <v/>
      </c>
      <c r="C204" s="94" t="str">
        <f>IF('Marks Entry'!D204="","",'Marks Entry'!D204)</f>
        <v/>
      </c>
      <c r="D204" s="91" t="str">
        <f>IF('Marks Entry'!E204="","",'Marks Entry'!E204)</f>
        <v/>
      </c>
      <c r="E204" s="92" t="str">
        <f>IF('Marks Entry'!F204="","",'Marks Entry'!F204)</f>
        <v/>
      </c>
      <c r="F204" s="93" t="str">
        <f>IF('Marks Entry'!G204="","",'Marks Entry'!G204)</f>
        <v/>
      </c>
      <c r="G204" s="93" t="str">
        <f>IF('Marks Entry'!H204="","",'Marks Entry'!H204)</f>
        <v/>
      </c>
      <c r="H204" s="93" t="str">
        <f>IF('Marks Entry'!I204="","",'Marks Entry'!I204)</f>
        <v/>
      </c>
      <c r="I204" s="94" t="str">
        <f>IF('Marks Entry'!J204="","",'Marks Entry'!J204)</f>
        <v/>
      </c>
      <c r="J204" s="95" t="str">
        <f>IF('Marks Entry'!K204="","",'Marks Entry'!K204)</f>
        <v/>
      </c>
      <c r="K204" s="68" t="str">
        <f>IF('Marks Entry'!L204="","",'Marks Entry'!L204)</f>
        <v/>
      </c>
      <c r="L204" s="68" t="str">
        <f>IF('Marks Entry'!M204="","",'Marks Entry'!M204)</f>
        <v/>
      </c>
      <c r="M204" s="68" t="str">
        <f>IF('Marks Entry'!N204="","",'Marks Entry'!N204)</f>
        <v/>
      </c>
      <c r="N204" s="514" t="str">
        <f t="shared" si="593"/>
        <v/>
      </c>
      <c r="O204" s="68" t="str">
        <f>IF('Marks Entry'!O204="","",'Marks Entry'!O204)</f>
        <v/>
      </c>
      <c r="P204" s="515" t="str">
        <f t="shared" si="594"/>
        <v/>
      </c>
      <c r="Q204" s="68" t="str">
        <f>IF('Marks Entry'!P204="","",'Marks Entry'!P204)</f>
        <v/>
      </c>
      <c r="R204" s="96" t="str">
        <f t="shared" si="595"/>
        <v/>
      </c>
      <c r="S204" s="65">
        <f t="shared" si="596"/>
        <v>0</v>
      </c>
      <c r="T204" s="65">
        <f t="shared" si="597"/>
        <v>0</v>
      </c>
      <c r="U204" s="66" t="str">
        <f t="shared" si="507"/>
        <v/>
      </c>
      <c r="V204" s="65" t="str">
        <f t="shared" si="508"/>
        <v/>
      </c>
      <c r="W204" s="65" t="str">
        <f t="shared" si="598"/>
        <v/>
      </c>
      <c r="X204" s="65" t="str">
        <f t="shared" si="509"/>
        <v/>
      </c>
      <c r="Y204" s="68" t="str">
        <f>IF('Marks Entry'!Q204="","",'Marks Entry'!Q204)</f>
        <v/>
      </c>
      <c r="Z204" s="68" t="str">
        <f>IF('Marks Entry'!R204="","",'Marks Entry'!R204)</f>
        <v/>
      </c>
      <c r="AA204" s="68" t="str">
        <f>IF('Marks Entry'!S204="","",'Marks Entry'!S204)</f>
        <v/>
      </c>
      <c r="AB204" s="514" t="str">
        <f t="shared" si="510"/>
        <v/>
      </c>
      <c r="AC204" s="68" t="str">
        <f>IF('Marks Entry'!T204="","",'Marks Entry'!T204)</f>
        <v/>
      </c>
      <c r="AD204" s="515" t="str">
        <f t="shared" si="511"/>
        <v/>
      </c>
      <c r="AE204" s="68" t="str">
        <f>IF('Marks Entry'!U204="","",'Marks Entry'!U204)</f>
        <v/>
      </c>
      <c r="AF204" s="96" t="str">
        <f t="shared" si="512"/>
        <v/>
      </c>
      <c r="AG204" s="65">
        <f t="shared" si="513"/>
        <v>0</v>
      </c>
      <c r="AH204" s="65">
        <f t="shared" si="514"/>
        <v>0</v>
      </c>
      <c r="AI204" s="66" t="str">
        <f t="shared" si="515"/>
        <v/>
      </c>
      <c r="AJ204" s="65" t="str">
        <f t="shared" si="516"/>
        <v/>
      </c>
      <c r="AK204" s="65" t="str">
        <f t="shared" si="517"/>
        <v/>
      </c>
      <c r="AL204" s="65" t="str">
        <f t="shared" si="518"/>
        <v/>
      </c>
      <c r="AM204" s="524" t="str">
        <f>IF('Marks Entry'!V204="","",IF('Marks Entry'!V204=1,'School Profile'!$I$9,IF('Marks Entry'!V204=2,'School Profile'!$I$10,IF('Marks Entry'!V204=3,'School Profile'!$I$11,IF('Marks Entry'!V204=4,'School Profile'!$I$12,IF('Marks Entry'!V204=5,'School Profile'!$I$13,IF('Marks Entry'!V204=6,'School Profile'!$I$14,"")))))))</f>
        <v/>
      </c>
      <c r="AN204" s="68" t="str">
        <f>IF('Marks Entry'!W204="","",'Marks Entry'!W204)</f>
        <v/>
      </c>
      <c r="AO204" s="68" t="str">
        <f>IF('Marks Entry'!X204="","",'Marks Entry'!X204)</f>
        <v/>
      </c>
      <c r="AP204" s="68" t="str">
        <f>IF('Marks Entry'!Y204="","",'Marks Entry'!Y204)</f>
        <v/>
      </c>
      <c r="AQ204" s="514" t="str">
        <f t="shared" si="519"/>
        <v/>
      </c>
      <c r="AR204" s="68" t="str">
        <f>IF('Marks Entry'!Z204="","",'Marks Entry'!Z204)</f>
        <v/>
      </c>
      <c r="AS204" s="515" t="str">
        <f t="shared" si="520"/>
        <v/>
      </c>
      <c r="AT204" s="68" t="str">
        <f>IF('Marks Entry'!AA204="","",'Marks Entry'!AA204)</f>
        <v/>
      </c>
      <c r="AU204" s="96" t="str">
        <f t="shared" si="521"/>
        <v/>
      </c>
      <c r="AV204" s="65">
        <f t="shared" si="522"/>
        <v>0</v>
      </c>
      <c r="AW204" s="65">
        <f t="shared" si="523"/>
        <v>0</v>
      </c>
      <c r="AX204" s="66" t="str">
        <f t="shared" si="524"/>
        <v/>
      </c>
      <c r="AY204" s="65" t="str">
        <f t="shared" si="525"/>
        <v/>
      </c>
      <c r="AZ204" s="65" t="str">
        <f t="shared" si="526"/>
        <v/>
      </c>
      <c r="BA204" s="65" t="str">
        <f t="shared" si="527"/>
        <v/>
      </c>
      <c r="BB204" s="68" t="str">
        <f>IF('Marks Entry'!AB204="","",'Marks Entry'!AB204)</f>
        <v/>
      </c>
      <c r="BC204" s="68" t="str">
        <f>IF('Marks Entry'!AC204="","",'Marks Entry'!AC204)</f>
        <v/>
      </c>
      <c r="BD204" s="68" t="str">
        <f>IF('Marks Entry'!AD204="","",'Marks Entry'!AD204)</f>
        <v/>
      </c>
      <c r="BE204" s="514" t="str">
        <f t="shared" si="528"/>
        <v/>
      </c>
      <c r="BF204" s="68" t="str">
        <f>IF('Marks Entry'!AE204="","",'Marks Entry'!AE204)</f>
        <v/>
      </c>
      <c r="BG204" s="515" t="str">
        <f t="shared" si="529"/>
        <v/>
      </c>
      <c r="BH204" s="68" t="str">
        <f>IF('Marks Entry'!AF204="","",'Marks Entry'!AF204)</f>
        <v/>
      </c>
      <c r="BI204" s="96" t="str">
        <f t="shared" si="530"/>
        <v/>
      </c>
      <c r="BJ204" s="65">
        <f t="shared" si="531"/>
        <v>0</v>
      </c>
      <c r="BK204" s="65">
        <f t="shared" si="599"/>
        <v>0</v>
      </c>
      <c r="BL204" s="66" t="str">
        <f t="shared" si="532"/>
        <v/>
      </c>
      <c r="BM204" s="65" t="str">
        <f t="shared" si="533"/>
        <v/>
      </c>
      <c r="BN204" s="65" t="str">
        <f t="shared" si="534"/>
        <v/>
      </c>
      <c r="BO204" s="65" t="str">
        <f t="shared" si="535"/>
        <v/>
      </c>
      <c r="BP204" s="68" t="str">
        <f>IF('Marks Entry'!AG204="","",'Marks Entry'!AG204)</f>
        <v/>
      </c>
      <c r="BQ204" s="68" t="str">
        <f>IF('Marks Entry'!AH204="","",'Marks Entry'!AH204)</f>
        <v/>
      </c>
      <c r="BR204" s="68" t="str">
        <f>IF('Marks Entry'!AI204="","",'Marks Entry'!AI204)</f>
        <v/>
      </c>
      <c r="BS204" s="514" t="str">
        <f t="shared" si="536"/>
        <v/>
      </c>
      <c r="BT204" s="68" t="str">
        <f>IF('Marks Entry'!AJ204="","",'Marks Entry'!AJ204)</f>
        <v/>
      </c>
      <c r="BU204" s="515" t="str">
        <f t="shared" si="537"/>
        <v/>
      </c>
      <c r="BV204" s="68" t="str">
        <f>IF('Marks Entry'!AK204="","",'Marks Entry'!AK204)</f>
        <v/>
      </c>
      <c r="BW204" s="96" t="str">
        <f t="shared" si="538"/>
        <v/>
      </c>
      <c r="BX204" s="65">
        <f t="shared" si="539"/>
        <v>0</v>
      </c>
      <c r="BY204" s="65">
        <f t="shared" si="540"/>
        <v>0</v>
      </c>
      <c r="BZ204" s="66" t="str">
        <f t="shared" si="541"/>
        <v/>
      </c>
      <c r="CA204" s="65" t="str">
        <f t="shared" si="542"/>
        <v/>
      </c>
      <c r="CB204" s="65" t="str">
        <f t="shared" si="543"/>
        <v/>
      </c>
      <c r="CC204" s="65" t="str">
        <f t="shared" si="544"/>
        <v/>
      </c>
      <c r="CD204" s="66">
        <f t="shared" si="545"/>
        <v>0</v>
      </c>
      <c r="CE204" s="68" t="str">
        <f>IF('Marks Entry'!AL204="","",'Marks Entry'!AL204)</f>
        <v/>
      </c>
      <c r="CF204" s="68" t="str">
        <f>IF('Marks Entry'!AM204="","",'Marks Entry'!AM204)</f>
        <v/>
      </c>
      <c r="CG204" s="68" t="str">
        <f>IF('Marks Entry'!AN204="","",'Marks Entry'!AN204)</f>
        <v/>
      </c>
      <c r="CH204" s="514" t="str">
        <f t="shared" si="546"/>
        <v/>
      </c>
      <c r="CI204" s="68" t="str">
        <f>IF('Marks Entry'!AO204="","",'Marks Entry'!AO204)</f>
        <v/>
      </c>
      <c r="CJ204" s="515" t="str">
        <f t="shared" si="547"/>
        <v/>
      </c>
      <c r="CK204" s="68" t="str">
        <f>IF('Marks Entry'!AP204="","",'Marks Entry'!AP204)</f>
        <v/>
      </c>
      <c r="CL204" s="96" t="str">
        <f t="shared" si="548"/>
        <v/>
      </c>
      <c r="CM204" s="65">
        <f t="shared" si="549"/>
        <v>0</v>
      </c>
      <c r="CN204" s="65">
        <f t="shared" si="550"/>
        <v>0</v>
      </c>
      <c r="CO204" s="66" t="str">
        <f t="shared" si="551"/>
        <v/>
      </c>
      <c r="CP204" s="65" t="str">
        <f t="shared" si="552"/>
        <v/>
      </c>
      <c r="CQ204" s="65" t="str">
        <f t="shared" si="553"/>
        <v/>
      </c>
      <c r="CR204" s="65" t="str">
        <f t="shared" si="554"/>
        <v/>
      </c>
      <c r="CS204" s="616" t="str">
        <f>IF('School Profile'!$D$20="NO","",IF('Marks Entry'!AQ204="","",IF('Marks Entry'!AQ204=1,'School Profile'!$I$29,IF('Marks Entry'!AQ204=2,'School Profile'!$I$30,IF('Marks Entry'!AQ204=3,'School Profile'!$I$31,IF('Marks Entry'!AQ204=4,'School Profile'!$I$32,IF('Marks Entry'!AQ204=5,'School Profile'!$I$33,IF('Marks Entry'!AQ204=6,'School Profile'!$I$34,IF('Marks Entry'!AQ204=7,'School Profile'!$I$35,IF('Marks Entry'!AQ204=8,'School Profile'!$I$36,IF('Marks Entry'!AQ204=9,'School Profile'!$I$37,IF('Marks Entry'!AQ204=10,'School Profile'!$I$38,IF('Marks Entry'!AQ204=11,'School Profile'!$I$39,"")))))))))))))</f>
        <v/>
      </c>
      <c r="CT204" s="68" t="str">
        <f>IF('School Profile'!$D$20="NO","",IF('Marks Entry'!AR204="","",'Marks Entry'!AR204))</f>
        <v/>
      </c>
      <c r="CU204" s="68" t="str">
        <f>IF('School Profile'!$D$20="NO","",IF('Marks Entry'!AS204="","",'Marks Entry'!AS204))</f>
        <v/>
      </c>
      <c r="CV204" s="68" t="str">
        <f>IF('School Profile'!$D$20="NO","",IF('Marks Entry'!AT204="","",'Marks Entry'!AT204))</f>
        <v/>
      </c>
      <c r="CW204" s="514" t="str">
        <f>IF('School Profile'!$D$20="NO","",IF(AND(CT204="",CU204="",CV204=""),"",SUM(CT204:CV204)))</f>
        <v/>
      </c>
      <c r="CX204" s="68" t="str">
        <f>IF('School Profile'!$D$20="NO","",IF('Marks Entry'!AU204="","",'Marks Entry'!AU204))</f>
        <v/>
      </c>
      <c r="CY204" s="68" t="str">
        <f>IF('School Profile'!$D$20="NO","",IF('Marks Entry'!AV204="","",'Marks Entry'!AV204))</f>
        <v/>
      </c>
      <c r="CZ204" s="515" t="str">
        <f>IF('School Profile'!$D$20="NO","",IF(AND(CX204="",CY204=""),"",SUM(CX204,CY204)))</f>
        <v/>
      </c>
      <c r="DA204" s="69" t="str">
        <f>IF('School Profile'!$D$20="NO","",IF(AND(CW204="",CZ204=""),"",SUM(CW204+CZ204)))</f>
        <v/>
      </c>
      <c r="DB204" s="68" t="str">
        <f>IF('School Profile'!$D$20="NO","",IF('Marks Entry'!AW204="","",'Marks Entry'!AW204))</f>
        <v/>
      </c>
      <c r="DC204" s="68" t="str">
        <f>IF('School Profile'!$D$20="NO","",IF('Marks Entry'!AX204="","",'Marks Entry'!AX204))</f>
        <v/>
      </c>
      <c r="DD204" s="515" t="str">
        <f>IF('School Profile'!$D$20="NO","",IF(AND(DB204="",DC204=""),"",SUM(DB204,DC204)))</f>
        <v/>
      </c>
      <c r="DE204" s="96" t="str">
        <f>IF('School Profile'!$D$20="NO","",IF(AND(DA204="",DD204=""),"",SUM(DA204,DD204)))</f>
        <v/>
      </c>
      <c r="DF204" s="532">
        <f t="shared" si="555"/>
        <v>0</v>
      </c>
      <c r="DG204" s="65">
        <f t="shared" si="556"/>
        <v>0</v>
      </c>
      <c r="DH204" s="66" t="str">
        <f t="shared" si="557"/>
        <v/>
      </c>
      <c r="DI204" s="65" t="str">
        <f t="shared" si="558"/>
        <v/>
      </c>
      <c r="DJ204" s="65" t="str">
        <f t="shared" si="559"/>
        <v/>
      </c>
      <c r="DK204" s="65" t="str">
        <f t="shared" si="560"/>
        <v/>
      </c>
      <c r="DL204" s="97" t="str">
        <f t="shared" si="600"/>
        <v/>
      </c>
      <c r="DM204" s="97" t="str">
        <f t="shared" si="601"/>
        <v/>
      </c>
      <c r="DN204" s="97" t="str">
        <f t="shared" si="602"/>
        <v/>
      </c>
      <c r="DO204" s="97" t="str">
        <f t="shared" si="603"/>
        <v/>
      </c>
      <c r="DP204" s="97" t="str">
        <f t="shared" si="604"/>
        <v/>
      </c>
      <c r="DQ204" s="97" t="str">
        <f t="shared" si="605"/>
        <v/>
      </c>
      <c r="DR204" s="97" t="str">
        <f t="shared" si="606"/>
        <v/>
      </c>
      <c r="DS204" s="98">
        <f t="shared" si="607"/>
        <v>0</v>
      </c>
      <c r="DT204" s="98">
        <f t="shared" si="608"/>
        <v>0</v>
      </c>
      <c r="DU204" s="98">
        <f t="shared" si="609"/>
        <v>0</v>
      </c>
      <c r="DV204" s="98">
        <f t="shared" si="610"/>
        <v>0</v>
      </c>
      <c r="DW204" s="98">
        <f t="shared" si="611"/>
        <v>0</v>
      </c>
      <c r="DX204" s="98" t="str">
        <f t="shared" si="612"/>
        <v/>
      </c>
      <c r="DY204" s="99" t="str">
        <f t="shared" si="613"/>
        <v/>
      </c>
      <c r="DZ204" s="74" t="str">
        <f>IF('Marks Entry'!AY204="","",'Marks Entry'!AY204)</f>
        <v/>
      </c>
      <c r="EA204" s="74" t="str">
        <f>IF('Marks Entry'!AZ204="","",'Marks Entry'!AZ204)</f>
        <v/>
      </c>
      <c r="EB204" s="74" t="str">
        <f>IF('Marks Entry'!BA204="","",'Marks Entry'!BA204)</f>
        <v/>
      </c>
      <c r="EC204" s="527" t="str">
        <f t="shared" si="561"/>
        <v/>
      </c>
      <c r="ED204" s="74" t="str">
        <f>IF('Marks Entry'!BB204="","",'Marks Entry'!BB204)</f>
        <v/>
      </c>
      <c r="EE204" s="528" t="str">
        <f t="shared" si="562"/>
        <v/>
      </c>
      <c r="EF204" s="74" t="str">
        <f>IF('Marks Entry'!BC204="","",'Marks Entry'!BC204)</f>
        <v/>
      </c>
      <c r="EG204" s="530" t="str">
        <f t="shared" si="563"/>
        <v/>
      </c>
      <c r="EH204" s="368" t="str">
        <f t="shared" si="614"/>
        <v/>
      </c>
      <c r="EI204" s="65">
        <f t="shared" si="615"/>
        <v>0</v>
      </c>
      <c r="EJ204" s="65">
        <f t="shared" si="616"/>
        <v>0</v>
      </c>
      <c r="EK204" s="66" t="str">
        <f t="shared" si="617"/>
        <v/>
      </c>
      <c r="EL204" s="74" t="str">
        <f>IF('Marks Entry'!BD204="","",'Marks Entry'!BD204)</f>
        <v/>
      </c>
      <c r="EM204" s="74" t="str">
        <f>IF('Marks Entry'!BE204="","",'Marks Entry'!BE204)</f>
        <v/>
      </c>
      <c r="EN204" s="74" t="str">
        <f>IF('Marks Entry'!BF204="","",'Marks Entry'!BF204)</f>
        <v/>
      </c>
      <c r="EO204" s="527" t="str">
        <f t="shared" si="564"/>
        <v/>
      </c>
      <c r="EP204" s="74" t="str">
        <f>IF('Marks Entry'!BG204="","",'Marks Entry'!BG204)</f>
        <v/>
      </c>
      <c r="EQ204" s="74" t="str">
        <f>IF('Marks Entry'!BH204="","",'Marks Entry'!BH204)</f>
        <v/>
      </c>
      <c r="ER204" s="528" t="str">
        <f t="shared" si="565"/>
        <v/>
      </c>
      <c r="ES204" s="529" t="str">
        <f t="shared" si="566"/>
        <v/>
      </c>
      <c r="ET204" s="74" t="str">
        <f>IF('Marks Entry'!BI204="","",'Marks Entry'!BI204)</f>
        <v/>
      </c>
      <c r="EU204" s="74" t="str">
        <f>IF('Marks Entry'!BJ204="","",'Marks Entry'!BJ204)</f>
        <v/>
      </c>
      <c r="EV204" s="528" t="str">
        <f t="shared" si="567"/>
        <v/>
      </c>
      <c r="EW204" s="530" t="str">
        <f t="shared" si="568"/>
        <v/>
      </c>
      <c r="EX204" s="368" t="str">
        <f t="shared" si="618"/>
        <v/>
      </c>
      <c r="EY204" s="65">
        <f t="shared" si="619"/>
        <v>0</v>
      </c>
      <c r="EZ204" s="65">
        <f t="shared" si="620"/>
        <v>0</v>
      </c>
      <c r="FA204" s="66" t="str">
        <f t="shared" si="621"/>
        <v/>
      </c>
      <c r="FB204" s="74" t="str">
        <f>IF('Marks Entry'!BK204="","",'Marks Entry'!BK204)</f>
        <v/>
      </c>
      <c r="FC204" s="74" t="str">
        <f>IF('Marks Entry'!BL204="","",'Marks Entry'!BL204)</f>
        <v/>
      </c>
      <c r="FD204" s="74" t="str">
        <f>IF('Marks Entry'!BM204="","",'Marks Entry'!BM204)</f>
        <v/>
      </c>
      <c r="FE204" s="74" t="str">
        <f>IF('Marks Entry'!BN204="","",'Marks Entry'!BN204)</f>
        <v/>
      </c>
      <c r="FF204" s="74" t="str">
        <f>IF('Marks Entry'!BO204="","",'Marks Entry'!BO204)</f>
        <v/>
      </c>
      <c r="FG204" s="74" t="str">
        <f>IF('Marks Entry'!BP204="","",'Marks Entry'!BP204)</f>
        <v/>
      </c>
      <c r="FH204" s="527" t="str">
        <f t="shared" si="569"/>
        <v/>
      </c>
      <c r="FI204" s="74" t="str">
        <f>IF('Marks Entry'!BQ204="","",'Marks Entry'!BQ204)</f>
        <v/>
      </c>
      <c r="FJ204" s="74" t="str">
        <f>IF('Marks Entry'!BR204="","",'Marks Entry'!BR204)</f>
        <v/>
      </c>
      <c r="FK204" s="528" t="str">
        <f t="shared" si="570"/>
        <v/>
      </c>
      <c r="FL204" s="529" t="str">
        <f t="shared" si="571"/>
        <v/>
      </c>
      <c r="FM204" s="74" t="str">
        <f>IF('Marks Entry'!BS204="","",'Marks Entry'!BS204)</f>
        <v/>
      </c>
      <c r="FN204" s="74" t="str">
        <f>IF('Marks Entry'!BT204="","",'Marks Entry'!BT204)</f>
        <v/>
      </c>
      <c r="FO204" s="528" t="str">
        <f t="shared" si="572"/>
        <v/>
      </c>
      <c r="FP204" s="530" t="str">
        <f t="shared" si="573"/>
        <v/>
      </c>
      <c r="FQ204" s="368" t="str">
        <f t="shared" si="622"/>
        <v/>
      </c>
      <c r="FR204" s="65">
        <f t="shared" si="623"/>
        <v>0</v>
      </c>
      <c r="FS204" s="65">
        <f t="shared" si="624"/>
        <v>0</v>
      </c>
      <c r="FT204" s="66" t="str">
        <f t="shared" si="625"/>
        <v/>
      </c>
      <c r="FU204" s="74" t="str">
        <f>IF('Marks Entry'!BU204="","",'Marks Entry'!BU204)</f>
        <v/>
      </c>
      <c r="FV204" s="74" t="str">
        <f>IF('Marks Entry'!BV204="","",'Marks Entry'!BV204)</f>
        <v/>
      </c>
      <c r="FW204" s="74" t="str">
        <f>IF('Marks Entry'!BW204="","",'Marks Entry'!BW204)</f>
        <v/>
      </c>
      <c r="FX204" s="75" t="str">
        <f t="shared" si="574"/>
        <v/>
      </c>
      <c r="FY204" s="368" t="str">
        <f t="shared" si="626"/>
        <v/>
      </c>
      <c r="FZ204" s="65">
        <f t="shared" si="627"/>
        <v>0</v>
      </c>
      <c r="GA204" s="66">
        <f t="shared" si="628"/>
        <v>0</v>
      </c>
      <c r="GB204" s="66" t="str">
        <f t="shared" si="629"/>
        <v/>
      </c>
      <c r="GC204" s="74" t="str">
        <f>IF('Marks Entry'!BX204="","",'Marks Entry'!BX204)</f>
        <v/>
      </c>
      <c r="GD204" s="74" t="str">
        <f>IF('Marks Entry'!BY204="","",'Marks Entry'!BY204)</f>
        <v/>
      </c>
      <c r="GE204" s="74" t="str">
        <f>IF('Marks Entry'!BZ204="","",'Marks Entry'!BZ204)</f>
        <v/>
      </c>
      <c r="GF204" s="75" t="str">
        <f t="shared" si="630"/>
        <v/>
      </c>
      <c r="GG204" s="368" t="str">
        <f t="shared" si="631"/>
        <v/>
      </c>
      <c r="GH204" s="65">
        <f t="shared" si="632"/>
        <v>0</v>
      </c>
      <c r="GI204" s="66">
        <f t="shared" si="633"/>
        <v>0</v>
      </c>
      <c r="GJ204" s="66" t="str">
        <f t="shared" si="634"/>
        <v/>
      </c>
      <c r="GK204" s="100" t="str">
        <f>IF(AND(F204="",B204=""),"",IF('Student DATA Entry'!M201="","",'Student DATA Entry'!M201))</f>
        <v/>
      </c>
      <c r="GL204" s="101" t="str">
        <f>IF(AND(B204="",F204=""),"",IF('Student DATA Entry'!N201="","",'Student DATA Entry'!N201))</f>
        <v/>
      </c>
      <c r="GM204" s="581" t="str">
        <f t="shared" si="635"/>
        <v/>
      </c>
      <c r="GN204" s="94" t="str">
        <f t="shared" si="636"/>
        <v/>
      </c>
      <c r="GO204" s="94" t="str">
        <f t="shared" si="637"/>
        <v/>
      </c>
      <c r="GP204" s="102" t="str">
        <f t="shared" si="575"/>
        <v/>
      </c>
      <c r="GQ204" s="94" t="str">
        <f t="shared" si="638"/>
        <v/>
      </c>
      <c r="GR204" s="103" t="str">
        <f t="shared" si="639"/>
        <v/>
      </c>
      <c r="GS204" s="102" t="str">
        <f t="shared" si="576"/>
        <v/>
      </c>
      <c r="GT204" s="104" t="str">
        <f t="shared" si="640"/>
        <v/>
      </c>
      <c r="GU204" s="94" t="str">
        <f>IF('Marks Entry'!V204=1,GT204,"")</f>
        <v/>
      </c>
      <c r="GV204" s="94" t="str">
        <f>IF('Marks Entry'!V204=2,GT204,"")</f>
        <v/>
      </c>
      <c r="GW204" s="94" t="str">
        <f>IF('Marks Entry'!V204=3,GT204,"")</f>
        <v/>
      </c>
      <c r="GX204" s="94" t="str">
        <f>IF('Marks Entry'!V204=4,GT204,"")</f>
        <v/>
      </c>
      <c r="GY204" s="94" t="str">
        <f>IF('Marks Entry'!V204=5,GT204,"")</f>
        <v/>
      </c>
      <c r="GZ204" s="94" t="str">
        <f t="shared" si="641"/>
        <v/>
      </c>
      <c r="HA204" s="105" t="str">
        <f t="shared" si="577"/>
        <v/>
      </c>
      <c r="HB204" s="94" t="str">
        <f t="shared" si="642"/>
        <v/>
      </c>
      <c r="HC204" s="94" t="str">
        <f t="shared" si="643"/>
        <v/>
      </c>
      <c r="HD204" s="105" t="str">
        <f t="shared" si="578"/>
        <v/>
      </c>
      <c r="HE204" s="94" t="str">
        <f t="shared" si="644"/>
        <v/>
      </c>
      <c r="HF204" s="94" t="str">
        <f t="shared" si="645"/>
        <v/>
      </c>
      <c r="HG204" s="105" t="str">
        <f t="shared" si="579"/>
        <v/>
      </c>
      <c r="HH204" s="94" t="str">
        <f t="shared" si="646"/>
        <v/>
      </c>
      <c r="HI204" s="94" t="str">
        <f t="shared" si="647"/>
        <v/>
      </c>
      <c r="HJ204" s="105" t="str">
        <f t="shared" si="580"/>
        <v/>
      </c>
      <c r="HK204" s="94" t="str">
        <f t="shared" si="648"/>
        <v/>
      </c>
      <c r="HL204" s="94" t="str">
        <f t="shared" si="649"/>
        <v/>
      </c>
      <c r="HM204" s="105" t="str">
        <f t="shared" si="581"/>
        <v/>
      </c>
      <c r="HN204" s="367" t="str">
        <f t="shared" si="650"/>
        <v xml:space="preserve">      </v>
      </c>
      <c r="HO204" s="418" t="str">
        <f t="shared" si="582"/>
        <v xml:space="preserve">      </v>
      </c>
      <c r="HP204" s="367" t="str">
        <f t="shared" si="651"/>
        <v xml:space="preserve">      </v>
      </c>
      <c r="HQ204" s="107" t="str">
        <f t="shared" si="652"/>
        <v xml:space="preserve">      </v>
      </c>
      <c r="HR204" s="366" t="str">
        <f t="shared" si="653"/>
        <v xml:space="preserve">      </v>
      </c>
      <c r="HS204" s="544" t="str">
        <f t="shared" si="583"/>
        <v/>
      </c>
      <c r="HT204" s="542" t="str">
        <f t="shared" si="654"/>
        <v/>
      </c>
      <c r="HU204" s="541" t="str">
        <f t="shared" si="655"/>
        <v/>
      </c>
      <c r="HV204" s="540" t="str">
        <f t="shared" si="656"/>
        <v/>
      </c>
      <c r="HW204" s="537" t="str">
        <f t="shared" si="657"/>
        <v/>
      </c>
      <c r="HX204" s="539" t="str">
        <f t="shared" si="658"/>
        <v/>
      </c>
      <c r="HY204" s="553" t="str">
        <f>IFERROR(IF(OR(HS204="SUPPLEMENTARY",HS204="RE-EXAM"),'Supp. Result Entry'!AQ202,""),"")</f>
        <v/>
      </c>
      <c r="HZ204" s="538" t="str">
        <f t="shared" si="659"/>
        <v/>
      </c>
      <c r="IA204" s="415" t="str">
        <f t="shared" si="660"/>
        <v/>
      </c>
      <c r="IB204" s="415" t="str">
        <f>IF(AND(HZ204="",IA204=""),"",IF(OR(HS204="SUPPLEMENTARY",HS204="RE-EXAM"),'Supp. Result Entry'!AQ202,HS204))</f>
        <v/>
      </c>
      <c r="IC204" s="87"/>
      <c r="IS204" s="109" t="str">
        <f>IF('Supp. Result Entry'!T202="","",'Supp. Result Entry'!$T$4)</f>
        <v/>
      </c>
      <c r="IT204" s="110" t="str">
        <f>IF('Supp. Result Entry'!W202="","",'Supp. Result Entry'!$W$4)</f>
        <v/>
      </c>
      <c r="IU204" s="110" t="str">
        <f>IF('Supp. Result Entry'!Z202="","",'Supp. Result Entry'!$Z$4)</f>
        <v/>
      </c>
      <c r="IV204" s="110" t="str">
        <f>IF('Supp. Result Entry'!AC202="","",'Supp. Result Entry'!$AC$4)</f>
        <v/>
      </c>
      <c r="IW204" s="110" t="str">
        <f>IF('Supp. Result Entry'!AF202="","",'Supp. Result Entry'!$AF$4)</f>
        <v/>
      </c>
      <c r="IX204" s="110" t="str">
        <f>IF('Supp. Result Entry'!AI202="","",'Supp. Result Entry'!$AI$4)</f>
        <v/>
      </c>
      <c r="IY204" s="110" t="str">
        <f>IF('Supp. Result Entry'!AI202="","",'Supp. Result Entry'!$AL$4)</f>
        <v/>
      </c>
      <c r="IZ204" s="110" t="str">
        <f>IF('Supp. Result Entry'!U202="","",'Supp. Result Entry'!U202)</f>
        <v/>
      </c>
      <c r="JA204" s="110" t="str">
        <f>IF('Supp. Result Entry'!X202="","",'Supp. Result Entry'!X202)</f>
        <v/>
      </c>
      <c r="JB204" s="110" t="str">
        <f>IF('Supp. Result Entry'!AA202="","",'Supp. Result Entry'!AA202)</f>
        <v/>
      </c>
      <c r="JC204" s="110" t="str">
        <f>IF('Supp. Result Entry'!AD202="","",'Supp. Result Entry'!AD202)</f>
        <v/>
      </c>
      <c r="JD204" s="110" t="str">
        <f>IF('Supp. Result Entry'!AG202="","",'Supp. Result Entry'!AG202)</f>
        <v/>
      </c>
      <c r="JE204" s="110" t="str">
        <f>IF('Supp. Result Entry'!AJ202="","",'Supp. Result Entry'!AJ202)</f>
        <v/>
      </c>
      <c r="JF204" s="110" t="str">
        <f>IF('Supp. Result Entry'!AM202="","",'Supp. Result Entry'!AM202)</f>
        <v/>
      </c>
      <c r="JG204" s="110" t="str">
        <f>IF('Supp. Result Entry'!V202="","",'Supp. Result Entry'!V202)</f>
        <v/>
      </c>
      <c r="JH204" s="110" t="str">
        <f>IF('Supp. Result Entry'!Y202="","",'Supp. Result Entry'!Y202)</f>
        <v/>
      </c>
      <c r="JI204" s="110" t="str">
        <f>IF('Supp. Result Entry'!AB202="","",'Supp. Result Entry'!AB202)</f>
        <v/>
      </c>
      <c r="JJ204" s="110" t="str">
        <f>IF('Supp. Result Entry'!AE202="","",'Supp. Result Entry'!AE202)</f>
        <v/>
      </c>
      <c r="JK204" s="110" t="str">
        <f>IF('Supp. Result Entry'!AH202="","",'Supp. Result Entry'!AH202)</f>
        <v/>
      </c>
      <c r="JL204" s="110" t="str">
        <f>IF('Supp. Result Entry'!AK202="","",'Supp. Result Entry'!AK202)</f>
        <v/>
      </c>
      <c r="JM204" s="110" t="str">
        <f>IF('Supp. Result Entry'!AN202="","",'Supp. Result Entry'!AN202)</f>
        <v/>
      </c>
      <c r="JN204" s="110">
        <f>COUNTIF('Supp. Result Entry'!K202:Q202,"S")</f>
        <v>0</v>
      </c>
      <c r="JO204" s="110">
        <f t="shared" si="584"/>
        <v>0</v>
      </c>
      <c r="JP204" s="110">
        <f t="shared" si="661"/>
        <v>0</v>
      </c>
      <c r="JQ204" s="110" t="str">
        <f t="shared" si="585"/>
        <v/>
      </c>
      <c r="JR204" s="110" t="str">
        <f t="shared" si="586"/>
        <v/>
      </c>
      <c r="JS204" s="110" t="str">
        <f t="shared" si="587"/>
        <v/>
      </c>
      <c r="JT204" s="110" t="str">
        <f t="shared" si="588"/>
        <v/>
      </c>
      <c r="JU204" s="110" t="str">
        <f t="shared" si="589"/>
        <v/>
      </c>
      <c r="JV204" s="110" t="str">
        <f t="shared" si="590"/>
        <v/>
      </c>
      <c r="JW204" s="110" t="str">
        <f t="shared" si="591"/>
        <v/>
      </c>
      <c r="JX204" s="110" t="str">
        <f t="shared" si="662"/>
        <v/>
      </c>
      <c r="JY204" s="110" t="str">
        <f t="shared" si="663"/>
        <v/>
      </c>
      <c r="JZ204" s="110" t="str">
        <f t="shared" si="592"/>
        <v/>
      </c>
      <c r="KA204" s="108" t="str">
        <f t="shared" si="664"/>
        <v/>
      </c>
    </row>
    <row r="205" spans="1:287" s="108" customFormat="1" ht="21.95" customHeight="1">
      <c r="A205" s="89">
        <v>199</v>
      </c>
      <c r="B205" s="90" t="str">
        <f>IF('Marks Entry'!B205="","",'Marks Entry'!B205)</f>
        <v/>
      </c>
      <c r="C205" s="94" t="str">
        <f>IF('Marks Entry'!D205="","",'Marks Entry'!D205)</f>
        <v/>
      </c>
      <c r="D205" s="91" t="str">
        <f>IF('Marks Entry'!E205="","",'Marks Entry'!E205)</f>
        <v/>
      </c>
      <c r="E205" s="92" t="str">
        <f>IF('Marks Entry'!F205="","",'Marks Entry'!F205)</f>
        <v/>
      </c>
      <c r="F205" s="93" t="str">
        <f>IF('Marks Entry'!G205="","",'Marks Entry'!G205)</f>
        <v/>
      </c>
      <c r="G205" s="93" t="str">
        <f>IF('Marks Entry'!H205="","",'Marks Entry'!H205)</f>
        <v/>
      </c>
      <c r="H205" s="93" t="str">
        <f>IF('Marks Entry'!I205="","",'Marks Entry'!I205)</f>
        <v/>
      </c>
      <c r="I205" s="94" t="str">
        <f>IF('Marks Entry'!J205="","",'Marks Entry'!J205)</f>
        <v/>
      </c>
      <c r="J205" s="95" t="str">
        <f>IF('Marks Entry'!K205="","",'Marks Entry'!K205)</f>
        <v/>
      </c>
      <c r="K205" s="68" t="str">
        <f>IF('Marks Entry'!L205="","",'Marks Entry'!L205)</f>
        <v/>
      </c>
      <c r="L205" s="68" t="str">
        <f>IF('Marks Entry'!M205="","",'Marks Entry'!M205)</f>
        <v/>
      </c>
      <c r="M205" s="68" t="str">
        <f>IF('Marks Entry'!N205="","",'Marks Entry'!N205)</f>
        <v/>
      </c>
      <c r="N205" s="514" t="str">
        <f t="shared" si="593"/>
        <v/>
      </c>
      <c r="O205" s="68" t="str">
        <f>IF('Marks Entry'!O205="","",'Marks Entry'!O205)</f>
        <v/>
      </c>
      <c r="P205" s="515" t="str">
        <f t="shared" si="594"/>
        <v/>
      </c>
      <c r="Q205" s="68" t="str">
        <f>IF('Marks Entry'!P205="","",'Marks Entry'!P205)</f>
        <v/>
      </c>
      <c r="R205" s="96" t="str">
        <f t="shared" si="595"/>
        <v/>
      </c>
      <c r="S205" s="65">
        <f t="shared" si="596"/>
        <v>0</v>
      </c>
      <c r="T205" s="65">
        <f t="shared" si="597"/>
        <v>0</v>
      </c>
      <c r="U205" s="66" t="str">
        <f t="shared" si="507"/>
        <v/>
      </c>
      <c r="V205" s="65" t="str">
        <f t="shared" si="508"/>
        <v/>
      </c>
      <c r="W205" s="65" t="str">
        <f t="shared" si="598"/>
        <v/>
      </c>
      <c r="X205" s="65" t="str">
        <f t="shared" si="509"/>
        <v/>
      </c>
      <c r="Y205" s="68" t="str">
        <f>IF('Marks Entry'!Q205="","",'Marks Entry'!Q205)</f>
        <v/>
      </c>
      <c r="Z205" s="68" t="str">
        <f>IF('Marks Entry'!R205="","",'Marks Entry'!R205)</f>
        <v/>
      </c>
      <c r="AA205" s="68" t="str">
        <f>IF('Marks Entry'!S205="","",'Marks Entry'!S205)</f>
        <v/>
      </c>
      <c r="AB205" s="514" t="str">
        <f t="shared" si="510"/>
        <v/>
      </c>
      <c r="AC205" s="68" t="str">
        <f>IF('Marks Entry'!T205="","",'Marks Entry'!T205)</f>
        <v/>
      </c>
      <c r="AD205" s="515" t="str">
        <f t="shared" si="511"/>
        <v/>
      </c>
      <c r="AE205" s="68" t="str">
        <f>IF('Marks Entry'!U205="","",'Marks Entry'!U205)</f>
        <v/>
      </c>
      <c r="AF205" s="96" t="str">
        <f t="shared" si="512"/>
        <v/>
      </c>
      <c r="AG205" s="65">
        <f t="shared" si="513"/>
        <v>0</v>
      </c>
      <c r="AH205" s="65">
        <f t="shared" si="514"/>
        <v>0</v>
      </c>
      <c r="AI205" s="66" t="str">
        <f t="shared" si="515"/>
        <v/>
      </c>
      <c r="AJ205" s="65" t="str">
        <f t="shared" si="516"/>
        <v/>
      </c>
      <c r="AK205" s="65" t="str">
        <f t="shared" si="517"/>
        <v/>
      </c>
      <c r="AL205" s="65" t="str">
        <f t="shared" si="518"/>
        <v/>
      </c>
      <c r="AM205" s="524" t="str">
        <f>IF('Marks Entry'!V205="","",IF('Marks Entry'!V205=1,'School Profile'!$I$9,IF('Marks Entry'!V205=2,'School Profile'!$I$10,IF('Marks Entry'!V205=3,'School Profile'!$I$11,IF('Marks Entry'!V205=4,'School Profile'!$I$12,IF('Marks Entry'!V205=5,'School Profile'!$I$13,IF('Marks Entry'!V205=6,'School Profile'!$I$14,"")))))))</f>
        <v/>
      </c>
      <c r="AN205" s="68" t="str">
        <f>IF('Marks Entry'!W205="","",'Marks Entry'!W205)</f>
        <v/>
      </c>
      <c r="AO205" s="68" t="str">
        <f>IF('Marks Entry'!X205="","",'Marks Entry'!X205)</f>
        <v/>
      </c>
      <c r="AP205" s="68" t="str">
        <f>IF('Marks Entry'!Y205="","",'Marks Entry'!Y205)</f>
        <v/>
      </c>
      <c r="AQ205" s="514" t="str">
        <f t="shared" si="519"/>
        <v/>
      </c>
      <c r="AR205" s="68" t="str">
        <f>IF('Marks Entry'!Z205="","",'Marks Entry'!Z205)</f>
        <v/>
      </c>
      <c r="AS205" s="515" t="str">
        <f t="shared" si="520"/>
        <v/>
      </c>
      <c r="AT205" s="68" t="str">
        <f>IF('Marks Entry'!AA205="","",'Marks Entry'!AA205)</f>
        <v/>
      </c>
      <c r="AU205" s="96" t="str">
        <f t="shared" si="521"/>
        <v/>
      </c>
      <c r="AV205" s="65">
        <f t="shared" si="522"/>
        <v>0</v>
      </c>
      <c r="AW205" s="65">
        <f t="shared" si="523"/>
        <v>0</v>
      </c>
      <c r="AX205" s="66" t="str">
        <f t="shared" si="524"/>
        <v/>
      </c>
      <c r="AY205" s="65" t="str">
        <f t="shared" si="525"/>
        <v/>
      </c>
      <c r="AZ205" s="65" t="str">
        <f t="shared" si="526"/>
        <v/>
      </c>
      <c r="BA205" s="65" t="str">
        <f t="shared" si="527"/>
        <v/>
      </c>
      <c r="BB205" s="68" t="str">
        <f>IF('Marks Entry'!AB205="","",'Marks Entry'!AB205)</f>
        <v/>
      </c>
      <c r="BC205" s="68" t="str">
        <f>IF('Marks Entry'!AC205="","",'Marks Entry'!AC205)</f>
        <v/>
      </c>
      <c r="BD205" s="68" t="str">
        <f>IF('Marks Entry'!AD205="","",'Marks Entry'!AD205)</f>
        <v/>
      </c>
      <c r="BE205" s="514" t="str">
        <f t="shared" si="528"/>
        <v/>
      </c>
      <c r="BF205" s="68" t="str">
        <f>IF('Marks Entry'!AE205="","",'Marks Entry'!AE205)</f>
        <v/>
      </c>
      <c r="BG205" s="515" t="str">
        <f t="shared" si="529"/>
        <v/>
      </c>
      <c r="BH205" s="68" t="str">
        <f>IF('Marks Entry'!AF205="","",'Marks Entry'!AF205)</f>
        <v/>
      </c>
      <c r="BI205" s="96" t="str">
        <f t="shared" si="530"/>
        <v/>
      </c>
      <c r="BJ205" s="65">
        <f t="shared" si="531"/>
        <v>0</v>
      </c>
      <c r="BK205" s="65">
        <f t="shared" si="599"/>
        <v>0</v>
      </c>
      <c r="BL205" s="66" t="str">
        <f t="shared" si="532"/>
        <v/>
      </c>
      <c r="BM205" s="65" t="str">
        <f t="shared" si="533"/>
        <v/>
      </c>
      <c r="BN205" s="65" t="str">
        <f t="shared" si="534"/>
        <v/>
      </c>
      <c r="BO205" s="65" t="str">
        <f t="shared" si="535"/>
        <v/>
      </c>
      <c r="BP205" s="68" t="str">
        <f>IF('Marks Entry'!AG205="","",'Marks Entry'!AG205)</f>
        <v/>
      </c>
      <c r="BQ205" s="68" t="str">
        <f>IF('Marks Entry'!AH205="","",'Marks Entry'!AH205)</f>
        <v/>
      </c>
      <c r="BR205" s="68" t="str">
        <f>IF('Marks Entry'!AI205="","",'Marks Entry'!AI205)</f>
        <v/>
      </c>
      <c r="BS205" s="514" t="str">
        <f t="shared" si="536"/>
        <v/>
      </c>
      <c r="BT205" s="68" t="str">
        <f>IF('Marks Entry'!AJ205="","",'Marks Entry'!AJ205)</f>
        <v/>
      </c>
      <c r="BU205" s="515" t="str">
        <f t="shared" si="537"/>
        <v/>
      </c>
      <c r="BV205" s="68" t="str">
        <f>IF('Marks Entry'!AK205="","",'Marks Entry'!AK205)</f>
        <v/>
      </c>
      <c r="BW205" s="96" t="str">
        <f t="shared" si="538"/>
        <v/>
      </c>
      <c r="BX205" s="65">
        <f t="shared" si="539"/>
        <v>0</v>
      </c>
      <c r="BY205" s="65">
        <f t="shared" si="540"/>
        <v>0</v>
      </c>
      <c r="BZ205" s="66" t="str">
        <f t="shared" si="541"/>
        <v/>
      </c>
      <c r="CA205" s="65" t="str">
        <f t="shared" si="542"/>
        <v/>
      </c>
      <c r="CB205" s="65" t="str">
        <f t="shared" si="543"/>
        <v/>
      </c>
      <c r="CC205" s="65" t="str">
        <f t="shared" si="544"/>
        <v/>
      </c>
      <c r="CD205" s="66">
        <f t="shared" si="545"/>
        <v>0</v>
      </c>
      <c r="CE205" s="68" t="str">
        <f>IF('Marks Entry'!AL205="","",'Marks Entry'!AL205)</f>
        <v/>
      </c>
      <c r="CF205" s="68" t="str">
        <f>IF('Marks Entry'!AM205="","",'Marks Entry'!AM205)</f>
        <v/>
      </c>
      <c r="CG205" s="68" t="str">
        <f>IF('Marks Entry'!AN205="","",'Marks Entry'!AN205)</f>
        <v/>
      </c>
      <c r="CH205" s="514" t="str">
        <f t="shared" si="546"/>
        <v/>
      </c>
      <c r="CI205" s="68" t="str">
        <f>IF('Marks Entry'!AO205="","",'Marks Entry'!AO205)</f>
        <v/>
      </c>
      <c r="CJ205" s="515" t="str">
        <f t="shared" si="547"/>
        <v/>
      </c>
      <c r="CK205" s="68" t="str">
        <f>IF('Marks Entry'!AP205="","",'Marks Entry'!AP205)</f>
        <v/>
      </c>
      <c r="CL205" s="96" t="str">
        <f t="shared" si="548"/>
        <v/>
      </c>
      <c r="CM205" s="65">
        <f t="shared" si="549"/>
        <v>0</v>
      </c>
      <c r="CN205" s="65">
        <f t="shared" si="550"/>
        <v>0</v>
      </c>
      <c r="CO205" s="66" t="str">
        <f t="shared" si="551"/>
        <v/>
      </c>
      <c r="CP205" s="65" t="str">
        <f t="shared" si="552"/>
        <v/>
      </c>
      <c r="CQ205" s="65" t="str">
        <f t="shared" si="553"/>
        <v/>
      </c>
      <c r="CR205" s="65" t="str">
        <f t="shared" si="554"/>
        <v/>
      </c>
      <c r="CS205" s="616" t="str">
        <f>IF('School Profile'!$D$20="NO","",IF('Marks Entry'!AQ205="","",IF('Marks Entry'!AQ205=1,'School Profile'!$I$29,IF('Marks Entry'!AQ205=2,'School Profile'!$I$30,IF('Marks Entry'!AQ205=3,'School Profile'!$I$31,IF('Marks Entry'!AQ205=4,'School Profile'!$I$32,IF('Marks Entry'!AQ205=5,'School Profile'!$I$33,IF('Marks Entry'!AQ205=6,'School Profile'!$I$34,IF('Marks Entry'!AQ205=7,'School Profile'!$I$35,IF('Marks Entry'!AQ205=8,'School Profile'!$I$36,IF('Marks Entry'!AQ205=9,'School Profile'!$I$37,IF('Marks Entry'!AQ205=10,'School Profile'!$I$38,IF('Marks Entry'!AQ205=11,'School Profile'!$I$39,"")))))))))))))</f>
        <v/>
      </c>
      <c r="CT205" s="68" t="str">
        <f>IF('School Profile'!$D$20="NO","",IF('Marks Entry'!AR205="","",'Marks Entry'!AR205))</f>
        <v/>
      </c>
      <c r="CU205" s="68" t="str">
        <f>IF('School Profile'!$D$20="NO","",IF('Marks Entry'!AS205="","",'Marks Entry'!AS205))</f>
        <v/>
      </c>
      <c r="CV205" s="68" t="str">
        <f>IF('School Profile'!$D$20="NO","",IF('Marks Entry'!AT205="","",'Marks Entry'!AT205))</f>
        <v/>
      </c>
      <c r="CW205" s="514" t="str">
        <f>IF('School Profile'!$D$20="NO","",IF(AND(CT205="",CU205="",CV205=""),"",SUM(CT205:CV205)))</f>
        <v/>
      </c>
      <c r="CX205" s="68" t="str">
        <f>IF('School Profile'!$D$20="NO","",IF('Marks Entry'!AU205="","",'Marks Entry'!AU205))</f>
        <v/>
      </c>
      <c r="CY205" s="68" t="str">
        <f>IF('School Profile'!$D$20="NO","",IF('Marks Entry'!AV205="","",'Marks Entry'!AV205))</f>
        <v/>
      </c>
      <c r="CZ205" s="515" t="str">
        <f>IF('School Profile'!$D$20="NO","",IF(AND(CX205="",CY205=""),"",SUM(CX205,CY205)))</f>
        <v/>
      </c>
      <c r="DA205" s="69" t="str">
        <f>IF('School Profile'!$D$20="NO","",IF(AND(CW205="",CZ205=""),"",SUM(CW205+CZ205)))</f>
        <v/>
      </c>
      <c r="DB205" s="68" t="str">
        <f>IF('School Profile'!$D$20="NO","",IF('Marks Entry'!AW205="","",'Marks Entry'!AW205))</f>
        <v/>
      </c>
      <c r="DC205" s="68" t="str">
        <f>IF('School Profile'!$D$20="NO","",IF('Marks Entry'!AX205="","",'Marks Entry'!AX205))</f>
        <v/>
      </c>
      <c r="DD205" s="515" t="str">
        <f>IF('School Profile'!$D$20="NO","",IF(AND(DB205="",DC205=""),"",SUM(DB205,DC205)))</f>
        <v/>
      </c>
      <c r="DE205" s="96" t="str">
        <f>IF('School Profile'!$D$20="NO","",IF(AND(DA205="",DD205=""),"",SUM(DA205,DD205)))</f>
        <v/>
      </c>
      <c r="DF205" s="532">
        <f t="shared" si="555"/>
        <v>0</v>
      </c>
      <c r="DG205" s="65">
        <f t="shared" si="556"/>
        <v>0</v>
      </c>
      <c r="DH205" s="66" t="str">
        <f t="shared" si="557"/>
        <v/>
      </c>
      <c r="DI205" s="65" t="str">
        <f t="shared" si="558"/>
        <v/>
      </c>
      <c r="DJ205" s="65" t="str">
        <f t="shared" si="559"/>
        <v/>
      </c>
      <c r="DK205" s="65" t="str">
        <f t="shared" si="560"/>
        <v/>
      </c>
      <c r="DL205" s="97" t="str">
        <f t="shared" si="600"/>
        <v/>
      </c>
      <c r="DM205" s="97" t="str">
        <f t="shared" si="601"/>
        <v/>
      </c>
      <c r="DN205" s="97" t="str">
        <f t="shared" si="602"/>
        <v/>
      </c>
      <c r="DO205" s="97" t="str">
        <f t="shared" si="603"/>
        <v/>
      </c>
      <c r="DP205" s="97" t="str">
        <f t="shared" si="604"/>
        <v/>
      </c>
      <c r="DQ205" s="97" t="str">
        <f t="shared" si="605"/>
        <v/>
      </c>
      <c r="DR205" s="97" t="str">
        <f t="shared" si="606"/>
        <v/>
      </c>
      <c r="DS205" s="98">
        <f t="shared" si="607"/>
        <v>0</v>
      </c>
      <c r="DT205" s="98">
        <f t="shared" si="608"/>
        <v>0</v>
      </c>
      <c r="DU205" s="98">
        <f t="shared" si="609"/>
        <v>0</v>
      </c>
      <c r="DV205" s="98">
        <f t="shared" si="610"/>
        <v>0</v>
      </c>
      <c r="DW205" s="98">
        <f t="shared" si="611"/>
        <v>0</v>
      </c>
      <c r="DX205" s="98" t="str">
        <f t="shared" si="612"/>
        <v/>
      </c>
      <c r="DY205" s="99" t="str">
        <f t="shared" si="613"/>
        <v/>
      </c>
      <c r="DZ205" s="74" t="str">
        <f>IF('Marks Entry'!AY205="","",'Marks Entry'!AY205)</f>
        <v/>
      </c>
      <c r="EA205" s="74" t="str">
        <f>IF('Marks Entry'!AZ205="","",'Marks Entry'!AZ205)</f>
        <v/>
      </c>
      <c r="EB205" s="74" t="str">
        <f>IF('Marks Entry'!BA205="","",'Marks Entry'!BA205)</f>
        <v/>
      </c>
      <c r="EC205" s="527" t="str">
        <f t="shared" si="561"/>
        <v/>
      </c>
      <c r="ED205" s="74" t="str">
        <f>IF('Marks Entry'!BB205="","",'Marks Entry'!BB205)</f>
        <v/>
      </c>
      <c r="EE205" s="528" t="str">
        <f t="shared" si="562"/>
        <v/>
      </c>
      <c r="EF205" s="74" t="str">
        <f>IF('Marks Entry'!BC205="","",'Marks Entry'!BC205)</f>
        <v/>
      </c>
      <c r="EG205" s="530" t="str">
        <f t="shared" si="563"/>
        <v/>
      </c>
      <c r="EH205" s="368" t="str">
        <f t="shared" si="614"/>
        <v/>
      </c>
      <c r="EI205" s="65">
        <f t="shared" si="615"/>
        <v>0</v>
      </c>
      <c r="EJ205" s="65">
        <f t="shared" si="616"/>
        <v>0</v>
      </c>
      <c r="EK205" s="66" t="str">
        <f t="shared" si="617"/>
        <v/>
      </c>
      <c r="EL205" s="74" t="str">
        <f>IF('Marks Entry'!BD205="","",'Marks Entry'!BD205)</f>
        <v/>
      </c>
      <c r="EM205" s="74" t="str">
        <f>IF('Marks Entry'!BE205="","",'Marks Entry'!BE205)</f>
        <v/>
      </c>
      <c r="EN205" s="74" t="str">
        <f>IF('Marks Entry'!BF205="","",'Marks Entry'!BF205)</f>
        <v/>
      </c>
      <c r="EO205" s="527" t="str">
        <f t="shared" si="564"/>
        <v/>
      </c>
      <c r="EP205" s="74" t="str">
        <f>IF('Marks Entry'!BG205="","",'Marks Entry'!BG205)</f>
        <v/>
      </c>
      <c r="EQ205" s="74" t="str">
        <f>IF('Marks Entry'!BH205="","",'Marks Entry'!BH205)</f>
        <v/>
      </c>
      <c r="ER205" s="528" t="str">
        <f t="shared" si="565"/>
        <v/>
      </c>
      <c r="ES205" s="529" t="str">
        <f t="shared" si="566"/>
        <v/>
      </c>
      <c r="ET205" s="74" t="str">
        <f>IF('Marks Entry'!BI205="","",'Marks Entry'!BI205)</f>
        <v/>
      </c>
      <c r="EU205" s="74" t="str">
        <f>IF('Marks Entry'!BJ205="","",'Marks Entry'!BJ205)</f>
        <v/>
      </c>
      <c r="EV205" s="528" t="str">
        <f t="shared" si="567"/>
        <v/>
      </c>
      <c r="EW205" s="530" t="str">
        <f t="shared" si="568"/>
        <v/>
      </c>
      <c r="EX205" s="368" t="str">
        <f t="shared" si="618"/>
        <v/>
      </c>
      <c r="EY205" s="65">
        <f t="shared" si="619"/>
        <v>0</v>
      </c>
      <c r="EZ205" s="65">
        <f t="shared" si="620"/>
        <v>0</v>
      </c>
      <c r="FA205" s="66" t="str">
        <f t="shared" si="621"/>
        <v/>
      </c>
      <c r="FB205" s="74" t="str">
        <f>IF('Marks Entry'!BK205="","",'Marks Entry'!BK205)</f>
        <v/>
      </c>
      <c r="FC205" s="74" t="str">
        <f>IF('Marks Entry'!BL205="","",'Marks Entry'!BL205)</f>
        <v/>
      </c>
      <c r="FD205" s="74" t="str">
        <f>IF('Marks Entry'!BM205="","",'Marks Entry'!BM205)</f>
        <v/>
      </c>
      <c r="FE205" s="74" t="str">
        <f>IF('Marks Entry'!BN205="","",'Marks Entry'!BN205)</f>
        <v/>
      </c>
      <c r="FF205" s="74" t="str">
        <f>IF('Marks Entry'!BO205="","",'Marks Entry'!BO205)</f>
        <v/>
      </c>
      <c r="FG205" s="74" t="str">
        <f>IF('Marks Entry'!BP205="","",'Marks Entry'!BP205)</f>
        <v/>
      </c>
      <c r="FH205" s="527" t="str">
        <f t="shared" si="569"/>
        <v/>
      </c>
      <c r="FI205" s="74" t="str">
        <f>IF('Marks Entry'!BQ205="","",'Marks Entry'!BQ205)</f>
        <v/>
      </c>
      <c r="FJ205" s="74" t="str">
        <f>IF('Marks Entry'!BR205="","",'Marks Entry'!BR205)</f>
        <v/>
      </c>
      <c r="FK205" s="528" t="str">
        <f t="shared" si="570"/>
        <v/>
      </c>
      <c r="FL205" s="529" t="str">
        <f t="shared" si="571"/>
        <v/>
      </c>
      <c r="FM205" s="74" t="str">
        <f>IF('Marks Entry'!BS205="","",'Marks Entry'!BS205)</f>
        <v/>
      </c>
      <c r="FN205" s="74" t="str">
        <f>IF('Marks Entry'!BT205="","",'Marks Entry'!BT205)</f>
        <v/>
      </c>
      <c r="FO205" s="528" t="str">
        <f t="shared" si="572"/>
        <v/>
      </c>
      <c r="FP205" s="530" t="str">
        <f t="shared" si="573"/>
        <v/>
      </c>
      <c r="FQ205" s="368" t="str">
        <f t="shared" si="622"/>
        <v/>
      </c>
      <c r="FR205" s="65">
        <f t="shared" si="623"/>
        <v>0</v>
      </c>
      <c r="FS205" s="65">
        <f t="shared" si="624"/>
        <v>0</v>
      </c>
      <c r="FT205" s="66" t="str">
        <f t="shared" si="625"/>
        <v/>
      </c>
      <c r="FU205" s="74" t="str">
        <f>IF('Marks Entry'!BU205="","",'Marks Entry'!BU205)</f>
        <v/>
      </c>
      <c r="FV205" s="74" t="str">
        <f>IF('Marks Entry'!BV205="","",'Marks Entry'!BV205)</f>
        <v/>
      </c>
      <c r="FW205" s="74" t="str">
        <f>IF('Marks Entry'!BW205="","",'Marks Entry'!BW205)</f>
        <v/>
      </c>
      <c r="FX205" s="75" t="str">
        <f t="shared" si="574"/>
        <v/>
      </c>
      <c r="FY205" s="368" t="str">
        <f t="shared" si="626"/>
        <v/>
      </c>
      <c r="FZ205" s="65">
        <f t="shared" si="627"/>
        <v>0</v>
      </c>
      <c r="GA205" s="66">
        <f t="shared" si="628"/>
        <v>0</v>
      </c>
      <c r="GB205" s="66" t="str">
        <f t="shared" si="629"/>
        <v/>
      </c>
      <c r="GC205" s="74" t="str">
        <f>IF('Marks Entry'!BX205="","",'Marks Entry'!BX205)</f>
        <v/>
      </c>
      <c r="GD205" s="74" t="str">
        <f>IF('Marks Entry'!BY205="","",'Marks Entry'!BY205)</f>
        <v/>
      </c>
      <c r="GE205" s="74" t="str">
        <f>IF('Marks Entry'!BZ205="","",'Marks Entry'!BZ205)</f>
        <v/>
      </c>
      <c r="GF205" s="75" t="str">
        <f t="shared" si="630"/>
        <v/>
      </c>
      <c r="GG205" s="368" t="str">
        <f t="shared" si="631"/>
        <v/>
      </c>
      <c r="GH205" s="65">
        <f t="shared" si="632"/>
        <v>0</v>
      </c>
      <c r="GI205" s="66">
        <f t="shared" si="633"/>
        <v>0</v>
      </c>
      <c r="GJ205" s="66" t="str">
        <f t="shared" si="634"/>
        <v/>
      </c>
      <c r="GK205" s="100" t="str">
        <f>IF(AND(F205="",B205=""),"",IF('Student DATA Entry'!M202="","",'Student DATA Entry'!M202))</f>
        <v/>
      </c>
      <c r="GL205" s="101" t="str">
        <f>IF(AND(B205="",F205=""),"",IF('Student DATA Entry'!N202="","",'Student DATA Entry'!N202))</f>
        <v/>
      </c>
      <c r="GM205" s="581" t="str">
        <f t="shared" si="635"/>
        <v/>
      </c>
      <c r="GN205" s="94" t="str">
        <f t="shared" si="636"/>
        <v/>
      </c>
      <c r="GO205" s="94" t="str">
        <f t="shared" si="637"/>
        <v/>
      </c>
      <c r="GP205" s="102" t="str">
        <f t="shared" si="575"/>
        <v/>
      </c>
      <c r="GQ205" s="94" t="str">
        <f t="shared" si="638"/>
        <v/>
      </c>
      <c r="GR205" s="103" t="str">
        <f t="shared" si="639"/>
        <v/>
      </c>
      <c r="GS205" s="102" t="str">
        <f t="shared" si="576"/>
        <v/>
      </c>
      <c r="GT205" s="104" t="str">
        <f t="shared" si="640"/>
        <v/>
      </c>
      <c r="GU205" s="94" t="str">
        <f>IF('Marks Entry'!V205=1,GT205,"")</f>
        <v/>
      </c>
      <c r="GV205" s="94" t="str">
        <f>IF('Marks Entry'!V205=2,GT205,"")</f>
        <v/>
      </c>
      <c r="GW205" s="94" t="str">
        <f>IF('Marks Entry'!V205=3,GT205,"")</f>
        <v/>
      </c>
      <c r="GX205" s="94" t="str">
        <f>IF('Marks Entry'!V205=4,GT205,"")</f>
        <v/>
      </c>
      <c r="GY205" s="94" t="str">
        <f>IF('Marks Entry'!V205=5,GT205,"")</f>
        <v/>
      </c>
      <c r="GZ205" s="94" t="str">
        <f t="shared" si="641"/>
        <v/>
      </c>
      <c r="HA205" s="105" t="str">
        <f t="shared" si="577"/>
        <v/>
      </c>
      <c r="HB205" s="94" t="str">
        <f t="shared" si="642"/>
        <v/>
      </c>
      <c r="HC205" s="94" t="str">
        <f t="shared" si="643"/>
        <v/>
      </c>
      <c r="HD205" s="105" t="str">
        <f t="shared" si="578"/>
        <v/>
      </c>
      <c r="HE205" s="94" t="str">
        <f t="shared" si="644"/>
        <v/>
      </c>
      <c r="HF205" s="94" t="str">
        <f t="shared" si="645"/>
        <v/>
      </c>
      <c r="HG205" s="105" t="str">
        <f t="shared" si="579"/>
        <v/>
      </c>
      <c r="HH205" s="94" t="str">
        <f t="shared" si="646"/>
        <v/>
      </c>
      <c r="HI205" s="94" t="str">
        <f t="shared" si="647"/>
        <v/>
      </c>
      <c r="HJ205" s="105" t="str">
        <f t="shared" si="580"/>
        <v/>
      </c>
      <c r="HK205" s="94" t="str">
        <f t="shared" si="648"/>
        <v/>
      </c>
      <c r="HL205" s="94" t="str">
        <f t="shared" si="649"/>
        <v/>
      </c>
      <c r="HM205" s="105" t="str">
        <f t="shared" si="581"/>
        <v/>
      </c>
      <c r="HN205" s="367" t="str">
        <f t="shared" si="650"/>
        <v xml:space="preserve">      </v>
      </c>
      <c r="HO205" s="418" t="str">
        <f t="shared" si="582"/>
        <v xml:space="preserve">      </v>
      </c>
      <c r="HP205" s="367" t="str">
        <f t="shared" si="651"/>
        <v xml:space="preserve">      </v>
      </c>
      <c r="HQ205" s="107" t="str">
        <f t="shared" si="652"/>
        <v xml:space="preserve">      </v>
      </c>
      <c r="HR205" s="366" t="str">
        <f t="shared" si="653"/>
        <v xml:space="preserve">      </v>
      </c>
      <c r="HS205" s="544" t="str">
        <f t="shared" si="583"/>
        <v/>
      </c>
      <c r="HT205" s="542" t="str">
        <f t="shared" si="654"/>
        <v/>
      </c>
      <c r="HU205" s="541" t="str">
        <f t="shared" si="655"/>
        <v/>
      </c>
      <c r="HV205" s="540" t="str">
        <f t="shared" si="656"/>
        <v/>
      </c>
      <c r="HW205" s="537" t="str">
        <f t="shared" si="657"/>
        <v/>
      </c>
      <c r="HX205" s="539" t="str">
        <f t="shared" si="658"/>
        <v/>
      </c>
      <c r="HY205" s="553" t="str">
        <f>IFERROR(IF(OR(HS205="SUPPLEMENTARY",HS205="RE-EXAM"),'Supp. Result Entry'!AQ203,""),"")</f>
        <v/>
      </c>
      <c r="HZ205" s="538" t="str">
        <f t="shared" si="659"/>
        <v/>
      </c>
      <c r="IA205" s="415" t="str">
        <f t="shared" si="660"/>
        <v/>
      </c>
      <c r="IB205" s="415" t="str">
        <f>IF(AND(HZ205="",IA205=""),"",IF(OR(HS205="SUPPLEMENTARY",HS205="RE-EXAM"),'Supp. Result Entry'!AQ203,HS205))</f>
        <v/>
      </c>
      <c r="IC205" s="87"/>
      <c r="IS205" s="109" t="str">
        <f>IF('Supp. Result Entry'!T203="","",'Supp. Result Entry'!$T$4)</f>
        <v/>
      </c>
      <c r="IT205" s="110" t="str">
        <f>IF('Supp. Result Entry'!W203="","",'Supp. Result Entry'!$W$4)</f>
        <v/>
      </c>
      <c r="IU205" s="110" t="str">
        <f>IF('Supp. Result Entry'!Z203="","",'Supp. Result Entry'!$Z$4)</f>
        <v/>
      </c>
      <c r="IV205" s="110" t="str">
        <f>IF('Supp. Result Entry'!AC203="","",'Supp. Result Entry'!$AC$4)</f>
        <v/>
      </c>
      <c r="IW205" s="110" t="str">
        <f>IF('Supp. Result Entry'!AF203="","",'Supp. Result Entry'!$AF$4)</f>
        <v/>
      </c>
      <c r="IX205" s="110" t="str">
        <f>IF('Supp. Result Entry'!AI203="","",'Supp. Result Entry'!$AI$4)</f>
        <v/>
      </c>
      <c r="IY205" s="110" t="str">
        <f>IF('Supp. Result Entry'!AI203="","",'Supp. Result Entry'!$AL$4)</f>
        <v/>
      </c>
      <c r="IZ205" s="110" t="str">
        <f>IF('Supp. Result Entry'!U203="","",'Supp. Result Entry'!U203)</f>
        <v/>
      </c>
      <c r="JA205" s="110" t="str">
        <f>IF('Supp. Result Entry'!X203="","",'Supp. Result Entry'!X203)</f>
        <v/>
      </c>
      <c r="JB205" s="110" t="str">
        <f>IF('Supp. Result Entry'!AA203="","",'Supp. Result Entry'!AA203)</f>
        <v/>
      </c>
      <c r="JC205" s="110" t="str">
        <f>IF('Supp. Result Entry'!AD203="","",'Supp. Result Entry'!AD203)</f>
        <v/>
      </c>
      <c r="JD205" s="110" t="str">
        <f>IF('Supp. Result Entry'!AG203="","",'Supp. Result Entry'!AG203)</f>
        <v/>
      </c>
      <c r="JE205" s="110" t="str">
        <f>IF('Supp. Result Entry'!AJ203="","",'Supp. Result Entry'!AJ203)</f>
        <v/>
      </c>
      <c r="JF205" s="110" t="str">
        <f>IF('Supp. Result Entry'!AM203="","",'Supp. Result Entry'!AM203)</f>
        <v/>
      </c>
      <c r="JG205" s="110" t="str">
        <f>IF('Supp. Result Entry'!V203="","",'Supp. Result Entry'!V203)</f>
        <v/>
      </c>
      <c r="JH205" s="110" t="str">
        <f>IF('Supp. Result Entry'!Y203="","",'Supp. Result Entry'!Y203)</f>
        <v/>
      </c>
      <c r="JI205" s="110" t="str">
        <f>IF('Supp. Result Entry'!AB203="","",'Supp. Result Entry'!AB203)</f>
        <v/>
      </c>
      <c r="JJ205" s="110" t="str">
        <f>IF('Supp. Result Entry'!AE203="","",'Supp. Result Entry'!AE203)</f>
        <v/>
      </c>
      <c r="JK205" s="110" t="str">
        <f>IF('Supp. Result Entry'!AH203="","",'Supp. Result Entry'!AH203)</f>
        <v/>
      </c>
      <c r="JL205" s="110" t="str">
        <f>IF('Supp. Result Entry'!AK203="","",'Supp. Result Entry'!AK203)</f>
        <v/>
      </c>
      <c r="JM205" s="110" t="str">
        <f>IF('Supp. Result Entry'!AN203="","",'Supp. Result Entry'!AN203)</f>
        <v/>
      </c>
      <c r="JN205" s="110">
        <f>COUNTIF('Supp. Result Entry'!K203:Q203,"S")</f>
        <v>0</v>
      </c>
      <c r="JO205" s="110">
        <f t="shared" si="584"/>
        <v>0</v>
      </c>
      <c r="JP205" s="110">
        <f t="shared" si="661"/>
        <v>0</v>
      </c>
      <c r="JQ205" s="110" t="str">
        <f t="shared" si="585"/>
        <v/>
      </c>
      <c r="JR205" s="110" t="str">
        <f t="shared" si="586"/>
        <v/>
      </c>
      <c r="JS205" s="110" t="str">
        <f t="shared" si="587"/>
        <v/>
      </c>
      <c r="JT205" s="110" t="str">
        <f t="shared" si="588"/>
        <v/>
      </c>
      <c r="JU205" s="110" t="str">
        <f t="shared" si="589"/>
        <v/>
      </c>
      <c r="JV205" s="110" t="str">
        <f t="shared" si="590"/>
        <v/>
      </c>
      <c r="JW205" s="110" t="str">
        <f t="shared" si="591"/>
        <v/>
      </c>
      <c r="JX205" s="110" t="str">
        <f t="shared" si="662"/>
        <v/>
      </c>
      <c r="JY205" s="110" t="str">
        <f t="shared" si="663"/>
        <v/>
      </c>
      <c r="JZ205" s="110" t="str">
        <f t="shared" si="592"/>
        <v/>
      </c>
      <c r="KA205" s="108" t="str">
        <f t="shared" si="664"/>
        <v/>
      </c>
    </row>
    <row r="206" spans="1:287" s="108" customFormat="1" ht="21.95" customHeight="1" thickBot="1">
      <c r="A206" s="89">
        <v>200</v>
      </c>
      <c r="B206" s="90" t="str">
        <f>IF('Marks Entry'!B206="","",'Marks Entry'!B206)</f>
        <v/>
      </c>
      <c r="C206" s="94" t="str">
        <f>IF('Marks Entry'!D206="","",'Marks Entry'!D206)</f>
        <v/>
      </c>
      <c r="D206" s="91" t="str">
        <f>IF('Marks Entry'!E206="","",'Marks Entry'!E206)</f>
        <v/>
      </c>
      <c r="E206" s="92" t="str">
        <f>IF('Marks Entry'!F206="","",'Marks Entry'!F206)</f>
        <v/>
      </c>
      <c r="F206" s="93" t="str">
        <f>IF('Marks Entry'!G206="","",'Marks Entry'!G206)</f>
        <v/>
      </c>
      <c r="G206" s="93" t="str">
        <f>IF('Marks Entry'!H206="","",'Marks Entry'!H206)</f>
        <v/>
      </c>
      <c r="H206" s="93" t="str">
        <f>IF('Marks Entry'!I206="","",'Marks Entry'!I206)</f>
        <v/>
      </c>
      <c r="I206" s="94" t="str">
        <f>IF('Marks Entry'!J206="","",'Marks Entry'!J206)</f>
        <v/>
      </c>
      <c r="J206" s="95" t="str">
        <f>IF('Marks Entry'!K206="","",'Marks Entry'!K206)</f>
        <v/>
      </c>
      <c r="K206" s="68" t="str">
        <f>IF('Marks Entry'!L206="","",'Marks Entry'!L206)</f>
        <v/>
      </c>
      <c r="L206" s="68" t="str">
        <f>IF('Marks Entry'!M206="","",'Marks Entry'!M206)</f>
        <v/>
      </c>
      <c r="M206" s="68" t="str">
        <f>IF('Marks Entry'!N206="","",'Marks Entry'!N206)</f>
        <v/>
      </c>
      <c r="N206" s="514" t="str">
        <f t="shared" si="593"/>
        <v/>
      </c>
      <c r="O206" s="68" t="str">
        <f>IF('Marks Entry'!O206="","",'Marks Entry'!O206)</f>
        <v/>
      </c>
      <c r="P206" s="515" t="str">
        <f t="shared" si="594"/>
        <v/>
      </c>
      <c r="Q206" s="68" t="str">
        <f>IF('Marks Entry'!P206="","",'Marks Entry'!P206)</f>
        <v/>
      </c>
      <c r="R206" s="96" t="str">
        <f t="shared" si="595"/>
        <v/>
      </c>
      <c r="S206" s="65">
        <f t="shared" si="596"/>
        <v>0</v>
      </c>
      <c r="T206" s="65">
        <f t="shared" si="597"/>
        <v>0</v>
      </c>
      <c r="U206" s="66" t="str">
        <f t="shared" si="507"/>
        <v/>
      </c>
      <c r="V206" s="65" t="str">
        <f t="shared" si="508"/>
        <v/>
      </c>
      <c r="W206" s="65" t="str">
        <f t="shared" si="598"/>
        <v/>
      </c>
      <c r="X206" s="65" t="str">
        <f t="shared" si="509"/>
        <v/>
      </c>
      <c r="Y206" s="68" t="str">
        <f>IF('Marks Entry'!Q206="","",'Marks Entry'!Q206)</f>
        <v/>
      </c>
      <c r="Z206" s="68" t="str">
        <f>IF('Marks Entry'!R206="","",'Marks Entry'!R206)</f>
        <v/>
      </c>
      <c r="AA206" s="68" t="str">
        <f>IF('Marks Entry'!S206="","",'Marks Entry'!S206)</f>
        <v/>
      </c>
      <c r="AB206" s="514" t="str">
        <f t="shared" si="510"/>
        <v/>
      </c>
      <c r="AC206" s="68" t="str">
        <f>IF('Marks Entry'!T206="","",'Marks Entry'!T206)</f>
        <v/>
      </c>
      <c r="AD206" s="515" t="str">
        <f t="shared" si="511"/>
        <v/>
      </c>
      <c r="AE206" s="68" t="str">
        <f>IF('Marks Entry'!U206="","",'Marks Entry'!U206)</f>
        <v/>
      </c>
      <c r="AF206" s="96" t="str">
        <f t="shared" si="512"/>
        <v/>
      </c>
      <c r="AG206" s="65">
        <f t="shared" si="513"/>
        <v>0</v>
      </c>
      <c r="AH206" s="65">
        <f t="shared" si="514"/>
        <v>0</v>
      </c>
      <c r="AI206" s="66" t="str">
        <f t="shared" si="515"/>
        <v/>
      </c>
      <c r="AJ206" s="65" t="str">
        <f t="shared" si="516"/>
        <v/>
      </c>
      <c r="AK206" s="65" t="str">
        <f t="shared" si="517"/>
        <v/>
      </c>
      <c r="AL206" s="65" t="str">
        <f t="shared" si="518"/>
        <v/>
      </c>
      <c r="AM206" s="524" t="str">
        <f>IF('Marks Entry'!V206="","",IF('Marks Entry'!V206=1,'School Profile'!$I$9,IF('Marks Entry'!V206=2,'School Profile'!$I$10,IF('Marks Entry'!V206=3,'School Profile'!$I$11,IF('Marks Entry'!V206=4,'School Profile'!$I$12,IF('Marks Entry'!V206=5,'School Profile'!$I$13,IF('Marks Entry'!V206=6,'School Profile'!$I$14,"")))))))</f>
        <v/>
      </c>
      <c r="AN206" s="68" t="str">
        <f>IF('Marks Entry'!W206="","",'Marks Entry'!W206)</f>
        <v/>
      </c>
      <c r="AO206" s="68" t="str">
        <f>IF('Marks Entry'!X206="","",'Marks Entry'!X206)</f>
        <v/>
      </c>
      <c r="AP206" s="68" t="str">
        <f>IF('Marks Entry'!Y206="","",'Marks Entry'!Y206)</f>
        <v/>
      </c>
      <c r="AQ206" s="514" t="str">
        <f t="shared" si="519"/>
        <v/>
      </c>
      <c r="AR206" s="68" t="str">
        <f>IF('Marks Entry'!Z206="","",'Marks Entry'!Z206)</f>
        <v/>
      </c>
      <c r="AS206" s="515" t="str">
        <f t="shared" si="520"/>
        <v/>
      </c>
      <c r="AT206" s="68" t="str">
        <f>IF('Marks Entry'!AA206="","",'Marks Entry'!AA206)</f>
        <v/>
      </c>
      <c r="AU206" s="96" t="str">
        <f t="shared" si="521"/>
        <v/>
      </c>
      <c r="AV206" s="65">
        <f t="shared" si="522"/>
        <v>0</v>
      </c>
      <c r="AW206" s="65">
        <f t="shared" si="523"/>
        <v>0</v>
      </c>
      <c r="AX206" s="66" t="str">
        <f t="shared" si="524"/>
        <v/>
      </c>
      <c r="AY206" s="65" t="str">
        <f t="shared" si="525"/>
        <v/>
      </c>
      <c r="AZ206" s="65" t="str">
        <f t="shared" si="526"/>
        <v/>
      </c>
      <c r="BA206" s="65" t="str">
        <f t="shared" si="527"/>
        <v/>
      </c>
      <c r="BB206" s="68" t="str">
        <f>IF('Marks Entry'!AB206="","",'Marks Entry'!AB206)</f>
        <v/>
      </c>
      <c r="BC206" s="68" t="str">
        <f>IF('Marks Entry'!AC206="","",'Marks Entry'!AC206)</f>
        <v/>
      </c>
      <c r="BD206" s="68" t="str">
        <f>IF('Marks Entry'!AD206="","",'Marks Entry'!AD206)</f>
        <v/>
      </c>
      <c r="BE206" s="514" t="str">
        <f t="shared" si="528"/>
        <v/>
      </c>
      <c r="BF206" s="68" t="str">
        <f>IF('Marks Entry'!AE206="","",'Marks Entry'!AE206)</f>
        <v/>
      </c>
      <c r="BG206" s="515" t="str">
        <f t="shared" si="529"/>
        <v/>
      </c>
      <c r="BH206" s="68" t="str">
        <f>IF('Marks Entry'!AF206="","",'Marks Entry'!AF206)</f>
        <v/>
      </c>
      <c r="BI206" s="96" t="str">
        <f t="shared" si="530"/>
        <v/>
      </c>
      <c r="BJ206" s="65">
        <f t="shared" si="531"/>
        <v>0</v>
      </c>
      <c r="BK206" s="65">
        <f t="shared" si="599"/>
        <v>0</v>
      </c>
      <c r="BL206" s="66" t="str">
        <f t="shared" si="532"/>
        <v/>
      </c>
      <c r="BM206" s="65" t="str">
        <f t="shared" si="533"/>
        <v/>
      </c>
      <c r="BN206" s="65" t="str">
        <f t="shared" si="534"/>
        <v/>
      </c>
      <c r="BO206" s="65" t="str">
        <f t="shared" si="535"/>
        <v/>
      </c>
      <c r="BP206" s="68" t="str">
        <f>IF('Marks Entry'!AG206="","",'Marks Entry'!AG206)</f>
        <v/>
      </c>
      <c r="BQ206" s="68" t="str">
        <f>IF('Marks Entry'!AH206="","",'Marks Entry'!AH206)</f>
        <v/>
      </c>
      <c r="BR206" s="68" t="str">
        <f>IF('Marks Entry'!AI206="","",'Marks Entry'!AI206)</f>
        <v/>
      </c>
      <c r="BS206" s="514" t="str">
        <f t="shared" si="536"/>
        <v/>
      </c>
      <c r="BT206" s="68" t="str">
        <f>IF('Marks Entry'!AJ206="","",'Marks Entry'!AJ206)</f>
        <v/>
      </c>
      <c r="BU206" s="515" t="str">
        <f t="shared" si="537"/>
        <v/>
      </c>
      <c r="BV206" s="68" t="str">
        <f>IF('Marks Entry'!AK206="","",'Marks Entry'!AK206)</f>
        <v/>
      </c>
      <c r="BW206" s="96" t="str">
        <f t="shared" si="538"/>
        <v/>
      </c>
      <c r="BX206" s="65">
        <f t="shared" si="539"/>
        <v>0</v>
      </c>
      <c r="BY206" s="65">
        <f t="shared" si="540"/>
        <v>0</v>
      </c>
      <c r="BZ206" s="66" t="str">
        <f t="shared" si="541"/>
        <v/>
      </c>
      <c r="CA206" s="65" t="str">
        <f t="shared" si="542"/>
        <v/>
      </c>
      <c r="CB206" s="65" t="str">
        <f t="shared" si="543"/>
        <v/>
      </c>
      <c r="CC206" s="65" t="str">
        <f t="shared" si="544"/>
        <v/>
      </c>
      <c r="CD206" s="66">
        <f t="shared" si="545"/>
        <v>0</v>
      </c>
      <c r="CE206" s="68" t="str">
        <f>IF('Marks Entry'!AL206="","",'Marks Entry'!AL206)</f>
        <v/>
      </c>
      <c r="CF206" s="68" t="str">
        <f>IF('Marks Entry'!AM206="","",'Marks Entry'!AM206)</f>
        <v/>
      </c>
      <c r="CG206" s="68" t="str">
        <f>IF('Marks Entry'!AN206="","",'Marks Entry'!AN206)</f>
        <v/>
      </c>
      <c r="CH206" s="514" t="str">
        <f t="shared" si="546"/>
        <v/>
      </c>
      <c r="CI206" s="68" t="str">
        <f>IF('Marks Entry'!AO206="","",'Marks Entry'!AO206)</f>
        <v/>
      </c>
      <c r="CJ206" s="515" t="str">
        <f t="shared" si="547"/>
        <v/>
      </c>
      <c r="CK206" s="68" t="str">
        <f>IF('Marks Entry'!AP206="","",'Marks Entry'!AP206)</f>
        <v/>
      </c>
      <c r="CL206" s="96" t="str">
        <f t="shared" si="548"/>
        <v/>
      </c>
      <c r="CM206" s="65">
        <f t="shared" si="549"/>
        <v>0</v>
      </c>
      <c r="CN206" s="65">
        <f t="shared" si="550"/>
        <v>0</v>
      </c>
      <c r="CO206" s="66" t="str">
        <f t="shared" si="551"/>
        <v/>
      </c>
      <c r="CP206" s="65" t="str">
        <f t="shared" si="552"/>
        <v/>
      </c>
      <c r="CQ206" s="65" t="str">
        <f t="shared" si="553"/>
        <v/>
      </c>
      <c r="CR206" s="65" t="str">
        <f t="shared" si="554"/>
        <v/>
      </c>
      <c r="CS206" s="616" t="str">
        <f>IF('School Profile'!$D$20="NO","",IF('Marks Entry'!AQ206="","",IF('Marks Entry'!AQ206=1,'School Profile'!$I$29,IF('Marks Entry'!AQ206=2,'School Profile'!$I$30,IF('Marks Entry'!AQ206=3,'School Profile'!$I$31,IF('Marks Entry'!AQ206=4,'School Profile'!$I$32,IF('Marks Entry'!AQ206=5,'School Profile'!$I$33,IF('Marks Entry'!AQ206=6,'School Profile'!$I$34,IF('Marks Entry'!AQ206=7,'School Profile'!$I$35,IF('Marks Entry'!AQ206=8,'School Profile'!$I$36,IF('Marks Entry'!AQ206=9,'School Profile'!$I$37,IF('Marks Entry'!AQ206=10,'School Profile'!$I$38,IF('Marks Entry'!AQ206=11,'School Profile'!$I$39,"")))))))))))))</f>
        <v/>
      </c>
      <c r="CT206" s="68" t="str">
        <f>IF('School Profile'!$D$20="NO","",IF('Marks Entry'!AR206="","",'Marks Entry'!AR206))</f>
        <v/>
      </c>
      <c r="CU206" s="68" t="str">
        <f>IF('School Profile'!$D$20="NO","",IF('Marks Entry'!AS206="","",'Marks Entry'!AS206))</f>
        <v/>
      </c>
      <c r="CV206" s="68" t="str">
        <f>IF('School Profile'!$D$20="NO","",IF('Marks Entry'!AT206="","",'Marks Entry'!AT206))</f>
        <v/>
      </c>
      <c r="CW206" s="514" t="str">
        <f>IF('School Profile'!$D$20="NO","",IF(AND(CT206="",CU206="",CV206=""),"",SUM(CT206:CV206)))</f>
        <v/>
      </c>
      <c r="CX206" s="68" t="str">
        <f>IF('School Profile'!$D$20="NO","",IF('Marks Entry'!AU206="","",'Marks Entry'!AU206))</f>
        <v/>
      </c>
      <c r="CY206" s="68" t="str">
        <f>IF('School Profile'!$D$20="NO","",IF('Marks Entry'!AV206="","",'Marks Entry'!AV206))</f>
        <v/>
      </c>
      <c r="CZ206" s="515" t="str">
        <f>IF('School Profile'!$D$20="NO","",IF(AND(CX206="",CY206=""),"",SUM(CX206,CY206)))</f>
        <v/>
      </c>
      <c r="DA206" s="69" t="str">
        <f>IF('School Profile'!$D$20="NO","",IF(AND(CW206="",CZ206=""),"",SUM(CW206+CZ206)))</f>
        <v/>
      </c>
      <c r="DB206" s="68" t="str">
        <f>IF('School Profile'!$D$20="NO","",IF('Marks Entry'!AW206="","",'Marks Entry'!AW206))</f>
        <v/>
      </c>
      <c r="DC206" s="68" t="str">
        <f>IF('School Profile'!$D$20="NO","",IF('Marks Entry'!AX206="","",'Marks Entry'!AX206))</f>
        <v/>
      </c>
      <c r="DD206" s="515" t="str">
        <f>IF('School Profile'!$D$20="NO","",IF(AND(DB206="",DC206=""),"",SUM(DB206,DC206)))</f>
        <v/>
      </c>
      <c r="DE206" s="96" t="str">
        <f>IF('School Profile'!$D$20="NO","",IF(AND(DA206="",DD206=""),"",SUM(DA206,DD206)))</f>
        <v/>
      </c>
      <c r="DF206" s="532">
        <f t="shared" si="555"/>
        <v>0</v>
      </c>
      <c r="DG206" s="65">
        <f t="shared" si="556"/>
        <v>0</v>
      </c>
      <c r="DH206" s="66" t="str">
        <f t="shared" si="557"/>
        <v/>
      </c>
      <c r="DI206" s="65" t="str">
        <f t="shared" si="558"/>
        <v/>
      </c>
      <c r="DJ206" s="65" t="str">
        <f t="shared" si="559"/>
        <v/>
      </c>
      <c r="DK206" s="65" t="str">
        <f t="shared" si="560"/>
        <v/>
      </c>
      <c r="DL206" s="97" t="str">
        <f t="shared" si="600"/>
        <v/>
      </c>
      <c r="DM206" s="97" t="str">
        <f t="shared" si="601"/>
        <v/>
      </c>
      <c r="DN206" s="97" t="str">
        <f t="shared" si="602"/>
        <v/>
      </c>
      <c r="DO206" s="97" t="str">
        <f t="shared" si="603"/>
        <v/>
      </c>
      <c r="DP206" s="97" t="str">
        <f t="shared" si="604"/>
        <v/>
      </c>
      <c r="DQ206" s="97" t="str">
        <f t="shared" si="605"/>
        <v/>
      </c>
      <c r="DR206" s="97" t="str">
        <f t="shared" si="606"/>
        <v/>
      </c>
      <c r="DS206" s="98">
        <f t="shared" si="607"/>
        <v>0</v>
      </c>
      <c r="DT206" s="98">
        <f t="shared" si="608"/>
        <v>0</v>
      </c>
      <c r="DU206" s="98">
        <f t="shared" si="609"/>
        <v>0</v>
      </c>
      <c r="DV206" s="98">
        <f t="shared" si="610"/>
        <v>0</v>
      </c>
      <c r="DW206" s="98">
        <f t="shared" si="611"/>
        <v>0</v>
      </c>
      <c r="DX206" s="98" t="str">
        <f t="shared" si="612"/>
        <v/>
      </c>
      <c r="DY206" s="99" t="str">
        <f t="shared" si="613"/>
        <v/>
      </c>
      <c r="DZ206" s="74" t="str">
        <f>IF('Marks Entry'!AY206="","",'Marks Entry'!AY206)</f>
        <v/>
      </c>
      <c r="EA206" s="74" t="str">
        <f>IF('Marks Entry'!AZ206="","",'Marks Entry'!AZ206)</f>
        <v/>
      </c>
      <c r="EB206" s="74" t="str">
        <f>IF('Marks Entry'!BA206="","",'Marks Entry'!BA206)</f>
        <v/>
      </c>
      <c r="EC206" s="527" t="str">
        <f t="shared" si="561"/>
        <v/>
      </c>
      <c r="ED206" s="74" t="str">
        <f>IF('Marks Entry'!BB206="","",'Marks Entry'!BB206)</f>
        <v/>
      </c>
      <c r="EE206" s="528" t="str">
        <f t="shared" si="562"/>
        <v/>
      </c>
      <c r="EF206" s="74" t="str">
        <f>IF('Marks Entry'!BC206="","",'Marks Entry'!BC206)</f>
        <v/>
      </c>
      <c r="EG206" s="530" t="str">
        <f t="shared" si="563"/>
        <v/>
      </c>
      <c r="EH206" s="368" t="str">
        <f t="shared" si="614"/>
        <v/>
      </c>
      <c r="EI206" s="65">
        <f t="shared" si="615"/>
        <v>0</v>
      </c>
      <c r="EJ206" s="65">
        <f t="shared" si="616"/>
        <v>0</v>
      </c>
      <c r="EK206" s="66" t="str">
        <f t="shared" si="617"/>
        <v/>
      </c>
      <c r="EL206" s="74" t="str">
        <f>IF('Marks Entry'!BD206="","",'Marks Entry'!BD206)</f>
        <v/>
      </c>
      <c r="EM206" s="74" t="str">
        <f>IF('Marks Entry'!BE206="","",'Marks Entry'!BE206)</f>
        <v/>
      </c>
      <c r="EN206" s="74" t="str">
        <f>IF('Marks Entry'!BF206="","",'Marks Entry'!BF206)</f>
        <v/>
      </c>
      <c r="EO206" s="527" t="str">
        <f t="shared" si="564"/>
        <v/>
      </c>
      <c r="EP206" s="74" t="str">
        <f>IF('Marks Entry'!BG206="","",'Marks Entry'!BG206)</f>
        <v/>
      </c>
      <c r="EQ206" s="74" t="str">
        <f>IF('Marks Entry'!BH206="","",'Marks Entry'!BH206)</f>
        <v/>
      </c>
      <c r="ER206" s="528" t="str">
        <f t="shared" si="565"/>
        <v/>
      </c>
      <c r="ES206" s="529" t="str">
        <f t="shared" si="566"/>
        <v/>
      </c>
      <c r="ET206" s="74" t="str">
        <f>IF('Marks Entry'!BI206="","",'Marks Entry'!BI206)</f>
        <v/>
      </c>
      <c r="EU206" s="74" t="str">
        <f>IF('Marks Entry'!BJ206="","",'Marks Entry'!BJ206)</f>
        <v/>
      </c>
      <c r="EV206" s="528" t="str">
        <f t="shared" si="567"/>
        <v/>
      </c>
      <c r="EW206" s="530" t="str">
        <f t="shared" si="568"/>
        <v/>
      </c>
      <c r="EX206" s="368" t="str">
        <f t="shared" si="618"/>
        <v/>
      </c>
      <c r="EY206" s="65">
        <f>COUNTIF(EL206:EN206,"NA")*10</f>
        <v>0</v>
      </c>
      <c r="EZ206" s="65">
        <f>(COUNTIF(EL206:EN206,"ML")*10)+(COUNTIF(ER206,"ML")*70)+(COUNTIF(EV206,"ML")*100)</f>
        <v>0</v>
      </c>
      <c r="FA206" s="66" t="str">
        <f>IF(OR($B206="NSO",$B206=0),"",IF(AND(EL206="",EM206="",EP206="",ET206=""),"",IF(AND(EM206="",EP206="",EQ206="",ET206="",EU206=""),($EL$6)-EY206-EZ206,IF(AND(EL206="",EP206="",EQ206="",ET206="",EU206=""),($EM$6)-EY206-EZ206,IF(AND(EP206="",EQ206="",ET206="",EU206=""),($EL$6+$EM$6)-EY206-EZ206,IF(AND(ET206="",EU206=""),($EP$6+$EQ$6)-EY206-EZ206,($EW$6)-EY206-EZ206))))))</f>
        <v/>
      </c>
      <c r="FB206" s="74" t="str">
        <f>IF('Marks Entry'!BK206="","",'Marks Entry'!BK206)</f>
        <v/>
      </c>
      <c r="FC206" s="74" t="str">
        <f>IF('Marks Entry'!BL206="","",'Marks Entry'!BL206)</f>
        <v/>
      </c>
      <c r="FD206" s="74" t="str">
        <f>IF('Marks Entry'!BM206="","",'Marks Entry'!BM206)</f>
        <v/>
      </c>
      <c r="FE206" s="74" t="str">
        <f>IF('Marks Entry'!BN206="","",'Marks Entry'!BN206)</f>
        <v/>
      </c>
      <c r="FF206" s="74" t="str">
        <f>IF('Marks Entry'!BO206="","",'Marks Entry'!BO206)</f>
        <v/>
      </c>
      <c r="FG206" s="74" t="str">
        <f>IF('Marks Entry'!BP206="","",'Marks Entry'!BP206)</f>
        <v/>
      </c>
      <c r="FH206" s="527" t="str">
        <f t="shared" si="569"/>
        <v/>
      </c>
      <c r="FI206" s="74" t="str">
        <f>IF('Marks Entry'!BQ206="","",'Marks Entry'!BQ206)</f>
        <v/>
      </c>
      <c r="FJ206" s="74" t="str">
        <f>IF('Marks Entry'!BR206="","",'Marks Entry'!BR206)</f>
        <v/>
      </c>
      <c r="FK206" s="528" t="str">
        <f t="shared" si="570"/>
        <v/>
      </c>
      <c r="FL206" s="529" t="str">
        <f t="shared" si="571"/>
        <v/>
      </c>
      <c r="FM206" s="74" t="str">
        <f>IF('Marks Entry'!BS206="","",'Marks Entry'!BS206)</f>
        <v/>
      </c>
      <c r="FN206" s="74" t="str">
        <f>IF('Marks Entry'!BT206="","",'Marks Entry'!BT206)</f>
        <v/>
      </c>
      <c r="FO206" s="528" t="str">
        <f t="shared" si="572"/>
        <v/>
      </c>
      <c r="FP206" s="530" t="str">
        <f t="shared" si="573"/>
        <v/>
      </c>
      <c r="FQ206" s="368" t="str">
        <f t="shared" si="622"/>
        <v/>
      </c>
      <c r="FR206" s="65">
        <f t="shared" si="623"/>
        <v>0</v>
      </c>
      <c r="FS206" s="65">
        <f t="shared" si="624"/>
        <v>0</v>
      </c>
      <c r="FT206" s="66" t="str">
        <f t="shared" si="625"/>
        <v/>
      </c>
      <c r="FU206" s="74" t="str">
        <f>IF('Marks Entry'!BU206="","",'Marks Entry'!BU206)</f>
        <v/>
      </c>
      <c r="FV206" s="74" t="str">
        <f>IF('Marks Entry'!BV206="","",'Marks Entry'!BV206)</f>
        <v/>
      </c>
      <c r="FW206" s="74" t="str">
        <f>IF('Marks Entry'!BW206="","",'Marks Entry'!BW206)</f>
        <v/>
      </c>
      <c r="FX206" s="75" t="str">
        <f t="shared" si="574"/>
        <v/>
      </c>
      <c r="FY206" s="368" t="str">
        <f t="shared" si="626"/>
        <v/>
      </c>
      <c r="FZ206" s="65">
        <f t="shared" si="627"/>
        <v>0</v>
      </c>
      <c r="GA206" s="66">
        <f t="shared" si="628"/>
        <v>0</v>
      </c>
      <c r="GB206" s="66" t="str">
        <f t="shared" si="629"/>
        <v/>
      </c>
      <c r="GC206" s="74" t="str">
        <f>IF('Marks Entry'!BX206="","",'Marks Entry'!BX206)</f>
        <v/>
      </c>
      <c r="GD206" s="74" t="str">
        <f>IF('Marks Entry'!BY206="","",'Marks Entry'!BY206)</f>
        <v/>
      </c>
      <c r="GE206" s="74" t="str">
        <f>IF('Marks Entry'!BZ206="","",'Marks Entry'!BZ206)</f>
        <v/>
      </c>
      <c r="GF206" s="75" t="str">
        <f t="shared" si="630"/>
        <v/>
      </c>
      <c r="GG206" s="368" t="str">
        <f t="shared" si="631"/>
        <v/>
      </c>
      <c r="GH206" s="65">
        <f t="shared" si="632"/>
        <v>0</v>
      </c>
      <c r="GI206" s="66">
        <f t="shared" si="633"/>
        <v>0</v>
      </c>
      <c r="GJ206" s="66" t="str">
        <f t="shared" si="634"/>
        <v/>
      </c>
      <c r="GK206" s="100" t="str">
        <f>IF(AND(F206="",B206=""),"",IF('Student DATA Entry'!M203="","",'Student DATA Entry'!M203))</f>
        <v/>
      </c>
      <c r="GL206" s="101" t="str">
        <f>IF(AND(B206="",F206=""),"",IF('Student DATA Entry'!N203="","",'Student DATA Entry'!N203))</f>
        <v/>
      </c>
      <c r="GM206" s="581" t="str">
        <f t="shared" si="635"/>
        <v/>
      </c>
      <c r="GN206" s="94" t="str">
        <f t="shared" si="636"/>
        <v/>
      </c>
      <c r="GO206" s="94" t="str">
        <f t="shared" si="637"/>
        <v/>
      </c>
      <c r="GP206" s="102" t="str">
        <f t="shared" si="575"/>
        <v/>
      </c>
      <c r="GQ206" s="94" t="str">
        <f t="shared" si="638"/>
        <v/>
      </c>
      <c r="GR206" s="103" t="str">
        <f t="shared" si="639"/>
        <v/>
      </c>
      <c r="GS206" s="102" t="str">
        <f t="shared" si="576"/>
        <v/>
      </c>
      <c r="GT206" s="104" t="str">
        <f t="shared" si="640"/>
        <v/>
      </c>
      <c r="GU206" s="94" t="str">
        <f>IF('Marks Entry'!V206=1,GT206,"")</f>
        <v/>
      </c>
      <c r="GV206" s="94" t="str">
        <f>IF('Marks Entry'!V206=2,GT206,"")</f>
        <v/>
      </c>
      <c r="GW206" s="94" t="str">
        <f>IF('Marks Entry'!V206=3,GT206,"")</f>
        <v/>
      </c>
      <c r="GX206" s="94" t="str">
        <f>IF('Marks Entry'!V206=4,GT206,"")</f>
        <v/>
      </c>
      <c r="GY206" s="94" t="str">
        <f>IF('Marks Entry'!V206=5,GT206,"")</f>
        <v/>
      </c>
      <c r="GZ206" s="94" t="str">
        <f t="shared" si="641"/>
        <v/>
      </c>
      <c r="HA206" s="105" t="str">
        <f t="shared" si="577"/>
        <v/>
      </c>
      <c r="HB206" s="94" t="str">
        <f t="shared" si="642"/>
        <v/>
      </c>
      <c r="HC206" s="94" t="str">
        <f t="shared" si="643"/>
        <v/>
      </c>
      <c r="HD206" s="105" t="str">
        <f t="shared" si="578"/>
        <v/>
      </c>
      <c r="HE206" s="94" t="str">
        <f t="shared" si="644"/>
        <v/>
      </c>
      <c r="HF206" s="94" t="str">
        <f t="shared" si="645"/>
        <v/>
      </c>
      <c r="HG206" s="105" t="str">
        <f t="shared" si="579"/>
        <v/>
      </c>
      <c r="HH206" s="94" t="str">
        <f t="shared" si="646"/>
        <v/>
      </c>
      <c r="HI206" s="94" t="str">
        <f t="shared" si="647"/>
        <v/>
      </c>
      <c r="HJ206" s="105" t="str">
        <f t="shared" si="580"/>
        <v/>
      </c>
      <c r="HK206" s="94" t="str">
        <f t="shared" si="648"/>
        <v/>
      </c>
      <c r="HL206" s="94" t="str">
        <f t="shared" si="649"/>
        <v/>
      </c>
      <c r="HM206" s="105" t="str">
        <f t="shared" si="581"/>
        <v/>
      </c>
      <c r="HN206" s="367" t="str">
        <f t="shared" si="650"/>
        <v xml:space="preserve">      </v>
      </c>
      <c r="HO206" s="418" t="str">
        <f t="shared" si="582"/>
        <v xml:space="preserve">      </v>
      </c>
      <c r="HP206" s="587" t="str">
        <f t="shared" si="651"/>
        <v xml:space="preserve">      </v>
      </c>
      <c r="HQ206" s="588" t="str">
        <f t="shared" si="652"/>
        <v xml:space="preserve">      </v>
      </c>
      <c r="HR206" s="589" t="str">
        <f t="shared" si="653"/>
        <v xml:space="preserve">      </v>
      </c>
      <c r="HS206" s="590" t="str">
        <f t="shared" si="583"/>
        <v/>
      </c>
      <c r="HT206" s="591" t="str">
        <f t="shared" si="654"/>
        <v/>
      </c>
      <c r="HU206" s="592" t="str">
        <f t="shared" si="655"/>
        <v/>
      </c>
      <c r="HV206" s="593" t="str">
        <f t="shared" si="656"/>
        <v/>
      </c>
      <c r="HW206" s="594" t="str">
        <f t="shared" si="657"/>
        <v/>
      </c>
      <c r="HX206" s="539" t="str">
        <f t="shared" si="658"/>
        <v/>
      </c>
      <c r="HY206" s="595" t="str">
        <f>IFERROR(IF(OR(HS206="SUPPLEMENTARY",HS206="RE-EXAM"),'Supp. Result Entry'!AQ204,""),"")</f>
        <v/>
      </c>
      <c r="HZ206" s="596" t="str">
        <f t="shared" si="659"/>
        <v/>
      </c>
      <c r="IA206" s="589" t="str">
        <f t="shared" si="660"/>
        <v/>
      </c>
      <c r="IB206" s="589" t="str">
        <f>IF(AND(HZ206="",IA206=""),"",IF(OR(HS206="SUPPLEMENTARY",HS206="RE-EXAM"),'Supp. Result Entry'!AQ204,HS206))</f>
        <v/>
      </c>
      <c r="IC206" s="597"/>
      <c r="IS206" s="109" t="str">
        <f>IF('Supp. Result Entry'!T204="","",'Supp. Result Entry'!$T$4)</f>
        <v/>
      </c>
      <c r="IT206" s="110" t="str">
        <f>IF('Supp. Result Entry'!W204="","",'Supp. Result Entry'!$W$4)</f>
        <v/>
      </c>
      <c r="IU206" s="110" t="str">
        <f>IF('Supp. Result Entry'!Z204="","",'Supp. Result Entry'!$Z$4)</f>
        <v/>
      </c>
      <c r="IV206" s="110" t="str">
        <f>IF('Supp. Result Entry'!AC204="","",'Supp. Result Entry'!$AC$4)</f>
        <v/>
      </c>
      <c r="IW206" s="110" t="str">
        <f>IF('Supp. Result Entry'!AF204="","",'Supp. Result Entry'!$AF$4)</f>
        <v/>
      </c>
      <c r="IX206" s="110" t="str">
        <f>IF('Supp. Result Entry'!AI204="","",'Supp. Result Entry'!$AI$4)</f>
        <v/>
      </c>
      <c r="IY206" s="110" t="str">
        <f>IF('Supp. Result Entry'!AI204="","",'Supp. Result Entry'!$AL$4)</f>
        <v/>
      </c>
      <c r="IZ206" s="110" t="str">
        <f>IF('Supp. Result Entry'!U204="","",'Supp. Result Entry'!U204)</f>
        <v/>
      </c>
      <c r="JA206" s="110" t="str">
        <f>IF('Supp. Result Entry'!X204="","",'Supp. Result Entry'!X204)</f>
        <v/>
      </c>
      <c r="JB206" s="110" t="str">
        <f>IF('Supp. Result Entry'!AA204="","",'Supp. Result Entry'!AA204)</f>
        <v/>
      </c>
      <c r="JC206" s="110" t="str">
        <f>IF('Supp. Result Entry'!AD204="","",'Supp. Result Entry'!AD204)</f>
        <v/>
      </c>
      <c r="JD206" s="110" t="str">
        <f>IF('Supp. Result Entry'!AG204="","",'Supp. Result Entry'!AG204)</f>
        <v/>
      </c>
      <c r="JE206" s="110" t="str">
        <f>IF('Supp. Result Entry'!AJ204="","",'Supp. Result Entry'!AJ204)</f>
        <v/>
      </c>
      <c r="JF206" s="110" t="str">
        <f>IF('Supp. Result Entry'!AM204="","",'Supp. Result Entry'!AM204)</f>
        <v/>
      </c>
      <c r="JG206" s="110" t="str">
        <f>IF('Supp. Result Entry'!V204="","",'Supp. Result Entry'!V204)</f>
        <v/>
      </c>
      <c r="JH206" s="110" t="str">
        <f>IF('Supp. Result Entry'!Y204="","",'Supp. Result Entry'!Y204)</f>
        <v/>
      </c>
      <c r="JI206" s="110" t="str">
        <f>IF('Supp. Result Entry'!AB204="","",'Supp. Result Entry'!AB204)</f>
        <v/>
      </c>
      <c r="JJ206" s="110" t="str">
        <f>IF('Supp. Result Entry'!AE204="","",'Supp. Result Entry'!AE204)</f>
        <v/>
      </c>
      <c r="JK206" s="110" t="str">
        <f>IF('Supp. Result Entry'!AH204="","",'Supp. Result Entry'!AH204)</f>
        <v/>
      </c>
      <c r="JL206" s="110" t="str">
        <f>IF('Supp. Result Entry'!AK204="","",'Supp. Result Entry'!AK204)</f>
        <v/>
      </c>
      <c r="JM206" s="110" t="str">
        <f>IF('Supp. Result Entry'!AN204="","",'Supp. Result Entry'!AN204)</f>
        <v/>
      </c>
      <c r="JN206" s="110">
        <f>COUNTIF('Supp. Result Entry'!K204:Q204,"S")</f>
        <v>0</v>
      </c>
      <c r="JO206" s="110">
        <f t="shared" si="584"/>
        <v>0</v>
      </c>
      <c r="JP206" s="110">
        <f t="shared" si="661"/>
        <v>0</v>
      </c>
      <c r="JQ206" s="110" t="str">
        <f t="shared" si="585"/>
        <v/>
      </c>
      <c r="JR206" s="110" t="str">
        <f t="shared" si="586"/>
        <v/>
      </c>
      <c r="JS206" s="110" t="str">
        <f t="shared" si="587"/>
        <v/>
      </c>
      <c r="JT206" s="110" t="str">
        <f t="shared" si="588"/>
        <v/>
      </c>
      <c r="JU206" s="110" t="str">
        <f t="shared" si="589"/>
        <v/>
      </c>
      <c r="JV206" s="110" t="str">
        <f t="shared" si="590"/>
        <v/>
      </c>
      <c r="JW206" s="110" t="str">
        <f t="shared" si="591"/>
        <v/>
      </c>
      <c r="JX206" s="110" t="str">
        <f t="shared" si="662"/>
        <v/>
      </c>
      <c r="JY206" s="110" t="str">
        <f t="shared" si="663"/>
        <v/>
      </c>
      <c r="JZ206" s="110" t="str">
        <f t="shared" si="592"/>
        <v/>
      </c>
      <c r="KA206" s="108" t="str">
        <f t="shared" si="664"/>
        <v/>
      </c>
    </row>
    <row r="207" spans="1:287" s="108" customFormat="1" ht="20.25" customHeight="1" thickBot="1">
      <c r="A207" s="1267"/>
      <c r="B207" s="1268"/>
      <c r="C207" s="1268"/>
      <c r="D207" s="1268"/>
      <c r="E207" s="1268"/>
      <c r="F207" s="1268"/>
      <c r="G207" s="1269"/>
      <c r="H207" s="1269"/>
      <c r="I207" s="1269"/>
      <c r="J207" s="1269"/>
      <c r="K207" s="1269"/>
      <c r="L207" s="1269"/>
      <c r="M207" s="1269"/>
      <c r="N207" s="1269"/>
      <c r="O207" s="1269"/>
      <c r="P207" s="1269"/>
      <c r="Q207" s="1269"/>
      <c r="R207" s="1269"/>
      <c r="S207" s="1269"/>
      <c r="T207" s="1269"/>
      <c r="U207" s="1269"/>
      <c r="V207" s="1269"/>
      <c r="W207" s="1269"/>
      <c r="X207" s="1269"/>
      <c r="Y207" s="1269"/>
      <c r="Z207" s="1269"/>
      <c r="AA207" s="1269"/>
      <c r="AB207" s="1269"/>
      <c r="AC207" s="1269"/>
      <c r="AD207" s="1269"/>
      <c r="AE207" s="1269"/>
      <c r="AF207" s="1269"/>
      <c r="AG207" s="1269"/>
      <c r="AH207" s="1269"/>
      <c r="AI207" s="1269"/>
      <c r="AJ207" s="1269"/>
      <c r="AK207" s="1269"/>
      <c r="AL207" s="1269"/>
      <c r="AM207" s="1269"/>
      <c r="AN207" s="1269"/>
      <c r="AO207" s="1269"/>
      <c r="AP207" s="1269"/>
      <c r="AQ207" s="1269"/>
      <c r="AR207" s="1269"/>
      <c r="AS207" s="1269"/>
      <c r="AT207" s="1269"/>
      <c r="AU207" s="1268"/>
      <c r="AV207" s="1268"/>
      <c r="AW207" s="1268"/>
      <c r="AX207" s="1268"/>
      <c r="AY207" s="1268"/>
      <c r="AZ207" s="1268"/>
      <c r="BA207" s="1268"/>
      <c r="BB207" s="1268"/>
      <c r="BC207" s="1268"/>
      <c r="BD207" s="1268"/>
      <c r="BE207" s="1268"/>
      <c r="BF207" s="1269"/>
      <c r="BG207" s="1269"/>
      <c r="BH207" s="1269"/>
      <c r="BI207" s="1269"/>
      <c r="BJ207" s="1269"/>
      <c r="BK207" s="1269"/>
      <c r="BL207" s="1269"/>
      <c r="BM207" s="1269"/>
      <c r="BN207" s="1269"/>
      <c r="BO207" s="1269"/>
      <c r="BP207" s="1269"/>
      <c r="BQ207" s="1269"/>
      <c r="BR207" s="1269"/>
      <c r="BS207" s="1269"/>
      <c r="BT207" s="1269"/>
      <c r="BU207" s="1269"/>
      <c r="BV207" s="1269"/>
      <c r="BW207" s="1269"/>
      <c r="BX207" s="1269"/>
      <c r="BY207" s="1269"/>
      <c r="BZ207" s="1269"/>
      <c r="CA207" s="1269"/>
      <c r="CB207" s="1269"/>
      <c r="CC207" s="1269"/>
      <c r="CD207" s="1269"/>
      <c r="CE207" s="1269"/>
      <c r="CF207" s="1269"/>
      <c r="CG207" s="1269"/>
      <c r="CH207" s="1269"/>
      <c r="CI207" s="1269"/>
      <c r="CJ207" s="1269"/>
      <c r="CK207" s="1269"/>
      <c r="CL207" s="1269"/>
      <c r="CM207" s="1269"/>
      <c r="CN207" s="1269"/>
      <c r="CO207" s="1269"/>
      <c r="CP207" s="1269"/>
      <c r="CQ207" s="1269"/>
      <c r="CR207" s="1269"/>
      <c r="CS207" s="1269"/>
      <c r="CT207" s="1269"/>
      <c r="CU207" s="1269"/>
      <c r="CV207" s="1269"/>
      <c r="CW207" s="1269"/>
      <c r="CX207" s="1269"/>
      <c r="CY207" s="1269"/>
      <c r="CZ207" s="1269"/>
      <c r="DA207" s="1269"/>
      <c r="DB207" s="1269"/>
      <c r="DC207" s="1269"/>
      <c r="DD207" s="1269"/>
      <c r="DE207" s="1269"/>
      <c r="DF207" s="1269"/>
      <c r="DG207" s="1269"/>
      <c r="DH207" s="1269"/>
      <c r="DI207" s="1269"/>
      <c r="DJ207" s="1269"/>
      <c r="DK207" s="1269"/>
      <c r="DL207" s="1269"/>
      <c r="DM207" s="1269"/>
      <c r="DN207" s="1269"/>
      <c r="DO207" s="1269"/>
      <c r="DP207" s="1269"/>
      <c r="DQ207" s="1269"/>
      <c r="DR207" s="1269"/>
      <c r="DS207" s="1269"/>
      <c r="DT207" s="1269"/>
      <c r="DU207" s="1269"/>
      <c r="DV207" s="1269"/>
      <c r="DW207" s="1269"/>
      <c r="DX207" s="1269"/>
      <c r="DY207" s="1269"/>
      <c r="DZ207" s="1269"/>
      <c r="EA207" s="1269"/>
      <c r="EB207" s="1269"/>
      <c r="EC207" s="1269"/>
      <c r="ED207" s="1269"/>
      <c r="EE207" s="1269"/>
      <c r="EF207" s="1269"/>
      <c r="EG207" s="1269"/>
      <c r="EH207" s="1269"/>
      <c r="EI207" s="1268"/>
      <c r="EJ207" s="1268"/>
      <c r="EK207" s="1268"/>
      <c r="EL207" s="1268"/>
      <c r="EM207" s="1268"/>
      <c r="EN207" s="1268"/>
      <c r="EO207" s="1268"/>
      <c r="EP207" s="1268"/>
      <c r="EQ207" s="1268"/>
      <c r="ER207" s="1268"/>
      <c r="ES207" s="1268"/>
      <c r="ET207" s="1268"/>
      <c r="EU207" s="1268"/>
      <c r="EV207" s="1268"/>
      <c r="EW207" s="1268"/>
      <c r="EX207" s="1268"/>
      <c r="EY207" s="1268"/>
      <c r="EZ207" s="1268"/>
      <c r="FA207" s="1268"/>
      <c r="FB207" s="1268"/>
      <c r="FC207" s="1268"/>
      <c r="FD207" s="1268"/>
      <c r="FE207" s="1268"/>
      <c r="FF207" s="1268"/>
      <c r="FG207" s="1268"/>
      <c r="FH207" s="1268"/>
      <c r="FI207" s="1268"/>
      <c r="FJ207" s="1268"/>
      <c r="FK207" s="1268"/>
      <c r="FL207" s="1268"/>
      <c r="FM207" s="1268"/>
      <c r="FN207" s="1268"/>
      <c r="FO207" s="1268"/>
      <c r="FP207" s="1268"/>
      <c r="FQ207" s="1268"/>
      <c r="FR207" s="1268"/>
      <c r="FS207" s="1268"/>
      <c r="FT207" s="1268"/>
      <c r="FU207" s="1268"/>
      <c r="FV207" s="1268"/>
      <c r="FW207" s="1268"/>
      <c r="FX207" s="1268"/>
      <c r="FY207" s="1268"/>
      <c r="FZ207" s="1268"/>
      <c r="GA207" s="1268"/>
      <c r="GB207" s="1268"/>
      <c r="GC207" s="1268"/>
      <c r="GD207" s="1268"/>
      <c r="GE207" s="1268"/>
      <c r="GF207" s="1268"/>
      <c r="GG207" s="1268"/>
      <c r="GH207" s="1268"/>
      <c r="GI207" s="1268"/>
      <c r="GJ207" s="1268"/>
      <c r="GK207" s="1268"/>
      <c r="GL207" s="1269"/>
      <c r="GM207" s="1269"/>
      <c r="GN207" s="1269"/>
      <c r="GO207" s="1269"/>
      <c r="GP207" s="1269"/>
      <c r="GQ207" s="1269"/>
      <c r="GR207" s="1269"/>
      <c r="GS207" s="1269"/>
      <c r="GT207" s="1269"/>
      <c r="GU207" s="1269"/>
      <c r="GV207" s="1269"/>
      <c r="GW207" s="1269"/>
      <c r="GX207" s="1269"/>
      <c r="GY207" s="1269"/>
      <c r="GZ207" s="1269"/>
      <c r="HA207" s="1269"/>
      <c r="HB207" s="1269"/>
      <c r="HC207" s="1269"/>
      <c r="HD207" s="1269"/>
      <c r="HE207" s="1269"/>
      <c r="HF207" s="1269"/>
      <c r="HG207" s="1269"/>
      <c r="HH207" s="1269"/>
      <c r="HI207" s="1269"/>
      <c r="HJ207" s="1269"/>
      <c r="HK207" s="1269"/>
      <c r="HL207" s="1269"/>
      <c r="HM207" s="1269"/>
      <c r="HN207" s="1269"/>
      <c r="HO207" s="1269"/>
      <c r="HP207" s="1079" t="str">
        <f>IF('School Profile'!$D$12="Hindi","मुख्य परीक्षा परिणाम - 2023","Main Exam Result - 2023")</f>
        <v>मुख्य परीक्षा परिणाम - 2023</v>
      </c>
      <c r="HQ207" s="1080"/>
      <c r="HR207" s="1080"/>
      <c r="HS207" s="1080"/>
      <c r="HT207" s="1080"/>
      <c r="HU207" s="1080"/>
      <c r="HV207" s="1080"/>
      <c r="HW207" s="1081"/>
      <c r="HX207" s="586"/>
      <c r="HY207" s="1193" t="str">
        <f>IF('School Profile'!$D$12="Hindi","पूरक परीक्षा के पश्चात् अंतिम परिणाम- 2023","Final Result after Supplementary Exam Result 2023")</f>
        <v>पूरक परीक्षा के पश्चात् अंतिम परिणाम- 2023</v>
      </c>
      <c r="HZ207" s="1194"/>
      <c r="IA207" s="1194"/>
      <c r="IB207" s="1194"/>
      <c r="IC207" s="1195"/>
      <c r="IS207" s="109" t="str">
        <f>IF('Supp. Result Entry'!T205="","",'Supp. Result Entry'!$T$4)</f>
        <v/>
      </c>
      <c r="IT207" s="110" t="str">
        <f>IF('Supp. Result Entry'!W205="","",'Supp. Result Entry'!$W$4)</f>
        <v/>
      </c>
      <c r="IU207" s="110" t="str">
        <f>IF('Supp. Result Entry'!Z205="","",'Supp. Result Entry'!$Z$4)</f>
        <v/>
      </c>
      <c r="IV207" s="110" t="str">
        <f>IF('Supp. Result Entry'!AC205="","",'Supp. Result Entry'!$AC$4)</f>
        <v/>
      </c>
      <c r="IW207" s="110" t="str">
        <f>IF('Supp. Result Entry'!AF205="","",'Supp. Result Entry'!$AF$4)</f>
        <v/>
      </c>
      <c r="IX207" s="110" t="str">
        <f>IF('Supp. Result Entry'!AI205="","",'Supp. Result Entry'!$AI$4)</f>
        <v/>
      </c>
      <c r="IY207" s="110" t="str">
        <f>IF('Supp. Result Entry'!AI205="","",'Supp. Result Entry'!$AL$4)</f>
        <v/>
      </c>
      <c r="IZ207" s="110" t="str">
        <f>IF('Supp. Result Entry'!U205="","",'Supp. Result Entry'!U205)</f>
        <v/>
      </c>
      <c r="JA207" s="110" t="str">
        <f>IF('Supp. Result Entry'!X205="","",'Supp. Result Entry'!X205)</f>
        <v/>
      </c>
      <c r="JB207" s="110" t="str">
        <f>IF('Supp. Result Entry'!AA205="","",'Supp. Result Entry'!AA205)</f>
        <v/>
      </c>
      <c r="JC207" s="110" t="str">
        <f>IF('Supp. Result Entry'!AD205="","",'Supp. Result Entry'!AD205)</f>
        <v/>
      </c>
      <c r="JD207" s="110" t="str">
        <f>IF('Supp. Result Entry'!AG205="","",'Supp. Result Entry'!AG205)</f>
        <v/>
      </c>
      <c r="JE207" s="110" t="str">
        <f>IF('Supp. Result Entry'!AJ205="","",'Supp. Result Entry'!AJ205)</f>
        <v/>
      </c>
      <c r="JF207" s="110" t="str">
        <f>IF('Supp. Result Entry'!AM205="","",'Supp. Result Entry'!AM205)</f>
        <v/>
      </c>
      <c r="JG207" s="110" t="str">
        <f>IF('Supp. Result Entry'!V205="","",'Supp. Result Entry'!V205)</f>
        <v/>
      </c>
      <c r="JH207" s="110" t="str">
        <f>IF('Supp. Result Entry'!Y205="","",'Supp. Result Entry'!Y205)</f>
        <v/>
      </c>
      <c r="JI207" s="110" t="str">
        <f>IF('Supp. Result Entry'!AB205="","",'Supp. Result Entry'!AB205)</f>
        <v/>
      </c>
      <c r="JJ207" s="110" t="str">
        <f>IF('Supp. Result Entry'!AE205="","",'Supp. Result Entry'!AE205)</f>
        <v/>
      </c>
      <c r="JK207" s="110" t="str">
        <f>IF('Supp. Result Entry'!AH205="","",'Supp. Result Entry'!AH205)</f>
        <v/>
      </c>
      <c r="JL207" s="110" t="str">
        <f>IF('Supp. Result Entry'!AK205="","",'Supp. Result Entry'!AK205)</f>
        <v/>
      </c>
      <c r="JM207" s="110" t="str">
        <f>IF('Supp. Result Entry'!AN205="","",'Supp. Result Entry'!AN205)</f>
        <v/>
      </c>
      <c r="JN207" s="110">
        <f>COUNTIF('Supp. Result Entry'!K205:Q205,"S")</f>
        <v>0</v>
      </c>
      <c r="JO207" s="110">
        <f t="shared" si="584"/>
        <v>0</v>
      </c>
      <c r="JP207" s="110">
        <f t="shared" si="661"/>
        <v>0</v>
      </c>
      <c r="JQ207" s="110" t="str">
        <f t="shared" si="585"/>
        <v/>
      </c>
      <c r="JR207" s="110" t="str">
        <f t="shared" si="586"/>
        <v/>
      </c>
      <c r="JS207" s="110" t="str">
        <f t="shared" si="587"/>
        <v/>
      </c>
      <c r="JT207" s="110" t="str">
        <f t="shared" si="588"/>
        <v/>
      </c>
      <c r="JU207" s="110" t="str">
        <f t="shared" si="589"/>
        <v/>
      </c>
      <c r="JV207" s="110" t="str">
        <f t="shared" si="590"/>
        <v/>
      </c>
      <c r="JW207" s="110" t="str">
        <f t="shared" si="591"/>
        <v/>
      </c>
      <c r="JX207" s="110" t="str">
        <f t="shared" si="662"/>
        <v/>
      </c>
      <c r="JY207" s="110" t="str">
        <f t="shared" si="663"/>
        <v/>
      </c>
      <c r="JZ207" s="110" t="str">
        <f t="shared" si="592"/>
        <v/>
      </c>
      <c r="KA207" s="108" t="str">
        <f t="shared" si="664"/>
        <v/>
      </c>
    </row>
    <row r="208" spans="1:287" s="117" customFormat="1" ht="24" customHeight="1">
      <c r="A208" s="1270" t="str">
        <f>IF('School Profile'!D12="Hindi","विषयवार सांख्यिकी सूचना","Subject-Wise Result Statistics")</f>
        <v>विषयवार सांख्यिकी सूचना</v>
      </c>
      <c r="B208" s="1271"/>
      <c r="C208" s="1271"/>
      <c r="D208" s="1271"/>
      <c r="E208" s="1271"/>
      <c r="F208" s="1272"/>
      <c r="G208" s="1218" t="str">
        <f>IF('School Profile'!$D$12="Hindi","विषय का नाम :","Subject Name :")</f>
        <v>विषय का नाम :</v>
      </c>
      <c r="H208" s="1218"/>
      <c r="I208" s="1203" t="s">
        <v>41</v>
      </c>
      <c r="J208" s="1203"/>
      <c r="K208" s="1212" t="str">
        <f>K3</f>
        <v>हिंदी</v>
      </c>
      <c r="L208" s="1212"/>
      <c r="M208" s="1212"/>
      <c r="N208" s="1212"/>
      <c r="O208" s="1212"/>
      <c r="P208" s="1212"/>
      <c r="Q208" s="1212"/>
      <c r="R208" s="1212"/>
      <c r="S208" s="1212"/>
      <c r="T208" s="1212"/>
      <c r="U208" s="1212"/>
      <c r="V208" s="1212"/>
      <c r="W208" s="1212"/>
      <c r="X208" s="1212"/>
      <c r="Y208" s="1212" t="str">
        <f>Y3</f>
        <v>अंग्रेजी</v>
      </c>
      <c r="Z208" s="1212"/>
      <c r="AA208" s="1212"/>
      <c r="AB208" s="1212"/>
      <c r="AC208" s="1212"/>
      <c r="AD208" s="1212"/>
      <c r="AE208" s="1212"/>
      <c r="AF208" s="1212"/>
      <c r="AG208" s="1212"/>
      <c r="AH208" s="1212"/>
      <c r="AI208" s="1212"/>
      <c r="AJ208" s="1212"/>
      <c r="AK208" s="1212"/>
      <c r="AL208" s="1212"/>
      <c r="AM208" s="1105" t="str">
        <f>AM3</f>
        <v>संस्कृत (71)</v>
      </c>
      <c r="AN208" s="1106"/>
      <c r="AO208" s="1106"/>
      <c r="AP208" s="1106"/>
      <c r="AQ208" s="1107"/>
      <c r="AR208" s="1105" t="str">
        <f>AN3</f>
        <v xml:space="preserve">उर्दू (72) </v>
      </c>
      <c r="AS208" s="1106"/>
      <c r="AT208" s="1106"/>
      <c r="AU208" s="1106"/>
      <c r="AV208" s="1106"/>
      <c r="AW208" s="1106"/>
      <c r="AX208" s="1106"/>
      <c r="AY208" s="1106"/>
      <c r="AZ208" s="1106"/>
      <c r="BA208" s="1106"/>
      <c r="BB208" s="1107"/>
      <c r="BC208" s="1118" t="str">
        <f>AQ3</f>
        <v>गुजराती (73)</v>
      </c>
      <c r="BD208" s="1118"/>
      <c r="BE208" s="1118"/>
      <c r="BF208" s="1118"/>
      <c r="BG208" s="1118"/>
      <c r="BH208" s="1118" t="str">
        <f>AS3</f>
        <v xml:space="preserve">सिंधी (74) </v>
      </c>
      <c r="BI208" s="1118"/>
      <c r="BJ208" s="1118"/>
      <c r="BK208" s="1118"/>
      <c r="BL208" s="1118"/>
      <c r="BM208" s="1118"/>
      <c r="BN208" s="1118"/>
      <c r="BO208" s="1118"/>
      <c r="BP208" s="1118"/>
      <c r="BQ208" s="1118"/>
      <c r="BR208" s="1118"/>
      <c r="BS208" s="1118" t="str">
        <f>AV3</f>
        <v>पंजाबी (75)</v>
      </c>
      <c r="BT208" s="1118"/>
      <c r="BU208" s="1118"/>
      <c r="BV208" s="1118"/>
      <c r="BW208" s="1118"/>
      <c r="BX208" s="112"/>
      <c r="BY208" s="113"/>
      <c r="BZ208" s="376"/>
      <c r="CA208" s="377"/>
      <c r="CB208" s="377"/>
      <c r="CC208" s="378"/>
      <c r="CD208" s="373"/>
      <c r="CE208" s="1118" t="str">
        <f>BB3</f>
        <v>गणित</v>
      </c>
      <c r="CF208" s="1118"/>
      <c r="CG208" s="1118"/>
      <c r="CH208" s="1118"/>
      <c r="CI208" s="1118"/>
      <c r="CJ208" s="1118" t="str">
        <f>BP3</f>
        <v>विज्ञान</v>
      </c>
      <c r="CK208" s="1118"/>
      <c r="CL208" s="1118"/>
      <c r="CM208" s="1118"/>
      <c r="CN208" s="1118"/>
      <c r="CO208" s="1118"/>
      <c r="CP208" s="1118"/>
      <c r="CQ208" s="1118"/>
      <c r="CR208" s="1118"/>
      <c r="CS208" s="1118"/>
      <c r="CT208" s="1118"/>
      <c r="CU208" s="1118" t="str">
        <f>CE3</f>
        <v>सामाजिक विज्ञान</v>
      </c>
      <c r="CV208" s="1118"/>
      <c r="CW208" s="1118"/>
      <c r="CX208" s="1118"/>
      <c r="CY208" s="1118"/>
      <c r="CZ208" s="1105" t="str">
        <f>IF('School Profile'!$D$20="NO","",CS3)</f>
        <v>व्यावसायिक शिक्षा विषय</v>
      </c>
      <c r="DA208" s="1106"/>
      <c r="DB208" s="1106"/>
      <c r="DC208" s="1106"/>
      <c r="DD208" s="1106"/>
      <c r="DE208" s="1107"/>
      <c r="DF208" s="377"/>
      <c r="DG208" s="378"/>
      <c r="DH208" s="114"/>
      <c r="DI208" s="114"/>
      <c r="DJ208" s="114"/>
      <c r="DK208" s="114"/>
      <c r="DL208" s="115"/>
      <c r="DM208" s="115"/>
      <c r="DN208" s="115"/>
      <c r="DO208" s="115"/>
      <c r="DP208" s="115"/>
      <c r="DQ208" s="115"/>
      <c r="DR208" s="115"/>
      <c r="DS208" s="115"/>
      <c r="DT208" s="115"/>
      <c r="DU208" s="115"/>
      <c r="DV208" s="115"/>
      <c r="DW208" s="115"/>
      <c r="DX208" s="115"/>
      <c r="DY208" s="115"/>
      <c r="DZ208" s="1148" t="str">
        <f>DZ3</f>
        <v>राजस्थान का स्वंत्रता आन्दोलन व शोर्य परम्परा</v>
      </c>
      <c r="EA208" s="1149"/>
      <c r="EB208" s="1149"/>
      <c r="EC208" s="1149"/>
      <c r="ED208" s="1149"/>
      <c r="EE208" s="1149"/>
      <c r="EF208" s="1150"/>
      <c r="EG208" s="1151"/>
      <c r="EH208" s="1152"/>
      <c r="EI208" s="364"/>
      <c r="EJ208" s="364"/>
      <c r="EK208" s="364"/>
      <c r="EL208" s="1072" t="str">
        <f>EL3</f>
        <v>सूचना प्रोद्योगिकी की अवधारणा - I</v>
      </c>
      <c r="EM208" s="1072"/>
      <c r="EN208" s="1072"/>
      <c r="EO208" s="1072"/>
      <c r="EP208" s="1072"/>
      <c r="EQ208" s="1072"/>
      <c r="ER208" s="1072"/>
      <c r="ES208" s="1158"/>
      <c r="ET208" s="1093"/>
      <c r="EU208" s="1093"/>
      <c r="EV208" s="1093"/>
      <c r="EW208" s="1093"/>
      <c r="EX208" s="1093"/>
      <c r="EY208" s="364"/>
      <c r="EZ208" s="364"/>
      <c r="FA208" s="364"/>
      <c r="FB208" s="1072" t="str">
        <f>FB3</f>
        <v>स्वा. एवं शा. शिक्षा</v>
      </c>
      <c r="FC208" s="1072"/>
      <c r="FD208" s="1072"/>
      <c r="FE208" s="1072"/>
      <c r="FF208" s="1072"/>
      <c r="FG208" s="1072"/>
      <c r="FH208" s="1072"/>
      <c r="FI208" s="567"/>
      <c r="FJ208" s="1072" t="str">
        <f>FU3</f>
        <v>समाजोपयोगी उत्पादन कार्य एवं समाज सेवा</v>
      </c>
      <c r="FK208" s="1072"/>
      <c r="FL208" s="1072"/>
      <c r="FM208" s="1072"/>
      <c r="FN208" s="1072"/>
      <c r="FO208" s="1072"/>
      <c r="FP208" s="1072"/>
      <c r="FQ208" s="568"/>
      <c r="FR208" s="364"/>
      <c r="FS208" s="364"/>
      <c r="FT208" s="364"/>
      <c r="FU208" s="1072" t="str">
        <f>GC3</f>
        <v>कला शिक्षा</v>
      </c>
      <c r="FV208" s="1072"/>
      <c r="FW208" s="1072"/>
      <c r="FX208" s="1072"/>
      <c r="FY208" s="1072"/>
      <c r="FZ208" s="1072"/>
      <c r="GA208" s="1072"/>
      <c r="GB208" s="1072"/>
      <c r="GC208" s="1072"/>
      <c r="GD208" s="1072"/>
      <c r="GE208" s="1093"/>
      <c r="GF208" s="1093"/>
      <c r="GG208" s="1093"/>
      <c r="GH208" s="364"/>
      <c r="GI208" s="364"/>
      <c r="GJ208" s="364"/>
      <c r="GK208" s="116"/>
      <c r="GL208" s="116"/>
      <c r="GM208" s="116"/>
      <c r="GN208" s="116"/>
      <c r="GO208" s="116"/>
      <c r="GP208" s="116"/>
      <c r="GQ208" s="116"/>
      <c r="GR208" s="116"/>
      <c r="GS208" s="116"/>
      <c r="GT208" s="116"/>
      <c r="GU208" s="116"/>
      <c r="GV208" s="116"/>
      <c r="GW208" s="116"/>
      <c r="GX208" s="116"/>
      <c r="GY208" s="116"/>
      <c r="GZ208" s="116"/>
      <c r="HA208" s="116"/>
      <c r="HB208" s="116"/>
      <c r="HC208" s="116"/>
      <c r="HD208" s="116"/>
      <c r="HE208" s="116"/>
      <c r="HF208" s="116"/>
      <c r="HG208" s="116"/>
      <c r="HH208" s="116"/>
      <c r="HI208" s="116"/>
      <c r="HJ208" s="116"/>
      <c r="HK208" s="116"/>
      <c r="HL208" s="116"/>
      <c r="HM208" s="116"/>
      <c r="HN208" s="116"/>
      <c r="HO208" s="116"/>
      <c r="HP208" s="1233" t="str">
        <f>IF('School Profile'!$D$12="Hindi","परिणाम घोषित दिनांक","Date of result declaration")</f>
        <v>परिणाम घोषित दिनांक</v>
      </c>
      <c r="HQ208" s="1234"/>
      <c r="HR208" s="585">
        <f>IF('School Profile'!D11="","",'School Profile'!D11)</f>
        <v>46106</v>
      </c>
      <c r="HS208" s="1190" t="str">
        <f>IF('School Profile'!$D$12="Hindi","कुल प्रविष्ट","Total appeared")</f>
        <v>कुल प्रविष्ट</v>
      </c>
      <c r="HT208" s="1190"/>
      <c r="HU208" s="1190"/>
      <c r="HV208" s="1089">
        <f>COUNTA(HS7:HS206)-COUNTIF(HS7:HS206,"0")-COUNTIF(HS7:HS206,"blank")-COUNTIF(HS7:HS206,"")-COUNTIF(HS7:HS206,"NSO")</f>
        <v>31</v>
      </c>
      <c r="HW208" s="1090"/>
      <c r="HX208" s="1082"/>
      <c r="HY208" s="1085" t="str">
        <f>IF('School Profile'!$D$12="Hindi","कुल प्रविष्ट","Total appeared")</f>
        <v>कुल प्रविष्ट</v>
      </c>
      <c r="HZ208" s="1086"/>
      <c r="IA208" s="1086"/>
      <c r="IB208" s="583">
        <f>COUNTA(IB7:IB206)-COUNTIF(IB7:IB206,"0")-COUNTIF(IB7:IB206,"blank")-COUNTIF(IB7:IB206,"")-COUNTIF(IB7:IB206,"NSO")</f>
        <v>1</v>
      </c>
      <c r="IC208" s="598" t="s">
        <v>141</v>
      </c>
      <c r="ID208" s="582"/>
      <c r="IS208" s="109" t="str">
        <f>IF('Supp. Result Entry'!T206="","",'Supp. Result Entry'!$T$4)</f>
        <v/>
      </c>
      <c r="IT208" s="110" t="str">
        <f>IF('Supp. Result Entry'!W206="","",'Supp. Result Entry'!$W$4)</f>
        <v/>
      </c>
      <c r="IU208" s="110" t="str">
        <f>IF('Supp. Result Entry'!Z206="","",'Supp. Result Entry'!$Z$4)</f>
        <v/>
      </c>
      <c r="IV208" s="110" t="str">
        <f>IF('Supp. Result Entry'!AC206="","",'Supp. Result Entry'!$AC$4)</f>
        <v/>
      </c>
      <c r="IW208" s="110" t="str">
        <f>IF('Supp. Result Entry'!AF206="","",'Supp. Result Entry'!$AF$4)</f>
        <v/>
      </c>
      <c r="IX208" s="110" t="str">
        <f>IF('Supp. Result Entry'!AI206="","",'Supp. Result Entry'!$AI$4)</f>
        <v/>
      </c>
      <c r="IY208" s="110" t="str">
        <f>IF('Supp. Result Entry'!AI206="","",'Supp. Result Entry'!$AL$4)</f>
        <v/>
      </c>
      <c r="IZ208" s="110" t="str">
        <f>IF('Supp. Result Entry'!U206="","",'Supp. Result Entry'!U206)</f>
        <v/>
      </c>
      <c r="JA208" s="110" t="str">
        <f>IF('Supp. Result Entry'!X206="","",'Supp. Result Entry'!X206)</f>
        <v/>
      </c>
      <c r="JB208" s="110" t="str">
        <f>IF('Supp. Result Entry'!AA206="","",'Supp. Result Entry'!AA206)</f>
        <v/>
      </c>
      <c r="JC208" s="110" t="str">
        <f>IF('Supp. Result Entry'!AD206="","",'Supp. Result Entry'!AD206)</f>
        <v/>
      </c>
      <c r="JD208" s="110" t="str">
        <f>IF('Supp. Result Entry'!AG206="","",'Supp. Result Entry'!AG206)</f>
        <v/>
      </c>
      <c r="JE208" s="110" t="str">
        <f>IF('Supp. Result Entry'!AJ206="","",'Supp. Result Entry'!AJ206)</f>
        <v/>
      </c>
      <c r="JF208" s="110" t="str">
        <f>IF('Supp. Result Entry'!AM206="","",'Supp. Result Entry'!AM206)</f>
        <v/>
      </c>
      <c r="JG208" s="110" t="str">
        <f>IF('Supp. Result Entry'!V206="","",'Supp. Result Entry'!V206)</f>
        <v/>
      </c>
      <c r="JH208" s="110" t="str">
        <f>IF('Supp. Result Entry'!Y206="","",'Supp. Result Entry'!Y206)</f>
        <v/>
      </c>
      <c r="JI208" s="110" t="str">
        <f>IF('Supp. Result Entry'!AB206="","",'Supp. Result Entry'!AB206)</f>
        <v/>
      </c>
      <c r="JJ208" s="110" t="str">
        <f>IF('Supp. Result Entry'!AE206="","",'Supp. Result Entry'!AE206)</f>
        <v/>
      </c>
      <c r="JK208" s="110" t="str">
        <f>IF('Supp. Result Entry'!AH206="","",'Supp. Result Entry'!AH206)</f>
        <v/>
      </c>
      <c r="JL208" s="110" t="str">
        <f>IF('Supp. Result Entry'!AK206="","",'Supp. Result Entry'!AK206)</f>
        <v/>
      </c>
      <c r="JM208" s="110" t="str">
        <f>IF('Supp. Result Entry'!AN206="","",'Supp. Result Entry'!AN206)</f>
        <v/>
      </c>
      <c r="JN208" s="110">
        <f>COUNTIF('Supp. Result Entry'!K206:Q206,"S")</f>
        <v>0</v>
      </c>
      <c r="JO208" s="110">
        <f t="shared" si="584"/>
        <v>0</v>
      </c>
      <c r="JP208" s="110">
        <f t="shared" si="661"/>
        <v>0</v>
      </c>
      <c r="JQ208" s="110" t="str">
        <f t="shared" si="585"/>
        <v/>
      </c>
      <c r="JR208" s="110" t="str">
        <f t="shared" si="586"/>
        <v/>
      </c>
      <c r="JS208" s="110" t="str">
        <f t="shared" si="587"/>
        <v/>
      </c>
      <c r="JT208" s="110" t="str">
        <f t="shared" si="588"/>
        <v/>
      </c>
      <c r="JU208" s="110" t="str">
        <f t="shared" si="589"/>
        <v/>
      </c>
      <c r="JV208" s="110" t="str">
        <f t="shared" si="590"/>
        <v/>
      </c>
      <c r="JW208" s="110" t="str">
        <f t="shared" si="591"/>
        <v/>
      </c>
      <c r="JX208" s="110" t="str">
        <f t="shared" si="662"/>
        <v/>
      </c>
      <c r="JY208" s="110" t="str">
        <f t="shared" si="663"/>
        <v/>
      </c>
      <c r="JZ208" s="110" t="str">
        <f t="shared" si="592"/>
        <v/>
      </c>
      <c r="KA208" s="108" t="str">
        <f t="shared" si="664"/>
        <v/>
      </c>
    </row>
    <row r="209" spans="1:287" s="122" customFormat="1" ht="24.75" customHeight="1">
      <c r="A209" s="1273"/>
      <c r="B209" s="1274"/>
      <c r="C209" s="1274"/>
      <c r="D209" s="1274"/>
      <c r="E209" s="1274"/>
      <c r="F209" s="1275"/>
      <c r="G209" s="1218" t="str">
        <f>IF('School Profile'!$D$12="Hindi","विषयाध्यापक का नाम :","Name Of Subject Teacher :")</f>
        <v>विषयाध्यापक का नाम :</v>
      </c>
      <c r="H209" s="1218"/>
      <c r="I209" s="1203" t="s">
        <v>41</v>
      </c>
      <c r="J209" s="1203"/>
      <c r="K209" s="1212" t="str">
        <f>IFERROR(IF('Marks Entry'!L3="","",UPPER('Marks Entry'!L3)),"")</f>
        <v>RADHESHYAM</v>
      </c>
      <c r="L209" s="1212"/>
      <c r="M209" s="1212"/>
      <c r="N209" s="1212"/>
      <c r="O209" s="1212"/>
      <c r="P209" s="1212"/>
      <c r="Q209" s="1212"/>
      <c r="R209" s="1212"/>
      <c r="S209" s="1212"/>
      <c r="T209" s="1212"/>
      <c r="U209" s="1212"/>
      <c r="V209" s="1212"/>
      <c r="W209" s="1212"/>
      <c r="X209" s="1212"/>
      <c r="Y209" s="1212" t="str">
        <f>IFERROR(IF('Marks Entry'!Q3="","",UPPER('Marks Entry'!Q3)),"")</f>
        <v>HEERALAL JAT</v>
      </c>
      <c r="Z209" s="1212"/>
      <c r="AA209" s="1212"/>
      <c r="AB209" s="1212"/>
      <c r="AC209" s="1212"/>
      <c r="AD209" s="1212"/>
      <c r="AE209" s="1212"/>
      <c r="AF209" s="1212"/>
      <c r="AG209" s="1212"/>
      <c r="AH209" s="1212"/>
      <c r="AI209" s="1212"/>
      <c r="AJ209" s="1212"/>
      <c r="AK209" s="1212"/>
      <c r="AL209" s="1212"/>
      <c r="AM209" s="1108" t="str">
        <f>IFERROR(IF(AM208="","",VLOOKUP(AM208,'School Profile'!$I$9:$J$14,2,0)),"")</f>
        <v>Suresh kumar Singariya</v>
      </c>
      <c r="AN209" s="1109"/>
      <c r="AO209" s="1109"/>
      <c r="AP209" s="1109"/>
      <c r="AQ209" s="1110"/>
      <c r="AR209" s="1108">
        <f>IFERROR(IF(AR208="","",VLOOKUP(AR208,'School Profile'!$I$9:$J$14,2,0)),"")</f>
        <v>0</v>
      </c>
      <c r="AS209" s="1109"/>
      <c r="AT209" s="1109"/>
      <c r="AU209" s="1109"/>
      <c r="AV209" s="1109"/>
      <c r="AW209" s="1109"/>
      <c r="AX209" s="1109"/>
      <c r="AY209" s="1109"/>
      <c r="AZ209" s="1109"/>
      <c r="BA209" s="1109"/>
      <c r="BB209" s="1110"/>
      <c r="BC209" s="1119">
        <f>IFERROR(IF(BC208="","",VLOOKUP(BC208,'School Profile'!$I$9:$J$14,2,0)),"")</f>
        <v>0</v>
      </c>
      <c r="BD209" s="1119"/>
      <c r="BE209" s="1119"/>
      <c r="BF209" s="1119"/>
      <c r="BG209" s="1119"/>
      <c r="BH209" s="1119">
        <f>IFERROR(IF(BH208="","",VLOOKUP(BH208,'School Profile'!$I$9:$J$14,2,0)),"")</f>
        <v>0</v>
      </c>
      <c r="BI209" s="1119"/>
      <c r="BJ209" s="1119"/>
      <c r="BK209" s="1119"/>
      <c r="BL209" s="1119"/>
      <c r="BM209" s="1119"/>
      <c r="BN209" s="1119"/>
      <c r="BO209" s="1119"/>
      <c r="BP209" s="1119"/>
      <c r="BQ209" s="1119"/>
      <c r="BR209" s="1119"/>
      <c r="BS209" s="1118">
        <f>IFERROR(IF(BS208="","",VLOOKUP(BS208,'School Profile'!$I$9:$J$14,2,0)),"")</f>
        <v>0</v>
      </c>
      <c r="BT209" s="1118"/>
      <c r="BU209" s="1118"/>
      <c r="BV209" s="1118"/>
      <c r="BW209" s="1118"/>
      <c r="BX209" s="118"/>
      <c r="BY209" s="119"/>
      <c r="BZ209" s="375"/>
      <c r="CA209" s="375"/>
      <c r="CB209" s="375"/>
      <c r="CC209" s="120"/>
      <c r="CD209" s="375"/>
      <c r="CE209" s="1119" t="str">
        <f>IFERROR(IF(CE208="","",IF('School Profile'!J15="","",'School Profile'!J15)),"")</f>
        <v>Yogendra</v>
      </c>
      <c r="CF209" s="1119"/>
      <c r="CG209" s="1119"/>
      <c r="CH209" s="1119"/>
      <c r="CI209" s="1119"/>
      <c r="CJ209" s="1119" t="str">
        <f>IFERROR(IF(CJ208="","",IF('School Profile'!J16="","",'School Profile'!J16)),"")</f>
        <v>Rakesh kumar Sharma</v>
      </c>
      <c r="CK209" s="1119"/>
      <c r="CL209" s="1119"/>
      <c r="CM209" s="1119"/>
      <c r="CN209" s="1119"/>
      <c r="CO209" s="1119"/>
      <c r="CP209" s="1119"/>
      <c r="CQ209" s="1119"/>
      <c r="CR209" s="1119"/>
      <c r="CS209" s="1119"/>
      <c r="CT209" s="1119"/>
      <c r="CU209" s="1119" t="str">
        <f>IFERROR(IF(CU208="","",IF('School Profile'!J17="","",'School Profile'!J17)),"")</f>
        <v>Sharad Sharma</v>
      </c>
      <c r="CV209" s="1119"/>
      <c r="CW209" s="1119"/>
      <c r="CX209" s="1119"/>
      <c r="CY209" s="1119"/>
      <c r="CZ209" s="1108" t="str">
        <f>IFERROR(IF('School Profile'!$D$20="NO","",IF(CZ208="","",IF('Marks Entry'!AQ2="","",'Marks Entry'!AQ2))),"")</f>
        <v>Pravin kumar</v>
      </c>
      <c r="DA209" s="1109"/>
      <c r="DB209" s="1109"/>
      <c r="DC209" s="1109"/>
      <c r="DD209" s="1109"/>
      <c r="DE209" s="1110"/>
      <c r="DF209" s="379"/>
      <c r="DG209" s="380"/>
      <c r="DH209" s="115"/>
      <c r="DI209" s="115"/>
      <c r="DJ209" s="115"/>
      <c r="DK209" s="115"/>
      <c r="DL209" s="115"/>
      <c r="DM209" s="115"/>
      <c r="DN209" s="115"/>
      <c r="DO209" s="115"/>
      <c r="DP209" s="115"/>
      <c r="DQ209" s="115"/>
      <c r="DR209" s="115"/>
      <c r="DS209" s="115"/>
      <c r="DT209" s="115"/>
      <c r="DU209" s="115"/>
      <c r="DV209" s="115"/>
      <c r="DW209" s="115"/>
      <c r="DX209" s="115"/>
      <c r="DY209" s="115"/>
      <c r="DZ209" s="1068" t="str">
        <f>IFERROR(IF('School Profile'!J18="","",'School Profile'!J18),"")</f>
        <v>Lalit Kumar</v>
      </c>
      <c r="EA209" s="1069"/>
      <c r="EB209" s="1069"/>
      <c r="EC209" s="1069"/>
      <c r="ED209" s="1069"/>
      <c r="EE209" s="1069"/>
      <c r="EF209" s="1070"/>
      <c r="EG209" s="1153"/>
      <c r="EH209" s="1154"/>
      <c r="EI209" s="365"/>
      <c r="EJ209" s="365"/>
      <c r="EK209" s="365"/>
      <c r="EL209" s="1073" t="str">
        <f>IFERROR(IF('School Profile'!J19="","",'School Profile'!J19),"")</f>
        <v>Ghanshyam Singh</v>
      </c>
      <c r="EM209" s="1073"/>
      <c r="EN209" s="1073"/>
      <c r="EO209" s="1073"/>
      <c r="EP209" s="1073"/>
      <c r="EQ209" s="1073"/>
      <c r="ER209" s="1073"/>
      <c r="ES209" s="1159"/>
      <c r="ET209" s="1094"/>
      <c r="EU209" s="1094"/>
      <c r="EV209" s="1094"/>
      <c r="EW209" s="1094"/>
      <c r="EX209" s="1094"/>
      <c r="EY209" s="365"/>
      <c r="EZ209" s="365"/>
      <c r="FA209" s="365"/>
      <c r="FB209" s="1073" t="str">
        <f>IFERROR(IF('School Profile'!J20="","",'School Profile'!J20),"")</f>
        <v>Lalit Kumar</v>
      </c>
      <c r="FC209" s="1073"/>
      <c r="FD209" s="1073"/>
      <c r="FE209" s="1073"/>
      <c r="FF209" s="1073"/>
      <c r="FG209" s="1073"/>
      <c r="FH209" s="1073"/>
      <c r="FI209" s="569"/>
      <c r="FJ209" s="1073" t="str">
        <f>IFERROR(IF('School Profile'!J21="","",'School Profile'!J21),"")</f>
        <v>Mukesh Kumar</v>
      </c>
      <c r="FK209" s="1073"/>
      <c r="FL209" s="1073"/>
      <c r="FM209" s="1073"/>
      <c r="FN209" s="1073"/>
      <c r="FO209" s="1073"/>
      <c r="FP209" s="1073"/>
      <c r="FQ209" s="570"/>
      <c r="FR209" s="365"/>
      <c r="FS209" s="365"/>
      <c r="FT209" s="365"/>
      <c r="FU209" s="1073" t="str">
        <f>IFERROR(IF('School Profile'!J22="","",'School Profile'!J22),"")</f>
        <v>Sharda Choudhary</v>
      </c>
      <c r="FV209" s="1073"/>
      <c r="FW209" s="1073"/>
      <c r="FX209" s="1073"/>
      <c r="FY209" s="1073"/>
      <c r="FZ209" s="1073"/>
      <c r="GA209" s="1073"/>
      <c r="GB209" s="1073"/>
      <c r="GC209" s="1073"/>
      <c r="GD209" s="1073"/>
      <c r="GE209" s="1094"/>
      <c r="GF209" s="1094"/>
      <c r="GG209" s="1094"/>
      <c r="GH209" s="365"/>
      <c r="GI209" s="365"/>
      <c r="GJ209" s="365"/>
      <c r="GK209" s="121"/>
      <c r="GL209" s="121"/>
      <c r="GM209" s="121"/>
      <c r="GN209" s="121"/>
      <c r="GO209" s="121"/>
      <c r="GP209" s="121"/>
      <c r="GQ209" s="121"/>
      <c r="GR209" s="121"/>
      <c r="GS209" s="121"/>
      <c r="GT209" s="121"/>
      <c r="GU209" s="121"/>
      <c r="GV209" s="121"/>
      <c r="GW209" s="121"/>
      <c r="GX209" s="121"/>
      <c r="GY209" s="121"/>
      <c r="GZ209" s="121"/>
      <c r="HA209" s="121"/>
      <c r="HB209" s="121"/>
      <c r="HC209" s="121"/>
      <c r="HD209" s="121"/>
      <c r="HE209" s="121"/>
      <c r="HF209" s="121"/>
      <c r="HG209" s="121"/>
      <c r="HH209" s="121"/>
      <c r="HI209" s="121"/>
      <c r="HJ209" s="121"/>
      <c r="HK209" s="121"/>
      <c r="HL209" s="121"/>
      <c r="HM209" s="121"/>
      <c r="HN209" s="121"/>
      <c r="HO209" s="121"/>
      <c r="HP209" s="1181" t="str">
        <f>IF('School Profile'!$D$12="Hindi","परिणाम तैयारकर्ता","Signature of the maker")</f>
        <v>परिणाम तैयारकर्ता</v>
      </c>
      <c r="HQ209" s="1182"/>
      <c r="HR209" s="1071" t="str">
        <f>CONCATENATE("( ",UPPER('School Profile'!D17)," )")</f>
        <v>( SURESH KUMAR )</v>
      </c>
      <c r="HS209" s="1088" t="str">
        <f>IF('School Profile'!$D$12="Hindi","प्रथम श्रेणी","1st Div.")</f>
        <v>प्रथम श्रेणी</v>
      </c>
      <c r="HT209" s="1088"/>
      <c r="HU209" s="1088"/>
      <c r="HV209" s="1291">
        <f>COUNTIF(HV7:HV206,"1st")</f>
        <v>23</v>
      </c>
      <c r="HW209" s="1292"/>
      <c r="HX209" s="1083"/>
      <c r="HY209" s="1087" t="str">
        <f>IF('School Profile'!$D$12="Hindi","प्रथम श्रेणी","1st Div.")</f>
        <v>प्रथम श्रेणी</v>
      </c>
      <c r="HZ209" s="1088"/>
      <c r="IA209" s="1088"/>
      <c r="IB209" s="550">
        <f>COUNTIF(IA7:IA206,"I")</f>
        <v>1</v>
      </c>
      <c r="IC209" s="601">
        <f>SUM(HV209,IB209)</f>
        <v>24</v>
      </c>
      <c r="IS209" s="109" t="str">
        <f>IF('Supp. Result Entry'!T207="","",'Supp. Result Entry'!$T$4)</f>
        <v/>
      </c>
      <c r="IT209" s="110" t="str">
        <f>IF('Supp. Result Entry'!W207="","",'Supp. Result Entry'!$W$4)</f>
        <v/>
      </c>
      <c r="IU209" s="110" t="str">
        <f>IF('Supp. Result Entry'!Z207="","",'Supp. Result Entry'!$Z$4)</f>
        <v/>
      </c>
      <c r="IV209" s="110" t="str">
        <f>IF('Supp. Result Entry'!AC207="","",'Supp. Result Entry'!$AC$4)</f>
        <v/>
      </c>
      <c r="IW209" s="110" t="str">
        <f>IF('Supp. Result Entry'!AF207="","",'Supp. Result Entry'!$AF$4)</f>
        <v/>
      </c>
      <c r="IX209" s="110" t="str">
        <f>IF('Supp. Result Entry'!AI207="","",'Supp. Result Entry'!$AI$4)</f>
        <v/>
      </c>
      <c r="IY209" s="110" t="str">
        <f>IF('Supp. Result Entry'!AI207="","",'Supp. Result Entry'!$AL$4)</f>
        <v/>
      </c>
      <c r="IZ209" s="110" t="str">
        <f>IF('Supp. Result Entry'!U207="","",'Supp. Result Entry'!U207)</f>
        <v/>
      </c>
      <c r="JA209" s="110" t="str">
        <f>IF('Supp. Result Entry'!X207="","",'Supp. Result Entry'!X207)</f>
        <v/>
      </c>
      <c r="JB209" s="110" t="str">
        <f>IF('Supp. Result Entry'!AA207="","",'Supp. Result Entry'!AA207)</f>
        <v/>
      </c>
      <c r="JC209" s="110" t="str">
        <f>IF('Supp. Result Entry'!AD207="","",'Supp. Result Entry'!AD207)</f>
        <v/>
      </c>
      <c r="JD209" s="110" t="str">
        <f>IF('Supp. Result Entry'!AG207="","",'Supp. Result Entry'!AG207)</f>
        <v/>
      </c>
      <c r="JE209" s="110" t="str">
        <f>IF('Supp. Result Entry'!AJ207="","",'Supp. Result Entry'!AJ207)</f>
        <v/>
      </c>
      <c r="JF209" s="110" t="str">
        <f>IF('Supp. Result Entry'!AM207="","",'Supp. Result Entry'!AM207)</f>
        <v/>
      </c>
      <c r="JG209" s="110" t="str">
        <f>IF('Supp. Result Entry'!V207="","",'Supp. Result Entry'!V207)</f>
        <v/>
      </c>
      <c r="JH209" s="110" t="str">
        <f>IF('Supp. Result Entry'!Y207="","",'Supp. Result Entry'!Y207)</f>
        <v/>
      </c>
      <c r="JI209" s="110" t="str">
        <f>IF('Supp. Result Entry'!AB207="","",'Supp. Result Entry'!AB207)</f>
        <v/>
      </c>
      <c r="JJ209" s="110" t="str">
        <f>IF('Supp. Result Entry'!AE207="","",'Supp. Result Entry'!AE207)</f>
        <v/>
      </c>
      <c r="JK209" s="110" t="str">
        <f>IF('Supp. Result Entry'!AH207="","",'Supp. Result Entry'!AH207)</f>
        <v/>
      </c>
      <c r="JL209" s="110" t="str">
        <f>IF('Supp. Result Entry'!AK207="","",'Supp. Result Entry'!AK207)</f>
        <v/>
      </c>
      <c r="JM209" s="110" t="str">
        <f>IF('Supp. Result Entry'!AN207="","",'Supp. Result Entry'!AN207)</f>
        <v/>
      </c>
      <c r="JN209" s="110">
        <f>COUNTIF('Supp. Result Entry'!K207:Q207,"S")</f>
        <v>0</v>
      </c>
      <c r="JO209" s="110">
        <f t="shared" si="584"/>
        <v>0</v>
      </c>
      <c r="JP209" s="110">
        <f t="shared" si="661"/>
        <v>0</v>
      </c>
      <c r="JQ209" s="110" t="str">
        <f t="shared" si="585"/>
        <v/>
      </c>
      <c r="JR209" s="110" t="str">
        <f t="shared" si="586"/>
        <v/>
      </c>
      <c r="JS209" s="110" t="str">
        <f t="shared" si="587"/>
        <v/>
      </c>
      <c r="JT209" s="110" t="str">
        <f t="shared" si="588"/>
        <v/>
      </c>
      <c r="JU209" s="110" t="str">
        <f t="shared" si="589"/>
        <v/>
      </c>
      <c r="JV209" s="110" t="str">
        <f t="shared" si="590"/>
        <v/>
      </c>
      <c r="JW209" s="110" t="str">
        <f t="shared" si="591"/>
        <v/>
      </c>
      <c r="JX209" s="110" t="str">
        <f t="shared" si="662"/>
        <v/>
      </c>
      <c r="JY209" s="110" t="str">
        <f t="shared" si="663"/>
        <v/>
      </c>
      <c r="JZ209" s="110" t="str">
        <f t="shared" si="592"/>
        <v/>
      </c>
      <c r="KA209" s="108" t="str">
        <f t="shared" si="664"/>
        <v/>
      </c>
    </row>
    <row r="210" spans="1:287" s="127" customFormat="1" ht="22.5" customHeight="1">
      <c r="A210" s="1273"/>
      <c r="B210" s="1274"/>
      <c r="C210" s="1274"/>
      <c r="D210" s="1274"/>
      <c r="E210" s="1274"/>
      <c r="F210" s="1275"/>
      <c r="G210" s="1218" t="str">
        <f>IF('School Profile'!$D$12="Hindi","परीक्षा में बैठने वाले विद्यार्थियों की संख्या :","No. of students appeared :")</f>
        <v>परीक्षा में बैठने वाले विद्यार्थियों की संख्या :</v>
      </c>
      <c r="H210" s="1218"/>
      <c r="I210" s="1203" t="s">
        <v>41</v>
      </c>
      <c r="J210" s="1203"/>
      <c r="K210" s="1220">
        <f>IF(AND(K208="",K209=""),"",COUNTA(GN7:GN206)-COUNTIF(GN7:GN206,"RE")-COUNTIF(GN7:GN206,"AB")-COUNTIF(GN7:GN206,""))</f>
        <v>30</v>
      </c>
      <c r="L210" s="1220"/>
      <c r="M210" s="1220"/>
      <c r="N210" s="1220"/>
      <c r="O210" s="1220"/>
      <c r="P210" s="1220"/>
      <c r="Q210" s="1220"/>
      <c r="R210" s="1120"/>
      <c r="S210" s="1120"/>
      <c r="T210" s="1120"/>
      <c r="U210" s="1120"/>
      <c r="V210" s="1120"/>
      <c r="W210" s="1120"/>
      <c r="X210" s="1120"/>
      <c r="Y210" s="1120">
        <f>IF(AND(Y208="",Y209=""),"",COUNTA(GQ7:GQ206)-COUNTIF(GQ7:GQ206,"RE")-COUNTIF(GQ7:GQ206,"AB")-COUNTIF(GQ7:GQ206,""))</f>
        <v>31</v>
      </c>
      <c r="Z210" s="1120"/>
      <c r="AA210" s="1120"/>
      <c r="AB210" s="1120"/>
      <c r="AC210" s="1120"/>
      <c r="AD210" s="1120"/>
      <c r="AE210" s="1120"/>
      <c r="AF210" s="1120"/>
      <c r="AG210" s="1120"/>
      <c r="AH210" s="1120"/>
      <c r="AI210" s="1120"/>
      <c r="AJ210" s="1120"/>
      <c r="AK210" s="1120"/>
      <c r="AL210" s="1120"/>
      <c r="AM210" s="1111">
        <f>IF(AND(AM208="",AM209=""),"",COUNTA(GU7:GU206)-COUNTIF(GU7:GU206,"RE")-COUNTIF(GU7:GU206,"AB")-COUNTIF(GU7:GU206,""))</f>
        <v>11</v>
      </c>
      <c r="AN210" s="1112"/>
      <c r="AO210" s="1112"/>
      <c r="AP210" s="1112"/>
      <c r="AQ210" s="1113"/>
      <c r="AR210" s="1111">
        <f>IF(AND(AR208="",AR209=""),"",COUNTA(GV7:GV206)-COUNTIF(GV7:GV206,"RE")-COUNTIF(GV7:GV206,"AB")-COUNTIF(GV7:GV206,""))</f>
        <v>9</v>
      </c>
      <c r="AS210" s="1112"/>
      <c r="AT210" s="1112"/>
      <c r="AU210" s="1112"/>
      <c r="AV210" s="1112"/>
      <c r="AW210" s="1112"/>
      <c r="AX210" s="1112"/>
      <c r="AY210" s="1112"/>
      <c r="AZ210" s="1112"/>
      <c r="BA210" s="1112"/>
      <c r="BB210" s="1113"/>
      <c r="BC210" s="1120">
        <f>IF(AND(BC208="",BC209=""),"",COUNTA(GW7:GW206)-COUNTIF(GW7:GW206,"RE")-COUNTIF(GW7:GW206,"AB")-COUNTIF(GW7:GW206,""))</f>
        <v>4</v>
      </c>
      <c r="BD210" s="1120"/>
      <c r="BE210" s="1120"/>
      <c r="BF210" s="1120"/>
      <c r="BG210" s="1120"/>
      <c r="BH210" s="1120">
        <f>IF(AND(BH208="",BH209=""),"",COUNTA(GX7:GX206)-COUNTIF(GX7:GX206,"RE")-COUNTIF(GX7:GX206,"AB")-COUNTIF(GX7:GX206,""))</f>
        <v>4</v>
      </c>
      <c r="BI210" s="1120"/>
      <c r="BJ210" s="1120"/>
      <c r="BK210" s="1120"/>
      <c r="BL210" s="1120"/>
      <c r="BM210" s="1120"/>
      <c r="BN210" s="1120"/>
      <c r="BO210" s="1120"/>
      <c r="BP210" s="1120"/>
      <c r="BQ210" s="1120"/>
      <c r="BR210" s="1120"/>
      <c r="BS210" s="1120">
        <f>IF(AND(BS208="",BS209=""),"",COUNTA(GY7:GY206)-COUNTIF(GY7:GY206,"RE")-COUNTIF(GY7:GY206,"AB")-COUNTIF(GY7:GY206,""))</f>
        <v>3</v>
      </c>
      <c r="BT210" s="1120"/>
      <c r="BU210" s="1120"/>
      <c r="BV210" s="1120"/>
      <c r="BW210" s="1120"/>
      <c r="BX210" s="123"/>
      <c r="BY210" s="124"/>
      <c r="BZ210" s="374"/>
      <c r="CA210" s="374"/>
      <c r="CB210" s="374"/>
      <c r="CC210" s="125"/>
      <c r="CD210" s="374"/>
      <c r="CE210" s="1120">
        <f>IF(AND(CE208="",CE209=""),"",COUNTA(HB7:HB206)-COUNTIF(HB7:HB206,"RE")-COUNTIF(HB7:HB206,"AB")-COUNTIF(HB7:HB206,""))</f>
        <v>31</v>
      </c>
      <c r="CF210" s="1120"/>
      <c r="CG210" s="1120"/>
      <c r="CH210" s="1120"/>
      <c r="CI210" s="1120"/>
      <c r="CJ210" s="1120">
        <f>IF(AND(CJ208="",CJ209=""),"",COUNTA(HE7:HE206)-COUNTIF(HE7:HE206,"RE")-COUNTIF(HE7:HE206,"AB")-COUNTIF(HE7:HE206,""))</f>
        <v>31</v>
      </c>
      <c r="CK210" s="1120"/>
      <c r="CL210" s="1120"/>
      <c r="CM210" s="1120"/>
      <c r="CN210" s="1120"/>
      <c r="CO210" s="1120"/>
      <c r="CP210" s="1120"/>
      <c r="CQ210" s="1120"/>
      <c r="CR210" s="1120"/>
      <c r="CS210" s="1120"/>
      <c r="CT210" s="1120"/>
      <c r="CU210" s="1120">
        <f>IF(AND(CU208="",CU209=""),"",COUNTA(HH7:HH206)-COUNTIF(HH7:HH206,"RE")-COUNTIF(HH7:HH206,"AB")-COUNTIF(HH7:HH206,""))</f>
        <v>31</v>
      </c>
      <c r="CV210" s="1120"/>
      <c r="CW210" s="1120"/>
      <c r="CX210" s="1120"/>
      <c r="CY210" s="1120"/>
      <c r="CZ210" s="1111">
        <f>IF('School Profile'!$D$20="NO","",IF(AND(CZ208="",CZ209=""),"",COUNTA(HK7:HK206)-COUNTIF(HK7:HK206,"RE")-COUNTIF(HK7:HK206,"AB")-COUNTIF(HK7:HK206,"")))</f>
        <v>3</v>
      </c>
      <c r="DA210" s="1112"/>
      <c r="DB210" s="1112"/>
      <c r="DC210" s="1112"/>
      <c r="DD210" s="1112"/>
      <c r="DE210" s="1113"/>
      <c r="DF210" s="381"/>
      <c r="DG210" s="382"/>
      <c r="DH210" s="126"/>
      <c r="DI210" s="126"/>
      <c r="DJ210" s="126"/>
      <c r="DK210" s="126"/>
      <c r="DL210" s="115"/>
      <c r="DM210" s="115"/>
      <c r="DN210" s="115"/>
      <c r="DO210" s="115"/>
      <c r="DP210" s="115"/>
      <c r="DQ210" s="115"/>
      <c r="DR210" s="115"/>
      <c r="DS210" s="115"/>
      <c r="DT210" s="115"/>
      <c r="DU210" s="115"/>
      <c r="DV210" s="115"/>
      <c r="DW210" s="115"/>
      <c r="DX210" s="115"/>
      <c r="DY210" s="115"/>
      <c r="DZ210" s="1162">
        <f>IF(AND(DZ208="",DZ209=""),"",COUNTA(EH7:EH206)-COUNTIF(EH7:EH206,"RE")-COUNTIF(EH7:EH206,"AB")-COUNTIF(EH7:EH206,""))</f>
        <v>15</v>
      </c>
      <c r="EA210" s="1163"/>
      <c r="EB210" s="1163"/>
      <c r="EC210" s="1163"/>
      <c r="ED210" s="1163"/>
      <c r="EE210" s="1163"/>
      <c r="EF210" s="1164"/>
      <c r="EG210" s="1153"/>
      <c r="EH210" s="1154"/>
      <c r="EI210" s="365"/>
      <c r="EJ210" s="365"/>
      <c r="EK210" s="365"/>
      <c r="EL210" s="1074">
        <f>IF(AND(EL208="",EL209=""),"",COUNTA(EX7:EX206)-COUNTIF(EX7:EX206,"RE")-COUNTIF(EX7:EX206,"AB")-COUNTIF(EX7:EX206,""))</f>
        <v>15</v>
      </c>
      <c r="EM210" s="1074"/>
      <c r="EN210" s="1074"/>
      <c r="EO210" s="1074"/>
      <c r="EP210" s="1074"/>
      <c r="EQ210" s="1074"/>
      <c r="ER210" s="1074"/>
      <c r="ES210" s="1159"/>
      <c r="ET210" s="1094"/>
      <c r="EU210" s="1094"/>
      <c r="EV210" s="1094"/>
      <c r="EW210" s="1094"/>
      <c r="EX210" s="1094"/>
      <c r="EY210" s="365"/>
      <c r="EZ210" s="365"/>
      <c r="FA210" s="365"/>
      <c r="FB210" s="1074">
        <f>IF(AND(FB208="",FB209=""),"",COUNTA(FQ7:FQ206)-COUNTIF(FQ7:FQ206,"RE")-COUNTIF(FQ7:FQ206,"AB")-COUNTIF(FQ7:FQ206,""))</f>
        <v>15</v>
      </c>
      <c r="FC210" s="1074"/>
      <c r="FD210" s="1074"/>
      <c r="FE210" s="1074"/>
      <c r="FF210" s="1074"/>
      <c r="FG210" s="1074"/>
      <c r="FH210" s="1074"/>
      <c r="FI210" s="569"/>
      <c r="FJ210" s="1074">
        <f>IF(AND(FJ208="",FJ209=""),"",COUNTA(FY7:FY206)-COUNTIF(FY7:FY206,"RE")-COUNTIF(FY7:FY206,"AB")-COUNTIF(FY7:FY206,""))</f>
        <v>15</v>
      </c>
      <c r="FK210" s="1074"/>
      <c r="FL210" s="1074"/>
      <c r="FM210" s="1074"/>
      <c r="FN210" s="1074"/>
      <c r="FO210" s="1074"/>
      <c r="FP210" s="1074"/>
      <c r="FQ210" s="570"/>
      <c r="FR210" s="365"/>
      <c r="FS210" s="365"/>
      <c r="FT210" s="365"/>
      <c r="FU210" s="1074">
        <f>IF(AND(FU208="",FU209=""),"",COUNTA(GG7:GG206)-COUNTIF(GG7:GG206,"RE")-COUNTIF(GG7:GG206,"AB")-COUNTIF(GG7:GG206,""))</f>
        <v>15</v>
      </c>
      <c r="FV210" s="1074"/>
      <c r="FW210" s="1074"/>
      <c r="FX210" s="1074"/>
      <c r="FY210" s="1074"/>
      <c r="FZ210" s="1074"/>
      <c r="GA210" s="1074"/>
      <c r="GB210" s="1074"/>
      <c r="GC210" s="1074"/>
      <c r="GD210" s="1074"/>
      <c r="GE210" s="1094"/>
      <c r="GF210" s="1094"/>
      <c r="GG210" s="1094"/>
      <c r="GH210" s="365"/>
      <c r="GI210" s="365"/>
      <c r="GJ210" s="365"/>
      <c r="GK210" s="121"/>
      <c r="GL210" s="121"/>
      <c r="GM210" s="121"/>
      <c r="GN210" s="121"/>
      <c r="GO210" s="121"/>
      <c r="GP210" s="121"/>
      <c r="GQ210" s="121"/>
      <c r="GR210" s="121"/>
      <c r="GS210" s="121"/>
      <c r="GT210" s="121"/>
      <c r="GU210" s="121"/>
      <c r="GV210" s="121"/>
      <c r="GW210" s="121"/>
      <c r="GX210" s="121"/>
      <c r="GY210" s="121"/>
      <c r="GZ210" s="121"/>
      <c r="HA210" s="121"/>
      <c r="HB210" s="121"/>
      <c r="HC210" s="121"/>
      <c r="HD210" s="121"/>
      <c r="HE210" s="121"/>
      <c r="HF210" s="121"/>
      <c r="HG210" s="121"/>
      <c r="HH210" s="121"/>
      <c r="HI210" s="121"/>
      <c r="HJ210" s="121"/>
      <c r="HK210" s="121"/>
      <c r="HL210" s="121"/>
      <c r="HM210" s="121"/>
      <c r="HN210" s="121"/>
      <c r="HO210" s="121"/>
      <c r="HP210" s="1181"/>
      <c r="HQ210" s="1182"/>
      <c r="HR210" s="1071"/>
      <c r="HS210" s="1088" t="str">
        <f>IF('School Profile'!$D$12="Hindi","द्वितीय श्रेणी","2nd Div.")</f>
        <v>द्वितीय श्रेणी</v>
      </c>
      <c r="HT210" s="1088"/>
      <c r="HU210" s="1088"/>
      <c r="HV210" s="1291">
        <f>COUNTIF(HV7:HV206,"2nd")</f>
        <v>5</v>
      </c>
      <c r="HW210" s="1292"/>
      <c r="HX210" s="1083"/>
      <c r="HY210" s="1087" t="str">
        <f>IF('School Profile'!$D$12="Hindi","द्वितीय श्रेणी","2nd Div.")</f>
        <v>द्वितीय श्रेणी</v>
      </c>
      <c r="HZ210" s="1088"/>
      <c r="IA210" s="1088"/>
      <c r="IB210" s="550">
        <f>COUNTIF(IA7:IA206,"II")</f>
        <v>0</v>
      </c>
      <c r="IC210" s="601">
        <f>SUM(HV210,IB210)</f>
        <v>5</v>
      </c>
      <c r="IS210" s="109" t="str">
        <f>IF('Supp. Result Entry'!T208="","",'Supp. Result Entry'!$T$4)</f>
        <v/>
      </c>
      <c r="IT210" s="110" t="str">
        <f>IF('Supp. Result Entry'!W208="","",'Supp. Result Entry'!$W$4)</f>
        <v/>
      </c>
      <c r="IU210" s="110" t="str">
        <f>IF('Supp. Result Entry'!Z208="","",'Supp. Result Entry'!$Z$4)</f>
        <v/>
      </c>
      <c r="IV210" s="110" t="str">
        <f>IF('Supp. Result Entry'!AC208="","",'Supp. Result Entry'!$AC$4)</f>
        <v/>
      </c>
      <c r="IW210" s="110" t="str">
        <f>IF('Supp. Result Entry'!AF208="","",'Supp. Result Entry'!$AF$4)</f>
        <v/>
      </c>
      <c r="IX210" s="110" t="str">
        <f>IF('Supp. Result Entry'!AI208="","",'Supp. Result Entry'!$AI$4)</f>
        <v/>
      </c>
      <c r="IY210" s="110" t="str">
        <f>IF('Supp. Result Entry'!AI208="","",'Supp. Result Entry'!$AL$4)</f>
        <v/>
      </c>
      <c r="IZ210" s="110" t="str">
        <f>IF('Supp. Result Entry'!U208="","",'Supp. Result Entry'!U208)</f>
        <v/>
      </c>
      <c r="JA210" s="110" t="str">
        <f>IF('Supp. Result Entry'!X208="","",'Supp. Result Entry'!X208)</f>
        <v/>
      </c>
      <c r="JB210" s="110" t="str">
        <f>IF('Supp. Result Entry'!AA208="","",'Supp. Result Entry'!AA208)</f>
        <v/>
      </c>
      <c r="JC210" s="110" t="str">
        <f>IF('Supp. Result Entry'!AD208="","",'Supp. Result Entry'!AD208)</f>
        <v/>
      </c>
      <c r="JD210" s="110" t="str">
        <f>IF('Supp. Result Entry'!AG208="","",'Supp. Result Entry'!AG208)</f>
        <v/>
      </c>
      <c r="JE210" s="110" t="str">
        <f>IF('Supp. Result Entry'!AJ208="","",'Supp. Result Entry'!AJ208)</f>
        <v/>
      </c>
      <c r="JF210" s="110" t="str">
        <f>IF('Supp. Result Entry'!AM208="","",'Supp. Result Entry'!AM208)</f>
        <v/>
      </c>
      <c r="JG210" s="110" t="str">
        <f>IF('Supp. Result Entry'!V208="","",'Supp. Result Entry'!V208)</f>
        <v/>
      </c>
      <c r="JH210" s="110" t="str">
        <f>IF('Supp. Result Entry'!Y208="","",'Supp. Result Entry'!Y208)</f>
        <v/>
      </c>
      <c r="JI210" s="110" t="str">
        <f>IF('Supp. Result Entry'!AB208="","",'Supp. Result Entry'!AB208)</f>
        <v/>
      </c>
      <c r="JJ210" s="110" t="str">
        <f>IF('Supp. Result Entry'!AE208="","",'Supp. Result Entry'!AE208)</f>
        <v/>
      </c>
      <c r="JK210" s="110" t="str">
        <f>IF('Supp. Result Entry'!AH208="","",'Supp. Result Entry'!AH208)</f>
        <v/>
      </c>
      <c r="JL210" s="110" t="str">
        <f>IF('Supp. Result Entry'!AK208="","",'Supp. Result Entry'!AK208)</f>
        <v/>
      </c>
      <c r="JM210" s="110" t="str">
        <f>IF('Supp. Result Entry'!AN208="","",'Supp. Result Entry'!AN208)</f>
        <v/>
      </c>
      <c r="JN210" s="110">
        <f>COUNTIF('Supp. Result Entry'!K208:Q208,"S")</f>
        <v>0</v>
      </c>
      <c r="JO210" s="110">
        <f t="shared" si="584"/>
        <v>0</v>
      </c>
      <c r="JP210" s="110">
        <f t="shared" si="661"/>
        <v>0</v>
      </c>
      <c r="JQ210" s="110" t="str">
        <f t="shared" si="585"/>
        <v/>
      </c>
      <c r="JR210" s="110" t="str">
        <f t="shared" si="586"/>
        <v/>
      </c>
      <c r="JS210" s="110" t="str">
        <f t="shared" si="587"/>
        <v/>
      </c>
      <c r="JT210" s="110" t="str">
        <f t="shared" si="588"/>
        <v/>
      </c>
      <c r="JU210" s="110" t="str">
        <f t="shared" si="589"/>
        <v/>
      </c>
      <c r="JV210" s="110" t="str">
        <f t="shared" si="590"/>
        <v/>
      </c>
      <c r="JW210" s="110" t="str">
        <f t="shared" si="591"/>
        <v/>
      </c>
      <c r="JX210" s="110" t="str">
        <f t="shared" si="662"/>
        <v/>
      </c>
      <c r="JY210" s="110" t="str">
        <f t="shared" si="663"/>
        <v/>
      </c>
      <c r="JZ210" s="110" t="str">
        <f t="shared" si="592"/>
        <v/>
      </c>
      <c r="KA210" s="108" t="str">
        <f t="shared" si="664"/>
        <v/>
      </c>
    </row>
    <row r="211" spans="1:287" s="122" customFormat="1" ht="18.75" customHeight="1">
      <c r="A211" s="1273"/>
      <c r="B211" s="1274"/>
      <c r="C211" s="1274"/>
      <c r="D211" s="1274"/>
      <c r="E211" s="1274"/>
      <c r="F211" s="1275"/>
      <c r="G211" s="1218" t="str">
        <f>IF('School Profile'!$D$12="Hindi","ग्रेड :","Grade :")</f>
        <v>ग्रेड :</v>
      </c>
      <c r="H211" s="1218"/>
      <c r="I211" s="1203" t="s">
        <v>41</v>
      </c>
      <c r="J211" s="1219"/>
      <c r="K211" s="536" t="s">
        <v>37</v>
      </c>
      <c r="L211" s="536" t="s">
        <v>38</v>
      </c>
      <c r="M211" s="536" t="s">
        <v>39</v>
      </c>
      <c r="N211" s="1217" t="s">
        <v>74</v>
      </c>
      <c r="O211" s="1217"/>
      <c r="P211" s="536"/>
      <c r="Q211" s="1213" t="s">
        <v>14</v>
      </c>
      <c r="R211" s="1214"/>
      <c r="S211" s="1205"/>
      <c r="T211" s="1205"/>
      <c r="U211" s="1205"/>
      <c r="V211" s="1205"/>
      <c r="W211" s="128"/>
      <c r="X211" s="129"/>
      <c r="Y211" s="536" t="s">
        <v>37</v>
      </c>
      <c r="Z211" s="536" t="s">
        <v>38</v>
      </c>
      <c r="AA211" s="536" t="s">
        <v>39</v>
      </c>
      <c r="AB211" s="1217" t="s">
        <v>74</v>
      </c>
      <c r="AC211" s="1217"/>
      <c r="AD211" s="536"/>
      <c r="AE211" s="1213" t="s">
        <v>14</v>
      </c>
      <c r="AF211" s="1214"/>
      <c r="AG211" s="1206"/>
      <c r="AH211" s="1206"/>
      <c r="AI211" s="1206"/>
      <c r="AJ211" s="1206"/>
      <c r="AK211" s="1206"/>
      <c r="AL211" s="1206"/>
      <c r="AM211" s="536" t="s">
        <v>37</v>
      </c>
      <c r="AN211" s="536" t="s">
        <v>38</v>
      </c>
      <c r="AO211" s="536" t="s">
        <v>39</v>
      </c>
      <c r="AP211" s="536" t="s">
        <v>75</v>
      </c>
      <c r="AQ211" s="554" t="s">
        <v>14</v>
      </c>
      <c r="AR211" s="558" t="s">
        <v>37</v>
      </c>
      <c r="AS211" s="536" t="s">
        <v>38</v>
      </c>
      <c r="AT211" s="558" t="s">
        <v>39</v>
      </c>
      <c r="AU211" s="558" t="s">
        <v>75</v>
      </c>
      <c r="AV211" s="132"/>
      <c r="AW211" s="132"/>
      <c r="AX211" s="130"/>
      <c r="AY211" s="130"/>
      <c r="AZ211" s="130"/>
      <c r="BA211" s="133"/>
      <c r="BB211" s="130" t="s">
        <v>14</v>
      </c>
      <c r="BC211" s="536" t="s">
        <v>37</v>
      </c>
      <c r="BD211" s="536" t="s">
        <v>38</v>
      </c>
      <c r="BE211" s="536" t="s">
        <v>39</v>
      </c>
      <c r="BF211" s="536" t="s">
        <v>75</v>
      </c>
      <c r="BG211" s="554" t="s">
        <v>14</v>
      </c>
      <c r="BH211" s="548" t="s">
        <v>37</v>
      </c>
      <c r="BI211" s="548" t="s">
        <v>38</v>
      </c>
      <c r="BJ211" s="562"/>
      <c r="BK211" s="548"/>
      <c r="BL211" s="548"/>
      <c r="BM211" s="548"/>
      <c r="BN211" s="563"/>
      <c r="BO211" s="548" t="s">
        <v>39</v>
      </c>
      <c r="BP211" s="548" t="s">
        <v>39</v>
      </c>
      <c r="BQ211" s="548" t="s">
        <v>75</v>
      </c>
      <c r="BR211" s="561" t="s">
        <v>14</v>
      </c>
      <c r="BS211" s="536" t="s">
        <v>37</v>
      </c>
      <c r="BT211" s="536" t="s">
        <v>38</v>
      </c>
      <c r="BU211" s="536" t="s">
        <v>39</v>
      </c>
      <c r="BV211" s="536" t="s">
        <v>75</v>
      </c>
      <c r="BW211" s="554" t="s">
        <v>14</v>
      </c>
      <c r="BX211" s="131"/>
      <c r="BY211" s="132"/>
      <c r="BZ211" s="130"/>
      <c r="CA211" s="130"/>
      <c r="CB211" s="130"/>
      <c r="CC211" s="133"/>
      <c r="CD211" s="130"/>
      <c r="CE211" s="548" t="s">
        <v>37</v>
      </c>
      <c r="CF211" s="548" t="s">
        <v>38</v>
      </c>
      <c r="CG211" s="548" t="s">
        <v>39</v>
      </c>
      <c r="CH211" s="548" t="s">
        <v>75</v>
      </c>
      <c r="CI211" s="554" t="s">
        <v>14</v>
      </c>
      <c r="CJ211" s="564" t="s">
        <v>37</v>
      </c>
      <c r="CK211" s="564" t="s">
        <v>38</v>
      </c>
      <c r="CL211" s="564" t="s">
        <v>39</v>
      </c>
      <c r="CM211" s="564"/>
      <c r="CN211" s="564"/>
      <c r="CO211" s="564"/>
      <c r="CP211" s="564"/>
      <c r="CQ211" s="564"/>
      <c r="CR211" s="564"/>
      <c r="CS211" s="564" t="s">
        <v>75</v>
      </c>
      <c r="CT211" s="565" t="s">
        <v>14</v>
      </c>
      <c r="CU211" s="564" t="s">
        <v>37</v>
      </c>
      <c r="CV211" s="564" t="s">
        <v>38</v>
      </c>
      <c r="CW211" s="564" t="s">
        <v>39</v>
      </c>
      <c r="CX211" s="564" t="s">
        <v>75</v>
      </c>
      <c r="CY211" s="565" t="s">
        <v>14</v>
      </c>
      <c r="CZ211" s="564" t="s">
        <v>37</v>
      </c>
      <c r="DA211" s="564" t="s">
        <v>38</v>
      </c>
      <c r="DB211" s="564" t="s">
        <v>39</v>
      </c>
      <c r="DC211" s="564" t="s">
        <v>75</v>
      </c>
      <c r="DD211" s="564" t="s">
        <v>9</v>
      </c>
      <c r="DE211" s="565" t="s">
        <v>14</v>
      </c>
      <c r="DF211" s="566"/>
      <c r="DG211" s="134"/>
      <c r="DH211" s="135"/>
      <c r="DI211" s="135"/>
      <c r="DJ211" s="135"/>
      <c r="DK211" s="135"/>
      <c r="DL211" s="115"/>
      <c r="DM211" s="115"/>
      <c r="DN211" s="115"/>
      <c r="DO211" s="115"/>
      <c r="DP211" s="115"/>
      <c r="DQ211" s="115"/>
      <c r="DR211" s="115"/>
      <c r="DS211" s="115"/>
      <c r="DT211" s="115"/>
      <c r="DU211" s="115"/>
      <c r="DV211" s="115"/>
      <c r="DW211" s="115"/>
      <c r="DX211" s="115"/>
      <c r="DY211" s="115"/>
      <c r="DZ211" s="136" t="s">
        <v>8</v>
      </c>
      <c r="EA211" s="136" t="s">
        <v>13</v>
      </c>
      <c r="EB211" s="136" t="s">
        <v>40</v>
      </c>
      <c r="EC211" s="136" t="s">
        <v>36</v>
      </c>
      <c r="ED211" s="136" t="s">
        <v>133</v>
      </c>
      <c r="EE211" s="1099" t="s">
        <v>14</v>
      </c>
      <c r="EF211" s="1100"/>
      <c r="EG211" s="1153"/>
      <c r="EH211" s="1154"/>
      <c r="EI211" s="365"/>
      <c r="EJ211" s="365"/>
      <c r="EK211" s="365"/>
      <c r="EL211" s="136" t="s">
        <v>8</v>
      </c>
      <c r="EM211" s="136" t="s">
        <v>13</v>
      </c>
      <c r="EN211" s="136" t="s">
        <v>40</v>
      </c>
      <c r="EO211" s="136" t="s">
        <v>36</v>
      </c>
      <c r="EP211" s="136" t="s">
        <v>133</v>
      </c>
      <c r="EQ211" s="1099" t="s">
        <v>14</v>
      </c>
      <c r="ER211" s="1100"/>
      <c r="ES211" s="1159"/>
      <c r="ET211" s="1094"/>
      <c r="EU211" s="1094"/>
      <c r="EV211" s="1094"/>
      <c r="EW211" s="1094"/>
      <c r="EX211" s="1094"/>
      <c r="EY211" s="365"/>
      <c r="EZ211" s="365"/>
      <c r="FA211" s="365"/>
      <c r="FB211" s="136" t="s">
        <v>8</v>
      </c>
      <c r="FC211" s="136" t="s">
        <v>13</v>
      </c>
      <c r="FD211" s="136" t="s">
        <v>40</v>
      </c>
      <c r="FE211" s="136" t="s">
        <v>36</v>
      </c>
      <c r="FF211" s="136" t="s">
        <v>133</v>
      </c>
      <c r="FG211" s="1075" t="s">
        <v>14</v>
      </c>
      <c r="FH211" s="1075"/>
      <c r="FI211" s="569"/>
      <c r="FJ211" s="136" t="s">
        <v>8</v>
      </c>
      <c r="FK211" s="136" t="s">
        <v>13</v>
      </c>
      <c r="FL211" s="136" t="s">
        <v>40</v>
      </c>
      <c r="FM211" s="136" t="s">
        <v>36</v>
      </c>
      <c r="FN211" s="136" t="s">
        <v>133</v>
      </c>
      <c r="FO211" s="1075" t="s">
        <v>14</v>
      </c>
      <c r="FP211" s="1075"/>
      <c r="FQ211" s="570"/>
      <c r="FR211" s="365"/>
      <c r="FS211" s="365"/>
      <c r="FT211" s="365"/>
      <c r="FU211" s="136" t="s">
        <v>8</v>
      </c>
      <c r="FV211" s="136" t="s">
        <v>13</v>
      </c>
      <c r="FW211" s="136" t="s">
        <v>40</v>
      </c>
      <c r="FX211" s="136" t="s">
        <v>36</v>
      </c>
      <c r="FY211" s="136" t="s">
        <v>133</v>
      </c>
      <c r="FZ211" s="136" t="s">
        <v>170</v>
      </c>
      <c r="GA211" s="136" t="s">
        <v>170</v>
      </c>
      <c r="GB211" s="136" t="s">
        <v>170</v>
      </c>
      <c r="GC211" s="1075" t="s">
        <v>14</v>
      </c>
      <c r="GD211" s="1075"/>
      <c r="GE211" s="1094"/>
      <c r="GF211" s="1094"/>
      <c r="GG211" s="1094"/>
      <c r="GH211" s="365"/>
      <c r="GI211" s="365"/>
      <c r="GJ211" s="365"/>
      <c r="GK211" s="121"/>
      <c r="GL211" s="121"/>
      <c r="GM211" s="121"/>
      <c r="GN211" s="121"/>
      <c r="GO211" s="121"/>
      <c r="GP211" s="121"/>
      <c r="GQ211" s="121"/>
      <c r="GR211" s="121"/>
      <c r="GS211" s="121"/>
      <c r="GT211" s="121"/>
      <c r="GU211" s="121"/>
      <c r="GV211" s="121"/>
      <c r="GW211" s="121"/>
      <c r="GX211" s="121"/>
      <c r="GY211" s="121"/>
      <c r="GZ211" s="121"/>
      <c r="HA211" s="121"/>
      <c r="HB211" s="121"/>
      <c r="HC211" s="121"/>
      <c r="HD211" s="121"/>
      <c r="HE211" s="121"/>
      <c r="HF211" s="121"/>
      <c r="HG211" s="121"/>
      <c r="HH211" s="121"/>
      <c r="HI211" s="121"/>
      <c r="HJ211" s="121"/>
      <c r="HK211" s="121"/>
      <c r="HL211" s="121"/>
      <c r="HM211" s="121"/>
      <c r="HN211" s="121"/>
      <c r="HO211" s="121"/>
      <c r="HP211" s="1181" t="str">
        <f>IF('School Profile'!$D$12="Hindi","हस्ताक्षर कक्षाध्यापक","Signature of the class teacher")</f>
        <v>हस्ताक्षर कक्षाध्यापक</v>
      </c>
      <c r="HQ211" s="1182"/>
      <c r="HR211" s="1071" t="str">
        <f>CONCATENATE("( ",UPPER('School Profile'!D18)," )")</f>
        <v>( YOGESH )</v>
      </c>
      <c r="HS211" s="1088" t="str">
        <f>IF('School Profile'!$D$12="Hindi","तृतीय श्रेणी","3rd Div.")</f>
        <v>तृतीय श्रेणी</v>
      </c>
      <c r="HT211" s="1088"/>
      <c r="HU211" s="1088"/>
      <c r="HV211" s="1291">
        <f>COUNTIF(HV7:HV206,"3rd")</f>
        <v>0</v>
      </c>
      <c r="HW211" s="1292"/>
      <c r="HX211" s="1083"/>
      <c r="HY211" s="1087" t="str">
        <f>IF('School Profile'!$D$12="Hindi","तृतीय श्रेणी","3rd Div.")</f>
        <v>तृतीय श्रेणी</v>
      </c>
      <c r="HZ211" s="1088"/>
      <c r="IA211" s="1088"/>
      <c r="IB211" s="550">
        <f>COUNTIF(IA7:IA206,"III")</f>
        <v>0</v>
      </c>
      <c r="IC211" s="601">
        <f>SUM(HV211,IB211)</f>
        <v>0</v>
      </c>
      <c r="IS211" s="109" t="str">
        <f>IF('Supp. Result Entry'!T209="","",'Supp. Result Entry'!$T$4)</f>
        <v/>
      </c>
      <c r="IT211" s="110" t="str">
        <f>IF('Supp. Result Entry'!W209="","",'Supp. Result Entry'!$W$4)</f>
        <v/>
      </c>
      <c r="IU211" s="110" t="str">
        <f>IF('Supp. Result Entry'!Z209="","",'Supp. Result Entry'!$Z$4)</f>
        <v/>
      </c>
      <c r="IV211" s="110" t="str">
        <f>IF('Supp. Result Entry'!AC209="","",'Supp. Result Entry'!$AC$4)</f>
        <v/>
      </c>
      <c r="IW211" s="110" t="str">
        <f>IF('Supp. Result Entry'!AF209="","",'Supp. Result Entry'!$AF$4)</f>
        <v/>
      </c>
      <c r="IX211" s="110" t="str">
        <f>IF('Supp. Result Entry'!AI209="","",'Supp. Result Entry'!$AI$4)</f>
        <v/>
      </c>
      <c r="IY211" s="110" t="str">
        <f>IF('Supp. Result Entry'!AI209="","",'Supp. Result Entry'!$AL$4)</f>
        <v/>
      </c>
      <c r="IZ211" s="110" t="str">
        <f>IF('Supp. Result Entry'!U209="","",'Supp. Result Entry'!U209)</f>
        <v/>
      </c>
      <c r="JA211" s="110" t="str">
        <f>IF('Supp. Result Entry'!X209="","",'Supp. Result Entry'!X209)</f>
        <v/>
      </c>
      <c r="JB211" s="110" t="str">
        <f>IF('Supp. Result Entry'!AA209="","",'Supp. Result Entry'!AA209)</f>
        <v/>
      </c>
      <c r="JC211" s="110" t="str">
        <f>IF('Supp. Result Entry'!AD209="","",'Supp. Result Entry'!AD209)</f>
        <v/>
      </c>
      <c r="JD211" s="110" t="str">
        <f>IF('Supp. Result Entry'!AG209="","",'Supp. Result Entry'!AG209)</f>
        <v/>
      </c>
      <c r="JE211" s="110" t="str">
        <f>IF('Supp. Result Entry'!AJ209="","",'Supp. Result Entry'!AJ209)</f>
        <v/>
      </c>
      <c r="JF211" s="110" t="str">
        <f>IF('Supp. Result Entry'!AM209="","",'Supp. Result Entry'!AM209)</f>
        <v/>
      </c>
      <c r="JG211" s="110" t="str">
        <f>IF('Supp. Result Entry'!V209="","",'Supp. Result Entry'!V209)</f>
        <v/>
      </c>
      <c r="JH211" s="110" t="str">
        <f>IF('Supp. Result Entry'!Y209="","",'Supp. Result Entry'!Y209)</f>
        <v/>
      </c>
      <c r="JI211" s="110" t="str">
        <f>IF('Supp. Result Entry'!AB209="","",'Supp. Result Entry'!AB209)</f>
        <v/>
      </c>
      <c r="JJ211" s="110" t="str">
        <f>IF('Supp. Result Entry'!AE209="","",'Supp. Result Entry'!AE209)</f>
        <v/>
      </c>
      <c r="JK211" s="110" t="str">
        <f>IF('Supp. Result Entry'!AH209="","",'Supp. Result Entry'!AH209)</f>
        <v/>
      </c>
      <c r="JL211" s="110" t="str">
        <f>IF('Supp. Result Entry'!AK209="","",'Supp. Result Entry'!AK209)</f>
        <v/>
      </c>
      <c r="JM211" s="110" t="str">
        <f>IF('Supp. Result Entry'!AN209="","",'Supp. Result Entry'!AN209)</f>
        <v/>
      </c>
      <c r="JN211" s="110">
        <f>COUNTIF('Supp. Result Entry'!K209:Q209,"S")</f>
        <v>0</v>
      </c>
      <c r="JO211" s="110">
        <f t="shared" si="584"/>
        <v>0</v>
      </c>
      <c r="JP211" s="110">
        <f t="shared" si="661"/>
        <v>0</v>
      </c>
      <c r="JQ211" s="110" t="str">
        <f>IF(OR(JN211=0,JN211&lt;JP211),"",IF(OR(GN211="RE",GN211="REP"),SUM(Q211,IZ211),IF(GN211="S",IZ211,Q211)))</f>
        <v/>
      </c>
      <c r="JR211" s="110" t="str">
        <f>IF(OR(JN211=0,JN211&lt;JP211),"",IF(OR(GQ211="RE",GQ211="REP"),SUM(AE211,JA211),IF(GQ211="S",JA211,AE211)))</f>
        <v/>
      </c>
      <c r="JS211" s="110" t="str">
        <f t="shared" si="587"/>
        <v/>
      </c>
      <c r="JT211" s="110" t="str">
        <f t="shared" si="588"/>
        <v/>
      </c>
      <c r="JU211" s="110" t="str">
        <f t="shared" si="589"/>
        <v/>
      </c>
      <c r="JV211" s="110" t="str">
        <f t="shared" si="590"/>
        <v/>
      </c>
      <c r="JW211" s="110" t="str">
        <f t="shared" si="591"/>
        <v/>
      </c>
      <c r="JX211" s="110" t="str">
        <f t="shared" si="662"/>
        <v/>
      </c>
      <c r="JY211" s="110" t="str">
        <f t="shared" si="663"/>
        <v/>
      </c>
      <c r="JZ211" s="110" t="str">
        <f t="shared" si="592"/>
        <v/>
      </c>
      <c r="KA211" s="108" t="str">
        <f t="shared" si="664"/>
        <v/>
      </c>
    </row>
    <row r="212" spans="1:287" s="122" customFormat="1" ht="18.75" customHeight="1">
      <c r="A212" s="1273"/>
      <c r="B212" s="1274"/>
      <c r="C212" s="1274"/>
      <c r="D212" s="1274"/>
      <c r="E212" s="1274"/>
      <c r="F212" s="1275"/>
      <c r="G212" s="1218" t="str">
        <f>IF('School Profile'!$D$12="Hindi","ग्रेडवार उत्तीर्ण विद्यार्थी :","Total Passed Grade wise :")</f>
        <v>ग्रेडवार उत्तीर्ण विद्यार्थी :</v>
      </c>
      <c r="H212" s="1218"/>
      <c r="I212" s="1203" t="s">
        <v>41</v>
      </c>
      <c r="J212" s="1203"/>
      <c r="K212" s="546">
        <f>IF(AND(K208="",K209=""),"",COUNTIF(GN7:GN206,"D")+COUNTIF(GN7:GN206,"I"))</f>
        <v>22</v>
      </c>
      <c r="L212" s="557">
        <f>IF(AND(K208="",K209=""),"",COUNTIF(GN7:GN206,"II"))</f>
        <v>7</v>
      </c>
      <c r="M212" s="573">
        <f>IF(AND(K208="",K209=""),"",COUNTIF(GN7:GN206,"III"))</f>
        <v>0</v>
      </c>
      <c r="N212" s="1204">
        <f>IF(AND(K208="",K209=""),"",COUNTIF(GN7:GN206,"G"))</f>
        <v>0</v>
      </c>
      <c r="O212" s="1204"/>
      <c r="P212" s="574"/>
      <c r="Q212" s="1215">
        <f>SUM(K212,L212,M212,N212,P212)</f>
        <v>29</v>
      </c>
      <c r="R212" s="1216"/>
      <c r="S212" s="1206"/>
      <c r="T212" s="1206"/>
      <c r="U212" s="1206"/>
      <c r="V212" s="1206"/>
      <c r="W212" s="137"/>
      <c r="X212" s="138"/>
      <c r="Y212" s="546">
        <f>IF(AND(Y208="",Y209=""),"",COUNTIF(GQ7:GQ206,"D")+COUNTIF(GQ7:GQ206,"I"))</f>
        <v>30</v>
      </c>
      <c r="Z212" s="557">
        <f>IF(AND(Y208="",Y209=""),"",COUNTIF(GQ7:GQ206,"II"))</f>
        <v>0</v>
      </c>
      <c r="AA212" s="573">
        <f>IF(AND(Y208="",Y209=""),"",COUNTIF(GQ7:GQ206,"III"))</f>
        <v>1</v>
      </c>
      <c r="AB212" s="1204">
        <f>IF(AND(Y208="",Y209=""),"",COUNTIF(GQ7:GQ206,"G"))</f>
        <v>0</v>
      </c>
      <c r="AC212" s="1204"/>
      <c r="AD212" s="574"/>
      <c r="AE212" s="1215">
        <f>SUM(Y212,Z212,AA212,AB212,AD212)</f>
        <v>31</v>
      </c>
      <c r="AF212" s="1216"/>
      <c r="AG212" s="1118"/>
      <c r="AH212" s="1118"/>
      <c r="AI212" s="1118"/>
      <c r="AJ212" s="1118"/>
      <c r="AK212" s="1118"/>
      <c r="AL212" s="1118"/>
      <c r="AM212" s="546">
        <f>IF(AND(AM208="",AM209=""),"",COUNTIF(GU7:GU206,"I")+COUNTIF(GU7:GU206,"D"))</f>
        <v>2</v>
      </c>
      <c r="AN212" s="546">
        <f>IF(AND(AM208="",AM209=""),"",COUNTIF(GU7:GU206,"II"))</f>
        <v>9</v>
      </c>
      <c r="AO212" s="546">
        <f>IF(AND(AM208="",AM209=""),"",COUNTIF(GU7:GU206,"III"))</f>
        <v>0</v>
      </c>
      <c r="AP212" s="546">
        <f>IF(AND(AM208="",AM209=""),"",COUNTIF(GU7:GU206,"G"))</f>
        <v>0</v>
      </c>
      <c r="AQ212" s="555">
        <f>SUM(AM212,AN212,AO212,AP212)</f>
        <v>11</v>
      </c>
      <c r="AR212" s="575">
        <f>IF(AND(AR208="",AR209=""),"",COUNTIF(GV7:GV206,"I")+COUNTIF(GV7:GV206,"D"))</f>
        <v>0</v>
      </c>
      <c r="AS212" s="574">
        <f>IF(AND(AR208="",AR209=""),"",COUNTIF(GV7:GV206,"II"))</f>
        <v>9</v>
      </c>
      <c r="AT212" s="574">
        <f>IF(AND(AR208="",AR209=""),"",COUNTIF(GV7:GV206,"III"))</f>
        <v>0</v>
      </c>
      <c r="AU212" s="578">
        <f>IF(AND(AR208="",AR209=""),"",COUNTIF(GV7:GV206,"G"))</f>
        <v>0</v>
      </c>
      <c r="AV212" s="576"/>
      <c r="AW212" s="577"/>
      <c r="AX212" s="546"/>
      <c r="AY212" s="546"/>
      <c r="AZ212" s="546"/>
      <c r="BA212" s="120"/>
      <c r="BB212" s="559">
        <f>SUM(AR212,AS212,AT212,AU212)</f>
        <v>9</v>
      </c>
      <c r="BC212" s="546">
        <f>IF(AND(BC208="",BC209=""),"",COUNTIF(GW7:GW206,"I")+COUNTIF(GW7:GW206,"D"))</f>
        <v>1</v>
      </c>
      <c r="BD212" s="546">
        <f>IF(AND(BC208="",BC209=""),"",COUNTIF(GW7:GW206,"II"))</f>
        <v>3</v>
      </c>
      <c r="BE212" s="546">
        <f>IF(AND(BC208="",BC209=""),"",COUNTIF(GW7:GW206,"III"))</f>
        <v>0</v>
      </c>
      <c r="BF212" s="546">
        <f>IF(AND(BC208="",BC209=""),"",COUNTIF(GW7:GW206,"S"))</f>
        <v>0</v>
      </c>
      <c r="BG212" s="559">
        <f>SUM(BC212,BD212,BE212,BF212)</f>
        <v>4</v>
      </c>
      <c r="BH212" s="546">
        <f>IF(AND(BH208="",BH209=""),"",COUNTIF(GX7:GX206,"I")+COUNTIF(GX7:GX206,"D"))</f>
        <v>0</v>
      </c>
      <c r="BI212" s="546">
        <f>IF(AND(BH208="",BH209=""),"",COUNTIF(GX7:GX206,"II"))</f>
        <v>4</v>
      </c>
      <c r="BJ212" s="577"/>
      <c r="BK212" s="546"/>
      <c r="BL212" s="546"/>
      <c r="BM212" s="546"/>
      <c r="BN212" s="120"/>
      <c r="BO212" s="546"/>
      <c r="BP212" s="546">
        <f>IF(AND(BH208="",BH209=""),"",COUNTIF(GX7:GX206,"III"))</f>
        <v>0</v>
      </c>
      <c r="BQ212" s="546">
        <f>IF(AND(BH208="",BH209=""),"",COUNTIF(GX7:GX206,"G"))</f>
        <v>0</v>
      </c>
      <c r="BR212" s="559">
        <f>SUM(BH212,BI212,BP212,BQ212)</f>
        <v>4</v>
      </c>
      <c r="BS212" s="546">
        <f>IF(AND(BS208="",BS209=""),"",COUNTIF(GY7:GY206,"I")+COUNTIF(GY7:GY206,"D"))</f>
        <v>0</v>
      </c>
      <c r="BT212" s="546">
        <f>IF(AND(BS208="",BS209=""),"",COUNTIF(GY7:GY206,"II"))</f>
        <v>3</v>
      </c>
      <c r="BU212" s="546">
        <f>IF(AND(BS208="",BS209=""),"",COUNTIF(HM7:HM206,"III"))</f>
        <v>0</v>
      </c>
      <c r="BV212" s="546">
        <f>IF(AND(BS208="",BS209=""),"",COUNTIF(GY7:GY206,"G"))</f>
        <v>0</v>
      </c>
      <c r="BW212" s="560">
        <f>SUM(BS212,BT212,BU212,BV212)</f>
        <v>3</v>
      </c>
      <c r="BX212" s="139"/>
      <c r="BY212" s="140"/>
      <c r="BZ212" s="373"/>
      <c r="CA212" s="373"/>
      <c r="CB212" s="373"/>
      <c r="CC212" s="141"/>
      <c r="CD212" s="373"/>
      <c r="CE212" s="546">
        <f>IF(AND(CE208="",CE209=""),"",COUNTIF(HB7:HB206,"I")+COUNTIF(HB7:HB206,"D"))</f>
        <v>2</v>
      </c>
      <c r="CF212" s="546">
        <f>IF(AND(CE208="",CE209=""),"",COUNTIF(HB7:HB206,"II"))</f>
        <v>22</v>
      </c>
      <c r="CG212" s="546">
        <f>IF(AND(CE208="",CE209=""),"",COUNTIF(HB7:HB206,"III"))</f>
        <v>2</v>
      </c>
      <c r="CH212" s="546">
        <f>IF(AND(CE208="",CE209=""),"",COUNTIF(HB7:HB206,"G"))</f>
        <v>4</v>
      </c>
      <c r="CI212" s="560">
        <f>SUM(CE212,CF212,CG212,CH212)</f>
        <v>30</v>
      </c>
      <c r="CJ212" s="546">
        <f>IF(AND(CJ208="",CJ209=""),"",COUNTIF(HE7:HE206,"I")+COUNTIF(HE7:HE206,"D"))</f>
        <v>1</v>
      </c>
      <c r="CK212" s="546">
        <f>IF(AND(CJ208="",CJ209=""),"",COUNTIF(HE7:HE206,"II"))</f>
        <v>29</v>
      </c>
      <c r="CL212" s="546">
        <f>IF(AND(CJ208="",CJ209=""),"",COUNTIF(HE7:HE206,"III"))</f>
        <v>0</v>
      </c>
      <c r="CM212" s="546"/>
      <c r="CN212" s="546"/>
      <c r="CO212" s="546"/>
      <c r="CP212" s="546"/>
      <c r="CQ212" s="546"/>
      <c r="CR212" s="546"/>
      <c r="CS212" s="546">
        <f>IF(AND(CJ208="",CJ209=""),"",COUNTIF(HE7:HE206,"G"))</f>
        <v>1</v>
      </c>
      <c r="CT212" s="560">
        <f>SUM(CJ212,CK212,CL212,CS212)</f>
        <v>31</v>
      </c>
      <c r="CU212" s="546">
        <f>IF(AND(CU208="",CU209=""),"",COUNTIF(HH7:HH206,"I")+COUNTIF(HH7:HH206,"D"))</f>
        <v>3</v>
      </c>
      <c r="CV212" s="546">
        <f>IF(AND(CU208="",CU209=""),"",COUNTIF(HH7:HH206,"II"))</f>
        <v>28</v>
      </c>
      <c r="CW212" s="546">
        <f>IF(AND(CU208="",CU209=""),"",COUNTIF(HH7:HH206,"III"))</f>
        <v>0</v>
      </c>
      <c r="CX212" s="546">
        <f>IF(AND(CU208="",CU209=""),"",COUNTIF(HH7:HH206,"G"))</f>
        <v>0</v>
      </c>
      <c r="CY212" s="560">
        <f>SUM(CU212,CV212,CW212,CX212)</f>
        <v>31</v>
      </c>
      <c r="CZ212" s="546">
        <f>IF(AND(CZ208="",CZ209=""),"",COUNTIF(HK7:HK206,"I")+COUNTIF(HK7:HK206,"D"))</f>
        <v>2</v>
      </c>
      <c r="DA212" s="546">
        <f>IF(AND(CZ208="",CZ209=""),"",COUNTIF(HK7:HK206,"II"))</f>
        <v>1</v>
      </c>
      <c r="DB212" s="546">
        <f>IF(AND(CZ208="",CZ209=""),"",COUNTIF(HK7:HK206,"III"))</f>
        <v>0</v>
      </c>
      <c r="DC212" s="546">
        <f>IF(AND(CZ208="",CZ209=""),"",COUNTIF(HK7:HK206,"G"))</f>
        <v>0</v>
      </c>
      <c r="DD212" s="546">
        <f>IF(AND(CZ208="",CZ209=""),"",COUNTIF(HK7:HK206,"S"))</f>
        <v>0</v>
      </c>
      <c r="DE212" s="560">
        <f>SUM(CZ212,DA212,DB212,DC212,DD212)</f>
        <v>3</v>
      </c>
      <c r="DF212" s="556"/>
      <c r="DG212" s="373"/>
      <c r="DH212" s="135"/>
      <c r="DI212" s="135"/>
      <c r="DJ212" s="135"/>
      <c r="DK212" s="135"/>
      <c r="DL212" s="115"/>
      <c r="DM212" s="115"/>
      <c r="DN212" s="115"/>
      <c r="DO212" s="115"/>
      <c r="DP212" s="115"/>
      <c r="DQ212" s="115"/>
      <c r="DR212" s="115"/>
      <c r="DS212" s="115"/>
      <c r="DT212" s="115"/>
      <c r="DU212" s="115"/>
      <c r="DV212" s="115"/>
      <c r="DW212" s="115"/>
      <c r="DX212" s="115"/>
      <c r="DY212" s="115"/>
      <c r="DZ212" s="545">
        <f>IF(AND(DZ208="",DZ209=""),"",COUNTIF(EH7:EH206,"A"))</f>
        <v>15</v>
      </c>
      <c r="EA212" s="545">
        <f>IF(AND(DZ208="",DZ209=""),"",COUNTIF(EH7:EH206,"B"))</f>
        <v>0</v>
      </c>
      <c r="EB212" s="545">
        <f>IF(AND(DZ208="",DZ209=""),"",COUNTIF(EH7:EH206,"C"))</f>
        <v>0</v>
      </c>
      <c r="EC212" s="545">
        <f>IF(AND(DZ208="",DZ209=""),"",COUNTIF(EH7:EH206,"D"))</f>
        <v>0</v>
      </c>
      <c r="ED212" s="545">
        <f>IF(AND(DZ208="",DZ209=""),"",COUNTIF(EH7:EH206,"E"))</f>
        <v>0</v>
      </c>
      <c r="EE212" s="1076">
        <f>IF(AND(DZ208="",DZ209=""),"",SUM(DZ212,EA212,EB212,EC212,ED212))</f>
        <v>15</v>
      </c>
      <c r="EF212" s="1077"/>
      <c r="EG212" s="1153"/>
      <c r="EH212" s="1154"/>
      <c r="EI212" s="365"/>
      <c r="EJ212" s="365"/>
      <c r="EK212" s="365"/>
      <c r="EL212" s="545">
        <f>IF(AND(EL208="",EL209=""),"",COUNTIF(EX7:EX206,"A"))</f>
        <v>13</v>
      </c>
      <c r="EM212" s="545">
        <f>IF(AND(EL208="",EL209=""),"",COUNTIF(EX7:EX206,"B"))</f>
        <v>2</v>
      </c>
      <c r="EN212" s="545">
        <f>IF(AND(EL208="",EL209=""),"",COUNTIF(EX7:EX206,"C"))</f>
        <v>0</v>
      </c>
      <c r="EO212" s="545">
        <f>IF(AND(EL208="",EL209=""),"",COUNTIF(EX7:EX206,"D"))</f>
        <v>0</v>
      </c>
      <c r="EP212" s="545">
        <f>IF(AND(EL208="",EL209=""),"",COUNTIF(EX7:EX206,"E"))</f>
        <v>0</v>
      </c>
      <c r="EQ212" s="1076">
        <f>IF(AND(EL208="",EL209=""),"",SUM(EL212,EM212,EN212,EO212,EP212))</f>
        <v>15</v>
      </c>
      <c r="ER212" s="1077"/>
      <c r="ES212" s="1159"/>
      <c r="ET212" s="1094"/>
      <c r="EU212" s="1094"/>
      <c r="EV212" s="1094"/>
      <c r="EW212" s="1094"/>
      <c r="EX212" s="1094"/>
      <c r="EY212" s="365"/>
      <c r="EZ212" s="365"/>
      <c r="FA212" s="365"/>
      <c r="FB212" s="545">
        <f>IF(AND(FB208="",FB209=""),"",COUNTIF(FQ7:FQ206,"A"))</f>
        <v>12</v>
      </c>
      <c r="FC212" s="545">
        <f>IF(AND(FB208="",FB209=""),"",COUNTIF(FQ7:FQ206,"B"))</f>
        <v>3</v>
      </c>
      <c r="FD212" s="545">
        <f>IF(AND(FB208="",FB209=""),"",COUNTIF(FQ7:FQ206,"C"))</f>
        <v>0</v>
      </c>
      <c r="FE212" s="545">
        <f>IF(AND(FB208="",FB209=""),"",COUNTIF(FQ7:FQ206,"D"))</f>
        <v>0</v>
      </c>
      <c r="FF212" s="545">
        <f>IF(AND(FB208="",FB209=""),"",COUNTIF(FQ7:FQ206,"E"))</f>
        <v>0</v>
      </c>
      <c r="FG212" s="1076">
        <f>IF(AND(FB208="",FB209=""),"",SUM(FB212,FC212,FD212,FE212,FF212))</f>
        <v>15</v>
      </c>
      <c r="FH212" s="1077"/>
      <c r="FI212" s="569"/>
      <c r="FJ212" s="545">
        <f>IF(AND(FJ208="",FJ209=""),"",COUNTIF(FY7:FY206,"A"))</f>
        <v>5</v>
      </c>
      <c r="FK212" s="545">
        <f>IF(AND(FJ208="",FJ209=""),"",COUNTIF(FY7:FY206,"B"))</f>
        <v>10</v>
      </c>
      <c r="FL212" s="545">
        <f>IF(AND(FJ208="",FJ209=""),"",COUNTIF(FY7:FY206,"C"))</f>
        <v>0</v>
      </c>
      <c r="FM212" s="545">
        <f>IF(AND(FJ208="",FJ209=""),"",COUNTIF(FY7:FY206,"D"))</f>
        <v>0</v>
      </c>
      <c r="FN212" s="545">
        <f>IF(AND(FJ208="",FJ209=""),"",COUNTIF(FY7:FY206,"E"))</f>
        <v>0</v>
      </c>
      <c r="FO212" s="1076">
        <f>IF(AND(FJ208="",FJ209=""),"",SUM(FJ212,FK212,FL212,FM212,FN212))</f>
        <v>15</v>
      </c>
      <c r="FP212" s="1077"/>
      <c r="FQ212" s="570"/>
      <c r="FR212" s="365"/>
      <c r="FS212" s="365"/>
      <c r="FT212" s="365"/>
      <c r="FU212" s="545">
        <f>IF(AND(FU208="",FU209=""),"",COUNTIF(GG7:GG206,"A"))</f>
        <v>6</v>
      </c>
      <c r="FV212" s="545">
        <f>IF(AND(FU208="",FU209=""),"",COUNTIF(GG7:GG206,"B"))</f>
        <v>9</v>
      </c>
      <c r="FW212" s="545">
        <f>IF(AND(FU208="",FU209=""),"",COUNTIF(GG7:GG206,"C"))</f>
        <v>0</v>
      </c>
      <c r="FX212" s="580">
        <f>IF(AND(FU208="",FU209=""),"",COUNTIF(GG7:GG206,"D"))</f>
        <v>0</v>
      </c>
      <c r="FY212" s="580">
        <f>IF(AND(FU208="",FU209=""),"",COUNTIF(GG7:GG206,"E"))</f>
        <v>0</v>
      </c>
      <c r="FZ212" s="579"/>
      <c r="GA212" s="579"/>
      <c r="GB212" s="579"/>
      <c r="GC212" s="1101">
        <f>IF(AND(FU208="",FU209=""),"",SUM(FU212,FV212,FW212,FX212,FY212))</f>
        <v>15</v>
      </c>
      <c r="GD212" s="1101"/>
      <c r="GE212" s="1094"/>
      <c r="GF212" s="1094"/>
      <c r="GG212" s="1094"/>
      <c r="GH212" s="365"/>
      <c r="GI212" s="365"/>
      <c r="GJ212" s="365"/>
      <c r="GK212" s="121"/>
      <c r="GL212" s="121"/>
      <c r="GM212" s="121"/>
      <c r="GN212" s="121"/>
      <c r="GO212" s="121"/>
      <c r="GP212" s="121"/>
      <c r="GQ212" s="121"/>
      <c r="GR212" s="121"/>
      <c r="GS212" s="121"/>
      <c r="GT212" s="121"/>
      <c r="GU212" s="121"/>
      <c r="GV212" s="121"/>
      <c r="GW212" s="121"/>
      <c r="GX212" s="121"/>
      <c r="GY212" s="121"/>
      <c r="GZ212" s="121"/>
      <c r="HA212" s="121"/>
      <c r="HB212" s="121"/>
      <c r="HC212" s="121"/>
      <c r="HD212" s="121"/>
      <c r="HE212" s="121"/>
      <c r="HF212" s="121"/>
      <c r="HG212" s="121"/>
      <c r="HH212" s="121"/>
      <c r="HI212" s="121"/>
      <c r="HJ212" s="121"/>
      <c r="HK212" s="121"/>
      <c r="HL212" s="121"/>
      <c r="HM212" s="121"/>
      <c r="HN212" s="121"/>
      <c r="HO212" s="121"/>
      <c r="HP212" s="1181"/>
      <c r="HQ212" s="1182"/>
      <c r="HR212" s="1071"/>
      <c r="HS212" s="1088" t="str">
        <f>IF('School Profile'!$D$12="Hindi","उतीर्ण","Pass")</f>
        <v>उतीर्ण</v>
      </c>
      <c r="HT212" s="1088"/>
      <c r="HU212" s="1088"/>
      <c r="HV212" s="1161">
        <f>SUM(HV209:HW211)</f>
        <v>28</v>
      </c>
      <c r="HW212" s="1226"/>
      <c r="HX212" s="1083"/>
      <c r="HY212" s="1087" t="str">
        <f>IF('School Profile'!$D$12="Hindi","उतीर्ण","Pass")</f>
        <v>उतीर्ण</v>
      </c>
      <c r="HZ212" s="1088"/>
      <c r="IA212" s="1088"/>
      <c r="IB212" s="142">
        <f>SUM(IB209:IB211)</f>
        <v>1</v>
      </c>
      <c r="IC212" s="601">
        <f>SUM(HV212,IB212)</f>
        <v>29</v>
      </c>
      <c r="IS212" s="109" t="str">
        <f>IF('Supp. Result Entry'!T210="","",'Supp. Result Entry'!$T$4)</f>
        <v/>
      </c>
      <c r="IT212" s="110" t="str">
        <f>IF('Supp. Result Entry'!W210="","",'Supp. Result Entry'!$W$4)</f>
        <v/>
      </c>
      <c r="IU212" s="110" t="str">
        <f>IF('Supp. Result Entry'!Z210="","",'Supp. Result Entry'!$Z$4)</f>
        <v/>
      </c>
      <c r="IV212" s="110" t="str">
        <f>IF('Supp. Result Entry'!AC210="","",'Supp. Result Entry'!$AC$4)</f>
        <v/>
      </c>
      <c r="IW212" s="110" t="str">
        <f>IF('Supp. Result Entry'!AF210="","",'Supp. Result Entry'!$AF$4)</f>
        <v/>
      </c>
      <c r="IX212" s="110" t="str">
        <f>IF('Supp. Result Entry'!AI210="","",'Supp. Result Entry'!$AI$4)</f>
        <v/>
      </c>
      <c r="IY212" s="110" t="str">
        <f>IF('Supp. Result Entry'!AI210="","",'Supp. Result Entry'!$AL$4)</f>
        <v/>
      </c>
      <c r="IZ212" s="110" t="str">
        <f>IF('Supp. Result Entry'!U210="","",'Supp. Result Entry'!U210)</f>
        <v/>
      </c>
      <c r="JA212" s="110" t="str">
        <f>IF('Supp. Result Entry'!X210="","",'Supp. Result Entry'!X210)</f>
        <v/>
      </c>
      <c r="JB212" s="110" t="str">
        <f>IF('Supp. Result Entry'!AA210="","",'Supp. Result Entry'!AA210)</f>
        <v/>
      </c>
      <c r="JC212" s="110" t="str">
        <f>IF('Supp. Result Entry'!AD210="","",'Supp. Result Entry'!AD210)</f>
        <v/>
      </c>
      <c r="JD212" s="110" t="str">
        <f>IF('Supp. Result Entry'!AG210="","",'Supp. Result Entry'!AG210)</f>
        <v/>
      </c>
      <c r="JE212" s="110" t="str">
        <f>IF('Supp. Result Entry'!AJ210="","",'Supp. Result Entry'!AJ210)</f>
        <v/>
      </c>
      <c r="JF212" s="110" t="str">
        <f>IF('Supp. Result Entry'!AM210="","",'Supp. Result Entry'!AM210)</f>
        <v/>
      </c>
      <c r="JG212" s="110" t="str">
        <f>IF('Supp. Result Entry'!V210="","",'Supp. Result Entry'!V210)</f>
        <v/>
      </c>
      <c r="JH212" s="110" t="str">
        <f>IF('Supp. Result Entry'!Y210="","",'Supp. Result Entry'!Y210)</f>
        <v/>
      </c>
      <c r="JI212" s="110" t="str">
        <f>IF('Supp. Result Entry'!AB210="","",'Supp. Result Entry'!AB210)</f>
        <v/>
      </c>
      <c r="JJ212" s="110" t="str">
        <f>IF('Supp. Result Entry'!AE210="","",'Supp. Result Entry'!AE210)</f>
        <v/>
      </c>
      <c r="JK212" s="110" t="str">
        <f>IF('Supp. Result Entry'!AH210="","",'Supp. Result Entry'!AH210)</f>
        <v/>
      </c>
      <c r="JL212" s="110" t="str">
        <f>IF('Supp. Result Entry'!AK210="","",'Supp. Result Entry'!AK210)</f>
        <v/>
      </c>
      <c r="JM212" s="110" t="str">
        <f>IF('Supp. Result Entry'!AN210="","",'Supp. Result Entry'!AN210)</f>
        <v/>
      </c>
      <c r="JN212" s="110">
        <f>COUNTIF('Supp. Result Entry'!K210:Q210,"S")</f>
        <v>0</v>
      </c>
      <c r="JO212" s="110">
        <f t="shared" si="584"/>
        <v>0</v>
      </c>
      <c r="JP212" s="110">
        <f t="shared" si="661"/>
        <v>0</v>
      </c>
      <c r="JQ212" s="110" t="str">
        <f>IF(OR(JN212=0,JN212&lt;JP212),"",IF(OR(GN212="RE",GN212="REP"),SUM(Q212,IZ212),IF(GN212="S",IZ212,Q212)))</f>
        <v/>
      </c>
      <c r="JR212" s="110" t="str">
        <f>IF(OR(JN212=0,JN212&lt;JP212),"",IF(OR(GQ212="RE",GQ212="REP"),SUM(AE212,JA212),IF(GQ212="S",JA212,AE212)))</f>
        <v/>
      </c>
      <c r="JS212" s="110" t="str">
        <f t="shared" si="587"/>
        <v/>
      </c>
      <c r="JT212" s="110" t="str">
        <f t="shared" si="588"/>
        <v/>
      </c>
      <c r="JU212" s="110" t="str">
        <f t="shared" si="589"/>
        <v/>
      </c>
      <c r="JV212" s="110" t="str">
        <f t="shared" si="590"/>
        <v/>
      </c>
      <c r="JW212" s="110" t="str">
        <f t="shared" si="591"/>
        <v/>
      </c>
      <c r="JX212" s="110" t="str">
        <f t="shared" si="662"/>
        <v/>
      </c>
      <c r="JY212" s="110" t="str">
        <f t="shared" si="663"/>
        <v/>
      </c>
      <c r="JZ212" s="110" t="str">
        <f t="shared" si="592"/>
        <v/>
      </c>
      <c r="KA212" s="108" t="str">
        <f t="shared" si="664"/>
        <v/>
      </c>
    </row>
    <row r="213" spans="1:287" s="148" customFormat="1" ht="18.75" customHeight="1">
      <c r="A213" s="1273"/>
      <c r="B213" s="1274"/>
      <c r="C213" s="1274"/>
      <c r="D213" s="1274"/>
      <c r="E213" s="1274"/>
      <c r="F213" s="1275"/>
      <c r="G213" s="1218" t="str">
        <f>IF('School Profile'!$D$12="Hindi","कुल उत्तीर्ण प्रतिशत में  :","Total Pass  %  :")</f>
        <v>कुल उत्तीर्ण प्रतिशत में  :</v>
      </c>
      <c r="H213" s="1218"/>
      <c r="I213" s="1203" t="s">
        <v>41</v>
      </c>
      <c r="J213" s="1203"/>
      <c r="K213" s="1121">
        <f>IF(AND(K208="",K209=""),"",IF(K210=0,0,Q212/K210*100))</f>
        <v>96.666666666666671</v>
      </c>
      <c r="L213" s="1121"/>
      <c r="M213" s="1121"/>
      <c r="N213" s="1121"/>
      <c r="O213" s="1121"/>
      <c r="P213" s="1121"/>
      <c r="Q213" s="1121"/>
      <c r="R213" s="1121"/>
      <c r="S213" s="1121"/>
      <c r="T213" s="1121"/>
      <c r="U213" s="1121"/>
      <c r="V213" s="1121"/>
      <c r="W213" s="1121"/>
      <c r="X213" s="1121"/>
      <c r="Y213" s="1121">
        <f>IF(AND(Y208="",Y209=""),"",IF(Y210=0,0,AE212/Y210*100))</f>
        <v>100</v>
      </c>
      <c r="Z213" s="1121"/>
      <c r="AA213" s="1121"/>
      <c r="AB213" s="1121"/>
      <c r="AC213" s="1121"/>
      <c r="AD213" s="1121"/>
      <c r="AE213" s="1121"/>
      <c r="AF213" s="1121"/>
      <c r="AG213" s="1121"/>
      <c r="AH213" s="1121"/>
      <c r="AI213" s="1121"/>
      <c r="AJ213" s="1121"/>
      <c r="AK213" s="1121"/>
      <c r="AL213" s="1121"/>
      <c r="AM213" s="1114">
        <f>IF(AND(AM208="",AM209=""),"",IF(AM210=0,0,AQ212/AM210*100))</f>
        <v>100</v>
      </c>
      <c r="AN213" s="1115"/>
      <c r="AO213" s="1115"/>
      <c r="AP213" s="1115"/>
      <c r="AQ213" s="1116"/>
      <c r="AR213" s="1121">
        <f>IF(AND(AR208="",AR209=""),"",IF(AR210=0,0,BB212/AR210*100))</f>
        <v>100</v>
      </c>
      <c r="AS213" s="1121"/>
      <c r="AT213" s="1121"/>
      <c r="AU213" s="1121"/>
      <c r="AV213" s="1121"/>
      <c r="AW213" s="1121"/>
      <c r="AX213" s="1121"/>
      <c r="AY213" s="1121"/>
      <c r="AZ213" s="1121"/>
      <c r="BA213" s="1121"/>
      <c r="BB213" s="1121"/>
      <c r="BC213" s="1121">
        <f>IF(AND(BC208="",BC209=""),"",IF(BC210=0,0,BG212/BC210*100))</f>
        <v>100</v>
      </c>
      <c r="BD213" s="1121"/>
      <c r="BE213" s="1121"/>
      <c r="BF213" s="1121"/>
      <c r="BG213" s="1121"/>
      <c r="BH213" s="1114">
        <f>IF(AND(BH208="",BH209=""),"",IF(BH210=0,0,BR212/BH210*100))</f>
        <v>100</v>
      </c>
      <c r="BI213" s="1115"/>
      <c r="BJ213" s="1115"/>
      <c r="BK213" s="1115"/>
      <c r="BL213" s="1115"/>
      <c r="BM213" s="1115"/>
      <c r="BN213" s="1115"/>
      <c r="BO213" s="1115"/>
      <c r="BP213" s="1115"/>
      <c r="BQ213" s="1115"/>
      <c r="BR213" s="1116"/>
      <c r="BS213" s="1121">
        <f>IF(AND(BS208="",BS209=""),"",IF(BS210=0,0,BW212/BS210*100))</f>
        <v>100</v>
      </c>
      <c r="BT213" s="1121"/>
      <c r="BU213" s="1121"/>
      <c r="BV213" s="1121"/>
      <c r="BW213" s="1121"/>
      <c r="BX213" s="143"/>
      <c r="BY213" s="144"/>
      <c r="BZ213" s="372"/>
      <c r="CA213" s="372"/>
      <c r="CB213" s="372"/>
      <c r="CC213" s="145"/>
      <c r="CD213" s="146"/>
      <c r="CE213" s="1121">
        <f>IF(AND(CE208="",CE209=""),"",IF(CE210=0,0,CI212/CE210*100))</f>
        <v>96.774193548387103</v>
      </c>
      <c r="CF213" s="1121"/>
      <c r="CG213" s="1121"/>
      <c r="CH213" s="1121"/>
      <c r="CI213" s="1121"/>
      <c r="CJ213" s="1121">
        <f>IF(AND(CJ208="",CJ209=""),"",IF(CJ210=0,0,CT212/CJ210*100))</f>
        <v>100</v>
      </c>
      <c r="CK213" s="1121"/>
      <c r="CL213" s="1121"/>
      <c r="CM213" s="1121"/>
      <c r="CN213" s="1121"/>
      <c r="CO213" s="1121"/>
      <c r="CP213" s="1121"/>
      <c r="CQ213" s="1121"/>
      <c r="CR213" s="1121"/>
      <c r="CS213" s="1121"/>
      <c r="CT213" s="1121"/>
      <c r="CU213" s="1121">
        <f>IF(AND(CU208="",CU209=""),"",IF(CU210=0,0,CY212/CU210*100))</f>
        <v>100</v>
      </c>
      <c r="CV213" s="1121"/>
      <c r="CW213" s="1121"/>
      <c r="CX213" s="1121"/>
      <c r="CY213" s="1121"/>
      <c r="CZ213" s="1114">
        <f>IF(AND(CZ208="",CZ209=""),"",IF(CZ210=0,0,DE212/CZ210*100))</f>
        <v>100</v>
      </c>
      <c r="DA213" s="1115"/>
      <c r="DB213" s="1115"/>
      <c r="DC213" s="1115"/>
      <c r="DD213" s="1115"/>
      <c r="DE213" s="1116"/>
      <c r="DF213" s="383"/>
      <c r="DG213" s="384"/>
      <c r="DH213" s="147"/>
      <c r="DI213" s="147"/>
      <c r="DJ213" s="147"/>
      <c r="DK213" s="147"/>
      <c r="DL213" s="115"/>
      <c r="DM213" s="115"/>
      <c r="DN213" s="115"/>
      <c r="DO213" s="115"/>
      <c r="DP213" s="115"/>
      <c r="DQ213" s="115"/>
      <c r="DR213" s="115"/>
      <c r="DS213" s="115"/>
      <c r="DT213" s="115"/>
      <c r="DU213" s="115"/>
      <c r="DV213" s="115"/>
      <c r="DW213" s="115"/>
      <c r="DX213" s="115"/>
      <c r="DY213" s="115"/>
      <c r="DZ213" s="1096">
        <f>IF(AND(DZ208="",DZ209=""),"",IF(DZ210=0,0,EE212/DZ210*100))</f>
        <v>100</v>
      </c>
      <c r="EA213" s="1097"/>
      <c r="EB213" s="1097"/>
      <c r="EC213" s="1097"/>
      <c r="ED213" s="1097"/>
      <c r="EE213" s="1097"/>
      <c r="EF213" s="1098"/>
      <c r="EG213" s="1153"/>
      <c r="EH213" s="1154"/>
      <c r="EI213" s="365"/>
      <c r="EJ213" s="365"/>
      <c r="EK213" s="365"/>
      <c r="EL213" s="1078">
        <f>IF(AND(EL208="",EL209=""),"",IF(EL210=0,0,EQ212/EL210*100))</f>
        <v>100</v>
      </c>
      <c r="EM213" s="1078"/>
      <c r="EN213" s="1078"/>
      <c r="EO213" s="1078"/>
      <c r="EP213" s="1078"/>
      <c r="EQ213" s="1078"/>
      <c r="ER213" s="1078"/>
      <c r="ES213" s="1159"/>
      <c r="ET213" s="1094"/>
      <c r="EU213" s="1094"/>
      <c r="EV213" s="1094"/>
      <c r="EW213" s="1094"/>
      <c r="EX213" s="1094"/>
      <c r="EY213" s="365"/>
      <c r="EZ213" s="365"/>
      <c r="FA213" s="365"/>
      <c r="FB213" s="1078">
        <f>IF(AND(FB208="",FB209=""),"",IF(FB210=0,0,FG212/FB210*100))</f>
        <v>100</v>
      </c>
      <c r="FC213" s="1078"/>
      <c r="FD213" s="1078"/>
      <c r="FE213" s="1078"/>
      <c r="FF213" s="1078"/>
      <c r="FG213" s="1078"/>
      <c r="FH213" s="1078"/>
      <c r="FI213" s="569"/>
      <c r="FJ213" s="1078">
        <f>IF(AND(FJ208="",FJ209=""),"",IF(FJ210=0,0,FO212/FJ210*100))</f>
        <v>100</v>
      </c>
      <c r="FK213" s="1078"/>
      <c r="FL213" s="1078"/>
      <c r="FM213" s="1078"/>
      <c r="FN213" s="1078"/>
      <c r="FO213" s="1078"/>
      <c r="FP213" s="1078"/>
      <c r="FQ213" s="570"/>
      <c r="FR213" s="365"/>
      <c r="FS213" s="365"/>
      <c r="FT213" s="365"/>
      <c r="FU213" s="1096">
        <f>IF(AND(FU208="",FU209=""),"",IF(FU210=0,0,GC212/FU210*100))</f>
        <v>100</v>
      </c>
      <c r="FV213" s="1097"/>
      <c r="FW213" s="1097"/>
      <c r="FX213" s="1097"/>
      <c r="FY213" s="1097"/>
      <c r="FZ213" s="1097"/>
      <c r="GA213" s="1097"/>
      <c r="GB213" s="1097"/>
      <c r="GC213" s="1097"/>
      <c r="GD213" s="1098"/>
      <c r="GE213" s="1094"/>
      <c r="GF213" s="1094"/>
      <c r="GG213" s="1094"/>
      <c r="GH213" s="365"/>
      <c r="GI213" s="365"/>
      <c r="GJ213" s="365"/>
      <c r="GK213" s="121"/>
      <c r="GL213" s="121"/>
      <c r="GM213" s="121"/>
      <c r="GN213" s="121"/>
      <c r="GO213" s="121"/>
      <c r="GP213" s="121"/>
      <c r="GQ213" s="121"/>
      <c r="GR213" s="121"/>
      <c r="GS213" s="121"/>
      <c r="GT213" s="121"/>
      <c r="GU213" s="121"/>
      <c r="GV213" s="121"/>
      <c r="GW213" s="121"/>
      <c r="GX213" s="121"/>
      <c r="GY213" s="121"/>
      <c r="GZ213" s="121"/>
      <c r="HA213" s="121"/>
      <c r="HB213" s="121"/>
      <c r="HC213" s="121"/>
      <c r="HD213" s="121"/>
      <c r="HE213" s="121"/>
      <c r="HF213" s="121"/>
      <c r="HG213" s="121"/>
      <c r="HH213" s="121"/>
      <c r="HI213" s="121"/>
      <c r="HJ213" s="121"/>
      <c r="HK213" s="121"/>
      <c r="HL213" s="121"/>
      <c r="HM213" s="121"/>
      <c r="HN213" s="121"/>
      <c r="HO213" s="121"/>
      <c r="HP213" s="1181" t="str">
        <f>IF('School Profile'!$D$12="Hindi","हस्ताक्षर जांचकर्ता","Signature of the checker")</f>
        <v>हस्ताक्षर जांचकर्ता</v>
      </c>
      <c r="HQ213" s="1182"/>
      <c r="HR213" s="1071" t="str">
        <f>CONCATENATE("( ",UPPER('School Profile'!D16)," )")</f>
        <v>( RAKESH KUMAR )</v>
      </c>
      <c r="HS213" s="1088" t="str">
        <f>IF('School Profile'!$D$12="Hindi","पूरक","Supp.")</f>
        <v>पूरक</v>
      </c>
      <c r="HT213" s="1088"/>
      <c r="HU213" s="1088"/>
      <c r="HV213" s="1227">
        <f>COUNTIF(HS7:HS206,"Supplementary")</f>
        <v>1</v>
      </c>
      <c r="HW213" s="1228"/>
      <c r="HX213" s="1083"/>
      <c r="HY213" s="1087" t="str">
        <f>IF('School Profile'!$D$12="Hindi","पूरक","Supp.")</f>
        <v>पूरक</v>
      </c>
      <c r="HZ213" s="1088"/>
      <c r="IA213" s="1088"/>
      <c r="IB213" s="551">
        <f>COUNTIF(IB7:IB206,"Supplementary")</f>
        <v>0</v>
      </c>
      <c r="IC213" s="602">
        <f>IB213</f>
        <v>0</v>
      </c>
      <c r="IS213" s="109" t="str">
        <f>IF('Supp. Result Entry'!T211="","",'Supp. Result Entry'!$T$4)</f>
        <v/>
      </c>
      <c r="IT213" s="110" t="str">
        <f>IF('Supp. Result Entry'!W211="","",'Supp. Result Entry'!$W$4)</f>
        <v/>
      </c>
      <c r="IU213" s="110" t="str">
        <f>IF('Supp. Result Entry'!Z211="","",'Supp. Result Entry'!$Z$4)</f>
        <v/>
      </c>
      <c r="IV213" s="110" t="str">
        <f>IF('Supp. Result Entry'!AC211="","",'Supp. Result Entry'!$AC$4)</f>
        <v/>
      </c>
      <c r="IW213" s="110" t="str">
        <f>IF('Supp. Result Entry'!AF211="","",'Supp. Result Entry'!$AF$4)</f>
        <v/>
      </c>
      <c r="IX213" s="110" t="str">
        <f>IF('Supp. Result Entry'!AI211="","",'Supp. Result Entry'!$AI$4)</f>
        <v/>
      </c>
      <c r="IY213" s="110" t="str">
        <f>IF('Supp. Result Entry'!AI211="","",'Supp. Result Entry'!$AL$4)</f>
        <v/>
      </c>
      <c r="IZ213" s="110" t="str">
        <f>IF('Supp. Result Entry'!U211="","",'Supp. Result Entry'!U211)</f>
        <v/>
      </c>
      <c r="JA213" s="110" t="str">
        <f>IF('Supp. Result Entry'!X211="","",'Supp. Result Entry'!X211)</f>
        <v/>
      </c>
      <c r="JB213" s="110" t="str">
        <f>IF('Supp. Result Entry'!AA211="","",'Supp. Result Entry'!AA211)</f>
        <v/>
      </c>
      <c r="JC213" s="110" t="str">
        <f>IF('Supp. Result Entry'!AD211="","",'Supp. Result Entry'!AD211)</f>
        <v/>
      </c>
      <c r="JD213" s="110" t="str">
        <f>IF('Supp. Result Entry'!AG211="","",'Supp. Result Entry'!AG211)</f>
        <v/>
      </c>
      <c r="JE213" s="110" t="str">
        <f>IF('Supp. Result Entry'!AJ211="","",'Supp. Result Entry'!AJ211)</f>
        <v/>
      </c>
      <c r="JF213" s="110" t="str">
        <f>IF('Supp. Result Entry'!AM211="","",'Supp. Result Entry'!AM211)</f>
        <v/>
      </c>
      <c r="JG213" s="110" t="str">
        <f>IF('Supp. Result Entry'!V211="","",'Supp. Result Entry'!V211)</f>
        <v/>
      </c>
      <c r="JH213" s="110" t="str">
        <f>IF('Supp. Result Entry'!Y211="","",'Supp. Result Entry'!Y211)</f>
        <v/>
      </c>
      <c r="JI213" s="110" t="str">
        <f>IF('Supp. Result Entry'!AB211="","",'Supp. Result Entry'!AB211)</f>
        <v/>
      </c>
      <c r="JJ213" s="110" t="str">
        <f>IF('Supp. Result Entry'!AE211="","",'Supp. Result Entry'!AE211)</f>
        <v/>
      </c>
      <c r="JK213" s="110" t="str">
        <f>IF('Supp. Result Entry'!AH211="","",'Supp. Result Entry'!AH211)</f>
        <v/>
      </c>
      <c r="JL213" s="110" t="str">
        <f>IF('Supp. Result Entry'!AK211="","",'Supp. Result Entry'!AK211)</f>
        <v/>
      </c>
      <c r="JM213" s="110" t="str">
        <f>IF('Supp. Result Entry'!AN211="","",'Supp. Result Entry'!AN211)</f>
        <v/>
      </c>
      <c r="JN213" s="110">
        <f>COUNTIF('Supp. Result Entry'!K211:Q211,"S")</f>
        <v>0</v>
      </c>
      <c r="JO213" s="110">
        <f t="shared" si="584"/>
        <v>0</v>
      </c>
      <c r="JP213" s="110">
        <f t="shared" si="661"/>
        <v>0</v>
      </c>
      <c r="JQ213" s="110" t="str">
        <f t="shared" si="585"/>
        <v/>
      </c>
      <c r="JR213" s="110" t="str">
        <f t="shared" si="586"/>
        <v/>
      </c>
      <c r="JS213" s="110" t="str">
        <f t="shared" si="587"/>
        <v/>
      </c>
      <c r="JT213" s="110" t="str">
        <f t="shared" si="588"/>
        <v/>
      </c>
      <c r="JU213" s="110" t="str">
        <f t="shared" si="589"/>
        <v/>
      </c>
      <c r="JV213" s="110" t="str">
        <f t="shared" si="590"/>
        <v/>
      </c>
      <c r="JW213" s="110" t="str">
        <f t="shared" si="591"/>
        <v/>
      </c>
      <c r="JX213" s="110" t="str">
        <f t="shared" si="662"/>
        <v/>
      </c>
      <c r="JY213" s="110" t="str">
        <f t="shared" si="663"/>
        <v/>
      </c>
      <c r="JZ213" s="110" t="str">
        <f t="shared" si="592"/>
        <v/>
      </c>
      <c r="KA213" s="108" t="str">
        <f t="shared" si="664"/>
        <v/>
      </c>
    </row>
    <row r="214" spans="1:287" s="153" customFormat="1" ht="20.25" customHeight="1">
      <c r="A214" s="1273"/>
      <c r="B214" s="1274"/>
      <c r="C214" s="1274"/>
      <c r="D214" s="1274"/>
      <c r="E214" s="1274"/>
      <c r="F214" s="1275"/>
      <c r="G214" s="1218" t="str">
        <f>IF('School Profile'!$D$12="Hindi","पूरक परीक्षा  :","Supplementary  :")</f>
        <v>पूरक परीक्षा  :</v>
      </c>
      <c r="H214" s="1218"/>
      <c r="I214" s="1203" t="s">
        <v>41</v>
      </c>
      <c r="J214" s="1203"/>
      <c r="K214" s="1202">
        <f>IF(AND(K208="",K209=""),"",COUNTIF(GN7:GN206,"S"))</f>
        <v>0</v>
      </c>
      <c r="L214" s="1202"/>
      <c r="M214" s="1202"/>
      <c r="N214" s="1202"/>
      <c r="O214" s="1202"/>
      <c r="P214" s="1202"/>
      <c r="Q214" s="1202"/>
      <c r="R214" s="1202"/>
      <c r="S214" s="1202"/>
      <c r="T214" s="1202"/>
      <c r="U214" s="1202"/>
      <c r="V214" s="1202"/>
      <c r="W214" s="1202"/>
      <c r="X214" s="1202"/>
      <c r="Y214" s="1202">
        <f>IF(AND(Y208="",Y209=""),"",COUNTIF(GQ7:GQ206,"S"))</f>
        <v>0</v>
      </c>
      <c r="Z214" s="1202"/>
      <c r="AA214" s="1202"/>
      <c r="AB214" s="1202"/>
      <c r="AC214" s="1202"/>
      <c r="AD214" s="1202"/>
      <c r="AE214" s="1202"/>
      <c r="AF214" s="1202"/>
      <c r="AG214" s="1202"/>
      <c r="AH214" s="1202"/>
      <c r="AI214" s="1202"/>
      <c r="AJ214" s="1202"/>
      <c r="AK214" s="1202"/>
      <c r="AL214" s="1202"/>
      <c r="AM214" s="1102">
        <f>IF(AND(AM208="",AM209=""),"",COUNTIF(GU7:GU206,"s"))</f>
        <v>0</v>
      </c>
      <c r="AN214" s="1103"/>
      <c r="AO214" s="1103"/>
      <c r="AP214" s="1103"/>
      <c r="AQ214" s="1104"/>
      <c r="AR214" s="1102">
        <f>IF(AND(AR208="",AR209=""),"",COUNTIF(GV7:GV206,"S"))</f>
        <v>0</v>
      </c>
      <c r="AS214" s="1103"/>
      <c r="AT214" s="1103"/>
      <c r="AU214" s="1103"/>
      <c r="AV214" s="1103"/>
      <c r="AW214" s="1103"/>
      <c r="AX214" s="1103"/>
      <c r="AY214" s="1103"/>
      <c r="AZ214" s="1103"/>
      <c r="BA214" s="1103"/>
      <c r="BB214" s="1104"/>
      <c r="BC214" s="1102">
        <f>IF(AND(BC208="",BC209=""),"",COUNTIF(GW7:GW206,"S"))</f>
        <v>0</v>
      </c>
      <c r="BD214" s="1103"/>
      <c r="BE214" s="1103"/>
      <c r="BF214" s="1103"/>
      <c r="BG214" s="1104"/>
      <c r="BH214" s="1102">
        <f>IF(AND(BH208="",BH209=""),"",COUNTIF(GX7:GX206,"S"))</f>
        <v>0</v>
      </c>
      <c r="BI214" s="1103"/>
      <c r="BJ214" s="1103"/>
      <c r="BK214" s="1103"/>
      <c r="BL214" s="1103"/>
      <c r="BM214" s="1103"/>
      <c r="BN214" s="1103"/>
      <c r="BO214" s="1103"/>
      <c r="BP214" s="1103"/>
      <c r="BQ214" s="1103"/>
      <c r="BR214" s="1104"/>
      <c r="BS214" s="1117">
        <f>IF(AND(BS208="",BS209=""),"",COUNTIF(GY7:GY206,"S"))</f>
        <v>0</v>
      </c>
      <c r="BT214" s="1117"/>
      <c r="BU214" s="1117"/>
      <c r="BV214" s="1117"/>
      <c r="BW214" s="1117"/>
      <c r="BX214" s="149"/>
      <c r="BY214" s="150"/>
      <c r="BZ214" s="372"/>
      <c r="CA214" s="372"/>
      <c r="CB214" s="372"/>
      <c r="CC214" s="151"/>
      <c r="CD214" s="372"/>
      <c r="CE214" s="1117">
        <f>IF(AND(CE208="",CE209=""),"",COUNTIF(HB7:HB206,"S"))</f>
        <v>1</v>
      </c>
      <c r="CF214" s="1117"/>
      <c r="CG214" s="1117"/>
      <c r="CH214" s="1117"/>
      <c r="CI214" s="1117"/>
      <c r="CJ214" s="1117">
        <f>IF(AND(CJ208="",CJ209=""),"",COUNTIF(HE7:HE206,"S"))</f>
        <v>0</v>
      </c>
      <c r="CK214" s="1117"/>
      <c r="CL214" s="1117"/>
      <c r="CM214" s="1117"/>
      <c r="CN214" s="1117"/>
      <c r="CO214" s="1117"/>
      <c r="CP214" s="1117"/>
      <c r="CQ214" s="1117"/>
      <c r="CR214" s="1117"/>
      <c r="CS214" s="1117"/>
      <c r="CT214" s="1117"/>
      <c r="CU214" s="1117">
        <f>IF(AND(CU208="",CU209=""),"",COUNTIF(HH7:HH206,"S"))</f>
        <v>0</v>
      </c>
      <c r="CV214" s="1117"/>
      <c r="CW214" s="1117"/>
      <c r="CX214" s="1117"/>
      <c r="CY214" s="1117"/>
      <c r="CZ214" s="1102">
        <f>IF(AND(CZ208="",CZ209=""),"",COUNTIF(HK7:HK206,"S"))</f>
        <v>0</v>
      </c>
      <c r="DA214" s="1103"/>
      <c r="DB214" s="1103"/>
      <c r="DC214" s="1103"/>
      <c r="DD214" s="1103"/>
      <c r="DE214" s="1104"/>
      <c r="DF214" s="385"/>
      <c r="DG214" s="386"/>
      <c r="DH214" s="152"/>
      <c r="DI214" s="152"/>
      <c r="DJ214" s="152"/>
      <c r="DK214" s="152"/>
      <c r="DL214" s="115"/>
      <c r="DM214" s="115"/>
      <c r="DN214" s="115"/>
      <c r="DO214" s="115"/>
      <c r="DP214" s="115"/>
      <c r="DQ214" s="115"/>
      <c r="DR214" s="115"/>
      <c r="DS214" s="115"/>
      <c r="DT214" s="115"/>
      <c r="DU214" s="115"/>
      <c r="DV214" s="115"/>
      <c r="DW214" s="115"/>
      <c r="DX214" s="115"/>
      <c r="DY214" s="115"/>
      <c r="DZ214" s="1068">
        <f>IF(AND(DZ208="",DZ209=""),"",COUNTIF(EH7:EH206,"S"))</f>
        <v>0</v>
      </c>
      <c r="EA214" s="1069"/>
      <c r="EB214" s="1069"/>
      <c r="EC214" s="1069"/>
      <c r="ED214" s="1069"/>
      <c r="EE214" s="1069"/>
      <c r="EF214" s="1070"/>
      <c r="EG214" s="1153"/>
      <c r="EH214" s="1154"/>
      <c r="EI214" s="365"/>
      <c r="EJ214" s="365"/>
      <c r="EK214" s="365"/>
      <c r="EL214" s="1068">
        <f>IF(AND(EL208="",EL209=""),"",COUNTIF(EX7:EX206,"S"))</f>
        <v>0</v>
      </c>
      <c r="EM214" s="1069"/>
      <c r="EN214" s="1069"/>
      <c r="EO214" s="1069"/>
      <c r="EP214" s="1069"/>
      <c r="EQ214" s="1069"/>
      <c r="ER214" s="1070"/>
      <c r="ES214" s="1159"/>
      <c r="ET214" s="1094"/>
      <c r="EU214" s="1094"/>
      <c r="EV214" s="1094"/>
      <c r="EW214" s="1094"/>
      <c r="EX214" s="1094"/>
      <c r="EY214" s="365"/>
      <c r="EZ214" s="365"/>
      <c r="FA214" s="365"/>
      <c r="FB214" s="1068">
        <f>IF(AND(FB208="",FB209=""),"",COUNTIF(FQ7:FQ206,"S"))</f>
        <v>0</v>
      </c>
      <c r="FC214" s="1069"/>
      <c r="FD214" s="1069"/>
      <c r="FE214" s="1069"/>
      <c r="FF214" s="1069"/>
      <c r="FG214" s="1069"/>
      <c r="FH214" s="1070"/>
      <c r="FI214" s="569"/>
      <c r="FJ214" s="1068">
        <f>IF(AND(FJ208="",FJ209=""),"",COUNTIF(FY7:FY206,"S"))</f>
        <v>0</v>
      </c>
      <c r="FK214" s="1069"/>
      <c r="FL214" s="1069"/>
      <c r="FM214" s="1069"/>
      <c r="FN214" s="1069"/>
      <c r="FO214" s="1069"/>
      <c r="FP214" s="1070"/>
      <c r="FQ214" s="570"/>
      <c r="FR214" s="365"/>
      <c r="FS214" s="365"/>
      <c r="FT214" s="365"/>
      <c r="FU214" s="1068">
        <f>IF(AND(FU208="",FU209=""),"",COUNTIF(GG7:GG206,"S"))</f>
        <v>0</v>
      </c>
      <c r="FV214" s="1069"/>
      <c r="FW214" s="1069"/>
      <c r="FX214" s="1069"/>
      <c r="FY214" s="1069"/>
      <c r="FZ214" s="1069"/>
      <c r="GA214" s="1069"/>
      <c r="GB214" s="1069"/>
      <c r="GC214" s="1069"/>
      <c r="GD214" s="1070"/>
      <c r="GE214" s="1094"/>
      <c r="GF214" s="1094"/>
      <c r="GG214" s="1094"/>
      <c r="GH214" s="365"/>
      <c r="GI214" s="365"/>
      <c r="GJ214" s="365"/>
      <c r="GK214" s="121"/>
      <c r="GL214" s="121"/>
      <c r="GM214" s="121"/>
      <c r="GN214" s="121"/>
      <c r="GO214" s="121"/>
      <c r="GP214" s="121"/>
      <c r="GQ214" s="121"/>
      <c r="GR214" s="121"/>
      <c r="GS214" s="121"/>
      <c r="GT214" s="121"/>
      <c r="GU214" s="121"/>
      <c r="GV214" s="121"/>
      <c r="GW214" s="121"/>
      <c r="GX214" s="121"/>
      <c r="GY214" s="121"/>
      <c r="GZ214" s="121"/>
      <c r="HA214" s="121"/>
      <c r="HB214" s="121"/>
      <c r="HC214" s="121"/>
      <c r="HD214" s="121"/>
      <c r="HE214" s="121"/>
      <c r="HF214" s="121"/>
      <c r="HG214" s="121"/>
      <c r="HH214" s="121"/>
      <c r="HI214" s="121"/>
      <c r="HJ214" s="121"/>
      <c r="HK214" s="121"/>
      <c r="HL214" s="121"/>
      <c r="HM214" s="121"/>
      <c r="HN214" s="121"/>
      <c r="HO214" s="121"/>
      <c r="HP214" s="1181"/>
      <c r="HQ214" s="1182"/>
      <c r="HR214" s="1071"/>
      <c r="HS214" s="1088" t="str">
        <f>IF('School Profile'!$D$12="Hindi","अनुतीर्ण","Failed")</f>
        <v>अनुतीर्ण</v>
      </c>
      <c r="HT214" s="1088"/>
      <c r="HU214" s="1088"/>
      <c r="HV214" s="1229">
        <f>COUNTIF(HS7:HS206,"Fail")</f>
        <v>2</v>
      </c>
      <c r="HW214" s="1230"/>
      <c r="HX214" s="1083"/>
      <c r="HY214" s="1087" t="str">
        <f>IF('School Profile'!$D$12="Hindi","अनुतीर्ण","Failed")</f>
        <v>अनुतीर्ण</v>
      </c>
      <c r="HZ214" s="1088"/>
      <c r="IA214" s="1088"/>
      <c r="IB214" s="547">
        <f>COUNTIF(IB7:IB206,"FAIL")</f>
        <v>0</v>
      </c>
      <c r="IC214" s="603">
        <f>HV214</f>
        <v>2</v>
      </c>
      <c r="IS214" s="109" t="str">
        <f>IF('Supp. Result Entry'!T212="","",'Supp. Result Entry'!$T$4)</f>
        <v/>
      </c>
      <c r="IT214" s="110" t="str">
        <f>IF('Supp. Result Entry'!W212="","",'Supp. Result Entry'!$W$4)</f>
        <v/>
      </c>
      <c r="IU214" s="110" t="str">
        <f>IF('Supp. Result Entry'!Z212="","",'Supp. Result Entry'!$Z$4)</f>
        <v/>
      </c>
      <c r="IV214" s="110" t="str">
        <f>IF('Supp. Result Entry'!AC212="","",'Supp. Result Entry'!$AC$4)</f>
        <v/>
      </c>
      <c r="IW214" s="110" t="str">
        <f>IF('Supp. Result Entry'!AF212="","",'Supp. Result Entry'!$AF$4)</f>
        <v/>
      </c>
      <c r="IX214" s="110" t="str">
        <f>IF('Supp. Result Entry'!AI212="","",'Supp. Result Entry'!$AI$4)</f>
        <v/>
      </c>
      <c r="IY214" s="110" t="str">
        <f>IF('Supp. Result Entry'!AI212="","",'Supp. Result Entry'!$AL$4)</f>
        <v/>
      </c>
      <c r="IZ214" s="110" t="str">
        <f>IF('Supp. Result Entry'!U212="","",'Supp. Result Entry'!U212)</f>
        <v/>
      </c>
      <c r="JA214" s="110" t="str">
        <f>IF('Supp. Result Entry'!X212="","",'Supp. Result Entry'!X212)</f>
        <v/>
      </c>
      <c r="JB214" s="110" t="str">
        <f>IF('Supp. Result Entry'!AA212="","",'Supp. Result Entry'!AA212)</f>
        <v/>
      </c>
      <c r="JC214" s="110" t="str">
        <f>IF('Supp. Result Entry'!AD212="","",'Supp. Result Entry'!AD212)</f>
        <v/>
      </c>
      <c r="JD214" s="110" t="str">
        <f>IF('Supp. Result Entry'!AG212="","",'Supp. Result Entry'!AG212)</f>
        <v/>
      </c>
      <c r="JE214" s="110" t="str">
        <f>IF('Supp. Result Entry'!AJ212="","",'Supp. Result Entry'!AJ212)</f>
        <v/>
      </c>
      <c r="JF214" s="110" t="str">
        <f>IF('Supp. Result Entry'!AM212="","",'Supp. Result Entry'!AM212)</f>
        <v/>
      </c>
      <c r="JG214" s="110" t="str">
        <f>IF('Supp. Result Entry'!V212="","",'Supp. Result Entry'!V212)</f>
        <v/>
      </c>
      <c r="JH214" s="110" t="str">
        <f>IF('Supp. Result Entry'!Y212="","",'Supp. Result Entry'!Y212)</f>
        <v/>
      </c>
      <c r="JI214" s="110" t="str">
        <f>IF('Supp. Result Entry'!AB212="","",'Supp. Result Entry'!AB212)</f>
        <v/>
      </c>
      <c r="JJ214" s="110" t="str">
        <f>IF('Supp. Result Entry'!AE212="","",'Supp. Result Entry'!AE212)</f>
        <v/>
      </c>
      <c r="JK214" s="110" t="str">
        <f>IF('Supp. Result Entry'!AH212="","",'Supp. Result Entry'!AH212)</f>
        <v/>
      </c>
      <c r="JL214" s="110" t="str">
        <f>IF('Supp. Result Entry'!AK212="","",'Supp. Result Entry'!AK212)</f>
        <v/>
      </c>
      <c r="JM214" s="110" t="str">
        <f>IF('Supp. Result Entry'!AN212="","",'Supp. Result Entry'!AN212)</f>
        <v/>
      </c>
      <c r="JN214" s="110">
        <f>COUNTIF('Supp. Result Entry'!K212:Q212,"S")</f>
        <v>0</v>
      </c>
      <c r="JO214" s="110">
        <f t="shared" si="584"/>
        <v>0</v>
      </c>
      <c r="JP214" s="110">
        <f t="shared" si="661"/>
        <v>0</v>
      </c>
      <c r="JQ214" s="110" t="str">
        <f t="shared" si="585"/>
        <v/>
      </c>
      <c r="JR214" s="110" t="str">
        <f t="shared" si="586"/>
        <v/>
      </c>
      <c r="JS214" s="110" t="str">
        <f t="shared" si="587"/>
        <v/>
      </c>
      <c r="JT214" s="110" t="str">
        <f t="shared" si="588"/>
        <v/>
      </c>
      <c r="JU214" s="110" t="str">
        <f t="shared" si="589"/>
        <v/>
      </c>
      <c r="JV214" s="110" t="str">
        <f t="shared" si="590"/>
        <v/>
      </c>
      <c r="JW214" s="110" t="str">
        <f t="shared" si="591"/>
        <v/>
      </c>
      <c r="JX214" s="110" t="str">
        <f t="shared" si="662"/>
        <v/>
      </c>
      <c r="JY214" s="110" t="str">
        <f t="shared" si="663"/>
        <v/>
      </c>
      <c r="JZ214" s="110" t="str">
        <f t="shared" si="592"/>
        <v/>
      </c>
      <c r="KA214" s="108" t="str">
        <f t="shared" si="664"/>
        <v/>
      </c>
    </row>
    <row r="215" spans="1:287" s="156" customFormat="1" ht="20.25" customHeight="1">
      <c r="A215" s="1273"/>
      <c r="B215" s="1274"/>
      <c r="C215" s="1274"/>
      <c r="D215" s="1274"/>
      <c r="E215" s="1274"/>
      <c r="F215" s="1275"/>
      <c r="G215" s="1222" t="str">
        <f>IF('School Profile'!$D$12="Hindi","अनुतीर्ण  :","Failed  :")</f>
        <v>अनुतीर्ण  :</v>
      </c>
      <c r="H215" s="1222"/>
      <c r="I215" s="1203" t="s">
        <v>41</v>
      </c>
      <c r="J215" s="1203"/>
      <c r="K215" s="1202">
        <f>IF(AND(K208="",K209=""),"",COUNTIF(GN7:GN206,"F")+COUNTIF(GN7:GN206,"FP"))</f>
        <v>1</v>
      </c>
      <c r="L215" s="1202"/>
      <c r="M215" s="1202"/>
      <c r="N215" s="1202"/>
      <c r="O215" s="1202"/>
      <c r="P215" s="1202"/>
      <c r="Q215" s="1202"/>
      <c r="R215" s="1202"/>
      <c r="S215" s="1202"/>
      <c r="T215" s="1202"/>
      <c r="U215" s="1202"/>
      <c r="V215" s="1202"/>
      <c r="W215" s="1202"/>
      <c r="X215" s="1202"/>
      <c r="Y215" s="1202">
        <f>IF(AND(Y208="",Y209=""),"",COUNTIF(GQ7:GQ206,"F")+COUNTIF(GQ7:GQ206,"FP"))</f>
        <v>0</v>
      </c>
      <c r="Z215" s="1202"/>
      <c r="AA215" s="1202"/>
      <c r="AB215" s="1202"/>
      <c r="AC215" s="1202"/>
      <c r="AD215" s="1202"/>
      <c r="AE215" s="1202"/>
      <c r="AF215" s="1202"/>
      <c r="AG215" s="1202"/>
      <c r="AH215" s="1202"/>
      <c r="AI215" s="1202"/>
      <c r="AJ215" s="1202"/>
      <c r="AK215" s="1202"/>
      <c r="AL215" s="1202"/>
      <c r="AM215" s="1102">
        <f>IF(AND(AM208="",AM209=""),"",COUNTIF(GU7:GU206,"F")+COUNTIF(GU7:GU206,"FP"))</f>
        <v>0</v>
      </c>
      <c r="AN215" s="1103"/>
      <c r="AO215" s="1103"/>
      <c r="AP215" s="1103"/>
      <c r="AQ215" s="1104"/>
      <c r="AR215" s="1102">
        <f>IF(AND(AR208="",AR209=""),"",COUNTIF(GV7:GV206,"F")+COUNTIF(GV7:GV206,"FP"))</f>
        <v>0</v>
      </c>
      <c r="AS215" s="1103"/>
      <c r="AT215" s="1103"/>
      <c r="AU215" s="1103"/>
      <c r="AV215" s="1103"/>
      <c r="AW215" s="1103"/>
      <c r="AX215" s="1103"/>
      <c r="AY215" s="1103"/>
      <c r="AZ215" s="1103"/>
      <c r="BA215" s="1103"/>
      <c r="BB215" s="1104"/>
      <c r="BC215" s="1102">
        <f>IF(AND(BC208="",BC209=""),"",COUNTIF(GW7:GW206,"F")+COUNTIF(GW7:GW206,"FP"))</f>
        <v>0</v>
      </c>
      <c r="BD215" s="1103"/>
      <c r="BE215" s="1103"/>
      <c r="BF215" s="1103"/>
      <c r="BG215" s="1104"/>
      <c r="BH215" s="1102">
        <f>IF(AND(BH208="",BH209=""),"",COUNTIF(GX7:GX206,"F")+COUNTIF(GX7:GX206,"FP"))</f>
        <v>0</v>
      </c>
      <c r="BI215" s="1103"/>
      <c r="BJ215" s="1103"/>
      <c r="BK215" s="1103"/>
      <c r="BL215" s="1103"/>
      <c r="BM215" s="1103"/>
      <c r="BN215" s="1103"/>
      <c r="BO215" s="1103"/>
      <c r="BP215" s="1103"/>
      <c r="BQ215" s="1103"/>
      <c r="BR215" s="1104"/>
      <c r="BS215" s="1117">
        <f>IF(AND(BS208="",BS209=""),"",COUNTIF(GY7:GY206,"F")+COUNTIF(GY7:GY206,"FP"))</f>
        <v>0</v>
      </c>
      <c r="BT215" s="1117"/>
      <c r="BU215" s="1117"/>
      <c r="BV215" s="1117"/>
      <c r="BW215" s="1117"/>
      <c r="BX215" s="149"/>
      <c r="BY215" s="150"/>
      <c r="BZ215" s="372"/>
      <c r="CA215" s="372"/>
      <c r="CB215" s="372"/>
      <c r="CC215" s="151"/>
      <c r="CD215" s="372"/>
      <c r="CE215" s="1117">
        <f>IF(AND(CE208="",CE209=""),"",COUNTIF(HB7:HB206,"F")+COUNTIF(HB7:HB206,"FP"))</f>
        <v>0</v>
      </c>
      <c r="CF215" s="1117"/>
      <c r="CG215" s="1117"/>
      <c r="CH215" s="1117"/>
      <c r="CI215" s="1117"/>
      <c r="CJ215" s="1117">
        <f>IF(AND(CJ208="",CJ209=""),"",COUNTIF(HE7:HE206,"F")+COUNTIF(HE7:HE206,"FP"))</f>
        <v>0</v>
      </c>
      <c r="CK215" s="1117"/>
      <c r="CL215" s="1117"/>
      <c r="CM215" s="1117"/>
      <c r="CN215" s="1117"/>
      <c r="CO215" s="1117"/>
      <c r="CP215" s="1117"/>
      <c r="CQ215" s="1117"/>
      <c r="CR215" s="1117"/>
      <c r="CS215" s="1117"/>
      <c r="CT215" s="1117"/>
      <c r="CU215" s="1117">
        <f>IF(AND(CU208="",CU209=""),"",COUNTIF(HH7:HH206,"F")+COUNTIF(HH7:HH206,"FP"))</f>
        <v>0</v>
      </c>
      <c r="CV215" s="1117"/>
      <c r="CW215" s="1117"/>
      <c r="CX215" s="1117"/>
      <c r="CY215" s="1117"/>
      <c r="CZ215" s="1102">
        <f>IF(AND(CZ208="",CZ209=""),"",COUNTIF(HK7:HK206,"F")+COUNTIF(HK7:HK206,"FP"))</f>
        <v>0</v>
      </c>
      <c r="DA215" s="1103"/>
      <c r="DB215" s="1103"/>
      <c r="DC215" s="1103"/>
      <c r="DD215" s="1103"/>
      <c r="DE215" s="1104"/>
      <c r="DF215" s="385"/>
      <c r="DG215" s="386"/>
      <c r="DH215" s="154"/>
      <c r="DI215" s="154"/>
      <c r="DJ215" s="154"/>
      <c r="DK215" s="154"/>
      <c r="DL215" s="115"/>
      <c r="DM215" s="115"/>
      <c r="DN215" s="115"/>
      <c r="DO215" s="115"/>
      <c r="DP215" s="115"/>
      <c r="DQ215" s="115"/>
      <c r="DR215" s="115"/>
      <c r="DS215" s="115"/>
      <c r="DT215" s="115"/>
      <c r="DU215" s="115"/>
      <c r="DV215" s="115"/>
      <c r="DW215" s="115"/>
      <c r="DX215" s="115"/>
      <c r="DY215" s="115"/>
      <c r="DZ215" s="1068">
        <f>IF(AND(DZ208="",DZ209=""),"",COUNTIF(EH7:EH206,"F"))</f>
        <v>0</v>
      </c>
      <c r="EA215" s="1069"/>
      <c r="EB215" s="1069"/>
      <c r="EC215" s="1069"/>
      <c r="ED215" s="1069"/>
      <c r="EE215" s="1069"/>
      <c r="EF215" s="1070"/>
      <c r="EG215" s="1153"/>
      <c r="EH215" s="1154"/>
      <c r="EI215" s="365"/>
      <c r="EJ215" s="365"/>
      <c r="EK215" s="365"/>
      <c r="EL215" s="1073">
        <f>IF(AND(EL208="",EL209=""),"",COUNTIF(EX7:EX206,"F"))</f>
        <v>0</v>
      </c>
      <c r="EM215" s="1073"/>
      <c r="EN215" s="1073"/>
      <c r="EO215" s="1073"/>
      <c r="EP215" s="1073"/>
      <c r="EQ215" s="1073"/>
      <c r="ER215" s="1073"/>
      <c r="ES215" s="1159"/>
      <c r="ET215" s="1094"/>
      <c r="EU215" s="1094"/>
      <c r="EV215" s="1094"/>
      <c r="EW215" s="1094"/>
      <c r="EX215" s="1094"/>
      <c r="EY215" s="365"/>
      <c r="EZ215" s="365"/>
      <c r="FA215" s="365"/>
      <c r="FB215" s="1073">
        <f>IF(AND(FB208="",FB209=""),"",COUNTIF(FQ7:FQ206,"F"))</f>
        <v>0</v>
      </c>
      <c r="FC215" s="1073"/>
      <c r="FD215" s="1073"/>
      <c r="FE215" s="1073"/>
      <c r="FF215" s="1073"/>
      <c r="FG215" s="1073"/>
      <c r="FH215" s="1073"/>
      <c r="FI215" s="569"/>
      <c r="FJ215" s="1073">
        <f>IF(AND(FJ208="",FJ209=""),"",COUNTIF(FY7:FY206,"F"))</f>
        <v>0</v>
      </c>
      <c r="FK215" s="1073"/>
      <c r="FL215" s="1073"/>
      <c r="FM215" s="1073"/>
      <c r="FN215" s="1073"/>
      <c r="FO215" s="1073"/>
      <c r="FP215" s="1073"/>
      <c r="FQ215" s="570"/>
      <c r="FR215" s="365"/>
      <c r="FS215" s="365"/>
      <c r="FT215" s="365"/>
      <c r="FU215" s="1068">
        <f>IF(AND(FU208="",FU209=""),"",COUNTIF(GG7:GG206,"F"))</f>
        <v>0</v>
      </c>
      <c r="FV215" s="1069"/>
      <c r="FW215" s="1069"/>
      <c r="FX215" s="1069"/>
      <c r="FY215" s="1069"/>
      <c r="FZ215" s="1069"/>
      <c r="GA215" s="1069"/>
      <c r="GB215" s="1069"/>
      <c r="GC215" s="1069"/>
      <c r="GD215" s="1070"/>
      <c r="GE215" s="1094"/>
      <c r="GF215" s="1094"/>
      <c r="GG215" s="1094"/>
      <c r="GH215" s="365"/>
      <c r="GI215" s="365"/>
      <c r="GJ215" s="365"/>
      <c r="GK215" s="121"/>
      <c r="GL215" s="121"/>
      <c r="GM215" s="121"/>
      <c r="GN215" s="121"/>
      <c r="GO215" s="121"/>
      <c r="GP215" s="121"/>
      <c r="GQ215" s="121"/>
      <c r="GR215" s="121"/>
      <c r="GS215" s="121"/>
      <c r="GT215" s="121"/>
      <c r="GU215" s="121"/>
      <c r="GV215" s="121"/>
      <c r="GW215" s="121"/>
      <c r="GX215" s="121"/>
      <c r="GY215" s="121"/>
      <c r="GZ215" s="121"/>
      <c r="HA215" s="121"/>
      <c r="HB215" s="121"/>
      <c r="HC215" s="121"/>
      <c r="HD215" s="121"/>
      <c r="HE215" s="121"/>
      <c r="HF215" s="121"/>
      <c r="HG215" s="121"/>
      <c r="HH215" s="121"/>
      <c r="HI215" s="121"/>
      <c r="HJ215" s="121"/>
      <c r="HK215" s="121"/>
      <c r="HL215" s="121"/>
      <c r="HM215" s="121"/>
      <c r="HN215" s="121"/>
      <c r="HO215" s="121"/>
      <c r="HP215" s="1181" t="str">
        <f>IF('School Profile'!$D$12="Hindi","हस्ताक्षर परीक्षा प्रभारी","Signature of the exam. Incharge")</f>
        <v>हस्ताक्षर परीक्षा प्रभारी</v>
      </c>
      <c r="HQ215" s="1182"/>
      <c r="HR215" s="1071" t="str">
        <f>CONCATENATE("( ",UPPER('School Profile'!D15)," )")</f>
        <v>( HEERALAL JAT )</v>
      </c>
      <c r="HS215" s="1088" t="str">
        <f>IF('School Profile'!$D$12="Hindi","उतीर्ण प्रतिशत","Pass %")</f>
        <v>उतीर्ण प्रतिशत</v>
      </c>
      <c r="HT215" s="1088"/>
      <c r="HU215" s="1088"/>
      <c r="HV215" s="1231">
        <f>IFERROR(IF(HV208=0,0,HV212/HV208*100),"")</f>
        <v>90.322580645161281</v>
      </c>
      <c r="HW215" s="1232"/>
      <c r="HX215" s="1083"/>
      <c r="HY215" s="1087" t="str">
        <f>IF('School Profile'!$D$12="Hindi","उतीर्ण प्रतिशत","Pass %")</f>
        <v>उतीर्ण प्रतिशत</v>
      </c>
      <c r="HZ215" s="1088"/>
      <c r="IA215" s="1088"/>
      <c r="IB215" s="155">
        <f>IFERROR(IF(IB208=0,0,IB212/IB208*100),"")</f>
        <v>100</v>
      </c>
      <c r="IC215" s="604">
        <f>IFERROR(IF(HV208=0,0,IC212/HV208*100),"")</f>
        <v>93.548387096774192</v>
      </c>
      <c r="IS215" s="109" t="str">
        <f>IF('Supp. Result Entry'!T213="","",'Supp. Result Entry'!$T$4)</f>
        <v/>
      </c>
      <c r="IT215" s="110" t="str">
        <f>IF('Supp. Result Entry'!W213="","",'Supp. Result Entry'!$W$4)</f>
        <v/>
      </c>
      <c r="IU215" s="110" t="str">
        <f>IF('Supp. Result Entry'!Z213="","",'Supp. Result Entry'!$Z$4)</f>
        <v/>
      </c>
      <c r="IV215" s="110" t="str">
        <f>IF('Supp. Result Entry'!AC213="","",'Supp. Result Entry'!$AC$4)</f>
        <v/>
      </c>
      <c r="IW215" s="110" t="str">
        <f>IF('Supp. Result Entry'!AF213="","",'Supp. Result Entry'!$AF$4)</f>
        <v/>
      </c>
      <c r="IX215" s="110" t="str">
        <f>IF('Supp. Result Entry'!AI213="","",'Supp. Result Entry'!$AI$4)</f>
        <v/>
      </c>
      <c r="IY215" s="110" t="str">
        <f>IF('Supp. Result Entry'!AI213="","",'Supp. Result Entry'!$AL$4)</f>
        <v/>
      </c>
      <c r="IZ215" s="110" t="str">
        <f>IF('Supp. Result Entry'!U213="","",'Supp. Result Entry'!U213)</f>
        <v/>
      </c>
      <c r="JA215" s="110" t="str">
        <f>IF('Supp. Result Entry'!X213="","",'Supp. Result Entry'!X213)</f>
        <v/>
      </c>
      <c r="JB215" s="110" t="str">
        <f>IF('Supp. Result Entry'!AA213="","",'Supp. Result Entry'!AA213)</f>
        <v/>
      </c>
      <c r="JC215" s="110" t="str">
        <f>IF('Supp. Result Entry'!AD213="","",'Supp. Result Entry'!AD213)</f>
        <v/>
      </c>
      <c r="JD215" s="110" t="str">
        <f>IF('Supp. Result Entry'!AG213="","",'Supp. Result Entry'!AG213)</f>
        <v/>
      </c>
      <c r="JE215" s="110" t="str">
        <f>IF('Supp. Result Entry'!AJ213="","",'Supp. Result Entry'!AJ213)</f>
        <v/>
      </c>
      <c r="JF215" s="110" t="str">
        <f>IF('Supp. Result Entry'!AM213="","",'Supp. Result Entry'!AM213)</f>
        <v/>
      </c>
      <c r="JG215" s="110" t="str">
        <f>IF('Supp. Result Entry'!V213="","",'Supp. Result Entry'!V213)</f>
        <v/>
      </c>
      <c r="JH215" s="110" t="str">
        <f>IF('Supp. Result Entry'!Y213="","",'Supp. Result Entry'!Y213)</f>
        <v/>
      </c>
      <c r="JI215" s="110" t="str">
        <f>IF('Supp. Result Entry'!AB213="","",'Supp. Result Entry'!AB213)</f>
        <v/>
      </c>
      <c r="JJ215" s="110" t="str">
        <f>IF('Supp. Result Entry'!AE213="","",'Supp. Result Entry'!AE213)</f>
        <v/>
      </c>
      <c r="JK215" s="110" t="str">
        <f>IF('Supp. Result Entry'!AH213="","",'Supp. Result Entry'!AH213)</f>
        <v/>
      </c>
      <c r="JL215" s="110" t="str">
        <f>IF('Supp. Result Entry'!AK213="","",'Supp. Result Entry'!AK213)</f>
        <v/>
      </c>
      <c r="JM215" s="110" t="str">
        <f>IF('Supp. Result Entry'!AN213="","",'Supp. Result Entry'!AN213)</f>
        <v/>
      </c>
      <c r="JN215" s="110">
        <f>COUNTIF('Supp. Result Entry'!K213:Q213,"S")</f>
        <v>0</v>
      </c>
      <c r="JO215" s="110">
        <f t="shared" si="584"/>
        <v>0</v>
      </c>
      <c r="JP215" s="110">
        <f t="shared" si="661"/>
        <v>0</v>
      </c>
      <c r="JQ215" s="110" t="str">
        <f t="shared" si="585"/>
        <v/>
      </c>
      <c r="JR215" s="110" t="str">
        <f t="shared" si="586"/>
        <v/>
      </c>
      <c r="JS215" s="110" t="str">
        <f t="shared" si="587"/>
        <v/>
      </c>
      <c r="JT215" s="110" t="str">
        <f t="shared" si="588"/>
        <v/>
      </c>
      <c r="JU215" s="110" t="str">
        <f t="shared" si="589"/>
        <v/>
      </c>
      <c r="JV215" s="110" t="str">
        <f t="shared" si="590"/>
        <v/>
      </c>
      <c r="JW215" s="110" t="str">
        <f t="shared" si="591"/>
        <v/>
      </c>
      <c r="JX215" s="110" t="str">
        <f t="shared" si="662"/>
        <v/>
      </c>
      <c r="JY215" s="110" t="str">
        <f t="shared" si="663"/>
        <v/>
      </c>
      <c r="JZ215" s="110" t="str">
        <f t="shared" si="592"/>
        <v/>
      </c>
      <c r="KA215" s="108" t="str">
        <f t="shared" si="664"/>
        <v/>
      </c>
    </row>
    <row r="216" spans="1:287" s="158" customFormat="1" ht="20.25" customHeight="1">
      <c r="A216" s="1273"/>
      <c r="B216" s="1274"/>
      <c r="C216" s="1274"/>
      <c r="D216" s="1274"/>
      <c r="E216" s="1274"/>
      <c r="F216" s="1275"/>
      <c r="G216" s="1222" t="str">
        <f>IF('School Profile'!$D$12="Hindi","पुनः परीक्षा तक परिणाम रोका गया  :","Result with held until re-exam  :")</f>
        <v>पुनः परीक्षा तक परिणाम रोका गया  :</v>
      </c>
      <c r="H216" s="1222"/>
      <c r="I216" s="1203" t="s">
        <v>41</v>
      </c>
      <c r="J216" s="1203"/>
      <c r="K216" s="1202">
        <f>IF(AND(K208="",K209=""),"",COUNTIF(GN7:GN206,"RW"))</f>
        <v>0</v>
      </c>
      <c r="L216" s="1202"/>
      <c r="M216" s="1202"/>
      <c r="N216" s="1202"/>
      <c r="O216" s="1202"/>
      <c r="P216" s="1202"/>
      <c r="Q216" s="1202"/>
      <c r="R216" s="1202"/>
      <c r="S216" s="1202"/>
      <c r="T216" s="1202"/>
      <c r="U216" s="1202"/>
      <c r="V216" s="1202"/>
      <c r="W216" s="1202"/>
      <c r="X216" s="1202"/>
      <c r="Y216" s="1202">
        <f>IF(AND(Y208="",Y209=""),"",COUNTIF(GQ7:GQ206,"RW"))</f>
        <v>0</v>
      </c>
      <c r="Z216" s="1202"/>
      <c r="AA216" s="1202"/>
      <c r="AB216" s="1202"/>
      <c r="AC216" s="1202"/>
      <c r="AD216" s="1202"/>
      <c r="AE216" s="1202"/>
      <c r="AF216" s="1202"/>
      <c r="AG216" s="1202"/>
      <c r="AH216" s="1202"/>
      <c r="AI216" s="1202"/>
      <c r="AJ216" s="1202"/>
      <c r="AK216" s="1202"/>
      <c r="AL216" s="1202"/>
      <c r="AM216" s="1102">
        <f>IF(AND(AM208="",AM209=""),"",COUNTIF(GU7:GU206,"RW"))</f>
        <v>0</v>
      </c>
      <c r="AN216" s="1103"/>
      <c r="AO216" s="1103"/>
      <c r="AP216" s="1103"/>
      <c r="AQ216" s="1104"/>
      <c r="AR216" s="1102">
        <f>IF(AND(AR208="",AR209=""),"",COUNTIF(GV7:GV206,"RW"))</f>
        <v>0</v>
      </c>
      <c r="AS216" s="1103"/>
      <c r="AT216" s="1103"/>
      <c r="AU216" s="1103"/>
      <c r="AV216" s="1103"/>
      <c r="AW216" s="1103"/>
      <c r="AX216" s="1103"/>
      <c r="AY216" s="1103"/>
      <c r="AZ216" s="1103"/>
      <c r="BA216" s="1103"/>
      <c r="BB216" s="1104"/>
      <c r="BC216" s="1102">
        <f>IF(AND(BC208="",BC209=""),"",COUNTIF(GW7:GW206,"RW"))</f>
        <v>0</v>
      </c>
      <c r="BD216" s="1103"/>
      <c r="BE216" s="1103"/>
      <c r="BF216" s="1103"/>
      <c r="BG216" s="1104"/>
      <c r="BH216" s="1102">
        <f>IF(AND(BH208="",BH209=""),"",COUNTIF(GX7:GX206,"RW"))</f>
        <v>0</v>
      </c>
      <c r="BI216" s="1103"/>
      <c r="BJ216" s="1103"/>
      <c r="BK216" s="1103"/>
      <c r="BL216" s="1103"/>
      <c r="BM216" s="1103"/>
      <c r="BN216" s="1103"/>
      <c r="BO216" s="1103"/>
      <c r="BP216" s="1103"/>
      <c r="BQ216" s="1103"/>
      <c r="BR216" s="1104"/>
      <c r="BS216" s="1117">
        <f>IF(AND(BS208="",BS209=""),"",COUNTIF(GY7:GY206,"RW"))</f>
        <v>0</v>
      </c>
      <c r="BT216" s="1117"/>
      <c r="BU216" s="1117"/>
      <c r="BV216" s="1117"/>
      <c r="BW216" s="1117"/>
      <c r="BX216" s="149"/>
      <c r="BY216" s="150"/>
      <c r="BZ216" s="372"/>
      <c r="CA216" s="372"/>
      <c r="CB216" s="372"/>
      <c r="CC216" s="151"/>
      <c r="CD216" s="157"/>
      <c r="CE216" s="1117">
        <f>IF(AND(CE208="",CE209=""),"",COUNTIF(HB7:HB206,"RW"))</f>
        <v>0</v>
      </c>
      <c r="CF216" s="1117"/>
      <c r="CG216" s="1117"/>
      <c r="CH216" s="1117"/>
      <c r="CI216" s="1117"/>
      <c r="CJ216" s="1117">
        <f>IF(AND(CJ208="",CJ209=""),"",COUNTIF(HE7:HE206,"RW"))</f>
        <v>0</v>
      </c>
      <c r="CK216" s="1117"/>
      <c r="CL216" s="1117"/>
      <c r="CM216" s="1117"/>
      <c r="CN216" s="1117"/>
      <c r="CO216" s="1117"/>
      <c r="CP216" s="1117"/>
      <c r="CQ216" s="1117"/>
      <c r="CR216" s="1117"/>
      <c r="CS216" s="1117"/>
      <c r="CT216" s="1117"/>
      <c r="CU216" s="1117">
        <f>IF(AND(CU208="",CU209=""),"",COUNTIF(HH7:HH206,"RW"))</f>
        <v>0</v>
      </c>
      <c r="CV216" s="1117"/>
      <c r="CW216" s="1117"/>
      <c r="CX216" s="1117"/>
      <c r="CY216" s="1117"/>
      <c r="CZ216" s="1102">
        <f>IF(AND(CZ208="",CZ209=""),"",COUNTIF(HK7:HK206,"RW"))</f>
        <v>0</v>
      </c>
      <c r="DA216" s="1103"/>
      <c r="DB216" s="1103"/>
      <c r="DC216" s="1103"/>
      <c r="DD216" s="1103"/>
      <c r="DE216" s="1104"/>
      <c r="DF216" s="385"/>
      <c r="DG216" s="386"/>
      <c r="DH216" s="154"/>
      <c r="DI216" s="154"/>
      <c r="DJ216" s="154"/>
      <c r="DK216" s="154"/>
      <c r="DL216" s="115"/>
      <c r="DM216" s="115"/>
      <c r="DN216" s="115"/>
      <c r="DO216" s="115"/>
      <c r="DP216" s="115"/>
      <c r="DQ216" s="115"/>
      <c r="DR216" s="115"/>
      <c r="DS216" s="115"/>
      <c r="DT216" s="115"/>
      <c r="DU216" s="115"/>
      <c r="DV216" s="115"/>
      <c r="DW216" s="115"/>
      <c r="DX216" s="115"/>
      <c r="DY216" s="115"/>
      <c r="DZ216" s="1068">
        <f>IF(AND(DZ208="",DZ209=""),"",COUNTIF(EH7:EH206,"RW"))</f>
        <v>0</v>
      </c>
      <c r="EA216" s="1069"/>
      <c r="EB216" s="1069"/>
      <c r="EC216" s="1069"/>
      <c r="ED216" s="1069"/>
      <c r="EE216" s="1069"/>
      <c r="EF216" s="1070"/>
      <c r="EG216" s="1153"/>
      <c r="EH216" s="1154"/>
      <c r="EI216" s="365"/>
      <c r="EJ216" s="365"/>
      <c r="EK216" s="365"/>
      <c r="EL216" s="1073">
        <f>IF(AND(EL208="",EL209=""),"",COUNTIF(EX7:EX206,"RW"))</f>
        <v>0</v>
      </c>
      <c r="EM216" s="1073"/>
      <c r="EN216" s="1073"/>
      <c r="EO216" s="1073"/>
      <c r="EP216" s="1073"/>
      <c r="EQ216" s="1073"/>
      <c r="ER216" s="1073"/>
      <c r="ES216" s="1159"/>
      <c r="ET216" s="1094"/>
      <c r="EU216" s="1094"/>
      <c r="EV216" s="1094"/>
      <c r="EW216" s="1094"/>
      <c r="EX216" s="1094"/>
      <c r="EY216" s="365"/>
      <c r="EZ216" s="365"/>
      <c r="FA216" s="365"/>
      <c r="FB216" s="1073">
        <f>IF(AND(FB208="",FB209=""),"",COUNTIF(FQ7:FQ206,"RW"))</f>
        <v>0</v>
      </c>
      <c r="FC216" s="1073"/>
      <c r="FD216" s="1073"/>
      <c r="FE216" s="1073"/>
      <c r="FF216" s="1073"/>
      <c r="FG216" s="1073"/>
      <c r="FH216" s="1073"/>
      <c r="FI216" s="569"/>
      <c r="FJ216" s="1073">
        <f>IF(AND(FJ208="",FJ209=""),"",COUNTIF(FY7:FY206,"RW"))</f>
        <v>0</v>
      </c>
      <c r="FK216" s="1073"/>
      <c r="FL216" s="1073"/>
      <c r="FM216" s="1073"/>
      <c r="FN216" s="1073"/>
      <c r="FO216" s="1073"/>
      <c r="FP216" s="1073"/>
      <c r="FQ216" s="570"/>
      <c r="FR216" s="365"/>
      <c r="FS216" s="365"/>
      <c r="FT216" s="365"/>
      <c r="FU216" s="1068">
        <f>IF(AND(FU208="",FU209=""),"",COUNTIF(GG7:GG206,"RW"))</f>
        <v>0</v>
      </c>
      <c r="FV216" s="1069"/>
      <c r="FW216" s="1069"/>
      <c r="FX216" s="1069"/>
      <c r="FY216" s="1069"/>
      <c r="FZ216" s="1069"/>
      <c r="GA216" s="1069"/>
      <c r="GB216" s="1069"/>
      <c r="GC216" s="1069"/>
      <c r="GD216" s="1070"/>
      <c r="GE216" s="1094"/>
      <c r="GF216" s="1094"/>
      <c r="GG216" s="1094"/>
      <c r="GH216" s="365"/>
      <c r="GI216" s="365"/>
      <c r="GJ216" s="365"/>
      <c r="GK216" s="121"/>
      <c r="GL216" s="121"/>
      <c r="GM216" s="121"/>
      <c r="GN216" s="121"/>
      <c r="GO216" s="121"/>
      <c r="GP216" s="121"/>
      <c r="GQ216" s="121"/>
      <c r="GR216" s="121"/>
      <c r="GS216" s="121"/>
      <c r="GT216" s="121"/>
      <c r="GU216" s="121"/>
      <c r="GV216" s="121"/>
      <c r="GW216" s="121"/>
      <c r="GX216" s="121"/>
      <c r="GY216" s="121"/>
      <c r="GZ216" s="121"/>
      <c r="HA216" s="121"/>
      <c r="HB216" s="121"/>
      <c r="HC216" s="121"/>
      <c r="HD216" s="121"/>
      <c r="HE216" s="121"/>
      <c r="HF216" s="121"/>
      <c r="HG216" s="121"/>
      <c r="HH216" s="121"/>
      <c r="HI216" s="121"/>
      <c r="HJ216" s="121"/>
      <c r="HK216" s="121"/>
      <c r="HL216" s="121"/>
      <c r="HM216" s="121"/>
      <c r="HN216" s="121"/>
      <c r="HO216" s="121"/>
      <c r="HP216" s="1181"/>
      <c r="HQ216" s="1182"/>
      <c r="HR216" s="1071"/>
      <c r="HS216" s="1088" t="str">
        <f>IF('School Profile'!$D$12="Hindi","पुनः परीक्षा","Re-Exam")</f>
        <v>पुनः परीक्षा</v>
      </c>
      <c r="HT216" s="1088"/>
      <c r="HU216" s="1088"/>
      <c r="HV216" s="1091">
        <f>COUNTIF(HS7:HS206,"Re-Exam")</f>
        <v>0</v>
      </c>
      <c r="HW216" s="1092"/>
      <c r="HX216" s="1083"/>
      <c r="HY216" s="1087" t="str">
        <f>IF('School Profile'!$D$12="Hindi","पुनः परीक्षा","Re-Exam")</f>
        <v>पुनः परीक्षा</v>
      </c>
      <c r="HZ216" s="1088"/>
      <c r="IA216" s="1088"/>
      <c r="IB216" s="552">
        <f>COUNTIF(IB7:IB206,"RE-Exam")</f>
        <v>0</v>
      </c>
      <c r="IC216" s="605">
        <f>IB216</f>
        <v>0</v>
      </c>
      <c r="IS216" s="109" t="str">
        <f>IF('Supp. Result Entry'!T214="","",'Supp. Result Entry'!$T$4)</f>
        <v/>
      </c>
      <c r="IT216" s="110" t="str">
        <f>IF('Supp. Result Entry'!W214="","",'Supp. Result Entry'!$W$4)</f>
        <v/>
      </c>
      <c r="IU216" s="110" t="str">
        <f>IF('Supp. Result Entry'!Z214="","",'Supp. Result Entry'!$Z$4)</f>
        <v/>
      </c>
      <c r="IV216" s="110" t="str">
        <f>IF('Supp. Result Entry'!AC214="","",'Supp. Result Entry'!$AC$4)</f>
        <v/>
      </c>
      <c r="IW216" s="110" t="str">
        <f>IF('Supp. Result Entry'!AF214="","",'Supp. Result Entry'!$AF$4)</f>
        <v/>
      </c>
      <c r="IX216" s="110" t="str">
        <f>IF('Supp. Result Entry'!AI214="","",'Supp. Result Entry'!$AI$4)</f>
        <v/>
      </c>
      <c r="IY216" s="110" t="str">
        <f>IF('Supp. Result Entry'!AI214="","",'Supp. Result Entry'!$AL$4)</f>
        <v/>
      </c>
      <c r="IZ216" s="110" t="str">
        <f>IF('Supp. Result Entry'!U214="","",'Supp. Result Entry'!U214)</f>
        <v/>
      </c>
      <c r="JA216" s="110" t="str">
        <f>IF('Supp. Result Entry'!X214="","",'Supp. Result Entry'!X214)</f>
        <v/>
      </c>
      <c r="JB216" s="110" t="str">
        <f>IF('Supp. Result Entry'!AA214="","",'Supp. Result Entry'!AA214)</f>
        <v/>
      </c>
      <c r="JC216" s="110" t="str">
        <f>IF('Supp. Result Entry'!AD214="","",'Supp. Result Entry'!AD214)</f>
        <v/>
      </c>
      <c r="JD216" s="110" t="str">
        <f>IF('Supp. Result Entry'!AG214="","",'Supp. Result Entry'!AG214)</f>
        <v/>
      </c>
      <c r="JE216" s="110" t="str">
        <f>IF('Supp. Result Entry'!AJ214="","",'Supp. Result Entry'!AJ214)</f>
        <v/>
      </c>
      <c r="JF216" s="110" t="str">
        <f>IF('Supp. Result Entry'!AM214="","",'Supp. Result Entry'!AM214)</f>
        <v/>
      </c>
      <c r="JG216" s="110" t="str">
        <f>IF('Supp. Result Entry'!V214="","",'Supp. Result Entry'!V214)</f>
        <v/>
      </c>
      <c r="JH216" s="110" t="str">
        <f>IF('Supp. Result Entry'!Y214="","",'Supp. Result Entry'!Y214)</f>
        <v/>
      </c>
      <c r="JI216" s="110" t="str">
        <f>IF('Supp. Result Entry'!AB214="","",'Supp. Result Entry'!AB214)</f>
        <v/>
      </c>
      <c r="JJ216" s="110" t="str">
        <f>IF('Supp. Result Entry'!AE214="","",'Supp. Result Entry'!AE214)</f>
        <v/>
      </c>
      <c r="JK216" s="110" t="str">
        <f>IF('Supp. Result Entry'!AH214="","",'Supp. Result Entry'!AH214)</f>
        <v/>
      </c>
      <c r="JL216" s="110" t="str">
        <f>IF('Supp. Result Entry'!AK214="","",'Supp. Result Entry'!AK214)</f>
        <v/>
      </c>
      <c r="JM216" s="110" t="str">
        <f>IF('Supp. Result Entry'!AN214="","",'Supp. Result Entry'!AN214)</f>
        <v/>
      </c>
      <c r="JN216" s="110">
        <f>COUNTIF('Supp. Result Entry'!K214:Q214,"S")</f>
        <v>0</v>
      </c>
      <c r="JO216" s="110">
        <f t="shared" si="584"/>
        <v>0</v>
      </c>
      <c r="JP216" s="110">
        <f t="shared" si="661"/>
        <v>0</v>
      </c>
      <c r="JQ216" s="110" t="str">
        <f t="shared" si="585"/>
        <v/>
      </c>
      <c r="JR216" s="110" t="str">
        <f t="shared" si="586"/>
        <v/>
      </c>
      <c r="JS216" s="110" t="str">
        <f t="shared" si="587"/>
        <v/>
      </c>
      <c r="JT216" s="110" t="str">
        <f t="shared" si="588"/>
        <v/>
      </c>
      <c r="JU216" s="110" t="str">
        <f t="shared" si="589"/>
        <v/>
      </c>
      <c r="JV216" s="110" t="str">
        <f t="shared" si="590"/>
        <v/>
      </c>
      <c r="JW216" s="110" t="str">
        <f t="shared" si="591"/>
        <v/>
      </c>
      <c r="JX216" s="110" t="str">
        <f t="shared" si="662"/>
        <v/>
      </c>
      <c r="JY216" s="110" t="str">
        <f t="shared" si="663"/>
        <v/>
      </c>
      <c r="JZ216" s="110" t="str">
        <f t="shared" si="592"/>
        <v/>
      </c>
      <c r="KA216" s="108" t="str">
        <f t="shared" si="664"/>
        <v/>
      </c>
    </row>
    <row r="217" spans="1:287" s="156" customFormat="1" ht="21" customHeight="1">
      <c r="A217" s="1273"/>
      <c r="B217" s="1274"/>
      <c r="C217" s="1274"/>
      <c r="D217" s="1274"/>
      <c r="E217" s="1274"/>
      <c r="F217" s="1275"/>
      <c r="G217" s="1218" t="str">
        <f>IF('School Profile'!$D$12="Hindi","अनुपस्थिति  :","Absence  :")</f>
        <v>अनुपस्थिति  :</v>
      </c>
      <c r="H217" s="1218"/>
      <c r="I217" s="1203" t="s">
        <v>41</v>
      </c>
      <c r="J217" s="1203"/>
      <c r="K217" s="1202">
        <f>IF(AND(K208="",K209=""),"",COUNTIF(GN7:GN206,"AB"))</f>
        <v>1</v>
      </c>
      <c r="L217" s="1202"/>
      <c r="M217" s="1202"/>
      <c r="N217" s="1202"/>
      <c r="O217" s="1202"/>
      <c r="P217" s="1202"/>
      <c r="Q217" s="1202"/>
      <c r="R217" s="1202"/>
      <c r="S217" s="1202"/>
      <c r="T217" s="1202"/>
      <c r="U217" s="1202"/>
      <c r="V217" s="1202"/>
      <c r="W217" s="1202"/>
      <c r="X217" s="1202"/>
      <c r="Y217" s="1202">
        <f>IF(AND(Y208="",Y209=""),"",COUNTIF(GQ7:GQ206,"AB"))</f>
        <v>0</v>
      </c>
      <c r="Z217" s="1202"/>
      <c r="AA217" s="1202"/>
      <c r="AB217" s="1202"/>
      <c r="AC217" s="1202"/>
      <c r="AD217" s="1202"/>
      <c r="AE217" s="1202"/>
      <c r="AF217" s="1202"/>
      <c r="AG217" s="1202"/>
      <c r="AH217" s="1202"/>
      <c r="AI217" s="1202"/>
      <c r="AJ217" s="1202"/>
      <c r="AK217" s="1202"/>
      <c r="AL217" s="1202"/>
      <c r="AM217" s="1102">
        <f>IF(AND(AM208="",AM209=""),"",COUNTIF(GU7:GU206,"AB"))</f>
        <v>0</v>
      </c>
      <c r="AN217" s="1103"/>
      <c r="AO217" s="1103"/>
      <c r="AP217" s="1103"/>
      <c r="AQ217" s="1104"/>
      <c r="AR217" s="1102">
        <f>IF(AND(AR208="",AR209=""),"",COUNTIF(GV7:GV206,"AB"))</f>
        <v>0</v>
      </c>
      <c r="AS217" s="1103"/>
      <c r="AT217" s="1103"/>
      <c r="AU217" s="1103"/>
      <c r="AV217" s="1103"/>
      <c r="AW217" s="1103"/>
      <c r="AX217" s="1103"/>
      <c r="AY217" s="1103"/>
      <c r="AZ217" s="1103"/>
      <c r="BA217" s="1103"/>
      <c r="BB217" s="1104"/>
      <c r="BC217" s="1102">
        <f>IF(AND(BC208="",BC209=""),"",COUNTIF(GW7:GW206,"AB"))</f>
        <v>0</v>
      </c>
      <c r="BD217" s="1103"/>
      <c r="BE217" s="1103"/>
      <c r="BF217" s="1103"/>
      <c r="BG217" s="1104"/>
      <c r="BH217" s="1102">
        <f>IF(AND(BH208="",BH209=""),"",COUNTIF(GX7:GX206,"AB"))</f>
        <v>0</v>
      </c>
      <c r="BI217" s="1103"/>
      <c r="BJ217" s="1103"/>
      <c r="BK217" s="1103"/>
      <c r="BL217" s="1103"/>
      <c r="BM217" s="1103"/>
      <c r="BN217" s="1103"/>
      <c r="BO217" s="1103"/>
      <c r="BP217" s="1103"/>
      <c r="BQ217" s="1103"/>
      <c r="BR217" s="1104"/>
      <c r="BS217" s="1117">
        <f>IF(AND(BS208="",BS209=""),"",COUNTIF(GY7:GY206,"AB"))</f>
        <v>0</v>
      </c>
      <c r="BT217" s="1117"/>
      <c r="BU217" s="1117"/>
      <c r="BV217" s="1117"/>
      <c r="BW217" s="1117"/>
      <c r="BX217" s="149"/>
      <c r="BY217" s="150"/>
      <c r="BZ217" s="372"/>
      <c r="CA217" s="372"/>
      <c r="CB217" s="372"/>
      <c r="CC217" s="151"/>
      <c r="CD217" s="157"/>
      <c r="CE217" s="1117">
        <f>IF(AND(CE208="",CE209=""),"",COUNTIF(HB7:HB206,"AB"))</f>
        <v>0</v>
      </c>
      <c r="CF217" s="1117"/>
      <c r="CG217" s="1117"/>
      <c r="CH217" s="1117"/>
      <c r="CI217" s="1117"/>
      <c r="CJ217" s="1117">
        <f>IF(AND(CJ208="",CJ209=""),"",COUNTIF(HE7:HE206,"AB"))</f>
        <v>0</v>
      </c>
      <c r="CK217" s="1117"/>
      <c r="CL217" s="1117"/>
      <c r="CM217" s="1117"/>
      <c r="CN217" s="1117"/>
      <c r="CO217" s="1117"/>
      <c r="CP217" s="1117"/>
      <c r="CQ217" s="1117"/>
      <c r="CR217" s="1117"/>
      <c r="CS217" s="1117"/>
      <c r="CT217" s="1117"/>
      <c r="CU217" s="1117">
        <f>IF(AND(CU208="",CU209=""),"",COUNTIF(HH7:HH206,"AB"))</f>
        <v>0</v>
      </c>
      <c r="CV217" s="1117"/>
      <c r="CW217" s="1117"/>
      <c r="CX217" s="1117"/>
      <c r="CY217" s="1117"/>
      <c r="CZ217" s="1102">
        <f>IF(AND(CZ208="",CZ209=""),"",COUNTIF(HK7:HK206,"AB"))</f>
        <v>0</v>
      </c>
      <c r="DA217" s="1103"/>
      <c r="DB217" s="1103"/>
      <c r="DC217" s="1103"/>
      <c r="DD217" s="1103"/>
      <c r="DE217" s="1104"/>
      <c r="DF217" s="385"/>
      <c r="DG217" s="386"/>
      <c r="DH217" s="154"/>
      <c r="DI217" s="154"/>
      <c r="DJ217" s="154"/>
      <c r="DK217" s="154"/>
      <c r="DL217" s="115"/>
      <c r="DM217" s="115"/>
      <c r="DN217" s="115"/>
      <c r="DO217" s="115"/>
      <c r="DP217" s="115"/>
      <c r="DQ217" s="115"/>
      <c r="DR217" s="115"/>
      <c r="DS217" s="115"/>
      <c r="DT217" s="115"/>
      <c r="DU217" s="115"/>
      <c r="DV217" s="115"/>
      <c r="DW217" s="115"/>
      <c r="DX217" s="115"/>
      <c r="DY217" s="115"/>
      <c r="DZ217" s="1068">
        <f>IF(AND(DZ208="",DZ209=""),"",COUNTIF(EH7:EH206,"AB"))</f>
        <v>0</v>
      </c>
      <c r="EA217" s="1069"/>
      <c r="EB217" s="1069"/>
      <c r="EC217" s="1069"/>
      <c r="ED217" s="1069"/>
      <c r="EE217" s="1069"/>
      <c r="EF217" s="1070"/>
      <c r="EG217" s="1153"/>
      <c r="EH217" s="1154"/>
      <c r="EI217" s="365"/>
      <c r="EJ217" s="365"/>
      <c r="EK217" s="365"/>
      <c r="EL217" s="1073">
        <f>IF(AND(EL208="",EL209=""),"",COUNTIF(EX7:EX206,"AB"))</f>
        <v>0</v>
      </c>
      <c r="EM217" s="1073"/>
      <c r="EN217" s="1073"/>
      <c r="EO217" s="1073"/>
      <c r="EP217" s="1073"/>
      <c r="EQ217" s="1073"/>
      <c r="ER217" s="1073"/>
      <c r="ES217" s="1159"/>
      <c r="ET217" s="1094"/>
      <c r="EU217" s="1094"/>
      <c r="EV217" s="1094"/>
      <c r="EW217" s="1094"/>
      <c r="EX217" s="1094"/>
      <c r="EY217" s="365"/>
      <c r="EZ217" s="365"/>
      <c r="FA217" s="365"/>
      <c r="FB217" s="1073">
        <f>IF(AND(FB208="",FB209=""),"",COUNTIF(FQ7:FQ206,"AB"))</f>
        <v>0</v>
      </c>
      <c r="FC217" s="1073"/>
      <c r="FD217" s="1073"/>
      <c r="FE217" s="1073"/>
      <c r="FF217" s="1073"/>
      <c r="FG217" s="1073"/>
      <c r="FH217" s="1073"/>
      <c r="FI217" s="569"/>
      <c r="FJ217" s="1073">
        <f>IF(AND(FJ208="",FJ209=""),"",COUNTIF(FY7:FY206,"AB"))</f>
        <v>0</v>
      </c>
      <c r="FK217" s="1073"/>
      <c r="FL217" s="1073"/>
      <c r="FM217" s="1073"/>
      <c r="FN217" s="1073"/>
      <c r="FO217" s="1073"/>
      <c r="FP217" s="1073"/>
      <c r="FQ217" s="570"/>
      <c r="FR217" s="365"/>
      <c r="FS217" s="365"/>
      <c r="FT217" s="365"/>
      <c r="FU217" s="1068">
        <f>IF(AND(FU208="",FU209=""),"",COUNTIF(GG7:GG206,"AB"))</f>
        <v>0</v>
      </c>
      <c r="FV217" s="1069"/>
      <c r="FW217" s="1069"/>
      <c r="FX217" s="1069"/>
      <c r="FY217" s="1069"/>
      <c r="FZ217" s="1069"/>
      <c r="GA217" s="1069"/>
      <c r="GB217" s="1069"/>
      <c r="GC217" s="1069"/>
      <c r="GD217" s="1070"/>
      <c r="GE217" s="1094"/>
      <c r="GF217" s="1094"/>
      <c r="GG217" s="1094"/>
      <c r="GH217" s="365"/>
      <c r="GI217" s="365"/>
      <c r="GJ217" s="365"/>
      <c r="GK217" s="121"/>
      <c r="GL217" s="121"/>
      <c r="GM217" s="121"/>
      <c r="GN217" s="121"/>
      <c r="GO217" s="121"/>
      <c r="GP217" s="121"/>
      <c r="GQ217" s="121"/>
      <c r="GR217" s="121"/>
      <c r="GS217" s="121"/>
      <c r="GT217" s="121"/>
      <c r="GU217" s="121"/>
      <c r="GV217" s="121"/>
      <c r="GW217" s="121"/>
      <c r="GX217" s="121"/>
      <c r="GY217" s="121"/>
      <c r="GZ217" s="121"/>
      <c r="HA217" s="121"/>
      <c r="HB217" s="121"/>
      <c r="HC217" s="121"/>
      <c r="HD217" s="121"/>
      <c r="HE217" s="121"/>
      <c r="HF217" s="121"/>
      <c r="HG217" s="121"/>
      <c r="HH217" s="121"/>
      <c r="HI217" s="121"/>
      <c r="HJ217" s="121"/>
      <c r="HK217" s="121"/>
      <c r="HL217" s="121"/>
      <c r="HM217" s="121"/>
      <c r="HN217" s="121"/>
      <c r="HO217" s="121"/>
      <c r="HP217" s="1181" t="str">
        <f>IF('School Profile'!$D$12="Hindi","हस्ताक्षर संस्था प्रधान","Head of Institute's Signature")</f>
        <v>हस्ताक्षर संस्था प्रधान</v>
      </c>
      <c r="HQ217" s="1182"/>
      <c r="HR217" s="1071" t="str">
        <f>CONCATENATE("( ",UPPER('School Profile'!D14)," )")</f>
        <v>( DEWANAND )</v>
      </c>
      <c r="HS217" s="1088" t="str">
        <f>IF('School Profile'!$D$12="Hindi","नाम पृथक","NSO")</f>
        <v>नाम पृथक</v>
      </c>
      <c r="HT217" s="1088"/>
      <c r="HU217" s="1088"/>
      <c r="HV217" s="1185">
        <f>COUNTIF(B7:B206,"nso")</f>
        <v>0</v>
      </c>
      <c r="HW217" s="1186"/>
      <c r="HX217" s="1083"/>
      <c r="HY217" s="1087" t="str">
        <f>IF('School Profile'!$D$12="Hindi","नाम पृथक","NSO")</f>
        <v>नाम पृथक</v>
      </c>
      <c r="HZ217" s="1088"/>
      <c r="IA217" s="1088"/>
      <c r="IB217" s="549">
        <f>COUNTIF(IB7:IB206,"NSO")</f>
        <v>0</v>
      </c>
      <c r="IC217" s="605">
        <f>COUNTIF(B7:B206,"nso")</f>
        <v>0</v>
      </c>
      <c r="ID217" s="159"/>
      <c r="IS217" s="109" t="str">
        <f>IF('Supp. Result Entry'!T215="","",'Supp. Result Entry'!$T$4)</f>
        <v/>
      </c>
      <c r="IT217" s="110" t="str">
        <f>IF('Supp. Result Entry'!W215="","",'Supp. Result Entry'!$W$4)</f>
        <v/>
      </c>
      <c r="IU217" s="110" t="str">
        <f>IF('Supp. Result Entry'!Z215="","",'Supp. Result Entry'!$Z$4)</f>
        <v/>
      </c>
      <c r="IV217" s="110" t="str">
        <f>IF('Supp. Result Entry'!AC215="","",'Supp. Result Entry'!$AC$4)</f>
        <v/>
      </c>
      <c r="IW217" s="110" t="str">
        <f>IF('Supp. Result Entry'!AF215="","",'Supp. Result Entry'!$AF$4)</f>
        <v/>
      </c>
      <c r="IX217" s="110" t="str">
        <f>IF('Supp. Result Entry'!AI215="","",'Supp. Result Entry'!$AI$4)</f>
        <v/>
      </c>
      <c r="IY217" s="110" t="str">
        <f>IF('Supp. Result Entry'!AI215="","",'Supp. Result Entry'!$AL$4)</f>
        <v/>
      </c>
      <c r="IZ217" s="110" t="str">
        <f>IF('Supp. Result Entry'!U215="","",'Supp. Result Entry'!U215)</f>
        <v/>
      </c>
      <c r="JA217" s="110" t="str">
        <f>IF('Supp. Result Entry'!X215="","",'Supp. Result Entry'!X215)</f>
        <v/>
      </c>
      <c r="JB217" s="110" t="str">
        <f>IF('Supp. Result Entry'!AA215="","",'Supp. Result Entry'!AA215)</f>
        <v/>
      </c>
      <c r="JC217" s="110" t="str">
        <f>IF('Supp. Result Entry'!AD215="","",'Supp. Result Entry'!AD215)</f>
        <v/>
      </c>
      <c r="JD217" s="110" t="str">
        <f>IF('Supp. Result Entry'!AG215="","",'Supp. Result Entry'!AG215)</f>
        <v/>
      </c>
      <c r="JE217" s="110" t="str">
        <f>IF('Supp. Result Entry'!AJ215="","",'Supp. Result Entry'!AJ215)</f>
        <v/>
      </c>
      <c r="JF217" s="110" t="str">
        <f>IF('Supp. Result Entry'!AM215="","",'Supp. Result Entry'!AM215)</f>
        <v/>
      </c>
      <c r="JG217" s="110" t="str">
        <f>IF('Supp. Result Entry'!V215="","",'Supp. Result Entry'!V215)</f>
        <v/>
      </c>
      <c r="JH217" s="110" t="str">
        <f>IF('Supp. Result Entry'!Y215="","",'Supp. Result Entry'!Y215)</f>
        <v/>
      </c>
      <c r="JI217" s="110" t="str">
        <f>IF('Supp. Result Entry'!AB215="","",'Supp. Result Entry'!AB215)</f>
        <v/>
      </c>
      <c r="JJ217" s="110" t="str">
        <f>IF('Supp. Result Entry'!AE215="","",'Supp. Result Entry'!AE215)</f>
        <v/>
      </c>
      <c r="JK217" s="110" t="str">
        <f>IF('Supp. Result Entry'!AH215="","",'Supp. Result Entry'!AH215)</f>
        <v/>
      </c>
      <c r="JL217" s="110" t="str">
        <f>IF('Supp. Result Entry'!AK215="","",'Supp. Result Entry'!AK215)</f>
        <v/>
      </c>
      <c r="JM217" s="110" t="str">
        <f>IF('Supp. Result Entry'!AN215="","",'Supp. Result Entry'!AN215)</f>
        <v/>
      </c>
      <c r="JN217" s="110">
        <f>COUNTIF('Supp. Result Entry'!K215:Q215,"S")</f>
        <v>0</v>
      </c>
      <c r="JO217" s="110">
        <f t="shared" si="584"/>
        <v>0</v>
      </c>
      <c r="JP217" s="110">
        <f t="shared" si="661"/>
        <v>0</v>
      </c>
      <c r="JQ217" s="110" t="str">
        <f t="shared" si="585"/>
        <v/>
      </c>
      <c r="JR217" s="110" t="str">
        <f t="shared" si="586"/>
        <v/>
      </c>
      <c r="JS217" s="110" t="str">
        <f t="shared" si="587"/>
        <v/>
      </c>
      <c r="JT217" s="110" t="str">
        <f t="shared" si="588"/>
        <v/>
      </c>
      <c r="JU217" s="110" t="str">
        <f t="shared" si="589"/>
        <v/>
      </c>
      <c r="JV217" s="110" t="str">
        <f t="shared" si="590"/>
        <v/>
      </c>
      <c r="JW217" s="110" t="str">
        <f t="shared" si="591"/>
        <v/>
      </c>
      <c r="JX217" s="110" t="str">
        <f t="shared" si="662"/>
        <v/>
      </c>
      <c r="JY217" s="110" t="str">
        <f t="shared" si="663"/>
        <v/>
      </c>
      <c r="JZ217" s="110" t="str">
        <f t="shared" si="592"/>
        <v/>
      </c>
      <c r="KA217" s="108" t="str">
        <f t="shared" si="664"/>
        <v/>
      </c>
    </row>
    <row r="218" spans="1:287" s="156" customFormat="1" ht="20.25" customHeight="1" thickBot="1">
      <c r="A218" s="1276"/>
      <c r="B218" s="1277"/>
      <c r="C218" s="1277"/>
      <c r="D218" s="1277"/>
      <c r="E218" s="1277"/>
      <c r="F218" s="1278"/>
      <c r="G218" s="1218" t="str">
        <f>IF('School Profile'!$D$12="Hindi","पुनः परीक्षा वाले विद्यार्थियों की संख्या  :","No. of students for re-exam. :")</f>
        <v>पुनः परीक्षा वाले विद्यार्थियों की संख्या  :</v>
      </c>
      <c r="H218" s="1218"/>
      <c r="I218" s="1203" t="s">
        <v>41</v>
      </c>
      <c r="J218" s="1203"/>
      <c r="K218" s="1202">
        <f>IF(AND(K208="",K209=""),"",COUNTIF(GN7:GN206,"RE"))</f>
        <v>0</v>
      </c>
      <c r="L218" s="1202"/>
      <c r="M218" s="1202"/>
      <c r="N218" s="1202"/>
      <c r="O218" s="1202"/>
      <c r="P218" s="1202"/>
      <c r="Q218" s="1202"/>
      <c r="R218" s="1202"/>
      <c r="S218" s="1202"/>
      <c r="T218" s="1202"/>
      <c r="U218" s="1202"/>
      <c r="V218" s="1202"/>
      <c r="W218" s="1202"/>
      <c r="X218" s="1202"/>
      <c r="Y218" s="1202">
        <f>IF(AND(Y208="",Y209=""),"",COUNTIF(GQ7:GQ206,"RE"))</f>
        <v>0</v>
      </c>
      <c r="Z218" s="1202"/>
      <c r="AA218" s="1202"/>
      <c r="AB218" s="1202"/>
      <c r="AC218" s="1202"/>
      <c r="AD218" s="1202"/>
      <c r="AE218" s="1202"/>
      <c r="AF218" s="1202"/>
      <c r="AG218" s="1202"/>
      <c r="AH218" s="1202"/>
      <c r="AI218" s="1202"/>
      <c r="AJ218" s="1202"/>
      <c r="AK218" s="1202"/>
      <c r="AL218" s="1202"/>
      <c r="AM218" s="1102">
        <f>IF(AND(AM208="",AM209=""),"",COUNTIF(GU7:GU206,"RE"))</f>
        <v>0</v>
      </c>
      <c r="AN218" s="1103"/>
      <c r="AO218" s="1103"/>
      <c r="AP218" s="1103"/>
      <c r="AQ218" s="1104"/>
      <c r="AR218" s="1102">
        <f>IF(AND(AR208="",AR209=""),"",COUNTIF(GV7:GV206,"RE"))</f>
        <v>0</v>
      </c>
      <c r="AS218" s="1103"/>
      <c r="AT218" s="1103"/>
      <c r="AU218" s="1103"/>
      <c r="AV218" s="1103"/>
      <c r="AW218" s="1103"/>
      <c r="AX218" s="1103"/>
      <c r="AY218" s="1103"/>
      <c r="AZ218" s="1103"/>
      <c r="BA218" s="1103"/>
      <c r="BB218" s="1104"/>
      <c r="BC218" s="1102">
        <f>IF(AND(BC208="",BC209=""),"",COUNTIF(GW7:GW206,"RE"))</f>
        <v>0</v>
      </c>
      <c r="BD218" s="1103"/>
      <c r="BE218" s="1103"/>
      <c r="BF218" s="1103"/>
      <c r="BG218" s="1104"/>
      <c r="BH218" s="1102">
        <f>IF(AND(BH208="",BH209=""),"",COUNTIF(GX7:GX206,"RE"))</f>
        <v>0</v>
      </c>
      <c r="BI218" s="1103"/>
      <c r="BJ218" s="1103"/>
      <c r="BK218" s="1103"/>
      <c r="BL218" s="1103"/>
      <c r="BM218" s="1103"/>
      <c r="BN218" s="1103"/>
      <c r="BO218" s="1103"/>
      <c r="BP218" s="1103"/>
      <c r="BQ218" s="1103"/>
      <c r="BR218" s="1104"/>
      <c r="BS218" s="1117">
        <f>IF(AND(BS208="",BS209=""),"",COUNTIF(GY7:GY206,"RE"))</f>
        <v>0</v>
      </c>
      <c r="BT218" s="1117"/>
      <c r="BU218" s="1117"/>
      <c r="BV218" s="1117"/>
      <c r="BW218" s="1117"/>
      <c r="BX218" s="149"/>
      <c r="BY218" s="150"/>
      <c r="BZ218" s="372"/>
      <c r="CA218" s="372"/>
      <c r="CB218" s="372"/>
      <c r="CC218" s="372"/>
      <c r="CD218" s="157"/>
      <c r="CE218" s="1117">
        <f>IF(AND(CE208="",CE209=""),"",COUNTIF(HB7:HB206,"RE"))</f>
        <v>0</v>
      </c>
      <c r="CF218" s="1117"/>
      <c r="CG218" s="1117"/>
      <c r="CH218" s="1117"/>
      <c r="CI218" s="1117"/>
      <c r="CJ218" s="1117">
        <f>IF(AND(CJ208="",CJ209=""),"",COUNTIF(HE7:HE206,"RE"))</f>
        <v>0</v>
      </c>
      <c r="CK218" s="1117"/>
      <c r="CL218" s="1117"/>
      <c r="CM218" s="1117"/>
      <c r="CN218" s="1117"/>
      <c r="CO218" s="1117"/>
      <c r="CP218" s="1117"/>
      <c r="CQ218" s="1117"/>
      <c r="CR218" s="1117"/>
      <c r="CS218" s="1117"/>
      <c r="CT218" s="1117"/>
      <c r="CU218" s="1117">
        <f>IF(AND(CU208="",CU209=""),"",COUNTIF(HH7:HH206,"RE"))</f>
        <v>0</v>
      </c>
      <c r="CV218" s="1117"/>
      <c r="CW218" s="1117"/>
      <c r="CX218" s="1117"/>
      <c r="CY218" s="1117"/>
      <c r="CZ218" s="1102">
        <f>IF(AND(CZ208="",CZ209=""),"",COUNTIF(HK7:HK206,"RE"))</f>
        <v>0</v>
      </c>
      <c r="DA218" s="1103"/>
      <c r="DB218" s="1103"/>
      <c r="DC218" s="1103"/>
      <c r="DD218" s="1103"/>
      <c r="DE218" s="1104"/>
      <c r="DF218" s="385"/>
      <c r="DG218" s="386"/>
      <c r="DH218" s="154"/>
      <c r="DI218" s="154"/>
      <c r="DJ218" s="154"/>
      <c r="DK218" s="154"/>
      <c r="DL218" s="115"/>
      <c r="DM218" s="115"/>
      <c r="DN218" s="115"/>
      <c r="DO218" s="115"/>
      <c r="DP218" s="115"/>
      <c r="DQ218" s="115"/>
      <c r="DR218" s="115"/>
      <c r="DS218" s="115"/>
      <c r="DT218" s="115"/>
      <c r="DU218" s="115"/>
      <c r="DV218" s="115"/>
      <c r="DW218" s="115"/>
      <c r="DX218" s="115"/>
      <c r="DY218" s="115"/>
      <c r="DZ218" s="1068">
        <f>IF(AND(DZ208="",DZ209=""),"",COUNTIF(EH7:EH206,"RE"))</f>
        <v>0</v>
      </c>
      <c r="EA218" s="1069"/>
      <c r="EB218" s="1069"/>
      <c r="EC218" s="1069"/>
      <c r="ED218" s="1069"/>
      <c r="EE218" s="1069"/>
      <c r="EF218" s="1070"/>
      <c r="EG218" s="1155"/>
      <c r="EH218" s="1156"/>
      <c r="EI218" s="365"/>
      <c r="EJ218" s="365"/>
      <c r="EK218" s="365"/>
      <c r="EL218" s="1073">
        <f>IF(AND(EL208="",EL209=""),"",COUNTIF(EX7:EX206,"RE"))</f>
        <v>0</v>
      </c>
      <c r="EM218" s="1073"/>
      <c r="EN218" s="1073"/>
      <c r="EO218" s="1073"/>
      <c r="EP218" s="1073"/>
      <c r="EQ218" s="1073"/>
      <c r="ER218" s="1073"/>
      <c r="ES218" s="1160"/>
      <c r="ET218" s="1095"/>
      <c r="EU218" s="1095"/>
      <c r="EV218" s="1095"/>
      <c r="EW218" s="1095"/>
      <c r="EX218" s="1095"/>
      <c r="EY218" s="365"/>
      <c r="EZ218" s="365"/>
      <c r="FA218" s="365"/>
      <c r="FB218" s="1073">
        <f>IF(AND(FB208="",FB209=""),"",COUNTIF(FQ7:FQ206,"RE"))</f>
        <v>0</v>
      </c>
      <c r="FC218" s="1073"/>
      <c r="FD218" s="1073"/>
      <c r="FE218" s="1073"/>
      <c r="FF218" s="1073"/>
      <c r="FG218" s="1073"/>
      <c r="FH218" s="1073"/>
      <c r="FI218" s="571"/>
      <c r="FJ218" s="1068">
        <f>IF(AND(FJ208="",FJ209=""),"",COUNTIF(FY7:FY206,"RE"))</f>
        <v>0</v>
      </c>
      <c r="FK218" s="1069"/>
      <c r="FL218" s="1069"/>
      <c r="FM218" s="1069"/>
      <c r="FN218" s="1069"/>
      <c r="FO218" s="1069"/>
      <c r="FP218" s="1070"/>
      <c r="FQ218" s="572"/>
      <c r="FR218" s="365"/>
      <c r="FS218" s="365"/>
      <c r="FT218" s="365"/>
      <c r="FU218" s="1068">
        <f>IF(AND(FU208="",FU209=""),"",COUNTIF(FY7:FY206,"RE"))</f>
        <v>0</v>
      </c>
      <c r="FV218" s="1069"/>
      <c r="FW218" s="1069"/>
      <c r="FX218" s="1069"/>
      <c r="FY218" s="1069"/>
      <c r="FZ218" s="1069"/>
      <c r="GA218" s="1069"/>
      <c r="GB218" s="1069"/>
      <c r="GC218" s="1069"/>
      <c r="GD218" s="1070"/>
      <c r="GE218" s="1095"/>
      <c r="GF218" s="1095"/>
      <c r="GG218" s="1095"/>
      <c r="GH218" s="365"/>
      <c r="GI218" s="365"/>
      <c r="GJ218" s="365"/>
      <c r="GK218" s="121"/>
      <c r="GL218" s="160"/>
      <c r="GM218" s="160"/>
      <c r="GN218" s="160"/>
      <c r="GO218" s="160"/>
      <c r="GP218" s="160"/>
      <c r="GQ218" s="160"/>
      <c r="GR218" s="160"/>
      <c r="GS218" s="160"/>
      <c r="GT218" s="160"/>
      <c r="GU218" s="160"/>
      <c r="GV218" s="160"/>
      <c r="GW218" s="160"/>
      <c r="GX218" s="160"/>
      <c r="GY218" s="160"/>
      <c r="GZ218" s="160"/>
      <c r="HA218" s="160"/>
      <c r="HB218" s="160"/>
      <c r="HC218" s="160"/>
      <c r="HD218" s="160"/>
      <c r="HE218" s="160"/>
      <c r="HF218" s="160"/>
      <c r="HG218" s="160"/>
      <c r="HH218" s="160"/>
      <c r="HI218" s="160"/>
      <c r="HJ218" s="160"/>
      <c r="HK218" s="160"/>
      <c r="HL218" s="160"/>
      <c r="HM218" s="160"/>
      <c r="HN218" s="160"/>
      <c r="HO218" s="160"/>
      <c r="HP218" s="1183"/>
      <c r="HQ218" s="1184"/>
      <c r="HR218" s="1189"/>
      <c r="HS218" s="1191" t="str">
        <f>IF('School Profile'!$D$12="Hindi","कुल योग","Total")</f>
        <v>कुल योग</v>
      </c>
      <c r="HT218" s="1191"/>
      <c r="HU218" s="1191"/>
      <c r="HV218" s="1187">
        <f>HV212+HV213+HV214+HV216</f>
        <v>31</v>
      </c>
      <c r="HW218" s="1188"/>
      <c r="HX218" s="1084"/>
      <c r="HY218" s="1192" t="str">
        <f>IF('School Profile'!$D$12="Hindi","कुल योग","Total")</f>
        <v>कुल योग</v>
      </c>
      <c r="HZ218" s="1191"/>
      <c r="IA218" s="1191"/>
      <c r="IB218" s="584">
        <f>SUM(IB212,IB213,IB214,IB216,IB217)</f>
        <v>1</v>
      </c>
      <c r="IC218" s="606">
        <f>HV218</f>
        <v>31</v>
      </c>
      <c r="IS218" s="109" t="str">
        <f>IF('Supp. Result Entry'!T216="","",'Supp. Result Entry'!$T$4)</f>
        <v/>
      </c>
      <c r="IT218" s="110" t="str">
        <f>IF('Supp. Result Entry'!W216="","",'Supp. Result Entry'!$W$4)</f>
        <v/>
      </c>
      <c r="IU218" s="110" t="str">
        <f>IF('Supp. Result Entry'!Z216="","",'Supp. Result Entry'!$Z$4)</f>
        <v/>
      </c>
      <c r="IV218" s="110" t="str">
        <f>IF('Supp. Result Entry'!AC216="","",'Supp. Result Entry'!$AC$4)</f>
        <v/>
      </c>
      <c r="IW218" s="110" t="str">
        <f>IF('Supp. Result Entry'!AF216="","",'Supp. Result Entry'!$AF$4)</f>
        <v/>
      </c>
      <c r="IX218" s="110" t="str">
        <f>IF('Supp. Result Entry'!AI216="","",'Supp. Result Entry'!$AI$4)</f>
        <v/>
      </c>
      <c r="IY218" s="110" t="str">
        <f>IF('Supp. Result Entry'!AI216="","",'Supp. Result Entry'!$AL$4)</f>
        <v/>
      </c>
      <c r="IZ218" s="110" t="str">
        <f>IF('Supp. Result Entry'!U216="","",'Supp. Result Entry'!U216)</f>
        <v/>
      </c>
      <c r="JA218" s="110" t="str">
        <f>IF('Supp. Result Entry'!X216="","",'Supp. Result Entry'!X216)</f>
        <v/>
      </c>
      <c r="JB218" s="110" t="str">
        <f>IF('Supp. Result Entry'!AA216="","",'Supp. Result Entry'!AA216)</f>
        <v/>
      </c>
      <c r="JC218" s="110" t="str">
        <f>IF('Supp. Result Entry'!AD216="","",'Supp. Result Entry'!AD216)</f>
        <v/>
      </c>
      <c r="JD218" s="110" t="str">
        <f>IF('Supp. Result Entry'!AG216="","",'Supp. Result Entry'!AG216)</f>
        <v/>
      </c>
      <c r="JE218" s="110" t="str">
        <f>IF('Supp. Result Entry'!AJ216="","",'Supp. Result Entry'!AJ216)</f>
        <v/>
      </c>
      <c r="JF218" s="110" t="str">
        <f>IF('Supp. Result Entry'!AM216="","",'Supp. Result Entry'!AM216)</f>
        <v/>
      </c>
      <c r="JG218" s="110" t="str">
        <f>IF('Supp. Result Entry'!V216="","",'Supp. Result Entry'!V216)</f>
        <v/>
      </c>
      <c r="JH218" s="110" t="str">
        <f>IF('Supp. Result Entry'!Y216="","",'Supp. Result Entry'!Y216)</f>
        <v/>
      </c>
      <c r="JI218" s="110" t="str">
        <f>IF('Supp. Result Entry'!AB216="","",'Supp. Result Entry'!AB216)</f>
        <v/>
      </c>
      <c r="JJ218" s="110" t="str">
        <f>IF('Supp. Result Entry'!AE216="","",'Supp. Result Entry'!AE216)</f>
        <v/>
      </c>
      <c r="JK218" s="110" t="str">
        <f>IF('Supp. Result Entry'!AH216="","",'Supp. Result Entry'!AH216)</f>
        <v/>
      </c>
      <c r="JL218" s="110" t="str">
        <f>IF('Supp. Result Entry'!AK216="","",'Supp. Result Entry'!AK216)</f>
        <v/>
      </c>
      <c r="JM218" s="110" t="str">
        <f>IF('Supp. Result Entry'!AN216="","",'Supp. Result Entry'!AN216)</f>
        <v/>
      </c>
      <c r="JN218" s="110">
        <f>COUNTIF('Supp. Result Entry'!K216:Q216,"S")</f>
        <v>0</v>
      </c>
      <c r="JO218" s="110">
        <f t="shared" si="584"/>
        <v>0</v>
      </c>
      <c r="JP218" s="110">
        <f t="shared" si="661"/>
        <v>0</v>
      </c>
      <c r="JQ218" s="110" t="str">
        <f t="shared" si="585"/>
        <v/>
      </c>
      <c r="JR218" s="110" t="str">
        <f t="shared" si="586"/>
        <v/>
      </c>
      <c r="JS218" s="110" t="str">
        <f t="shared" si="587"/>
        <v/>
      </c>
      <c r="JT218" s="110" t="str">
        <f t="shared" si="588"/>
        <v/>
      </c>
      <c r="JU218" s="110" t="str">
        <f t="shared" si="589"/>
        <v/>
      </c>
      <c r="JV218" s="110" t="str">
        <f t="shared" si="590"/>
        <v/>
      </c>
      <c r="JW218" s="110" t="str">
        <f t="shared" si="591"/>
        <v/>
      </c>
      <c r="JX218" s="110" t="str">
        <f t="shared" si="662"/>
        <v/>
      </c>
      <c r="JY218" s="110" t="str">
        <f t="shared" si="663"/>
        <v/>
      </c>
      <c r="JZ218" s="110" t="str">
        <f t="shared" si="592"/>
        <v/>
      </c>
      <c r="KA218" s="108" t="str">
        <f t="shared" si="664"/>
        <v/>
      </c>
    </row>
    <row r="219" spans="1:287" s="156" customFormat="1" ht="26.25" customHeight="1">
      <c r="A219" s="161"/>
      <c r="G219" s="161"/>
      <c r="H219" s="161"/>
      <c r="K219" s="161"/>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3"/>
      <c r="DM219" s="163"/>
      <c r="DN219" s="163"/>
      <c r="DO219" s="163"/>
      <c r="DP219" s="163"/>
      <c r="DQ219" s="163"/>
      <c r="DR219" s="163"/>
      <c r="DS219" s="163"/>
      <c r="DT219" s="163"/>
      <c r="DU219" s="163"/>
      <c r="DV219" s="163"/>
      <c r="DW219" s="164"/>
      <c r="DX219" s="164"/>
      <c r="DY219" s="164"/>
      <c r="DZ219" s="164"/>
      <c r="EA219" s="164"/>
      <c r="EB219" s="164"/>
      <c r="EC219" s="164"/>
      <c r="ED219" s="164"/>
      <c r="EE219" s="164"/>
      <c r="EF219" s="164"/>
      <c r="EG219" s="164"/>
      <c r="EH219" s="164"/>
      <c r="EI219" s="164"/>
      <c r="EJ219" s="164"/>
      <c r="EK219" s="164"/>
      <c r="EL219" s="164"/>
      <c r="EM219" s="164"/>
      <c r="EN219" s="164"/>
      <c r="EO219" s="164"/>
      <c r="EP219" s="164"/>
      <c r="EQ219" s="164"/>
      <c r="ER219" s="164"/>
      <c r="ES219" s="164"/>
      <c r="ET219" s="164"/>
      <c r="EU219" s="164"/>
      <c r="EV219" s="164"/>
      <c r="EW219" s="164"/>
      <c r="EX219" s="164"/>
      <c r="EY219" s="164"/>
      <c r="EZ219" s="164"/>
      <c r="FA219" s="164"/>
      <c r="FB219" s="164"/>
      <c r="FC219" s="164"/>
      <c r="FD219" s="164"/>
      <c r="FE219" s="164"/>
      <c r="FF219" s="164"/>
      <c r="FG219" s="164"/>
      <c r="FH219" s="164"/>
      <c r="FI219" s="164"/>
      <c r="FJ219" s="164"/>
      <c r="FK219" s="164"/>
      <c r="FL219" s="164"/>
      <c r="FM219" s="164"/>
      <c r="FN219" s="164"/>
      <c r="FO219" s="164"/>
      <c r="FP219" s="164"/>
      <c r="FQ219" s="164"/>
      <c r="FR219" s="164"/>
      <c r="FS219" s="164"/>
      <c r="FT219" s="164"/>
      <c r="FU219" s="164"/>
      <c r="FV219" s="164"/>
      <c r="FW219" s="164"/>
      <c r="FX219" s="164"/>
      <c r="FY219" s="164"/>
      <c r="FZ219" s="164"/>
      <c r="GA219" s="164"/>
      <c r="GB219" s="164"/>
      <c r="GC219" s="164"/>
      <c r="GD219" s="164"/>
      <c r="GE219" s="164"/>
      <c r="GF219" s="164"/>
      <c r="GG219" s="164"/>
      <c r="GH219" s="164"/>
      <c r="GI219" s="164"/>
      <c r="GJ219" s="164"/>
      <c r="GK219" s="165"/>
      <c r="GL219" s="164"/>
      <c r="GM219" s="164"/>
      <c r="GN219" s="164"/>
      <c r="GO219" s="164"/>
      <c r="GP219" s="164"/>
      <c r="GQ219" s="166"/>
      <c r="GR219" s="166"/>
      <c r="GS219" s="166"/>
      <c r="GT219" s="166"/>
      <c r="GU219" s="166"/>
      <c r="GV219" s="166"/>
      <c r="GW219" s="166"/>
      <c r="GX219" s="166"/>
      <c r="GY219" s="166"/>
      <c r="GZ219" s="166"/>
      <c r="HA219" s="166"/>
      <c r="HB219" s="166"/>
      <c r="HC219" s="166"/>
      <c r="HD219" s="166"/>
      <c r="HE219" s="166"/>
      <c r="HF219" s="166"/>
      <c r="HG219" s="166"/>
      <c r="HH219" s="166"/>
      <c r="HI219" s="166"/>
      <c r="HJ219" s="166"/>
      <c r="HK219" s="166"/>
      <c r="HL219" s="166"/>
      <c r="HM219" s="166"/>
      <c r="HN219" s="166"/>
      <c r="HO219" s="166"/>
      <c r="HP219" s="166"/>
      <c r="HQ219" s="166"/>
      <c r="HR219" s="166"/>
      <c r="HS219" s="166"/>
      <c r="HW219" s="166"/>
      <c r="HX219" s="166"/>
      <c r="HY219" s="166"/>
      <c r="HZ219" s="166"/>
      <c r="IA219" s="166"/>
      <c r="IB219" s="166"/>
      <c r="IC219" s="166"/>
    </row>
    <row r="220" spans="1:287" s="156" customFormat="1" ht="26.25" customHeight="1">
      <c r="A220" s="161"/>
      <c r="F220" s="167"/>
      <c r="G220" s="167"/>
      <c r="H220" s="167"/>
      <c r="I220" s="167"/>
      <c r="K220" s="161"/>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3"/>
      <c r="DM220" s="163"/>
      <c r="DN220" s="163"/>
      <c r="DO220" s="163"/>
      <c r="DP220" s="163"/>
      <c r="DQ220" s="163"/>
      <c r="DR220" s="163"/>
      <c r="DS220" s="163"/>
      <c r="DT220" s="163"/>
      <c r="DU220" s="163"/>
      <c r="DV220" s="163"/>
      <c r="DW220" s="164"/>
      <c r="DX220" s="164"/>
      <c r="DY220" s="164"/>
      <c r="DZ220" s="164"/>
      <c r="EA220" s="164"/>
      <c r="EB220" s="164"/>
      <c r="EC220" s="164"/>
      <c r="ED220" s="164"/>
      <c r="EE220" s="164"/>
      <c r="EF220" s="164"/>
      <c r="EG220" s="164"/>
      <c r="EH220" s="164"/>
      <c r="EI220" s="164"/>
      <c r="EJ220" s="164"/>
      <c r="EK220" s="164"/>
      <c r="EL220" s="164"/>
      <c r="EM220" s="164"/>
      <c r="EN220" s="164"/>
      <c r="EO220" s="164"/>
      <c r="EP220" s="164"/>
      <c r="EQ220" s="164"/>
      <c r="ER220" s="164"/>
      <c r="ES220" s="164"/>
      <c r="ET220" s="164"/>
      <c r="EU220" s="164"/>
      <c r="EV220" s="164"/>
      <c r="EW220" s="164"/>
      <c r="EX220" s="164"/>
      <c r="EY220" s="164"/>
      <c r="EZ220" s="164"/>
      <c r="FA220" s="164"/>
      <c r="FB220" s="164"/>
      <c r="FC220" s="164"/>
      <c r="FD220" s="164"/>
      <c r="FE220" s="164"/>
      <c r="FF220" s="164"/>
      <c r="FG220" s="164"/>
      <c r="FH220" s="164"/>
      <c r="FI220" s="164"/>
      <c r="FJ220" s="164"/>
      <c r="FK220" s="164"/>
      <c r="FL220" s="164"/>
      <c r="FM220" s="164"/>
      <c r="FN220" s="164"/>
      <c r="FO220" s="164"/>
      <c r="FP220" s="164"/>
      <c r="FQ220" s="164"/>
      <c r="FR220" s="164"/>
      <c r="FS220" s="164"/>
      <c r="FT220" s="164"/>
      <c r="FU220" s="164"/>
      <c r="FV220" s="164"/>
      <c r="FW220" s="164"/>
      <c r="FX220" s="164"/>
      <c r="FY220" s="164"/>
      <c r="FZ220" s="164"/>
      <c r="GA220" s="164"/>
      <c r="GB220" s="164"/>
      <c r="GC220" s="164"/>
      <c r="GD220" s="164"/>
      <c r="GE220" s="164"/>
      <c r="GF220" s="164"/>
      <c r="GG220" s="164"/>
      <c r="GH220" s="164"/>
      <c r="GI220" s="164"/>
      <c r="GJ220" s="164"/>
      <c r="GK220" s="164"/>
      <c r="GL220" s="164"/>
      <c r="GM220" s="164"/>
      <c r="GN220" s="164"/>
      <c r="GO220" s="164"/>
      <c r="GP220" s="164"/>
      <c r="GQ220" s="166"/>
      <c r="GR220" s="166"/>
      <c r="GS220" s="166"/>
      <c r="GT220" s="166"/>
      <c r="GU220" s="166"/>
      <c r="GV220" s="166"/>
      <c r="GW220" s="166"/>
      <c r="GX220" s="166"/>
      <c r="GY220" s="166"/>
      <c r="GZ220" s="166"/>
      <c r="HA220" s="166"/>
      <c r="HB220" s="166"/>
      <c r="HC220" s="166"/>
      <c r="HD220" s="166"/>
      <c r="HE220" s="166"/>
      <c r="HF220" s="166"/>
      <c r="HG220" s="166"/>
      <c r="HH220" s="166"/>
      <c r="HI220" s="166"/>
      <c r="HJ220" s="166"/>
      <c r="HK220" s="166"/>
      <c r="HL220" s="166"/>
      <c r="HM220" s="166"/>
      <c r="HN220" s="166"/>
      <c r="HO220" s="166"/>
      <c r="HP220" s="166"/>
      <c r="HQ220" s="166"/>
      <c r="HR220" s="166"/>
      <c r="HS220" s="166"/>
      <c r="HW220" s="166"/>
      <c r="HX220" s="166"/>
      <c r="HY220" s="166"/>
      <c r="HZ220" s="166"/>
      <c r="IA220" s="166"/>
      <c r="IB220" s="166"/>
      <c r="IC220" s="166"/>
    </row>
    <row r="221" spans="1:287" s="156" customFormat="1" ht="26.25">
      <c r="A221" s="161"/>
      <c r="G221" s="161"/>
      <c r="H221" s="161"/>
      <c r="K221" s="161"/>
      <c r="L221" s="162"/>
      <c r="M221" s="162"/>
      <c r="N221" s="162"/>
      <c r="O221" s="162"/>
      <c r="P221" s="168"/>
      <c r="Q221" s="168"/>
      <c r="R221" s="168"/>
      <c r="S221" s="168"/>
      <c r="T221" s="168"/>
      <c r="U221" s="168"/>
      <c r="V221" s="168"/>
      <c r="W221" s="168"/>
      <c r="X221" s="168"/>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2"/>
      <c r="BR221" s="162"/>
      <c r="BS221" s="162"/>
      <c r="BT221" s="162"/>
      <c r="BU221" s="162"/>
      <c r="BV221" s="162"/>
      <c r="BW221" s="162"/>
      <c r="BX221" s="162"/>
      <c r="BY221" s="162"/>
      <c r="BZ221" s="162"/>
      <c r="CA221" s="162"/>
      <c r="CB221" s="162"/>
      <c r="CC221" s="162"/>
      <c r="CD221" s="162"/>
      <c r="CE221" s="162"/>
      <c r="CF221" s="162"/>
      <c r="CG221" s="162"/>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162"/>
      <c r="DG221" s="162"/>
      <c r="DH221" s="162"/>
      <c r="DI221" s="162"/>
      <c r="DJ221" s="162"/>
      <c r="DK221" s="162"/>
      <c r="DL221" s="163"/>
      <c r="DM221" s="163"/>
      <c r="DN221" s="163"/>
      <c r="DO221" s="163"/>
      <c r="DP221" s="163"/>
      <c r="DQ221" s="163"/>
      <c r="DR221" s="163"/>
      <c r="DS221" s="163"/>
      <c r="DT221" s="163"/>
      <c r="DU221" s="163"/>
      <c r="DV221" s="163"/>
      <c r="DW221" s="164"/>
      <c r="DX221" s="164"/>
      <c r="DY221" s="164"/>
      <c r="DZ221" s="164"/>
      <c r="EA221" s="164"/>
      <c r="EB221" s="164"/>
      <c r="EC221" s="164"/>
      <c r="ED221" s="164"/>
      <c r="EE221" s="164"/>
      <c r="EF221" s="164"/>
      <c r="EG221" s="164"/>
      <c r="EH221" s="164"/>
      <c r="EI221" s="164"/>
      <c r="EJ221" s="164"/>
      <c r="EK221" s="164"/>
      <c r="EL221" s="164"/>
      <c r="EM221" s="164"/>
      <c r="EN221" s="164"/>
      <c r="EO221" s="164"/>
      <c r="EP221" s="164"/>
      <c r="EQ221" s="164"/>
      <c r="ER221" s="164"/>
      <c r="ES221" s="164"/>
      <c r="ET221" s="164"/>
      <c r="EU221" s="164"/>
      <c r="EV221" s="164"/>
      <c r="EW221" s="164"/>
      <c r="EX221" s="164"/>
      <c r="EY221" s="164"/>
      <c r="EZ221" s="164"/>
      <c r="FA221" s="164"/>
      <c r="FB221" s="164"/>
      <c r="FC221" s="164"/>
      <c r="FD221" s="164"/>
      <c r="FE221" s="164"/>
      <c r="FF221" s="164"/>
      <c r="FG221" s="164"/>
      <c r="FH221" s="164"/>
      <c r="FI221" s="164"/>
      <c r="FJ221" s="164"/>
      <c r="FK221" s="164"/>
      <c r="FL221" s="164"/>
      <c r="FM221" s="164"/>
      <c r="FN221" s="164"/>
      <c r="FO221" s="164"/>
      <c r="FP221" s="164"/>
      <c r="FQ221" s="164"/>
      <c r="FR221" s="164"/>
      <c r="FS221" s="164"/>
      <c r="FT221" s="164"/>
      <c r="FU221" s="164"/>
      <c r="FV221" s="164"/>
      <c r="FW221" s="164"/>
      <c r="FX221" s="164"/>
      <c r="FY221" s="164"/>
      <c r="FZ221" s="164"/>
      <c r="GA221" s="164"/>
      <c r="GB221" s="164"/>
      <c r="GC221" s="164"/>
      <c r="GD221" s="164"/>
      <c r="GE221" s="164"/>
      <c r="GF221" s="164"/>
      <c r="GG221" s="164"/>
      <c r="GH221" s="164"/>
      <c r="GI221" s="164"/>
      <c r="GJ221" s="164"/>
      <c r="GK221" s="164"/>
      <c r="GL221" s="164"/>
      <c r="GM221" s="164"/>
      <c r="GN221" s="164"/>
      <c r="GO221" s="164"/>
      <c r="GP221" s="164"/>
      <c r="GQ221" s="166"/>
      <c r="GR221" s="166"/>
      <c r="GS221" s="166"/>
      <c r="GT221" s="166"/>
      <c r="GU221" s="166"/>
      <c r="GV221" s="166"/>
      <c r="GW221" s="166"/>
      <c r="GX221" s="166"/>
      <c r="GY221" s="166"/>
      <c r="GZ221" s="166"/>
      <c r="HA221" s="166"/>
      <c r="HB221" s="166"/>
      <c r="HC221" s="166"/>
      <c r="HD221" s="166"/>
      <c r="HE221" s="166"/>
      <c r="HF221" s="166"/>
      <c r="HG221" s="166"/>
      <c r="HH221" s="166"/>
      <c r="HI221" s="166"/>
      <c r="HJ221" s="166"/>
      <c r="HK221" s="166"/>
      <c r="HL221" s="166"/>
      <c r="HM221" s="166"/>
      <c r="HN221" s="166"/>
      <c r="HO221" s="166"/>
      <c r="HP221" s="166"/>
      <c r="HQ221" s="166"/>
      <c r="HR221" s="166"/>
      <c r="HS221" s="166"/>
      <c r="HW221" s="166"/>
      <c r="HX221" s="166"/>
      <c r="HY221" s="166"/>
      <c r="HZ221" s="166"/>
      <c r="IA221" s="166"/>
      <c r="IB221" s="166"/>
      <c r="IC221" s="166"/>
    </row>
    <row r="222" spans="1:287" hidden="1"/>
    <row r="223" spans="1:287" hidden="1"/>
    <row r="224" spans="1:287"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sheetData>
  <sheetProtection password="D5A2" sheet="1" objects="1" scenarios="1" formatColumns="0" formatRows="0"/>
  <mergeCells count="485">
    <mergeCell ref="JG4:JM5"/>
    <mergeCell ref="Y2:AL2"/>
    <mergeCell ref="BP2:CC2"/>
    <mergeCell ref="BZ3:CC3"/>
    <mergeCell ref="CS2:DE2"/>
    <mergeCell ref="DZ2:EH2"/>
    <mergeCell ref="DG4:DG5"/>
    <mergeCell ref="DH4:DH5"/>
    <mergeCell ref="DI4:DI5"/>
    <mergeCell ref="CE2:CL2"/>
    <mergeCell ref="EL2:EX2"/>
    <mergeCell ref="EL3:EX3"/>
    <mergeCell ref="EW4:EW5"/>
    <mergeCell ref="EX4:EX5"/>
    <mergeCell ref="CR4:CR5"/>
    <mergeCell ref="DZ3:EH3"/>
    <mergeCell ref="BL3:BO3"/>
    <mergeCell ref="HY2:IC3"/>
    <mergeCell ref="HW4:HW6"/>
    <mergeCell ref="HH5:HH6"/>
    <mergeCell ref="HK5:HK6"/>
    <mergeCell ref="HI5:HI6"/>
    <mergeCell ref="GN4:GP4"/>
    <mergeCell ref="GQ4:GS4"/>
    <mergeCell ref="GN5:GN6"/>
    <mergeCell ref="BP4:BS4"/>
    <mergeCell ref="A207:HO207"/>
    <mergeCell ref="A208:F218"/>
    <mergeCell ref="G208:H208"/>
    <mergeCell ref="IS4:IY5"/>
    <mergeCell ref="IZ4:JF5"/>
    <mergeCell ref="BH215:BR215"/>
    <mergeCell ref="BH216:BR216"/>
    <mergeCell ref="BH217:BR217"/>
    <mergeCell ref="BH218:BR218"/>
    <mergeCell ref="IC4:IC6"/>
    <mergeCell ref="HV209:HW209"/>
    <mergeCell ref="HV210:HW210"/>
    <mergeCell ref="HV211:HW211"/>
    <mergeCell ref="X4:X5"/>
    <mergeCell ref="BN4:BN5"/>
    <mergeCell ref="BO4:BO5"/>
    <mergeCell ref="Y208:AL208"/>
    <mergeCell ref="I208:J208"/>
    <mergeCell ref="AM208:AQ208"/>
    <mergeCell ref="AM209:AQ209"/>
    <mergeCell ref="AM210:AQ210"/>
    <mergeCell ref="BC208:BG208"/>
    <mergeCell ref="CE3:CL3"/>
    <mergeCell ref="CJ4:CJ5"/>
    <mergeCell ref="CL4:CL5"/>
    <mergeCell ref="CQ4:CQ5"/>
    <mergeCell ref="BS218:BW218"/>
    <mergeCell ref="CJ208:CT208"/>
    <mergeCell ref="CJ209:CT209"/>
    <mergeCell ref="CE218:CI218"/>
    <mergeCell ref="BS213:BW213"/>
    <mergeCell ref="CE217:CI217"/>
    <mergeCell ref="CA4:CA5"/>
    <mergeCell ref="CB4:CB5"/>
    <mergeCell ref="CC4:CC5"/>
    <mergeCell ref="CD4:CD5"/>
    <mergeCell ref="CE216:CI216"/>
    <mergeCell ref="BU4:BU5"/>
    <mergeCell ref="BZ4:BZ5"/>
    <mergeCell ref="BY4:BY5"/>
    <mergeCell ref="CM4:CM5"/>
    <mergeCell ref="CE4:CH4"/>
    <mergeCell ref="CJ210:CT210"/>
    <mergeCell ref="CJ213:CT213"/>
    <mergeCell ref="CJ214:CT214"/>
    <mergeCell ref="CJ215:CT215"/>
    <mergeCell ref="GN2:HM3"/>
    <mergeCell ref="CI4:CI5"/>
    <mergeCell ref="CK4:CK5"/>
    <mergeCell ref="BX4:BX5"/>
    <mergeCell ref="EG4:EG5"/>
    <mergeCell ref="BP3:BY3"/>
    <mergeCell ref="BW4:BW5"/>
    <mergeCell ref="HG5:HG6"/>
    <mergeCell ref="GK6:GM6"/>
    <mergeCell ref="GM4:GM5"/>
    <mergeCell ref="DK4:DK5"/>
    <mergeCell ref="DW3:DW5"/>
    <mergeCell ref="CO4:CO5"/>
    <mergeCell ref="DL3:DR5"/>
    <mergeCell ref="GK2:GM3"/>
    <mergeCell ref="GH4:GH5"/>
    <mergeCell ref="GI4:GI5"/>
    <mergeCell ref="EI4:EI5"/>
    <mergeCell ref="EJ4:EJ5"/>
    <mergeCell ref="EK4:EK5"/>
    <mergeCell ref="EY4:EY5"/>
    <mergeCell ref="FU3:FY3"/>
    <mergeCell ref="EZ4:EZ5"/>
    <mergeCell ref="HJ5:HJ6"/>
    <mergeCell ref="A2:E2"/>
    <mergeCell ref="F2:R2"/>
    <mergeCell ref="C4:C6"/>
    <mergeCell ref="O4:O5"/>
    <mergeCell ref="Q4:Q5"/>
    <mergeCell ref="BF4:BF5"/>
    <mergeCell ref="BH4:BH5"/>
    <mergeCell ref="BT4:BT5"/>
    <mergeCell ref="BV4:BV5"/>
    <mergeCell ref="AU4:AU5"/>
    <mergeCell ref="AV4:AV5"/>
    <mergeCell ref="AS4:AS5"/>
    <mergeCell ref="AM2:BA2"/>
    <mergeCell ref="BB2:BO2"/>
    <mergeCell ref="AX3:BA3"/>
    <mergeCell ref="A3:D3"/>
    <mergeCell ref="AL4:AL5"/>
    <mergeCell ref="E3:F3"/>
    <mergeCell ref="K3:X3"/>
    <mergeCell ref="Y3:AL3"/>
    <mergeCell ref="AH4:AH5"/>
    <mergeCell ref="AI4:AI5"/>
    <mergeCell ref="AJ4:AJ5"/>
    <mergeCell ref="AK4:AK5"/>
    <mergeCell ref="JX4:JX6"/>
    <mergeCell ref="Y215:AL215"/>
    <mergeCell ref="CE213:CI213"/>
    <mergeCell ref="CE214:CI214"/>
    <mergeCell ref="CE215:CI215"/>
    <mergeCell ref="AB211:AC211"/>
    <mergeCell ref="AM213:AQ213"/>
    <mergeCell ref="AM214:AQ214"/>
    <mergeCell ref="HV212:HW212"/>
    <mergeCell ref="HV213:HW213"/>
    <mergeCell ref="HV214:HW214"/>
    <mergeCell ref="HV215:HW215"/>
    <mergeCell ref="HP209:HQ210"/>
    <mergeCell ref="HP208:HQ208"/>
    <mergeCell ref="JQ4:JW5"/>
    <mergeCell ref="AM4:AM5"/>
    <mergeCell ref="BB4:BE4"/>
    <mergeCell ref="BG4:BG5"/>
    <mergeCell ref="HX4:HX6"/>
    <mergeCell ref="HY4:HY6"/>
    <mergeCell ref="Y4:AB4"/>
    <mergeCell ref="AW4:AW5"/>
    <mergeCell ref="BL4:BL5"/>
    <mergeCell ref="BM4:BM5"/>
    <mergeCell ref="BB3:BK3"/>
    <mergeCell ref="AN3:AP3"/>
    <mergeCell ref="AQ3:AR3"/>
    <mergeCell ref="AS3:AU3"/>
    <mergeCell ref="AC4:AC5"/>
    <mergeCell ref="AE4:AE5"/>
    <mergeCell ref="AG4:AG5"/>
    <mergeCell ref="AN4:AQ4"/>
    <mergeCell ref="BA4:BA5"/>
    <mergeCell ref="AT4:AT5"/>
    <mergeCell ref="AX4:AX5"/>
    <mergeCell ref="AY4:AY5"/>
    <mergeCell ref="AZ4:AZ5"/>
    <mergeCell ref="BJ4:BJ5"/>
    <mergeCell ref="BK4:BK5"/>
    <mergeCell ref="BI4:BI5"/>
    <mergeCell ref="AR4:AR5"/>
    <mergeCell ref="BC210:BG210"/>
    <mergeCell ref="BS208:BW208"/>
    <mergeCell ref="BS209:BW209"/>
    <mergeCell ref="BS210:BW210"/>
    <mergeCell ref="BC216:BG216"/>
    <mergeCell ref="BH208:BR208"/>
    <mergeCell ref="BH209:BR209"/>
    <mergeCell ref="W4:W5"/>
    <mergeCell ref="AM215:AQ215"/>
    <mergeCell ref="AM216:AQ216"/>
    <mergeCell ref="Y216:AL216"/>
    <mergeCell ref="AM217:AQ217"/>
    <mergeCell ref="AM218:AQ218"/>
    <mergeCell ref="AR208:BB208"/>
    <mergeCell ref="AR209:BB209"/>
    <mergeCell ref="AR210:BB210"/>
    <mergeCell ref="AR213:BB213"/>
    <mergeCell ref="AR214:BB214"/>
    <mergeCell ref="AR215:BB215"/>
    <mergeCell ref="AR216:BB216"/>
    <mergeCell ref="AR217:BB217"/>
    <mergeCell ref="AR218:BB218"/>
    <mergeCell ref="BC217:BG217"/>
    <mergeCell ref="BC218:BG218"/>
    <mergeCell ref="BH210:BR210"/>
    <mergeCell ref="BH213:BR213"/>
    <mergeCell ref="BH214:BR214"/>
    <mergeCell ref="I218:J218"/>
    <mergeCell ref="K217:X217"/>
    <mergeCell ref="HB5:HB6"/>
    <mergeCell ref="G218:H218"/>
    <mergeCell ref="G214:H214"/>
    <mergeCell ref="K214:X214"/>
    <mergeCell ref="GS5:GS6"/>
    <mergeCell ref="I217:J217"/>
    <mergeCell ref="K218:X218"/>
    <mergeCell ref="Y218:AL218"/>
    <mergeCell ref="G217:H217"/>
    <mergeCell ref="G213:H213"/>
    <mergeCell ref="K213:X213"/>
    <mergeCell ref="Y213:AL213"/>
    <mergeCell ref="G216:H216"/>
    <mergeCell ref="K216:X216"/>
    <mergeCell ref="GJ4:GJ5"/>
    <mergeCell ref="G215:H215"/>
    <mergeCell ref="K215:X215"/>
    <mergeCell ref="G212:H212"/>
    <mergeCell ref="I211:J211"/>
    <mergeCell ref="G210:H210"/>
    <mergeCell ref="G209:H209"/>
    <mergeCell ref="HR213:HR214"/>
    <mergeCell ref="HP213:HQ214"/>
    <mergeCell ref="HS4:HS6"/>
    <mergeCell ref="HN4:HN6"/>
    <mergeCell ref="K210:X210"/>
    <mergeCell ref="G211:H211"/>
    <mergeCell ref="I213:J213"/>
    <mergeCell ref="P4:P5"/>
    <mergeCell ref="AD4:AD5"/>
    <mergeCell ref="S4:S5"/>
    <mergeCell ref="K4:N4"/>
    <mergeCell ref="R4:R5"/>
    <mergeCell ref="T4:T5"/>
    <mergeCell ref="U4:U5"/>
    <mergeCell ref="V4:V5"/>
    <mergeCell ref="AF4:AF5"/>
    <mergeCell ref="GK4:GK5"/>
    <mergeCell ref="GL4:GL5"/>
    <mergeCell ref="K208:X208"/>
    <mergeCell ref="BC209:BG209"/>
    <mergeCell ref="I214:J214"/>
    <mergeCell ref="I215:J215"/>
    <mergeCell ref="I209:J209"/>
    <mergeCell ref="I210:J210"/>
    <mergeCell ref="CE208:CI208"/>
    <mergeCell ref="CE209:CI209"/>
    <mergeCell ref="CE210:CI210"/>
    <mergeCell ref="AB212:AC212"/>
    <mergeCell ref="K209:X209"/>
    <mergeCell ref="Y209:AL209"/>
    <mergeCell ref="Y210:AL210"/>
    <mergeCell ref="AG212:AL212"/>
    <mergeCell ref="AG211:AL211"/>
    <mergeCell ref="BS214:BW214"/>
    <mergeCell ref="BS215:BW215"/>
    <mergeCell ref="BC213:BG213"/>
    <mergeCell ref="BC214:BG214"/>
    <mergeCell ref="BC215:BG215"/>
    <mergeCell ref="Q211:R211"/>
    <mergeCell ref="Q212:R212"/>
    <mergeCell ref="AE211:AF211"/>
    <mergeCell ref="AE212:AF212"/>
    <mergeCell ref="I212:J212"/>
    <mergeCell ref="N211:O211"/>
    <mergeCell ref="A4:A6"/>
    <mergeCell ref="B4:B6"/>
    <mergeCell ref="D4:D6"/>
    <mergeCell ref="E4:E6"/>
    <mergeCell ref="F4:F6"/>
    <mergeCell ref="G4:G6"/>
    <mergeCell ref="H4:H6"/>
    <mergeCell ref="I4:I6"/>
    <mergeCell ref="J4:J6"/>
    <mergeCell ref="Y217:AL217"/>
    <mergeCell ref="I216:J216"/>
    <mergeCell ref="Y214:AL214"/>
    <mergeCell ref="N212:O212"/>
    <mergeCell ref="S211:T211"/>
    <mergeCell ref="S212:T212"/>
    <mergeCell ref="U211:V211"/>
    <mergeCell ref="U212:V212"/>
    <mergeCell ref="HQ4:HQ6"/>
    <mergeCell ref="HP211:HQ212"/>
    <mergeCell ref="FT4:FT5"/>
    <mergeCell ref="GB4:GB5"/>
    <mergeCell ref="GW5:GW6"/>
    <mergeCell ref="GZ5:GZ6"/>
    <mergeCell ref="HH4:HJ4"/>
    <mergeCell ref="GP5:GP6"/>
    <mergeCell ref="GT5:GT6"/>
    <mergeCell ref="GU5:GU6"/>
    <mergeCell ref="GO5:GO6"/>
    <mergeCell ref="HF5:HF6"/>
    <mergeCell ref="HC5:HC6"/>
    <mergeCell ref="HD5:HD6"/>
    <mergeCell ref="HA5:HA6"/>
    <mergeCell ref="HE5:HE6"/>
    <mergeCell ref="JZ4:JZ6"/>
    <mergeCell ref="HP217:HQ218"/>
    <mergeCell ref="HV217:HW217"/>
    <mergeCell ref="HV218:HW218"/>
    <mergeCell ref="JY4:JY6"/>
    <mergeCell ref="HR217:HR218"/>
    <mergeCell ref="HS209:HU209"/>
    <mergeCell ref="HS208:HU208"/>
    <mergeCell ref="HS210:HU210"/>
    <mergeCell ref="HS211:HU211"/>
    <mergeCell ref="HS212:HU212"/>
    <mergeCell ref="HS213:HU213"/>
    <mergeCell ref="HS214:HU214"/>
    <mergeCell ref="HS215:HU215"/>
    <mergeCell ref="HS216:HU216"/>
    <mergeCell ref="HS217:HU217"/>
    <mergeCell ref="HS218:HU218"/>
    <mergeCell ref="HY217:IA217"/>
    <mergeCell ref="HY218:IA218"/>
    <mergeCell ref="HY207:IC207"/>
    <mergeCell ref="HP215:HQ216"/>
    <mergeCell ref="HZ4:HZ6"/>
    <mergeCell ref="IB4:IB6"/>
    <mergeCell ref="IA4:IA6"/>
    <mergeCell ref="HV4:HV6"/>
    <mergeCell ref="GQ5:GQ6"/>
    <mergeCell ref="GR5:GR6"/>
    <mergeCell ref="HK4:HM4"/>
    <mergeCell ref="HL5:HL6"/>
    <mergeCell ref="HM5:HM6"/>
    <mergeCell ref="HB4:HD4"/>
    <mergeCell ref="HE4:HG4"/>
    <mergeCell ref="HT4:HT5"/>
    <mergeCell ref="HU4:HU5"/>
    <mergeCell ref="HR4:HR6"/>
    <mergeCell ref="GU4:HA4"/>
    <mergeCell ref="HN2:HR3"/>
    <mergeCell ref="GV5:GV6"/>
    <mergeCell ref="HO4:HO6"/>
    <mergeCell ref="HP4:HP6"/>
    <mergeCell ref="BS216:BW216"/>
    <mergeCell ref="BS217:BW217"/>
    <mergeCell ref="GF4:GF5"/>
    <mergeCell ref="GG4:GG5"/>
    <mergeCell ref="DZ210:EF210"/>
    <mergeCell ref="DS3:DS5"/>
    <mergeCell ref="DT3:DT5"/>
    <mergeCell ref="CS3:DE3"/>
    <mergeCell ref="FB3:FQ3"/>
    <mergeCell ref="FB4:FC4"/>
    <mergeCell ref="CS4:CS5"/>
    <mergeCell ref="CN3:CQ3"/>
    <mergeCell ref="CN4:CN5"/>
    <mergeCell ref="CP4:CP5"/>
    <mergeCell ref="CT4:CW4"/>
    <mergeCell ref="CX4:CZ4"/>
    <mergeCell ref="FU4:FU5"/>
    <mergeCell ref="FP4:FP5"/>
    <mergeCell ref="FQ4:FQ5"/>
    <mergeCell ref="FR4:FR5"/>
    <mergeCell ref="FX4:FX5"/>
    <mergeCell ref="FY4:FY5"/>
    <mergeCell ref="DZ208:EF208"/>
    <mergeCell ref="DZ209:EF209"/>
    <mergeCell ref="EG208:EH218"/>
    <mergeCell ref="DZ213:EF213"/>
    <mergeCell ref="DZ214:EF214"/>
    <mergeCell ref="DZ215:EF215"/>
    <mergeCell ref="DZ216:EF216"/>
    <mergeCell ref="DZ217:EF217"/>
    <mergeCell ref="EE211:EF211"/>
    <mergeCell ref="EE212:EF212"/>
    <mergeCell ref="DZ218:EF218"/>
    <mergeCell ref="ED4:ED5"/>
    <mergeCell ref="EE4:EE5"/>
    <mergeCell ref="EF4:EF5"/>
    <mergeCell ref="EL4:EO4"/>
    <mergeCell ref="EP4:ER4"/>
    <mergeCell ref="ES4:ES5"/>
    <mergeCell ref="EL217:ER217"/>
    <mergeCell ref="EL218:ER218"/>
    <mergeCell ref="ES208:EX218"/>
    <mergeCell ref="FG211:FH211"/>
    <mergeCell ref="FB208:FH208"/>
    <mergeCell ref="FA4:FA5"/>
    <mergeCell ref="DY4:DY6"/>
    <mergeCell ref="DX3:DX5"/>
    <mergeCell ref="EH4:EH5"/>
    <mergeCell ref="DJ4:DJ5"/>
    <mergeCell ref="DE4:DE5"/>
    <mergeCell ref="DA4:DA5"/>
    <mergeCell ref="DB4:DD4"/>
    <mergeCell ref="DV3:DV5"/>
    <mergeCell ref="DF4:DF5"/>
    <mergeCell ref="DZ4:EC4"/>
    <mergeCell ref="HS2:HX3"/>
    <mergeCell ref="FV4:FV5"/>
    <mergeCell ref="FW4:FW5"/>
    <mergeCell ref="GC4:GC5"/>
    <mergeCell ref="GD4:GD5"/>
    <mergeCell ref="GE4:GE5"/>
    <mergeCell ref="AV3:AW3"/>
    <mergeCell ref="ET4:EV4"/>
    <mergeCell ref="FD4:FE4"/>
    <mergeCell ref="FF4:FG4"/>
    <mergeCell ref="FH4:FH5"/>
    <mergeCell ref="FI4:FK4"/>
    <mergeCell ref="FL4:FL5"/>
    <mergeCell ref="FM4:FO4"/>
    <mergeCell ref="GY5:GY6"/>
    <mergeCell ref="GX5:GX6"/>
    <mergeCell ref="FB2:FQ2"/>
    <mergeCell ref="FU2:FY2"/>
    <mergeCell ref="FZ4:FZ5"/>
    <mergeCell ref="GA4:GA5"/>
    <mergeCell ref="GC2:GG2"/>
    <mergeCell ref="GC3:GG3"/>
    <mergeCell ref="DU3:DU5"/>
    <mergeCell ref="FS4:FS5"/>
    <mergeCell ref="CJ216:CT216"/>
    <mergeCell ref="CJ217:CT217"/>
    <mergeCell ref="CJ218:CT218"/>
    <mergeCell ref="CU208:CY208"/>
    <mergeCell ref="CU209:CY209"/>
    <mergeCell ref="CU210:CY210"/>
    <mergeCell ref="CU213:CY213"/>
    <mergeCell ref="CU214:CY214"/>
    <mergeCell ref="CU215:CY215"/>
    <mergeCell ref="CU216:CY216"/>
    <mergeCell ref="CU217:CY217"/>
    <mergeCell ref="CU218:CY218"/>
    <mergeCell ref="CZ216:DE216"/>
    <mergeCell ref="CZ217:DE217"/>
    <mergeCell ref="CZ218:DE218"/>
    <mergeCell ref="CZ208:DE208"/>
    <mergeCell ref="CZ209:DE209"/>
    <mergeCell ref="CZ210:DE210"/>
    <mergeCell ref="CZ213:DE213"/>
    <mergeCell ref="CZ214:DE214"/>
    <mergeCell ref="CZ215:DE215"/>
    <mergeCell ref="EQ211:ER211"/>
    <mergeCell ref="EQ212:ER212"/>
    <mergeCell ref="EL208:ER208"/>
    <mergeCell ref="EL209:ER209"/>
    <mergeCell ref="EL210:ER210"/>
    <mergeCell ref="GC212:GD212"/>
    <mergeCell ref="FB217:FH217"/>
    <mergeCell ref="FB218:FH218"/>
    <mergeCell ref="FG212:FH212"/>
    <mergeCell ref="EL213:ER213"/>
    <mergeCell ref="EL214:ER214"/>
    <mergeCell ref="EL215:ER215"/>
    <mergeCell ref="EL216:ER216"/>
    <mergeCell ref="FB209:FH209"/>
    <mergeCell ref="FB210:FH210"/>
    <mergeCell ref="FB213:FH213"/>
    <mergeCell ref="FB214:FH214"/>
    <mergeCell ref="FB215:FH215"/>
    <mergeCell ref="FB216:FH216"/>
    <mergeCell ref="FJ216:FP216"/>
    <mergeCell ref="FJ217:FP217"/>
    <mergeCell ref="FJ218:FP218"/>
    <mergeCell ref="FJ208:FP208"/>
    <mergeCell ref="FJ209:FP209"/>
    <mergeCell ref="FJ210:FP210"/>
    <mergeCell ref="FO211:FP211"/>
    <mergeCell ref="FO212:FP212"/>
    <mergeCell ref="FJ213:FP213"/>
    <mergeCell ref="FJ214:FP214"/>
    <mergeCell ref="FJ215:FP215"/>
    <mergeCell ref="HP207:HW207"/>
    <mergeCell ref="HX208:HX218"/>
    <mergeCell ref="HY208:IA208"/>
    <mergeCell ref="HY209:IA209"/>
    <mergeCell ref="HY210:IA210"/>
    <mergeCell ref="HY211:IA211"/>
    <mergeCell ref="HY212:IA212"/>
    <mergeCell ref="HY213:IA213"/>
    <mergeCell ref="HY214:IA214"/>
    <mergeCell ref="HY215:IA215"/>
    <mergeCell ref="HY216:IA216"/>
    <mergeCell ref="HR209:HR210"/>
    <mergeCell ref="HV208:HW208"/>
    <mergeCell ref="HV216:HW216"/>
    <mergeCell ref="GE208:GG218"/>
    <mergeCell ref="FU213:GD213"/>
    <mergeCell ref="FU214:GD214"/>
    <mergeCell ref="FU215:GD215"/>
    <mergeCell ref="FU216:GD216"/>
    <mergeCell ref="FU217:GD217"/>
    <mergeCell ref="FU218:GD218"/>
    <mergeCell ref="HR211:HR212"/>
    <mergeCell ref="HR215:HR216"/>
    <mergeCell ref="FU208:GD208"/>
    <mergeCell ref="FU209:GD209"/>
    <mergeCell ref="FU210:GD210"/>
    <mergeCell ref="GC211:GD211"/>
  </mergeCells>
  <conditionalFormatting sqref="ID57:ID207 ID24:ID36 HS7:HS206 GN222:ID65580 A222:E65580 I222:DY65580 DY7:DY206 IB7:IB206">
    <cfRule type="containsText" dxfId="251" priority="149" stopIfTrue="1" operator="containsText" text="G1">
      <formula>NOT(ISERROR(SEARCH("G1",A7)))</formula>
    </cfRule>
    <cfRule type="containsText" dxfId="250" priority="150" stopIfTrue="1" operator="containsText" text="G2">
      <formula>NOT(ISERROR(SEARCH("G2",A7)))</formula>
    </cfRule>
    <cfRule type="containsText" dxfId="249" priority="151" stopIfTrue="1" operator="containsText" text="G1">
      <formula>NOT(ISERROR(SEARCH("G1",A7)))</formula>
    </cfRule>
    <cfRule type="containsText" dxfId="248" priority="152" stopIfTrue="1" operator="containsText" text="S">
      <formula>NOT(ISERROR(SEARCH("S",A7)))</formula>
    </cfRule>
    <cfRule type="containsText" dxfId="247" priority="153" stopIfTrue="1" operator="containsText" text="F">
      <formula>NOT(ISERROR(SEARCH("F",A7)))</formula>
    </cfRule>
  </conditionalFormatting>
  <conditionalFormatting sqref="ID57:ID207 ID24:ID36 HS7:HS206 DS7:DY206 IB7:IB206">
    <cfRule type="containsText" dxfId="246" priority="145" stopIfTrue="1" operator="containsText" text="RA">
      <formula>NOT(ISERROR(SEARCH("RA",DS7)))</formula>
    </cfRule>
    <cfRule type="containsText" dxfId="245" priority="146" stopIfTrue="1" operator="containsText" text="ML">
      <formula>NOT(ISERROR(SEARCH("ML",DS7)))</formula>
    </cfRule>
    <cfRule type="containsText" dxfId="244" priority="147" stopIfTrue="1" operator="containsText" text="ML">
      <formula>NOT(ISERROR(SEARCH("ML",DS7)))</formula>
    </cfRule>
  </conditionalFormatting>
  <conditionalFormatting sqref="ID57:ID207 ID24:ID36 HS7:HS206 DS7:DY206 IB7:IB206">
    <cfRule type="containsText" dxfId="243" priority="144" stopIfTrue="1" operator="containsText" text="S">
      <formula>NOT(ISERROR(SEARCH("S",DS7)))</formula>
    </cfRule>
  </conditionalFormatting>
  <conditionalFormatting sqref="HS7:HS206 DY7:DY206 IB7:IB206">
    <cfRule type="containsText" dxfId="242" priority="143" stopIfTrue="1" operator="containsText" text="G1">
      <formula>NOT(ISERROR(SEARCH("G1",DY7)))</formula>
    </cfRule>
  </conditionalFormatting>
  <conditionalFormatting sqref="HS7:HS206 DY7:DY206 IB7:IB206">
    <cfRule type="containsText" dxfId="241" priority="142" stopIfTrue="1" operator="containsText" text="NA">
      <formula>NOT(ISERROR(SEARCH("NA",DY7)))</formula>
    </cfRule>
  </conditionalFormatting>
  <conditionalFormatting sqref="HS7:HS206 DY7:DY206 IB7:IB206">
    <cfRule type="containsText" dxfId="240" priority="141" operator="containsText" text="D">
      <formula>NOT(ISERROR(SEARCH("D",DY7)))</formula>
    </cfRule>
  </conditionalFormatting>
  <conditionalFormatting sqref="HS7:HS206 DY7:DY206 IB7:IB206">
    <cfRule type="cellIs" dxfId="239" priority="139" stopIfTrue="1" operator="equal">
      <formula>0</formula>
    </cfRule>
    <cfRule type="cellIs" dxfId="238" priority="140" stopIfTrue="1" operator="equal">
      <formula>0</formula>
    </cfRule>
  </conditionalFormatting>
  <conditionalFormatting sqref="HS7:HS206 DS7:DY206 IB7:IB206">
    <cfRule type="containsText" dxfId="237" priority="135" stopIfTrue="1" operator="containsText" text="G2">
      <formula>NOT(ISERROR(SEARCH("G2",DS7)))</formula>
    </cfRule>
    <cfRule type="containsText" dxfId="236" priority="136" stopIfTrue="1" operator="containsText" text="G1">
      <formula>NOT(ISERROR(SEARCH("G1",DS7)))</formula>
    </cfRule>
    <cfRule type="containsText" dxfId="235" priority="137" stopIfTrue="1" operator="containsText" text="S">
      <formula>NOT(ISERROR(SEARCH("S",DS7)))</formula>
    </cfRule>
    <cfRule type="containsText" dxfId="234" priority="138" stopIfTrue="1" operator="containsText" text="F">
      <formula>NOT(ISERROR(SEARCH("F",DS7)))</formula>
    </cfRule>
  </conditionalFormatting>
  <conditionalFormatting sqref="HS7:HS206 DY7:DY206 IB7:IB206">
    <cfRule type="containsText" dxfId="233" priority="134" stopIfTrue="1" operator="containsText" text="NA">
      <formula>NOT(ISERROR(SEARCH("NA",DY7)))</formula>
    </cfRule>
  </conditionalFormatting>
  <conditionalFormatting sqref="HS7:HS206 DY7:DY206 IB7:IB206">
    <cfRule type="containsText" dxfId="232" priority="132" stopIfTrue="1" operator="containsText" text="NA">
      <formula>NOT(ISERROR(SEARCH("NA",DY7)))</formula>
    </cfRule>
    <cfRule type="containsText" dxfId="231" priority="133" stopIfTrue="1" operator="containsText" text="ML">
      <formula>NOT(ISERROR(SEARCH("ML",DY7)))</formula>
    </cfRule>
  </conditionalFormatting>
  <conditionalFormatting sqref="HS7:HS206 DY7:DY206 IB7:IB206">
    <cfRule type="containsText" dxfId="230" priority="130" stopIfTrue="1" operator="containsText" text="vuqRrh.kZ">
      <formula>NOT(ISERROR(SEARCH("vuqRrh.kZ",DY7)))</formula>
    </cfRule>
    <cfRule type="containsText" dxfId="229" priority="131" stopIfTrue="1" operator="containsText" text="lk- mRrh.kZ">
      <formula>NOT(ISERROR(SEARCH("lk- mRrh.kZ",DY7)))</formula>
    </cfRule>
  </conditionalFormatting>
  <conditionalFormatting sqref="HS7:HS206 DY7:DY206 IB7:IB206">
    <cfRule type="containsText" dxfId="228" priority="129" stopIfTrue="1" operator="containsText" text="iwjd">
      <formula>NOT(ISERROR(SEARCH("iwjd",DY7)))</formula>
    </cfRule>
  </conditionalFormatting>
  <conditionalFormatting sqref="K6:N6 Y6:AB206 AN6:AQ206 BB6:BE206 BP6:BS206 CE6:CH206 EC6:EC206 EO6:EO206 FH6:FH206 DB6:DC206 CT6:CY206">
    <cfRule type="cellIs" dxfId="227" priority="127" stopIfTrue="1" operator="equal">
      <formula>0</formula>
    </cfRule>
  </conditionalFormatting>
  <conditionalFormatting sqref="HS7:HS206">
    <cfRule type="expression" dxfId="226" priority="42" stopIfTrue="1">
      <formula>$HS7="SUPPLEMENTARY"</formula>
    </cfRule>
    <cfRule type="expression" dxfId="225" priority="43" stopIfTrue="1">
      <formula>HS7="NSO"</formula>
    </cfRule>
    <cfRule type="containsText" dxfId="224" priority="120" stopIfTrue="1" operator="containsText" text="iwjd">
      <formula>NOT(ISERROR(SEARCH("iwjd",HS7)))</formula>
    </cfRule>
    <cfRule type="containsText" dxfId="223" priority="121" stopIfTrue="1" operator="containsText" text="vuRrh.kZ">
      <formula>NOT(ISERROR(SEARCH("vuRrh.kZ",HS7)))</formula>
    </cfRule>
    <cfRule type="containsText" dxfId="222" priority="122" stopIfTrue="1" operator="containsText" text="mRrh.kZ">
      <formula>NOT(ISERROR(SEARCH("mRrh.kZ",HS7)))</formula>
    </cfRule>
  </conditionalFormatting>
  <conditionalFormatting sqref="HS7:HS206 IB7:IB206">
    <cfRule type="containsText" dxfId="221" priority="119" stopIfTrue="1" operator="containsText" text="iu% ijh{kk">
      <formula>NOT(ISERROR(SEARCH("iu% ijh{kk",HS7)))</formula>
    </cfRule>
  </conditionalFormatting>
  <conditionalFormatting sqref="HS7:HS206 IB7:IB206">
    <cfRule type="containsText" dxfId="220" priority="118" stopIfTrue="1" operator="containsText" text="iqu% ijh{kk">
      <formula>NOT(ISERROR(SEARCH("iqu% ijh{kk",HS7)))</formula>
    </cfRule>
  </conditionalFormatting>
  <conditionalFormatting sqref="GN7:GS206 GU7:HM206">
    <cfRule type="containsText" dxfId="219" priority="116" stopIfTrue="1" operator="containsText" text="S">
      <formula>NOT(ISERROR(SEARCH("S",GN7)))</formula>
    </cfRule>
  </conditionalFormatting>
  <conditionalFormatting sqref="R6 AF6:AF206 AU6:AU206 BI6:BI206 BW6:BW206 CL6:CL206 EG6:EG206 EW6:EW206 FP6:FP206 DE6:DE206">
    <cfRule type="cellIs" dxfId="218" priority="115" stopIfTrue="1" operator="between">
      <formula>1</formula>
      <formula>71</formula>
    </cfRule>
  </conditionalFormatting>
  <conditionalFormatting sqref="GN7:GS206 GU7:HM206">
    <cfRule type="containsText" dxfId="217" priority="112" stopIfTrue="1" operator="containsText" text="G">
      <formula>NOT(ISERROR(SEARCH("G",GN7)))</formula>
    </cfRule>
    <cfRule type="containsText" dxfId="216" priority="113" stopIfTrue="1" operator="containsText" text="S">
      <formula>NOT(ISERROR(SEARCH("S",GN7)))</formula>
    </cfRule>
    <cfRule type="containsText" dxfId="215" priority="114" stopIfTrue="1" operator="containsText" text="D">
      <formula>NOT(ISERROR(SEARCH("D",GN7)))</formula>
    </cfRule>
  </conditionalFormatting>
  <conditionalFormatting sqref="HF7:HG206 HC7:HD206 HI7:HM206 GU7:HA206">
    <cfRule type="containsText" dxfId="214" priority="110" operator="containsText" text="AB">
      <formula>NOT(ISERROR(SEARCH("AB",GU7)))</formula>
    </cfRule>
  </conditionalFormatting>
  <conditionalFormatting sqref="HF7:HG206 HC7:HD206 HI7:HM206 GU7:HA206">
    <cfRule type="containsText" dxfId="213" priority="109" operator="containsText" text="F">
      <formula>NOT(ISERROR(SEARCH("F",GU7)))</formula>
    </cfRule>
  </conditionalFormatting>
  <conditionalFormatting sqref="IC210:IC212 IB209:IC209 HR209 HR217 HR211 HR213 HR215 HV209 BZ209:CD209 DL209:DY209 HP209">
    <cfRule type="containsText" dxfId="212" priority="106" operator="containsText" text="jk">
      <formula>NOT(ISERROR(SEARCH("jk",BZ209)))</formula>
    </cfRule>
    <cfRule type="containsText" dxfId="211" priority="107" operator="containsText" text="fo">
      <formula>NOT(ISERROR(SEARCH("fo",BZ209)))</formula>
    </cfRule>
    <cfRule type="containsText" dxfId="210" priority="108" operator="containsText" text="f'k">
      <formula>NOT(ISERROR(SEARCH("f'k",BZ209)))</formula>
    </cfRule>
  </conditionalFormatting>
  <conditionalFormatting sqref="GM7:GM206">
    <cfRule type="cellIs" dxfId="209" priority="102" stopIfTrue="1" operator="lessThan">
      <formula>75</formula>
    </cfRule>
  </conditionalFormatting>
  <conditionalFormatting sqref="JG4 JQ4 JX4:JZ4">
    <cfRule type="expression" dxfId="208" priority="85">
      <formula>ISERROR(JG4)</formula>
    </cfRule>
  </conditionalFormatting>
  <conditionalFormatting sqref="IB7:IB206">
    <cfRule type="containsText" dxfId="207" priority="49" stopIfTrue="1" operator="containsText" text="iwjd">
      <formula>NOT(ISERROR(SEARCH("iwjd",IB7)))</formula>
    </cfRule>
    <cfRule type="containsText" dxfId="206" priority="50" stopIfTrue="1" operator="containsText" text="vuRrh.kZ">
      <formula>NOT(ISERROR(SEARCH("vuRrh.kZ",IB7)))</formula>
    </cfRule>
    <cfRule type="containsText" dxfId="205" priority="51" stopIfTrue="1" operator="containsText" text="mRrh.kZ">
      <formula>NOT(ISERROR(SEARCH("mRrh.kZ",IB7)))</formula>
    </cfRule>
  </conditionalFormatting>
  <conditionalFormatting sqref="HX7:HY206">
    <cfRule type="top10" dxfId="204" priority="7"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J220"/>
  <sheetViews>
    <sheetView showGridLines="0" view="pageBreakPreview" zoomScaleSheetLayoutView="100" workbookViewId="0">
      <selection activeCell="X11" sqref="X11"/>
    </sheetView>
  </sheetViews>
  <sheetFormatPr defaultRowHeight="15"/>
  <cols>
    <col min="1" max="1" width="5" style="6" customWidth="1"/>
    <col min="2" max="2" width="7.25" style="6" customWidth="1"/>
    <col min="3" max="3" width="7.875" style="6" customWidth="1"/>
    <col min="4" max="4" width="10.875" style="6" customWidth="1"/>
    <col min="5" max="5" width="18.25" style="6" customWidth="1"/>
    <col min="6" max="6" width="18.75" style="6" customWidth="1"/>
    <col min="7" max="7" width="16.75" style="6" customWidth="1"/>
    <col min="8" max="8" width="6.625" style="6" customWidth="1"/>
    <col min="9" max="11" width="5.375" style="6" customWidth="1"/>
    <col min="12" max="17" width="4.625" style="6" customWidth="1"/>
    <col min="18" max="20" width="4.625" style="6" hidden="1" customWidth="1"/>
    <col min="21" max="23" width="4.625" style="6" customWidth="1"/>
    <col min="24" max="35" width="9" style="6"/>
    <col min="36" max="36" width="9" style="6" hidden="1" customWidth="1"/>
    <col min="37" max="37" width="0" style="6" hidden="1" customWidth="1"/>
    <col min="38" max="16384" width="9" style="6"/>
  </cols>
  <sheetData>
    <row r="1" spans="1:36" ht="34.5" customHeight="1">
      <c r="A1" s="1309" t="str">
        <f>IF('School Profile'!D12="Hindi",CONCATENATE("विद्यालय का नाम :-","  ",'School Profile'!D9),CONCATENATE("School Name :-","  ",'School Profile'!D8))</f>
        <v xml:space="preserve">विद्यालय का नाम :-  महात्मा गाँधी राजकीय विद्यालय (अंग्रेजी माध्यम) बर, पाली </v>
      </c>
      <c r="B1" s="1309"/>
      <c r="C1" s="1309"/>
      <c r="D1" s="1309"/>
      <c r="E1" s="1309"/>
      <c r="F1" s="1309"/>
      <c r="G1" s="1309"/>
      <c r="H1" s="1309"/>
      <c r="I1" s="1309"/>
      <c r="J1" s="1309"/>
      <c r="K1" s="1309"/>
      <c r="L1" s="1309"/>
      <c r="M1" s="1309"/>
      <c r="N1" s="1309"/>
      <c r="O1" s="1309"/>
      <c r="P1" s="1309"/>
      <c r="Q1" s="1309"/>
      <c r="R1" s="1309"/>
      <c r="S1" s="1309"/>
      <c r="T1" s="1309"/>
      <c r="U1" s="1309"/>
      <c r="V1" s="1309"/>
      <c r="W1" s="1309"/>
    </row>
    <row r="2" spans="1:36" ht="23.25" customHeight="1">
      <c r="A2" s="1310" t="s">
        <v>260</v>
      </c>
      <c r="B2" s="1310"/>
      <c r="C2" s="1310"/>
      <c r="D2" s="1310"/>
      <c r="E2" s="1310"/>
      <c r="F2" s="1310"/>
      <c r="G2" s="1310"/>
      <c r="H2" s="1310"/>
      <c r="I2" s="1310"/>
      <c r="J2" s="1310"/>
      <c r="K2" s="1310"/>
      <c r="L2" s="1310"/>
      <c r="M2" s="1310"/>
      <c r="N2" s="1310"/>
      <c r="O2" s="1310"/>
      <c r="P2" s="1310"/>
      <c r="Q2" s="1310"/>
      <c r="R2" s="1310"/>
      <c r="S2" s="1310"/>
      <c r="T2" s="1310"/>
      <c r="U2" s="1310"/>
      <c r="V2" s="1310"/>
      <c r="W2" s="1310"/>
    </row>
    <row r="3" spans="1:36" ht="23.25" customHeight="1">
      <c r="A3" s="781"/>
      <c r="B3" s="1311" t="str">
        <f>IF('School Profile'!D12="Hindi","कक्षा  :-","CLASS :- ")</f>
        <v>कक्षा  :-</v>
      </c>
      <c r="C3" s="1311"/>
      <c r="D3" s="782" t="str">
        <f>IF('Statement of Marks'!E3="","",'Statement of Marks'!E3)</f>
        <v>9th</v>
      </c>
      <c r="E3" s="781"/>
      <c r="F3" s="783" t="str">
        <f>IF('School Profile'!D12="Hindi","सत्र :- ","Session :- ")</f>
        <v xml:space="preserve">सत्र :- </v>
      </c>
      <c r="G3" s="817" t="str">
        <f>IF('Statement of Marks'!H3="","",'Statement of Marks'!H3)</f>
        <v>2025-2026</v>
      </c>
      <c r="H3" s="817"/>
      <c r="I3" s="1311" t="str">
        <f>IF('School Profile'!$D$12="Hindi","विषय :-","Subject :-")</f>
        <v>विषय :-</v>
      </c>
      <c r="J3" s="1311"/>
      <c r="K3" s="1311"/>
      <c r="L3" s="1312" t="s">
        <v>268</v>
      </c>
      <c r="M3" s="1312"/>
      <c r="N3" s="1312"/>
      <c r="O3" s="1312"/>
      <c r="P3" s="1312"/>
      <c r="Q3" s="1312"/>
      <c r="R3" s="1312"/>
      <c r="S3" s="1312"/>
      <c r="T3" s="1312"/>
      <c r="U3" s="1312"/>
      <c r="V3" s="1312"/>
      <c r="W3" s="1312"/>
    </row>
    <row r="4" spans="1:36" ht="9.75" customHeight="1">
      <c r="A4" s="781"/>
      <c r="B4" s="784"/>
      <c r="C4" s="784"/>
      <c r="D4" s="781"/>
      <c r="E4" s="781"/>
      <c r="F4" s="785"/>
      <c r="G4" s="786"/>
      <c r="H4" s="781"/>
      <c r="I4" s="783"/>
      <c r="J4" s="783"/>
      <c r="K4" s="783"/>
      <c r="L4" s="783"/>
      <c r="M4" s="783"/>
      <c r="N4" s="783"/>
      <c r="O4" s="787"/>
      <c r="P4" s="787"/>
      <c r="Q4" s="787"/>
      <c r="R4" s="787"/>
      <c r="S4" s="787"/>
      <c r="T4" s="787"/>
      <c r="U4" s="787"/>
      <c r="V4" s="787"/>
      <c r="W4" s="787"/>
    </row>
    <row r="5" spans="1:36" ht="26.25" customHeight="1">
      <c r="A5" s="1315" t="str">
        <f>IF('School Profile'!D12="Hindi","क्र. स.","Sr. No. ")</f>
        <v>क्र. स.</v>
      </c>
      <c r="B5" s="1315" t="str">
        <f>IF('School Profile'!D12="Hindi","नामांक","Roll No.")</f>
        <v>नामांक</v>
      </c>
      <c r="C5" s="1315" t="str">
        <f>IF('School Profile'!D12="Hindi","प्रवेशांक","SR. NO.")</f>
        <v>प्रवेशांक</v>
      </c>
      <c r="D5" s="1313" t="str">
        <f>IF('School Profile'!D12="Hindi","जन्म दिनांक","Date of Birth")</f>
        <v>जन्म दिनांक</v>
      </c>
      <c r="E5" s="1313" t="str">
        <f>IF('School Profile'!D12="Hindi","विद्यार्थी का नाम","Student's Name")</f>
        <v>विद्यार्थी का नाम</v>
      </c>
      <c r="F5" s="1313" t="str">
        <f>IF('School Profile'!D12="Hindi","पिता का नाम","Father's Name")</f>
        <v>पिता का नाम</v>
      </c>
      <c r="G5" s="1313" t="str">
        <f>IF('School Profile'!D12="Hindi","माता का नाम ","Mother's Name")</f>
        <v xml:space="preserve">माता का नाम </v>
      </c>
      <c r="H5" s="1314" t="str">
        <f>IF('School Profile'!D12="Hindi","वर्ग  ","Category")</f>
        <v xml:space="preserve">वर्ग  </v>
      </c>
      <c r="I5" s="1314" t="str">
        <f>IF('School Profile'!D12="Hindi","लिंग ","Gender")</f>
        <v xml:space="preserve">लिंग </v>
      </c>
      <c r="J5" s="1343" t="str">
        <f>IF(OR($L$3=$AJ$18,$L$3=$AJ$19),"",IF('School Profile'!$D$12="Hindi","सामयिक परख","Seasonal Exam"))</f>
        <v>सामयिक परख</v>
      </c>
      <c r="K5" s="1343"/>
      <c r="L5" s="1343"/>
      <c r="M5" s="1343"/>
      <c r="N5" s="1320" t="str">
        <f>IF(OR($L$3=$AJ$18,$L$3=$AJ$19),IF('School Profile'!$D$12="Hindi","अनिवार्य प्रवृति","Compulsory Tendency"),IF('School Profile'!$D$12="Hindi","अर्द्धवार्षिक","Half Yearly"))</f>
        <v>अर्द्धवार्षिक</v>
      </c>
      <c r="O5" s="1317" t="str">
        <f>IF(OR($L$3=$AJ$18,$L$3=$AJ$19),IF('School Profile'!$D$12="Hindi","वैकल्पिक प्रवृति","Alternative Tendency"),IF('School Profile'!$D$12="Hindi","अर्द्ध वा. तक योग","Total Till H.Y."))</f>
        <v>अर्द्ध वा. तक योग</v>
      </c>
      <c r="P5" s="1320" t="str">
        <f>IF(OR($L$3=$AJ$18,$L$3=$AJ$19),IF('School Profile'!$D$12="Hindi","शिविर","Camp"),IF('School Profile'!$D$12="Hindi","वार्षिक","Yearly"))</f>
        <v>वार्षिक</v>
      </c>
      <c r="Q5" s="1318" t="str">
        <f>IF('School Profile'!$D$12="Hindi","विषय कुल योग ","Subject Total")</f>
        <v xml:space="preserve">विषय कुल योग </v>
      </c>
      <c r="R5" s="1319" t="s">
        <v>22</v>
      </c>
      <c r="S5" s="1319" t="s">
        <v>261</v>
      </c>
      <c r="T5" s="1319" t="s">
        <v>24</v>
      </c>
      <c r="U5" s="1319" t="s">
        <v>262</v>
      </c>
      <c r="V5" s="1319" t="s">
        <v>263</v>
      </c>
      <c r="W5" s="1321" t="str">
        <f>IF('School Profile'!$D$12="Hindi","ग्रेड","Grade")</f>
        <v>ग्रेड</v>
      </c>
      <c r="Z5" s="1316" t="s">
        <v>264</v>
      </c>
      <c r="AA5" s="1316"/>
      <c r="AB5" s="1316"/>
      <c r="AC5" s="1316"/>
      <c r="AD5" s="1316"/>
    </row>
    <row r="6" spans="1:36" ht="73.5" customHeight="1">
      <c r="A6" s="1315"/>
      <c r="B6" s="1315"/>
      <c r="C6" s="1315"/>
      <c r="D6" s="1313"/>
      <c r="E6" s="1313"/>
      <c r="F6" s="1313"/>
      <c r="G6" s="1313"/>
      <c r="H6" s="1314"/>
      <c r="I6" s="1314"/>
      <c r="J6" s="796" t="str">
        <f>IF(OR($L$3=$AJ$18,$L$3=$AJ$19),"",IF('School Profile'!$D$12="Hindi","प्रथम परख ","First Test"))</f>
        <v xml:space="preserve">प्रथम परख </v>
      </c>
      <c r="K6" s="796" t="str">
        <f>IF(OR($L$3=$AJ$18,$L$3=$AJ$19),"",IF('School Profile'!$D$12="Hindi","द्वितीय परख","Second Test"))</f>
        <v>द्वितीय परख</v>
      </c>
      <c r="L6" s="796" t="str">
        <f>IF(OR($L$3=$AJ$18,$L$3=$AJ$19),"",IF('School Profile'!$D$12="Hindi","तृतीय परख","Third Test"))</f>
        <v>तृतीय परख</v>
      </c>
      <c r="M6" s="797" t="str">
        <f>IF(OR($L$3=$AJ$18,$L$3=$AJ$19),"",IF('School Profile'!$D$12="Hindi","सा. परख योग","Test Total"))</f>
        <v>सा. परख योग</v>
      </c>
      <c r="N6" s="1320"/>
      <c r="O6" s="1317"/>
      <c r="P6" s="1320"/>
      <c r="Q6" s="1318"/>
      <c r="R6" s="1319"/>
      <c r="S6" s="1319"/>
      <c r="T6" s="1319"/>
      <c r="U6" s="1319"/>
      <c r="V6" s="1319"/>
      <c r="W6" s="1322">
        <v>0</v>
      </c>
      <c r="Z6" s="1316"/>
      <c r="AA6" s="1316"/>
      <c r="AB6" s="1316"/>
      <c r="AC6" s="1316"/>
      <c r="AD6" s="1316"/>
    </row>
    <row r="7" spans="1:36" ht="17.25" customHeight="1">
      <c r="A7" s="1315"/>
      <c r="B7" s="1315"/>
      <c r="C7" s="1315"/>
      <c r="D7" s="1313"/>
      <c r="E7" s="1313"/>
      <c r="F7" s="1313"/>
      <c r="G7" s="1313"/>
      <c r="H7" s="1314"/>
      <c r="I7" s="1314"/>
      <c r="J7" s="798">
        <f>IFERROR(IF($L$3=$AJ$8,'Statement of Marks'!K6,IF($L$3=$AJ$9,'Statement of Marks'!Y6,IF($L$3=$AJ$10,'Statement of Marks'!AN6,IF($L$3=$AJ$11,'Statement of Marks'!BB6,IF($L$3=$AJ$12,'Statement of Marks'!BP6,IF($L$3=$AJ$13,'Statement of Marks'!CE6,IF($L$3=$AJ$14,'Statement of Marks'!CT6,IF($L$3=$AJ$15,'Statement of Marks'!DZ6,IF($L$3=$AJ$16,'Statement of Marks'!EL6,IF($L$3=$AJ$17,('Statement of Marks'!FB6+'Statement of Marks'!FC6),"")))))))))),"")</f>
        <v>10</v>
      </c>
      <c r="K7" s="798">
        <f>IFERROR(IF($L$3=$AJ$8,'Statement of Marks'!L6,IF($L$3=$AJ$9,'Statement of Marks'!Z6,IF($L$3=$AJ$10,'Statement of Marks'!AO6,IF($L$3=$AJ$11,'Statement of Marks'!BC6,IF($L$3=$AJ$12,'Statement of Marks'!BQ6,IF($L$3=$AJ$13,'Statement of Marks'!CF6,IF($L$3=$AJ$14,'Statement of Marks'!CU6,IF($L$3=$AJ$15,'Statement of Marks'!EA6,IF($L$3=$AJ$16,'Statement of Marks'!EM6,IF($L$3=$AJ$17,('Statement of Marks'!FD6+'Statement of Marks'!FE6),"")))))))))),"")</f>
        <v>10</v>
      </c>
      <c r="L7" s="798">
        <f>IFERROR(IF($L$3=$AJ$8,'Statement of Marks'!M6,IF($L$3=$AJ$9,'Statement of Marks'!AA6,IF($L$3=$AJ$10,'Statement of Marks'!AP6,IF($L$3=$AJ$11,'Statement of Marks'!BD6,IF($L$3=$AJ$12,'Statement of Marks'!BR6,IF($L$3=$AJ$13,'Statement of Marks'!CG6,IF($L$3=$AJ$14,'Statement of Marks'!CV6,IF($L$3=$AJ$15,'Statement of Marks'!EB6,IF($L$3=$AJ$16,'Statement of Marks'!EN6,IF($L$3=$AJ$17,('Statement of Marks'!FF6+'Statement of Marks'!FG6),"")))))))))),"")</f>
        <v>10</v>
      </c>
      <c r="M7" s="799">
        <f t="shared" ref="M7:M70" si="0">IF(AND(J7="",K7="",L7="",$L$3=""),"",IF(OR($L$3=$AJ$18,$L$3=$AJ$19),"",SUM(J7:L7)))</f>
        <v>30</v>
      </c>
      <c r="N7" s="798">
        <f>IFERROR(IF($L$3=$AJ$8,'Statement of Marks'!O6,IF($L$3=$AJ$9,'Statement of Marks'!AC6,IF($L$3=$AJ$10,'Statement of Marks'!AR6,IF($L$3=$AJ$11,'Statement of Marks'!BF6,IF($L$3=$AJ$12,'Statement of Marks'!BT6,IF($L$3=$AJ$13,'Statement of Marks'!CI6,IF($L$3=$AJ$14,('Statement of Marks'!CX6+'Statement of Marks'!CY6),IF($L$3=$AJ$15,'Statement of Marks'!ED6,IF($L$3=$AJ$16,('Statement of Marks'!EP6+'Statement of Marks'!EQ6),IF($L$3=$AJ$17,('Statement of Marks'!FI6+'Statement of Marks'!FJ6),IF($L$3=$AJ$18,'Statement of Marks'!FU6,IF($L$3=$AJ$19,'Statement of Marks'!GC6,"")))))))))))),"")</f>
        <v>70</v>
      </c>
      <c r="O7" s="800">
        <f>IF($L$3=$AJ$18,'Statement of Marks'!FV6,IF($L$3=$AJ$19,'Statement of Marks'!GD6,IF(AND(M7="NA",N7="NA"),"NA",IF(AND(M7="",N7=""),"",SUM(M7,N7)))))</f>
        <v>100</v>
      </c>
      <c r="P7" s="798">
        <f>IFERROR(IF($L$3=$AJ$8,'Statement of Marks'!Q6,IF($L$3=$AJ$9,'Statement of Marks'!AE6,IF($L$3=$AJ$10,'Statement of Marks'!AT6,IF($L$3=$AJ$11,'Statement of Marks'!BH6,IF($L$3=$AJ$12,'Statement of Marks'!BV6,IF($L$3=$AJ$13,'Statement of Marks'!CK6,IF($L$3=$AJ$14,('Statement of Marks'!DB6+'Statement of Marks'!DC6),IF($L$3=$AJ$15,'Statement of Marks'!EF6,IF($L$3=$AJ$16,('Statement of Marks'!ET6+'Statement of Marks'!EU6),IF($L$3=$AJ$17,('Statement of Marks'!FM6+'Statement of Marks'!FN6),IF($L$3=$AJ$18,'Statement of Marks'!FW6,IF($L$3=$AJ$19,'Statement of Marks'!GE6,"")))))))))))),"")</f>
        <v>100</v>
      </c>
      <c r="Q7" s="801">
        <f>IF(O7="","",IF(OR($L$3=$AJ$18,$L$3=$AJ$19),SUM(N7,O7,P7),SUM(O7,P7)))</f>
        <v>200</v>
      </c>
      <c r="R7" s="801"/>
      <c r="S7" s="801"/>
      <c r="T7" s="801"/>
      <c r="U7" s="801"/>
      <c r="V7" s="801"/>
      <c r="W7" s="802"/>
    </row>
    <row r="8" spans="1:36" ht="18" customHeight="1">
      <c r="A8" s="803">
        <f>IF('Statement of Marks'!A7="","",'Statement of Marks'!A7)</f>
        <v>1</v>
      </c>
      <c r="B8" s="804">
        <f>IF(OR($D$3="",$L$3=""),"",IF('Statement of Marks'!B7="","",'Statement of Marks'!B7))</f>
        <v>901</v>
      </c>
      <c r="C8" s="805">
        <f>IF(OR($D$3="",$L$3=""),"",IF('Statement of Marks'!D7="","",'Statement of Marks'!D7))</f>
        <v>521</v>
      </c>
      <c r="D8" s="806">
        <f>IF(OR($D$3="",$L$3=""),"",IF('Statement of Marks'!E7="","",'Statement of Marks'!E7))</f>
        <v>40461</v>
      </c>
      <c r="E8" s="807" t="str">
        <f>IF(OR($D$3="",$L$3=""),"",IF('Statement of Marks'!F7="","",'Statement of Marks'!F7))</f>
        <v>RAHUL JAT</v>
      </c>
      <c r="F8" s="807" t="str">
        <f>IF(OR($D$3="",$L$3=""),"",IF('Statement of Marks'!G7="","",'Statement of Marks'!G7))</f>
        <v>HL JAT</v>
      </c>
      <c r="G8" s="807" t="str">
        <f>IF(OR($D$3="",$L$3=""),"",IF('Statement of Marks'!H7="","",'Statement of Marks'!H7))</f>
        <v>LALI</v>
      </c>
      <c r="H8" s="808" t="str">
        <f>IF(OR($D$3="",$L$3=""),"",IF('Statement of Marks'!I7="","",'Statement of Marks'!I7))</f>
        <v>OBC</v>
      </c>
      <c r="I8" s="808" t="str">
        <f>IF(OR($D$3="",$L$3=""),"",IF('Statement of Marks'!J7="","",'Statement of Marks'!J7))</f>
        <v>M</v>
      </c>
      <c r="J8" s="809">
        <f>IFERROR(IF($L$3=$AJ$8,'Statement of Marks'!K7,IF($L$3=$AJ$9,'Statement of Marks'!Y7,IF($L$3=$AJ$10,'Statement of Marks'!AN7,IF($L$3=$AJ$11,'Statement of Marks'!BB7,IF($L$3=$AJ$12,'Statement of Marks'!BP7,IF($L$3=$AJ$13,'Statement of Marks'!CE7,IF($L$3=$AJ$14,'Statement of Marks'!CT7,IF($L$3=$AJ$15,'Statement of Marks'!DZ7,IF($L$3=$AJ$16,'Statement of Marks'!EL7,IF($L$3=$AJ$17,('Statement of Marks'!FB7+'Statement of Marks'!FC7),"")))))))))),"")</f>
        <v>8</v>
      </c>
      <c r="K8" s="809">
        <f>IFERROR(IF($L$3=$AJ$8,'Statement of Marks'!L7,IF($L$3=$AJ$9,'Statement of Marks'!Z7,IF($L$3=$AJ$10,'Statement of Marks'!AO7,IF($L$3=$AJ$11,'Statement of Marks'!BC7,IF($L$3=$AJ$12,'Statement of Marks'!BQ7,IF($L$3=$AJ$13,'Statement of Marks'!CF7,IF($L$3=$AJ$14,'Statement of Marks'!CU7,IF($L$3=$AJ$15,'Statement of Marks'!EA7,IF($L$3=$AJ$16,'Statement of Marks'!EM7,IF($L$3=$AJ$17,('Statement of Marks'!FD7+'Statement of Marks'!FE7),"")))))))))),"")</f>
        <v>10</v>
      </c>
      <c r="L8" s="809">
        <f>IFERROR(IF($L$3=$AJ$8,'Statement of Marks'!M7,IF($L$3=$AJ$9,'Statement of Marks'!AA7,IF($L$3=$AJ$10,'Statement of Marks'!AP7,IF($L$3=$AJ$11,'Statement of Marks'!BD7,IF($L$3=$AJ$12,'Statement of Marks'!BR7,IF($L$3=$AJ$13,'Statement of Marks'!CG7,IF($L$3=$AJ$14,'Statement of Marks'!CV7,IF($L$3=$AJ$15,'Statement of Marks'!EB7,IF($L$3=$AJ$16,'Statement of Marks'!EN7,IF($L$3=$AJ$17,('Statement of Marks'!FF7+'Statement of Marks'!FG7),"")))))))))),"")</f>
        <v>10</v>
      </c>
      <c r="M8" s="810">
        <f t="shared" si="0"/>
        <v>28</v>
      </c>
      <c r="N8" s="809">
        <f>IFERROR(IF($L$3=$AJ$8,'Statement of Marks'!O7,IF($L$3=$AJ$9,'Statement of Marks'!AC7,IF($L$3=$AJ$10,'Statement of Marks'!AR7,IF($L$3=$AJ$11,'Statement of Marks'!BF7,IF($L$3=$AJ$12,'Statement of Marks'!BT7,IF($L$3=$AJ$13,'Statement of Marks'!CI7,IF($L$3=$AJ$14,('Statement of Marks'!CX7+'Statement of Marks'!CY7),IF($L$3=$AJ$15,'Statement of Marks'!ED7,IF($L$3=$AJ$16,('Statement of Marks'!EP7+'Statement of Marks'!EQ7),IF($L$3=$AJ$17,('Statement of Marks'!FI7+'Statement of Marks'!FJ7),IF($L$3=$AJ$18,'Statement of Marks'!FU7,IF($L$3=$AJ$19,'Statement of Marks'!GC7,"")))))))))))),"")</f>
        <v>46</v>
      </c>
      <c r="O8" s="811">
        <f>IF($L$3=$AJ$18,'Statement of Marks'!FV7,IF($L$3=$AJ$19,'Statement of Marks'!GD7,IF(AND(M8="NA",N8="NA"),"NA",IF(AND(M8="",N8=""),"",SUM(M8,N8)))))</f>
        <v>74</v>
      </c>
      <c r="P8" s="809">
        <f>IFERROR(IF($L$3=$AJ$8,'Statement of Marks'!Q7,IF($L$3=$AJ$9,'Statement of Marks'!AE7,IF($L$3=$AJ$10,'Statement of Marks'!AT7,IF($L$3=$AJ$11,'Statement of Marks'!BH7,IF($L$3=$AJ$12,'Statement of Marks'!BV7,IF($L$3=$AJ$13,'Statement of Marks'!CK7,IF($L$3=$AJ$14,('Statement of Marks'!DB7+'Statement of Marks'!DC7),IF($L$3=$AJ$15,'Statement of Marks'!EF7,IF($L$3=$AJ$16,('Statement of Marks'!ET7+'Statement of Marks'!EU7),IF($L$3=$AJ$17,('Statement of Marks'!FM7+'Statement of Marks'!FN7),IF($L$3=$AJ$18,'Statement of Marks'!FW7,IF($L$3=$AJ$19,'Statement of Marks'!GE7,"")))))))))))),"")</f>
        <v>70</v>
      </c>
      <c r="Q8" s="812">
        <f>IF(O8="","",IF(B8="","",IF(OR($L$3=$AJ$18,$L$3=$AJ$19),SUM(N8,O8,P8),SUM(O8,P8))))</f>
        <v>144</v>
      </c>
      <c r="R8" s="813">
        <f t="shared" ref="R8:R39" si="1">IFERROR(IF($L$3="","",IF(OR($L$3=$AJ$18,$L$3=$AJ$19),COUNTIF(J8:L8,"NA")*$J$7+(COUNTIF(J8:L8,"ML")*$J$7)+(COUNTIF(O8,"ML")*$O$7)+(COUNTIF(N8,"ML")*$N$8)+(COUNTIF(P8,"ML")*$P$7),COUNTIF(N8,"NA")*$N$7+(COUNTIF(J8:L8,"ML")*$J$7)+(COUNTIF(N8,"ML")*$N$7)+(COUNTIF(P8,"ML")*$P$7))),0)</f>
        <v>0</v>
      </c>
      <c r="S8" s="813">
        <f>IF(OR(B8="NSO",B8=0,B8=""),"",IF(OR(B8="NSO",B8=0,B8="",Q8=""),"",IF(OR($L$3=$AJ$8,$L$3=$AJ$9,$L$3=$AJ$10,$L$3=$AJ$11,$L$3=$AJ$12,$L$3=$AJ$13,$L$3=$AJ$14,$L$3=$AJ$15,$L$3=$AJ$16,$L$3=$AJ$17),IF(AND(J8="NA",L8="NA",K8="NA"),$M$7-R8,IF(AND(N8="ML"),$N$7-R8,IF(AND(P8="ML"),$P$7-R8,$Q$7-R8))),IF(AND(N8="NA"),$N$7-R8,IF(AND(O8="ML"),$O$7-R8,IF(AND(P8="ML"),$P$7-R8,$Q$7-R8))))))</f>
        <v>200</v>
      </c>
      <c r="T8" s="813" t="str">
        <f>IF(AND(OR(J8="ab",J8="ml"),OR(K8="ab",K8="ml"),OR(N8="ab",N8="ml"),OR(M8="ab",M8="ml"),OR(O8="ab",O8="ml")),"AB",IF(AND(OR(K8="ab",K8="ml"),OR(L8="ab",L8="ml"),OR(M8="ab",M8="ml"),OR(N8="ab",N8="ml")),"AB",IF(AND(OR(L8="ab",L8="ml"),OR(J8="ab",J8="ml"),OR(N8="ab",N8="ml"),OR(M8="ab",N8="ml")),"AB",IF(AND(OR(N8="ab",N8="ml"),OR(L8="ab",L8="ml"),OR(P8="ab",P8="ml"),OR(O8="ab",O8="ml"),OR(P8="ab",P8="ml")),"AB",IF(AND(OR(N8="ab",N8="ml"),OR(K8="ab",K8="ml"),OR(P8="ab",P8="ml"),OR(O8="ab",O8="ml"),OR(P8="ab",P8="ml")),"AB","")))))</f>
        <v/>
      </c>
      <c r="U8" s="814" t="str">
        <f>IF(OR(B8="",$L$3=""),"",IF(Q8=0,"",IF(Q8="","",IF(B8="NSO","NSO",IF(OR(T8="AB",P8="ab"),"AB",IF(P8="ML","RE",IF(Q8="ML","RE",IF(AND(Q8&gt;=36%*S8,P8&gt;=$P$7*20%),"P",IF(AND(Q8&gt;=34%*S8,P8&gt;=$P$7*20%),"G",IF(AND(Q8&gt;=31%*S8,P8&gt;=$P$7*20%),"G",IF(AND(Q8&gt;=25%*S8,P8&gt;=$P$7*20%),"S","F")))))))))))</f>
        <v>P</v>
      </c>
      <c r="V8" s="815" t="str">
        <f>IF(OR(U8="",U8=0,U8="S",U8="RE",U8="F",U8="AB",B8="NSO"),"",IF(U8="G","G",IF(Q8&gt;=75%*S8,"I",IF(Q8&gt;=60%*S8,"I",IF(Q8&gt;=48%*S8,"II",IF(Q8&gt;=36%*S8,"III",""))))))</f>
        <v>I</v>
      </c>
      <c r="W8" s="816" t="str">
        <f t="shared" ref="W8:W39" si="2">IF(Q8="","",IF(OR(U8="",U8=0,U8="RE",U8="AB",B8="NSO"),"",IF(Q8&gt;85%*S8,"A",IF(Q8&gt;70%*S8,"B",IF(Q8&gt;=50%*S8,"C",IF(Q8&gt;=30%*S8,"D","E"))))))</f>
        <v>B</v>
      </c>
      <c r="Z8" s="1323" t="s">
        <v>267</v>
      </c>
      <c r="AA8" s="1323"/>
      <c r="AB8" s="1323"/>
      <c r="AC8" s="1323"/>
      <c r="AD8" s="1323"/>
      <c r="AE8" s="1323"/>
      <c r="AJ8" s="6" t="str">
        <f>'Statement of Marks'!K3</f>
        <v>हिंदी</v>
      </c>
    </row>
    <row r="9" spans="1:36" ht="18" customHeight="1">
      <c r="A9" s="803">
        <f>IF('Statement of Marks'!A8="","",'Statement of Marks'!A8)</f>
        <v>2</v>
      </c>
      <c r="B9" s="804">
        <f>IF(OR($D$3="",$L$3=""),"",IF('Statement of Marks'!B8="","",'Statement of Marks'!B8))</f>
        <v>902</v>
      </c>
      <c r="C9" s="805">
        <f>IF(OR($D$3="",$L$3=""),"",IF('Statement of Marks'!D8="","",'Statement of Marks'!D8))</f>
        <v>501</v>
      </c>
      <c r="D9" s="806">
        <f>IF(OR($D$3="",$L$3=""),"",IF('Statement of Marks'!E8="","",'Statement of Marks'!E8))</f>
        <v>40065</v>
      </c>
      <c r="E9" s="807" t="str">
        <f>IF(OR($D$3="",$L$3=""),"",IF('Statement of Marks'!F8="","",'Statement of Marks'!F8))</f>
        <v>RAM</v>
      </c>
      <c r="F9" s="807" t="str">
        <f>IF(OR($D$3="",$L$3=""),"",IF('Statement of Marks'!G8="","",'Statement of Marks'!G8))</f>
        <v>SHYAM</v>
      </c>
      <c r="G9" s="807" t="str">
        <f>IF(OR($D$3="",$L$3=""),"",IF('Statement of Marks'!H8="","",'Statement of Marks'!H8))</f>
        <v>SITA</v>
      </c>
      <c r="H9" s="808" t="str">
        <f>IF(OR($D$3="",$L$3=""),"",IF('Statement of Marks'!I8="","",'Statement of Marks'!I8))</f>
        <v>OBC</v>
      </c>
      <c r="I9" s="808" t="str">
        <f>IF(OR($D$3="",$L$3=""),"",IF('Statement of Marks'!J8="","",'Statement of Marks'!J8))</f>
        <v>M</v>
      </c>
      <c r="J9" s="809">
        <f>IFERROR(IF($L$3=$AJ$8,'Statement of Marks'!K8,IF($L$3=$AJ$9,'Statement of Marks'!Y8,IF($L$3=$AJ$10,'Statement of Marks'!AN8,IF($L$3=$AJ$11,'Statement of Marks'!BB8,IF($L$3=$AJ$12,'Statement of Marks'!BP8,IF($L$3=$AJ$13,'Statement of Marks'!CE8,IF($L$3=$AJ$14,'Statement of Marks'!CT8,IF($L$3=$AJ$15,'Statement of Marks'!DZ8,IF($L$3=$AJ$16,'Statement of Marks'!EL8,IF($L$3=$AJ$17,('Statement of Marks'!FB8+'Statement of Marks'!FC8),"")))))))))),"")</f>
        <v>8</v>
      </c>
      <c r="K9" s="809">
        <f>IFERROR(IF($L$3=$AJ$8,'Statement of Marks'!L8,IF($L$3=$AJ$9,'Statement of Marks'!Z8,IF($L$3=$AJ$10,'Statement of Marks'!AO8,IF($L$3=$AJ$11,'Statement of Marks'!BC8,IF($L$3=$AJ$12,'Statement of Marks'!BQ8,IF($L$3=$AJ$13,'Statement of Marks'!CF8,IF($L$3=$AJ$14,'Statement of Marks'!CU8,IF($L$3=$AJ$15,'Statement of Marks'!EA8,IF($L$3=$AJ$16,'Statement of Marks'!EM8,IF($L$3=$AJ$17,('Statement of Marks'!FD8+'Statement of Marks'!FE8),"")))))))))),"")</f>
        <v>9</v>
      </c>
      <c r="L9" s="809">
        <f>IFERROR(IF($L$3=$AJ$8,'Statement of Marks'!M8,IF($L$3=$AJ$9,'Statement of Marks'!AA8,IF($L$3=$AJ$10,'Statement of Marks'!AP8,IF($L$3=$AJ$11,'Statement of Marks'!BD8,IF($L$3=$AJ$12,'Statement of Marks'!BR8,IF($L$3=$AJ$13,'Statement of Marks'!CG8,IF($L$3=$AJ$14,'Statement of Marks'!CV8,IF($L$3=$AJ$15,'Statement of Marks'!EB8,IF($L$3=$AJ$16,'Statement of Marks'!EN8,IF($L$3=$AJ$17,('Statement of Marks'!FF8+'Statement of Marks'!FG8),"")))))))))),"")</f>
        <v>10</v>
      </c>
      <c r="M9" s="810">
        <f t="shared" si="0"/>
        <v>27</v>
      </c>
      <c r="N9" s="809">
        <f>IFERROR(IF($L$3=$AJ$8,'Statement of Marks'!O8,IF($L$3=$AJ$9,'Statement of Marks'!AC8,IF($L$3=$AJ$10,'Statement of Marks'!AR8,IF($L$3=$AJ$11,'Statement of Marks'!BF8,IF($L$3=$AJ$12,'Statement of Marks'!BT8,IF($L$3=$AJ$13,'Statement of Marks'!CI8,IF($L$3=$AJ$14,('Statement of Marks'!CX8+'Statement of Marks'!CY8),IF($L$3=$AJ$15,'Statement of Marks'!ED8,IF($L$3=$AJ$16,('Statement of Marks'!EP8+'Statement of Marks'!EQ8),IF($L$3=$AJ$17,('Statement of Marks'!FI8+'Statement of Marks'!FJ8),IF($L$3=$AJ$18,'Statement of Marks'!FU8,IF($L$3=$AJ$19,'Statement of Marks'!GC8,"")))))))))))),"")</f>
        <v>66</v>
      </c>
      <c r="O9" s="811">
        <f>IF($L$3=$AJ$18,'Statement of Marks'!FV8,IF($L$3=$AJ$19,'Statement of Marks'!GD8,IF(AND(M9="NA",N9="NA"),"NA",IF(AND(M9="",N9=""),"",SUM(M9,N9)))))</f>
        <v>93</v>
      </c>
      <c r="P9" s="809">
        <f>IFERROR(IF($L$3=$AJ$8,'Statement of Marks'!Q8,IF($L$3=$AJ$9,'Statement of Marks'!AE8,IF($L$3=$AJ$10,'Statement of Marks'!AT8,IF($L$3=$AJ$11,'Statement of Marks'!BH8,IF($L$3=$AJ$12,'Statement of Marks'!BV8,IF($L$3=$AJ$13,'Statement of Marks'!CK8,IF($L$3=$AJ$14,('Statement of Marks'!DB8+'Statement of Marks'!DC8),IF($L$3=$AJ$15,'Statement of Marks'!EF8,IF($L$3=$AJ$16,('Statement of Marks'!ET8+'Statement of Marks'!EU8),IF($L$3=$AJ$17,('Statement of Marks'!FM8+'Statement of Marks'!FN8),IF($L$3=$AJ$18,'Statement of Marks'!FW8,IF($L$3=$AJ$19,'Statement of Marks'!GE8,"")))))))))))),"")</f>
        <v>95</v>
      </c>
      <c r="Q9" s="812">
        <f t="shared" ref="Q9:Q72" si="3">IF(O9="","",IF(B9="","",IF(OR($L$3=$AJ$18,$L$3=$AJ$19),SUM(N9,O9,P9),SUM(O9,P9))))</f>
        <v>188</v>
      </c>
      <c r="R9" s="813">
        <f t="shared" si="1"/>
        <v>0</v>
      </c>
      <c r="S9" s="813">
        <f t="shared" ref="S9:S72" si="4">IF(OR(B9="NSO",B9=0,B9=""),"",IF(OR(B9="NSO",B9=0,B9="",Q9=""),"",IF(OR($L$3=$AJ$8,$L$3=$AJ$9,$L$3=$AJ$10,$L$3=$AJ$11,$L$3=$AJ$12,$L$3=$AJ$13,$L$3=$AJ$14,$L$3=$AJ$15,$L$3=$AJ$16,$L$3=$AJ$17),IF(AND(J9="NA",L9="NA",K9="NA"),$M$7-R9,IF(AND(N9="ML"),$N$7-R9,IF(AND(P9="ML"),$P$7-R9,$Q$7-R9))),IF(AND(N9="NA"),$N$7-R9,IF(AND(O9="ML"),$O$7-R9,IF(AND(P9="ML"),$P$7-R9,$Q$7-R9))))))</f>
        <v>200</v>
      </c>
      <c r="T9" s="813" t="str">
        <f t="shared" ref="T9:T72" si="5">IF(AND(OR(J9="ab",J9="ml"),OR(K9="ab",K9="ml"),OR(N9="ab",N9="ml"),OR(M9="ab",M9="ml"),OR(O9="ab",O9="ml")),"AB",IF(AND(OR(K9="ab",K9="ml"),OR(L9="ab",L9="ml"),OR(M9="ab",M9="ml"),OR(N9="ab",N9="ml")),"AB",IF(AND(OR(L9="ab",L9="ml"),OR(J9="ab",J9="ml"),OR(N9="ab",N9="ml"),OR(M9="ab",N9="ml")),"AB",IF(AND(OR(N9="ab",N9="ml"),OR(L9="ab",L9="ml"),OR(P9="ab",P9="ml"),OR(O9="ab",O9="ml"),OR(P9="ab",P9="ml")),"AB",IF(AND(OR(N9="ab",N9="ml"),OR(K9="ab",K9="ml"),OR(P9="ab",P9="ml"),OR(O9="ab",O9="ml"),OR(P9="ab",P9="ml")),"AB","")))))</f>
        <v/>
      </c>
      <c r="U9" s="814" t="str">
        <f t="shared" ref="U9:U72" si="6">IF(OR(B9="",$L$3=""),"",IF(Q9=0,"",IF(Q9="","",IF(B9="NSO","NSO",IF(OR(T9="AB",P9="ab"),"AB",IF(P9="ML","RE",IF(Q9="ML","RE",IF(AND(Q9&gt;=36%*S9,P9&gt;=$P$7*20%),"P",IF(AND(Q9&gt;=34%*S9,P9&gt;=$P$7*20%),"G",IF(AND(Q9&gt;=31%*S9,P9&gt;=$P$7*20%),"G",IF(AND(Q9&gt;=25%*S9,P9&gt;=$P$7*20%),"S","F")))))))))))</f>
        <v>P</v>
      </c>
      <c r="V9" s="815" t="str">
        <f t="shared" ref="V9:V72" si="7">IF(OR(U9="",U9=0,U9="S",U9="RE",U9="F",U9="AB",B9="NSO"),"",IF(U9="G","G",IF(Q9&gt;=75%*S9,"I",IF(Q9&gt;=60%*S9,"I",IF(Q9&gt;=48%*S9,"II",IF(Q9&gt;=36%*S9,"III",""))))))</f>
        <v>I</v>
      </c>
      <c r="W9" s="816" t="str">
        <f t="shared" si="2"/>
        <v>A</v>
      </c>
      <c r="Z9" s="1323"/>
      <c r="AA9" s="1323"/>
      <c r="AB9" s="1323"/>
      <c r="AC9" s="1323"/>
      <c r="AD9" s="1323"/>
      <c r="AE9" s="1323"/>
      <c r="AJ9" s="6" t="str">
        <f>'Statement of Marks'!Y3</f>
        <v>अंग्रेजी</v>
      </c>
    </row>
    <row r="10" spans="1:36" ht="18" customHeight="1">
      <c r="A10" s="803">
        <f>IF('Statement of Marks'!A9="","",'Statement of Marks'!A9)</f>
        <v>3</v>
      </c>
      <c r="B10" s="804">
        <f>IF(OR($D$3="",$L$3=""),"",IF('Statement of Marks'!B9="","",'Statement of Marks'!B9))</f>
        <v>903</v>
      </c>
      <c r="C10" s="805" t="str">
        <f>IF(OR($D$3="",$L$3=""),"",IF('Statement of Marks'!D9="","",'Statement of Marks'!D9))</f>
        <v/>
      </c>
      <c r="D10" s="806">
        <f>IF(OR($D$3="",$L$3=""),"",IF('Statement of Marks'!E9="","",'Statement of Marks'!E9))</f>
        <v>41192</v>
      </c>
      <c r="E10" s="807" t="str">
        <f>IF(OR($D$3="",$L$3=""),"",IF('Statement of Marks'!F9="","",'Statement of Marks'!F9))</f>
        <v>DINESH</v>
      </c>
      <c r="F10" s="807" t="str">
        <f>IF(OR($D$3="",$L$3=""),"",IF('Statement of Marks'!G9="","",'Statement of Marks'!G9))</f>
        <v/>
      </c>
      <c r="G10" s="807" t="str">
        <f>IF(OR($D$3="",$L$3=""),"",IF('Statement of Marks'!H9="","",'Statement of Marks'!H9))</f>
        <v/>
      </c>
      <c r="H10" s="808" t="str">
        <f>IF(OR($D$3="",$L$3=""),"",IF('Statement of Marks'!I9="","",'Statement of Marks'!I9))</f>
        <v>GEN</v>
      </c>
      <c r="I10" s="808" t="str">
        <f>IF(OR($D$3="",$L$3=""),"",IF('Statement of Marks'!J9="","",'Statement of Marks'!J9))</f>
        <v>M</v>
      </c>
      <c r="J10" s="809">
        <f>IFERROR(IF($L$3=$AJ$8,'Statement of Marks'!K9,IF($L$3=$AJ$9,'Statement of Marks'!Y9,IF($L$3=$AJ$10,'Statement of Marks'!AN9,IF($L$3=$AJ$11,'Statement of Marks'!BB9,IF($L$3=$AJ$12,'Statement of Marks'!BP9,IF($L$3=$AJ$13,'Statement of Marks'!CE9,IF($L$3=$AJ$14,'Statement of Marks'!CT9,IF($L$3=$AJ$15,'Statement of Marks'!DZ9,IF($L$3=$AJ$16,'Statement of Marks'!EL9,IF($L$3=$AJ$17,('Statement of Marks'!FB9+'Statement of Marks'!FC9),"")))))))))),"")</f>
        <v>8</v>
      </c>
      <c r="K10" s="809">
        <f>IFERROR(IF($L$3=$AJ$8,'Statement of Marks'!L9,IF($L$3=$AJ$9,'Statement of Marks'!Z9,IF($L$3=$AJ$10,'Statement of Marks'!AO9,IF($L$3=$AJ$11,'Statement of Marks'!BC9,IF($L$3=$AJ$12,'Statement of Marks'!BQ9,IF($L$3=$AJ$13,'Statement of Marks'!CF9,IF($L$3=$AJ$14,'Statement of Marks'!CU9,IF($L$3=$AJ$15,'Statement of Marks'!EA9,IF($L$3=$AJ$16,'Statement of Marks'!EM9,IF($L$3=$AJ$17,('Statement of Marks'!FD9+'Statement of Marks'!FE9),"")))))))))),"")</f>
        <v>9</v>
      </c>
      <c r="L10" s="809">
        <f>IFERROR(IF($L$3=$AJ$8,'Statement of Marks'!M9,IF($L$3=$AJ$9,'Statement of Marks'!AA9,IF($L$3=$AJ$10,'Statement of Marks'!AP9,IF($L$3=$AJ$11,'Statement of Marks'!BD9,IF($L$3=$AJ$12,'Statement of Marks'!BR9,IF($L$3=$AJ$13,'Statement of Marks'!CG9,IF($L$3=$AJ$14,'Statement of Marks'!CV9,IF($L$3=$AJ$15,'Statement of Marks'!EB9,IF($L$3=$AJ$16,'Statement of Marks'!EN9,IF($L$3=$AJ$17,('Statement of Marks'!FF9+'Statement of Marks'!FG9),"")))))))))),"")</f>
        <v>10</v>
      </c>
      <c r="M10" s="810">
        <f t="shared" si="0"/>
        <v>27</v>
      </c>
      <c r="N10" s="809">
        <f>IFERROR(IF($L$3=$AJ$8,'Statement of Marks'!O9,IF($L$3=$AJ$9,'Statement of Marks'!AC9,IF($L$3=$AJ$10,'Statement of Marks'!AR9,IF($L$3=$AJ$11,'Statement of Marks'!BF9,IF($L$3=$AJ$12,'Statement of Marks'!BT9,IF($L$3=$AJ$13,'Statement of Marks'!CI9,IF($L$3=$AJ$14,('Statement of Marks'!CX9+'Statement of Marks'!CY9),IF($L$3=$AJ$15,'Statement of Marks'!ED9,IF($L$3=$AJ$16,('Statement of Marks'!EP9+'Statement of Marks'!EQ9),IF($L$3=$AJ$17,('Statement of Marks'!FI9+'Statement of Marks'!FJ9),IF($L$3=$AJ$18,'Statement of Marks'!FU9,IF($L$3=$AJ$19,'Statement of Marks'!GC9,"")))))))))))),"")</f>
        <v>65</v>
      </c>
      <c r="O10" s="811">
        <f>IF($L$3=$AJ$18,'Statement of Marks'!FV9,IF($L$3=$AJ$19,'Statement of Marks'!GD9,IF(AND(M10="NA",N10="NA"),"NA",IF(AND(M10="",N10=""),"",SUM(M10,N10)))))</f>
        <v>92</v>
      </c>
      <c r="P10" s="809">
        <f>IFERROR(IF($L$3=$AJ$8,'Statement of Marks'!Q9,IF($L$3=$AJ$9,'Statement of Marks'!AE9,IF($L$3=$AJ$10,'Statement of Marks'!AT9,IF($L$3=$AJ$11,'Statement of Marks'!BH9,IF($L$3=$AJ$12,'Statement of Marks'!BV9,IF($L$3=$AJ$13,'Statement of Marks'!CK9,IF($L$3=$AJ$14,('Statement of Marks'!DB9+'Statement of Marks'!DC9),IF($L$3=$AJ$15,'Statement of Marks'!EF9,IF($L$3=$AJ$16,('Statement of Marks'!ET9+'Statement of Marks'!EU9),IF($L$3=$AJ$17,('Statement of Marks'!FM9+'Statement of Marks'!FN9),IF($L$3=$AJ$18,'Statement of Marks'!FW9,IF($L$3=$AJ$19,'Statement of Marks'!GE9,"")))))))))))),"")</f>
        <v>95</v>
      </c>
      <c r="Q10" s="812">
        <f t="shared" si="3"/>
        <v>187</v>
      </c>
      <c r="R10" s="813">
        <f t="shared" si="1"/>
        <v>0</v>
      </c>
      <c r="S10" s="813">
        <f t="shared" si="4"/>
        <v>200</v>
      </c>
      <c r="T10" s="813" t="str">
        <f t="shared" si="5"/>
        <v/>
      </c>
      <c r="U10" s="814" t="str">
        <f t="shared" si="6"/>
        <v>P</v>
      </c>
      <c r="V10" s="815" t="str">
        <f t="shared" si="7"/>
        <v>I</v>
      </c>
      <c r="W10" s="816" t="str">
        <f t="shared" si="2"/>
        <v>A</v>
      </c>
      <c r="Z10" s="1324" t="s">
        <v>265</v>
      </c>
      <c r="AA10" s="1324"/>
      <c r="AB10" s="1324"/>
      <c r="AC10" s="1324"/>
      <c r="AD10" s="1324"/>
      <c r="AE10" s="1324"/>
      <c r="AJ10" s="6" t="str">
        <f>'Statement of Marks'!AM4</f>
        <v>तृतीय भाषा के विषय</v>
      </c>
    </row>
    <row r="11" spans="1:36" ht="18" customHeight="1">
      <c r="A11" s="803">
        <f>IF('Statement of Marks'!A10="","",'Statement of Marks'!A10)</f>
        <v>4</v>
      </c>
      <c r="B11" s="804">
        <f>IF(OR($D$3="",$L$3=""),"",IF('Statement of Marks'!B10="","",'Statement of Marks'!B10))</f>
        <v>904</v>
      </c>
      <c r="C11" s="805" t="str">
        <f>IF(OR($D$3="",$L$3=""),"",IF('Statement of Marks'!D10="","",'Statement of Marks'!D10))</f>
        <v/>
      </c>
      <c r="D11" s="806">
        <f>IF(OR($D$3="",$L$3=""),"",IF('Statement of Marks'!E10="","",'Statement of Marks'!E10))</f>
        <v>40670</v>
      </c>
      <c r="E11" s="807" t="str">
        <f>IF(OR($D$3="",$L$3=""),"",IF('Statement of Marks'!F10="","",'Statement of Marks'!F10))</f>
        <v>RAMESH</v>
      </c>
      <c r="F11" s="807" t="str">
        <f>IF(OR($D$3="",$L$3=""),"",IF('Statement of Marks'!G10="","",'Statement of Marks'!G10))</f>
        <v/>
      </c>
      <c r="G11" s="807" t="str">
        <f>IF(OR($D$3="",$L$3=""),"",IF('Statement of Marks'!H10="","",'Statement of Marks'!H10))</f>
        <v/>
      </c>
      <c r="H11" s="808" t="str">
        <f>IF(OR($D$3="",$L$3=""),"",IF('Statement of Marks'!I10="","",'Statement of Marks'!I10))</f>
        <v>SBC</v>
      </c>
      <c r="I11" s="808" t="str">
        <f>IF(OR($D$3="",$L$3=""),"",IF('Statement of Marks'!J10="","",'Statement of Marks'!J10))</f>
        <v>M</v>
      </c>
      <c r="J11" s="809">
        <f>IFERROR(IF($L$3=$AJ$8,'Statement of Marks'!K10,IF($L$3=$AJ$9,'Statement of Marks'!Y10,IF($L$3=$AJ$10,'Statement of Marks'!AN10,IF($L$3=$AJ$11,'Statement of Marks'!BB10,IF($L$3=$AJ$12,'Statement of Marks'!BP10,IF($L$3=$AJ$13,'Statement of Marks'!CE10,IF($L$3=$AJ$14,'Statement of Marks'!CT10,IF($L$3=$AJ$15,'Statement of Marks'!DZ10,IF($L$3=$AJ$16,'Statement of Marks'!EL10,IF($L$3=$AJ$17,('Statement of Marks'!FB10+'Statement of Marks'!FC10),"")))))))))),"")</f>
        <v>8</v>
      </c>
      <c r="K11" s="809">
        <f>IFERROR(IF($L$3=$AJ$8,'Statement of Marks'!L10,IF($L$3=$AJ$9,'Statement of Marks'!Z10,IF($L$3=$AJ$10,'Statement of Marks'!AO10,IF($L$3=$AJ$11,'Statement of Marks'!BC10,IF($L$3=$AJ$12,'Statement of Marks'!BQ10,IF($L$3=$AJ$13,'Statement of Marks'!CF10,IF($L$3=$AJ$14,'Statement of Marks'!CU10,IF($L$3=$AJ$15,'Statement of Marks'!EA10,IF($L$3=$AJ$16,'Statement of Marks'!EM10,IF($L$3=$AJ$17,('Statement of Marks'!FD10+'Statement of Marks'!FE10),"")))))))))),"")</f>
        <v>9</v>
      </c>
      <c r="L11" s="809">
        <f>IFERROR(IF($L$3=$AJ$8,'Statement of Marks'!M10,IF($L$3=$AJ$9,'Statement of Marks'!AA10,IF($L$3=$AJ$10,'Statement of Marks'!AP10,IF($L$3=$AJ$11,'Statement of Marks'!BD10,IF($L$3=$AJ$12,'Statement of Marks'!BR10,IF($L$3=$AJ$13,'Statement of Marks'!CG10,IF($L$3=$AJ$14,'Statement of Marks'!CV10,IF($L$3=$AJ$15,'Statement of Marks'!EB10,IF($L$3=$AJ$16,'Statement of Marks'!EN10,IF($L$3=$AJ$17,('Statement of Marks'!FF10+'Statement of Marks'!FG10),"")))))))))),"")</f>
        <v>10</v>
      </c>
      <c r="M11" s="810">
        <f t="shared" si="0"/>
        <v>27</v>
      </c>
      <c r="N11" s="809">
        <f>IFERROR(IF($L$3=$AJ$8,'Statement of Marks'!O10,IF($L$3=$AJ$9,'Statement of Marks'!AC10,IF($L$3=$AJ$10,'Statement of Marks'!AR10,IF($L$3=$AJ$11,'Statement of Marks'!BF10,IF($L$3=$AJ$12,'Statement of Marks'!BT10,IF($L$3=$AJ$13,'Statement of Marks'!CI10,IF($L$3=$AJ$14,('Statement of Marks'!CX10+'Statement of Marks'!CY10),IF($L$3=$AJ$15,'Statement of Marks'!ED10,IF($L$3=$AJ$16,('Statement of Marks'!EP10+'Statement of Marks'!EQ10),IF($L$3=$AJ$17,('Statement of Marks'!FI10+'Statement of Marks'!FJ10),IF($L$3=$AJ$18,'Statement of Marks'!FU10,IF($L$3=$AJ$19,'Statement of Marks'!GC10,"")))))))))))),"")</f>
        <v>30</v>
      </c>
      <c r="O11" s="811">
        <f>IF($L$3=$AJ$18,'Statement of Marks'!FV10,IF($L$3=$AJ$19,'Statement of Marks'!GD10,IF(AND(M11="NA",N11="NA"),"NA",IF(AND(M11="",N11=""),"",SUM(M11,N11)))))</f>
        <v>57</v>
      </c>
      <c r="P11" s="809">
        <f>IFERROR(IF($L$3=$AJ$8,'Statement of Marks'!Q10,IF($L$3=$AJ$9,'Statement of Marks'!AE10,IF($L$3=$AJ$10,'Statement of Marks'!AT10,IF($L$3=$AJ$11,'Statement of Marks'!BH10,IF($L$3=$AJ$12,'Statement of Marks'!BV10,IF($L$3=$AJ$13,'Statement of Marks'!CK10,IF($L$3=$AJ$14,('Statement of Marks'!DB10+'Statement of Marks'!DC10),IF($L$3=$AJ$15,'Statement of Marks'!EF10,IF($L$3=$AJ$16,('Statement of Marks'!ET10+'Statement of Marks'!EU10),IF($L$3=$AJ$17,('Statement of Marks'!FM10+'Statement of Marks'!FN10),IF($L$3=$AJ$18,'Statement of Marks'!FW10,IF($L$3=$AJ$19,'Statement of Marks'!GE10,"")))))))))))),"")</f>
        <v>95</v>
      </c>
      <c r="Q11" s="812">
        <f t="shared" si="3"/>
        <v>152</v>
      </c>
      <c r="R11" s="813">
        <f t="shared" si="1"/>
        <v>0</v>
      </c>
      <c r="S11" s="813">
        <f t="shared" si="4"/>
        <v>200</v>
      </c>
      <c r="T11" s="813" t="str">
        <f t="shared" si="5"/>
        <v/>
      </c>
      <c r="U11" s="814" t="str">
        <f t="shared" si="6"/>
        <v>P</v>
      </c>
      <c r="V11" s="815" t="str">
        <f t="shared" si="7"/>
        <v>I</v>
      </c>
      <c r="W11" s="816" t="str">
        <f t="shared" si="2"/>
        <v>B</v>
      </c>
      <c r="AJ11" s="6" t="str">
        <f>'Statement of Marks'!BB3</f>
        <v>गणित</v>
      </c>
    </row>
    <row r="12" spans="1:36" ht="18" customHeight="1">
      <c r="A12" s="803">
        <f>IF('Statement of Marks'!A11="","",'Statement of Marks'!A11)</f>
        <v>5</v>
      </c>
      <c r="B12" s="804">
        <f>IF(OR($D$3="",$L$3=""),"",IF('Statement of Marks'!B11="","",'Statement of Marks'!B11))</f>
        <v>905</v>
      </c>
      <c r="C12" s="805" t="str">
        <f>IF(OR($D$3="",$L$3=""),"",IF('Statement of Marks'!D11="","",'Statement of Marks'!D11))</f>
        <v/>
      </c>
      <c r="D12" s="806">
        <f>IF(OR($D$3="",$L$3=""),"",IF('Statement of Marks'!E11="","",'Statement of Marks'!E11))</f>
        <v>41525</v>
      </c>
      <c r="E12" s="807" t="str">
        <f>IF(OR($D$3="",$L$3=""),"",IF('Statement of Marks'!F11="","",'Statement of Marks'!F11))</f>
        <v>SHYAM</v>
      </c>
      <c r="F12" s="807" t="str">
        <f>IF(OR($D$3="",$L$3=""),"",IF('Statement of Marks'!G11="","",'Statement of Marks'!G11))</f>
        <v/>
      </c>
      <c r="G12" s="807" t="str">
        <f>IF(OR($D$3="",$L$3=""),"",IF('Statement of Marks'!H11="","",'Statement of Marks'!H11))</f>
        <v/>
      </c>
      <c r="H12" s="808" t="str">
        <f>IF(OR($D$3="",$L$3=""),"",IF('Statement of Marks'!I11="","",'Statement of Marks'!I11))</f>
        <v>SC</v>
      </c>
      <c r="I12" s="808" t="str">
        <f>IF(OR($D$3="",$L$3=""),"",IF('Statement of Marks'!J11="","",'Statement of Marks'!J11))</f>
        <v>M</v>
      </c>
      <c r="J12" s="809">
        <f>IFERROR(IF($L$3=$AJ$8,'Statement of Marks'!K11,IF($L$3=$AJ$9,'Statement of Marks'!Y11,IF($L$3=$AJ$10,'Statement of Marks'!AN11,IF($L$3=$AJ$11,'Statement of Marks'!BB11,IF($L$3=$AJ$12,'Statement of Marks'!BP11,IF($L$3=$AJ$13,'Statement of Marks'!CE11,IF($L$3=$AJ$14,'Statement of Marks'!CT11,IF($L$3=$AJ$15,'Statement of Marks'!DZ11,IF($L$3=$AJ$16,'Statement of Marks'!EL11,IF($L$3=$AJ$17,('Statement of Marks'!FB11+'Statement of Marks'!FC11),"")))))))))),"")</f>
        <v>8</v>
      </c>
      <c r="K12" s="809">
        <f>IFERROR(IF($L$3=$AJ$8,'Statement of Marks'!L11,IF($L$3=$AJ$9,'Statement of Marks'!Z11,IF($L$3=$AJ$10,'Statement of Marks'!AO11,IF($L$3=$AJ$11,'Statement of Marks'!BC11,IF($L$3=$AJ$12,'Statement of Marks'!BQ11,IF($L$3=$AJ$13,'Statement of Marks'!CF11,IF($L$3=$AJ$14,'Statement of Marks'!CU11,IF($L$3=$AJ$15,'Statement of Marks'!EA11,IF($L$3=$AJ$16,'Statement of Marks'!EM11,IF($L$3=$AJ$17,('Statement of Marks'!FD11+'Statement of Marks'!FE11),"")))))))))),"")</f>
        <v>9</v>
      </c>
      <c r="L12" s="809">
        <f>IFERROR(IF($L$3=$AJ$8,'Statement of Marks'!M11,IF($L$3=$AJ$9,'Statement of Marks'!AA11,IF($L$3=$AJ$10,'Statement of Marks'!AP11,IF($L$3=$AJ$11,'Statement of Marks'!BD11,IF($L$3=$AJ$12,'Statement of Marks'!BR11,IF($L$3=$AJ$13,'Statement of Marks'!CG11,IF($L$3=$AJ$14,'Statement of Marks'!CV11,IF($L$3=$AJ$15,'Statement of Marks'!EB11,IF($L$3=$AJ$16,'Statement of Marks'!EN11,IF($L$3=$AJ$17,('Statement of Marks'!FF11+'Statement of Marks'!FG11),"")))))))))),"")</f>
        <v>10</v>
      </c>
      <c r="M12" s="810">
        <f t="shared" si="0"/>
        <v>27</v>
      </c>
      <c r="N12" s="809">
        <f>IFERROR(IF($L$3=$AJ$8,'Statement of Marks'!O11,IF($L$3=$AJ$9,'Statement of Marks'!AC11,IF($L$3=$AJ$10,'Statement of Marks'!AR11,IF($L$3=$AJ$11,'Statement of Marks'!BF11,IF($L$3=$AJ$12,'Statement of Marks'!BT11,IF($L$3=$AJ$13,'Statement of Marks'!CI11,IF($L$3=$AJ$14,('Statement of Marks'!CX11+'Statement of Marks'!CY11),IF($L$3=$AJ$15,'Statement of Marks'!ED11,IF($L$3=$AJ$16,('Statement of Marks'!EP11+'Statement of Marks'!EQ11),IF($L$3=$AJ$17,('Statement of Marks'!FI11+'Statement of Marks'!FJ11),IF($L$3=$AJ$18,'Statement of Marks'!FU11,IF($L$3=$AJ$19,'Statement of Marks'!GC11,"")))))))))))),"")</f>
        <v>61</v>
      </c>
      <c r="O12" s="811">
        <f>IF($L$3=$AJ$18,'Statement of Marks'!FV11,IF($L$3=$AJ$19,'Statement of Marks'!GD11,IF(AND(M12="NA",N12="NA"),"NA",IF(AND(M12="",N12=""),"",SUM(M12,N12)))))</f>
        <v>88</v>
      </c>
      <c r="P12" s="809">
        <f>IFERROR(IF($L$3=$AJ$8,'Statement of Marks'!Q11,IF($L$3=$AJ$9,'Statement of Marks'!AE11,IF($L$3=$AJ$10,'Statement of Marks'!AT11,IF($L$3=$AJ$11,'Statement of Marks'!BH11,IF($L$3=$AJ$12,'Statement of Marks'!BV11,IF($L$3=$AJ$13,'Statement of Marks'!CK11,IF($L$3=$AJ$14,('Statement of Marks'!DB11+'Statement of Marks'!DC11),IF($L$3=$AJ$15,'Statement of Marks'!EF11,IF($L$3=$AJ$16,('Statement of Marks'!ET11+'Statement of Marks'!EU11),IF($L$3=$AJ$17,('Statement of Marks'!FM11+'Statement of Marks'!FN11),IF($L$3=$AJ$18,'Statement of Marks'!FW11,IF($L$3=$AJ$19,'Statement of Marks'!GE11,"")))))))))))),"")</f>
        <v>45</v>
      </c>
      <c r="Q12" s="812">
        <f t="shared" si="3"/>
        <v>133</v>
      </c>
      <c r="R12" s="813">
        <f t="shared" si="1"/>
        <v>0</v>
      </c>
      <c r="S12" s="813">
        <f t="shared" si="4"/>
        <v>200</v>
      </c>
      <c r="T12" s="813" t="str">
        <f t="shared" si="5"/>
        <v/>
      </c>
      <c r="U12" s="814" t="str">
        <f t="shared" si="6"/>
        <v>P</v>
      </c>
      <c r="V12" s="815" t="str">
        <f t="shared" si="7"/>
        <v>I</v>
      </c>
      <c r="W12" s="816" t="str">
        <f t="shared" si="2"/>
        <v>C</v>
      </c>
      <c r="AJ12" s="6" t="str">
        <f>'Statement of Marks'!BP3</f>
        <v>विज्ञान</v>
      </c>
    </row>
    <row r="13" spans="1:36" ht="18" customHeight="1">
      <c r="A13" s="803">
        <f>IF('Statement of Marks'!A12="","",'Statement of Marks'!A12)</f>
        <v>6</v>
      </c>
      <c r="B13" s="804">
        <f>IF(OR($D$3="",$L$3=""),"",IF('Statement of Marks'!B12="","",'Statement of Marks'!B12))</f>
        <v>906</v>
      </c>
      <c r="C13" s="805" t="str">
        <f>IF(OR($D$3="",$L$3=""),"",IF('Statement of Marks'!D12="","",'Statement of Marks'!D12))</f>
        <v/>
      </c>
      <c r="D13" s="806">
        <f>IF(OR($D$3="",$L$3=""),"",IF('Statement of Marks'!E12="","",'Statement of Marks'!E12))</f>
        <v>40933</v>
      </c>
      <c r="E13" s="807" t="str">
        <f>IF(OR($D$3="",$L$3=""),"",IF('Statement of Marks'!F12="","",'Statement of Marks'!F12))</f>
        <v>GITA</v>
      </c>
      <c r="F13" s="807" t="str">
        <f>IF(OR($D$3="",$L$3=""),"",IF('Statement of Marks'!G12="","",'Statement of Marks'!G12))</f>
        <v/>
      </c>
      <c r="G13" s="807" t="str">
        <f>IF(OR($D$3="",$L$3=""),"",IF('Statement of Marks'!H12="","",'Statement of Marks'!H12))</f>
        <v/>
      </c>
      <c r="H13" s="808" t="str">
        <f>IF(OR($D$3="",$L$3=""),"",IF('Statement of Marks'!I12="","",'Statement of Marks'!I12))</f>
        <v>OBC</v>
      </c>
      <c r="I13" s="808" t="str">
        <f>IF(OR($D$3="",$L$3=""),"",IF('Statement of Marks'!J12="","",'Statement of Marks'!J12))</f>
        <v>F</v>
      </c>
      <c r="J13" s="809">
        <f>IFERROR(IF($L$3=$AJ$8,'Statement of Marks'!K12,IF($L$3=$AJ$9,'Statement of Marks'!Y12,IF($L$3=$AJ$10,'Statement of Marks'!AN12,IF($L$3=$AJ$11,'Statement of Marks'!BB12,IF($L$3=$AJ$12,'Statement of Marks'!BP12,IF($L$3=$AJ$13,'Statement of Marks'!CE12,IF($L$3=$AJ$14,'Statement of Marks'!CT12,IF($L$3=$AJ$15,'Statement of Marks'!DZ12,IF($L$3=$AJ$16,'Statement of Marks'!EL12,IF($L$3=$AJ$17,('Statement of Marks'!FB12+'Statement of Marks'!FC12),"")))))))))),"")</f>
        <v>8</v>
      </c>
      <c r="K13" s="809">
        <f>IFERROR(IF($L$3=$AJ$8,'Statement of Marks'!L12,IF($L$3=$AJ$9,'Statement of Marks'!Z12,IF($L$3=$AJ$10,'Statement of Marks'!AO12,IF($L$3=$AJ$11,'Statement of Marks'!BC12,IF($L$3=$AJ$12,'Statement of Marks'!BQ12,IF($L$3=$AJ$13,'Statement of Marks'!CF12,IF($L$3=$AJ$14,'Statement of Marks'!CU12,IF($L$3=$AJ$15,'Statement of Marks'!EA12,IF($L$3=$AJ$16,'Statement of Marks'!EM12,IF($L$3=$AJ$17,('Statement of Marks'!FD12+'Statement of Marks'!FE12),"")))))))))),"")</f>
        <v>9</v>
      </c>
      <c r="L13" s="809">
        <f>IFERROR(IF($L$3=$AJ$8,'Statement of Marks'!M12,IF($L$3=$AJ$9,'Statement of Marks'!AA12,IF($L$3=$AJ$10,'Statement of Marks'!AP12,IF($L$3=$AJ$11,'Statement of Marks'!BD12,IF($L$3=$AJ$12,'Statement of Marks'!BR12,IF($L$3=$AJ$13,'Statement of Marks'!CG12,IF($L$3=$AJ$14,'Statement of Marks'!CV12,IF($L$3=$AJ$15,'Statement of Marks'!EB12,IF($L$3=$AJ$16,'Statement of Marks'!EN12,IF($L$3=$AJ$17,('Statement of Marks'!FF12+'Statement of Marks'!FG12),"")))))))))),"")</f>
        <v>10</v>
      </c>
      <c r="M13" s="810">
        <f t="shared" si="0"/>
        <v>27</v>
      </c>
      <c r="N13" s="809">
        <f>IFERROR(IF($L$3=$AJ$8,'Statement of Marks'!O12,IF($L$3=$AJ$9,'Statement of Marks'!AC12,IF($L$3=$AJ$10,'Statement of Marks'!AR12,IF($L$3=$AJ$11,'Statement of Marks'!BF12,IF($L$3=$AJ$12,'Statement of Marks'!BT12,IF($L$3=$AJ$13,'Statement of Marks'!CI12,IF($L$3=$AJ$14,('Statement of Marks'!CX12+'Statement of Marks'!CY12),IF($L$3=$AJ$15,'Statement of Marks'!ED12,IF($L$3=$AJ$16,('Statement of Marks'!EP12+'Statement of Marks'!EQ12),IF($L$3=$AJ$17,('Statement of Marks'!FI12+'Statement of Marks'!FJ12),IF($L$3=$AJ$18,'Statement of Marks'!FU12,IF($L$3=$AJ$19,'Statement of Marks'!GC12,"")))))))))))),"")</f>
        <v>62</v>
      </c>
      <c r="O13" s="811">
        <f>IF($L$3=$AJ$18,'Statement of Marks'!FV12,IF($L$3=$AJ$19,'Statement of Marks'!GD12,IF(AND(M13="NA",N13="NA"),"NA",IF(AND(M13="",N13=""),"",SUM(M13,N13)))))</f>
        <v>89</v>
      </c>
      <c r="P13" s="809">
        <f>IFERROR(IF($L$3=$AJ$8,'Statement of Marks'!Q12,IF($L$3=$AJ$9,'Statement of Marks'!AE12,IF($L$3=$AJ$10,'Statement of Marks'!AT12,IF($L$3=$AJ$11,'Statement of Marks'!BH12,IF($L$3=$AJ$12,'Statement of Marks'!BV12,IF($L$3=$AJ$13,'Statement of Marks'!CK12,IF($L$3=$AJ$14,('Statement of Marks'!DB12+'Statement of Marks'!DC12),IF($L$3=$AJ$15,'Statement of Marks'!EF12,IF($L$3=$AJ$16,('Statement of Marks'!ET12+'Statement of Marks'!EU12),IF($L$3=$AJ$17,('Statement of Marks'!FM12+'Statement of Marks'!FN12),IF($L$3=$AJ$18,'Statement of Marks'!FW12,IF($L$3=$AJ$19,'Statement of Marks'!GE12,"")))))))))))),"")</f>
        <v>95</v>
      </c>
      <c r="Q13" s="812">
        <f t="shared" si="3"/>
        <v>184</v>
      </c>
      <c r="R13" s="813">
        <f t="shared" si="1"/>
        <v>0</v>
      </c>
      <c r="S13" s="813">
        <f t="shared" si="4"/>
        <v>200</v>
      </c>
      <c r="T13" s="813" t="str">
        <f t="shared" si="5"/>
        <v/>
      </c>
      <c r="U13" s="814" t="str">
        <f t="shared" si="6"/>
        <v>P</v>
      </c>
      <c r="V13" s="815" t="str">
        <f t="shared" si="7"/>
        <v>I</v>
      </c>
      <c r="W13" s="816" t="str">
        <f t="shared" si="2"/>
        <v>A</v>
      </c>
      <c r="AJ13" s="6" t="str">
        <f>'Statement of Marks'!CE3</f>
        <v>सामाजिक विज्ञान</v>
      </c>
    </row>
    <row r="14" spans="1:36" ht="18" customHeight="1">
      <c r="A14" s="803">
        <f>IF('Statement of Marks'!A13="","",'Statement of Marks'!A13)</f>
        <v>7</v>
      </c>
      <c r="B14" s="804">
        <f>IF(OR($D$3="",$L$3=""),"",IF('Statement of Marks'!B13="","",'Statement of Marks'!B13))</f>
        <v>907</v>
      </c>
      <c r="C14" s="805" t="str">
        <f>IF(OR($D$3="",$L$3=""),"",IF('Statement of Marks'!D13="","",'Statement of Marks'!D13))</f>
        <v/>
      </c>
      <c r="D14" s="806">
        <f>IF(OR($D$3="",$L$3=""),"",IF('Statement of Marks'!E13="","",'Statement of Marks'!E13))</f>
        <v>41317</v>
      </c>
      <c r="E14" s="807" t="str">
        <f>IF(OR($D$3="",$L$3=""),"",IF('Statement of Marks'!F13="","",'Statement of Marks'!F13))</f>
        <v>MITA</v>
      </c>
      <c r="F14" s="807" t="str">
        <f>IF(OR($D$3="",$L$3=""),"",IF('Statement of Marks'!G13="","",'Statement of Marks'!G13))</f>
        <v/>
      </c>
      <c r="G14" s="807" t="str">
        <f>IF(OR($D$3="",$L$3=""),"",IF('Statement of Marks'!H13="","",'Statement of Marks'!H13))</f>
        <v/>
      </c>
      <c r="H14" s="808" t="str">
        <f>IF(OR($D$3="",$L$3=""),"",IF('Statement of Marks'!I13="","",'Statement of Marks'!I13))</f>
        <v>GEN</v>
      </c>
      <c r="I14" s="808" t="str">
        <f>IF(OR($D$3="",$L$3=""),"",IF('Statement of Marks'!J13="","",'Statement of Marks'!J13))</f>
        <v>F</v>
      </c>
      <c r="J14" s="809">
        <f>IFERROR(IF($L$3=$AJ$8,'Statement of Marks'!K13,IF($L$3=$AJ$9,'Statement of Marks'!Y13,IF($L$3=$AJ$10,'Statement of Marks'!AN13,IF($L$3=$AJ$11,'Statement of Marks'!BB13,IF($L$3=$AJ$12,'Statement of Marks'!BP13,IF($L$3=$AJ$13,'Statement of Marks'!CE13,IF($L$3=$AJ$14,'Statement of Marks'!CT13,IF($L$3=$AJ$15,'Statement of Marks'!DZ13,IF($L$3=$AJ$16,'Statement of Marks'!EL13,IF($L$3=$AJ$17,('Statement of Marks'!FB13+'Statement of Marks'!FC13),"")))))))))),"")</f>
        <v>8</v>
      </c>
      <c r="K14" s="809">
        <f>IFERROR(IF($L$3=$AJ$8,'Statement of Marks'!L13,IF($L$3=$AJ$9,'Statement of Marks'!Z13,IF($L$3=$AJ$10,'Statement of Marks'!AO13,IF($L$3=$AJ$11,'Statement of Marks'!BC13,IF($L$3=$AJ$12,'Statement of Marks'!BQ13,IF($L$3=$AJ$13,'Statement of Marks'!CF13,IF($L$3=$AJ$14,'Statement of Marks'!CU13,IF($L$3=$AJ$15,'Statement of Marks'!EA13,IF($L$3=$AJ$16,'Statement of Marks'!EM13,IF($L$3=$AJ$17,('Statement of Marks'!FD13+'Statement of Marks'!FE13),"")))))))))),"")</f>
        <v>9</v>
      </c>
      <c r="L14" s="809">
        <f>IFERROR(IF($L$3=$AJ$8,'Statement of Marks'!M13,IF($L$3=$AJ$9,'Statement of Marks'!AA13,IF($L$3=$AJ$10,'Statement of Marks'!AP13,IF($L$3=$AJ$11,'Statement of Marks'!BD13,IF($L$3=$AJ$12,'Statement of Marks'!BR13,IF($L$3=$AJ$13,'Statement of Marks'!CG13,IF($L$3=$AJ$14,'Statement of Marks'!CV13,IF($L$3=$AJ$15,'Statement of Marks'!EB13,IF($L$3=$AJ$16,'Statement of Marks'!EN13,IF($L$3=$AJ$17,('Statement of Marks'!FF13+'Statement of Marks'!FG13),"")))))))))),"")</f>
        <v>9</v>
      </c>
      <c r="M14" s="810">
        <f t="shared" si="0"/>
        <v>26</v>
      </c>
      <c r="N14" s="809">
        <f>IFERROR(IF($L$3=$AJ$8,'Statement of Marks'!O13,IF($L$3=$AJ$9,'Statement of Marks'!AC13,IF($L$3=$AJ$10,'Statement of Marks'!AR13,IF($L$3=$AJ$11,'Statement of Marks'!BF13,IF($L$3=$AJ$12,'Statement of Marks'!BT13,IF($L$3=$AJ$13,'Statement of Marks'!CI13,IF($L$3=$AJ$14,('Statement of Marks'!CX13+'Statement of Marks'!CY13),IF($L$3=$AJ$15,'Statement of Marks'!ED13,IF($L$3=$AJ$16,('Statement of Marks'!EP13+'Statement of Marks'!EQ13),IF($L$3=$AJ$17,('Statement of Marks'!FI13+'Statement of Marks'!FJ13),IF($L$3=$AJ$18,'Statement of Marks'!FU13,IF($L$3=$AJ$19,'Statement of Marks'!GC13,"")))))))))))),"")</f>
        <v>60</v>
      </c>
      <c r="O14" s="811">
        <f>IF($L$3=$AJ$18,'Statement of Marks'!FV13,IF($L$3=$AJ$19,'Statement of Marks'!GD13,IF(AND(M14="NA",N14="NA"),"NA",IF(AND(M14="",N14=""),"",SUM(M14,N14)))))</f>
        <v>86</v>
      </c>
      <c r="P14" s="809">
        <f>IFERROR(IF($L$3=$AJ$8,'Statement of Marks'!Q13,IF($L$3=$AJ$9,'Statement of Marks'!AE13,IF($L$3=$AJ$10,'Statement of Marks'!AT13,IF($L$3=$AJ$11,'Statement of Marks'!BH13,IF($L$3=$AJ$12,'Statement of Marks'!BV13,IF($L$3=$AJ$13,'Statement of Marks'!CK13,IF($L$3=$AJ$14,('Statement of Marks'!DB13+'Statement of Marks'!DC13),IF($L$3=$AJ$15,'Statement of Marks'!EF13,IF($L$3=$AJ$16,('Statement of Marks'!ET13+'Statement of Marks'!EU13),IF($L$3=$AJ$17,('Statement of Marks'!FM13+'Statement of Marks'!FN13),IF($L$3=$AJ$18,'Statement of Marks'!FW13,IF($L$3=$AJ$19,'Statement of Marks'!GE13,"")))))))))))),"")</f>
        <v>60</v>
      </c>
      <c r="Q14" s="812">
        <f t="shared" si="3"/>
        <v>146</v>
      </c>
      <c r="R14" s="813">
        <f t="shared" si="1"/>
        <v>0</v>
      </c>
      <c r="S14" s="813">
        <f t="shared" si="4"/>
        <v>200</v>
      </c>
      <c r="T14" s="813" t="str">
        <f t="shared" si="5"/>
        <v/>
      </c>
      <c r="U14" s="814" t="str">
        <f t="shared" si="6"/>
        <v>P</v>
      </c>
      <c r="V14" s="815" t="str">
        <f t="shared" si="7"/>
        <v>I</v>
      </c>
      <c r="W14" s="816" t="str">
        <f t="shared" si="2"/>
        <v>B</v>
      </c>
      <c r="AJ14" s="6" t="str">
        <f>'Statement of Marks'!CS3</f>
        <v>व्यावसायिक शिक्षा विषय</v>
      </c>
    </row>
    <row r="15" spans="1:36" ht="18" customHeight="1">
      <c r="A15" s="803">
        <f>IF('Statement of Marks'!A14="","",'Statement of Marks'!A14)</f>
        <v>8</v>
      </c>
      <c r="B15" s="804">
        <f>IF(OR($D$3="",$L$3=""),"",IF('Statement of Marks'!B14="","",'Statement of Marks'!B14))</f>
        <v>908</v>
      </c>
      <c r="C15" s="805" t="str">
        <f>IF(OR($D$3="",$L$3=""),"",IF('Statement of Marks'!D14="","",'Statement of Marks'!D14))</f>
        <v/>
      </c>
      <c r="D15" s="806">
        <f>IF(OR($D$3="",$L$3=""),"",IF('Statement of Marks'!E14="","",'Statement of Marks'!E14))</f>
        <v>40282</v>
      </c>
      <c r="E15" s="807" t="str">
        <f>IF(OR($D$3="",$L$3=""),"",IF('Statement of Marks'!F14="","",'Statement of Marks'!F14))</f>
        <v>SITA</v>
      </c>
      <c r="F15" s="807" t="str">
        <f>IF(OR($D$3="",$L$3=""),"",IF('Statement of Marks'!G14="","",'Statement of Marks'!G14))</f>
        <v/>
      </c>
      <c r="G15" s="807" t="str">
        <f>IF(OR($D$3="",$L$3=""),"",IF('Statement of Marks'!H14="","",'Statement of Marks'!H14))</f>
        <v/>
      </c>
      <c r="H15" s="808" t="str">
        <f>IF(OR($D$3="",$L$3=""),"",IF('Statement of Marks'!I14="","",'Statement of Marks'!I14))</f>
        <v>MIN</v>
      </c>
      <c r="I15" s="808" t="str">
        <f>IF(OR($D$3="",$L$3=""),"",IF('Statement of Marks'!J14="","",'Statement of Marks'!J14))</f>
        <v>F</v>
      </c>
      <c r="J15" s="809">
        <f>IFERROR(IF($L$3=$AJ$8,'Statement of Marks'!K14,IF($L$3=$AJ$9,'Statement of Marks'!Y14,IF($L$3=$AJ$10,'Statement of Marks'!AN14,IF($L$3=$AJ$11,'Statement of Marks'!BB14,IF($L$3=$AJ$12,'Statement of Marks'!BP14,IF($L$3=$AJ$13,'Statement of Marks'!CE14,IF($L$3=$AJ$14,'Statement of Marks'!CT14,IF($L$3=$AJ$15,'Statement of Marks'!DZ14,IF($L$3=$AJ$16,'Statement of Marks'!EL14,IF($L$3=$AJ$17,('Statement of Marks'!FB14+'Statement of Marks'!FC14),"")))))))))),"")</f>
        <v>8</v>
      </c>
      <c r="K15" s="809">
        <f>IFERROR(IF($L$3=$AJ$8,'Statement of Marks'!L14,IF($L$3=$AJ$9,'Statement of Marks'!Z14,IF($L$3=$AJ$10,'Statement of Marks'!AO14,IF($L$3=$AJ$11,'Statement of Marks'!BC14,IF($L$3=$AJ$12,'Statement of Marks'!BQ14,IF($L$3=$AJ$13,'Statement of Marks'!CF14,IF($L$3=$AJ$14,'Statement of Marks'!CU14,IF($L$3=$AJ$15,'Statement of Marks'!EA14,IF($L$3=$AJ$16,'Statement of Marks'!EM14,IF($L$3=$AJ$17,('Statement of Marks'!FD14+'Statement of Marks'!FE14),"")))))))))),"")</f>
        <v>9</v>
      </c>
      <c r="L15" s="809">
        <f>IFERROR(IF($L$3=$AJ$8,'Statement of Marks'!M14,IF($L$3=$AJ$9,'Statement of Marks'!AA14,IF($L$3=$AJ$10,'Statement of Marks'!AP14,IF($L$3=$AJ$11,'Statement of Marks'!BD14,IF($L$3=$AJ$12,'Statement of Marks'!BR14,IF($L$3=$AJ$13,'Statement of Marks'!CG14,IF($L$3=$AJ$14,'Statement of Marks'!CV14,IF($L$3=$AJ$15,'Statement of Marks'!EB14,IF($L$3=$AJ$16,'Statement of Marks'!EN14,IF($L$3=$AJ$17,('Statement of Marks'!FF14+'Statement of Marks'!FG14),"")))))))))),"")</f>
        <v>9</v>
      </c>
      <c r="M15" s="810">
        <f t="shared" si="0"/>
        <v>26</v>
      </c>
      <c r="N15" s="809">
        <f>IFERROR(IF($L$3=$AJ$8,'Statement of Marks'!O14,IF($L$3=$AJ$9,'Statement of Marks'!AC14,IF($L$3=$AJ$10,'Statement of Marks'!AR14,IF($L$3=$AJ$11,'Statement of Marks'!BF14,IF($L$3=$AJ$12,'Statement of Marks'!BT14,IF($L$3=$AJ$13,'Statement of Marks'!CI14,IF($L$3=$AJ$14,('Statement of Marks'!CX14+'Statement of Marks'!CY14),IF($L$3=$AJ$15,'Statement of Marks'!ED14,IF($L$3=$AJ$16,('Statement of Marks'!EP14+'Statement of Marks'!EQ14),IF($L$3=$AJ$17,('Statement of Marks'!FI14+'Statement of Marks'!FJ14),IF($L$3=$AJ$18,'Statement of Marks'!FU14,IF($L$3=$AJ$19,'Statement of Marks'!GC14,"")))))))))))),"")</f>
        <v>60</v>
      </c>
      <c r="O15" s="811">
        <f>IF($L$3=$AJ$18,'Statement of Marks'!FV14,IF($L$3=$AJ$19,'Statement of Marks'!GD14,IF(AND(M15="NA",N15="NA"),"NA",IF(AND(M15="",N15=""),"",SUM(M15,N15)))))</f>
        <v>86</v>
      </c>
      <c r="P15" s="809">
        <f>IFERROR(IF($L$3=$AJ$8,'Statement of Marks'!Q14,IF($L$3=$AJ$9,'Statement of Marks'!AE14,IF($L$3=$AJ$10,'Statement of Marks'!AT14,IF($L$3=$AJ$11,'Statement of Marks'!BH14,IF($L$3=$AJ$12,'Statement of Marks'!BV14,IF($L$3=$AJ$13,'Statement of Marks'!CK14,IF($L$3=$AJ$14,('Statement of Marks'!DB14+'Statement of Marks'!DC14),IF($L$3=$AJ$15,'Statement of Marks'!EF14,IF($L$3=$AJ$16,('Statement of Marks'!ET14+'Statement of Marks'!EU14),IF($L$3=$AJ$17,('Statement of Marks'!FM14+'Statement of Marks'!FN14),IF($L$3=$AJ$18,'Statement of Marks'!FW14,IF($L$3=$AJ$19,'Statement of Marks'!GE14,"")))))))))))),"")</f>
        <v>95</v>
      </c>
      <c r="Q15" s="812">
        <f t="shared" si="3"/>
        <v>181</v>
      </c>
      <c r="R15" s="813">
        <f t="shared" si="1"/>
        <v>0</v>
      </c>
      <c r="S15" s="813">
        <f t="shared" si="4"/>
        <v>200</v>
      </c>
      <c r="T15" s="813" t="str">
        <f t="shared" si="5"/>
        <v/>
      </c>
      <c r="U15" s="814" t="str">
        <f t="shared" si="6"/>
        <v>P</v>
      </c>
      <c r="V15" s="815" t="str">
        <f t="shared" si="7"/>
        <v>I</v>
      </c>
      <c r="W15" s="816" t="str">
        <f t="shared" si="2"/>
        <v>A</v>
      </c>
      <c r="AJ15" s="6" t="str">
        <f>'Statement of Marks'!DZ3</f>
        <v>राजस्थान का स्वंत्रता आन्दोलन व शोर्य परम्परा</v>
      </c>
    </row>
    <row r="16" spans="1:36" ht="18" customHeight="1">
      <c r="A16" s="803">
        <f>IF('Statement of Marks'!A15="","",'Statement of Marks'!A15)</f>
        <v>9</v>
      </c>
      <c r="B16" s="804">
        <f>IF(OR($D$3="",$L$3=""),"",IF('Statement of Marks'!B15="","",'Statement of Marks'!B15))</f>
        <v>909</v>
      </c>
      <c r="C16" s="805" t="str">
        <f>IF(OR($D$3="",$L$3=""),"",IF('Statement of Marks'!D15="","",'Statement of Marks'!D15))</f>
        <v/>
      </c>
      <c r="D16" s="806">
        <f>IF(OR($D$3="",$L$3=""),"",IF('Statement of Marks'!E15="","",'Statement of Marks'!E15))</f>
        <v>40065</v>
      </c>
      <c r="E16" s="807" t="str">
        <f>IF(OR($D$3="",$L$3=""),"",IF('Statement of Marks'!F15="","",'Statement of Marks'!F15))</f>
        <v>RITA</v>
      </c>
      <c r="F16" s="807" t="str">
        <f>IF(OR($D$3="",$L$3=""),"",IF('Statement of Marks'!G15="","",'Statement of Marks'!G15))</f>
        <v/>
      </c>
      <c r="G16" s="807" t="str">
        <f>IF(OR($D$3="",$L$3=""),"",IF('Statement of Marks'!H15="","",'Statement of Marks'!H15))</f>
        <v/>
      </c>
      <c r="H16" s="808" t="str">
        <f>IF(OR($D$3="",$L$3=""),"",IF('Statement of Marks'!I15="","",'Statement of Marks'!I15))</f>
        <v>SBC</v>
      </c>
      <c r="I16" s="808" t="str">
        <f>IF(OR($D$3="",$L$3=""),"",IF('Statement of Marks'!J15="","",'Statement of Marks'!J15))</f>
        <v>F</v>
      </c>
      <c r="J16" s="809">
        <f>IFERROR(IF($L$3=$AJ$8,'Statement of Marks'!K15,IF($L$3=$AJ$9,'Statement of Marks'!Y15,IF($L$3=$AJ$10,'Statement of Marks'!AN15,IF($L$3=$AJ$11,'Statement of Marks'!BB15,IF($L$3=$AJ$12,'Statement of Marks'!BP15,IF($L$3=$AJ$13,'Statement of Marks'!CE15,IF($L$3=$AJ$14,'Statement of Marks'!CT15,IF($L$3=$AJ$15,'Statement of Marks'!DZ15,IF($L$3=$AJ$16,'Statement of Marks'!EL15,IF($L$3=$AJ$17,('Statement of Marks'!FB15+'Statement of Marks'!FC15),"")))))))))),"")</f>
        <v>8</v>
      </c>
      <c r="K16" s="809">
        <f>IFERROR(IF($L$3=$AJ$8,'Statement of Marks'!L15,IF($L$3=$AJ$9,'Statement of Marks'!Z15,IF($L$3=$AJ$10,'Statement of Marks'!AO15,IF($L$3=$AJ$11,'Statement of Marks'!BC15,IF($L$3=$AJ$12,'Statement of Marks'!BQ15,IF($L$3=$AJ$13,'Statement of Marks'!CF15,IF($L$3=$AJ$14,'Statement of Marks'!CU15,IF($L$3=$AJ$15,'Statement of Marks'!EA15,IF($L$3=$AJ$16,'Statement of Marks'!EM15,IF($L$3=$AJ$17,('Statement of Marks'!FD15+'Statement of Marks'!FE15),"")))))))))),"")</f>
        <v>9</v>
      </c>
      <c r="L16" s="809">
        <f>IFERROR(IF($L$3=$AJ$8,'Statement of Marks'!M15,IF($L$3=$AJ$9,'Statement of Marks'!AA15,IF($L$3=$AJ$10,'Statement of Marks'!AP15,IF($L$3=$AJ$11,'Statement of Marks'!BD15,IF($L$3=$AJ$12,'Statement of Marks'!BR15,IF($L$3=$AJ$13,'Statement of Marks'!CG15,IF($L$3=$AJ$14,'Statement of Marks'!CV15,IF($L$3=$AJ$15,'Statement of Marks'!EB15,IF($L$3=$AJ$16,'Statement of Marks'!EN15,IF($L$3=$AJ$17,('Statement of Marks'!FF15+'Statement of Marks'!FG15),"")))))))))),"")</f>
        <v>9</v>
      </c>
      <c r="M16" s="810">
        <f t="shared" si="0"/>
        <v>26</v>
      </c>
      <c r="N16" s="809">
        <f>IFERROR(IF($L$3=$AJ$8,'Statement of Marks'!O15,IF($L$3=$AJ$9,'Statement of Marks'!AC15,IF($L$3=$AJ$10,'Statement of Marks'!AR15,IF($L$3=$AJ$11,'Statement of Marks'!BF15,IF($L$3=$AJ$12,'Statement of Marks'!BT15,IF($L$3=$AJ$13,'Statement of Marks'!CI15,IF($L$3=$AJ$14,('Statement of Marks'!CX15+'Statement of Marks'!CY15),IF($L$3=$AJ$15,'Statement of Marks'!ED15,IF($L$3=$AJ$16,('Statement of Marks'!EP15+'Statement of Marks'!EQ15),IF($L$3=$AJ$17,('Statement of Marks'!FI15+'Statement of Marks'!FJ15),IF($L$3=$AJ$18,'Statement of Marks'!FU15,IF($L$3=$AJ$19,'Statement of Marks'!GC15,"")))))))))))),"")</f>
        <v>60</v>
      </c>
      <c r="O16" s="811">
        <f>IF($L$3=$AJ$18,'Statement of Marks'!FV15,IF($L$3=$AJ$19,'Statement of Marks'!GD15,IF(AND(M16="NA",N16="NA"),"NA",IF(AND(M16="",N16=""),"",SUM(M16,N16)))))</f>
        <v>86</v>
      </c>
      <c r="P16" s="809">
        <f>IFERROR(IF($L$3=$AJ$8,'Statement of Marks'!Q15,IF($L$3=$AJ$9,'Statement of Marks'!AE15,IF($L$3=$AJ$10,'Statement of Marks'!AT15,IF($L$3=$AJ$11,'Statement of Marks'!BH15,IF($L$3=$AJ$12,'Statement of Marks'!BV15,IF($L$3=$AJ$13,'Statement of Marks'!CK15,IF($L$3=$AJ$14,('Statement of Marks'!DB15+'Statement of Marks'!DC15),IF($L$3=$AJ$15,'Statement of Marks'!EF15,IF($L$3=$AJ$16,('Statement of Marks'!ET15+'Statement of Marks'!EU15),IF($L$3=$AJ$17,('Statement of Marks'!FM15+'Statement of Marks'!FN15),IF($L$3=$AJ$18,'Statement of Marks'!FW15,IF($L$3=$AJ$19,'Statement of Marks'!GE15,"")))))))))))),"")</f>
        <v>85</v>
      </c>
      <c r="Q16" s="812">
        <f t="shared" si="3"/>
        <v>171</v>
      </c>
      <c r="R16" s="813">
        <f t="shared" si="1"/>
        <v>0</v>
      </c>
      <c r="S16" s="813">
        <f t="shared" si="4"/>
        <v>200</v>
      </c>
      <c r="T16" s="813" t="str">
        <f t="shared" si="5"/>
        <v/>
      </c>
      <c r="U16" s="814" t="str">
        <f t="shared" si="6"/>
        <v>P</v>
      </c>
      <c r="V16" s="815" t="str">
        <f t="shared" si="7"/>
        <v>I</v>
      </c>
      <c r="W16" s="816" t="str">
        <f t="shared" si="2"/>
        <v>A</v>
      </c>
      <c r="AJ16" s="6" t="str">
        <f>'Statement of Marks'!EL3</f>
        <v>सूचना प्रोद्योगिकी की अवधारणा - I</v>
      </c>
    </row>
    <row r="17" spans="1:36">
      <c r="A17" s="803">
        <f>IF('Statement of Marks'!A16="","",'Statement of Marks'!A16)</f>
        <v>10</v>
      </c>
      <c r="B17" s="804">
        <f>IF(OR($D$3="",$L$3=""),"",IF('Statement of Marks'!B16="","",'Statement of Marks'!B16))</f>
        <v>910</v>
      </c>
      <c r="C17" s="805" t="str">
        <f>IF(OR($D$3="",$L$3=""),"",IF('Statement of Marks'!D16="","",'Statement of Marks'!D16))</f>
        <v/>
      </c>
      <c r="D17" s="806">
        <f>IF(OR($D$3="",$L$3=""),"",IF('Statement of Marks'!E16="","",'Statement of Marks'!E16))</f>
        <v>40737</v>
      </c>
      <c r="E17" s="807" t="str">
        <f>IF(OR($D$3="",$L$3=""),"",IF('Statement of Marks'!F16="","",'Statement of Marks'!F16))</f>
        <v>SONU</v>
      </c>
      <c r="F17" s="807" t="str">
        <f>IF(OR($D$3="",$L$3=""),"",IF('Statement of Marks'!G16="","",'Statement of Marks'!G16))</f>
        <v/>
      </c>
      <c r="G17" s="807" t="str">
        <f>IF(OR($D$3="",$L$3=""),"",IF('Statement of Marks'!H16="","",'Statement of Marks'!H16))</f>
        <v/>
      </c>
      <c r="H17" s="808" t="str">
        <f>IF(OR($D$3="",$L$3=""),"",IF('Statement of Marks'!I16="","",'Statement of Marks'!I16))</f>
        <v>ST</v>
      </c>
      <c r="I17" s="808" t="str">
        <f>IF(OR($D$3="",$L$3=""),"",IF('Statement of Marks'!J16="","",'Statement of Marks'!J16))</f>
        <v>F</v>
      </c>
      <c r="J17" s="809">
        <f>IFERROR(IF($L$3=$AJ$8,'Statement of Marks'!K16,IF($L$3=$AJ$9,'Statement of Marks'!Y16,IF($L$3=$AJ$10,'Statement of Marks'!AN16,IF($L$3=$AJ$11,'Statement of Marks'!BB16,IF($L$3=$AJ$12,'Statement of Marks'!BP16,IF($L$3=$AJ$13,'Statement of Marks'!CE16,IF($L$3=$AJ$14,'Statement of Marks'!CT16,IF($L$3=$AJ$15,'Statement of Marks'!DZ16,IF($L$3=$AJ$16,'Statement of Marks'!EL16,IF($L$3=$AJ$17,('Statement of Marks'!FB16+'Statement of Marks'!FC16),"")))))))))),"")</f>
        <v>8</v>
      </c>
      <c r="K17" s="809">
        <f>IFERROR(IF($L$3=$AJ$8,'Statement of Marks'!L16,IF($L$3=$AJ$9,'Statement of Marks'!Z16,IF($L$3=$AJ$10,'Statement of Marks'!AO16,IF($L$3=$AJ$11,'Statement of Marks'!BC16,IF($L$3=$AJ$12,'Statement of Marks'!BQ16,IF($L$3=$AJ$13,'Statement of Marks'!CF16,IF($L$3=$AJ$14,'Statement of Marks'!CU16,IF($L$3=$AJ$15,'Statement of Marks'!EA16,IF($L$3=$AJ$16,'Statement of Marks'!EM16,IF($L$3=$AJ$17,('Statement of Marks'!FD16+'Statement of Marks'!FE16),"")))))))))),"")</f>
        <v>9</v>
      </c>
      <c r="L17" s="809">
        <f>IFERROR(IF($L$3=$AJ$8,'Statement of Marks'!M16,IF($L$3=$AJ$9,'Statement of Marks'!AA16,IF($L$3=$AJ$10,'Statement of Marks'!AP16,IF($L$3=$AJ$11,'Statement of Marks'!BD16,IF($L$3=$AJ$12,'Statement of Marks'!BR16,IF($L$3=$AJ$13,'Statement of Marks'!CG16,IF($L$3=$AJ$14,'Statement of Marks'!CV16,IF($L$3=$AJ$15,'Statement of Marks'!EB16,IF($L$3=$AJ$16,'Statement of Marks'!EN16,IF($L$3=$AJ$17,('Statement of Marks'!FF16+'Statement of Marks'!FG16),"")))))))))),"")</f>
        <v>9</v>
      </c>
      <c r="M17" s="810">
        <f t="shared" si="0"/>
        <v>26</v>
      </c>
      <c r="N17" s="809">
        <f>IFERROR(IF($L$3=$AJ$8,'Statement of Marks'!O16,IF($L$3=$AJ$9,'Statement of Marks'!AC16,IF($L$3=$AJ$10,'Statement of Marks'!AR16,IF($L$3=$AJ$11,'Statement of Marks'!BF16,IF($L$3=$AJ$12,'Statement of Marks'!BT16,IF($L$3=$AJ$13,'Statement of Marks'!CI16,IF($L$3=$AJ$14,('Statement of Marks'!CX16+'Statement of Marks'!CY16),IF($L$3=$AJ$15,'Statement of Marks'!ED16,IF($L$3=$AJ$16,('Statement of Marks'!EP16+'Statement of Marks'!EQ16),IF($L$3=$AJ$17,('Statement of Marks'!FI16+'Statement of Marks'!FJ16),IF($L$3=$AJ$18,'Statement of Marks'!FU16,IF($L$3=$AJ$19,'Statement of Marks'!GC16,"")))))))))))),"")</f>
        <v>30</v>
      </c>
      <c r="O17" s="811">
        <f>IF($L$3=$AJ$18,'Statement of Marks'!FV16,IF($L$3=$AJ$19,'Statement of Marks'!GD16,IF(AND(M17="NA",N17="NA"),"NA",IF(AND(M17="",N17=""),"",SUM(M17,N17)))))</f>
        <v>56</v>
      </c>
      <c r="P17" s="809">
        <f>IFERROR(IF($L$3=$AJ$8,'Statement of Marks'!Q16,IF($L$3=$AJ$9,'Statement of Marks'!AE16,IF($L$3=$AJ$10,'Statement of Marks'!AT16,IF($L$3=$AJ$11,'Statement of Marks'!BH16,IF($L$3=$AJ$12,'Statement of Marks'!BV16,IF($L$3=$AJ$13,'Statement of Marks'!CK16,IF($L$3=$AJ$14,('Statement of Marks'!DB16+'Statement of Marks'!DC16),IF($L$3=$AJ$15,'Statement of Marks'!EF16,IF($L$3=$AJ$16,('Statement of Marks'!ET16+'Statement of Marks'!EU16),IF($L$3=$AJ$17,('Statement of Marks'!FM16+'Statement of Marks'!FN16),IF($L$3=$AJ$18,'Statement of Marks'!FW16,IF($L$3=$AJ$19,'Statement of Marks'!GE16,"")))))))))))),"")</f>
        <v>30</v>
      </c>
      <c r="Q17" s="812">
        <f t="shared" si="3"/>
        <v>86</v>
      </c>
      <c r="R17" s="813">
        <f t="shared" si="1"/>
        <v>0</v>
      </c>
      <c r="S17" s="813">
        <f t="shared" si="4"/>
        <v>200</v>
      </c>
      <c r="T17" s="813" t="str">
        <f t="shared" si="5"/>
        <v/>
      </c>
      <c r="U17" s="814" t="str">
        <f t="shared" si="6"/>
        <v>P</v>
      </c>
      <c r="V17" s="815" t="str">
        <f t="shared" si="7"/>
        <v>III</v>
      </c>
      <c r="W17" s="816" t="str">
        <f t="shared" si="2"/>
        <v>D</v>
      </c>
      <c r="AJ17" s="6" t="str">
        <f>'Statement of Marks'!FB3</f>
        <v>स्वा. एवं शा. शिक्षा</v>
      </c>
    </row>
    <row r="18" spans="1:36">
      <c r="A18" s="803">
        <f>IF('Statement of Marks'!A17="","",'Statement of Marks'!A17)</f>
        <v>11</v>
      </c>
      <c r="B18" s="804">
        <f>IF(OR($D$3="",$L$3=""),"",IF('Statement of Marks'!B17="","",'Statement of Marks'!B17))</f>
        <v>911</v>
      </c>
      <c r="C18" s="805" t="str">
        <f>IF(OR($D$3="",$L$3=""),"",IF('Statement of Marks'!D17="","",'Statement of Marks'!D17))</f>
        <v/>
      </c>
      <c r="D18" s="806">
        <f>IF(OR($D$3="",$L$3=""),"",IF('Statement of Marks'!E17="","",'Statement of Marks'!E17))</f>
        <v>41878</v>
      </c>
      <c r="E18" s="807" t="str">
        <f>IF(OR($D$3="",$L$3=""),"",IF('Statement of Marks'!F17="","",'Statement of Marks'!F17))</f>
        <v>MONU</v>
      </c>
      <c r="F18" s="807" t="str">
        <f>IF(OR($D$3="",$L$3=""),"",IF('Statement of Marks'!G17="","",'Statement of Marks'!G17))</f>
        <v/>
      </c>
      <c r="G18" s="807" t="str">
        <f>IF(OR($D$3="",$L$3=""),"",IF('Statement of Marks'!H17="","",'Statement of Marks'!H17))</f>
        <v/>
      </c>
      <c r="H18" s="808" t="str">
        <f>IF(OR($D$3="",$L$3=""),"",IF('Statement of Marks'!I17="","",'Statement of Marks'!I17))</f>
        <v>SC</v>
      </c>
      <c r="I18" s="808" t="str">
        <f>IF(OR($D$3="",$L$3=""),"",IF('Statement of Marks'!J17="","",'Statement of Marks'!J17))</f>
        <v>M</v>
      </c>
      <c r="J18" s="809">
        <f>IFERROR(IF($L$3=$AJ$8,'Statement of Marks'!K17,IF($L$3=$AJ$9,'Statement of Marks'!Y17,IF($L$3=$AJ$10,'Statement of Marks'!AN17,IF($L$3=$AJ$11,'Statement of Marks'!BB17,IF($L$3=$AJ$12,'Statement of Marks'!BP17,IF($L$3=$AJ$13,'Statement of Marks'!CE17,IF($L$3=$AJ$14,'Statement of Marks'!CT17,IF($L$3=$AJ$15,'Statement of Marks'!DZ17,IF($L$3=$AJ$16,'Statement of Marks'!EL17,IF($L$3=$AJ$17,('Statement of Marks'!FB17+'Statement of Marks'!FC17),"")))))))))),"")</f>
        <v>8</v>
      </c>
      <c r="K18" s="809">
        <f>IFERROR(IF($L$3=$AJ$8,'Statement of Marks'!L17,IF($L$3=$AJ$9,'Statement of Marks'!Z17,IF($L$3=$AJ$10,'Statement of Marks'!AO17,IF($L$3=$AJ$11,'Statement of Marks'!BC17,IF($L$3=$AJ$12,'Statement of Marks'!BQ17,IF($L$3=$AJ$13,'Statement of Marks'!CF17,IF($L$3=$AJ$14,'Statement of Marks'!CU17,IF($L$3=$AJ$15,'Statement of Marks'!EA17,IF($L$3=$AJ$16,'Statement of Marks'!EM17,IF($L$3=$AJ$17,('Statement of Marks'!FD17+'Statement of Marks'!FE17),"")))))))))),"")</f>
        <v>9</v>
      </c>
      <c r="L18" s="809">
        <f>IFERROR(IF($L$3=$AJ$8,'Statement of Marks'!M17,IF($L$3=$AJ$9,'Statement of Marks'!AA17,IF($L$3=$AJ$10,'Statement of Marks'!AP17,IF($L$3=$AJ$11,'Statement of Marks'!BD17,IF($L$3=$AJ$12,'Statement of Marks'!BR17,IF($L$3=$AJ$13,'Statement of Marks'!CG17,IF($L$3=$AJ$14,'Statement of Marks'!CV17,IF($L$3=$AJ$15,'Statement of Marks'!EB17,IF($L$3=$AJ$16,'Statement of Marks'!EN17,IF($L$3=$AJ$17,('Statement of Marks'!FF17+'Statement of Marks'!FG17),"")))))))))),"")</f>
        <v>9</v>
      </c>
      <c r="M18" s="810">
        <f t="shared" si="0"/>
        <v>26</v>
      </c>
      <c r="N18" s="809">
        <f>IFERROR(IF($L$3=$AJ$8,'Statement of Marks'!O17,IF($L$3=$AJ$9,'Statement of Marks'!AC17,IF($L$3=$AJ$10,'Statement of Marks'!AR17,IF($L$3=$AJ$11,'Statement of Marks'!BF17,IF($L$3=$AJ$12,'Statement of Marks'!BT17,IF($L$3=$AJ$13,'Statement of Marks'!CI17,IF($L$3=$AJ$14,('Statement of Marks'!CX17+'Statement of Marks'!CY17),IF($L$3=$AJ$15,'Statement of Marks'!ED17,IF($L$3=$AJ$16,('Statement of Marks'!EP17+'Statement of Marks'!EQ17),IF($L$3=$AJ$17,('Statement of Marks'!FI17+'Statement of Marks'!FJ17),IF($L$3=$AJ$18,'Statement of Marks'!FU17,IF($L$3=$AJ$19,'Statement of Marks'!GC17,"")))))))))))),"")</f>
        <v>60</v>
      </c>
      <c r="O18" s="811">
        <f>IF($L$3=$AJ$18,'Statement of Marks'!FV17,IF($L$3=$AJ$19,'Statement of Marks'!GD17,IF(AND(M18="NA",N18="NA"),"NA",IF(AND(M18="",N18=""),"",SUM(M18,N18)))))</f>
        <v>86</v>
      </c>
      <c r="P18" s="809">
        <f>IFERROR(IF($L$3=$AJ$8,'Statement of Marks'!Q17,IF($L$3=$AJ$9,'Statement of Marks'!AE17,IF($L$3=$AJ$10,'Statement of Marks'!AT17,IF($L$3=$AJ$11,'Statement of Marks'!BH17,IF($L$3=$AJ$12,'Statement of Marks'!BV17,IF($L$3=$AJ$13,'Statement of Marks'!CK17,IF($L$3=$AJ$14,('Statement of Marks'!DB17+'Statement of Marks'!DC17),IF($L$3=$AJ$15,'Statement of Marks'!EF17,IF($L$3=$AJ$16,('Statement of Marks'!ET17+'Statement of Marks'!EU17),IF($L$3=$AJ$17,('Statement of Marks'!FM17+'Statement of Marks'!FN17),IF($L$3=$AJ$18,'Statement of Marks'!FW17,IF($L$3=$AJ$19,'Statement of Marks'!GE17,"")))))))))))),"")</f>
        <v>85</v>
      </c>
      <c r="Q18" s="812">
        <f t="shared" si="3"/>
        <v>171</v>
      </c>
      <c r="R18" s="813">
        <f t="shared" si="1"/>
        <v>0</v>
      </c>
      <c r="S18" s="813">
        <f t="shared" si="4"/>
        <v>200</v>
      </c>
      <c r="T18" s="813" t="str">
        <f t="shared" si="5"/>
        <v/>
      </c>
      <c r="U18" s="814" t="str">
        <f t="shared" si="6"/>
        <v>P</v>
      </c>
      <c r="V18" s="815" t="str">
        <f t="shared" si="7"/>
        <v>I</v>
      </c>
      <c r="W18" s="816" t="str">
        <f t="shared" si="2"/>
        <v>A</v>
      </c>
      <c r="AJ18" s="6" t="str">
        <f>'Statement of Marks'!FU3</f>
        <v>समाजोपयोगी उत्पादन कार्य एवं समाज सेवा</v>
      </c>
    </row>
    <row r="19" spans="1:36">
      <c r="A19" s="803">
        <f>IF('Statement of Marks'!A18="","",'Statement of Marks'!A18)</f>
        <v>12</v>
      </c>
      <c r="B19" s="804">
        <f>IF(OR($D$3="",$L$3=""),"",IF('Statement of Marks'!B18="","",'Statement of Marks'!B18))</f>
        <v>912</v>
      </c>
      <c r="C19" s="805" t="str">
        <f>IF(OR($D$3="",$L$3=""),"",IF('Statement of Marks'!D18="","",'Statement of Marks'!D18))</f>
        <v/>
      </c>
      <c r="D19" s="806" t="str">
        <f>IF(OR($D$3="",$L$3=""),"",IF('Statement of Marks'!E18="","",'Statement of Marks'!E18))</f>
        <v/>
      </c>
      <c r="E19" s="807" t="str">
        <f>IF(OR($D$3="",$L$3=""),"",IF('Statement of Marks'!F18="","",'Statement of Marks'!F18))</f>
        <v>JAY</v>
      </c>
      <c r="F19" s="807" t="str">
        <f>IF(OR($D$3="",$L$3=""),"",IF('Statement of Marks'!G18="","",'Statement of Marks'!G18))</f>
        <v/>
      </c>
      <c r="G19" s="807" t="str">
        <f>IF(OR($D$3="",$L$3=""),"",IF('Statement of Marks'!H18="","",'Statement of Marks'!H18))</f>
        <v/>
      </c>
      <c r="H19" s="808" t="str">
        <f>IF(OR($D$3="",$L$3=""),"",IF('Statement of Marks'!I18="","",'Statement of Marks'!I18))</f>
        <v/>
      </c>
      <c r="I19" s="808" t="str">
        <f>IF(OR($D$3="",$L$3=""),"",IF('Statement of Marks'!J18="","",'Statement of Marks'!J18))</f>
        <v/>
      </c>
      <c r="J19" s="809">
        <f>IFERROR(IF($L$3=$AJ$8,'Statement of Marks'!K18,IF($L$3=$AJ$9,'Statement of Marks'!Y18,IF($L$3=$AJ$10,'Statement of Marks'!AN18,IF($L$3=$AJ$11,'Statement of Marks'!BB18,IF($L$3=$AJ$12,'Statement of Marks'!BP18,IF($L$3=$AJ$13,'Statement of Marks'!CE18,IF($L$3=$AJ$14,'Statement of Marks'!CT18,IF($L$3=$AJ$15,'Statement of Marks'!DZ18,IF($L$3=$AJ$16,'Statement of Marks'!EL18,IF($L$3=$AJ$17,('Statement of Marks'!FB18+'Statement of Marks'!FC18),"")))))))))),"")</f>
        <v>8</v>
      </c>
      <c r="K19" s="809">
        <f>IFERROR(IF($L$3=$AJ$8,'Statement of Marks'!L18,IF($L$3=$AJ$9,'Statement of Marks'!Z18,IF($L$3=$AJ$10,'Statement of Marks'!AO18,IF($L$3=$AJ$11,'Statement of Marks'!BC18,IF($L$3=$AJ$12,'Statement of Marks'!BQ18,IF($L$3=$AJ$13,'Statement of Marks'!CF18,IF($L$3=$AJ$14,'Statement of Marks'!CU18,IF($L$3=$AJ$15,'Statement of Marks'!EA18,IF($L$3=$AJ$16,'Statement of Marks'!EM18,IF($L$3=$AJ$17,('Statement of Marks'!FD18+'Statement of Marks'!FE18),"")))))))))),"")</f>
        <v>9</v>
      </c>
      <c r="L19" s="809">
        <f>IFERROR(IF($L$3=$AJ$8,'Statement of Marks'!M18,IF($L$3=$AJ$9,'Statement of Marks'!AA18,IF($L$3=$AJ$10,'Statement of Marks'!AP18,IF($L$3=$AJ$11,'Statement of Marks'!BD18,IF($L$3=$AJ$12,'Statement of Marks'!BR18,IF($L$3=$AJ$13,'Statement of Marks'!CG18,IF($L$3=$AJ$14,'Statement of Marks'!CV18,IF($L$3=$AJ$15,'Statement of Marks'!EB18,IF($L$3=$AJ$16,'Statement of Marks'!EN18,IF($L$3=$AJ$17,('Statement of Marks'!FF18+'Statement of Marks'!FG18),"")))))))))),"")</f>
        <v>9</v>
      </c>
      <c r="M19" s="810">
        <f t="shared" si="0"/>
        <v>26</v>
      </c>
      <c r="N19" s="809">
        <f>IFERROR(IF($L$3=$AJ$8,'Statement of Marks'!O18,IF($L$3=$AJ$9,'Statement of Marks'!AC18,IF($L$3=$AJ$10,'Statement of Marks'!AR18,IF($L$3=$AJ$11,'Statement of Marks'!BF18,IF($L$3=$AJ$12,'Statement of Marks'!BT18,IF($L$3=$AJ$13,'Statement of Marks'!CI18,IF($L$3=$AJ$14,('Statement of Marks'!CX18+'Statement of Marks'!CY18),IF($L$3=$AJ$15,'Statement of Marks'!ED18,IF($L$3=$AJ$16,('Statement of Marks'!EP18+'Statement of Marks'!EQ18),IF($L$3=$AJ$17,('Statement of Marks'!FI18+'Statement of Marks'!FJ18),IF($L$3=$AJ$18,'Statement of Marks'!FU18,IF($L$3=$AJ$19,'Statement of Marks'!GC18,"")))))))))))),"")</f>
        <v>60</v>
      </c>
      <c r="O19" s="811">
        <f>IF($L$3=$AJ$18,'Statement of Marks'!FV18,IF($L$3=$AJ$19,'Statement of Marks'!GD18,IF(AND(M19="NA",N19="NA"),"NA",IF(AND(M19="",N19=""),"",SUM(M19,N19)))))</f>
        <v>86</v>
      </c>
      <c r="P19" s="809">
        <f>IFERROR(IF($L$3=$AJ$8,'Statement of Marks'!Q18,IF($L$3=$AJ$9,'Statement of Marks'!AE18,IF($L$3=$AJ$10,'Statement of Marks'!AT18,IF($L$3=$AJ$11,'Statement of Marks'!BH18,IF($L$3=$AJ$12,'Statement of Marks'!BV18,IF($L$3=$AJ$13,'Statement of Marks'!CK18,IF($L$3=$AJ$14,('Statement of Marks'!DB18+'Statement of Marks'!DC18),IF($L$3=$AJ$15,'Statement of Marks'!EF18,IF($L$3=$AJ$16,('Statement of Marks'!ET18+'Statement of Marks'!EU18),IF($L$3=$AJ$17,('Statement of Marks'!FM18+'Statement of Marks'!FN18),IF($L$3=$AJ$18,'Statement of Marks'!FW18,IF($L$3=$AJ$19,'Statement of Marks'!GE18,"")))))))))))),"")</f>
        <v>85</v>
      </c>
      <c r="Q19" s="812">
        <f t="shared" si="3"/>
        <v>171</v>
      </c>
      <c r="R19" s="813">
        <f t="shared" si="1"/>
        <v>0</v>
      </c>
      <c r="S19" s="813">
        <f t="shared" si="4"/>
        <v>200</v>
      </c>
      <c r="T19" s="813" t="str">
        <f t="shared" si="5"/>
        <v/>
      </c>
      <c r="U19" s="814" t="str">
        <f t="shared" si="6"/>
        <v>P</v>
      </c>
      <c r="V19" s="815" t="str">
        <f t="shared" si="7"/>
        <v>I</v>
      </c>
      <c r="W19" s="816" t="str">
        <f t="shared" si="2"/>
        <v>A</v>
      </c>
      <c r="AJ19" s="6" t="str">
        <f>'Statement of Marks'!GC3</f>
        <v>कला शिक्षा</v>
      </c>
    </row>
    <row r="20" spans="1:36">
      <c r="A20" s="803">
        <f>IF('Statement of Marks'!A19="","",'Statement of Marks'!A19)</f>
        <v>13</v>
      </c>
      <c r="B20" s="804">
        <f>IF(OR($D$3="",$L$3=""),"",IF('Statement of Marks'!B19="","",'Statement of Marks'!B19))</f>
        <v>913</v>
      </c>
      <c r="C20" s="805" t="str">
        <f>IF(OR($D$3="",$L$3=""),"",IF('Statement of Marks'!D19="","",'Statement of Marks'!D19))</f>
        <v/>
      </c>
      <c r="D20" s="806" t="str">
        <f>IF(OR($D$3="",$L$3=""),"",IF('Statement of Marks'!E19="","",'Statement of Marks'!E19))</f>
        <v/>
      </c>
      <c r="E20" s="807" t="str">
        <f>IF(OR($D$3="",$L$3=""),"",IF('Statement of Marks'!F19="","",'Statement of Marks'!F19))</f>
        <v>VIRU</v>
      </c>
      <c r="F20" s="807" t="str">
        <f>IF(OR($D$3="",$L$3=""),"",IF('Statement of Marks'!G19="","",'Statement of Marks'!G19))</f>
        <v/>
      </c>
      <c r="G20" s="807" t="str">
        <f>IF(OR($D$3="",$L$3=""),"",IF('Statement of Marks'!H19="","",'Statement of Marks'!H19))</f>
        <v/>
      </c>
      <c r="H20" s="808" t="str">
        <f>IF(OR($D$3="",$L$3=""),"",IF('Statement of Marks'!I19="","",'Statement of Marks'!I19))</f>
        <v/>
      </c>
      <c r="I20" s="808" t="str">
        <f>IF(OR($D$3="",$L$3=""),"",IF('Statement of Marks'!J19="","",'Statement of Marks'!J19))</f>
        <v/>
      </c>
      <c r="J20" s="809">
        <f>IFERROR(IF($L$3=$AJ$8,'Statement of Marks'!K19,IF($L$3=$AJ$9,'Statement of Marks'!Y19,IF($L$3=$AJ$10,'Statement of Marks'!AN19,IF($L$3=$AJ$11,'Statement of Marks'!BB19,IF($L$3=$AJ$12,'Statement of Marks'!BP19,IF($L$3=$AJ$13,'Statement of Marks'!CE19,IF($L$3=$AJ$14,'Statement of Marks'!CT19,IF($L$3=$AJ$15,'Statement of Marks'!DZ19,IF($L$3=$AJ$16,'Statement of Marks'!EL19,IF($L$3=$AJ$17,('Statement of Marks'!FB19+'Statement of Marks'!FC19),"")))))))))),"")</f>
        <v>8</v>
      </c>
      <c r="K20" s="809">
        <f>IFERROR(IF($L$3=$AJ$8,'Statement of Marks'!L19,IF($L$3=$AJ$9,'Statement of Marks'!Z19,IF($L$3=$AJ$10,'Statement of Marks'!AO19,IF($L$3=$AJ$11,'Statement of Marks'!BC19,IF($L$3=$AJ$12,'Statement of Marks'!BQ19,IF($L$3=$AJ$13,'Statement of Marks'!CF19,IF($L$3=$AJ$14,'Statement of Marks'!CU19,IF($L$3=$AJ$15,'Statement of Marks'!EA19,IF($L$3=$AJ$16,'Statement of Marks'!EM19,IF($L$3=$AJ$17,('Statement of Marks'!FD19+'Statement of Marks'!FE19),"")))))))))),"")</f>
        <v>9</v>
      </c>
      <c r="L20" s="809">
        <f>IFERROR(IF($L$3=$AJ$8,'Statement of Marks'!M19,IF($L$3=$AJ$9,'Statement of Marks'!AA19,IF($L$3=$AJ$10,'Statement of Marks'!AP19,IF($L$3=$AJ$11,'Statement of Marks'!BD19,IF($L$3=$AJ$12,'Statement of Marks'!BR19,IF($L$3=$AJ$13,'Statement of Marks'!CG19,IF($L$3=$AJ$14,'Statement of Marks'!CV19,IF($L$3=$AJ$15,'Statement of Marks'!EB19,IF($L$3=$AJ$16,'Statement of Marks'!EN19,IF($L$3=$AJ$17,('Statement of Marks'!FF19+'Statement of Marks'!FG19),"")))))))))),"")</f>
        <v>9</v>
      </c>
      <c r="M20" s="810">
        <f t="shared" si="0"/>
        <v>26</v>
      </c>
      <c r="N20" s="809">
        <f>IFERROR(IF($L$3=$AJ$8,'Statement of Marks'!O19,IF($L$3=$AJ$9,'Statement of Marks'!AC19,IF($L$3=$AJ$10,'Statement of Marks'!AR19,IF($L$3=$AJ$11,'Statement of Marks'!BF19,IF($L$3=$AJ$12,'Statement of Marks'!BT19,IF($L$3=$AJ$13,'Statement of Marks'!CI19,IF($L$3=$AJ$14,('Statement of Marks'!CX19+'Statement of Marks'!CY19),IF($L$3=$AJ$15,'Statement of Marks'!ED19,IF($L$3=$AJ$16,('Statement of Marks'!EP19+'Statement of Marks'!EQ19),IF($L$3=$AJ$17,('Statement of Marks'!FI19+'Statement of Marks'!FJ19),IF($L$3=$AJ$18,'Statement of Marks'!FU19,IF($L$3=$AJ$19,'Statement of Marks'!GC19,"")))))))))))),"")</f>
        <v>60</v>
      </c>
      <c r="O20" s="811">
        <f>IF($L$3=$AJ$18,'Statement of Marks'!FV19,IF($L$3=$AJ$19,'Statement of Marks'!GD19,IF(AND(M20="NA",N20="NA"),"NA",IF(AND(M20="",N20=""),"",SUM(M20,N20)))))</f>
        <v>86</v>
      </c>
      <c r="P20" s="809">
        <f>IFERROR(IF($L$3=$AJ$8,'Statement of Marks'!Q19,IF($L$3=$AJ$9,'Statement of Marks'!AE19,IF($L$3=$AJ$10,'Statement of Marks'!AT19,IF($L$3=$AJ$11,'Statement of Marks'!BH19,IF($L$3=$AJ$12,'Statement of Marks'!BV19,IF($L$3=$AJ$13,'Statement of Marks'!CK19,IF($L$3=$AJ$14,('Statement of Marks'!DB19+'Statement of Marks'!DC19),IF($L$3=$AJ$15,'Statement of Marks'!EF19,IF($L$3=$AJ$16,('Statement of Marks'!ET19+'Statement of Marks'!EU19),IF($L$3=$AJ$17,('Statement of Marks'!FM19+'Statement of Marks'!FN19),IF($L$3=$AJ$18,'Statement of Marks'!FW19,IF($L$3=$AJ$19,'Statement of Marks'!GE19,"")))))))))))),"")</f>
        <v>85</v>
      </c>
      <c r="Q20" s="812">
        <f t="shared" si="3"/>
        <v>171</v>
      </c>
      <c r="R20" s="813">
        <f t="shared" si="1"/>
        <v>0</v>
      </c>
      <c r="S20" s="813">
        <f t="shared" si="4"/>
        <v>200</v>
      </c>
      <c r="T20" s="813" t="str">
        <f t="shared" si="5"/>
        <v/>
      </c>
      <c r="U20" s="814" t="str">
        <f t="shared" si="6"/>
        <v>P</v>
      </c>
      <c r="V20" s="815" t="str">
        <f t="shared" si="7"/>
        <v>I</v>
      </c>
      <c r="W20" s="816" t="str">
        <f t="shared" si="2"/>
        <v>A</v>
      </c>
    </row>
    <row r="21" spans="1:36">
      <c r="A21" s="803">
        <f>IF('Statement of Marks'!A20="","",'Statement of Marks'!A20)</f>
        <v>14</v>
      </c>
      <c r="B21" s="804">
        <f>IF(OR($D$3="",$L$3=""),"",IF('Statement of Marks'!B20="","",'Statement of Marks'!B20))</f>
        <v>914</v>
      </c>
      <c r="C21" s="805" t="str">
        <f>IF(OR($D$3="",$L$3=""),"",IF('Statement of Marks'!D20="","",'Statement of Marks'!D20))</f>
        <v/>
      </c>
      <c r="D21" s="806" t="str">
        <f>IF(OR($D$3="",$L$3=""),"",IF('Statement of Marks'!E20="","",'Statement of Marks'!E20))</f>
        <v/>
      </c>
      <c r="E21" s="807" t="str">
        <f>IF(OR($D$3="",$L$3=""),"",IF('Statement of Marks'!F20="","",'Statement of Marks'!F20))</f>
        <v>ANIL</v>
      </c>
      <c r="F21" s="807" t="str">
        <f>IF(OR($D$3="",$L$3=""),"",IF('Statement of Marks'!G20="","",'Statement of Marks'!G20))</f>
        <v/>
      </c>
      <c r="G21" s="807" t="str">
        <f>IF(OR($D$3="",$L$3=""),"",IF('Statement of Marks'!H20="","",'Statement of Marks'!H20))</f>
        <v/>
      </c>
      <c r="H21" s="808" t="str">
        <f>IF(OR($D$3="",$L$3=""),"",IF('Statement of Marks'!I20="","",'Statement of Marks'!I20))</f>
        <v/>
      </c>
      <c r="I21" s="808" t="str">
        <f>IF(OR($D$3="",$L$3=""),"",IF('Statement of Marks'!J20="","",'Statement of Marks'!J20))</f>
        <v/>
      </c>
      <c r="J21" s="809">
        <f>IFERROR(IF($L$3=$AJ$8,'Statement of Marks'!K20,IF($L$3=$AJ$9,'Statement of Marks'!Y20,IF($L$3=$AJ$10,'Statement of Marks'!AN20,IF($L$3=$AJ$11,'Statement of Marks'!BB20,IF($L$3=$AJ$12,'Statement of Marks'!BP20,IF($L$3=$AJ$13,'Statement of Marks'!CE20,IF($L$3=$AJ$14,'Statement of Marks'!CT20,IF($L$3=$AJ$15,'Statement of Marks'!DZ20,IF($L$3=$AJ$16,'Statement of Marks'!EL20,IF($L$3=$AJ$17,('Statement of Marks'!FB20+'Statement of Marks'!FC20),"")))))))))),"")</f>
        <v>8</v>
      </c>
      <c r="K21" s="809">
        <f>IFERROR(IF($L$3=$AJ$8,'Statement of Marks'!L20,IF($L$3=$AJ$9,'Statement of Marks'!Z20,IF($L$3=$AJ$10,'Statement of Marks'!AO20,IF($L$3=$AJ$11,'Statement of Marks'!BC20,IF($L$3=$AJ$12,'Statement of Marks'!BQ20,IF($L$3=$AJ$13,'Statement of Marks'!CF20,IF($L$3=$AJ$14,'Statement of Marks'!CU20,IF($L$3=$AJ$15,'Statement of Marks'!EA20,IF($L$3=$AJ$16,'Statement of Marks'!EM20,IF($L$3=$AJ$17,('Statement of Marks'!FD20+'Statement of Marks'!FE20),"")))))))))),"")</f>
        <v>9</v>
      </c>
      <c r="L21" s="809">
        <f>IFERROR(IF($L$3=$AJ$8,'Statement of Marks'!M20,IF($L$3=$AJ$9,'Statement of Marks'!AA20,IF($L$3=$AJ$10,'Statement of Marks'!AP20,IF($L$3=$AJ$11,'Statement of Marks'!BD20,IF($L$3=$AJ$12,'Statement of Marks'!BR20,IF($L$3=$AJ$13,'Statement of Marks'!CG20,IF($L$3=$AJ$14,'Statement of Marks'!CV20,IF($L$3=$AJ$15,'Statement of Marks'!EB20,IF($L$3=$AJ$16,'Statement of Marks'!EN20,IF($L$3=$AJ$17,('Statement of Marks'!FF20+'Statement of Marks'!FG20),"")))))))))),"")</f>
        <v>8</v>
      </c>
      <c r="M21" s="810">
        <f t="shared" si="0"/>
        <v>25</v>
      </c>
      <c r="N21" s="809">
        <f>IFERROR(IF($L$3=$AJ$8,'Statement of Marks'!O20,IF($L$3=$AJ$9,'Statement of Marks'!AC20,IF($L$3=$AJ$10,'Statement of Marks'!AR20,IF($L$3=$AJ$11,'Statement of Marks'!BF20,IF($L$3=$AJ$12,'Statement of Marks'!BT20,IF($L$3=$AJ$13,'Statement of Marks'!CI20,IF($L$3=$AJ$14,('Statement of Marks'!CX20+'Statement of Marks'!CY20),IF($L$3=$AJ$15,'Statement of Marks'!ED20,IF($L$3=$AJ$16,('Statement of Marks'!EP20+'Statement of Marks'!EQ20),IF($L$3=$AJ$17,('Statement of Marks'!FI20+'Statement of Marks'!FJ20),IF($L$3=$AJ$18,'Statement of Marks'!FU20,IF($L$3=$AJ$19,'Statement of Marks'!GC20,"")))))))))))),"")</f>
        <v>60</v>
      </c>
      <c r="O21" s="811">
        <f>IF($L$3=$AJ$18,'Statement of Marks'!FV20,IF($L$3=$AJ$19,'Statement of Marks'!GD20,IF(AND(M21="NA",N21="NA"),"NA",IF(AND(M21="",N21=""),"",SUM(M21,N21)))))</f>
        <v>85</v>
      </c>
      <c r="P21" s="809">
        <f>IFERROR(IF($L$3=$AJ$8,'Statement of Marks'!Q20,IF($L$3=$AJ$9,'Statement of Marks'!AE20,IF($L$3=$AJ$10,'Statement of Marks'!AT20,IF($L$3=$AJ$11,'Statement of Marks'!BH20,IF($L$3=$AJ$12,'Statement of Marks'!BV20,IF($L$3=$AJ$13,'Statement of Marks'!CK20,IF($L$3=$AJ$14,('Statement of Marks'!DB20+'Statement of Marks'!DC20),IF($L$3=$AJ$15,'Statement of Marks'!EF20,IF($L$3=$AJ$16,('Statement of Marks'!ET20+'Statement of Marks'!EU20),IF($L$3=$AJ$17,('Statement of Marks'!FM20+'Statement of Marks'!FN20),IF($L$3=$AJ$18,'Statement of Marks'!FW20,IF($L$3=$AJ$19,'Statement of Marks'!GE20,"")))))))))))),"")</f>
        <v>85</v>
      </c>
      <c r="Q21" s="812">
        <f t="shared" si="3"/>
        <v>170</v>
      </c>
      <c r="R21" s="813">
        <f t="shared" si="1"/>
        <v>0</v>
      </c>
      <c r="S21" s="813">
        <f t="shared" si="4"/>
        <v>200</v>
      </c>
      <c r="T21" s="813" t="str">
        <f t="shared" si="5"/>
        <v/>
      </c>
      <c r="U21" s="814" t="str">
        <f t="shared" si="6"/>
        <v>P</v>
      </c>
      <c r="V21" s="815" t="str">
        <f t="shared" si="7"/>
        <v>I</v>
      </c>
      <c r="W21" s="816" t="str">
        <f t="shared" si="2"/>
        <v>B</v>
      </c>
    </row>
    <row r="22" spans="1:36">
      <c r="A22" s="803">
        <f>IF('Statement of Marks'!A21="","",'Statement of Marks'!A21)</f>
        <v>15</v>
      </c>
      <c r="B22" s="804">
        <f>IF(OR($D$3="",$L$3=""),"",IF('Statement of Marks'!B21="","",'Statement of Marks'!B21))</f>
        <v>915</v>
      </c>
      <c r="C22" s="805" t="str">
        <f>IF(OR($D$3="",$L$3=""),"",IF('Statement of Marks'!D21="","",'Statement of Marks'!D21))</f>
        <v/>
      </c>
      <c r="D22" s="806" t="str">
        <f>IF(OR($D$3="",$L$3=""),"",IF('Statement of Marks'!E21="","",'Statement of Marks'!E21))</f>
        <v/>
      </c>
      <c r="E22" s="807" t="str">
        <f>IF(OR($D$3="",$L$3=""),"",IF('Statement of Marks'!F21="","",'Statement of Marks'!F21))</f>
        <v>RAHIM</v>
      </c>
      <c r="F22" s="807" t="str">
        <f>IF(OR($D$3="",$L$3=""),"",IF('Statement of Marks'!G21="","",'Statement of Marks'!G21))</f>
        <v/>
      </c>
      <c r="G22" s="807" t="str">
        <f>IF(OR($D$3="",$L$3=""),"",IF('Statement of Marks'!H21="","",'Statement of Marks'!H21))</f>
        <v/>
      </c>
      <c r="H22" s="808" t="str">
        <f>IF(OR($D$3="",$L$3=""),"",IF('Statement of Marks'!I21="","",'Statement of Marks'!I21))</f>
        <v/>
      </c>
      <c r="I22" s="808" t="str">
        <f>IF(OR($D$3="",$L$3=""),"",IF('Statement of Marks'!J21="","",'Statement of Marks'!J21))</f>
        <v/>
      </c>
      <c r="J22" s="809">
        <f>IFERROR(IF($L$3=$AJ$8,'Statement of Marks'!K21,IF($L$3=$AJ$9,'Statement of Marks'!Y21,IF($L$3=$AJ$10,'Statement of Marks'!AN21,IF($L$3=$AJ$11,'Statement of Marks'!BB21,IF($L$3=$AJ$12,'Statement of Marks'!BP21,IF($L$3=$AJ$13,'Statement of Marks'!CE21,IF($L$3=$AJ$14,'Statement of Marks'!CT21,IF($L$3=$AJ$15,'Statement of Marks'!DZ21,IF($L$3=$AJ$16,'Statement of Marks'!EL21,IF($L$3=$AJ$17,('Statement of Marks'!FB21+'Statement of Marks'!FC21),"")))))))))),"")</f>
        <v>8</v>
      </c>
      <c r="K22" s="809">
        <f>IFERROR(IF($L$3=$AJ$8,'Statement of Marks'!L21,IF($L$3=$AJ$9,'Statement of Marks'!Z21,IF($L$3=$AJ$10,'Statement of Marks'!AO21,IF($L$3=$AJ$11,'Statement of Marks'!BC21,IF($L$3=$AJ$12,'Statement of Marks'!BQ21,IF($L$3=$AJ$13,'Statement of Marks'!CF21,IF($L$3=$AJ$14,'Statement of Marks'!CU21,IF($L$3=$AJ$15,'Statement of Marks'!EA21,IF($L$3=$AJ$16,'Statement of Marks'!EM21,IF($L$3=$AJ$17,('Statement of Marks'!FD21+'Statement of Marks'!FE21),"")))))))))),"")</f>
        <v>9</v>
      </c>
      <c r="L22" s="809">
        <f>IFERROR(IF($L$3=$AJ$8,'Statement of Marks'!M21,IF($L$3=$AJ$9,'Statement of Marks'!AA21,IF($L$3=$AJ$10,'Statement of Marks'!AP21,IF($L$3=$AJ$11,'Statement of Marks'!BD21,IF($L$3=$AJ$12,'Statement of Marks'!BR21,IF($L$3=$AJ$13,'Statement of Marks'!CG21,IF($L$3=$AJ$14,'Statement of Marks'!CV21,IF($L$3=$AJ$15,'Statement of Marks'!EB21,IF($L$3=$AJ$16,'Statement of Marks'!EN21,IF($L$3=$AJ$17,('Statement of Marks'!FF21+'Statement of Marks'!FG21),"")))))))))),"")</f>
        <v>8</v>
      </c>
      <c r="M22" s="810">
        <f t="shared" si="0"/>
        <v>25</v>
      </c>
      <c r="N22" s="809">
        <f>IFERROR(IF($L$3=$AJ$8,'Statement of Marks'!O21,IF($L$3=$AJ$9,'Statement of Marks'!AC21,IF($L$3=$AJ$10,'Statement of Marks'!AR21,IF($L$3=$AJ$11,'Statement of Marks'!BF21,IF($L$3=$AJ$12,'Statement of Marks'!BT21,IF($L$3=$AJ$13,'Statement of Marks'!CI21,IF($L$3=$AJ$14,('Statement of Marks'!CX21+'Statement of Marks'!CY21),IF($L$3=$AJ$15,'Statement of Marks'!ED21,IF($L$3=$AJ$16,('Statement of Marks'!EP21+'Statement of Marks'!EQ21),IF($L$3=$AJ$17,('Statement of Marks'!FI21+'Statement of Marks'!FJ21),IF($L$3=$AJ$18,'Statement of Marks'!FU21,IF($L$3=$AJ$19,'Statement of Marks'!GC21,"")))))))))))),"")</f>
        <v>60</v>
      </c>
      <c r="O22" s="811">
        <f>IF($L$3=$AJ$18,'Statement of Marks'!FV21,IF($L$3=$AJ$19,'Statement of Marks'!GD21,IF(AND(M22="NA",N22="NA"),"NA",IF(AND(M22="",N22=""),"",SUM(M22,N22)))))</f>
        <v>85</v>
      </c>
      <c r="P22" s="809">
        <f>IFERROR(IF($L$3=$AJ$8,'Statement of Marks'!Q21,IF($L$3=$AJ$9,'Statement of Marks'!AE21,IF($L$3=$AJ$10,'Statement of Marks'!AT21,IF($L$3=$AJ$11,'Statement of Marks'!BH21,IF($L$3=$AJ$12,'Statement of Marks'!BV21,IF($L$3=$AJ$13,'Statement of Marks'!CK21,IF($L$3=$AJ$14,('Statement of Marks'!DB21+'Statement of Marks'!DC21),IF($L$3=$AJ$15,'Statement of Marks'!EF21,IF($L$3=$AJ$16,('Statement of Marks'!ET21+'Statement of Marks'!EU21),IF($L$3=$AJ$17,('Statement of Marks'!FM21+'Statement of Marks'!FN21),IF($L$3=$AJ$18,'Statement of Marks'!FW21,IF($L$3=$AJ$19,'Statement of Marks'!GE21,"")))))))))))),"")</f>
        <v>85</v>
      </c>
      <c r="Q22" s="812">
        <f t="shared" si="3"/>
        <v>170</v>
      </c>
      <c r="R22" s="813">
        <f t="shared" si="1"/>
        <v>0</v>
      </c>
      <c r="S22" s="813">
        <f t="shared" si="4"/>
        <v>200</v>
      </c>
      <c r="T22" s="813" t="str">
        <f t="shared" si="5"/>
        <v/>
      </c>
      <c r="U22" s="814" t="str">
        <f t="shared" si="6"/>
        <v>P</v>
      </c>
      <c r="V22" s="815" t="str">
        <f t="shared" si="7"/>
        <v>I</v>
      </c>
      <c r="W22" s="816" t="str">
        <f t="shared" si="2"/>
        <v>B</v>
      </c>
    </row>
    <row r="23" spans="1:36">
      <c r="A23" s="803">
        <f>IF('Statement of Marks'!A22="","",'Statement of Marks'!A22)</f>
        <v>16</v>
      </c>
      <c r="B23" s="804">
        <f>IF(OR($D$3="",$L$3=""),"",IF('Statement of Marks'!B22="","",'Statement of Marks'!B22))</f>
        <v>916</v>
      </c>
      <c r="C23" s="805" t="str">
        <f>IF(OR($D$3="",$L$3=""),"",IF('Statement of Marks'!D22="","",'Statement of Marks'!D22))</f>
        <v/>
      </c>
      <c r="D23" s="806" t="str">
        <f>IF(OR($D$3="",$L$3=""),"",IF('Statement of Marks'!E22="","",'Statement of Marks'!E22))</f>
        <v/>
      </c>
      <c r="E23" s="807" t="str">
        <f>IF(OR($D$3="",$L$3=""),"",IF('Statement of Marks'!F22="","",'Statement of Marks'!F22))</f>
        <v>KARIM</v>
      </c>
      <c r="F23" s="807" t="str">
        <f>IF(OR($D$3="",$L$3=""),"",IF('Statement of Marks'!G22="","",'Statement of Marks'!G22))</f>
        <v/>
      </c>
      <c r="G23" s="807" t="str">
        <f>IF(OR($D$3="",$L$3=""),"",IF('Statement of Marks'!H22="","",'Statement of Marks'!H22))</f>
        <v/>
      </c>
      <c r="H23" s="808" t="str">
        <f>IF(OR($D$3="",$L$3=""),"",IF('Statement of Marks'!I22="","",'Statement of Marks'!I22))</f>
        <v/>
      </c>
      <c r="I23" s="808" t="str">
        <f>IF(OR($D$3="",$L$3=""),"",IF('Statement of Marks'!J22="","",'Statement of Marks'!J22))</f>
        <v/>
      </c>
      <c r="J23" s="809">
        <f>IFERROR(IF($L$3=$AJ$8,'Statement of Marks'!K22,IF($L$3=$AJ$9,'Statement of Marks'!Y22,IF($L$3=$AJ$10,'Statement of Marks'!AN22,IF($L$3=$AJ$11,'Statement of Marks'!BB22,IF($L$3=$AJ$12,'Statement of Marks'!BP22,IF($L$3=$AJ$13,'Statement of Marks'!CE22,IF($L$3=$AJ$14,'Statement of Marks'!CT22,IF($L$3=$AJ$15,'Statement of Marks'!DZ22,IF($L$3=$AJ$16,'Statement of Marks'!EL22,IF($L$3=$AJ$17,('Statement of Marks'!FB22+'Statement of Marks'!FC22),"")))))))))),"")</f>
        <v>8</v>
      </c>
      <c r="K23" s="809">
        <f>IFERROR(IF($L$3=$AJ$8,'Statement of Marks'!L22,IF($L$3=$AJ$9,'Statement of Marks'!Z22,IF($L$3=$AJ$10,'Statement of Marks'!AO22,IF($L$3=$AJ$11,'Statement of Marks'!BC22,IF($L$3=$AJ$12,'Statement of Marks'!BQ22,IF($L$3=$AJ$13,'Statement of Marks'!CF22,IF($L$3=$AJ$14,'Statement of Marks'!CU22,IF($L$3=$AJ$15,'Statement of Marks'!EA22,IF($L$3=$AJ$16,'Statement of Marks'!EM22,IF($L$3=$AJ$17,('Statement of Marks'!FD22+'Statement of Marks'!FE22),"")))))))))),"")</f>
        <v>9</v>
      </c>
      <c r="L23" s="809">
        <f>IFERROR(IF($L$3=$AJ$8,'Statement of Marks'!M22,IF($L$3=$AJ$9,'Statement of Marks'!AA22,IF($L$3=$AJ$10,'Statement of Marks'!AP22,IF($L$3=$AJ$11,'Statement of Marks'!BD22,IF($L$3=$AJ$12,'Statement of Marks'!BR22,IF($L$3=$AJ$13,'Statement of Marks'!CG22,IF($L$3=$AJ$14,'Statement of Marks'!CV22,IF($L$3=$AJ$15,'Statement of Marks'!EB22,IF($L$3=$AJ$16,'Statement of Marks'!EN22,IF($L$3=$AJ$17,('Statement of Marks'!FF22+'Statement of Marks'!FG22),"")))))))))),"")</f>
        <v>8</v>
      </c>
      <c r="M23" s="810">
        <f t="shared" si="0"/>
        <v>25</v>
      </c>
      <c r="N23" s="809">
        <f>IFERROR(IF($L$3=$AJ$8,'Statement of Marks'!O22,IF($L$3=$AJ$9,'Statement of Marks'!AC22,IF($L$3=$AJ$10,'Statement of Marks'!AR22,IF($L$3=$AJ$11,'Statement of Marks'!BF22,IF($L$3=$AJ$12,'Statement of Marks'!BT22,IF($L$3=$AJ$13,'Statement of Marks'!CI22,IF($L$3=$AJ$14,('Statement of Marks'!CX22+'Statement of Marks'!CY22),IF($L$3=$AJ$15,'Statement of Marks'!ED22,IF($L$3=$AJ$16,('Statement of Marks'!EP22+'Statement of Marks'!EQ22),IF($L$3=$AJ$17,('Statement of Marks'!FI22+'Statement of Marks'!FJ22),IF($L$3=$AJ$18,'Statement of Marks'!FU22,IF($L$3=$AJ$19,'Statement of Marks'!GC22,"")))))))))))),"")</f>
        <v>60</v>
      </c>
      <c r="O23" s="811">
        <f>IF($L$3=$AJ$18,'Statement of Marks'!FV22,IF($L$3=$AJ$19,'Statement of Marks'!GD22,IF(AND(M23="NA",N23="NA"),"NA",IF(AND(M23="",N23=""),"",SUM(M23,N23)))))</f>
        <v>85</v>
      </c>
      <c r="P23" s="809">
        <f>IFERROR(IF($L$3=$AJ$8,'Statement of Marks'!Q22,IF($L$3=$AJ$9,'Statement of Marks'!AE22,IF($L$3=$AJ$10,'Statement of Marks'!AT22,IF($L$3=$AJ$11,'Statement of Marks'!BH22,IF($L$3=$AJ$12,'Statement of Marks'!BV22,IF($L$3=$AJ$13,'Statement of Marks'!CK22,IF($L$3=$AJ$14,('Statement of Marks'!DB22+'Statement of Marks'!DC22),IF($L$3=$AJ$15,'Statement of Marks'!EF22,IF($L$3=$AJ$16,('Statement of Marks'!ET22+'Statement of Marks'!EU22),IF($L$3=$AJ$17,('Statement of Marks'!FM22+'Statement of Marks'!FN22),IF($L$3=$AJ$18,'Statement of Marks'!FW22,IF($L$3=$AJ$19,'Statement of Marks'!GE22,"")))))))))))),"")</f>
        <v>85</v>
      </c>
      <c r="Q23" s="812">
        <f t="shared" si="3"/>
        <v>170</v>
      </c>
      <c r="R23" s="813">
        <f t="shared" si="1"/>
        <v>0</v>
      </c>
      <c r="S23" s="813">
        <f t="shared" si="4"/>
        <v>200</v>
      </c>
      <c r="T23" s="813" t="str">
        <f t="shared" si="5"/>
        <v/>
      </c>
      <c r="U23" s="814" t="str">
        <f t="shared" si="6"/>
        <v>P</v>
      </c>
      <c r="V23" s="815" t="str">
        <f t="shared" si="7"/>
        <v>I</v>
      </c>
      <c r="W23" s="816" t="str">
        <f t="shared" si="2"/>
        <v>B</v>
      </c>
    </row>
    <row r="24" spans="1:36">
      <c r="A24" s="803">
        <f>IF('Statement of Marks'!A23="","",'Statement of Marks'!A23)</f>
        <v>17</v>
      </c>
      <c r="B24" s="804">
        <f>IF(OR($D$3="",$L$3=""),"",IF('Statement of Marks'!B23="","",'Statement of Marks'!B23))</f>
        <v>917</v>
      </c>
      <c r="C24" s="805" t="str">
        <f>IF(OR($D$3="",$L$3=""),"",IF('Statement of Marks'!D23="","",'Statement of Marks'!D23))</f>
        <v/>
      </c>
      <c r="D24" s="806" t="str">
        <f>IF(OR($D$3="",$L$3=""),"",IF('Statement of Marks'!E23="","",'Statement of Marks'!E23))</f>
        <v/>
      </c>
      <c r="E24" s="807" t="str">
        <f>IF(OR($D$3="",$L$3=""),"",IF('Statement of Marks'!F23="","",'Statement of Marks'!F23))</f>
        <v>FATIMA</v>
      </c>
      <c r="F24" s="807" t="str">
        <f>IF(OR($D$3="",$L$3=""),"",IF('Statement of Marks'!G23="","",'Statement of Marks'!G23))</f>
        <v/>
      </c>
      <c r="G24" s="807" t="str">
        <f>IF(OR($D$3="",$L$3=""),"",IF('Statement of Marks'!H23="","",'Statement of Marks'!H23))</f>
        <v/>
      </c>
      <c r="H24" s="808" t="str">
        <f>IF(OR($D$3="",$L$3=""),"",IF('Statement of Marks'!I23="","",'Statement of Marks'!I23))</f>
        <v/>
      </c>
      <c r="I24" s="808" t="str">
        <f>IF(OR($D$3="",$L$3=""),"",IF('Statement of Marks'!J23="","",'Statement of Marks'!J23))</f>
        <v/>
      </c>
      <c r="J24" s="809">
        <f>IFERROR(IF($L$3=$AJ$8,'Statement of Marks'!K23,IF($L$3=$AJ$9,'Statement of Marks'!Y23,IF($L$3=$AJ$10,'Statement of Marks'!AN23,IF($L$3=$AJ$11,'Statement of Marks'!BB23,IF($L$3=$AJ$12,'Statement of Marks'!BP23,IF($L$3=$AJ$13,'Statement of Marks'!CE23,IF($L$3=$AJ$14,'Statement of Marks'!CT23,IF($L$3=$AJ$15,'Statement of Marks'!DZ23,IF($L$3=$AJ$16,'Statement of Marks'!EL23,IF($L$3=$AJ$17,('Statement of Marks'!FB23+'Statement of Marks'!FC23),"")))))))))),"")</f>
        <v>8</v>
      </c>
      <c r="K24" s="809">
        <f>IFERROR(IF($L$3=$AJ$8,'Statement of Marks'!L23,IF($L$3=$AJ$9,'Statement of Marks'!Z23,IF($L$3=$AJ$10,'Statement of Marks'!AO23,IF($L$3=$AJ$11,'Statement of Marks'!BC23,IF($L$3=$AJ$12,'Statement of Marks'!BQ23,IF($L$3=$AJ$13,'Statement of Marks'!CF23,IF($L$3=$AJ$14,'Statement of Marks'!CU23,IF($L$3=$AJ$15,'Statement of Marks'!EA23,IF($L$3=$AJ$16,'Statement of Marks'!EM23,IF($L$3=$AJ$17,('Statement of Marks'!FD23+'Statement of Marks'!FE23),"")))))))))),"")</f>
        <v>9</v>
      </c>
      <c r="L24" s="809">
        <f>IFERROR(IF($L$3=$AJ$8,'Statement of Marks'!M23,IF($L$3=$AJ$9,'Statement of Marks'!AA23,IF($L$3=$AJ$10,'Statement of Marks'!AP23,IF($L$3=$AJ$11,'Statement of Marks'!BD23,IF($L$3=$AJ$12,'Statement of Marks'!BR23,IF($L$3=$AJ$13,'Statement of Marks'!CG23,IF($L$3=$AJ$14,'Statement of Marks'!CV23,IF($L$3=$AJ$15,'Statement of Marks'!EB23,IF($L$3=$AJ$16,'Statement of Marks'!EN23,IF($L$3=$AJ$17,('Statement of Marks'!FF23+'Statement of Marks'!FG23),"")))))))))),"")</f>
        <v>8</v>
      </c>
      <c r="M24" s="810">
        <f t="shared" si="0"/>
        <v>25</v>
      </c>
      <c r="N24" s="809">
        <f>IFERROR(IF($L$3=$AJ$8,'Statement of Marks'!O23,IF($L$3=$AJ$9,'Statement of Marks'!AC23,IF($L$3=$AJ$10,'Statement of Marks'!AR23,IF($L$3=$AJ$11,'Statement of Marks'!BF23,IF($L$3=$AJ$12,'Statement of Marks'!BT23,IF($L$3=$AJ$13,'Statement of Marks'!CI23,IF($L$3=$AJ$14,('Statement of Marks'!CX23+'Statement of Marks'!CY23),IF($L$3=$AJ$15,'Statement of Marks'!ED23,IF($L$3=$AJ$16,('Statement of Marks'!EP23+'Statement of Marks'!EQ23),IF($L$3=$AJ$17,('Statement of Marks'!FI23+'Statement of Marks'!FJ23),IF($L$3=$AJ$18,'Statement of Marks'!FU23,IF($L$3=$AJ$19,'Statement of Marks'!GC23,"")))))))))))),"")</f>
        <v>60</v>
      </c>
      <c r="O24" s="811">
        <f>IF($L$3=$AJ$18,'Statement of Marks'!FV23,IF($L$3=$AJ$19,'Statement of Marks'!GD23,IF(AND(M24="NA",N24="NA"),"NA",IF(AND(M24="",N24=""),"",SUM(M24,N24)))))</f>
        <v>85</v>
      </c>
      <c r="P24" s="809">
        <f>IFERROR(IF($L$3=$AJ$8,'Statement of Marks'!Q23,IF($L$3=$AJ$9,'Statement of Marks'!AE23,IF($L$3=$AJ$10,'Statement of Marks'!AT23,IF($L$3=$AJ$11,'Statement of Marks'!BH23,IF($L$3=$AJ$12,'Statement of Marks'!BV23,IF($L$3=$AJ$13,'Statement of Marks'!CK23,IF($L$3=$AJ$14,('Statement of Marks'!DB23+'Statement of Marks'!DC23),IF($L$3=$AJ$15,'Statement of Marks'!EF23,IF($L$3=$AJ$16,('Statement of Marks'!ET23+'Statement of Marks'!EU23),IF($L$3=$AJ$17,('Statement of Marks'!FM23+'Statement of Marks'!FN23),IF($L$3=$AJ$18,'Statement of Marks'!FW23,IF($L$3=$AJ$19,'Statement of Marks'!GE23,"")))))))))))),"")</f>
        <v>85</v>
      </c>
      <c r="Q24" s="812">
        <f t="shared" si="3"/>
        <v>170</v>
      </c>
      <c r="R24" s="813">
        <f t="shared" si="1"/>
        <v>0</v>
      </c>
      <c r="S24" s="813">
        <f t="shared" si="4"/>
        <v>200</v>
      </c>
      <c r="T24" s="813" t="str">
        <f t="shared" si="5"/>
        <v/>
      </c>
      <c r="U24" s="814" t="str">
        <f t="shared" si="6"/>
        <v>P</v>
      </c>
      <c r="V24" s="815" t="str">
        <f t="shared" si="7"/>
        <v>I</v>
      </c>
      <c r="W24" s="816" t="str">
        <f t="shared" si="2"/>
        <v>B</v>
      </c>
    </row>
    <row r="25" spans="1:36">
      <c r="A25" s="803">
        <f>IF('Statement of Marks'!A24="","",'Statement of Marks'!A24)</f>
        <v>18</v>
      </c>
      <c r="B25" s="804">
        <f>IF(OR($D$3="",$L$3=""),"",IF('Statement of Marks'!B24="","",'Statement of Marks'!B24))</f>
        <v>918</v>
      </c>
      <c r="C25" s="805" t="str">
        <f>IF(OR($D$3="",$L$3=""),"",IF('Statement of Marks'!D24="","",'Statement of Marks'!D24))</f>
        <v/>
      </c>
      <c r="D25" s="806" t="str">
        <f>IF(OR($D$3="",$L$3=""),"",IF('Statement of Marks'!E24="","",'Statement of Marks'!E24))</f>
        <v/>
      </c>
      <c r="E25" s="807" t="str">
        <f>IF(OR($D$3="",$L$3=""),"",IF('Statement of Marks'!F24="","",'Statement of Marks'!F24))</f>
        <v>LAXMI</v>
      </c>
      <c r="F25" s="807" t="str">
        <f>IF(OR($D$3="",$L$3=""),"",IF('Statement of Marks'!G24="","",'Statement of Marks'!G24))</f>
        <v/>
      </c>
      <c r="G25" s="807" t="str">
        <f>IF(OR($D$3="",$L$3=""),"",IF('Statement of Marks'!H24="","",'Statement of Marks'!H24))</f>
        <v/>
      </c>
      <c r="H25" s="808" t="str">
        <f>IF(OR($D$3="",$L$3=""),"",IF('Statement of Marks'!I24="","",'Statement of Marks'!I24))</f>
        <v/>
      </c>
      <c r="I25" s="808" t="str">
        <f>IF(OR($D$3="",$L$3=""),"",IF('Statement of Marks'!J24="","",'Statement of Marks'!J24))</f>
        <v/>
      </c>
      <c r="J25" s="809">
        <f>IFERROR(IF($L$3=$AJ$8,'Statement of Marks'!K24,IF($L$3=$AJ$9,'Statement of Marks'!Y24,IF($L$3=$AJ$10,'Statement of Marks'!AN24,IF($L$3=$AJ$11,'Statement of Marks'!BB24,IF($L$3=$AJ$12,'Statement of Marks'!BP24,IF($L$3=$AJ$13,'Statement of Marks'!CE24,IF($L$3=$AJ$14,'Statement of Marks'!CT24,IF($L$3=$AJ$15,'Statement of Marks'!DZ24,IF($L$3=$AJ$16,'Statement of Marks'!EL24,IF($L$3=$AJ$17,('Statement of Marks'!FB24+'Statement of Marks'!FC24),"")))))))))),"")</f>
        <v>8</v>
      </c>
      <c r="K25" s="809">
        <f>IFERROR(IF($L$3=$AJ$8,'Statement of Marks'!L24,IF($L$3=$AJ$9,'Statement of Marks'!Z24,IF($L$3=$AJ$10,'Statement of Marks'!AO24,IF($L$3=$AJ$11,'Statement of Marks'!BC24,IF($L$3=$AJ$12,'Statement of Marks'!BQ24,IF($L$3=$AJ$13,'Statement of Marks'!CF24,IF($L$3=$AJ$14,'Statement of Marks'!CU24,IF($L$3=$AJ$15,'Statement of Marks'!EA24,IF($L$3=$AJ$16,'Statement of Marks'!EM24,IF($L$3=$AJ$17,('Statement of Marks'!FD24+'Statement of Marks'!FE24),"")))))))))),"")</f>
        <v>9</v>
      </c>
      <c r="L25" s="809">
        <f>IFERROR(IF($L$3=$AJ$8,'Statement of Marks'!M24,IF($L$3=$AJ$9,'Statement of Marks'!AA24,IF($L$3=$AJ$10,'Statement of Marks'!AP24,IF($L$3=$AJ$11,'Statement of Marks'!BD24,IF($L$3=$AJ$12,'Statement of Marks'!BR24,IF($L$3=$AJ$13,'Statement of Marks'!CG24,IF($L$3=$AJ$14,'Statement of Marks'!CV24,IF($L$3=$AJ$15,'Statement of Marks'!EB24,IF($L$3=$AJ$16,'Statement of Marks'!EN24,IF($L$3=$AJ$17,('Statement of Marks'!FF24+'Statement of Marks'!FG24),"")))))))))),"")</f>
        <v>8</v>
      </c>
      <c r="M25" s="810">
        <f t="shared" si="0"/>
        <v>25</v>
      </c>
      <c r="N25" s="809">
        <f>IFERROR(IF($L$3=$AJ$8,'Statement of Marks'!O24,IF($L$3=$AJ$9,'Statement of Marks'!AC24,IF($L$3=$AJ$10,'Statement of Marks'!AR24,IF($L$3=$AJ$11,'Statement of Marks'!BF24,IF($L$3=$AJ$12,'Statement of Marks'!BT24,IF($L$3=$AJ$13,'Statement of Marks'!CI24,IF($L$3=$AJ$14,('Statement of Marks'!CX24+'Statement of Marks'!CY24),IF($L$3=$AJ$15,'Statement of Marks'!ED24,IF($L$3=$AJ$16,('Statement of Marks'!EP24+'Statement of Marks'!EQ24),IF($L$3=$AJ$17,('Statement of Marks'!FI24+'Statement of Marks'!FJ24),IF($L$3=$AJ$18,'Statement of Marks'!FU24,IF($L$3=$AJ$19,'Statement of Marks'!GC24,"")))))))))))),"")</f>
        <v>60</v>
      </c>
      <c r="O25" s="811">
        <f>IF($L$3=$AJ$18,'Statement of Marks'!FV24,IF($L$3=$AJ$19,'Statement of Marks'!GD24,IF(AND(M25="NA",N25="NA"),"NA",IF(AND(M25="",N25=""),"",SUM(M25,N25)))))</f>
        <v>85</v>
      </c>
      <c r="P25" s="809">
        <f>IFERROR(IF($L$3=$AJ$8,'Statement of Marks'!Q24,IF($L$3=$AJ$9,'Statement of Marks'!AE24,IF($L$3=$AJ$10,'Statement of Marks'!AT24,IF($L$3=$AJ$11,'Statement of Marks'!BH24,IF($L$3=$AJ$12,'Statement of Marks'!BV24,IF($L$3=$AJ$13,'Statement of Marks'!CK24,IF($L$3=$AJ$14,('Statement of Marks'!DB24+'Statement of Marks'!DC24),IF($L$3=$AJ$15,'Statement of Marks'!EF24,IF($L$3=$AJ$16,('Statement of Marks'!ET24+'Statement of Marks'!EU24),IF($L$3=$AJ$17,('Statement of Marks'!FM24+'Statement of Marks'!FN24),IF($L$3=$AJ$18,'Statement of Marks'!FW24,IF($L$3=$AJ$19,'Statement of Marks'!GE24,"")))))))))))),"")</f>
        <v>85</v>
      </c>
      <c r="Q25" s="812">
        <f t="shared" si="3"/>
        <v>170</v>
      </c>
      <c r="R25" s="813">
        <f t="shared" si="1"/>
        <v>0</v>
      </c>
      <c r="S25" s="813">
        <f t="shared" si="4"/>
        <v>200</v>
      </c>
      <c r="T25" s="813" t="str">
        <f t="shared" si="5"/>
        <v/>
      </c>
      <c r="U25" s="814" t="str">
        <f t="shared" si="6"/>
        <v>P</v>
      </c>
      <c r="V25" s="815" t="str">
        <f t="shared" si="7"/>
        <v>I</v>
      </c>
      <c r="W25" s="816" t="str">
        <f t="shared" si="2"/>
        <v>B</v>
      </c>
    </row>
    <row r="26" spans="1:36">
      <c r="A26" s="803">
        <f>IF('Statement of Marks'!A25="","",'Statement of Marks'!A25)</f>
        <v>19</v>
      </c>
      <c r="B26" s="804">
        <f>IF(OR($D$3="",$L$3=""),"",IF('Statement of Marks'!B25="","",'Statement of Marks'!B25))</f>
        <v>919</v>
      </c>
      <c r="C26" s="805" t="str">
        <f>IF(OR($D$3="",$L$3=""),"",IF('Statement of Marks'!D25="","",'Statement of Marks'!D25))</f>
        <v/>
      </c>
      <c r="D26" s="806" t="str">
        <f>IF(OR($D$3="",$L$3=""),"",IF('Statement of Marks'!E25="","",'Statement of Marks'!E25))</f>
        <v/>
      </c>
      <c r="E26" s="807" t="str">
        <f>IF(OR($D$3="",$L$3=""),"",IF('Statement of Marks'!F25="","",'Statement of Marks'!F25))</f>
        <v>RAZA</v>
      </c>
      <c r="F26" s="807" t="str">
        <f>IF(OR($D$3="",$L$3=""),"",IF('Statement of Marks'!G25="","",'Statement of Marks'!G25))</f>
        <v/>
      </c>
      <c r="G26" s="807" t="str">
        <f>IF(OR($D$3="",$L$3=""),"",IF('Statement of Marks'!H25="","",'Statement of Marks'!H25))</f>
        <v/>
      </c>
      <c r="H26" s="808" t="str">
        <f>IF(OR($D$3="",$L$3=""),"",IF('Statement of Marks'!I25="","",'Statement of Marks'!I25))</f>
        <v/>
      </c>
      <c r="I26" s="808" t="str">
        <f>IF(OR($D$3="",$L$3=""),"",IF('Statement of Marks'!J25="","",'Statement of Marks'!J25))</f>
        <v/>
      </c>
      <c r="J26" s="809">
        <f>IFERROR(IF($L$3=$AJ$8,'Statement of Marks'!K25,IF($L$3=$AJ$9,'Statement of Marks'!Y25,IF($L$3=$AJ$10,'Statement of Marks'!AN25,IF($L$3=$AJ$11,'Statement of Marks'!BB25,IF($L$3=$AJ$12,'Statement of Marks'!BP25,IF($L$3=$AJ$13,'Statement of Marks'!CE25,IF($L$3=$AJ$14,'Statement of Marks'!CT25,IF($L$3=$AJ$15,'Statement of Marks'!DZ25,IF($L$3=$AJ$16,'Statement of Marks'!EL25,IF($L$3=$AJ$17,('Statement of Marks'!FB25+'Statement of Marks'!FC25),"")))))))))),"")</f>
        <v>8</v>
      </c>
      <c r="K26" s="809">
        <f>IFERROR(IF($L$3=$AJ$8,'Statement of Marks'!L25,IF($L$3=$AJ$9,'Statement of Marks'!Z25,IF($L$3=$AJ$10,'Statement of Marks'!AO25,IF($L$3=$AJ$11,'Statement of Marks'!BC25,IF($L$3=$AJ$12,'Statement of Marks'!BQ25,IF($L$3=$AJ$13,'Statement of Marks'!CF25,IF($L$3=$AJ$14,'Statement of Marks'!CU25,IF($L$3=$AJ$15,'Statement of Marks'!EA25,IF($L$3=$AJ$16,'Statement of Marks'!EM25,IF($L$3=$AJ$17,('Statement of Marks'!FD25+'Statement of Marks'!FE25),"")))))))))),"")</f>
        <v>9</v>
      </c>
      <c r="L26" s="809">
        <f>IFERROR(IF($L$3=$AJ$8,'Statement of Marks'!M25,IF($L$3=$AJ$9,'Statement of Marks'!AA25,IF($L$3=$AJ$10,'Statement of Marks'!AP25,IF($L$3=$AJ$11,'Statement of Marks'!BD25,IF($L$3=$AJ$12,'Statement of Marks'!BR25,IF($L$3=$AJ$13,'Statement of Marks'!CG25,IF($L$3=$AJ$14,'Statement of Marks'!CV25,IF($L$3=$AJ$15,'Statement of Marks'!EB25,IF($L$3=$AJ$16,'Statement of Marks'!EN25,IF($L$3=$AJ$17,('Statement of Marks'!FF25+'Statement of Marks'!FG25),"")))))))))),"")</f>
        <v>8</v>
      </c>
      <c r="M26" s="810">
        <f t="shared" si="0"/>
        <v>25</v>
      </c>
      <c r="N26" s="809">
        <f>IFERROR(IF($L$3=$AJ$8,'Statement of Marks'!O25,IF($L$3=$AJ$9,'Statement of Marks'!AC25,IF($L$3=$AJ$10,'Statement of Marks'!AR25,IF($L$3=$AJ$11,'Statement of Marks'!BF25,IF($L$3=$AJ$12,'Statement of Marks'!BT25,IF($L$3=$AJ$13,'Statement of Marks'!CI25,IF($L$3=$AJ$14,('Statement of Marks'!CX25+'Statement of Marks'!CY25),IF($L$3=$AJ$15,'Statement of Marks'!ED25,IF($L$3=$AJ$16,('Statement of Marks'!EP25+'Statement of Marks'!EQ25),IF($L$3=$AJ$17,('Statement of Marks'!FI25+'Statement of Marks'!FJ25),IF($L$3=$AJ$18,'Statement of Marks'!FU25,IF($L$3=$AJ$19,'Statement of Marks'!GC25,"")))))))))))),"")</f>
        <v>60</v>
      </c>
      <c r="O26" s="811">
        <f>IF($L$3=$AJ$18,'Statement of Marks'!FV25,IF($L$3=$AJ$19,'Statement of Marks'!GD25,IF(AND(M26="NA",N26="NA"),"NA",IF(AND(M26="",N26=""),"",SUM(M26,N26)))))</f>
        <v>85</v>
      </c>
      <c r="P26" s="809">
        <f>IFERROR(IF($L$3=$AJ$8,'Statement of Marks'!Q25,IF($L$3=$AJ$9,'Statement of Marks'!AE25,IF($L$3=$AJ$10,'Statement of Marks'!AT25,IF($L$3=$AJ$11,'Statement of Marks'!BH25,IF($L$3=$AJ$12,'Statement of Marks'!BV25,IF($L$3=$AJ$13,'Statement of Marks'!CK25,IF($L$3=$AJ$14,('Statement of Marks'!DB25+'Statement of Marks'!DC25),IF($L$3=$AJ$15,'Statement of Marks'!EF25,IF($L$3=$AJ$16,('Statement of Marks'!ET25+'Statement of Marks'!EU25),IF($L$3=$AJ$17,('Statement of Marks'!FM25+'Statement of Marks'!FN25),IF($L$3=$AJ$18,'Statement of Marks'!FW25,IF($L$3=$AJ$19,'Statement of Marks'!GE25,"")))))))))))),"")</f>
        <v>85</v>
      </c>
      <c r="Q26" s="812">
        <f t="shared" si="3"/>
        <v>170</v>
      </c>
      <c r="R26" s="813">
        <f t="shared" si="1"/>
        <v>0</v>
      </c>
      <c r="S26" s="813">
        <f t="shared" si="4"/>
        <v>200</v>
      </c>
      <c r="T26" s="813" t="str">
        <f t="shared" si="5"/>
        <v/>
      </c>
      <c r="U26" s="814" t="str">
        <f t="shared" si="6"/>
        <v>P</v>
      </c>
      <c r="V26" s="815" t="str">
        <f t="shared" si="7"/>
        <v>I</v>
      </c>
      <c r="W26" s="816" t="str">
        <f t="shared" si="2"/>
        <v>B</v>
      </c>
    </row>
    <row r="27" spans="1:36">
      <c r="A27" s="803">
        <f>IF('Statement of Marks'!A26="","",'Statement of Marks'!A26)</f>
        <v>20</v>
      </c>
      <c r="B27" s="804">
        <f>IF(OR($D$3="",$L$3=""),"",IF('Statement of Marks'!B26="","",'Statement of Marks'!B26))</f>
        <v>920</v>
      </c>
      <c r="C27" s="805" t="str">
        <f>IF(OR($D$3="",$L$3=""),"",IF('Statement of Marks'!D26="","",'Statement of Marks'!D26))</f>
        <v/>
      </c>
      <c r="D27" s="806" t="str">
        <f>IF(OR($D$3="",$L$3=""),"",IF('Statement of Marks'!E26="","",'Statement of Marks'!E26))</f>
        <v/>
      </c>
      <c r="E27" s="807" t="str">
        <f>IF(OR($D$3="",$L$3=""),"",IF('Statement of Marks'!F26="","",'Statement of Marks'!F26))</f>
        <v>ROZA</v>
      </c>
      <c r="F27" s="807" t="str">
        <f>IF(OR($D$3="",$L$3=""),"",IF('Statement of Marks'!G26="","",'Statement of Marks'!G26))</f>
        <v/>
      </c>
      <c r="G27" s="807" t="str">
        <f>IF(OR($D$3="",$L$3=""),"",IF('Statement of Marks'!H26="","",'Statement of Marks'!H26))</f>
        <v/>
      </c>
      <c r="H27" s="808" t="str">
        <f>IF(OR($D$3="",$L$3=""),"",IF('Statement of Marks'!I26="","",'Statement of Marks'!I26))</f>
        <v/>
      </c>
      <c r="I27" s="808" t="str">
        <f>IF(OR($D$3="",$L$3=""),"",IF('Statement of Marks'!J26="","",'Statement of Marks'!J26))</f>
        <v/>
      </c>
      <c r="J27" s="809">
        <f>IFERROR(IF($L$3=$AJ$8,'Statement of Marks'!K26,IF($L$3=$AJ$9,'Statement of Marks'!Y26,IF($L$3=$AJ$10,'Statement of Marks'!AN26,IF($L$3=$AJ$11,'Statement of Marks'!BB26,IF($L$3=$AJ$12,'Statement of Marks'!BP26,IF($L$3=$AJ$13,'Statement of Marks'!CE26,IF($L$3=$AJ$14,'Statement of Marks'!CT26,IF($L$3=$AJ$15,'Statement of Marks'!DZ26,IF($L$3=$AJ$16,'Statement of Marks'!EL26,IF($L$3=$AJ$17,('Statement of Marks'!FB26+'Statement of Marks'!FC26),"")))))))))),"")</f>
        <v>8</v>
      </c>
      <c r="K27" s="809">
        <f>IFERROR(IF($L$3=$AJ$8,'Statement of Marks'!L26,IF($L$3=$AJ$9,'Statement of Marks'!Z26,IF($L$3=$AJ$10,'Statement of Marks'!AO26,IF($L$3=$AJ$11,'Statement of Marks'!BC26,IF($L$3=$AJ$12,'Statement of Marks'!BQ26,IF($L$3=$AJ$13,'Statement of Marks'!CF26,IF($L$3=$AJ$14,'Statement of Marks'!CU26,IF($L$3=$AJ$15,'Statement of Marks'!EA26,IF($L$3=$AJ$16,'Statement of Marks'!EM26,IF($L$3=$AJ$17,('Statement of Marks'!FD26+'Statement of Marks'!FE26),"")))))))))),"")</f>
        <v>9</v>
      </c>
      <c r="L27" s="809">
        <f>IFERROR(IF($L$3=$AJ$8,'Statement of Marks'!M26,IF($L$3=$AJ$9,'Statement of Marks'!AA26,IF($L$3=$AJ$10,'Statement of Marks'!AP26,IF($L$3=$AJ$11,'Statement of Marks'!BD26,IF($L$3=$AJ$12,'Statement of Marks'!BR26,IF($L$3=$AJ$13,'Statement of Marks'!CG26,IF($L$3=$AJ$14,'Statement of Marks'!CV26,IF($L$3=$AJ$15,'Statement of Marks'!EB26,IF($L$3=$AJ$16,'Statement of Marks'!EN26,IF($L$3=$AJ$17,('Statement of Marks'!FF26+'Statement of Marks'!FG26),"")))))))))),"")</f>
        <v>8</v>
      </c>
      <c r="M27" s="810">
        <f t="shared" si="0"/>
        <v>25</v>
      </c>
      <c r="N27" s="809">
        <f>IFERROR(IF($L$3=$AJ$8,'Statement of Marks'!O26,IF($L$3=$AJ$9,'Statement of Marks'!AC26,IF($L$3=$AJ$10,'Statement of Marks'!AR26,IF($L$3=$AJ$11,'Statement of Marks'!BF26,IF($L$3=$AJ$12,'Statement of Marks'!BT26,IF($L$3=$AJ$13,'Statement of Marks'!CI26,IF($L$3=$AJ$14,('Statement of Marks'!CX26+'Statement of Marks'!CY26),IF($L$3=$AJ$15,'Statement of Marks'!ED26,IF($L$3=$AJ$16,('Statement of Marks'!EP26+'Statement of Marks'!EQ26),IF($L$3=$AJ$17,('Statement of Marks'!FI26+'Statement of Marks'!FJ26),IF($L$3=$AJ$18,'Statement of Marks'!FU26,IF($L$3=$AJ$19,'Statement of Marks'!GC26,"")))))))))))),"")</f>
        <v>60</v>
      </c>
      <c r="O27" s="811">
        <f>IF($L$3=$AJ$18,'Statement of Marks'!FV26,IF($L$3=$AJ$19,'Statement of Marks'!GD26,IF(AND(M27="NA",N27="NA"),"NA",IF(AND(M27="",N27=""),"",SUM(M27,N27)))))</f>
        <v>85</v>
      </c>
      <c r="P27" s="809">
        <f>IFERROR(IF($L$3=$AJ$8,'Statement of Marks'!Q26,IF($L$3=$AJ$9,'Statement of Marks'!AE26,IF($L$3=$AJ$10,'Statement of Marks'!AT26,IF($L$3=$AJ$11,'Statement of Marks'!BH26,IF($L$3=$AJ$12,'Statement of Marks'!BV26,IF($L$3=$AJ$13,'Statement of Marks'!CK26,IF($L$3=$AJ$14,('Statement of Marks'!DB26+'Statement of Marks'!DC26),IF($L$3=$AJ$15,'Statement of Marks'!EF26,IF($L$3=$AJ$16,('Statement of Marks'!ET26+'Statement of Marks'!EU26),IF($L$3=$AJ$17,('Statement of Marks'!FM26+'Statement of Marks'!FN26),IF($L$3=$AJ$18,'Statement of Marks'!FW26,IF($L$3=$AJ$19,'Statement of Marks'!GE26,"")))))))))))),"")</f>
        <v>85</v>
      </c>
      <c r="Q27" s="812">
        <f t="shared" si="3"/>
        <v>170</v>
      </c>
      <c r="R27" s="813">
        <f t="shared" si="1"/>
        <v>0</v>
      </c>
      <c r="S27" s="813">
        <f t="shared" si="4"/>
        <v>200</v>
      </c>
      <c r="T27" s="813" t="str">
        <f t="shared" si="5"/>
        <v/>
      </c>
      <c r="U27" s="814" t="str">
        <f t="shared" si="6"/>
        <v>P</v>
      </c>
      <c r="V27" s="815" t="str">
        <f t="shared" si="7"/>
        <v>I</v>
      </c>
      <c r="W27" s="816" t="str">
        <f t="shared" si="2"/>
        <v>B</v>
      </c>
    </row>
    <row r="28" spans="1:36">
      <c r="A28" s="803">
        <f>IF('Statement of Marks'!A27="","",'Statement of Marks'!A27)</f>
        <v>21</v>
      </c>
      <c r="B28" s="804">
        <f>IF(OR($D$3="",$L$3=""),"",IF('Statement of Marks'!B27="","",'Statement of Marks'!B27))</f>
        <v>921</v>
      </c>
      <c r="C28" s="805" t="str">
        <f>IF(OR($D$3="",$L$3=""),"",IF('Statement of Marks'!D27="","",'Statement of Marks'!D27))</f>
        <v/>
      </c>
      <c r="D28" s="806" t="str">
        <f>IF(OR($D$3="",$L$3=""),"",IF('Statement of Marks'!E27="","",'Statement of Marks'!E27))</f>
        <v/>
      </c>
      <c r="E28" s="807" t="str">
        <f>IF(OR($D$3="",$L$3=""),"",IF('Statement of Marks'!F27="","",'Statement of Marks'!F27))</f>
        <v>VILIAM</v>
      </c>
      <c r="F28" s="807" t="str">
        <f>IF(OR($D$3="",$L$3=""),"",IF('Statement of Marks'!G27="","",'Statement of Marks'!G27))</f>
        <v/>
      </c>
      <c r="G28" s="807" t="str">
        <f>IF(OR($D$3="",$L$3=""),"",IF('Statement of Marks'!H27="","",'Statement of Marks'!H27))</f>
        <v/>
      </c>
      <c r="H28" s="808" t="str">
        <f>IF(OR($D$3="",$L$3=""),"",IF('Statement of Marks'!I27="","",'Statement of Marks'!I27))</f>
        <v/>
      </c>
      <c r="I28" s="808" t="str">
        <f>IF(OR($D$3="",$L$3=""),"",IF('Statement of Marks'!J27="","",'Statement of Marks'!J27))</f>
        <v/>
      </c>
      <c r="J28" s="809">
        <f>IFERROR(IF($L$3=$AJ$8,'Statement of Marks'!K27,IF($L$3=$AJ$9,'Statement of Marks'!Y27,IF($L$3=$AJ$10,'Statement of Marks'!AN27,IF($L$3=$AJ$11,'Statement of Marks'!BB27,IF($L$3=$AJ$12,'Statement of Marks'!BP27,IF($L$3=$AJ$13,'Statement of Marks'!CE27,IF($L$3=$AJ$14,'Statement of Marks'!CT27,IF($L$3=$AJ$15,'Statement of Marks'!DZ27,IF($L$3=$AJ$16,'Statement of Marks'!EL27,IF($L$3=$AJ$17,('Statement of Marks'!FB27+'Statement of Marks'!FC27),"")))))))))),"")</f>
        <v>8</v>
      </c>
      <c r="K28" s="809">
        <f>IFERROR(IF($L$3=$AJ$8,'Statement of Marks'!L27,IF($L$3=$AJ$9,'Statement of Marks'!Z27,IF($L$3=$AJ$10,'Statement of Marks'!AO27,IF($L$3=$AJ$11,'Statement of Marks'!BC27,IF($L$3=$AJ$12,'Statement of Marks'!BQ27,IF($L$3=$AJ$13,'Statement of Marks'!CF27,IF($L$3=$AJ$14,'Statement of Marks'!CU27,IF($L$3=$AJ$15,'Statement of Marks'!EA27,IF($L$3=$AJ$16,'Statement of Marks'!EM27,IF($L$3=$AJ$17,('Statement of Marks'!FD27+'Statement of Marks'!FE27),"")))))))))),"")</f>
        <v>9</v>
      </c>
      <c r="L28" s="809">
        <f>IFERROR(IF($L$3=$AJ$8,'Statement of Marks'!M27,IF($L$3=$AJ$9,'Statement of Marks'!AA27,IF($L$3=$AJ$10,'Statement of Marks'!AP27,IF($L$3=$AJ$11,'Statement of Marks'!BD27,IF($L$3=$AJ$12,'Statement of Marks'!BR27,IF($L$3=$AJ$13,'Statement of Marks'!CG27,IF($L$3=$AJ$14,'Statement of Marks'!CV27,IF($L$3=$AJ$15,'Statement of Marks'!EB27,IF($L$3=$AJ$16,'Statement of Marks'!EN27,IF($L$3=$AJ$17,('Statement of Marks'!FF27+'Statement of Marks'!FG27),"")))))))))),"")</f>
        <v>8</v>
      </c>
      <c r="M28" s="810">
        <f t="shared" si="0"/>
        <v>25</v>
      </c>
      <c r="N28" s="809">
        <f>IFERROR(IF($L$3=$AJ$8,'Statement of Marks'!O27,IF($L$3=$AJ$9,'Statement of Marks'!AC27,IF($L$3=$AJ$10,'Statement of Marks'!AR27,IF($L$3=$AJ$11,'Statement of Marks'!BF27,IF($L$3=$AJ$12,'Statement of Marks'!BT27,IF($L$3=$AJ$13,'Statement of Marks'!CI27,IF($L$3=$AJ$14,('Statement of Marks'!CX27+'Statement of Marks'!CY27),IF($L$3=$AJ$15,'Statement of Marks'!ED27,IF($L$3=$AJ$16,('Statement of Marks'!EP27+'Statement of Marks'!EQ27),IF($L$3=$AJ$17,('Statement of Marks'!FI27+'Statement of Marks'!FJ27),IF($L$3=$AJ$18,'Statement of Marks'!FU27,IF($L$3=$AJ$19,'Statement of Marks'!GC27,"")))))))))))),"")</f>
        <v>60</v>
      </c>
      <c r="O28" s="811">
        <f>IF($L$3=$AJ$18,'Statement of Marks'!FV27,IF($L$3=$AJ$19,'Statement of Marks'!GD27,IF(AND(M28="NA",N28="NA"),"NA",IF(AND(M28="",N28=""),"",SUM(M28,N28)))))</f>
        <v>85</v>
      </c>
      <c r="P28" s="809">
        <f>IFERROR(IF($L$3=$AJ$8,'Statement of Marks'!Q27,IF($L$3=$AJ$9,'Statement of Marks'!AE27,IF($L$3=$AJ$10,'Statement of Marks'!AT27,IF($L$3=$AJ$11,'Statement of Marks'!BH27,IF($L$3=$AJ$12,'Statement of Marks'!BV27,IF($L$3=$AJ$13,'Statement of Marks'!CK27,IF($L$3=$AJ$14,('Statement of Marks'!DB27+'Statement of Marks'!DC27),IF($L$3=$AJ$15,'Statement of Marks'!EF27,IF($L$3=$AJ$16,('Statement of Marks'!ET27+'Statement of Marks'!EU27),IF($L$3=$AJ$17,('Statement of Marks'!FM27+'Statement of Marks'!FN27),IF($L$3=$AJ$18,'Statement of Marks'!FW27,IF($L$3=$AJ$19,'Statement of Marks'!GE27,"")))))))))))),"")</f>
        <v>85</v>
      </c>
      <c r="Q28" s="812">
        <f t="shared" si="3"/>
        <v>170</v>
      </c>
      <c r="R28" s="813">
        <f t="shared" si="1"/>
        <v>0</v>
      </c>
      <c r="S28" s="813">
        <f t="shared" si="4"/>
        <v>200</v>
      </c>
      <c r="T28" s="813" t="str">
        <f t="shared" si="5"/>
        <v/>
      </c>
      <c r="U28" s="814" t="str">
        <f t="shared" si="6"/>
        <v>P</v>
      </c>
      <c r="V28" s="815" t="str">
        <f t="shared" si="7"/>
        <v>I</v>
      </c>
      <c r="W28" s="816" t="str">
        <f t="shared" si="2"/>
        <v>B</v>
      </c>
    </row>
    <row r="29" spans="1:36">
      <c r="A29" s="803">
        <f>IF('Statement of Marks'!A28="","",'Statement of Marks'!A28)</f>
        <v>22</v>
      </c>
      <c r="B29" s="804">
        <f>IF(OR($D$3="",$L$3=""),"",IF('Statement of Marks'!B28="","",'Statement of Marks'!B28))</f>
        <v>922</v>
      </c>
      <c r="C29" s="805" t="str">
        <f>IF(OR($D$3="",$L$3=""),"",IF('Statement of Marks'!D28="","",'Statement of Marks'!D28))</f>
        <v/>
      </c>
      <c r="D29" s="806" t="str">
        <f>IF(OR($D$3="",$L$3=""),"",IF('Statement of Marks'!E28="","",'Statement of Marks'!E28))</f>
        <v/>
      </c>
      <c r="E29" s="807" t="str">
        <f>IF(OR($D$3="",$L$3=""),"",IF('Statement of Marks'!F28="","",'Statement of Marks'!F28))</f>
        <v>ROZER</v>
      </c>
      <c r="F29" s="807" t="str">
        <f>IF(OR($D$3="",$L$3=""),"",IF('Statement of Marks'!G28="","",'Statement of Marks'!G28))</f>
        <v/>
      </c>
      <c r="G29" s="807" t="str">
        <f>IF(OR($D$3="",$L$3=""),"",IF('Statement of Marks'!H28="","",'Statement of Marks'!H28))</f>
        <v/>
      </c>
      <c r="H29" s="808" t="str">
        <f>IF(OR($D$3="",$L$3=""),"",IF('Statement of Marks'!I28="","",'Statement of Marks'!I28))</f>
        <v/>
      </c>
      <c r="I29" s="808" t="str">
        <f>IF(OR($D$3="",$L$3=""),"",IF('Statement of Marks'!J28="","",'Statement of Marks'!J28))</f>
        <v/>
      </c>
      <c r="J29" s="809">
        <f>IFERROR(IF($L$3=$AJ$8,'Statement of Marks'!K28,IF($L$3=$AJ$9,'Statement of Marks'!Y28,IF($L$3=$AJ$10,'Statement of Marks'!AN28,IF($L$3=$AJ$11,'Statement of Marks'!BB28,IF($L$3=$AJ$12,'Statement of Marks'!BP28,IF($L$3=$AJ$13,'Statement of Marks'!CE28,IF($L$3=$AJ$14,'Statement of Marks'!CT28,IF($L$3=$AJ$15,'Statement of Marks'!DZ28,IF($L$3=$AJ$16,'Statement of Marks'!EL28,IF($L$3=$AJ$17,('Statement of Marks'!FB28+'Statement of Marks'!FC28),"")))))))))),"")</f>
        <v>8</v>
      </c>
      <c r="K29" s="809">
        <f>IFERROR(IF($L$3=$AJ$8,'Statement of Marks'!L28,IF($L$3=$AJ$9,'Statement of Marks'!Z28,IF($L$3=$AJ$10,'Statement of Marks'!AO28,IF($L$3=$AJ$11,'Statement of Marks'!BC28,IF($L$3=$AJ$12,'Statement of Marks'!BQ28,IF($L$3=$AJ$13,'Statement of Marks'!CF28,IF($L$3=$AJ$14,'Statement of Marks'!CU28,IF($L$3=$AJ$15,'Statement of Marks'!EA28,IF($L$3=$AJ$16,'Statement of Marks'!EM28,IF($L$3=$AJ$17,('Statement of Marks'!FD28+'Statement of Marks'!FE28),"")))))))))),"")</f>
        <v>9</v>
      </c>
      <c r="L29" s="809">
        <f>IFERROR(IF($L$3=$AJ$8,'Statement of Marks'!M28,IF($L$3=$AJ$9,'Statement of Marks'!AA28,IF($L$3=$AJ$10,'Statement of Marks'!AP28,IF($L$3=$AJ$11,'Statement of Marks'!BD28,IF($L$3=$AJ$12,'Statement of Marks'!BR28,IF($L$3=$AJ$13,'Statement of Marks'!CG28,IF($L$3=$AJ$14,'Statement of Marks'!CV28,IF($L$3=$AJ$15,'Statement of Marks'!EB28,IF($L$3=$AJ$16,'Statement of Marks'!EN28,IF($L$3=$AJ$17,('Statement of Marks'!FF28+'Statement of Marks'!FG28),"")))))))))),"")</f>
        <v>8</v>
      </c>
      <c r="M29" s="810">
        <f t="shared" si="0"/>
        <v>25</v>
      </c>
      <c r="N29" s="809">
        <f>IFERROR(IF($L$3=$AJ$8,'Statement of Marks'!O28,IF($L$3=$AJ$9,'Statement of Marks'!AC28,IF($L$3=$AJ$10,'Statement of Marks'!AR28,IF($L$3=$AJ$11,'Statement of Marks'!BF28,IF($L$3=$AJ$12,'Statement of Marks'!BT28,IF($L$3=$AJ$13,'Statement of Marks'!CI28,IF($L$3=$AJ$14,('Statement of Marks'!CX28+'Statement of Marks'!CY28),IF($L$3=$AJ$15,'Statement of Marks'!ED28,IF($L$3=$AJ$16,('Statement of Marks'!EP28+'Statement of Marks'!EQ28),IF($L$3=$AJ$17,('Statement of Marks'!FI28+'Statement of Marks'!FJ28),IF($L$3=$AJ$18,'Statement of Marks'!FU28,IF($L$3=$AJ$19,'Statement of Marks'!GC28,"")))))))))))),"")</f>
        <v>60</v>
      </c>
      <c r="O29" s="811">
        <f>IF($L$3=$AJ$18,'Statement of Marks'!FV28,IF($L$3=$AJ$19,'Statement of Marks'!GD28,IF(AND(M29="NA",N29="NA"),"NA",IF(AND(M29="",N29=""),"",SUM(M29,N29)))))</f>
        <v>85</v>
      </c>
      <c r="P29" s="809">
        <f>IFERROR(IF($L$3=$AJ$8,'Statement of Marks'!Q28,IF($L$3=$AJ$9,'Statement of Marks'!AE28,IF($L$3=$AJ$10,'Statement of Marks'!AT28,IF($L$3=$AJ$11,'Statement of Marks'!BH28,IF($L$3=$AJ$12,'Statement of Marks'!BV28,IF($L$3=$AJ$13,'Statement of Marks'!CK28,IF($L$3=$AJ$14,('Statement of Marks'!DB28+'Statement of Marks'!DC28),IF($L$3=$AJ$15,'Statement of Marks'!EF28,IF($L$3=$AJ$16,('Statement of Marks'!ET28+'Statement of Marks'!EU28),IF($L$3=$AJ$17,('Statement of Marks'!FM28+'Statement of Marks'!FN28),IF($L$3=$AJ$18,'Statement of Marks'!FW28,IF($L$3=$AJ$19,'Statement of Marks'!GE28,"")))))))))))),"")</f>
        <v>85</v>
      </c>
      <c r="Q29" s="812">
        <f t="shared" si="3"/>
        <v>170</v>
      </c>
      <c r="R29" s="813">
        <f t="shared" si="1"/>
        <v>0</v>
      </c>
      <c r="S29" s="813">
        <f t="shared" si="4"/>
        <v>200</v>
      </c>
      <c r="T29" s="813" t="str">
        <f t="shared" si="5"/>
        <v/>
      </c>
      <c r="U29" s="814" t="str">
        <f t="shared" si="6"/>
        <v>P</v>
      </c>
      <c r="V29" s="815" t="str">
        <f t="shared" si="7"/>
        <v>I</v>
      </c>
      <c r="W29" s="816" t="str">
        <f t="shared" si="2"/>
        <v>B</v>
      </c>
    </row>
    <row r="30" spans="1:36">
      <c r="A30" s="803">
        <f>IF('Statement of Marks'!A29="","",'Statement of Marks'!A29)</f>
        <v>23</v>
      </c>
      <c r="B30" s="804">
        <f>IF(OR($D$3="",$L$3=""),"",IF('Statement of Marks'!B29="","",'Statement of Marks'!B29))</f>
        <v>923</v>
      </c>
      <c r="C30" s="805" t="str">
        <f>IF(OR($D$3="",$L$3=""),"",IF('Statement of Marks'!D29="","",'Statement of Marks'!D29))</f>
        <v/>
      </c>
      <c r="D30" s="806" t="str">
        <f>IF(OR($D$3="",$L$3=""),"",IF('Statement of Marks'!E29="","",'Statement of Marks'!E29))</f>
        <v/>
      </c>
      <c r="E30" s="807" t="str">
        <f>IF(OR($D$3="",$L$3=""),"",IF('Statement of Marks'!F29="","",'Statement of Marks'!F29))</f>
        <v>DINESH</v>
      </c>
      <c r="F30" s="807" t="str">
        <f>IF(OR($D$3="",$L$3=""),"",IF('Statement of Marks'!G29="","",'Statement of Marks'!G29))</f>
        <v/>
      </c>
      <c r="G30" s="807" t="str">
        <f>IF(OR($D$3="",$L$3=""),"",IF('Statement of Marks'!H29="","",'Statement of Marks'!H29))</f>
        <v/>
      </c>
      <c r="H30" s="808" t="str">
        <f>IF(OR($D$3="",$L$3=""),"",IF('Statement of Marks'!I29="","",'Statement of Marks'!I29))</f>
        <v/>
      </c>
      <c r="I30" s="808" t="str">
        <f>IF(OR($D$3="",$L$3=""),"",IF('Statement of Marks'!J29="","",'Statement of Marks'!J29))</f>
        <v/>
      </c>
      <c r="J30" s="809">
        <f>IFERROR(IF($L$3=$AJ$8,'Statement of Marks'!K29,IF($L$3=$AJ$9,'Statement of Marks'!Y29,IF($L$3=$AJ$10,'Statement of Marks'!AN29,IF($L$3=$AJ$11,'Statement of Marks'!BB29,IF($L$3=$AJ$12,'Statement of Marks'!BP29,IF($L$3=$AJ$13,'Statement of Marks'!CE29,IF($L$3=$AJ$14,'Statement of Marks'!CT29,IF($L$3=$AJ$15,'Statement of Marks'!DZ29,IF($L$3=$AJ$16,'Statement of Marks'!EL29,IF($L$3=$AJ$17,('Statement of Marks'!FB29+'Statement of Marks'!FC29),"")))))))))),"")</f>
        <v>8</v>
      </c>
      <c r="K30" s="809">
        <f>IFERROR(IF($L$3=$AJ$8,'Statement of Marks'!L29,IF($L$3=$AJ$9,'Statement of Marks'!Z29,IF($L$3=$AJ$10,'Statement of Marks'!AO29,IF($L$3=$AJ$11,'Statement of Marks'!BC29,IF($L$3=$AJ$12,'Statement of Marks'!BQ29,IF($L$3=$AJ$13,'Statement of Marks'!CF29,IF($L$3=$AJ$14,'Statement of Marks'!CU29,IF($L$3=$AJ$15,'Statement of Marks'!EA29,IF($L$3=$AJ$16,'Statement of Marks'!EM29,IF($L$3=$AJ$17,('Statement of Marks'!FD29+'Statement of Marks'!FE29),"")))))))))),"")</f>
        <v>9</v>
      </c>
      <c r="L30" s="809">
        <f>IFERROR(IF($L$3=$AJ$8,'Statement of Marks'!M29,IF($L$3=$AJ$9,'Statement of Marks'!AA29,IF($L$3=$AJ$10,'Statement of Marks'!AP29,IF($L$3=$AJ$11,'Statement of Marks'!BD29,IF($L$3=$AJ$12,'Statement of Marks'!BR29,IF($L$3=$AJ$13,'Statement of Marks'!CG29,IF($L$3=$AJ$14,'Statement of Marks'!CV29,IF($L$3=$AJ$15,'Statement of Marks'!EB29,IF($L$3=$AJ$16,'Statement of Marks'!EN29,IF($L$3=$AJ$17,('Statement of Marks'!FF29+'Statement of Marks'!FG29),"")))))))))),"")</f>
        <v>8</v>
      </c>
      <c r="M30" s="810">
        <f t="shared" si="0"/>
        <v>25</v>
      </c>
      <c r="N30" s="809">
        <f>IFERROR(IF($L$3=$AJ$8,'Statement of Marks'!O29,IF($L$3=$AJ$9,'Statement of Marks'!AC29,IF($L$3=$AJ$10,'Statement of Marks'!AR29,IF($L$3=$AJ$11,'Statement of Marks'!BF29,IF($L$3=$AJ$12,'Statement of Marks'!BT29,IF($L$3=$AJ$13,'Statement of Marks'!CI29,IF($L$3=$AJ$14,('Statement of Marks'!CX29+'Statement of Marks'!CY29),IF($L$3=$AJ$15,'Statement of Marks'!ED29,IF($L$3=$AJ$16,('Statement of Marks'!EP29+'Statement of Marks'!EQ29),IF($L$3=$AJ$17,('Statement of Marks'!FI29+'Statement of Marks'!FJ29),IF($L$3=$AJ$18,'Statement of Marks'!FU29,IF($L$3=$AJ$19,'Statement of Marks'!GC29,"")))))))))))),"")</f>
        <v>60</v>
      </c>
      <c r="O30" s="811">
        <f>IF($L$3=$AJ$18,'Statement of Marks'!FV29,IF($L$3=$AJ$19,'Statement of Marks'!GD29,IF(AND(M30="NA",N30="NA"),"NA",IF(AND(M30="",N30=""),"",SUM(M30,N30)))))</f>
        <v>85</v>
      </c>
      <c r="P30" s="809">
        <f>IFERROR(IF($L$3=$AJ$8,'Statement of Marks'!Q29,IF($L$3=$AJ$9,'Statement of Marks'!AE29,IF($L$3=$AJ$10,'Statement of Marks'!AT29,IF($L$3=$AJ$11,'Statement of Marks'!BH29,IF($L$3=$AJ$12,'Statement of Marks'!BV29,IF($L$3=$AJ$13,'Statement of Marks'!CK29,IF($L$3=$AJ$14,('Statement of Marks'!DB29+'Statement of Marks'!DC29),IF($L$3=$AJ$15,'Statement of Marks'!EF29,IF($L$3=$AJ$16,('Statement of Marks'!ET29+'Statement of Marks'!EU29),IF($L$3=$AJ$17,('Statement of Marks'!FM29+'Statement of Marks'!FN29),IF($L$3=$AJ$18,'Statement of Marks'!FW29,IF($L$3=$AJ$19,'Statement of Marks'!GE29,"")))))))))))),"")</f>
        <v>85</v>
      </c>
      <c r="Q30" s="812">
        <f t="shared" si="3"/>
        <v>170</v>
      </c>
      <c r="R30" s="813">
        <f t="shared" si="1"/>
        <v>0</v>
      </c>
      <c r="S30" s="813">
        <f t="shared" si="4"/>
        <v>200</v>
      </c>
      <c r="T30" s="813" t="str">
        <f t="shared" si="5"/>
        <v/>
      </c>
      <c r="U30" s="814" t="str">
        <f t="shared" si="6"/>
        <v>P</v>
      </c>
      <c r="V30" s="815" t="str">
        <f t="shared" si="7"/>
        <v>I</v>
      </c>
      <c r="W30" s="816" t="str">
        <f t="shared" si="2"/>
        <v>B</v>
      </c>
    </row>
    <row r="31" spans="1:36">
      <c r="A31" s="803">
        <f>IF('Statement of Marks'!A30="","",'Statement of Marks'!A30)</f>
        <v>24</v>
      </c>
      <c r="B31" s="804">
        <f>IF(OR($D$3="",$L$3=""),"",IF('Statement of Marks'!B30="","",'Statement of Marks'!B30))</f>
        <v>924</v>
      </c>
      <c r="C31" s="805" t="str">
        <f>IF(OR($D$3="",$L$3=""),"",IF('Statement of Marks'!D30="","",'Statement of Marks'!D30))</f>
        <v/>
      </c>
      <c r="D31" s="806" t="str">
        <f>IF(OR($D$3="",$L$3=""),"",IF('Statement of Marks'!E30="","",'Statement of Marks'!E30))</f>
        <v/>
      </c>
      <c r="E31" s="807" t="str">
        <f>IF(OR($D$3="",$L$3=""),"",IF('Statement of Marks'!F30="","",'Statement of Marks'!F30))</f>
        <v>MAHESH</v>
      </c>
      <c r="F31" s="807" t="str">
        <f>IF(OR($D$3="",$L$3=""),"",IF('Statement of Marks'!G30="","",'Statement of Marks'!G30))</f>
        <v/>
      </c>
      <c r="G31" s="807" t="str">
        <f>IF(OR($D$3="",$L$3=""),"",IF('Statement of Marks'!H30="","",'Statement of Marks'!H30))</f>
        <v/>
      </c>
      <c r="H31" s="808" t="str">
        <f>IF(OR($D$3="",$L$3=""),"",IF('Statement of Marks'!I30="","",'Statement of Marks'!I30))</f>
        <v/>
      </c>
      <c r="I31" s="808" t="str">
        <f>IF(OR($D$3="",$L$3=""),"",IF('Statement of Marks'!J30="","",'Statement of Marks'!J30))</f>
        <v/>
      </c>
      <c r="J31" s="809">
        <f>IFERROR(IF($L$3=$AJ$8,'Statement of Marks'!K30,IF($L$3=$AJ$9,'Statement of Marks'!Y30,IF($L$3=$AJ$10,'Statement of Marks'!AN30,IF($L$3=$AJ$11,'Statement of Marks'!BB30,IF($L$3=$AJ$12,'Statement of Marks'!BP30,IF($L$3=$AJ$13,'Statement of Marks'!CE30,IF($L$3=$AJ$14,'Statement of Marks'!CT30,IF($L$3=$AJ$15,'Statement of Marks'!DZ30,IF($L$3=$AJ$16,'Statement of Marks'!EL30,IF($L$3=$AJ$17,('Statement of Marks'!FB30+'Statement of Marks'!FC30),"")))))))))),"")</f>
        <v>8</v>
      </c>
      <c r="K31" s="809">
        <f>IFERROR(IF($L$3=$AJ$8,'Statement of Marks'!L30,IF($L$3=$AJ$9,'Statement of Marks'!Z30,IF($L$3=$AJ$10,'Statement of Marks'!AO30,IF($L$3=$AJ$11,'Statement of Marks'!BC30,IF($L$3=$AJ$12,'Statement of Marks'!BQ30,IF($L$3=$AJ$13,'Statement of Marks'!CF30,IF($L$3=$AJ$14,'Statement of Marks'!CU30,IF($L$3=$AJ$15,'Statement of Marks'!EA30,IF($L$3=$AJ$16,'Statement of Marks'!EM30,IF($L$3=$AJ$17,('Statement of Marks'!FD30+'Statement of Marks'!FE30),"")))))))))),"")</f>
        <v>9</v>
      </c>
      <c r="L31" s="809">
        <f>IFERROR(IF($L$3=$AJ$8,'Statement of Marks'!M30,IF($L$3=$AJ$9,'Statement of Marks'!AA30,IF($L$3=$AJ$10,'Statement of Marks'!AP30,IF($L$3=$AJ$11,'Statement of Marks'!BD30,IF($L$3=$AJ$12,'Statement of Marks'!BR30,IF($L$3=$AJ$13,'Statement of Marks'!CG30,IF($L$3=$AJ$14,'Statement of Marks'!CV30,IF($L$3=$AJ$15,'Statement of Marks'!EB30,IF($L$3=$AJ$16,'Statement of Marks'!EN30,IF($L$3=$AJ$17,('Statement of Marks'!FF30+'Statement of Marks'!FG30),"")))))))))),"")</f>
        <v>7</v>
      </c>
      <c r="M31" s="810">
        <f t="shared" si="0"/>
        <v>24</v>
      </c>
      <c r="N31" s="809">
        <f>IFERROR(IF($L$3=$AJ$8,'Statement of Marks'!O30,IF($L$3=$AJ$9,'Statement of Marks'!AC30,IF($L$3=$AJ$10,'Statement of Marks'!AR30,IF($L$3=$AJ$11,'Statement of Marks'!BF30,IF($L$3=$AJ$12,'Statement of Marks'!BT30,IF($L$3=$AJ$13,'Statement of Marks'!CI30,IF($L$3=$AJ$14,('Statement of Marks'!CX30+'Statement of Marks'!CY30),IF($L$3=$AJ$15,'Statement of Marks'!ED30,IF($L$3=$AJ$16,('Statement of Marks'!EP30+'Statement of Marks'!EQ30),IF($L$3=$AJ$17,('Statement of Marks'!FI30+'Statement of Marks'!FJ30),IF($L$3=$AJ$18,'Statement of Marks'!FU30,IF($L$3=$AJ$19,'Statement of Marks'!GC30,"")))))))))))),"")</f>
        <v>60</v>
      </c>
      <c r="O31" s="811">
        <f>IF($L$3=$AJ$18,'Statement of Marks'!FV30,IF($L$3=$AJ$19,'Statement of Marks'!GD30,IF(AND(M31="NA",N31="NA"),"NA",IF(AND(M31="",N31=""),"",SUM(M31,N31)))))</f>
        <v>84</v>
      </c>
      <c r="P31" s="809">
        <f>IFERROR(IF($L$3=$AJ$8,'Statement of Marks'!Q30,IF($L$3=$AJ$9,'Statement of Marks'!AE30,IF($L$3=$AJ$10,'Statement of Marks'!AT30,IF($L$3=$AJ$11,'Statement of Marks'!BH30,IF($L$3=$AJ$12,'Statement of Marks'!BV30,IF($L$3=$AJ$13,'Statement of Marks'!CK30,IF($L$3=$AJ$14,('Statement of Marks'!DB30+'Statement of Marks'!DC30),IF($L$3=$AJ$15,'Statement of Marks'!EF30,IF($L$3=$AJ$16,('Statement of Marks'!ET30+'Statement of Marks'!EU30),IF($L$3=$AJ$17,('Statement of Marks'!FM30+'Statement of Marks'!FN30),IF($L$3=$AJ$18,'Statement of Marks'!FW30,IF($L$3=$AJ$19,'Statement of Marks'!GE30,"")))))))))))),"")</f>
        <v>85</v>
      </c>
      <c r="Q31" s="812">
        <f t="shared" si="3"/>
        <v>169</v>
      </c>
      <c r="R31" s="813">
        <f t="shared" si="1"/>
        <v>0</v>
      </c>
      <c r="S31" s="813">
        <f t="shared" si="4"/>
        <v>200</v>
      </c>
      <c r="T31" s="813" t="str">
        <f t="shared" si="5"/>
        <v/>
      </c>
      <c r="U31" s="814" t="str">
        <f t="shared" si="6"/>
        <v>P</v>
      </c>
      <c r="V31" s="815" t="str">
        <f t="shared" si="7"/>
        <v>I</v>
      </c>
      <c r="W31" s="816" t="str">
        <f t="shared" si="2"/>
        <v>B</v>
      </c>
    </row>
    <row r="32" spans="1:36">
      <c r="A32" s="803">
        <f>IF('Statement of Marks'!A31="","",'Statement of Marks'!A31)</f>
        <v>25</v>
      </c>
      <c r="B32" s="804">
        <f>IF(OR($D$3="",$L$3=""),"",IF('Statement of Marks'!B31="","",'Statement of Marks'!B31))</f>
        <v>925</v>
      </c>
      <c r="C32" s="805" t="str">
        <f>IF(OR($D$3="",$L$3=""),"",IF('Statement of Marks'!D31="","",'Statement of Marks'!D31))</f>
        <v/>
      </c>
      <c r="D32" s="806" t="str">
        <f>IF(OR($D$3="",$L$3=""),"",IF('Statement of Marks'!E31="","",'Statement of Marks'!E31))</f>
        <v/>
      </c>
      <c r="E32" s="807" t="str">
        <f>IF(OR($D$3="",$L$3=""),"",IF('Statement of Marks'!F31="","",'Statement of Marks'!F31))</f>
        <v>RINA</v>
      </c>
      <c r="F32" s="807" t="str">
        <f>IF(OR($D$3="",$L$3=""),"",IF('Statement of Marks'!G31="","",'Statement of Marks'!G31))</f>
        <v/>
      </c>
      <c r="G32" s="807" t="str">
        <f>IF(OR($D$3="",$L$3=""),"",IF('Statement of Marks'!H31="","",'Statement of Marks'!H31))</f>
        <v/>
      </c>
      <c r="H32" s="808" t="str">
        <f>IF(OR($D$3="",$L$3=""),"",IF('Statement of Marks'!I31="","",'Statement of Marks'!I31))</f>
        <v/>
      </c>
      <c r="I32" s="808" t="str">
        <f>IF(OR($D$3="",$L$3=""),"",IF('Statement of Marks'!J31="","",'Statement of Marks'!J31))</f>
        <v/>
      </c>
      <c r="J32" s="809">
        <f>IFERROR(IF($L$3=$AJ$8,'Statement of Marks'!K31,IF($L$3=$AJ$9,'Statement of Marks'!Y31,IF($L$3=$AJ$10,'Statement of Marks'!AN31,IF($L$3=$AJ$11,'Statement of Marks'!BB31,IF($L$3=$AJ$12,'Statement of Marks'!BP31,IF($L$3=$AJ$13,'Statement of Marks'!CE31,IF($L$3=$AJ$14,'Statement of Marks'!CT31,IF($L$3=$AJ$15,'Statement of Marks'!DZ31,IF($L$3=$AJ$16,'Statement of Marks'!EL31,IF($L$3=$AJ$17,('Statement of Marks'!FB31+'Statement of Marks'!FC31),"")))))))))),"")</f>
        <v>8</v>
      </c>
      <c r="K32" s="809">
        <f>IFERROR(IF($L$3=$AJ$8,'Statement of Marks'!L31,IF($L$3=$AJ$9,'Statement of Marks'!Z31,IF($L$3=$AJ$10,'Statement of Marks'!AO31,IF($L$3=$AJ$11,'Statement of Marks'!BC31,IF($L$3=$AJ$12,'Statement of Marks'!BQ31,IF($L$3=$AJ$13,'Statement of Marks'!CF31,IF($L$3=$AJ$14,'Statement of Marks'!CU31,IF($L$3=$AJ$15,'Statement of Marks'!EA31,IF($L$3=$AJ$16,'Statement of Marks'!EM31,IF($L$3=$AJ$17,('Statement of Marks'!FD31+'Statement of Marks'!FE31),"")))))))))),"")</f>
        <v>9</v>
      </c>
      <c r="L32" s="809">
        <f>IFERROR(IF($L$3=$AJ$8,'Statement of Marks'!M31,IF($L$3=$AJ$9,'Statement of Marks'!AA31,IF($L$3=$AJ$10,'Statement of Marks'!AP31,IF($L$3=$AJ$11,'Statement of Marks'!BD31,IF($L$3=$AJ$12,'Statement of Marks'!BR31,IF($L$3=$AJ$13,'Statement of Marks'!CG31,IF($L$3=$AJ$14,'Statement of Marks'!CV31,IF($L$3=$AJ$15,'Statement of Marks'!EB31,IF($L$3=$AJ$16,'Statement of Marks'!EN31,IF($L$3=$AJ$17,('Statement of Marks'!FF31+'Statement of Marks'!FG31),"")))))))))),"")</f>
        <v>7</v>
      </c>
      <c r="M32" s="810">
        <f t="shared" si="0"/>
        <v>24</v>
      </c>
      <c r="N32" s="809">
        <f>IFERROR(IF($L$3=$AJ$8,'Statement of Marks'!O31,IF($L$3=$AJ$9,'Statement of Marks'!AC31,IF($L$3=$AJ$10,'Statement of Marks'!AR31,IF($L$3=$AJ$11,'Statement of Marks'!BF31,IF($L$3=$AJ$12,'Statement of Marks'!BT31,IF($L$3=$AJ$13,'Statement of Marks'!CI31,IF($L$3=$AJ$14,('Statement of Marks'!CX31+'Statement of Marks'!CY31),IF($L$3=$AJ$15,'Statement of Marks'!ED31,IF($L$3=$AJ$16,('Statement of Marks'!EP31+'Statement of Marks'!EQ31),IF($L$3=$AJ$17,('Statement of Marks'!FI31+'Statement of Marks'!FJ31),IF($L$3=$AJ$18,'Statement of Marks'!FU31,IF($L$3=$AJ$19,'Statement of Marks'!GC31,"")))))))))))),"")</f>
        <v>60</v>
      </c>
      <c r="O32" s="811">
        <f>IF($L$3=$AJ$18,'Statement of Marks'!FV31,IF($L$3=$AJ$19,'Statement of Marks'!GD31,IF(AND(M32="NA",N32="NA"),"NA",IF(AND(M32="",N32=""),"",SUM(M32,N32)))))</f>
        <v>84</v>
      </c>
      <c r="P32" s="809">
        <f>IFERROR(IF($L$3=$AJ$8,'Statement of Marks'!Q31,IF($L$3=$AJ$9,'Statement of Marks'!AE31,IF($L$3=$AJ$10,'Statement of Marks'!AT31,IF($L$3=$AJ$11,'Statement of Marks'!BH31,IF($L$3=$AJ$12,'Statement of Marks'!BV31,IF($L$3=$AJ$13,'Statement of Marks'!CK31,IF($L$3=$AJ$14,('Statement of Marks'!DB31+'Statement of Marks'!DC31),IF($L$3=$AJ$15,'Statement of Marks'!EF31,IF($L$3=$AJ$16,('Statement of Marks'!ET31+'Statement of Marks'!EU31),IF($L$3=$AJ$17,('Statement of Marks'!FM31+'Statement of Marks'!FN31),IF($L$3=$AJ$18,'Statement of Marks'!FW31,IF($L$3=$AJ$19,'Statement of Marks'!GE31,"")))))))))))),"")</f>
        <v>85</v>
      </c>
      <c r="Q32" s="812">
        <f t="shared" si="3"/>
        <v>169</v>
      </c>
      <c r="R32" s="813">
        <f t="shared" si="1"/>
        <v>0</v>
      </c>
      <c r="S32" s="813">
        <f t="shared" si="4"/>
        <v>200</v>
      </c>
      <c r="T32" s="813" t="str">
        <f t="shared" si="5"/>
        <v/>
      </c>
      <c r="U32" s="814" t="str">
        <f t="shared" si="6"/>
        <v>P</v>
      </c>
      <c r="V32" s="815" t="str">
        <f t="shared" si="7"/>
        <v>I</v>
      </c>
      <c r="W32" s="816" t="str">
        <f t="shared" si="2"/>
        <v>B</v>
      </c>
    </row>
    <row r="33" spans="1:23">
      <c r="A33" s="803">
        <f>IF('Statement of Marks'!A32="","",'Statement of Marks'!A32)</f>
        <v>26</v>
      </c>
      <c r="B33" s="804">
        <f>IF(OR($D$3="",$L$3=""),"",IF('Statement of Marks'!B32="","",'Statement of Marks'!B32))</f>
        <v>926</v>
      </c>
      <c r="C33" s="805" t="str">
        <f>IF(OR($D$3="",$L$3=""),"",IF('Statement of Marks'!D32="","",'Statement of Marks'!D32))</f>
        <v/>
      </c>
      <c r="D33" s="806" t="str">
        <f>IF(OR($D$3="",$L$3=""),"",IF('Statement of Marks'!E32="","",'Statement of Marks'!E32))</f>
        <v/>
      </c>
      <c r="E33" s="807" t="str">
        <f>IF(OR($D$3="",$L$3=""),"",IF('Statement of Marks'!F32="","",'Statement of Marks'!F32))</f>
        <v>DIZA</v>
      </c>
      <c r="F33" s="807" t="str">
        <f>IF(OR($D$3="",$L$3=""),"",IF('Statement of Marks'!G32="","",'Statement of Marks'!G32))</f>
        <v/>
      </c>
      <c r="G33" s="807" t="str">
        <f>IF(OR($D$3="",$L$3=""),"",IF('Statement of Marks'!H32="","",'Statement of Marks'!H32))</f>
        <v/>
      </c>
      <c r="H33" s="808" t="str">
        <f>IF(OR($D$3="",$L$3=""),"",IF('Statement of Marks'!I32="","",'Statement of Marks'!I32))</f>
        <v/>
      </c>
      <c r="I33" s="808" t="str">
        <f>IF(OR($D$3="",$L$3=""),"",IF('Statement of Marks'!J32="","",'Statement of Marks'!J32))</f>
        <v/>
      </c>
      <c r="J33" s="809">
        <f>IFERROR(IF($L$3=$AJ$8,'Statement of Marks'!K32,IF($L$3=$AJ$9,'Statement of Marks'!Y32,IF($L$3=$AJ$10,'Statement of Marks'!AN32,IF($L$3=$AJ$11,'Statement of Marks'!BB32,IF($L$3=$AJ$12,'Statement of Marks'!BP32,IF($L$3=$AJ$13,'Statement of Marks'!CE32,IF($L$3=$AJ$14,'Statement of Marks'!CT32,IF($L$3=$AJ$15,'Statement of Marks'!DZ32,IF($L$3=$AJ$16,'Statement of Marks'!EL32,IF($L$3=$AJ$17,('Statement of Marks'!FB32+'Statement of Marks'!FC32),"")))))))))),"")</f>
        <v>8</v>
      </c>
      <c r="K33" s="809">
        <f>IFERROR(IF($L$3=$AJ$8,'Statement of Marks'!L32,IF($L$3=$AJ$9,'Statement of Marks'!Z32,IF($L$3=$AJ$10,'Statement of Marks'!AO32,IF($L$3=$AJ$11,'Statement of Marks'!BC32,IF($L$3=$AJ$12,'Statement of Marks'!BQ32,IF($L$3=$AJ$13,'Statement of Marks'!CF32,IF($L$3=$AJ$14,'Statement of Marks'!CU32,IF($L$3=$AJ$15,'Statement of Marks'!EA32,IF($L$3=$AJ$16,'Statement of Marks'!EM32,IF($L$3=$AJ$17,('Statement of Marks'!FD32+'Statement of Marks'!FE32),"")))))))))),"")</f>
        <v>9</v>
      </c>
      <c r="L33" s="809">
        <f>IFERROR(IF($L$3=$AJ$8,'Statement of Marks'!M32,IF($L$3=$AJ$9,'Statement of Marks'!AA32,IF($L$3=$AJ$10,'Statement of Marks'!AP32,IF($L$3=$AJ$11,'Statement of Marks'!BD32,IF($L$3=$AJ$12,'Statement of Marks'!BR32,IF($L$3=$AJ$13,'Statement of Marks'!CG32,IF($L$3=$AJ$14,'Statement of Marks'!CV32,IF($L$3=$AJ$15,'Statement of Marks'!EB32,IF($L$3=$AJ$16,'Statement of Marks'!EN32,IF($L$3=$AJ$17,('Statement of Marks'!FF32+'Statement of Marks'!FG32),"")))))))))),"")</f>
        <v>7</v>
      </c>
      <c r="M33" s="810">
        <f t="shared" si="0"/>
        <v>24</v>
      </c>
      <c r="N33" s="809">
        <f>IFERROR(IF($L$3=$AJ$8,'Statement of Marks'!O32,IF($L$3=$AJ$9,'Statement of Marks'!AC32,IF($L$3=$AJ$10,'Statement of Marks'!AR32,IF($L$3=$AJ$11,'Statement of Marks'!BF32,IF($L$3=$AJ$12,'Statement of Marks'!BT32,IF($L$3=$AJ$13,'Statement of Marks'!CI32,IF($L$3=$AJ$14,('Statement of Marks'!CX32+'Statement of Marks'!CY32),IF($L$3=$AJ$15,'Statement of Marks'!ED32,IF($L$3=$AJ$16,('Statement of Marks'!EP32+'Statement of Marks'!EQ32),IF($L$3=$AJ$17,('Statement of Marks'!FI32+'Statement of Marks'!FJ32),IF($L$3=$AJ$18,'Statement of Marks'!FU32,IF($L$3=$AJ$19,'Statement of Marks'!GC32,"")))))))))))),"")</f>
        <v>60</v>
      </c>
      <c r="O33" s="811">
        <f>IF($L$3=$AJ$18,'Statement of Marks'!FV32,IF($L$3=$AJ$19,'Statement of Marks'!GD32,IF(AND(M33="NA",N33="NA"),"NA",IF(AND(M33="",N33=""),"",SUM(M33,N33)))))</f>
        <v>84</v>
      </c>
      <c r="P33" s="809">
        <f>IFERROR(IF($L$3=$AJ$8,'Statement of Marks'!Q32,IF($L$3=$AJ$9,'Statement of Marks'!AE32,IF($L$3=$AJ$10,'Statement of Marks'!AT32,IF($L$3=$AJ$11,'Statement of Marks'!BH32,IF($L$3=$AJ$12,'Statement of Marks'!BV32,IF($L$3=$AJ$13,'Statement of Marks'!CK32,IF($L$3=$AJ$14,('Statement of Marks'!DB32+'Statement of Marks'!DC32),IF($L$3=$AJ$15,'Statement of Marks'!EF32,IF($L$3=$AJ$16,('Statement of Marks'!ET32+'Statement of Marks'!EU32),IF($L$3=$AJ$17,('Statement of Marks'!FM32+'Statement of Marks'!FN32),IF($L$3=$AJ$18,'Statement of Marks'!FW32,IF($L$3=$AJ$19,'Statement of Marks'!GE32,"")))))))))))),"")</f>
        <v>85</v>
      </c>
      <c r="Q33" s="812">
        <f t="shared" si="3"/>
        <v>169</v>
      </c>
      <c r="R33" s="813">
        <f t="shared" si="1"/>
        <v>0</v>
      </c>
      <c r="S33" s="813">
        <f t="shared" si="4"/>
        <v>200</v>
      </c>
      <c r="T33" s="813" t="str">
        <f t="shared" si="5"/>
        <v/>
      </c>
      <c r="U33" s="814" t="str">
        <f t="shared" si="6"/>
        <v>P</v>
      </c>
      <c r="V33" s="815" t="str">
        <f t="shared" si="7"/>
        <v>I</v>
      </c>
      <c r="W33" s="816" t="str">
        <f t="shared" si="2"/>
        <v>B</v>
      </c>
    </row>
    <row r="34" spans="1:23">
      <c r="A34" s="803">
        <f>IF('Statement of Marks'!A33="","",'Statement of Marks'!A33)</f>
        <v>27</v>
      </c>
      <c r="B34" s="804">
        <f>IF(OR($D$3="",$L$3=""),"",IF('Statement of Marks'!B33="","",'Statement of Marks'!B33))</f>
        <v>927</v>
      </c>
      <c r="C34" s="805" t="str">
        <f>IF(OR($D$3="",$L$3=""),"",IF('Statement of Marks'!D33="","",'Statement of Marks'!D33))</f>
        <v/>
      </c>
      <c r="D34" s="806" t="str">
        <f>IF(OR($D$3="",$L$3=""),"",IF('Statement of Marks'!E33="","",'Statement of Marks'!E33))</f>
        <v/>
      </c>
      <c r="E34" s="807" t="str">
        <f>IF(OR($D$3="",$L$3=""),"",IF('Statement of Marks'!F33="","",'Statement of Marks'!F33))</f>
        <v>BIPASA</v>
      </c>
      <c r="F34" s="807" t="str">
        <f>IF(OR($D$3="",$L$3=""),"",IF('Statement of Marks'!G33="","",'Statement of Marks'!G33))</f>
        <v/>
      </c>
      <c r="G34" s="807" t="str">
        <f>IF(OR($D$3="",$L$3=""),"",IF('Statement of Marks'!H33="","",'Statement of Marks'!H33))</f>
        <v/>
      </c>
      <c r="H34" s="808" t="str">
        <f>IF(OR($D$3="",$L$3=""),"",IF('Statement of Marks'!I33="","",'Statement of Marks'!I33))</f>
        <v/>
      </c>
      <c r="I34" s="808" t="str">
        <f>IF(OR($D$3="",$L$3=""),"",IF('Statement of Marks'!J33="","",'Statement of Marks'!J33))</f>
        <v/>
      </c>
      <c r="J34" s="809">
        <f>IFERROR(IF($L$3=$AJ$8,'Statement of Marks'!K33,IF($L$3=$AJ$9,'Statement of Marks'!Y33,IF($L$3=$AJ$10,'Statement of Marks'!AN33,IF($L$3=$AJ$11,'Statement of Marks'!BB33,IF($L$3=$AJ$12,'Statement of Marks'!BP33,IF($L$3=$AJ$13,'Statement of Marks'!CE33,IF($L$3=$AJ$14,'Statement of Marks'!CT33,IF($L$3=$AJ$15,'Statement of Marks'!DZ33,IF($L$3=$AJ$16,'Statement of Marks'!EL33,IF($L$3=$AJ$17,('Statement of Marks'!FB33+'Statement of Marks'!FC33),"")))))))))),"")</f>
        <v>8</v>
      </c>
      <c r="K34" s="809">
        <f>IFERROR(IF($L$3=$AJ$8,'Statement of Marks'!L33,IF($L$3=$AJ$9,'Statement of Marks'!Z33,IF($L$3=$AJ$10,'Statement of Marks'!AO33,IF($L$3=$AJ$11,'Statement of Marks'!BC33,IF($L$3=$AJ$12,'Statement of Marks'!BQ33,IF($L$3=$AJ$13,'Statement of Marks'!CF33,IF($L$3=$AJ$14,'Statement of Marks'!CU33,IF($L$3=$AJ$15,'Statement of Marks'!EA33,IF($L$3=$AJ$16,'Statement of Marks'!EM33,IF($L$3=$AJ$17,('Statement of Marks'!FD33+'Statement of Marks'!FE33),"")))))))))),"")</f>
        <v>9</v>
      </c>
      <c r="L34" s="809">
        <f>IFERROR(IF($L$3=$AJ$8,'Statement of Marks'!M33,IF($L$3=$AJ$9,'Statement of Marks'!AA33,IF($L$3=$AJ$10,'Statement of Marks'!AP33,IF($L$3=$AJ$11,'Statement of Marks'!BD33,IF($L$3=$AJ$12,'Statement of Marks'!BR33,IF($L$3=$AJ$13,'Statement of Marks'!CG33,IF($L$3=$AJ$14,'Statement of Marks'!CV33,IF($L$3=$AJ$15,'Statement of Marks'!EB33,IF($L$3=$AJ$16,'Statement of Marks'!EN33,IF($L$3=$AJ$17,('Statement of Marks'!FF33+'Statement of Marks'!FG33),"")))))))))),"")</f>
        <v>7</v>
      </c>
      <c r="M34" s="810">
        <f t="shared" si="0"/>
        <v>24</v>
      </c>
      <c r="N34" s="809">
        <f>IFERROR(IF($L$3=$AJ$8,'Statement of Marks'!O33,IF($L$3=$AJ$9,'Statement of Marks'!AC33,IF($L$3=$AJ$10,'Statement of Marks'!AR33,IF($L$3=$AJ$11,'Statement of Marks'!BF33,IF($L$3=$AJ$12,'Statement of Marks'!BT33,IF($L$3=$AJ$13,'Statement of Marks'!CI33,IF($L$3=$AJ$14,('Statement of Marks'!CX33+'Statement of Marks'!CY33),IF($L$3=$AJ$15,'Statement of Marks'!ED33,IF($L$3=$AJ$16,('Statement of Marks'!EP33+'Statement of Marks'!EQ33),IF($L$3=$AJ$17,('Statement of Marks'!FI33+'Statement of Marks'!FJ33),IF($L$3=$AJ$18,'Statement of Marks'!FU33,IF($L$3=$AJ$19,'Statement of Marks'!GC33,"")))))))))))),"")</f>
        <v>60</v>
      </c>
      <c r="O34" s="811">
        <f>IF($L$3=$AJ$18,'Statement of Marks'!FV33,IF($L$3=$AJ$19,'Statement of Marks'!GD33,IF(AND(M34="NA",N34="NA"),"NA",IF(AND(M34="",N34=""),"",SUM(M34,N34)))))</f>
        <v>84</v>
      </c>
      <c r="P34" s="809">
        <f>IFERROR(IF($L$3=$AJ$8,'Statement of Marks'!Q33,IF($L$3=$AJ$9,'Statement of Marks'!AE33,IF($L$3=$AJ$10,'Statement of Marks'!AT33,IF($L$3=$AJ$11,'Statement of Marks'!BH33,IF($L$3=$AJ$12,'Statement of Marks'!BV33,IF($L$3=$AJ$13,'Statement of Marks'!CK33,IF($L$3=$AJ$14,('Statement of Marks'!DB33+'Statement of Marks'!DC33),IF($L$3=$AJ$15,'Statement of Marks'!EF33,IF($L$3=$AJ$16,('Statement of Marks'!ET33+'Statement of Marks'!EU33),IF($L$3=$AJ$17,('Statement of Marks'!FM33+'Statement of Marks'!FN33),IF($L$3=$AJ$18,'Statement of Marks'!FW33,IF($L$3=$AJ$19,'Statement of Marks'!GE33,"")))))))))))),"")</f>
        <v>85</v>
      </c>
      <c r="Q34" s="812">
        <f t="shared" si="3"/>
        <v>169</v>
      </c>
      <c r="R34" s="813">
        <f t="shared" si="1"/>
        <v>0</v>
      </c>
      <c r="S34" s="813">
        <f t="shared" si="4"/>
        <v>200</v>
      </c>
      <c r="T34" s="813" t="str">
        <f t="shared" si="5"/>
        <v/>
      </c>
      <c r="U34" s="814" t="str">
        <f t="shared" si="6"/>
        <v>P</v>
      </c>
      <c r="V34" s="815" t="str">
        <f t="shared" si="7"/>
        <v>I</v>
      </c>
      <c r="W34" s="816" t="str">
        <f t="shared" si="2"/>
        <v>B</v>
      </c>
    </row>
    <row r="35" spans="1:23">
      <c r="A35" s="803">
        <f>IF('Statement of Marks'!A34="","",'Statement of Marks'!A34)</f>
        <v>28</v>
      </c>
      <c r="B35" s="804">
        <f>IF(OR($D$3="",$L$3=""),"",IF('Statement of Marks'!B34="","",'Statement of Marks'!B34))</f>
        <v>928</v>
      </c>
      <c r="C35" s="805" t="str">
        <f>IF(OR($D$3="",$L$3=""),"",IF('Statement of Marks'!D34="","",'Statement of Marks'!D34))</f>
        <v/>
      </c>
      <c r="D35" s="806" t="str">
        <f>IF(OR($D$3="",$L$3=""),"",IF('Statement of Marks'!E34="","",'Statement of Marks'!E34))</f>
        <v/>
      </c>
      <c r="E35" s="807" t="str">
        <f>IF(OR($D$3="",$L$3=""),"",IF('Statement of Marks'!F34="","",'Statement of Marks'!F34))</f>
        <v>DIMPLE</v>
      </c>
      <c r="F35" s="807" t="str">
        <f>IF(OR($D$3="",$L$3=""),"",IF('Statement of Marks'!G34="","",'Statement of Marks'!G34))</f>
        <v/>
      </c>
      <c r="G35" s="807" t="str">
        <f>IF(OR($D$3="",$L$3=""),"",IF('Statement of Marks'!H34="","",'Statement of Marks'!H34))</f>
        <v/>
      </c>
      <c r="H35" s="808" t="str">
        <f>IF(OR($D$3="",$L$3=""),"",IF('Statement of Marks'!I34="","",'Statement of Marks'!I34))</f>
        <v/>
      </c>
      <c r="I35" s="808" t="str">
        <f>IF(OR($D$3="",$L$3=""),"",IF('Statement of Marks'!J34="","",'Statement of Marks'!J34))</f>
        <v/>
      </c>
      <c r="J35" s="809">
        <f>IFERROR(IF($L$3=$AJ$8,'Statement of Marks'!K34,IF($L$3=$AJ$9,'Statement of Marks'!Y34,IF($L$3=$AJ$10,'Statement of Marks'!AN34,IF($L$3=$AJ$11,'Statement of Marks'!BB34,IF($L$3=$AJ$12,'Statement of Marks'!BP34,IF($L$3=$AJ$13,'Statement of Marks'!CE34,IF($L$3=$AJ$14,'Statement of Marks'!CT34,IF($L$3=$AJ$15,'Statement of Marks'!DZ34,IF($L$3=$AJ$16,'Statement of Marks'!EL34,IF($L$3=$AJ$17,('Statement of Marks'!FB34+'Statement of Marks'!FC34),"")))))))))),"")</f>
        <v>8</v>
      </c>
      <c r="K35" s="809">
        <f>IFERROR(IF($L$3=$AJ$8,'Statement of Marks'!L34,IF($L$3=$AJ$9,'Statement of Marks'!Z34,IF($L$3=$AJ$10,'Statement of Marks'!AO34,IF($L$3=$AJ$11,'Statement of Marks'!BC34,IF($L$3=$AJ$12,'Statement of Marks'!BQ34,IF($L$3=$AJ$13,'Statement of Marks'!CF34,IF($L$3=$AJ$14,'Statement of Marks'!CU34,IF($L$3=$AJ$15,'Statement of Marks'!EA34,IF($L$3=$AJ$16,'Statement of Marks'!EM34,IF($L$3=$AJ$17,('Statement of Marks'!FD34+'Statement of Marks'!FE34),"")))))))))),"")</f>
        <v>9</v>
      </c>
      <c r="L35" s="809">
        <f>IFERROR(IF($L$3=$AJ$8,'Statement of Marks'!M34,IF($L$3=$AJ$9,'Statement of Marks'!AA34,IF($L$3=$AJ$10,'Statement of Marks'!AP34,IF($L$3=$AJ$11,'Statement of Marks'!BD34,IF($L$3=$AJ$12,'Statement of Marks'!BR34,IF($L$3=$AJ$13,'Statement of Marks'!CG34,IF($L$3=$AJ$14,'Statement of Marks'!CV34,IF($L$3=$AJ$15,'Statement of Marks'!EB34,IF($L$3=$AJ$16,'Statement of Marks'!EN34,IF($L$3=$AJ$17,('Statement of Marks'!FF34+'Statement of Marks'!FG34),"")))))))))),"")</f>
        <v>7</v>
      </c>
      <c r="M35" s="810">
        <f t="shared" si="0"/>
        <v>24</v>
      </c>
      <c r="N35" s="809">
        <f>IFERROR(IF($L$3=$AJ$8,'Statement of Marks'!O34,IF($L$3=$AJ$9,'Statement of Marks'!AC34,IF($L$3=$AJ$10,'Statement of Marks'!AR34,IF($L$3=$AJ$11,'Statement of Marks'!BF34,IF($L$3=$AJ$12,'Statement of Marks'!BT34,IF($L$3=$AJ$13,'Statement of Marks'!CI34,IF($L$3=$AJ$14,('Statement of Marks'!CX34+'Statement of Marks'!CY34),IF($L$3=$AJ$15,'Statement of Marks'!ED34,IF($L$3=$AJ$16,('Statement of Marks'!EP34+'Statement of Marks'!EQ34),IF($L$3=$AJ$17,('Statement of Marks'!FI34+'Statement of Marks'!FJ34),IF($L$3=$AJ$18,'Statement of Marks'!FU34,IF($L$3=$AJ$19,'Statement of Marks'!GC34,"")))))))))))),"")</f>
        <v>60</v>
      </c>
      <c r="O35" s="811">
        <f>IF($L$3=$AJ$18,'Statement of Marks'!FV34,IF($L$3=$AJ$19,'Statement of Marks'!GD34,IF(AND(M35="NA",N35="NA"),"NA",IF(AND(M35="",N35=""),"",SUM(M35,N35)))))</f>
        <v>84</v>
      </c>
      <c r="P35" s="809">
        <f>IFERROR(IF($L$3=$AJ$8,'Statement of Marks'!Q34,IF($L$3=$AJ$9,'Statement of Marks'!AE34,IF($L$3=$AJ$10,'Statement of Marks'!AT34,IF($L$3=$AJ$11,'Statement of Marks'!BH34,IF($L$3=$AJ$12,'Statement of Marks'!BV34,IF($L$3=$AJ$13,'Statement of Marks'!CK34,IF($L$3=$AJ$14,('Statement of Marks'!DB34+'Statement of Marks'!DC34),IF($L$3=$AJ$15,'Statement of Marks'!EF34,IF($L$3=$AJ$16,('Statement of Marks'!ET34+'Statement of Marks'!EU34),IF($L$3=$AJ$17,('Statement of Marks'!FM34+'Statement of Marks'!FN34),IF($L$3=$AJ$18,'Statement of Marks'!FW34,IF($L$3=$AJ$19,'Statement of Marks'!GE34,"")))))))))))),"")</f>
        <v>85</v>
      </c>
      <c r="Q35" s="812">
        <f t="shared" si="3"/>
        <v>169</v>
      </c>
      <c r="R35" s="813">
        <f t="shared" si="1"/>
        <v>0</v>
      </c>
      <c r="S35" s="813">
        <f t="shared" si="4"/>
        <v>200</v>
      </c>
      <c r="T35" s="813" t="str">
        <f t="shared" si="5"/>
        <v/>
      </c>
      <c r="U35" s="814" t="str">
        <f t="shared" si="6"/>
        <v>P</v>
      </c>
      <c r="V35" s="815" t="str">
        <f t="shared" si="7"/>
        <v>I</v>
      </c>
      <c r="W35" s="816" t="str">
        <f t="shared" si="2"/>
        <v>B</v>
      </c>
    </row>
    <row r="36" spans="1:23">
      <c r="A36" s="803">
        <f>IF('Statement of Marks'!A35="","",'Statement of Marks'!A35)</f>
        <v>29</v>
      </c>
      <c r="B36" s="804">
        <f>IF(OR($D$3="",$L$3=""),"",IF('Statement of Marks'!B35="","",'Statement of Marks'!B35))</f>
        <v>929</v>
      </c>
      <c r="C36" s="805" t="str">
        <f>IF(OR($D$3="",$L$3=""),"",IF('Statement of Marks'!D35="","",'Statement of Marks'!D35))</f>
        <v/>
      </c>
      <c r="D36" s="806" t="str">
        <f>IF(OR($D$3="",$L$3=""),"",IF('Statement of Marks'!E35="","",'Statement of Marks'!E35))</f>
        <v/>
      </c>
      <c r="E36" s="807" t="str">
        <f>IF(OR($D$3="",$L$3=""),"",IF('Statement of Marks'!F35="","",'Statement of Marks'!F35))</f>
        <v>DIPIKA</v>
      </c>
      <c r="F36" s="807" t="str">
        <f>IF(OR($D$3="",$L$3=""),"",IF('Statement of Marks'!G35="","",'Statement of Marks'!G35))</f>
        <v/>
      </c>
      <c r="G36" s="807" t="str">
        <f>IF(OR($D$3="",$L$3=""),"",IF('Statement of Marks'!H35="","",'Statement of Marks'!H35))</f>
        <v/>
      </c>
      <c r="H36" s="808" t="str">
        <f>IF(OR($D$3="",$L$3=""),"",IF('Statement of Marks'!I35="","",'Statement of Marks'!I35))</f>
        <v/>
      </c>
      <c r="I36" s="808" t="str">
        <f>IF(OR($D$3="",$L$3=""),"",IF('Statement of Marks'!J35="","",'Statement of Marks'!J35))</f>
        <v/>
      </c>
      <c r="J36" s="809">
        <f>IFERROR(IF($L$3=$AJ$8,'Statement of Marks'!K35,IF($L$3=$AJ$9,'Statement of Marks'!Y35,IF($L$3=$AJ$10,'Statement of Marks'!AN35,IF($L$3=$AJ$11,'Statement of Marks'!BB35,IF($L$3=$AJ$12,'Statement of Marks'!BP35,IF($L$3=$AJ$13,'Statement of Marks'!CE35,IF($L$3=$AJ$14,'Statement of Marks'!CT35,IF($L$3=$AJ$15,'Statement of Marks'!DZ35,IF($L$3=$AJ$16,'Statement of Marks'!EL35,IF($L$3=$AJ$17,('Statement of Marks'!FB35+'Statement of Marks'!FC35),"")))))))))),"")</f>
        <v>8</v>
      </c>
      <c r="K36" s="809">
        <f>IFERROR(IF($L$3=$AJ$8,'Statement of Marks'!L35,IF($L$3=$AJ$9,'Statement of Marks'!Z35,IF($L$3=$AJ$10,'Statement of Marks'!AO35,IF($L$3=$AJ$11,'Statement of Marks'!BC35,IF($L$3=$AJ$12,'Statement of Marks'!BQ35,IF($L$3=$AJ$13,'Statement of Marks'!CF35,IF($L$3=$AJ$14,'Statement of Marks'!CU35,IF($L$3=$AJ$15,'Statement of Marks'!EA35,IF($L$3=$AJ$16,'Statement of Marks'!EM35,IF($L$3=$AJ$17,('Statement of Marks'!FD35+'Statement of Marks'!FE35),"")))))))))),"")</f>
        <v>9</v>
      </c>
      <c r="L36" s="809">
        <f>IFERROR(IF($L$3=$AJ$8,'Statement of Marks'!M35,IF($L$3=$AJ$9,'Statement of Marks'!AA35,IF($L$3=$AJ$10,'Statement of Marks'!AP35,IF($L$3=$AJ$11,'Statement of Marks'!BD35,IF($L$3=$AJ$12,'Statement of Marks'!BR35,IF($L$3=$AJ$13,'Statement of Marks'!CG35,IF($L$3=$AJ$14,'Statement of Marks'!CV35,IF($L$3=$AJ$15,'Statement of Marks'!EB35,IF($L$3=$AJ$16,'Statement of Marks'!EN35,IF($L$3=$AJ$17,('Statement of Marks'!FF35+'Statement of Marks'!FG35),"")))))))))),"")</f>
        <v>7</v>
      </c>
      <c r="M36" s="810">
        <f t="shared" si="0"/>
        <v>24</v>
      </c>
      <c r="N36" s="809">
        <f>IFERROR(IF($L$3=$AJ$8,'Statement of Marks'!O35,IF($L$3=$AJ$9,'Statement of Marks'!AC35,IF($L$3=$AJ$10,'Statement of Marks'!AR35,IF($L$3=$AJ$11,'Statement of Marks'!BF35,IF($L$3=$AJ$12,'Statement of Marks'!BT35,IF($L$3=$AJ$13,'Statement of Marks'!CI35,IF($L$3=$AJ$14,('Statement of Marks'!CX35+'Statement of Marks'!CY35),IF($L$3=$AJ$15,'Statement of Marks'!ED35,IF($L$3=$AJ$16,('Statement of Marks'!EP35+'Statement of Marks'!EQ35),IF($L$3=$AJ$17,('Statement of Marks'!FI35+'Statement of Marks'!FJ35),IF($L$3=$AJ$18,'Statement of Marks'!FU35,IF($L$3=$AJ$19,'Statement of Marks'!GC35,"")))))))))))),"")</f>
        <v>60</v>
      </c>
      <c r="O36" s="811">
        <f>IF($L$3=$AJ$18,'Statement of Marks'!FV35,IF($L$3=$AJ$19,'Statement of Marks'!GD35,IF(AND(M36="NA",N36="NA"),"NA",IF(AND(M36="",N36=""),"",SUM(M36,N36)))))</f>
        <v>84</v>
      </c>
      <c r="P36" s="809">
        <f>IFERROR(IF($L$3=$AJ$8,'Statement of Marks'!Q35,IF($L$3=$AJ$9,'Statement of Marks'!AE35,IF($L$3=$AJ$10,'Statement of Marks'!AT35,IF($L$3=$AJ$11,'Statement of Marks'!BH35,IF($L$3=$AJ$12,'Statement of Marks'!BV35,IF($L$3=$AJ$13,'Statement of Marks'!CK35,IF($L$3=$AJ$14,('Statement of Marks'!DB35+'Statement of Marks'!DC35),IF($L$3=$AJ$15,'Statement of Marks'!EF35,IF($L$3=$AJ$16,('Statement of Marks'!ET35+'Statement of Marks'!EU35),IF($L$3=$AJ$17,('Statement of Marks'!FM35+'Statement of Marks'!FN35),IF($L$3=$AJ$18,'Statement of Marks'!FW35,IF($L$3=$AJ$19,'Statement of Marks'!GE35,"")))))))))))),"")</f>
        <v>85</v>
      </c>
      <c r="Q36" s="812">
        <f t="shared" si="3"/>
        <v>169</v>
      </c>
      <c r="R36" s="813">
        <f t="shared" si="1"/>
        <v>0</v>
      </c>
      <c r="S36" s="813">
        <f t="shared" si="4"/>
        <v>200</v>
      </c>
      <c r="T36" s="813" t="str">
        <f t="shared" si="5"/>
        <v/>
      </c>
      <c r="U36" s="814" t="str">
        <f t="shared" si="6"/>
        <v>P</v>
      </c>
      <c r="V36" s="815" t="str">
        <f t="shared" si="7"/>
        <v>I</v>
      </c>
      <c r="W36" s="816" t="str">
        <f t="shared" si="2"/>
        <v>B</v>
      </c>
    </row>
    <row r="37" spans="1:23">
      <c r="A37" s="803">
        <f>IF('Statement of Marks'!A36="","",'Statement of Marks'!A36)</f>
        <v>30</v>
      </c>
      <c r="B37" s="804">
        <f>IF(OR($D$3="",$L$3=""),"",IF('Statement of Marks'!B36="","",'Statement of Marks'!B36))</f>
        <v>930</v>
      </c>
      <c r="C37" s="805" t="str">
        <f>IF(OR($D$3="",$L$3=""),"",IF('Statement of Marks'!D36="","",'Statement of Marks'!D36))</f>
        <v/>
      </c>
      <c r="D37" s="806" t="str">
        <f>IF(OR($D$3="",$L$3=""),"",IF('Statement of Marks'!E36="","",'Statement of Marks'!E36))</f>
        <v/>
      </c>
      <c r="E37" s="807" t="str">
        <f>IF(OR($D$3="",$L$3=""),"",IF('Statement of Marks'!F36="","",'Statement of Marks'!F36))</f>
        <v>DEVENDRA</v>
      </c>
      <c r="F37" s="807" t="str">
        <f>IF(OR($D$3="",$L$3=""),"",IF('Statement of Marks'!G36="","",'Statement of Marks'!G36))</f>
        <v/>
      </c>
      <c r="G37" s="807" t="str">
        <f>IF(OR($D$3="",$L$3=""),"",IF('Statement of Marks'!H36="","",'Statement of Marks'!H36))</f>
        <v/>
      </c>
      <c r="H37" s="808" t="str">
        <f>IF(OR($D$3="",$L$3=""),"",IF('Statement of Marks'!I36="","",'Statement of Marks'!I36))</f>
        <v/>
      </c>
      <c r="I37" s="808" t="str">
        <f>IF(OR($D$3="",$L$3=""),"",IF('Statement of Marks'!J36="","",'Statement of Marks'!J36))</f>
        <v/>
      </c>
      <c r="J37" s="809">
        <f>IFERROR(IF($L$3=$AJ$8,'Statement of Marks'!K36,IF($L$3=$AJ$9,'Statement of Marks'!Y36,IF($L$3=$AJ$10,'Statement of Marks'!AN36,IF($L$3=$AJ$11,'Statement of Marks'!BB36,IF($L$3=$AJ$12,'Statement of Marks'!BP36,IF($L$3=$AJ$13,'Statement of Marks'!CE36,IF($L$3=$AJ$14,'Statement of Marks'!CT36,IF($L$3=$AJ$15,'Statement of Marks'!DZ36,IF($L$3=$AJ$16,'Statement of Marks'!EL36,IF($L$3=$AJ$17,('Statement of Marks'!FB36+'Statement of Marks'!FC36),"")))))))))),"")</f>
        <v>8</v>
      </c>
      <c r="K37" s="809">
        <f>IFERROR(IF($L$3=$AJ$8,'Statement of Marks'!L36,IF($L$3=$AJ$9,'Statement of Marks'!Z36,IF($L$3=$AJ$10,'Statement of Marks'!AO36,IF($L$3=$AJ$11,'Statement of Marks'!BC36,IF($L$3=$AJ$12,'Statement of Marks'!BQ36,IF($L$3=$AJ$13,'Statement of Marks'!CF36,IF($L$3=$AJ$14,'Statement of Marks'!CU36,IF($L$3=$AJ$15,'Statement of Marks'!EA36,IF($L$3=$AJ$16,'Statement of Marks'!EM36,IF($L$3=$AJ$17,('Statement of Marks'!FD36+'Statement of Marks'!FE36),"")))))))))),"")</f>
        <v>9</v>
      </c>
      <c r="L37" s="809">
        <f>IFERROR(IF($L$3=$AJ$8,'Statement of Marks'!M36,IF($L$3=$AJ$9,'Statement of Marks'!AA36,IF($L$3=$AJ$10,'Statement of Marks'!AP36,IF($L$3=$AJ$11,'Statement of Marks'!BD36,IF($L$3=$AJ$12,'Statement of Marks'!BR36,IF($L$3=$AJ$13,'Statement of Marks'!CG36,IF($L$3=$AJ$14,'Statement of Marks'!CV36,IF($L$3=$AJ$15,'Statement of Marks'!EB36,IF($L$3=$AJ$16,'Statement of Marks'!EN36,IF($L$3=$AJ$17,('Statement of Marks'!FF36+'Statement of Marks'!FG36),"")))))))))),"")</f>
        <v>7</v>
      </c>
      <c r="M37" s="810">
        <f t="shared" si="0"/>
        <v>24</v>
      </c>
      <c r="N37" s="809">
        <f>IFERROR(IF($L$3=$AJ$8,'Statement of Marks'!O36,IF($L$3=$AJ$9,'Statement of Marks'!AC36,IF($L$3=$AJ$10,'Statement of Marks'!AR36,IF($L$3=$AJ$11,'Statement of Marks'!BF36,IF($L$3=$AJ$12,'Statement of Marks'!BT36,IF($L$3=$AJ$13,'Statement of Marks'!CI36,IF($L$3=$AJ$14,('Statement of Marks'!CX36+'Statement of Marks'!CY36),IF($L$3=$AJ$15,'Statement of Marks'!ED36,IF($L$3=$AJ$16,('Statement of Marks'!EP36+'Statement of Marks'!EQ36),IF($L$3=$AJ$17,('Statement of Marks'!FI36+'Statement of Marks'!FJ36),IF($L$3=$AJ$18,'Statement of Marks'!FU36,IF($L$3=$AJ$19,'Statement of Marks'!GC36,"")))))))))))),"")</f>
        <v>60</v>
      </c>
      <c r="O37" s="811">
        <f>IF($L$3=$AJ$18,'Statement of Marks'!FV36,IF($L$3=$AJ$19,'Statement of Marks'!GD36,IF(AND(M37="NA",N37="NA"),"NA",IF(AND(M37="",N37=""),"",SUM(M37,N37)))))</f>
        <v>84</v>
      </c>
      <c r="P37" s="809">
        <f>IFERROR(IF($L$3=$AJ$8,'Statement of Marks'!Q36,IF($L$3=$AJ$9,'Statement of Marks'!AE36,IF($L$3=$AJ$10,'Statement of Marks'!AT36,IF($L$3=$AJ$11,'Statement of Marks'!BH36,IF($L$3=$AJ$12,'Statement of Marks'!BV36,IF($L$3=$AJ$13,'Statement of Marks'!CK36,IF($L$3=$AJ$14,('Statement of Marks'!DB36+'Statement of Marks'!DC36),IF($L$3=$AJ$15,'Statement of Marks'!EF36,IF($L$3=$AJ$16,('Statement of Marks'!ET36+'Statement of Marks'!EU36),IF($L$3=$AJ$17,('Statement of Marks'!FM36+'Statement of Marks'!FN36),IF($L$3=$AJ$18,'Statement of Marks'!FW36,IF($L$3=$AJ$19,'Statement of Marks'!GE36,"")))))))))))),"")</f>
        <v>85</v>
      </c>
      <c r="Q37" s="812">
        <f t="shared" si="3"/>
        <v>169</v>
      </c>
      <c r="R37" s="813">
        <f t="shared" si="1"/>
        <v>0</v>
      </c>
      <c r="S37" s="813">
        <f t="shared" si="4"/>
        <v>200</v>
      </c>
      <c r="T37" s="813" t="str">
        <f t="shared" si="5"/>
        <v/>
      </c>
      <c r="U37" s="814" t="str">
        <f t="shared" si="6"/>
        <v>P</v>
      </c>
      <c r="V37" s="815" t="str">
        <f t="shared" si="7"/>
        <v>I</v>
      </c>
      <c r="W37" s="816" t="str">
        <f t="shared" si="2"/>
        <v>B</v>
      </c>
    </row>
    <row r="38" spans="1:23">
      <c r="A38" s="803">
        <f>IF('Statement of Marks'!A37="","",'Statement of Marks'!A37)</f>
        <v>31</v>
      </c>
      <c r="B38" s="804">
        <f>IF(OR($D$3="",$L$3=""),"",IF('Statement of Marks'!B37="","",'Statement of Marks'!B37))</f>
        <v>931</v>
      </c>
      <c r="C38" s="805" t="str">
        <f>IF(OR($D$3="",$L$3=""),"",IF('Statement of Marks'!D37="","",'Statement of Marks'!D37))</f>
        <v/>
      </c>
      <c r="D38" s="806" t="str">
        <f>IF(OR($D$3="",$L$3=""),"",IF('Statement of Marks'!E37="","",'Statement of Marks'!E37))</f>
        <v/>
      </c>
      <c r="E38" s="807" t="str">
        <f>IF(OR($D$3="",$L$3=""),"",IF('Statement of Marks'!F37="","",'Statement of Marks'!F37))</f>
        <v>RAVINDRA</v>
      </c>
      <c r="F38" s="807" t="str">
        <f>IF(OR($D$3="",$L$3=""),"",IF('Statement of Marks'!G37="","",'Statement of Marks'!G37))</f>
        <v/>
      </c>
      <c r="G38" s="807" t="str">
        <f>IF(OR($D$3="",$L$3=""),"",IF('Statement of Marks'!H37="","",'Statement of Marks'!H37))</f>
        <v/>
      </c>
      <c r="H38" s="808" t="str">
        <f>IF(OR($D$3="",$L$3=""),"",IF('Statement of Marks'!I37="","",'Statement of Marks'!I37))</f>
        <v/>
      </c>
      <c r="I38" s="808" t="str">
        <f>IF(OR($D$3="",$L$3=""),"",IF('Statement of Marks'!J37="","",'Statement of Marks'!J37))</f>
        <v/>
      </c>
      <c r="J38" s="809">
        <f>IFERROR(IF($L$3=$AJ$8,'Statement of Marks'!K37,IF($L$3=$AJ$9,'Statement of Marks'!Y37,IF($L$3=$AJ$10,'Statement of Marks'!AN37,IF($L$3=$AJ$11,'Statement of Marks'!BB37,IF($L$3=$AJ$12,'Statement of Marks'!BP37,IF($L$3=$AJ$13,'Statement of Marks'!CE37,IF($L$3=$AJ$14,'Statement of Marks'!CT37,IF($L$3=$AJ$15,'Statement of Marks'!DZ37,IF($L$3=$AJ$16,'Statement of Marks'!EL37,IF($L$3=$AJ$17,('Statement of Marks'!FB37+'Statement of Marks'!FC37),"")))))))))),"")</f>
        <v>8</v>
      </c>
      <c r="K38" s="809">
        <f>IFERROR(IF($L$3=$AJ$8,'Statement of Marks'!L37,IF($L$3=$AJ$9,'Statement of Marks'!Z37,IF($L$3=$AJ$10,'Statement of Marks'!AO37,IF($L$3=$AJ$11,'Statement of Marks'!BC37,IF($L$3=$AJ$12,'Statement of Marks'!BQ37,IF($L$3=$AJ$13,'Statement of Marks'!CF37,IF($L$3=$AJ$14,'Statement of Marks'!CU37,IF($L$3=$AJ$15,'Statement of Marks'!EA37,IF($L$3=$AJ$16,'Statement of Marks'!EM37,IF($L$3=$AJ$17,('Statement of Marks'!FD37+'Statement of Marks'!FE37),"")))))))))),"")</f>
        <v>9</v>
      </c>
      <c r="L38" s="809">
        <f>IFERROR(IF($L$3=$AJ$8,'Statement of Marks'!M37,IF($L$3=$AJ$9,'Statement of Marks'!AA37,IF($L$3=$AJ$10,'Statement of Marks'!AP37,IF($L$3=$AJ$11,'Statement of Marks'!BD37,IF($L$3=$AJ$12,'Statement of Marks'!BR37,IF($L$3=$AJ$13,'Statement of Marks'!CG37,IF($L$3=$AJ$14,'Statement of Marks'!CV37,IF($L$3=$AJ$15,'Statement of Marks'!EB37,IF($L$3=$AJ$16,'Statement of Marks'!EN37,IF($L$3=$AJ$17,('Statement of Marks'!FF37+'Statement of Marks'!FG37),"")))))))))),"")</f>
        <v>7</v>
      </c>
      <c r="M38" s="810">
        <f t="shared" si="0"/>
        <v>24</v>
      </c>
      <c r="N38" s="809">
        <f>IFERROR(IF($L$3=$AJ$8,'Statement of Marks'!O37,IF($L$3=$AJ$9,'Statement of Marks'!AC37,IF($L$3=$AJ$10,'Statement of Marks'!AR37,IF($L$3=$AJ$11,'Statement of Marks'!BF37,IF($L$3=$AJ$12,'Statement of Marks'!BT37,IF($L$3=$AJ$13,'Statement of Marks'!CI37,IF($L$3=$AJ$14,('Statement of Marks'!CX37+'Statement of Marks'!CY37),IF($L$3=$AJ$15,'Statement of Marks'!ED37,IF($L$3=$AJ$16,('Statement of Marks'!EP37+'Statement of Marks'!EQ37),IF($L$3=$AJ$17,('Statement of Marks'!FI37+'Statement of Marks'!FJ37),IF($L$3=$AJ$18,'Statement of Marks'!FU37,IF($L$3=$AJ$19,'Statement of Marks'!GC37,"")))))))))))),"")</f>
        <v>60</v>
      </c>
      <c r="O38" s="811">
        <f>IF($L$3=$AJ$18,'Statement of Marks'!FV37,IF($L$3=$AJ$19,'Statement of Marks'!GD37,IF(AND(M38="NA",N38="NA"),"NA",IF(AND(M38="",N38=""),"",SUM(M38,N38)))))</f>
        <v>84</v>
      </c>
      <c r="P38" s="809">
        <f>IFERROR(IF($L$3=$AJ$8,'Statement of Marks'!Q37,IF($L$3=$AJ$9,'Statement of Marks'!AE37,IF($L$3=$AJ$10,'Statement of Marks'!AT37,IF($L$3=$AJ$11,'Statement of Marks'!BH37,IF($L$3=$AJ$12,'Statement of Marks'!BV37,IF($L$3=$AJ$13,'Statement of Marks'!CK37,IF($L$3=$AJ$14,('Statement of Marks'!DB37+'Statement of Marks'!DC37),IF($L$3=$AJ$15,'Statement of Marks'!EF37,IF($L$3=$AJ$16,('Statement of Marks'!ET37+'Statement of Marks'!EU37),IF($L$3=$AJ$17,('Statement of Marks'!FM37+'Statement of Marks'!FN37),IF($L$3=$AJ$18,'Statement of Marks'!FW37,IF($L$3=$AJ$19,'Statement of Marks'!GE37,"")))))))))))),"")</f>
        <v>85</v>
      </c>
      <c r="Q38" s="812">
        <f t="shared" si="3"/>
        <v>169</v>
      </c>
      <c r="R38" s="813">
        <f t="shared" si="1"/>
        <v>0</v>
      </c>
      <c r="S38" s="813">
        <f t="shared" si="4"/>
        <v>200</v>
      </c>
      <c r="T38" s="813" t="str">
        <f t="shared" si="5"/>
        <v/>
      </c>
      <c r="U38" s="814" t="str">
        <f t="shared" si="6"/>
        <v>P</v>
      </c>
      <c r="V38" s="815" t="str">
        <f t="shared" si="7"/>
        <v>I</v>
      </c>
      <c r="W38" s="816" t="str">
        <f t="shared" si="2"/>
        <v>B</v>
      </c>
    </row>
    <row r="39" spans="1:23">
      <c r="A39" s="803">
        <f>IF('Statement of Marks'!A38="","",'Statement of Marks'!A38)</f>
        <v>32</v>
      </c>
      <c r="B39" s="804" t="str">
        <f>IF(OR($D$3="",$L$3=""),"",IF('Statement of Marks'!B38="","",'Statement of Marks'!B38))</f>
        <v/>
      </c>
      <c r="C39" s="805" t="str">
        <f>IF(OR($D$3="",$L$3=""),"",IF('Statement of Marks'!D38="","",'Statement of Marks'!D38))</f>
        <v/>
      </c>
      <c r="D39" s="806" t="str">
        <f>IF(OR($D$3="",$L$3=""),"",IF('Statement of Marks'!E38="","",'Statement of Marks'!E38))</f>
        <v/>
      </c>
      <c r="E39" s="807" t="str">
        <f>IF(OR($D$3="",$L$3=""),"",IF('Statement of Marks'!F38="","",'Statement of Marks'!F38))</f>
        <v/>
      </c>
      <c r="F39" s="807" t="str">
        <f>IF(OR($D$3="",$L$3=""),"",IF('Statement of Marks'!G38="","",'Statement of Marks'!G38))</f>
        <v/>
      </c>
      <c r="G39" s="807" t="str">
        <f>IF(OR($D$3="",$L$3=""),"",IF('Statement of Marks'!H38="","",'Statement of Marks'!H38))</f>
        <v/>
      </c>
      <c r="H39" s="808" t="str">
        <f>IF(OR($D$3="",$L$3=""),"",IF('Statement of Marks'!I38="","",'Statement of Marks'!I38))</f>
        <v/>
      </c>
      <c r="I39" s="808" t="str">
        <f>IF(OR($D$3="",$L$3=""),"",IF('Statement of Marks'!J38="","",'Statement of Marks'!J38))</f>
        <v/>
      </c>
      <c r="J39" s="809" t="str">
        <f>IFERROR(IF($L$3=$AJ$8,'Statement of Marks'!K38,IF($L$3=$AJ$9,'Statement of Marks'!Y38,IF($L$3=$AJ$10,'Statement of Marks'!AN38,IF($L$3=$AJ$11,'Statement of Marks'!BB38,IF($L$3=$AJ$12,'Statement of Marks'!BP38,IF($L$3=$AJ$13,'Statement of Marks'!CE38,IF($L$3=$AJ$14,'Statement of Marks'!CT38,IF($L$3=$AJ$15,'Statement of Marks'!DZ38,IF($L$3=$AJ$16,'Statement of Marks'!EL38,IF($L$3=$AJ$17,('Statement of Marks'!FB38+'Statement of Marks'!FC38),"")))))))))),"")</f>
        <v/>
      </c>
      <c r="K39" s="809" t="str">
        <f>IFERROR(IF($L$3=$AJ$8,'Statement of Marks'!L38,IF($L$3=$AJ$9,'Statement of Marks'!Z38,IF($L$3=$AJ$10,'Statement of Marks'!AO38,IF($L$3=$AJ$11,'Statement of Marks'!BC38,IF($L$3=$AJ$12,'Statement of Marks'!BQ38,IF($L$3=$AJ$13,'Statement of Marks'!CF38,IF($L$3=$AJ$14,'Statement of Marks'!CU38,IF($L$3=$AJ$15,'Statement of Marks'!EA38,IF($L$3=$AJ$16,'Statement of Marks'!EM38,IF($L$3=$AJ$17,('Statement of Marks'!FD38+'Statement of Marks'!FE38),"")))))))))),"")</f>
        <v/>
      </c>
      <c r="L39" s="809" t="str">
        <f>IFERROR(IF($L$3=$AJ$8,'Statement of Marks'!M38,IF($L$3=$AJ$9,'Statement of Marks'!AA38,IF($L$3=$AJ$10,'Statement of Marks'!AP38,IF($L$3=$AJ$11,'Statement of Marks'!BD38,IF($L$3=$AJ$12,'Statement of Marks'!BR38,IF($L$3=$AJ$13,'Statement of Marks'!CG38,IF($L$3=$AJ$14,'Statement of Marks'!CV38,IF($L$3=$AJ$15,'Statement of Marks'!EB38,IF($L$3=$AJ$16,'Statement of Marks'!EN38,IF($L$3=$AJ$17,('Statement of Marks'!FF38+'Statement of Marks'!FG38),"")))))))))),"")</f>
        <v/>
      </c>
      <c r="M39" s="810">
        <f t="shared" si="0"/>
        <v>0</v>
      </c>
      <c r="N39" s="809" t="str">
        <f>IFERROR(IF($L$3=$AJ$8,'Statement of Marks'!O38,IF($L$3=$AJ$9,'Statement of Marks'!AC38,IF($L$3=$AJ$10,'Statement of Marks'!AR38,IF($L$3=$AJ$11,'Statement of Marks'!BF38,IF($L$3=$AJ$12,'Statement of Marks'!BT38,IF($L$3=$AJ$13,'Statement of Marks'!CI38,IF($L$3=$AJ$14,('Statement of Marks'!CX38+'Statement of Marks'!CY38),IF($L$3=$AJ$15,'Statement of Marks'!ED38,IF($L$3=$AJ$16,('Statement of Marks'!EP38+'Statement of Marks'!EQ38),IF($L$3=$AJ$17,('Statement of Marks'!FI38+'Statement of Marks'!FJ38),IF($L$3=$AJ$18,'Statement of Marks'!FU38,IF($L$3=$AJ$19,'Statement of Marks'!GC38,"")))))))))))),"")</f>
        <v/>
      </c>
      <c r="O39" s="811">
        <f>IF($L$3=$AJ$18,'Statement of Marks'!FV38,IF($L$3=$AJ$19,'Statement of Marks'!GD38,IF(AND(M39="NA",N39="NA"),"NA",IF(AND(M39="",N39=""),"",SUM(M39,N39)))))</f>
        <v>0</v>
      </c>
      <c r="P39" s="809" t="str">
        <f>IFERROR(IF($L$3=$AJ$8,'Statement of Marks'!Q38,IF($L$3=$AJ$9,'Statement of Marks'!AE38,IF($L$3=$AJ$10,'Statement of Marks'!AT38,IF($L$3=$AJ$11,'Statement of Marks'!BH38,IF($L$3=$AJ$12,'Statement of Marks'!BV38,IF($L$3=$AJ$13,'Statement of Marks'!CK38,IF($L$3=$AJ$14,('Statement of Marks'!DB38+'Statement of Marks'!DC38),IF($L$3=$AJ$15,'Statement of Marks'!EF38,IF($L$3=$AJ$16,('Statement of Marks'!ET38+'Statement of Marks'!EU38),IF($L$3=$AJ$17,('Statement of Marks'!FM38+'Statement of Marks'!FN38),IF($L$3=$AJ$18,'Statement of Marks'!FW38,IF($L$3=$AJ$19,'Statement of Marks'!GE38,"")))))))))))),"")</f>
        <v/>
      </c>
      <c r="Q39" s="812" t="str">
        <f t="shared" si="3"/>
        <v/>
      </c>
      <c r="R39" s="813">
        <f t="shared" si="1"/>
        <v>0</v>
      </c>
      <c r="S39" s="813" t="str">
        <f t="shared" si="4"/>
        <v/>
      </c>
      <c r="T39" s="813" t="str">
        <f t="shared" si="5"/>
        <v/>
      </c>
      <c r="U39" s="814" t="str">
        <f t="shared" si="6"/>
        <v/>
      </c>
      <c r="V39" s="815" t="str">
        <f t="shared" si="7"/>
        <v/>
      </c>
      <c r="W39" s="816" t="str">
        <f t="shared" si="2"/>
        <v/>
      </c>
    </row>
    <row r="40" spans="1:23">
      <c r="A40" s="803">
        <f>IF('Statement of Marks'!A39="","",'Statement of Marks'!A39)</f>
        <v>33</v>
      </c>
      <c r="B40" s="804" t="str">
        <f>IF(OR($D$3="",$L$3=""),"",IF('Statement of Marks'!B39="","",'Statement of Marks'!B39))</f>
        <v/>
      </c>
      <c r="C40" s="805" t="str">
        <f>IF(OR($D$3="",$L$3=""),"",IF('Statement of Marks'!D39="","",'Statement of Marks'!D39))</f>
        <v/>
      </c>
      <c r="D40" s="806" t="str">
        <f>IF(OR($D$3="",$L$3=""),"",IF('Statement of Marks'!E39="","",'Statement of Marks'!E39))</f>
        <v/>
      </c>
      <c r="E40" s="807" t="str">
        <f>IF(OR($D$3="",$L$3=""),"",IF('Statement of Marks'!F39="","",'Statement of Marks'!F39))</f>
        <v/>
      </c>
      <c r="F40" s="807" t="str">
        <f>IF(OR($D$3="",$L$3=""),"",IF('Statement of Marks'!G39="","",'Statement of Marks'!G39))</f>
        <v/>
      </c>
      <c r="G40" s="807" t="str">
        <f>IF(OR($D$3="",$L$3=""),"",IF('Statement of Marks'!H39="","",'Statement of Marks'!H39))</f>
        <v/>
      </c>
      <c r="H40" s="808" t="str">
        <f>IF(OR($D$3="",$L$3=""),"",IF('Statement of Marks'!I39="","",'Statement of Marks'!I39))</f>
        <v/>
      </c>
      <c r="I40" s="808" t="str">
        <f>IF(OR($D$3="",$L$3=""),"",IF('Statement of Marks'!J39="","",'Statement of Marks'!J39))</f>
        <v/>
      </c>
      <c r="J40" s="809" t="str">
        <f>IFERROR(IF($L$3=$AJ$8,'Statement of Marks'!K39,IF($L$3=$AJ$9,'Statement of Marks'!Y39,IF($L$3=$AJ$10,'Statement of Marks'!AN39,IF($L$3=$AJ$11,'Statement of Marks'!BB39,IF($L$3=$AJ$12,'Statement of Marks'!BP39,IF($L$3=$AJ$13,'Statement of Marks'!CE39,IF($L$3=$AJ$14,'Statement of Marks'!CT39,IF($L$3=$AJ$15,'Statement of Marks'!DZ39,IF($L$3=$AJ$16,'Statement of Marks'!EL39,IF($L$3=$AJ$17,('Statement of Marks'!FB39+'Statement of Marks'!FC39),"")))))))))),"")</f>
        <v/>
      </c>
      <c r="K40" s="809" t="str">
        <f>IFERROR(IF($L$3=$AJ$8,'Statement of Marks'!L39,IF($L$3=$AJ$9,'Statement of Marks'!Z39,IF($L$3=$AJ$10,'Statement of Marks'!AO39,IF($L$3=$AJ$11,'Statement of Marks'!BC39,IF($L$3=$AJ$12,'Statement of Marks'!BQ39,IF($L$3=$AJ$13,'Statement of Marks'!CF39,IF($L$3=$AJ$14,'Statement of Marks'!CU39,IF($L$3=$AJ$15,'Statement of Marks'!EA39,IF($L$3=$AJ$16,'Statement of Marks'!EM39,IF($L$3=$AJ$17,('Statement of Marks'!FD39+'Statement of Marks'!FE39),"")))))))))),"")</f>
        <v/>
      </c>
      <c r="L40" s="809" t="str">
        <f>IFERROR(IF($L$3=$AJ$8,'Statement of Marks'!M39,IF($L$3=$AJ$9,'Statement of Marks'!AA39,IF($L$3=$AJ$10,'Statement of Marks'!AP39,IF($L$3=$AJ$11,'Statement of Marks'!BD39,IF($L$3=$AJ$12,'Statement of Marks'!BR39,IF($L$3=$AJ$13,'Statement of Marks'!CG39,IF($L$3=$AJ$14,'Statement of Marks'!CV39,IF($L$3=$AJ$15,'Statement of Marks'!EB39,IF($L$3=$AJ$16,'Statement of Marks'!EN39,IF($L$3=$AJ$17,('Statement of Marks'!FF39+'Statement of Marks'!FG39),"")))))))))),"")</f>
        <v/>
      </c>
      <c r="M40" s="810">
        <f t="shared" si="0"/>
        <v>0</v>
      </c>
      <c r="N40" s="809" t="str">
        <f>IFERROR(IF($L$3=$AJ$8,'Statement of Marks'!O39,IF($L$3=$AJ$9,'Statement of Marks'!AC39,IF($L$3=$AJ$10,'Statement of Marks'!AR39,IF($L$3=$AJ$11,'Statement of Marks'!BF39,IF($L$3=$AJ$12,'Statement of Marks'!BT39,IF($L$3=$AJ$13,'Statement of Marks'!CI39,IF($L$3=$AJ$14,('Statement of Marks'!CX39+'Statement of Marks'!CY39),IF($L$3=$AJ$15,'Statement of Marks'!ED39,IF($L$3=$AJ$16,('Statement of Marks'!EP39+'Statement of Marks'!EQ39),IF($L$3=$AJ$17,('Statement of Marks'!FI39+'Statement of Marks'!FJ39),IF($L$3=$AJ$18,'Statement of Marks'!FU39,IF($L$3=$AJ$19,'Statement of Marks'!GC39,"")))))))))))),"")</f>
        <v/>
      </c>
      <c r="O40" s="811">
        <f>IF($L$3=$AJ$18,'Statement of Marks'!FV39,IF($L$3=$AJ$19,'Statement of Marks'!GD39,IF(AND(M40="NA",N40="NA"),"NA",IF(AND(M40="",N40=""),"",SUM(M40,N40)))))</f>
        <v>0</v>
      </c>
      <c r="P40" s="809" t="str">
        <f>IFERROR(IF($L$3=$AJ$8,'Statement of Marks'!Q39,IF($L$3=$AJ$9,'Statement of Marks'!AE39,IF($L$3=$AJ$10,'Statement of Marks'!AT39,IF($L$3=$AJ$11,'Statement of Marks'!BH39,IF($L$3=$AJ$12,'Statement of Marks'!BV39,IF($L$3=$AJ$13,'Statement of Marks'!CK39,IF($L$3=$AJ$14,('Statement of Marks'!DB39+'Statement of Marks'!DC39),IF($L$3=$AJ$15,'Statement of Marks'!EF39,IF($L$3=$AJ$16,('Statement of Marks'!ET39+'Statement of Marks'!EU39),IF($L$3=$AJ$17,('Statement of Marks'!FM39+'Statement of Marks'!FN39),IF($L$3=$AJ$18,'Statement of Marks'!FW39,IF($L$3=$AJ$19,'Statement of Marks'!GE39,"")))))))))))),"")</f>
        <v/>
      </c>
      <c r="Q40" s="812" t="str">
        <f t="shared" si="3"/>
        <v/>
      </c>
      <c r="R40" s="813">
        <f t="shared" ref="R40:R71" si="8">IFERROR(IF($L$3="","",IF(OR($L$3=$AJ$18,$L$3=$AJ$19),COUNTIF(J40:L40,"NA")*$J$7+(COUNTIF(J40:L40,"ML")*$J$7)+(COUNTIF(O40,"ML")*$O$7)+(COUNTIF(N40,"ML")*$N$8)+(COUNTIF(P40,"ML")*$P$7),COUNTIF(N40,"NA")*$N$7+(COUNTIF(J40:L40,"ML")*$J$7)+(COUNTIF(N40,"ML")*$N$7)+(COUNTIF(P40,"ML")*$P$7))),0)</f>
        <v>0</v>
      </c>
      <c r="S40" s="813" t="str">
        <f t="shared" si="4"/>
        <v/>
      </c>
      <c r="T40" s="813" t="str">
        <f t="shared" si="5"/>
        <v/>
      </c>
      <c r="U40" s="814" t="str">
        <f t="shared" si="6"/>
        <v/>
      </c>
      <c r="V40" s="815" t="str">
        <f t="shared" si="7"/>
        <v/>
      </c>
      <c r="W40" s="816" t="str">
        <f t="shared" ref="W40:W71" si="9">IF(Q40="","",IF(OR(U40="",U40=0,U40="RE",U40="AB",B40="NSO"),"",IF(Q40&gt;85%*S40,"A",IF(Q40&gt;70%*S40,"B",IF(Q40&gt;=50%*S40,"C",IF(Q40&gt;=30%*S40,"D","E"))))))</f>
        <v/>
      </c>
    </row>
    <row r="41" spans="1:23">
      <c r="A41" s="803">
        <f>IF('Statement of Marks'!A40="","",'Statement of Marks'!A40)</f>
        <v>34</v>
      </c>
      <c r="B41" s="804" t="str">
        <f>IF(OR($D$3="",$L$3=""),"",IF('Statement of Marks'!B40="","",'Statement of Marks'!B40))</f>
        <v/>
      </c>
      <c r="C41" s="805" t="str">
        <f>IF(OR($D$3="",$L$3=""),"",IF('Statement of Marks'!D40="","",'Statement of Marks'!D40))</f>
        <v/>
      </c>
      <c r="D41" s="806" t="str">
        <f>IF(OR($D$3="",$L$3=""),"",IF('Statement of Marks'!E40="","",'Statement of Marks'!E40))</f>
        <v/>
      </c>
      <c r="E41" s="807" t="str">
        <f>IF(OR($D$3="",$L$3=""),"",IF('Statement of Marks'!F40="","",'Statement of Marks'!F40))</f>
        <v/>
      </c>
      <c r="F41" s="807" t="str">
        <f>IF(OR($D$3="",$L$3=""),"",IF('Statement of Marks'!G40="","",'Statement of Marks'!G40))</f>
        <v/>
      </c>
      <c r="G41" s="807" t="str">
        <f>IF(OR($D$3="",$L$3=""),"",IF('Statement of Marks'!H40="","",'Statement of Marks'!H40))</f>
        <v/>
      </c>
      <c r="H41" s="808" t="str">
        <f>IF(OR($D$3="",$L$3=""),"",IF('Statement of Marks'!I40="","",'Statement of Marks'!I40))</f>
        <v/>
      </c>
      <c r="I41" s="808" t="str">
        <f>IF(OR($D$3="",$L$3=""),"",IF('Statement of Marks'!J40="","",'Statement of Marks'!J40))</f>
        <v/>
      </c>
      <c r="J41" s="809" t="str">
        <f>IFERROR(IF($L$3=$AJ$8,'Statement of Marks'!K40,IF($L$3=$AJ$9,'Statement of Marks'!Y40,IF($L$3=$AJ$10,'Statement of Marks'!AN40,IF($L$3=$AJ$11,'Statement of Marks'!BB40,IF($L$3=$AJ$12,'Statement of Marks'!BP40,IF($L$3=$AJ$13,'Statement of Marks'!CE40,IF($L$3=$AJ$14,'Statement of Marks'!CT40,IF($L$3=$AJ$15,'Statement of Marks'!DZ40,IF($L$3=$AJ$16,'Statement of Marks'!EL40,IF($L$3=$AJ$17,('Statement of Marks'!FB40+'Statement of Marks'!FC40),"")))))))))),"")</f>
        <v/>
      </c>
      <c r="K41" s="809" t="str">
        <f>IFERROR(IF($L$3=$AJ$8,'Statement of Marks'!L40,IF($L$3=$AJ$9,'Statement of Marks'!Z40,IF($L$3=$AJ$10,'Statement of Marks'!AO40,IF($L$3=$AJ$11,'Statement of Marks'!BC40,IF($L$3=$AJ$12,'Statement of Marks'!BQ40,IF($L$3=$AJ$13,'Statement of Marks'!CF40,IF($L$3=$AJ$14,'Statement of Marks'!CU40,IF($L$3=$AJ$15,'Statement of Marks'!EA40,IF($L$3=$AJ$16,'Statement of Marks'!EM40,IF($L$3=$AJ$17,('Statement of Marks'!FD40+'Statement of Marks'!FE40),"")))))))))),"")</f>
        <v/>
      </c>
      <c r="L41" s="809" t="str">
        <f>IFERROR(IF($L$3=$AJ$8,'Statement of Marks'!M40,IF($L$3=$AJ$9,'Statement of Marks'!AA40,IF($L$3=$AJ$10,'Statement of Marks'!AP40,IF($L$3=$AJ$11,'Statement of Marks'!BD40,IF($L$3=$AJ$12,'Statement of Marks'!BR40,IF($L$3=$AJ$13,'Statement of Marks'!CG40,IF($L$3=$AJ$14,'Statement of Marks'!CV40,IF($L$3=$AJ$15,'Statement of Marks'!EB40,IF($L$3=$AJ$16,'Statement of Marks'!EN40,IF($L$3=$AJ$17,('Statement of Marks'!FF40+'Statement of Marks'!FG40),"")))))))))),"")</f>
        <v/>
      </c>
      <c r="M41" s="810">
        <f t="shared" si="0"/>
        <v>0</v>
      </c>
      <c r="N41" s="809" t="str">
        <f>IFERROR(IF($L$3=$AJ$8,'Statement of Marks'!O40,IF($L$3=$AJ$9,'Statement of Marks'!AC40,IF($L$3=$AJ$10,'Statement of Marks'!AR40,IF($L$3=$AJ$11,'Statement of Marks'!BF40,IF($L$3=$AJ$12,'Statement of Marks'!BT40,IF($L$3=$AJ$13,'Statement of Marks'!CI40,IF($L$3=$AJ$14,('Statement of Marks'!CX40+'Statement of Marks'!CY40),IF($L$3=$AJ$15,'Statement of Marks'!ED40,IF($L$3=$AJ$16,('Statement of Marks'!EP40+'Statement of Marks'!EQ40),IF($L$3=$AJ$17,('Statement of Marks'!FI40+'Statement of Marks'!FJ40),IF($L$3=$AJ$18,'Statement of Marks'!FU40,IF($L$3=$AJ$19,'Statement of Marks'!GC40,"")))))))))))),"")</f>
        <v/>
      </c>
      <c r="O41" s="811">
        <f>IF($L$3=$AJ$18,'Statement of Marks'!FV40,IF($L$3=$AJ$19,'Statement of Marks'!GD40,IF(AND(M41="NA",N41="NA"),"NA",IF(AND(M41="",N41=""),"",SUM(M41,N41)))))</f>
        <v>0</v>
      </c>
      <c r="P41" s="809" t="str">
        <f>IFERROR(IF($L$3=$AJ$8,'Statement of Marks'!Q40,IF($L$3=$AJ$9,'Statement of Marks'!AE40,IF($L$3=$AJ$10,'Statement of Marks'!AT40,IF($L$3=$AJ$11,'Statement of Marks'!BH40,IF($L$3=$AJ$12,'Statement of Marks'!BV40,IF($L$3=$AJ$13,'Statement of Marks'!CK40,IF($L$3=$AJ$14,('Statement of Marks'!DB40+'Statement of Marks'!DC40),IF($L$3=$AJ$15,'Statement of Marks'!EF40,IF($L$3=$AJ$16,('Statement of Marks'!ET40+'Statement of Marks'!EU40),IF($L$3=$AJ$17,('Statement of Marks'!FM40+'Statement of Marks'!FN40),IF($L$3=$AJ$18,'Statement of Marks'!FW40,IF($L$3=$AJ$19,'Statement of Marks'!GE40,"")))))))))))),"")</f>
        <v/>
      </c>
      <c r="Q41" s="812" t="str">
        <f t="shared" si="3"/>
        <v/>
      </c>
      <c r="R41" s="813">
        <f t="shared" si="8"/>
        <v>0</v>
      </c>
      <c r="S41" s="813" t="str">
        <f t="shared" si="4"/>
        <v/>
      </c>
      <c r="T41" s="813" t="str">
        <f t="shared" si="5"/>
        <v/>
      </c>
      <c r="U41" s="814" t="str">
        <f t="shared" si="6"/>
        <v/>
      </c>
      <c r="V41" s="815" t="str">
        <f t="shared" si="7"/>
        <v/>
      </c>
      <c r="W41" s="816" t="str">
        <f t="shared" si="9"/>
        <v/>
      </c>
    </row>
    <row r="42" spans="1:23">
      <c r="A42" s="803">
        <f>IF('Statement of Marks'!A41="","",'Statement of Marks'!A41)</f>
        <v>35</v>
      </c>
      <c r="B42" s="804" t="str">
        <f>IF(OR($D$3="",$L$3=""),"",IF('Statement of Marks'!B41="","",'Statement of Marks'!B41))</f>
        <v/>
      </c>
      <c r="C42" s="805" t="str">
        <f>IF(OR($D$3="",$L$3=""),"",IF('Statement of Marks'!D41="","",'Statement of Marks'!D41))</f>
        <v/>
      </c>
      <c r="D42" s="806" t="str">
        <f>IF(OR($D$3="",$L$3=""),"",IF('Statement of Marks'!E41="","",'Statement of Marks'!E41))</f>
        <v/>
      </c>
      <c r="E42" s="807" t="str">
        <f>IF(OR($D$3="",$L$3=""),"",IF('Statement of Marks'!F41="","",'Statement of Marks'!F41))</f>
        <v/>
      </c>
      <c r="F42" s="807" t="str">
        <f>IF(OR($D$3="",$L$3=""),"",IF('Statement of Marks'!G41="","",'Statement of Marks'!G41))</f>
        <v/>
      </c>
      <c r="G42" s="807" t="str">
        <f>IF(OR($D$3="",$L$3=""),"",IF('Statement of Marks'!H41="","",'Statement of Marks'!H41))</f>
        <v/>
      </c>
      <c r="H42" s="808" t="str">
        <f>IF(OR($D$3="",$L$3=""),"",IF('Statement of Marks'!I41="","",'Statement of Marks'!I41))</f>
        <v/>
      </c>
      <c r="I42" s="808" t="str">
        <f>IF(OR($D$3="",$L$3=""),"",IF('Statement of Marks'!J41="","",'Statement of Marks'!J41))</f>
        <v/>
      </c>
      <c r="J42" s="809" t="str">
        <f>IFERROR(IF($L$3=$AJ$8,'Statement of Marks'!K41,IF($L$3=$AJ$9,'Statement of Marks'!Y41,IF($L$3=$AJ$10,'Statement of Marks'!AN41,IF($L$3=$AJ$11,'Statement of Marks'!BB41,IF($L$3=$AJ$12,'Statement of Marks'!BP41,IF($L$3=$AJ$13,'Statement of Marks'!CE41,IF($L$3=$AJ$14,'Statement of Marks'!CT41,IF($L$3=$AJ$15,'Statement of Marks'!DZ41,IF($L$3=$AJ$16,'Statement of Marks'!EL41,IF($L$3=$AJ$17,('Statement of Marks'!FB41+'Statement of Marks'!FC41),"")))))))))),"")</f>
        <v/>
      </c>
      <c r="K42" s="809" t="str">
        <f>IFERROR(IF($L$3=$AJ$8,'Statement of Marks'!L41,IF($L$3=$AJ$9,'Statement of Marks'!Z41,IF($L$3=$AJ$10,'Statement of Marks'!AO41,IF($L$3=$AJ$11,'Statement of Marks'!BC41,IF($L$3=$AJ$12,'Statement of Marks'!BQ41,IF($L$3=$AJ$13,'Statement of Marks'!CF41,IF($L$3=$AJ$14,'Statement of Marks'!CU41,IF($L$3=$AJ$15,'Statement of Marks'!EA41,IF($L$3=$AJ$16,'Statement of Marks'!EM41,IF($L$3=$AJ$17,('Statement of Marks'!FD41+'Statement of Marks'!FE41),"")))))))))),"")</f>
        <v/>
      </c>
      <c r="L42" s="809" t="str">
        <f>IFERROR(IF($L$3=$AJ$8,'Statement of Marks'!M41,IF($L$3=$AJ$9,'Statement of Marks'!AA41,IF($L$3=$AJ$10,'Statement of Marks'!AP41,IF($L$3=$AJ$11,'Statement of Marks'!BD41,IF($L$3=$AJ$12,'Statement of Marks'!BR41,IF($L$3=$AJ$13,'Statement of Marks'!CG41,IF($L$3=$AJ$14,'Statement of Marks'!CV41,IF($L$3=$AJ$15,'Statement of Marks'!EB41,IF($L$3=$AJ$16,'Statement of Marks'!EN41,IF($L$3=$AJ$17,('Statement of Marks'!FF41+'Statement of Marks'!FG41),"")))))))))),"")</f>
        <v/>
      </c>
      <c r="M42" s="810">
        <f t="shared" si="0"/>
        <v>0</v>
      </c>
      <c r="N42" s="809" t="str">
        <f>IFERROR(IF($L$3=$AJ$8,'Statement of Marks'!O41,IF($L$3=$AJ$9,'Statement of Marks'!AC41,IF($L$3=$AJ$10,'Statement of Marks'!AR41,IF($L$3=$AJ$11,'Statement of Marks'!BF41,IF($L$3=$AJ$12,'Statement of Marks'!BT41,IF($L$3=$AJ$13,'Statement of Marks'!CI41,IF($L$3=$AJ$14,('Statement of Marks'!CX41+'Statement of Marks'!CY41),IF($L$3=$AJ$15,'Statement of Marks'!ED41,IF($L$3=$AJ$16,('Statement of Marks'!EP41+'Statement of Marks'!EQ41),IF($L$3=$AJ$17,('Statement of Marks'!FI41+'Statement of Marks'!FJ41),IF($L$3=$AJ$18,'Statement of Marks'!FU41,IF($L$3=$AJ$19,'Statement of Marks'!GC41,"")))))))))))),"")</f>
        <v/>
      </c>
      <c r="O42" s="811">
        <f>IF($L$3=$AJ$18,'Statement of Marks'!FV41,IF($L$3=$AJ$19,'Statement of Marks'!GD41,IF(AND(M42="NA",N42="NA"),"NA",IF(AND(M42="",N42=""),"",SUM(M42,N42)))))</f>
        <v>0</v>
      </c>
      <c r="P42" s="809" t="str">
        <f>IFERROR(IF($L$3=$AJ$8,'Statement of Marks'!Q41,IF($L$3=$AJ$9,'Statement of Marks'!AE41,IF($L$3=$AJ$10,'Statement of Marks'!AT41,IF($L$3=$AJ$11,'Statement of Marks'!BH41,IF($L$3=$AJ$12,'Statement of Marks'!BV41,IF($L$3=$AJ$13,'Statement of Marks'!CK41,IF($L$3=$AJ$14,('Statement of Marks'!DB41+'Statement of Marks'!DC41),IF($L$3=$AJ$15,'Statement of Marks'!EF41,IF($L$3=$AJ$16,('Statement of Marks'!ET41+'Statement of Marks'!EU41),IF($L$3=$AJ$17,('Statement of Marks'!FM41+'Statement of Marks'!FN41),IF($L$3=$AJ$18,'Statement of Marks'!FW41,IF($L$3=$AJ$19,'Statement of Marks'!GE41,"")))))))))))),"")</f>
        <v/>
      </c>
      <c r="Q42" s="812" t="str">
        <f t="shared" si="3"/>
        <v/>
      </c>
      <c r="R42" s="813">
        <f t="shared" si="8"/>
        <v>0</v>
      </c>
      <c r="S42" s="813" t="str">
        <f t="shared" si="4"/>
        <v/>
      </c>
      <c r="T42" s="813" t="str">
        <f t="shared" si="5"/>
        <v/>
      </c>
      <c r="U42" s="814" t="str">
        <f t="shared" si="6"/>
        <v/>
      </c>
      <c r="V42" s="815" t="str">
        <f t="shared" si="7"/>
        <v/>
      </c>
      <c r="W42" s="816" t="str">
        <f t="shared" si="9"/>
        <v/>
      </c>
    </row>
    <row r="43" spans="1:23">
      <c r="A43" s="803">
        <f>IF('Statement of Marks'!A42="","",'Statement of Marks'!A42)</f>
        <v>36</v>
      </c>
      <c r="B43" s="804" t="str">
        <f>IF(OR($D$3="",$L$3=""),"",IF('Statement of Marks'!B42="","",'Statement of Marks'!B42))</f>
        <v/>
      </c>
      <c r="C43" s="805" t="str">
        <f>IF(OR($D$3="",$L$3=""),"",IF('Statement of Marks'!D42="","",'Statement of Marks'!D42))</f>
        <v/>
      </c>
      <c r="D43" s="806" t="str">
        <f>IF(OR($D$3="",$L$3=""),"",IF('Statement of Marks'!E42="","",'Statement of Marks'!E42))</f>
        <v/>
      </c>
      <c r="E43" s="807" t="str">
        <f>IF(OR($D$3="",$L$3=""),"",IF('Statement of Marks'!F42="","",'Statement of Marks'!F42))</f>
        <v/>
      </c>
      <c r="F43" s="807" t="str">
        <f>IF(OR($D$3="",$L$3=""),"",IF('Statement of Marks'!G42="","",'Statement of Marks'!G42))</f>
        <v/>
      </c>
      <c r="G43" s="807" t="str">
        <f>IF(OR($D$3="",$L$3=""),"",IF('Statement of Marks'!H42="","",'Statement of Marks'!H42))</f>
        <v/>
      </c>
      <c r="H43" s="808" t="str">
        <f>IF(OR($D$3="",$L$3=""),"",IF('Statement of Marks'!I42="","",'Statement of Marks'!I42))</f>
        <v/>
      </c>
      <c r="I43" s="808" t="str">
        <f>IF(OR($D$3="",$L$3=""),"",IF('Statement of Marks'!J42="","",'Statement of Marks'!J42))</f>
        <v/>
      </c>
      <c r="J43" s="809" t="str">
        <f>IFERROR(IF($L$3=$AJ$8,'Statement of Marks'!K42,IF($L$3=$AJ$9,'Statement of Marks'!Y42,IF($L$3=$AJ$10,'Statement of Marks'!AN42,IF($L$3=$AJ$11,'Statement of Marks'!BB42,IF($L$3=$AJ$12,'Statement of Marks'!BP42,IF($L$3=$AJ$13,'Statement of Marks'!CE42,IF($L$3=$AJ$14,'Statement of Marks'!CT42,IF($L$3=$AJ$15,'Statement of Marks'!DZ42,IF($L$3=$AJ$16,'Statement of Marks'!EL42,IF($L$3=$AJ$17,('Statement of Marks'!FB42+'Statement of Marks'!FC42),"")))))))))),"")</f>
        <v/>
      </c>
      <c r="K43" s="809" t="str">
        <f>IFERROR(IF($L$3=$AJ$8,'Statement of Marks'!L42,IF($L$3=$AJ$9,'Statement of Marks'!Z42,IF($L$3=$AJ$10,'Statement of Marks'!AO42,IF($L$3=$AJ$11,'Statement of Marks'!BC42,IF($L$3=$AJ$12,'Statement of Marks'!BQ42,IF($L$3=$AJ$13,'Statement of Marks'!CF42,IF($L$3=$AJ$14,'Statement of Marks'!CU42,IF($L$3=$AJ$15,'Statement of Marks'!EA42,IF($L$3=$AJ$16,'Statement of Marks'!EM42,IF($L$3=$AJ$17,('Statement of Marks'!FD42+'Statement of Marks'!FE42),"")))))))))),"")</f>
        <v/>
      </c>
      <c r="L43" s="809" t="str">
        <f>IFERROR(IF($L$3=$AJ$8,'Statement of Marks'!M42,IF($L$3=$AJ$9,'Statement of Marks'!AA42,IF($L$3=$AJ$10,'Statement of Marks'!AP42,IF($L$3=$AJ$11,'Statement of Marks'!BD42,IF($L$3=$AJ$12,'Statement of Marks'!BR42,IF($L$3=$AJ$13,'Statement of Marks'!CG42,IF($L$3=$AJ$14,'Statement of Marks'!CV42,IF($L$3=$AJ$15,'Statement of Marks'!EB42,IF($L$3=$AJ$16,'Statement of Marks'!EN42,IF($L$3=$AJ$17,('Statement of Marks'!FF42+'Statement of Marks'!FG42),"")))))))))),"")</f>
        <v/>
      </c>
      <c r="M43" s="810">
        <f t="shared" si="0"/>
        <v>0</v>
      </c>
      <c r="N43" s="809" t="str">
        <f>IFERROR(IF($L$3=$AJ$8,'Statement of Marks'!O42,IF($L$3=$AJ$9,'Statement of Marks'!AC42,IF($L$3=$AJ$10,'Statement of Marks'!AR42,IF($L$3=$AJ$11,'Statement of Marks'!BF42,IF($L$3=$AJ$12,'Statement of Marks'!BT42,IF($L$3=$AJ$13,'Statement of Marks'!CI42,IF($L$3=$AJ$14,('Statement of Marks'!CX42+'Statement of Marks'!CY42),IF($L$3=$AJ$15,'Statement of Marks'!ED42,IF($L$3=$AJ$16,('Statement of Marks'!EP42+'Statement of Marks'!EQ42),IF($L$3=$AJ$17,('Statement of Marks'!FI42+'Statement of Marks'!FJ42),IF($L$3=$AJ$18,'Statement of Marks'!FU42,IF($L$3=$AJ$19,'Statement of Marks'!GC42,"")))))))))))),"")</f>
        <v/>
      </c>
      <c r="O43" s="811">
        <f>IF($L$3=$AJ$18,'Statement of Marks'!FV42,IF($L$3=$AJ$19,'Statement of Marks'!GD42,IF(AND(M43="NA",N43="NA"),"NA",IF(AND(M43="",N43=""),"",SUM(M43,N43)))))</f>
        <v>0</v>
      </c>
      <c r="P43" s="809" t="str">
        <f>IFERROR(IF($L$3=$AJ$8,'Statement of Marks'!Q42,IF($L$3=$AJ$9,'Statement of Marks'!AE42,IF($L$3=$AJ$10,'Statement of Marks'!AT42,IF($L$3=$AJ$11,'Statement of Marks'!BH42,IF($L$3=$AJ$12,'Statement of Marks'!BV42,IF($L$3=$AJ$13,'Statement of Marks'!CK42,IF($L$3=$AJ$14,('Statement of Marks'!DB42+'Statement of Marks'!DC42),IF($L$3=$AJ$15,'Statement of Marks'!EF42,IF($L$3=$AJ$16,('Statement of Marks'!ET42+'Statement of Marks'!EU42),IF($L$3=$AJ$17,('Statement of Marks'!FM42+'Statement of Marks'!FN42),IF($L$3=$AJ$18,'Statement of Marks'!FW42,IF($L$3=$AJ$19,'Statement of Marks'!GE42,"")))))))))))),"")</f>
        <v/>
      </c>
      <c r="Q43" s="812" t="str">
        <f t="shared" si="3"/>
        <v/>
      </c>
      <c r="R43" s="813">
        <f t="shared" si="8"/>
        <v>0</v>
      </c>
      <c r="S43" s="813" t="str">
        <f t="shared" si="4"/>
        <v/>
      </c>
      <c r="T43" s="813" t="str">
        <f t="shared" si="5"/>
        <v/>
      </c>
      <c r="U43" s="814" t="str">
        <f t="shared" si="6"/>
        <v/>
      </c>
      <c r="V43" s="815" t="str">
        <f t="shared" si="7"/>
        <v/>
      </c>
      <c r="W43" s="816" t="str">
        <f t="shared" si="9"/>
        <v/>
      </c>
    </row>
    <row r="44" spans="1:23">
      <c r="A44" s="803">
        <f>IF('Statement of Marks'!A43="","",'Statement of Marks'!A43)</f>
        <v>37</v>
      </c>
      <c r="B44" s="804" t="str">
        <f>IF(OR($D$3="",$L$3=""),"",IF('Statement of Marks'!B43="","",'Statement of Marks'!B43))</f>
        <v/>
      </c>
      <c r="C44" s="805" t="str">
        <f>IF(OR($D$3="",$L$3=""),"",IF('Statement of Marks'!D43="","",'Statement of Marks'!D43))</f>
        <v/>
      </c>
      <c r="D44" s="806" t="str">
        <f>IF(OR($D$3="",$L$3=""),"",IF('Statement of Marks'!E43="","",'Statement of Marks'!E43))</f>
        <v/>
      </c>
      <c r="E44" s="807" t="str">
        <f>IF(OR($D$3="",$L$3=""),"",IF('Statement of Marks'!F43="","",'Statement of Marks'!F43))</f>
        <v/>
      </c>
      <c r="F44" s="807" t="str">
        <f>IF(OR($D$3="",$L$3=""),"",IF('Statement of Marks'!G43="","",'Statement of Marks'!G43))</f>
        <v/>
      </c>
      <c r="G44" s="807" t="str">
        <f>IF(OR($D$3="",$L$3=""),"",IF('Statement of Marks'!H43="","",'Statement of Marks'!H43))</f>
        <v/>
      </c>
      <c r="H44" s="808" t="str">
        <f>IF(OR($D$3="",$L$3=""),"",IF('Statement of Marks'!I43="","",'Statement of Marks'!I43))</f>
        <v/>
      </c>
      <c r="I44" s="808" t="str">
        <f>IF(OR($D$3="",$L$3=""),"",IF('Statement of Marks'!J43="","",'Statement of Marks'!J43))</f>
        <v/>
      </c>
      <c r="J44" s="809" t="str">
        <f>IFERROR(IF($L$3=$AJ$8,'Statement of Marks'!K43,IF($L$3=$AJ$9,'Statement of Marks'!Y43,IF($L$3=$AJ$10,'Statement of Marks'!AN43,IF($L$3=$AJ$11,'Statement of Marks'!BB43,IF($L$3=$AJ$12,'Statement of Marks'!BP43,IF($L$3=$AJ$13,'Statement of Marks'!CE43,IF($L$3=$AJ$14,'Statement of Marks'!CT43,IF($L$3=$AJ$15,'Statement of Marks'!DZ43,IF($L$3=$AJ$16,'Statement of Marks'!EL43,IF($L$3=$AJ$17,('Statement of Marks'!FB43+'Statement of Marks'!FC43),"")))))))))),"")</f>
        <v/>
      </c>
      <c r="K44" s="809" t="str">
        <f>IFERROR(IF($L$3=$AJ$8,'Statement of Marks'!L43,IF($L$3=$AJ$9,'Statement of Marks'!Z43,IF($L$3=$AJ$10,'Statement of Marks'!AO43,IF($L$3=$AJ$11,'Statement of Marks'!BC43,IF($L$3=$AJ$12,'Statement of Marks'!BQ43,IF($L$3=$AJ$13,'Statement of Marks'!CF43,IF($L$3=$AJ$14,'Statement of Marks'!CU43,IF($L$3=$AJ$15,'Statement of Marks'!EA43,IF($L$3=$AJ$16,'Statement of Marks'!EM43,IF($L$3=$AJ$17,('Statement of Marks'!FD43+'Statement of Marks'!FE43),"")))))))))),"")</f>
        <v/>
      </c>
      <c r="L44" s="809" t="str">
        <f>IFERROR(IF($L$3=$AJ$8,'Statement of Marks'!M43,IF($L$3=$AJ$9,'Statement of Marks'!AA43,IF($L$3=$AJ$10,'Statement of Marks'!AP43,IF($L$3=$AJ$11,'Statement of Marks'!BD43,IF($L$3=$AJ$12,'Statement of Marks'!BR43,IF($L$3=$AJ$13,'Statement of Marks'!CG43,IF($L$3=$AJ$14,'Statement of Marks'!CV43,IF($L$3=$AJ$15,'Statement of Marks'!EB43,IF($L$3=$AJ$16,'Statement of Marks'!EN43,IF($L$3=$AJ$17,('Statement of Marks'!FF43+'Statement of Marks'!FG43),"")))))))))),"")</f>
        <v/>
      </c>
      <c r="M44" s="810">
        <f t="shared" si="0"/>
        <v>0</v>
      </c>
      <c r="N44" s="809" t="str">
        <f>IFERROR(IF($L$3=$AJ$8,'Statement of Marks'!O43,IF($L$3=$AJ$9,'Statement of Marks'!AC43,IF($L$3=$AJ$10,'Statement of Marks'!AR43,IF($L$3=$AJ$11,'Statement of Marks'!BF43,IF($L$3=$AJ$12,'Statement of Marks'!BT43,IF($L$3=$AJ$13,'Statement of Marks'!CI43,IF($L$3=$AJ$14,('Statement of Marks'!CX43+'Statement of Marks'!CY43),IF($L$3=$AJ$15,'Statement of Marks'!ED43,IF($L$3=$AJ$16,('Statement of Marks'!EP43+'Statement of Marks'!EQ43),IF($L$3=$AJ$17,('Statement of Marks'!FI43+'Statement of Marks'!FJ43),IF($L$3=$AJ$18,'Statement of Marks'!FU43,IF($L$3=$AJ$19,'Statement of Marks'!GC43,"")))))))))))),"")</f>
        <v/>
      </c>
      <c r="O44" s="811">
        <f>IF($L$3=$AJ$18,'Statement of Marks'!FV43,IF($L$3=$AJ$19,'Statement of Marks'!GD43,IF(AND(M44="NA",N44="NA"),"NA",IF(AND(M44="",N44=""),"",SUM(M44,N44)))))</f>
        <v>0</v>
      </c>
      <c r="P44" s="809" t="str">
        <f>IFERROR(IF($L$3=$AJ$8,'Statement of Marks'!Q43,IF($L$3=$AJ$9,'Statement of Marks'!AE43,IF($L$3=$AJ$10,'Statement of Marks'!AT43,IF($L$3=$AJ$11,'Statement of Marks'!BH43,IF($L$3=$AJ$12,'Statement of Marks'!BV43,IF($L$3=$AJ$13,'Statement of Marks'!CK43,IF($L$3=$AJ$14,('Statement of Marks'!DB43+'Statement of Marks'!DC43),IF($L$3=$AJ$15,'Statement of Marks'!EF43,IF($L$3=$AJ$16,('Statement of Marks'!ET43+'Statement of Marks'!EU43),IF($L$3=$AJ$17,('Statement of Marks'!FM43+'Statement of Marks'!FN43),IF($L$3=$AJ$18,'Statement of Marks'!FW43,IF($L$3=$AJ$19,'Statement of Marks'!GE43,"")))))))))))),"")</f>
        <v/>
      </c>
      <c r="Q44" s="812" t="str">
        <f t="shared" si="3"/>
        <v/>
      </c>
      <c r="R44" s="813">
        <f t="shared" si="8"/>
        <v>0</v>
      </c>
      <c r="S44" s="813" t="str">
        <f t="shared" si="4"/>
        <v/>
      </c>
      <c r="T44" s="813" t="str">
        <f t="shared" si="5"/>
        <v/>
      </c>
      <c r="U44" s="814" t="str">
        <f t="shared" si="6"/>
        <v/>
      </c>
      <c r="V44" s="815" t="str">
        <f t="shared" si="7"/>
        <v/>
      </c>
      <c r="W44" s="816" t="str">
        <f t="shared" si="9"/>
        <v/>
      </c>
    </row>
    <row r="45" spans="1:23">
      <c r="A45" s="803">
        <f>IF('Statement of Marks'!A44="","",'Statement of Marks'!A44)</f>
        <v>38</v>
      </c>
      <c r="B45" s="804" t="str">
        <f>IF(OR($D$3="",$L$3=""),"",IF('Statement of Marks'!B44="","",'Statement of Marks'!B44))</f>
        <v/>
      </c>
      <c r="C45" s="805" t="str">
        <f>IF(OR($D$3="",$L$3=""),"",IF('Statement of Marks'!D44="","",'Statement of Marks'!D44))</f>
        <v/>
      </c>
      <c r="D45" s="806" t="str">
        <f>IF(OR($D$3="",$L$3=""),"",IF('Statement of Marks'!E44="","",'Statement of Marks'!E44))</f>
        <v/>
      </c>
      <c r="E45" s="807" t="str">
        <f>IF(OR($D$3="",$L$3=""),"",IF('Statement of Marks'!F44="","",'Statement of Marks'!F44))</f>
        <v/>
      </c>
      <c r="F45" s="807" t="str">
        <f>IF(OR($D$3="",$L$3=""),"",IF('Statement of Marks'!G44="","",'Statement of Marks'!G44))</f>
        <v/>
      </c>
      <c r="G45" s="807" t="str">
        <f>IF(OR($D$3="",$L$3=""),"",IF('Statement of Marks'!H44="","",'Statement of Marks'!H44))</f>
        <v/>
      </c>
      <c r="H45" s="808" t="str">
        <f>IF(OR($D$3="",$L$3=""),"",IF('Statement of Marks'!I44="","",'Statement of Marks'!I44))</f>
        <v/>
      </c>
      <c r="I45" s="808" t="str">
        <f>IF(OR($D$3="",$L$3=""),"",IF('Statement of Marks'!J44="","",'Statement of Marks'!J44))</f>
        <v/>
      </c>
      <c r="J45" s="809" t="str">
        <f>IFERROR(IF($L$3=$AJ$8,'Statement of Marks'!K44,IF($L$3=$AJ$9,'Statement of Marks'!Y44,IF($L$3=$AJ$10,'Statement of Marks'!AN44,IF($L$3=$AJ$11,'Statement of Marks'!BB44,IF($L$3=$AJ$12,'Statement of Marks'!BP44,IF($L$3=$AJ$13,'Statement of Marks'!CE44,IF($L$3=$AJ$14,'Statement of Marks'!CT44,IF($L$3=$AJ$15,'Statement of Marks'!DZ44,IF($L$3=$AJ$16,'Statement of Marks'!EL44,IF($L$3=$AJ$17,('Statement of Marks'!FB44+'Statement of Marks'!FC44),"")))))))))),"")</f>
        <v/>
      </c>
      <c r="K45" s="809" t="str">
        <f>IFERROR(IF($L$3=$AJ$8,'Statement of Marks'!L44,IF($L$3=$AJ$9,'Statement of Marks'!Z44,IF($L$3=$AJ$10,'Statement of Marks'!AO44,IF($L$3=$AJ$11,'Statement of Marks'!BC44,IF($L$3=$AJ$12,'Statement of Marks'!BQ44,IF($L$3=$AJ$13,'Statement of Marks'!CF44,IF($L$3=$AJ$14,'Statement of Marks'!CU44,IF($L$3=$AJ$15,'Statement of Marks'!EA44,IF($L$3=$AJ$16,'Statement of Marks'!EM44,IF($L$3=$AJ$17,('Statement of Marks'!FD44+'Statement of Marks'!FE44),"")))))))))),"")</f>
        <v/>
      </c>
      <c r="L45" s="809" t="str">
        <f>IFERROR(IF($L$3=$AJ$8,'Statement of Marks'!M44,IF($L$3=$AJ$9,'Statement of Marks'!AA44,IF($L$3=$AJ$10,'Statement of Marks'!AP44,IF($L$3=$AJ$11,'Statement of Marks'!BD44,IF($L$3=$AJ$12,'Statement of Marks'!BR44,IF($L$3=$AJ$13,'Statement of Marks'!CG44,IF($L$3=$AJ$14,'Statement of Marks'!CV44,IF($L$3=$AJ$15,'Statement of Marks'!EB44,IF($L$3=$AJ$16,'Statement of Marks'!EN44,IF($L$3=$AJ$17,('Statement of Marks'!FF44+'Statement of Marks'!FG44),"")))))))))),"")</f>
        <v/>
      </c>
      <c r="M45" s="810">
        <f t="shared" si="0"/>
        <v>0</v>
      </c>
      <c r="N45" s="809" t="str">
        <f>IFERROR(IF($L$3=$AJ$8,'Statement of Marks'!O44,IF($L$3=$AJ$9,'Statement of Marks'!AC44,IF($L$3=$AJ$10,'Statement of Marks'!AR44,IF($L$3=$AJ$11,'Statement of Marks'!BF44,IF($L$3=$AJ$12,'Statement of Marks'!BT44,IF($L$3=$AJ$13,'Statement of Marks'!CI44,IF($L$3=$AJ$14,('Statement of Marks'!CX44+'Statement of Marks'!CY44),IF($L$3=$AJ$15,'Statement of Marks'!ED44,IF($L$3=$AJ$16,('Statement of Marks'!EP44+'Statement of Marks'!EQ44),IF($L$3=$AJ$17,('Statement of Marks'!FI44+'Statement of Marks'!FJ44),IF($L$3=$AJ$18,'Statement of Marks'!FU44,IF($L$3=$AJ$19,'Statement of Marks'!GC44,"")))))))))))),"")</f>
        <v/>
      </c>
      <c r="O45" s="811">
        <f>IF($L$3=$AJ$18,'Statement of Marks'!FV44,IF($L$3=$AJ$19,'Statement of Marks'!GD44,IF(AND(M45="NA",N45="NA"),"NA",IF(AND(M45="",N45=""),"",SUM(M45,N45)))))</f>
        <v>0</v>
      </c>
      <c r="P45" s="809" t="str">
        <f>IFERROR(IF($L$3=$AJ$8,'Statement of Marks'!Q44,IF($L$3=$AJ$9,'Statement of Marks'!AE44,IF($L$3=$AJ$10,'Statement of Marks'!AT44,IF($L$3=$AJ$11,'Statement of Marks'!BH44,IF($L$3=$AJ$12,'Statement of Marks'!BV44,IF($L$3=$AJ$13,'Statement of Marks'!CK44,IF($L$3=$AJ$14,('Statement of Marks'!DB44+'Statement of Marks'!DC44),IF($L$3=$AJ$15,'Statement of Marks'!EF44,IF($L$3=$AJ$16,('Statement of Marks'!ET44+'Statement of Marks'!EU44),IF($L$3=$AJ$17,('Statement of Marks'!FM44+'Statement of Marks'!FN44),IF($L$3=$AJ$18,'Statement of Marks'!FW44,IF($L$3=$AJ$19,'Statement of Marks'!GE44,"")))))))))))),"")</f>
        <v/>
      </c>
      <c r="Q45" s="812" t="str">
        <f t="shared" si="3"/>
        <v/>
      </c>
      <c r="R45" s="813">
        <f t="shared" si="8"/>
        <v>0</v>
      </c>
      <c r="S45" s="813" t="str">
        <f t="shared" si="4"/>
        <v/>
      </c>
      <c r="T45" s="813" t="str">
        <f t="shared" si="5"/>
        <v/>
      </c>
      <c r="U45" s="814" t="str">
        <f t="shared" si="6"/>
        <v/>
      </c>
      <c r="V45" s="815" t="str">
        <f t="shared" si="7"/>
        <v/>
      </c>
      <c r="W45" s="816" t="str">
        <f t="shared" si="9"/>
        <v/>
      </c>
    </row>
    <row r="46" spans="1:23">
      <c r="A46" s="803">
        <f>IF('Statement of Marks'!A45="","",'Statement of Marks'!A45)</f>
        <v>39</v>
      </c>
      <c r="B46" s="804" t="str">
        <f>IF(OR($D$3="",$L$3=""),"",IF('Statement of Marks'!B45="","",'Statement of Marks'!B45))</f>
        <v/>
      </c>
      <c r="C46" s="805" t="str">
        <f>IF(OR($D$3="",$L$3=""),"",IF('Statement of Marks'!D45="","",'Statement of Marks'!D45))</f>
        <v/>
      </c>
      <c r="D46" s="806" t="str">
        <f>IF(OR($D$3="",$L$3=""),"",IF('Statement of Marks'!E45="","",'Statement of Marks'!E45))</f>
        <v/>
      </c>
      <c r="E46" s="807" t="str">
        <f>IF(OR($D$3="",$L$3=""),"",IF('Statement of Marks'!F45="","",'Statement of Marks'!F45))</f>
        <v/>
      </c>
      <c r="F46" s="807" t="str">
        <f>IF(OR($D$3="",$L$3=""),"",IF('Statement of Marks'!G45="","",'Statement of Marks'!G45))</f>
        <v/>
      </c>
      <c r="G46" s="807" t="str">
        <f>IF(OR($D$3="",$L$3=""),"",IF('Statement of Marks'!H45="","",'Statement of Marks'!H45))</f>
        <v/>
      </c>
      <c r="H46" s="808" t="str">
        <f>IF(OR($D$3="",$L$3=""),"",IF('Statement of Marks'!I45="","",'Statement of Marks'!I45))</f>
        <v/>
      </c>
      <c r="I46" s="808" t="str">
        <f>IF(OR($D$3="",$L$3=""),"",IF('Statement of Marks'!J45="","",'Statement of Marks'!J45))</f>
        <v/>
      </c>
      <c r="J46" s="809" t="str">
        <f>IFERROR(IF($L$3=$AJ$8,'Statement of Marks'!K45,IF($L$3=$AJ$9,'Statement of Marks'!Y45,IF($L$3=$AJ$10,'Statement of Marks'!AN45,IF($L$3=$AJ$11,'Statement of Marks'!BB45,IF($L$3=$AJ$12,'Statement of Marks'!BP45,IF($L$3=$AJ$13,'Statement of Marks'!CE45,IF($L$3=$AJ$14,'Statement of Marks'!CT45,IF($L$3=$AJ$15,'Statement of Marks'!DZ45,IF($L$3=$AJ$16,'Statement of Marks'!EL45,IF($L$3=$AJ$17,('Statement of Marks'!FB45+'Statement of Marks'!FC45),"")))))))))),"")</f>
        <v/>
      </c>
      <c r="K46" s="809" t="str">
        <f>IFERROR(IF($L$3=$AJ$8,'Statement of Marks'!L45,IF($L$3=$AJ$9,'Statement of Marks'!Z45,IF($L$3=$AJ$10,'Statement of Marks'!AO45,IF($L$3=$AJ$11,'Statement of Marks'!BC45,IF($L$3=$AJ$12,'Statement of Marks'!BQ45,IF($L$3=$AJ$13,'Statement of Marks'!CF45,IF($L$3=$AJ$14,'Statement of Marks'!CU45,IF($L$3=$AJ$15,'Statement of Marks'!EA45,IF($L$3=$AJ$16,'Statement of Marks'!EM45,IF($L$3=$AJ$17,('Statement of Marks'!FD45+'Statement of Marks'!FE45),"")))))))))),"")</f>
        <v/>
      </c>
      <c r="L46" s="809" t="str">
        <f>IFERROR(IF($L$3=$AJ$8,'Statement of Marks'!M45,IF($L$3=$AJ$9,'Statement of Marks'!AA45,IF($L$3=$AJ$10,'Statement of Marks'!AP45,IF($L$3=$AJ$11,'Statement of Marks'!BD45,IF($L$3=$AJ$12,'Statement of Marks'!BR45,IF($L$3=$AJ$13,'Statement of Marks'!CG45,IF($L$3=$AJ$14,'Statement of Marks'!CV45,IF($L$3=$AJ$15,'Statement of Marks'!EB45,IF($L$3=$AJ$16,'Statement of Marks'!EN45,IF($L$3=$AJ$17,('Statement of Marks'!FF45+'Statement of Marks'!FG45),"")))))))))),"")</f>
        <v/>
      </c>
      <c r="M46" s="810">
        <f t="shared" si="0"/>
        <v>0</v>
      </c>
      <c r="N46" s="809" t="str">
        <f>IFERROR(IF($L$3=$AJ$8,'Statement of Marks'!O45,IF($L$3=$AJ$9,'Statement of Marks'!AC45,IF($L$3=$AJ$10,'Statement of Marks'!AR45,IF($L$3=$AJ$11,'Statement of Marks'!BF45,IF($L$3=$AJ$12,'Statement of Marks'!BT45,IF($L$3=$AJ$13,'Statement of Marks'!CI45,IF($L$3=$AJ$14,('Statement of Marks'!CX45+'Statement of Marks'!CY45),IF($L$3=$AJ$15,'Statement of Marks'!ED45,IF($L$3=$AJ$16,('Statement of Marks'!EP45+'Statement of Marks'!EQ45),IF($L$3=$AJ$17,('Statement of Marks'!FI45+'Statement of Marks'!FJ45),IF($L$3=$AJ$18,'Statement of Marks'!FU45,IF($L$3=$AJ$19,'Statement of Marks'!GC45,"")))))))))))),"")</f>
        <v/>
      </c>
      <c r="O46" s="811">
        <f>IF($L$3=$AJ$18,'Statement of Marks'!FV45,IF($L$3=$AJ$19,'Statement of Marks'!GD45,IF(AND(M46="NA",N46="NA"),"NA",IF(AND(M46="",N46=""),"",SUM(M46,N46)))))</f>
        <v>0</v>
      </c>
      <c r="P46" s="809" t="str">
        <f>IFERROR(IF($L$3=$AJ$8,'Statement of Marks'!Q45,IF($L$3=$AJ$9,'Statement of Marks'!AE45,IF($L$3=$AJ$10,'Statement of Marks'!AT45,IF($L$3=$AJ$11,'Statement of Marks'!BH45,IF($L$3=$AJ$12,'Statement of Marks'!BV45,IF($L$3=$AJ$13,'Statement of Marks'!CK45,IF($L$3=$AJ$14,('Statement of Marks'!DB45+'Statement of Marks'!DC45),IF($L$3=$AJ$15,'Statement of Marks'!EF45,IF($L$3=$AJ$16,('Statement of Marks'!ET45+'Statement of Marks'!EU45),IF($L$3=$AJ$17,('Statement of Marks'!FM45+'Statement of Marks'!FN45),IF($L$3=$AJ$18,'Statement of Marks'!FW45,IF($L$3=$AJ$19,'Statement of Marks'!GE45,"")))))))))))),"")</f>
        <v/>
      </c>
      <c r="Q46" s="812" t="str">
        <f t="shared" si="3"/>
        <v/>
      </c>
      <c r="R46" s="813">
        <f t="shared" si="8"/>
        <v>0</v>
      </c>
      <c r="S46" s="813" t="str">
        <f t="shared" si="4"/>
        <v/>
      </c>
      <c r="T46" s="813" t="str">
        <f t="shared" si="5"/>
        <v/>
      </c>
      <c r="U46" s="814" t="str">
        <f t="shared" si="6"/>
        <v/>
      </c>
      <c r="V46" s="815" t="str">
        <f t="shared" si="7"/>
        <v/>
      </c>
      <c r="W46" s="816" t="str">
        <f t="shared" si="9"/>
        <v/>
      </c>
    </row>
    <row r="47" spans="1:23">
      <c r="A47" s="803">
        <f>IF('Statement of Marks'!A46="","",'Statement of Marks'!A46)</f>
        <v>40</v>
      </c>
      <c r="B47" s="804" t="str">
        <f>IF(OR($D$3="",$L$3=""),"",IF('Statement of Marks'!B46="","",'Statement of Marks'!B46))</f>
        <v/>
      </c>
      <c r="C47" s="805" t="str">
        <f>IF(OR($D$3="",$L$3=""),"",IF('Statement of Marks'!D46="","",'Statement of Marks'!D46))</f>
        <v/>
      </c>
      <c r="D47" s="806" t="str">
        <f>IF(OR($D$3="",$L$3=""),"",IF('Statement of Marks'!E46="","",'Statement of Marks'!E46))</f>
        <v/>
      </c>
      <c r="E47" s="807" t="str">
        <f>IF(OR($D$3="",$L$3=""),"",IF('Statement of Marks'!F46="","",'Statement of Marks'!F46))</f>
        <v/>
      </c>
      <c r="F47" s="807" t="str">
        <f>IF(OR($D$3="",$L$3=""),"",IF('Statement of Marks'!G46="","",'Statement of Marks'!G46))</f>
        <v/>
      </c>
      <c r="G47" s="807" t="str">
        <f>IF(OR($D$3="",$L$3=""),"",IF('Statement of Marks'!H46="","",'Statement of Marks'!H46))</f>
        <v/>
      </c>
      <c r="H47" s="808" t="str">
        <f>IF(OR($D$3="",$L$3=""),"",IF('Statement of Marks'!I46="","",'Statement of Marks'!I46))</f>
        <v/>
      </c>
      <c r="I47" s="808" t="str">
        <f>IF(OR($D$3="",$L$3=""),"",IF('Statement of Marks'!J46="","",'Statement of Marks'!J46))</f>
        <v/>
      </c>
      <c r="J47" s="809" t="str">
        <f>IFERROR(IF($L$3=$AJ$8,'Statement of Marks'!K46,IF($L$3=$AJ$9,'Statement of Marks'!Y46,IF($L$3=$AJ$10,'Statement of Marks'!AN46,IF($L$3=$AJ$11,'Statement of Marks'!BB46,IF($L$3=$AJ$12,'Statement of Marks'!BP46,IF($L$3=$AJ$13,'Statement of Marks'!CE46,IF($L$3=$AJ$14,'Statement of Marks'!CT46,IF($L$3=$AJ$15,'Statement of Marks'!DZ46,IF($L$3=$AJ$16,'Statement of Marks'!EL46,IF($L$3=$AJ$17,('Statement of Marks'!FB46+'Statement of Marks'!FC46),"")))))))))),"")</f>
        <v/>
      </c>
      <c r="K47" s="809" t="str">
        <f>IFERROR(IF($L$3=$AJ$8,'Statement of Marks'!L46,IF($L$3=$AJ$9,'Statement of Marks'!Z46,IF($L$3=$AJ$10,'Statement of Marks'!AO46,IF($L$3=$AJ$11,'Statement of Marks'!BC46,IF($L$3=$AJ$12,'Statement of Marks'!BQ46,IF($L$3=$AJ$13,'Statement of Marks'!CF46,IF($L$3=$AJ$14,'Statement of Marks'!CU46,IF($L$3=$AJ$15,'Statement of Marks'!EA46,IF($L$3=$AJ$16,'Statement of Marks'!EM46,IF($L$3=$AJ$17,('Statement of Marks'!FD46+'Statement of Marks'!FE46),"")))))))))),"")</f>
        <v/>
      </c>
      <c r="L47" s="809" t="str">
        <f>IFERROR(IF($L$3=$AJ$8,'Statement of Marks'!M46,IF($L$3=$AJ$9,'Statement of Marks'!AA46,IF($L$3=$AJ$10,'Statement of Marks'!AP46,IF($L$3=$AJ$11,'Statement of Marks'!BD46,IF($L$3=$AJ$12,'Statement of Marks'!BR46,IF($L$3=$AJ$13,'Statement of Marks'!CG46,IF($L$3=$AJ$14,'Statement of Marks'!CV46,IF($L$3=$AJ$15,'Statement of Marks'!EB46,IF($L$3=$AJ$16,'Statement of Marks'!EN46,IF($L$3=$AJ$17,('Statement of Marks'!FF46+'Statement of Marks'!FG46),"")))))))))),"")</f>
        <v/>
      </c>
      <c r="M47" s="810">
        <f t="shared" si="0"/>
        <v>0</v>
      </c>
      <c r="N47" s="809" t="str">
        <f>IFERROR(IF($L$3=$AJ$8,'Statement of Marks'!O46,IF($L$3=$AJ$9,'Statement of Marks'!AC46,IF($L$3=$AJ$10,'Statement of Marks'!AR46,IF($L$3=$AJ$11,'Statement of Marks'!BF46,IF($L$3=$AJ$12,'Statement of Marks'!BT46,IF($L$3=$AJ$13,'Statement of Marks'!CI46,IF($L$3=$AJ$14,('Statement of Marks'!CX46+'Statement of Marks'!CY46),IF($L$3=$AJ$15,'Statement of Marks'!ED46,IF($L$3=$AJ$16,('Statement of Marks'!EP46+'Statement of Marks'!EQ46),IF($L$3=$AJ$17,('Statement of Marks'!FI46+'Statement of Marks'!FJ46),IF($L$3=$AJ$18,'Statement of Marks'!FU46,IF($L$3=$AJ$19,'Statement of Marks'!GC46,"")))))))))))),"")</f>
        <v/>
      </c>
      <c r="O47" s="811">
        <f>IF($L$3=$AJ$18,'Statement of Marks'!FV46,IF($L$3=$AJ$19,'Statement of Marks'!GD46,IF(AND(M47="NA",N47="NA"),"NA",IF(AND(M47="",N47=""),"",SUM(M47,N47)))))</f>
        <v>0</v>
      </c>
      <c r="P47" s="809" t="str">
        <f>IFERROR(IF($L$3=$AJ$8,'Statement of Marks'!Q46,IF($L$3=$AJ$9,'Statement of Marks'!AE46,IF($L$3=$AJ$10,'Statement of Marks'!AT46,IF($L$3=$AJ$11,'Statement of Marks'!BH46,IF($L$3=$AJ$12,'Statement of Marks'!BV46,IF($L$3=$AJ$13,'Statement of Marks'!CK46,IF($L$3=$AJ$14,('Statement of Marks'!DB46+'Statement of Marks'!DC46),IF($L$3=$AJ$15,'Statement of Marks'!EF46,IF($L$3=$AJ$16,('Statement of Marks'!ET46+'Statement of Marks'!EU46),IF($L$3=$AJ$17,('Statement of Marks'!FM46+'Statement of Marks'!FN46),IF($L$3=$AJ$18,'Statement of Marks'!FW46,IF($L$3=$AJ$19,'Statement of Marks'!GE46,"")))))))))))),"")</f>
        <v/>
      </c>
      <c r="Q47" s="812" t="str">
        <f t="shared" si="3"/>
        <v/>
      </c>
      <c r="R47" s="813">
        <f t="shared" si="8"/>
        <v>0</v>
      </c>
      <c r="S47" s="813" t="str">
        <f t="shared" si="4"/>
        <v/>
      </c>
      <c r="T47" s="813" t="str">
        <f t="shared" si="5"/>
        <v/>
      </c>
      <c r="U47" s="814" t="str">
        <f t="shared" si="6"/>
        <v/>
      </c>
      <c r="V47" s="815" t="str">
        <f t="shared" si="7"/>
        <v/>
      </c>
      <c r="W47" s="816" t="str">
        <f t="shared" si="9"/>
        <v/>
      </c>
    </row>
    <row r="48" spans="1:23">
      <c r="A48" s="803">
        <f>IF('Statement of Marks'!A47="","",'Statement of Marks'!A47)</f>
        <v>41</v>
      </c>
      <c r="B48" s="804" t="str">
        <f>IF(OR($D$3="",$L$3=""),"",IF('Statement of Marks'!B47="","",'Statement of Marks'!B47))</f>
        <v/>
      </c>
      <c r="C48" s="805" t="str">
        <f>IF(OR($D$3="",$L$3=""),"",IF('Statement of Marks'!D47="","",'Statement of Marks'!D47))</f>
        <v/>
      </c>
      <c r="D48" s="806" t="str">
        <f>IF(OR($D$3="",$L$3=""),"",IF('Statement of Marks'!E47="","",'Statement of Marks'!E47))</f>
        <v/>
      </c>
      <c r="E48" s="807" t="str">
        <f>IF(OR($D$3="",$L$3=""),"",IF('Statement of Marks'!F47="","",'Statement of Marks'!F47))</f>
        <v/>
      </c>
      <c r="F48" s="807" t="str">
        <f>IF(OR($D$3="",$L$3=""),"",IF('Statement of Marks'!G47="","",'Statement of Marks'!G47))</f>
        <v/>
      </c>
      <c r="G48" s="807" t="str">
        <f>IF(OR($D$3="",$L$3=""),"",IF('Statement of Marks'!H47="","",'Statement of Marks'!H47))</f>
        <v/>
      </c>
      <c r="H48" s="808" t="str">
        <f>IF(OR($D$3="",$L$3=""),"",IF('Statement of Marks'!I47="","",'Statement of Marks'!I47))</f>
        <v/>
      </c>
      <c r="I48" s="808" t="str">
        <f>IF(OR($D$3="",$L$3=""),"",IF('Statement of Marks'!J47="","",'Statement of Marks'!J47))</f>
        <v/>
      </c>
      <c r="J48" s="809" t="str">
        <f>IFERROR(IF($L$3=$AJ$8,'Statement of Marks'!K47,IF($L$3=$AJ$9,'Statement of Marks'!Y47,IF($L$3=$AJ$10,'Statement of Marks'!AN47,IF($L$3=$AJ$11,'Statement of Marks'!BB47,IF($L$3=$AJ$12,'Statement of Marks'!BP47,IF($L$3=$AJ$13,'Statement of Marks'!CE47,IF($L$3=$AJ$14,'Statement of Marks'!CT47,IF($L$3=$AJ$15,'Statement of Marks'!DZ47,IF($L$3=$AJ$16,'Statement of Marks'!EL47,IF($L$3=$AJ$17,('Statement of Marks'!FB47+'Statement of Marks'!FC47),"")))))))))),"")</f>
        <v/>
      </c>
      <c r="K48" s="809" t="str">
        <f>IFERROR(IF($L$3=$AJ$8,'Statement of Marks'!L47,IF($L$3=$AJ$9,'Statement of Marks'!Z47,IF($L$3=$AJ$10,'Statement of Marks'!AO47,IF($L$3=$AJ$11,'Statement of Marks'!BC47,IF($L$3=$AJ$12,'Statement of Marks'!BQ47,IF($L$3=$AJ$13,'Statement of Marks'!CF47,IF($L$3=$AJ$14,'Statement of Marks'!CU47,IF($L$3=$AJ$15,'Statement of Marks'!EA47,IF($L$3=$AJ$16,'Statement of Marks'!EM47,IF($L$3=$AJ$17,('Statement of Marks'!FD47+'Statement of Marks'!FE47),"")))))))))),"")</f>
        <v/>
      </c>
      <c r="L48" s="809" t="str">
        <f>IFERROR(IF($L$3=$AJ$8,'Statement of Marks'!M47,IF($L$3=$AJ$9,'Statement of Marks'!AA47,IF($L$3=$AJ$10,'Statement of Marks'!AP47,IF($L$3=$AJ$11,'Statement of Marks'!BD47,IF($L$3=$AJ$12,'Statement of Marks'!BR47,IF($L$3=$AJ$13,'Statement of Marks'!CG47,IF($L$3=$AJ$14,'Statement of Marks'!CV47,IF($L$3=$AJ$15,'Statement of Marks'!EB47,IF($L$3=$AJ$16,'Statement of Marks'!EN47,IF($L$3=$AJ$17,('Statement of Marks'!FF47+'Statement of Marks'!FG47),"")))))))))),"")</f>
        <v/>
      </c>
      <c r="M48" s="810">
        <f t="shared" si="0"/>
        <v>0</v>
      </c>
      <c r="N48" s="809" t="str">
        <f>IFERROR(IF($L$3=$AJ$8,'Statement of Marks'!O47,IF($L$3=$AJ$9,'Statement of Marks'!AC47,IF($L$3=$AJ$10,'Statement of Marks'!AR47,IF($L$3=$AJ$11,'Statement of Marks'!BF47,IF($L$3=$AJ$12,'Statement of Marks'!BT47,IF($L$3=$AJ$13,'Statement of Marks'!CI47,IF($L$3=$AJ$14,('Statement of Marks'!CX47+'Statement of Marks'!CY47),IF($L$3=$AJ$15,'Statement of Marks'!ED47,IF($L$3=$AJ$16,('Statement of Marks'!EP47+'Statement of Marks'!EQ47),IF($L$3=$AJ$17,('Statement of Marks'!FI47+'Statement of Marks'!FJ47),IF($L$3=$AJ$18,'Statement of Marks'!FU47,IF($L$3=$AJ$19,'Statement of Marks'!GC47,"")))))))))))),"")</f>
        <v/>
      </c>
      <c r="O48" s="811">
        <f>IF($L$3=$AJ$18,'Statement of Marks'!FV47,IF($L$3=$AJ$19,'Statement of Marks'!GD47,IF(AND(M48="NA",N48="NA"),"NA",IF(AND(M48="",N48=""),"",SUM(M48,N48)))))</f>
        <v>0</v>
      </c>
      <c r="P48" s="809" t="str">
        <f>IFERROR(IF($L$3=$AJ$8,'Statement of Marks'!Q47,IF($L$3=$AJ$9,'Statement of Marks'!AE47,IF($L$3=$AJ$10,'Statement of Marks'!AT47,IF($L$3=$AJ$11,'Statement of Marks'!BH47,IF($L$3=$AJ$12,'Statement of Marks'!BV47,IF($L$3=$AJ$13,'Statement of Marks'!CK47,IF($L$3=$AJ$14,('Statement of Marks'!DB47+'Statement of Marks'!DC47),IF($L$3=$AJ$15,'Statement of Marks'!EF47,IF($L$3=$AJ$16,('Statement of Marks'!ET47+'Statement of Marks'!EU47),IF($L$3=$AJ$17,('Statement of Marks'!FM47+'Statement of Marks'!FN47),IF($L$3=$AJ$18,'Statement of Marks'!FW47,IF($L$3=$AJ$19,'Statement of Marks'!GE47,"")))))))))))),"")</f>
        <v/>
      </c>
      <c r="Q48" s="812" t="str">
        <f t="shared" si="3"/>
        <v/>
      </c>
      <c r="R48" s="813">
        <f t="shared" si="8"/>
        <v>0</v>
      </c>
      <c r="S48" s="813" t="str">
        <f t="shared" si="4"/>
        <v/>
      </c>
      <c r="T48" s="813" t="str">
        <f t="shared" si="5"/>
        <v/>
      </c>
      <c r="U48" s="814" t="str">
        <f t="shared" si="6"/>
        <v/>
      </c>
      <c r="V48" s="815" t="str">
        <f t="shared" si="7"/>
        <v/>
      </c>
      <c r="W48" s="816" t="str">
        <f t="shared" si="9"/>
        <v/>
      </c>
    </row>
    <row r="49" spans="1:23">
      <c r="A49" s="803">
        <f>IF('Statement of Marks'!A48="","",'Statement of Marks'!A48)</f>
        <v>42</v>
      </c>
      <c r="B49" s="804" t="str">
        <f>IF(OR($D$3="",$L$3=""),"",IF('Statement of Marks'!B48="","",'Statement of Marks'!B48))</f>
        <v/>
      </c>
      <c r="C49" s="805" t="str">
        <f>IF(OR($D$3="",$L$3=""),"",IF('Statement of Marks'!D48="","",'Statement of Marks'!D48))</f>
        <v/>
      </c>
      <c r="D49" s="806" t="str">
        <f>IF(OR($D$3="",$L$3=""),"",IF('Statement of Marks'!E48="","",'Statement of Marks'!E48))</f>
        <v/>
      </c>
      <c r="E49" s="807" t="str">
        <f>IF(OR($D$3="",$L$3=""),"",IF('Statement of Marks'!F48="","",'Statement of Marks'!F48))</f>
        <v/>
      </c>
      <c r="F49" s="807" t="str">
        <f>IF(OR($D$3="",$L$3=""),"",IF('Statement of Marks'!G48="","",'Statement of Marks'!G48))</f>
        <v/>
      </c>
      <c r="G49" s="807" t="str">
        <f>IF(OR($D$3="",$L$3=""),"",IF('Statement of Marks'!H48="","",'Statement of Marks'!H48))</f>
        <v/>
      </c>
      <c r="H49" s="808" t="str">
        <f>IF(OR($D$3="",$L$3=""),"",IF('Statement of Marks'!I48="","",'Statement of Marks'!I48))</f>
        <v/>
      </c>
      <c r="I49" s="808" t="str">
        <f>IF(OR($D$3="",$L$3=""),"",IF('Statement of Marks'!J48="","",'Statement of Marks'!J48))</f>
        <v/>
      </c>
      <c r="J49" s="809" t="str">
        <f>IFERROR(IF($L$3=$AJ$8,'Statement of Marks'!K48,IF($L$3=$AJ$9,'Statement of Marks'!Y48,IF($L$3=$AJ$10,'Statement of Marks'!AN48,IF($L$3=$AJ$11,'Statement of Marks'!BB48,IF($L$3=$AJ$12,'Statement of Marks'!BP48,IF($L$3=$AJ$13,'Statement of Marks'!CE48,IF($L$3=$AJ$14,'Statement of Marks'!CT48,IF($L$3=$AJ$15,'Statement of Marks'!DZ48,IF($L$3=$AJ$16,'Statement of Marks'!EL48,IF($L$3=$AJ$17,('Statement of Marks'!FB48+'Statement of Marks'!FC48),"")))))))))),"")</f>
        <v/>
      </c>
      <c r="K49" s="809" t="str">
        <f>IFERROR(IF($L$3=$AJ$8,'Statement of Marks'!L48,IF($L$3=$AJ$9,'Statement of Marks'!Z48,IF($L$3=$AJ$10,'Statement of Marks'!AO48,IF($L$3=$AJ$11,'Statement of Marks'!BC48,IF($L$3=$AJ$12,'Statement of Marks'!BQ48,IF($L$3=$AJ$13,'Statement of Marks'!CF48,IF($L$3=$AJ$14,'Statement of Marks'!CU48,IF($L$3=$AJ$15,'Statement of Marks'!EA48,IF($L$3=$AJ$16,'Statement of Marks'!EM48,IF($L$3=$AJ$17,('Statement of Marks'!FD48+'Statement of Marks'!FE48),"")))))))))),"")</f>
        <v/>
      </c>
      <c r="L49" s="809" t="str">
        <f>IFERROR(IF($L$3=$AJ$8,'Statement of Marks'!M48,IF($L$3=$AJ$9,'Statement of Marks'!AA48,IF($L$3=$AJ$10,'Statement of Marks'!AP48,IF($L$3=$AJ$11,'Statement of Marks'!BD48,IF($L$3=$AJ$12,'Statement of Marks'!BR48,IF($L$3=$AJ$13,'Statement of Marks'!CG48,IF($L$3=$AJ$14,'Statement of Marks'!CV48,IF($L$3=$AJ$15,'Statement of Marks'!EB48,IF($L$3=$AJ$16,'Statement of Marks'!EN48,IF($L$3=$AJ$17,('Statement of Marks'!FF48+'Statement of Marks'!FG48),"")))))))))),"")</f>
        <v/>
      </c>
      <c r="M49" s="810">
        <f t="shared" si="0"/>
        <v>0</v>
      </c>
      <c r="N49" s="809" t="str">
        <f>IFERROR(IF($L$3=$AJ$8,'Statement of Marks'!O48,IF($L$3=$AJ$9,'Statement of Marks'!AC48,IF($L$3=$AJ$10,'Statement of Marks'!AR48,IF($L$3=$AJ$11,'Statement of Marks'!BF48,IF($L$3=$AJ$12,'Statement of Marks'!BT48,IF($L$3=$AJ$13,'Statement of Marks'!CI48,IF($L$3=$AJ$14,('Statement of Marks'!CX48+'Statement of Marks'!CY48),IF($L$3=$AJ$15,'Statement of Marks'!ED48,IF($L$3=$AJ$16,('Statement of Marks'!EP48+'Statement of Marks'!EQ48),IF($L$3=$AJ$17,('Statement of Marks'!FI48+'Statement of Marks'!FJ48),IF($L$3=$AJ$18,'Statement of Marks'!FU48,IF($L$3=$AJ$19,'Statement of Marks'!GC48,"")))))))))))),"")</f>
        <v/>
      </c>
      <c r="O49" s="811">
        <f>IF($L$3=$AJ$18,'Statement of Marks'!FV48,IF($L$3=$AJ$19,'Statement of Marks'!GD48,IF(AND(M49="NA",N49="NA"),"NA",IF(AND(M49="",N49=""),"",SUM(M49,N49)))))</f>
        <v>0</v>
      </c>
      <c r="P49" s="809" t="str">
        <f>IFERROR(IF($L$3=$AJ$8,'Statement of Marks'!Q48,IF($L$3=$AJ$9,'Statement of Marks'!AE48,IF($L$3=$AJ$10,'Statement of Marks'!AT48,IF($L$3=$AJ$11,'Statement of Marks'!BH48,IF($L$3=$AJ$12,'Statement of Marks'!BV48,IF($L$3=$AJ$13,'Statement of Marks'!CK48,IF($L$3=$AJ$14,('Statement of Marks'!DB48+'Statement of Marks'!DC48),IF($L$3=$AJ$15,'Statement of Marks'!EF48,IF($L$3=$AJ$16,('Statement of Marks'!ET48+'Statement of Marks'!EU48),IF($L$3=$AJ$17,('Statement of Marks'!FM48+'Statement of Marks'!FN48),IF($L$3=$AJ$18,'Statement of Marks'!FW48,IF($L$3=$AJ$19,'Statement of Marks'!GE48,"")))))))))))),"")</f>
        <v/>
      </c>
      <c r="Q49" s="812" t="str">
        <f t="shared" si="3"/>
        <v/>
      </c>
      <c r="R49" s="813">
        <f t="shared" si="8"/>
        <v>0</v>
      </c>
      <c r="S49" s="813" t="str">
        <f t="shared" si="4"/>
        <v/>
      </c>
      <c r="T49" s="813" t="str">
        <f t="shared" si="5"/>
        <v/>
      </c>
      <c r="U49" s="814" t="str">
        <f t="shared" si="6"/>
        <v/>
      </c>
      <c r="V49" s="815" t="str">
        <f t="shared" si="7"/>
        <v/>
      </c>
      <c r="W49" s="816" t="str">
        <f t="shared" si="9"/>
        <v/>
      </c>
    </row>
    <row r="50" spans="1:23">
      <c r="A50" s="803">
        <f>IF('Statement of Marks'!A49="","",'Statement of Marks'!A49)</f>
        <v>43</v>
      </c>
      <c r="B50" s="804" t="str">
        <f>IF(OR($D$3="",$L$3=""),"",IF('Statement of Marks'!B49="","",'Statement of Marks'!B49))</f>
        <v/>
      </c>
      <c r="C50" s="805" t="str">
        <f>IF(OR($D$3="",$L$3=""),"",IF('Statement of Marks'!D49="","",'Statement of Marks'!D49))</f>
        <v/>
      </c>
      <c r="D50" s="806" t="str">
        <f>IF(OR($D$3="",$L$3=""),"",IF('Statement of Marks'!E49="","",'Statement of Marks'!E49))</f>
        <v/>
      </c>
      <c r="E50" s="807" t="str">
        <f>IF(OR($D$3="",$L$3=""),"",IF('Statement of Marks'!F49="","",'Statement of Marks'!F49))</f>
        <v/>
      </c>
      <c r="F50" s="807" t="str">
        <f>IF(OR($D$3="",$L$3=""),"",IF('Statement of Marks'!G49="","",'Statement of Marks'!G49))</f>
        <v/>
      </c>
      <c r="G50" s="807" t="str">
        <f>IF(OR($D$3="",$L$3=""),"",IF('Statement of Marks'!H49="","",'Statement of Marks'!H49))</f>
        <v/>
      </c>
      <c r="H50" s="808" t="str">
        <f>IF(OR($D$3="",$L$3=""),"",IF('Statement of Marks'!I49="","",'Statement of Marks'!I49))</f>
        <v/>
      </c>
      <c r="I50" s="808" t="str">
        <f>IF(OR($D$3="",$L$3=""),"",IF('Statement of Marks'!J49="","",'Statement of Marks'!J49))</f>
        <v/>
      </c>
      <c r="J50" s="809" t="str">
        <f>IFERROR(IF($L$3=$AJ$8,'Statement of Marks'!K49,IF($L$3=$AJ$9,'Statement of Marks'!Y49,IF($L$3=$AJ$10,'Statement of Marks'!AN49,IF($L$3=$AJ$11,'Statement of Marks'!BB49,IF($L$3=$AJ$12,'Statement of Marks'!BP49,IF($L$3=$AJ$13,'Statement of Marks'!CE49,IF($L$3=$AJ$14,'Statement of Marks'!CT49,IF($L$3=$AJ$15,'Statement of Marks'!DZ49,IF($L$3=$AJ$16,'Statement of Marks'!EL49,IF($L$3=$AJ$17,('Statement of Marks'!FB49+'Statement of Marks'!FC49),"")))))))))),"")</f>
        <v/>
      </c>
      <c r="K50" s="809" t="str">
        <f>IFERROR(IF($L$3=$AJ$8,'Statement of Marks'!L49,IF($L$3=$AJ$9,'Statement of Marks'!Z49,IF($L$3=$AJ$10,'Statement of Marks'!AO49,IF($L$3=$AJ$11,'Statement of Marks'!BC49,IF($L$3=$AJ$12,'Statement of Marks'!BQ49,IF($L$3=$AJ$13,'Statement of Marks'!CF49,IF($L$3=$AJ$14,'Statement of Marks'!CU49,IF($L$3=$AJ$15,'Statement of Marks'!EA49,IF($L$3=$AJ$16,'Statement of Marks'!EM49,IF($L$3=$AJ$17,('Statement of Marks'!FD49+'Statement of Marks'!FE49),"")))))))))),"")</f>
        <v/>
      </c>
      <c r="L50" s="809" t="str">
        <f>IFERROR(IF($L$3=$AJ$8,'Statement of Marks'!M49,IF($L$3=$AJ$9,'Statement of Marks'!AA49,IF($L$3=$AJ$10,'Statement of Marks'!AP49,IF($L$3=$AJ$11,'Statement of Marks'!BD49,IF($L$3=$AJ$12,'Statement of Marks'!BR49,IF($L$3=$AJ$13,'Statement of Marks'!CG49,IF($L$3=$AJ$14,'Statement of Marks'!CV49,IF($L$3=$AJ$15,'Statement of Marks'!EB49,IF($L$3=$AJ$16,'Statement of Marks'!EN49,IF($L$3=$AJ$17,('Statement of Marks'!FF49+'Statement of Marks'!FG49),"")))))))))),"")</f>
        <v/>
      </c>
      <c r="M50" s="810">
        <f t="shared" si="0"/>
        <v>0</v>
      </c>
      <c r="N50" s="809" t="str">
        <f>IFERROR(IF($L$3=$AJ$8,'Statement of Marks'!O49,IF($L$3=$AJ$9,'Statement of Marks'!AC49,IF($L$3=$AJ$10,'Statement of Marks'!AR49,IF($L$3=$AJ$11,'Statement of Marks'!BF49,IF($L$3=$AJ$12,'Statement of Marks'!BT49,IF($L$3=$AJ$13,'Statement of Marks'!CI49,IF($L$3=$AJ$14,('Statement of Marks'!CX49+'Statement of Marks'!CY49),IF($L$3=$AJ$15,'Statement of Marks'!ED49,IF($L$3=$AJ$16,('Statement of Marks'!EP49+'Statement of Marks'!EQ49),IF($L$3=$AJ$17,('Statement of Marks'!FI49+'Statement of Marks'!FJ49),IF($L$3=$AJ$18,'Statement of Marks'!FU49,IF($L$3=$AJ$19,'Statement of Marks'!GC49,"")))))))))))),"")</f>
        <v/>
      </c>
      <c r="O50" s="811">
        <f>IF($L$3=$AJ$18,'Statement of Marks'!FV49,IF($L$3=$AJ$19,'Statement of Marks'!GD49,IF(AND(M50="NA",N50="NA"),"NA",IF(AND(M50="",N50=""),"",SUM(M50,N50)))))</f>
        <v>0</v>
      </c>
      <c r="P50" s="809" t="str">
        <f>IFERROR(IF($L$3=$AJ$8,'Statement of Marks'!Q49,IF($L$3=$AJ$9,'Statement of Marks'!AE49,IF($L$3=$AJ$10,'Statement of Marks'!AT49,IF($L$3=$AJ$11,'Statement of Marks'!BH49,IF($L$3=$AJ$12,'Statement of Marks'!BV49,IF($L$3=$AJ$13,'Statement of Marks'!CK49,IF($L$3=$AJ$14,('Statement of Marks'!DB49+'Statement of Marks'!DC49),IF($L$3=$AJ$15,'Statement of Marks'!EF49,IF($L$3=$AJ$16,('Statement of Marks'!ET49+'Statement of Marks'!EU49),IF($L$3=$AJ$17,('Statement of Marks'!FM49+'Statement of Marks'!FN49),IF($L$3=$AJ$18,'Statement of Marks'!FW49,IF($L$3=$AJ$19,'Statement of Marks'!GE49,"")))))))))))),"")</f>
        <v/>
      </c>
      <c r="Q50" s="812" t="str">
        <f t="shared" si="3"/>
        <v/>
      </c>
      <c r="R50" s="813">
        <f t="shared" si="8"/>
        <v>0</v>
      </c>
      <c r="S50" s="813" t="str">
        <f t="shared" si="4"/>
        <v/>
      </c>
      <c r="T50" s="813" t="str">
        <f t="shared" si="5"/>
        <v/>
      </c>
      <c r="U50" s="814" t="str">
        <f t="shared" si="6"/>
        <v/>
      </c>
      <c r="V50" s="815" t="str">
        <f t="shared" si="7"/>
        <v/>
      </c>
      <c r="W50" s="816" t="str">
        <f t="shared" si="9"/>
        <v/>
      </c>
    </row>
    <row r="51" spans="1:23">
      <c r="A51" s="803">
        <f>IF('Statement of Marks'!A50="","",'Statement of Marks'!A50)</f>
        <v>44</v>
      </c>
      <c r="B51" s="804" t="str">
        <f>IF(OR($D$3="",$L$3=""),"",IF('Statement of Marks'!B50="","",'Statement of Marks'!B50))</f>
        <v/>
      </c>
      <c r="C51" s="805" t="str">
        <f>IF(OR($D$3="",$L$3=""),"",IF('Statement of Marks'!D50="","",'Statement of Marks'!D50))</f>
        <v/>
      </c>
      <c r="D51" s="806" t="str">
        <f>IF(OR($D$3="",$L$3=""),"",IF('Statement of Marks'!E50="","",'Statement of Marks'!E50))</f>
        <v/>
      </c>
      <c r="E51" s="807" t="str">
        <f>IF(OR($D$3="",$L$3=""),"",IF('Statement of Marks'!F50="","",'Statement of Marks'!F50))</f>
        <v/>
      </c>
      <c r="F51" s="807" t="str">
        <f>IF(OR($D$3="",$L$3=""),"",IF('Statement of Marks'!G50="","",'Statement of Marks'!G50))</f>
        <v/>
      </c>
      <c r="G51" s="807" t="str">
        <f>IF(OR($D$3="",$L$3=""),"",IF('Statement of Marks'!H50="","",'Statement of Marks'!H50))</f>
        <v/>
      </c>
      <c r="H51" s="808" t="str">
        <f>IF(OR($D$3="",$L$3=""),"",IF('Statement of Marks'!I50="","",'Statement of Marks'!I50))</f>
        <v/>
      </c>
      <c r="I51" s="808" t="str">
        <f>IF(OR($D$3="",$L$3=""),"",IF('Statement of Marks'!J50="","",'Statement of Marks'!J50))</f>
        <v/>
      </c>
      <c r="J51" s="809" t="str">
        <f>IFERROR(IF($L$3=$AJ$8,'Statement of Marks'!K50,IF($L$3=$AJ$9,'Statement of Marks'!Y50,IF($L$3=$AJ$10,'Statement of Marks'!AN50,IF($L$3=$AJ$11,'Statement of Marks'!BB50,IF($L$3=$AJ$12,'Statement of Marks'!BP50,IF($L$3=$AJ$13,'Statement of Marks'!CE50,IF($L$3=$AJ$14,'Statement of Marks'!CT50,IF($L$3=$AJ$15,'Statement of Marks'!DZ50,IF($L$3=$AJ$16,'Statement of Marks'!EL50,IF($L$3=$AJ$17,('Statement of Marks'!FB50+'Statement of Marks'!FC50),"")))))))))),"")</f>
        <v/>
      </c>
      <c r="K51" s="809" t="str">
        <f>IFERROR(IF($L$3=$AJ$8,'Statement of Marks'!L50,IF($L$3=$AJ$9,'Statement of Marks'!Z50,IF($L$3=$AJ$10,'Statement of Marks'!AO50,IF($L$3=$AJ$11,'Statement of Marks'!BC50,IF($L$3=$AJ$12,'Statement of Marks'!BQ50,IF($L$3=$AJ$13,'Statement of Marks'!CF50,IF($L$3=$AJ$14,'Statement of Marks'!CU50,IF($L$3=$AJ$15,'Statement of Marks'!EA50,IF($L$3=$AJ$16,'Statement of Marks'!EM50,IF($L$3=$AJ$17,('Statement of Marks'!FD50+'Statement of Marks'!FE50),"")))))))))),"")</f>
        <v/>
      </c>
      <c r="L51" s="809" t="str">
        <f>IFERROR(IF($L$3=$AJ$8,'Statement of Marks'!M50,IF($L$3=$AJ$9,'Statement of Marks'!AA50,IF($L$3=$AJ$10,'Statement of Marks'!AP50,IF($L$3=$AJ$11,'Statement of Marks'!BD50,IF($L$3=$AJ$12,'Statement of Marks'!BR50,IF($L$3=$AJ$13,'Statement of Marks'!CG50,IF($L$3=$AJ$14,'Statement of Marks'!CV50,IF($L$3=$AJ$15,'Statement of Marks'!EB50,IF($L$3=$AJ$16,'Statement of Marks'!EN50,IF($L$3=$AJ$17,('Statement of Marks'!FF50+'Statement of Marks'!FG50),"")))))))))),"")</f>
        <v/>
      </c>
      <c r="M51" s="810">
        <f t="shared" si="0"/>
        <v>0</v>
      </c>
      <c r="N51" s="809" t="str">
        <f>IFERROR(IF($L$3=$AJ$8,'Statement of Marks'!O50,IF($L$3=$AJ$9,'Statement of Marks'!AC50,IF($L$3=$AJ$10,'Statement of Marks'!AR50,IF($L$3=$AJ$11,'Statement of Marks'!BF50,IF($L$3=$AJ$12,'Statement of Marks'!BT50,IF($L$3=$AJ$13,'Statement of Marks'!CI50,IF($L$3=$AJ$14,('Statement of Marks'!CX50+'Statement of Marks'!CY50),IF($L$3=$AJ$15,'Statement of Marks'!ED50,IF($L$3=$AJ$16,('Statement of Marks'!EP50+'Statement of Marks'!EQ50),IF($L$3=$AJ$17,('Statement of Marks'!FI50+'Statement of Marks'!FJ50),IF($L$3=$AJ$18,'Statement of Marks'!FU50,IF($L$3=$AJ$19,'Statement of Marks'!GC50,"")))))))))))),"")</f>
        <v/>
      </c>
      <c r="O51" s="811">
        <f>IF($L$3=$AJ$18,'Statement of Marks'!FV50,IF($L$3=$AJ$19,'Statement of Marks'!GD50,IF(AND(M51="NA",N51="NA"),"NA",IF(AND(M51="",N51=""),"",SUM(M51,N51)))))</f>
        <v>0</v>
      </c>
      <c r="P51" s="809" t="str">
        <f>IFERROR(IF($L$3=$AJ$8,'Statement of Marks'!Q50,IF($L$3=$AJ$9,'Statement of Marks'!AE50,IF($L$3=$AJ$10,'Statement of Marks'!AT50,IF($L$3=$AJ$11,'Statement of Marks'!BH50,IF($L$3=$AJ$12,'Statement of Marks'!BV50,IF($L$3=$AJ$13,'Statement of Marks'!CK50,IF($L$3=$AJ$14,('Statement of Marks'!DB50+'Statement of Marks'!DC50),IF($L$3=$AJ$15,'Statement of Marks'!EF50,IF($L$3=$AJ$16,('Statement of Marks'!ET50+'Statement of Marks'!EU50),IF($L$3=$AJ$17,('Statement of Marks'!FM50+'Statement of Marks'!FN50),IF($L$3=$AJ$18,'Statement of Marks'!FW50,IF($L$3=$AJ$19,'Statement of Marks'!GE50,"")))))))))))),"")</f>
        <v/>
      </c>
      <c r="Q51" s="812" t="str">
        <f t="shared" si="3"/>
        <v/>
      </c>
      <c r="R51" s="813">
        <f t="shared" si="8"/>
        <v>0</v>
      </c>
      <c r="S51" s="813" t="str">
        <f t="shared" si="4"/>
        <v/>
      </c>
      <c r="T51" s="813" t="str">
        <f t="shared" si="5"/>
        <v/>
      </c>
      <c r="U51" s="814" t="str">
        <f t="shared" si="6"/>
        <v/>
      </c>
      <c r="V51" s="815" t="str">
        <f t="shared" si="7"/>
        <v/>
      </c>
      <c r="W51" s="816" t="str">
        <f t="shared" si="9"/>
        <v/>
      </c>
    </row>
    <row r="52" spans="1:23">
      <c r="A52" s="803">
        <f>IF('Statement of Marks'!A51="","",'Statement of Marks'!A51)</f>
        <v>45</v>
      </c>
      <c r="B52" s="804" t="str">
        <f>IF(OR($D$3="",$L$3=""),"",IF('Statement of Marks'!B51="","",'Statement of Marks'!B51))</f>
        <v/>
      </c>
      <c r="C52" s="805" t="str">
        <f>IF(OR($D$3="",$L$3=""),"",IF('Statement of Marks'!D51="","",'Statement of Marks'!D51))</f>
        <v/>
      </c>
      <c r="D52" s="806" t="str">
        <f>IF(OR($D$3="",$L$3=""),"",IF('Statement of Marks'!E51="","",'Statement of Marks'!E51))</f>
        <v/>
      </c>
      <c r="E52" s="807" t="str">
        <f>IF(OR($D$3="",$L$3=""),"",IF('Statement of Marks'!F51="","",'Statement of Marks'!F51))</f>
        <v/>
      </c>
      <c r="F52" s="807" t="str">
        <f>IF(OR($D$3="",$L$3=""),"",IF('Statement of Marks'!G51="","",'Statement of Marks'!G51))</f>
        <v/>
      </c>
      <c r="G52" s="807" t="str">
        <f>IF(OR($D$3="",$L$3=""),"",IF('Statement of Marks'!H51="","",'Statement of Marks'!H51))</f>
        <v/>
      </c>
      <c r="H52" s="808" t="str">
        <f>IF(OR($D$3="",$L$3=""),"",IF('Statement of Marks'!I51="","",'Statement of Marks'!I51))</f>
        <v/>
      </c>
      <c r="I52" s="808" t="str">
        <f>IF(OR($D$3="",$L$3=""),"",IF('Statement of Marks'!J51="","",'Statement of Marks'!J51))</f>
        <v/>
      </c>
      <c r="J52" s="809" t="str">
        <f>IFERROR(IF($L$3=$AJ$8,'Statement of Marks'!K51,IF($L$3=$AJ$9,'Statement of Marks'!Y51,IF($L$3=$AJ$10,'Statement of Marks'!AN51,IF($L$3=$AJ$11,'Statement of Marks'!BB51,IF($L$3=$AJ$12,'Statement of Marks'!BP51,IF($L$3=$AJ$13,'Statement of Marks'!CE51,IF($L$3=$AJ$14,'Statement of Marks'!CT51,IF($L$3=$AJ$15,'Statement of Marks'!DZ51,IF($L$3=$AJ$16,'Statement of Marks'!EL51,IF($L$3=$AJ$17,('Statement of Marks'!FB51+'Statement of Marks'!FC51),"")))))))))),"")</f>
        <v/>
      </c>
      <c r="K52" s="809" t="str">
        <f>IFERROR(IF($L$3=$AJ$8,'Statement of Marks'!L51,IF($L$3=$AJ$9,'Statement of Marks'!Z51,IF($L$3=$AJ$10,'Statement of Marks'!AO51,IF($L$3=$AJ$11,'Statement of Marks'!BC51,IF($L$3=$AJ$12,'Statement of Marks'!BQ51,IF($L$3=$AJ$13,'Statement of Marks'!CF51,IF($L$3=$AJ$14,'Statement of Marks'!CU51,IF($L$3=$AJ$15,'Statement of Marks'!EA51,IF($L$3=$AJ$16,'Statement of Marks'!EM51,IF($L$3=$AJ$17,('Statement of Marks'!FD51+'Statement of Marks'!FE51),"")))))))))),"")</f>
        <v/>
      </c>
      <c r="L52" s="809" t="str">
        <f>IFERROR(IF($L$3=$AJ$8,'Statement of Marks'!M51,IF($L$3=$AJ$9,'Statement of Marks'!AA51,IF($L$3=$AJ$10,'Statement of Marks'!AP51,IF($L$3=$AJ$11,'Statement of Marks'!BD51,IF($L$3=$AJ$12,'Statement of Marks'!BR51,IF($L$3=$AJ$13,'Statement of Marks'!CG51,IF($L$3=$AJ$14,'Statement of Marks'!CV51,IF($L$3=$AJ$15,'Statement of Marks'!EB51,IF($L$3=$AJ$16,'Statement of Marks'!EN51,IF($L$3=$AJ$17,('Statement of Marks'!FF51+'Statement of Marks'!FG51),"")))))))))),"")</f>
        <v/>
      </c>
      <c r="M52" s="810">
        <f t="shared" si="0"/>
        <v>0</v>
      </c>
      <c r="N52" s="809" t="str">
        <f>IFERROR(IF($L$3=$AJ$8,'Statement of Marks'!O51,IF($L$3=$AJ$9,'Statement of Marks'!AC51,IF($L$3=$AJ$10,'Statement of Marks'!AR51,IF($L$3=$AJ$11,'Statement of Marks'!BF51,IF($L$3=$AJ$12,'Statement of Marks'!BT51,IF($L$3=$AJ$13,'Statement of Marks'!CI51,IF($L$3=$AJ$14,('Statement of Marks'!CX51+'Statement of Marks'!CY51),IF($L$3=$AJ$15,'Statement of Marks'!ED51,IF($L$3=$AJ$16,('Statement of Marks'!EP51+'Statement of Marks'!EQ51),IF($L$3=$AJ$17,('Statement of Marks'!FI51+'Statement of Marks'!FJ51),IF($L$3=$AJ$18,'Statement of Marks'!FU51,IF($L$3=$AJ$19,'Statement of Marks'!GC51,"")))))))))))),"")</f>
        <v/>
      </c>
      <c r="O52" s="811">
        <f>IF($L$3=$AJ$18,'Statement of Marks'!FV51,IF($L$3=$AJ$19,'Statement of Marks'!GD51,IF(AND(M52="NA",N52="NA"),"NA",IF(AND(M52="",N52=""),"",SUM(M52,N52)))))</f>
        <v>0</v>
      </c>
      <c r="P52" s="809" t="str">
        <f>IFERROR(IF($L$3=$AJ$8,'Statement of Marks'!Q51,IF($L$3=$AJ$9,'Statement of Marks'!AE51,IF($L$3=$AJ$10,'Statement of Marks'!AT51,IF($L$3=$AJ$11,'Statement of Marks'!BH51,IF($L$3=$AJ$12,'Statement of Marks'!BV51,IF($L$3=$AJ$13,'Statement of Marks'!CK51,IF($L$3=$AJ$14,('Statement of Marks'!DB51+'Statement of Marks'!DC51),IF($L$3=$AJ$15,'Statement of Marks'!EF51,IF($L$3=$AJ$16,('Statement of Marks'!ET51+'Statement of Marks'!EU51),IF($L$3=$AJ$17,('Statement of Marks'!FM51+'Statement of Marks'!FN51),IF($L$3=$AJ$18,'Statement of Marks'!FW51,IF($L$3=$AJ$19,'Statement of Marks'!GE51,"")))))))))))),"")</f>
        <v/>
      </c>
      <c r="Q52" s="812" t="str">
        <f t="shared" si="3"/>
        <v/>
      </c>
      <c r="R52" s="813">
        <f t="shared" si="8"/>
        <v>0</v>
      </c>
      <c r="S52" s="813" t="str">
        <f t="shared" si="4"/>
        <v/>
      </c>
      <c r="T52" s="813" t="str">
        <f t="shared" si="5"/>
        <v/>
      </c>
      <c r="U52" s="814" t="str">
        <f t="shared" si="6"/>
        <v/>
      </c>
      <c r="V52" s="815" t="str">
        <f t="shared" si="7"/>
        <v/>
      </c>
      <c r="W52" s="816" t="str">
        <f t="shared" si="9"/>
        <v/>
      </c>
    </row>
    <row r="53" spans="1:23">
      <c r="A53" s="803">
        <f>IF('Statement of Marks'!A52="","",'Statement of Marks'!A52)</f>
        <v>46</v>
      </c>
      <c r="B53" s="804" t="str">
        <f>IF(OR($D$3="",$L$3=""),"",IF('Statement of Marks'!B52="","",'Statement of Marks'!B52))</f>
        <v/>
      </c>
      <c r="C53" s="805" t="str">
        <f>IF(OR($D$3="",$L$3=""),"",IF('Statement of Marks'!D52="","",'Statement of Marks'!D52))</f>
        <v/>
      </c>
      <c r="D53" s="806" t="str">
        <f>IF(OR($D$3="",$L$3=""),"",IF('Statement of Marks'!E52="","",'Statement of Marks'!E52))</f>
        <v/>
      </c>
      <c r="E53" s="807" t="str">
        <f>IF(OR($D$3="",$L$3=""),"",IF('Statement of Marks'!F52="","",'Statement of Marks'!F52))</f>
        <v/>
      </c>
      <c r="F53" s="807" t="str">
        <f>IF(OR($D$3="",$L$3=""),"",IF('Statement of Marks'!G52="","",'Statement of Marks'!G52))</f>
        <v/>
      </c>
      <c r="G53" s="807" t="str">
        <f>IF(OR($D$3="",$L$3=""),"",IF('Statement of Marks'!H52="","",'Statement of Marks'!H52))</f>
        <v/>
      </c>
      <c r="H53" s="808" t="str">
        <f>IF(OR($D$3="",$L$3=""),"",IF('Statement of Marks'!I52="","",'Statement of Marks'!I52))</f>
        <v/>
      </c>
      <c r="I53" s="808" t="str">
        <f>IF(OR($D$3="",$L$3=""),"",IF('Statement of Marks'!J52="","",'Statement of Marks'!J52))</f>
        <v/>
      </c>
      <c r="J53" s="809" t="str">
        <f>IFERROR(IF($L$3=$AJ$8,'Statement of Marks'!K52,IF($L$3=$AJ$9,'Statement of Marks'!Y52,IF($L$3=$AJ$10,'Statement of Marks'!AN52,IF($L$3=$AJ$11,'Statement of Marks'!BB52,IF($L$3=$AJ$12,'Statement of Marks'!BP52,IF($L$3=$AJ$13,'Statement of Marks'!CE52,IF($L$3=$AJ$14,'Statement of Marks'!CT52,IF($L$3=$AJ$15,'Statement of Marks'!DZ52,IF($L$3=$AJ$16,'Statement of Marks'!EL52,IF($L$3=$AJ$17,('Statement of Marks'!FB52+'Statement of Marks'!FC52),"")))))))))),"")</f>
        <v/>
      </c>
      <c r="K53" s="809" t="str">
        <f>IFERROR(IF($L$3=$AJ$8,'Statement of Marks'!L52,IF($L$3=$AJ$9,'Statement of Marks'!Z52,IF($L$3=$AJ$10,'Statement of Marks'!AO52,IF($L$3=$AJ$11,'Statement of Marks'!BC52,IF($L$3=$AJ$12,'Statement of Marks'!BQ52,IF($L$3=$AJ$13,'Statement of Marks'!CF52,IF($L$3=$AJ$14,'Statement of Marks'!CU52,IF($L$3=$AJ$15,'Statement of Marks'!EA52,IF($L$3=$AJ$16,'Statement of Marks'!EM52,IF($L$3=$AJ$17,('Statement of Marks'!FD52+'Statement of Marks'!FE52),"")))))))))),"")</f>
        <v/>
      </c>
      <c r="L53" s="809" t="str">
        <f>IFERROR(IF($L$3=$AJ$8,'Statement of Marks'!M52,IF($L$3=$AJ$9,'Statement of Marks'!AA52,IF($L$3=$AJ$10,'Statement of Marks'!AP52,IF($L$3=$AJ$11,'Statement of Marks'!BD52,IF($L$3=$AJ$12,'Statement of Marks'!BR52,IF($L$3=$AJ$13,'Statement of Marks'!CG52,IF($L$3=$AJ$14,'Statement of Marks'!CV52,IF($L$3=$AJ$15,'Statement of Marks'!EB52,IF($L$3=$AJ$16,'Statement of Marks'!EN52,IF($L$3=$AJ$17,('Statement of Marks'!FF52+'Statement of Marks'!FG52),"")))))))))),"")</f>
        <v/>
      </c>
      <c r="M53" s="810">
        <f t="shared" si="0"/>
        <v>0</v>
      </c>
      <c r="N53" s="809" t="str">
        <f>IFERROR(IF($L$3=$AJ$8,'Statement of Marks'!O52,IF($L$3=$AJ$9,'Statement of Marks'!AC52,IF($L$3=$AJ$10,'Statement of Marks'!AR52,IF($L$3=$AJ$11,'Statement of Marks'!BF52,IF($L$3=$AJ$12,'Statement of Marks'!BT52,IF($L$3=$AJ$13,'Statement of Marks'!CI52,IF($L$3=$AJ$14,('Statement of Marks'!CX52+'Statement of Marks'!CY52),IF($L$3=$AJ$15,'Statement of Marks'!ED52,IF($L$3=$AJ$16,('Statement of Marks'!EP52+'Statement of Marks'!EQ52),IF($L$3=$AJ$17,('Statement of Marks'!FI52+'Statement of Marks'!FJ52),IF($L$3=$AJ$18,'Statement of Marks'!FU52,IF($L$3=$AJ$19,'Statement of Marks'!GC52,"")))))))))))),"")</f>
        <v/>
      </c>
      <c r="O53" s="811">
        <f>IF($L$3=$AJ$18,'Statement of Marks'!FV52,IF($L$3=$AJ$19,'Statement of Marks'!GD52,IF(AND(M53="NA",N53="NA"),"NA",IF(AND(M53="",N53=""),"",SUM(M53,N53)))))</f>
        <v>0</v>
      </c>
      <c r="P53" s="809" t="str">
        <f>IFERROR(IF($L$3=$AJ$8,'Statement of Marks'!Q52,IF($L$3=$AJ$9,'Statement of Marks'!AE52,IF($L$3=$AJ$10,'Statement of Marks'!AT52,IF($L$3=$AJ$11,'Statement of Marks'!BH52,IF($L$3=$AJ$12,'Statement of Marks'!BV52,IF($L$3=$AJ$13,'Statement of Marks'!CK52,IF($L$3=$AJ$14,('Statement of Marks'!DB52+'Statement of Marks'!DC52),IF($L$3=$AJ$15,'Statement of Marks'!EF52,IF($L$3=$AJ$16,('Statement of Marks'!ET52+'Statement of Marks'!EU52),IF($L$3=$AJ$17,('Statement of Marks'!FM52+'Statement of Marks'!FN52),IF($L$3=$AJ$18,'Statement of Marks'!FW52,IF($L$3=$AJ$19,'Statement of Marks'!GE52,"")))))))))))),"")</f>
        <v/>
      </c>
      <c r="Q53" s="812" t="str">
        <f t="shared" si="3"/>
        <v/>
      </c>
      <c r="R53" s="813">
        <f t="shared" si="8"/>
        <v>0</v>
      </c>
      <c r="S53" s="813" t="str">
        <f t="shared" si="4"/>
        <v/>
      </c>
      <c r="T53" s="813" t="str">
        <f t="shared" si="5"/>
        <v/>
      </c>
      <c r="U53" s="814" t="str">
        <f t="shared" si="6"/>
        <v/>
      </c>
      <c r="V53" s="815" t="str">
        <f t="shared" si="7"/>
        <v/>
      </c>
      <c r="W53" s="816" t="str">
        <f t="shared" si="9"/>
        <v/>
      </c>
    </row>
    <row r="54" spans="1:23">
      <c r="A54" s="803">
        <f>IF('Statement of Marks'!A53="","",'Statement of Marks'!A53)</f>
        <v>47</v>
      </c>
      <c r="B54" s="804" t="str">
        <f>IF(OR($D$3="",$L$3=""),"",IF('Statement of Marks'!B53="","",'Statement of Marks'!B53))</f>
        <v/>
      </c>
      <c r="C54" s="805" t="str">
        <f>IF(OR($D$3="",$L$3=""),"",IF('Statement of Marks'!D53="","",'Statement of Marks'!D53))</f>
        <v/>
      </c>
      <c r="D54" s="806" t="str">
        <f>IF(OR($D$3="",$L$3=""),"",IF('Statement of Marks'!E53="","",'Statement of Marks'!E53))</f>
        <v/>
      </c>
      <c r="E54" s="807" t="str">
        <f>IF(OR($D$3="",$L$3=""),"",IF('Statement of Marks'!F53="","",'Statement of Marks'!F53))</f>
        <v/>
      </c>
      <c r="F54" s="807" t="str">
        <f>IF(OR($D$3="",$L$3=""),"",IF('Statement of Marks'!G53="","",'Statement of Marks'!G53))</f>
        <v/>
      </c>
      <c r="G54" s="807" t="str">
        <f>IF(OR($D$3="",$L$3=""),"",IF('Statement of Marks'!H53="","",'Statement of Marks'!H53))</f>
        <v/>
      </c>
      <c r="H54" s="808" t="str">
        <f>IF(OR($D$3="",$L$3=""),"",IF('Statement of Marks'!I53="","",'Statement of Marks'!I53))</f>
        <v/>
      </c>
      <c r="I54" s="808" t="str">
        <f>IF(OR($D$3="",$L$3=""),"",IF('Statement of Marks'!J53="","",'Statement of Marks'!J53))</f>
        <v/>
      </c>
      <c r="J54" s="809" t="str">
        <f>IFERROR(IF($L$3=$AJ$8,'Statement of Marks'!K53,IF($L$3=$AJ$9,'Statement of Marks'!Y53,IF($L$3=$AJ$10,'Statement of Marks'!AN53,IF($L$3=$AJ$11,'Statement of Marks'!BB53,IF($L$3=$AJ$12,'Statement of Marks'!BP53,IF($L$3=$AJ$13,'Statement of Marks'!CE53,IF($L$3=$AJ$14,'Statement of Marks'!CT53,IF($L$3=$AJ$15,'Statement of Marks'!DZ53,IF($L$3=$AJ$16,'Statement of Marks'!EL53,IF($L$3=$AJ$17,('Statement of Marks'!FB53+'Statement of Marks'!FC53),"")))))))))),"")</f>
        <v/>
      </c>
      <c r="K54" s="809" t="str">
        <f>IFERROR(IF($L$3=$AJ$8,'Statement of Marks'!L53,IF($L$3=$AJ$9,'Statement of Marks'!Z53,IF($L$3=$AJ$10,'Statement of Marks'!AO53,IF($L$3=$AJ$11,'Statement of Marks'!BC53,IF($L$3=$AJ$12,'Statement of Marks'!BQ53,IF($L$3=$AJ$13,'Statement of Marks'!CF53,IF($L$3=$AJ$14,'Statement of Marks'!CU53,IF($L$3=$AJ$15,'Statement of Marks'!EA53,IF($L$3=$AJ$16,'Statement of Marks'!EM53,IF($L$3=$AJ$17,('Statement of Marks'!FD53+'Statement of Marks'!FE53),"")))))))))),"")</f>
        <v/>
      </c>
      <c r="L54" s="809" t="str">
        <f>IFERROR(IF($L$3=$AJ$8,'Statement of Marks'!M53,IF($L$3=$AJ$9,'Statement of Marks'!AA53,IF($L$3=$AJ$10,'Statement of Marks'!AP53,IF($L$3=$AJ$11,'Statement of Marks'!BD53,IF($L$3=$AJ$12,'Statement of Marks'!BR53,IF($L$3=$AJ$13,'Statement of Marks'!CG53,IF($L$3=$AJ$14,'Statement of Marks'!CV53,IF($L$3=$AJ$15,'Statement of Marks'!EB53,IF($L$3=$AJ$16,'Statement of Marks'!EN53,IF($L$3=$AJ$17,('Statement of Marks'!FF53+'Statement of Marks'!FG53),"")))))))))),"")</f>
        <v/>
      </c>
      <c r="M54" s="810">
        <f t="shared" si="0"/>
        <v>0</v>
      </c>
      <c r="N54" s="809" t="str">
        <f>IFERROR(IF($L$3=$AJ$8,'Statement of Marks'!O53,IF($L$3=$AJ$9,'Statement of Marks'!AC53,IF($L$3=$AJ$10,'Statement of Marks'!AR53,IF($L$3=$AJ$11,'Statement of Marks'!BF53,IF($L$3=$AJ$12,'Statement of Marks'!BT53,IF($L$3=$AJ$13,'Statement of Marks'!CI53,IF($L$3=$AJ$14,('Statement of Marks'!CX53+'Statement of Marks'!CY53),IF($L$3=$AJ$15,'Statement of Marks'!ED53,IF($L$3=$AJ$16,('Statement of Marks'!EP53+'Statement of Marks'!EQ53),IF($L$3=$AJ$17,('Statement of Marks'!FI53+'Statement of Marks'!FJ53),IF($L$3=$AJ$18,'Statement of Marks'!FU53,IF($L$3=$AJ$19,'Statement of Marks'!GC53,"")))))))))))),"")</f>
        <v/>
      </c>
      <c r="O54" s="811">
        <f>IF($L$3=$AJ$18,'Statement of Marks'!FV53,IF($L$3=$AJ$19,'Statement of Marks'!GD53,IF(AND(M54="NA",N54="NA"),"NA",IF(AND(M54="",N54=""),"",SUM(M54,N54)))))</f>
        <v>0</v>
      </c>
      <c r="P54" s="809" t="str">
        <f>IFERROR(IF($L$3=$AJ$8,'Statement of Marks'!Q53,IF($L$3=$AJ$9,'Statement of Marks'!AE53,IF($L$3=$AJ$10,'Statement of Marks'!AT53,IF($L$3=$AJ$11,'Statement of Marks'!BH53,IF($L$3=$AJ$12,'Statement of Marks'!BV53,IF($L$3=$AJ$13,'Statement of Marks'!CK53,IF($L$3=$AJ$14,('Statement of Marks'!DB53+'Statement of Marks'!DC53),IF($L$3=$AJ$15,'Statement of Marks'!EF53,IF($L$3=$AJ$16,('Statement of Marks'!ET53+'Statement of Marks'!EU53),IF($L$3=$AJ$17,('Statement of Marks'!FM53+'Statement of Marks'!FN53),IF($L$3=$AJ$18,'Statement of Marks'!FW53,IF($L$3=$AJ$19,'Statement of Marks'!GE53,"")))))))))))),"")</f>
        <v/>
      </c>
      <c r="Q54" s="812" t="str">
        <f t="shared" si="3"/>
        <v/>
      </c>
      <c r="R54" s="813">
        <f t="shared" si="8"/>
        <v>0</v>
      </c>
      <c r="S54" s="813" t="str">
        <f t="shared" si="4"/>
        <v/>
      </c>
      <c r="T54" s="813" t="str">
        <f t="shared" si="5"/>
        <v/>
      </c>
      <c r="U54" s="814" t="str">
        <f t="shared" si="6"/>
        <v/>
      </c>
      <c r="V54" s="815" t="str">
        <f t="shared" si="7"/>
        <v/>
      </c>
      <c r="W54" s="816" t="str">
        <f t="shared" si="9"/>
        <v/>
      </c>
    </row>
    <row r="55" spans="1:23">
      <c r="A55" s="803">
        <f>IF('Statement of Marks'!A54="","",'Statement of Marks'!A54)</f>
        <v>48</v>
      </c>
      <c r="B55" s="804" t="str">
        <f>IF(OR($D$3="",$L$3=""),"",IF('Statement of Marks'!B54="","",'Statement of Marks'!B54))</f>
        <v/>
      </c>
      <c r="C55" s="805" t="str">
        <f>IF(OR($D$3="",$L$3=""),"",IF('Statement of Marks'!D54="","",'Statement of Marks'!D54))</f>
        <v/>
      </c>
      <c r="D55" s="806" t="str">
        <f>IF(OR($D$3="",$L$3=""),"",IF('Statement of Marks'!E54="","",'Statement of Marks'!E54))</f>
        <v/>
      </c>
      <c r="E55" s="807" t="str">
        <f>IF(OR($D$3="",$L$3=""),"",IF('Statement of Marks'!F54="","",'Statement of Marks'!F54))</f>
        <v/>
      </c>
      <c r="F55" s="807" t="str">
        <f>IF(OR($D$3="",$L$3=""),"",IF('Statement of Marks'!G54="","",'Statement of Marks'!G54))</f>
        <v/>
      </c>
      <c r="G55" s="807" t="str">
        <f>IF(OR($D$3="",$L$3=""),"",IF('Statement of Marks'!H54="","",'Statement of Marks'!H54))</f>
        <v/>
      </c>
      <c r="H55" s="808" t="str">
        <f>IF(OR($D$3="",$L$3=""),"",IF('Statement of Marks'!I54="","",'Statement of Marks'!I54))</f>
        <v/>
      </c>
      <c r="I55" s="808" t="str">
        <f>IF(OR($D$3="",$L$3=""),"",IF('Statement of Marks'!J54="","",'Statement of Marks'!J54))</f>
        <v/>
      </c>
      <c r="J55" s="809" t="str">
        <f>IFERROR(IF($L$3=$AJ$8,'Statement of Marks'!K54,IF($L$3=$AJ$9,'Statement of Marks'!Y54,IF($L$3=$AJ$10,'Statement of Marks'!AN54,IF($L$3=$AJ$11,'Statement of Marks'!BB54,IF($L$3=$AJ$12,'Statement of Marks'!BP54,IF($L$3=$AJ$13,'Statement of Marks'!CE54,IF($L$3=$AJ$14,'Statement of Marks'!CT54,IF($L$3=$AJ$15,'Statement of Marks'!DZ54,IF($L$3=$AJ$16,'Statement of Marks'!EL54,IF($L$3=$AJ$17,('Statement of Marks'!FB54+'Statement of Marks'!FC54),"")))))))))),"")</f>
        <v/>
      </c>
      <c r="K55" s="809" t="str">
        <f>IFERROR(IF($L$3=$AJ$8,'Statement of Marks'!L54,IF($L$3=$AJ$9,'Statement of Marks'!Z54,IF($L$3=$AJ$10,'Statement of Marks'!AO54,IF($L$3=$AJ$11,'Statement of Marks'!BC54,IF($L$3=$AJ$12,'Statement of Marks'!BQ54,IF($L$3=$AJ$13,'Statement of Marks'!CF54,IF($L$3=$AJ$14,'Statement of Marks'!CU54,IF($L$3=$AJ$15,'Statement of Marks'!EA54,IF($L$3=$AJ$16,'Statement of Marks'!EM54,IF($L$3=$AJ$17,('Statement of Marks'!FD54+'Statement of Marks'!FE54),"")))))))))),"")</f>
        <v/>
      </c>
      <c r="L55" s="809" t="str">
        <f>IFERROR(IF($L$3=$AJ$8,'Statement of Marks'!M54,IF($L$3=$AJ$9,'Statement of Marks'!AA54,IF($L$3=$AJ$10,'Statement of Marks'!AP54,IF($L$3=$AJ$11,'Statement of Marks'!BD54,IF($L$3=$AJ$12,'Statement of Marks'!BR54,IF($L$3=$AJ$13,'Statement of Marks'!CG54,IF($L$3=$AJ$14,'Statement of Marks'!CV54,IF($L$3=$AJ$15,'Statement of Marks'!EB54,IF($L$3=$AJ$16,'Statement of Marks'!EN54,IF($L$3=$AJ$17,('Statement of Marks'!FF54+'Statement of Marks'!FG54),"")))))))))),"")</f>
        <v/>
      </c>
      <c r="M55" s="810">
        <f t="shared" si="0"/>
        <v>0</v>
      </c>
      <c r="N55" s="809" t="str">
        <f>IFERROR(IF($L$3=$AJ$8,'Statement of Marks'!O54,IF($L$3=$AJ$9,'Statement of Marks'!AC54,IF($L$3=$AJ$10,'Statement of Marks'!AR54,IF($L$3=$AJ$11,'Statement of Marks'!BF54,IF($L$3=$AJ$12,'Statement of Marks'!BT54,IF($L$3=$AJ$13,'Statement of Marks'!CI54,IF($L$3=$AJ$14,('Statement of Marks'!CX54+'Statement of Marks'!CY54),IF($L$3=$AJ$15,'Statement of Marks'!ED54,IF($L$3=$AJ$16,('Statement of Marks'!EP54+'Statement of Marks'!EQ54),IF($L$3=$AJ$17,('Statement of Marks'!FI54+'Statement of Marks'!FJ54),IF($L$3=$AJ$18,'Statement of Marks'!FU54,IF($L$3=$AJ$19,'Statement of Marks'!GC54,"")))))))))))),"")</f>
        <v/>
      </c>
      <c r="O55" s="811">
        <f>IF($L$3=$AJ$18,'Statement of Marks'!FV54,IF($L$3=$AJ$19,'Statement of Marks'!GD54,IF(AND(M55="NA",N55="NA"),"NA",IF(AND(M55="",N55=""),"",SUM(M55,N55)))))</f>
        <v>0</v>
      </c>
      <c r="P55" s="809" t="str">
        <f>IFERROR(IF($L$3=$AJ$8,'Statement of Marks'!Q54,IF($L$3=$AJ$9,'Statement of Marks'!AE54,IF($L$3=$AJ$10,'Statement of Marks'!AT54,IF($L$3=$AJ$11,'Statement of Marks'!BH54,IF($L$3=$AJ$12,'Statement of Marks'!BV54,IF($L$3=$AJ$13,'Statement of Marks'!CK54,IF($L$3=$AJ$14,('Statement of Marks'!DB54+'Statement of Marks'!DC54),IF($L$3=$AJ$15,'Statement of Marks'!EF54,IF($L$3=$AJ$16,('Statement of Marks'!ET54+'Statement of Marks'!EU54),IF($L$3=$AJ$17,('Statement of Marks'!FM54+'Statement of Marks'!FN54),IF($L$3=$AJ$18,'Statement of Marks'!FW54,IF($L$3=$AJ$19,'Statement of Marks'!GE54,"")))))))))))),"")</f>
        <v/>
      </c>
      <c r="Q55" s="812" t="str">
        <f t="shared" si="3"/>
        <v/>
      </c>
      <c r="R55" s="813">
        <f t="shared" si="8"/>
        <v>0</v>
      </c>
      <c r="S55" s="813" t="str">
        <f t="shared" si="4"/>
        <v/>
      </c>
      <c r="T55" s="813" t="str">
        <f t="shared" si="5"/>
        <v/>
      </c>
      <c r="U55" s="814" t="str">
        <f t="shared" si="6"/>
        <v/>
      </c>
      <c r="V55" s="815" t="str">
        <f t="shared" si="7"/>
        <v/>
      </c>
      <c r="W55" s="816" t="str">
        <f t="shared" si="9"/>
        <v/>
      </c>
    </row>
    <row r="56" spans="1:23">
      <c r="A56" s="803">
        <f>IF('Statement of Marks'!A55="","",'Statement of Marks'!A55)</f>
        <v>49</v>
      </c>
      <c r="B56" s="804" t="str">
        <f>IF(OR($D$3="",$L$3=""),"",IF('Statement of Marks'!B55="","",'Statement of Marks'!B55))</f>
        <v/>
      </c>
      <c r="C56" s="805" t="str">
        <f>IF(OR($D$3="",$L$3=""),"",IF('Statement of Marks'!D55="","",'Statement of Marks'!D55))</f>
        <v/>
      </c>
      <c r="D56" s="806" t="str">
        <f>IF(OR($D$3="",$L$3=""),"",IF('Statement of Marks'!E55="","",'Statement of Marks'!E55))</f>
        <v/>
      </c>
      <c r="E56" s="807" t="str">
        <f>IF(OR($D$3="",$L$3=""),"",IF('Statement of Marks'!F55="","",'Statement of Marks'!F55))</f>
        <v/>
      </c>
      <c r="F56" s="807" t="str">
        <f>IF(OR($D$3="",$L$3=""),"",IF('Statement of Marks'!G55="","",'Statement of Marks'!G55))</f>
        <v/>
      </c>
      <c r="G56" s="807" t="str">
        <f>IF(OR($D$3="",$L$3=""),"",IF('Statement of Marks'!H55="","",'Statement of Marks'!H55))</f>
        <v/>
      </c>
      <c r="H56" s="808" t="str">
        <f>IF(OR($D$3="",$L$3=""),"",IF('Statement of Marks'!I55="","",'Statement of Marks'!I55))</f>
        <v/>
      </c>
      <c r="I56" s="808" t="str">
        <f>IF(OR($D$3="",$L$3=""),"",IF('Statement of Marks'!J55="","",'Statement of Marks'!J55))</f>
        <v/>
      </c>
      <c r="J56" s="809" t="str">
        <f>IFERROR(IF($L$3=$AJ$8,'Statement of Marks'!K55,IF($L$3=$AJ$9,'Statement of Marks'!Y55,IF($L$3=$AJ$10,'Statement of Marks'!AN55,IF($L$3=$AJ$11,'Statement of Marks'!BB55,IF($L$3=$AJ$12,'Statement of Marks'!BP55,IF($L$3=$AJ$13,'Statement of Marks'!CE55,IF($L$3=$AJ$14,'Statement of Marks'!CT55,IF($L$3=$AJ$15,'Statement of Marks'!DZ55,IF($L$3=$AJ$16,'Statement of Marks'!EL55,IF($L$3=$AJ$17,('Statement of Marks'!FB55+'Statement of Marks'!FC55),"")))))))))),"")</f>
        <v/>
      </c>
      <c r="K56" s="809" t="str">
        <f>IFERROR(IF($L$3=$AJ$8,'Statement of Marks'!L55,IF($L$3=$AJ$9,'Statement of Marks'!Z55,IF($L$3=$AJ$10,'Statement of Marks'!AO55,IF($L$3=$AJ$11,'Statement of Marks'!BC55,IF($L$3=$AJ$12,'Statement of Marks'!BQ55,IF($L$3=$AJ$13,'Statement of Marks'!CF55,IF($L$3=$AJ$14,'Statement of Marks'!CU55,IF($L$3=$AJ$15,'Statement of Marks'!EA55,IF($L$3=$AJ$16,'Statement of Marks'!EM55,IF($L$3=$AJ$17,('Statement of Marks'!FD55+'Statement of Marks'!FE55),"")))))))))),"")</f>
        <v/>
      </c>
      <c r="L56" s="809" t="str">
        <f>IFERROR(IF($L$3=$AJ$8,'Statement of Marks'!M55,IF($L$3=$AJ$9,'Statement of Marks'!AA55,IF($L$3=$AJ$10,'Statement of Marks'!AP55,IF($L$3=$AJ$11,'Statement of Marks'!BD55,IF($L$3=$AJ$12,'Statement of Marks'!BR55,IF($L$3=$AJ$13,'Statement of Marks'!CG55,IF($L$3=$AJ$14,'Statement of Marks'!CV55,IF($L$3=$AJ$15,'Statement of Marks'!EB55,IF($L$3=$AJ$16,'Statement of Marks'!EN55,IF($L$3=$AJ$17,('Statement of Marks'!FF55+'Statement of Marks'!FG55),"")))))))))),"")</f>
        <v/>
      </c>
      <c r="M56" s="810">
        <f t="shared" si="0"/>
        <v>0</v>
      </c>
      <c r="N56" s="809" t="str">
        <f>IFERROR(IF($L$3=$AJ$8,'Statement of Marks'!O55,IF($L$3=$AJ$9,'Statement of Marks'!AC55,IF($L$3=$AJ$10,'Statement of Marks'!AR55,IF($L$3=$AJ$11,'Statement of Marks'!BF55,IF($L$3=$AJ$12,'Statement of Marks'!BT55,IF($L$3=$AJ$13,'Statement of Marks'!CI55,IF($L$3=$AJ$14,('Statement of Marks'!CX55+'Statement of Marks'!CY55),IF($L$3=$AJ$15,'Statement of Marks'!ED55,IF($L$3=$AJ$16,('Statement of Marks'!EP55+'Statement of Marks'!EQ55),IF($L$3=$AJ$17,('Statement of Marks'!FI55+'Statement of Marks'!FJ55),IF($L$3=$AJ$18,'Statement of Marks'!FU55,IF($L$3=$AJ$19,'Statement of Marks'!GC55,"")))))))))))),"")</f>
        <v/>
      </c>
      <c r="O56" s="811">
        <f>IF($L$3=$AJ$18,'Statement of Marks'!FV55,IF($L$3=$AJ$19,'Statement of Marks'!GD55,IF(AND(M56="NA",N56="NA"),"NA",IF(AND(M56="",N56=""),"",SUM(M56,N56)))))</f>
        <v>0</v>
      </c>
      <c r="P56" s="809" t="str">
        <f>IFERROR(IF($L$3=$AJ$8,'Statement of Marks'!Q55,IF($L$3=$AJ$9,'Statement of Marks'!AE55,IF($L$3=$AJ$10,'Statement of Marks'!AT55,IF($L$3=$AJ$11,'Statement of Marks'!BH55,IF($L$3=$AJ$12,'Statement of Marks'!BV55,IF($L$3=$AJ$13,'Statement of Marks'!CK55,IF($L$3=$AJ$14,('Statement of Marks'!DB55+'Statement of Marks'!DC55),IF($L$3=$AJ$15,'Statement of Marks'!EF55,IF($L$3=$AJ$16,('Statement of Marks'!ET55+'Statement of Marks'!EU55),IF($L$3=$AJ$17,('Statement of Marks'!FM55+'Statement of Marks'!FN55),IF($L$3=$AJ$18,'Statement of Marks'!FW55,IF($L$3=$AJ$19,'Statement of Marks'!GE55,"")))))))))))),"")</f>
        <v/>
      </c>
      <c r="Q56" s="812" t="str">
        <f t="shared" si="3"/>
        <v/>
      </c>
      <c r="R56" s="813">
        <f t="shared" si="8"/>
        <v>0</v>
      </c>
      <c r="S56" s="813" t="str">
        <f t="shared" si="4"/>
        <v/>
      </c>
      <c r="T56" s="813" t="str">
        <f t="shared" si="5"/>
        <v/>
      </c>
      <c r="U56" s="814" t="str">
        <f t="shared" si="6"/>
        <v/>
      </c>
      <c r="V56" s="815" t="str">
        <f t="shared" si="7"/>
        <v/>
      </c>
      <c r="W56" s="816" t="str">
        <f t="shared" si="9"/>
        <v/>
      </c>
    </row>
    <row r="57" spans="1:23">
      <c r="A57" s="803">
        <f>IF('Statement of Marks'!A56="","",'Statement of Marks'!A56)</f>
        <v>50</v>
      </c>
      <c r="B57" s="804" t="str">
        <f>IF(OR($D$3="",$L$3=""),"",IF('Statement of Marks'!B56="","",'Statement of Marks'!B56))</f>
        <v/>
      </c>
      <c r="C57" s="805" t="str">
        <f>IF(OR($D$3="",$L$3=""),"",IF('Statement of Marks'!D56="","",'Statement of Marks'!D56))</f>
        <v/>
      </c>
      <c r="D57" s="806" t="str">
        <f>IF(OR($D$3="",$L$3=""),"",IF('Statement of Marks'!E56="","",'Statement of Marks'!E56))</f>
        <v/>
      </c>
      <c r="E57" s="807" t="str">
        <f>IF(OR($D$3="",$L$3=""),"",IF('Statement of Marks'!F56="","",'Statement of Marks'!F56))</f>
        <v/>
      </c>
      <c r="F57" s="807" t="str">
        <f>IF(OR($D$3="",$L$3=""),"",IF('Statement of Marks'!G56="","",'Statement of Marks'!G56))</f>
        <v/>
      </c>
      <c r="G57" s="807" t="str">
        <f>IF(OR($D$3="",$L$3=""),"",IF('Statement of Marks'!H56="","",'Statement of Marks'!H56))</f>
        <v/>
      </c>
      <c r="H57" s="808" t="str">
        <f>IF(OR($D$3="",$L$3=""),"",IF('Statement of Marks'!I56="","",'Statement of Marks'!I56))</f>
        <v/>
      </c>
      <c r="I57" s="808" t="str">
        <f>IF(OR($D$3="",$L$3=""),"",IF('Statement of Marks'!J56="","",'Statement of Marks'!J56))</f>
        <v/>
      </c>
      <c r="J57" s="809" t="str">
        <f>IFERROR(IF($L$3=$AJ$8,'Statement of Marks'!K56,IF($L$3=$AJ$9,'Statement of Marks'!Y56,IF($L$3=$AJ$10,'Statement of Marks'!AN56,IF($L$3=$AJ$11,'Statement of Marks'!BB56,IF($L$3=$AJ$12,'Statement of Marks'!BP56,IF($L$3=$AJ$13,'Statement of Marks'!CE56,IF($L$3=$AJ$14,'Statement of Marks'!CT56,IF($L$3=$AJ$15,'Statement of Marks'!DZ56,IF($L$3=$AJ$16,'Statement of Marks'!EL56,IF($L$3=$AJ$17,('Statement of Marks'!FB56+'Statement of Marks'!FC56),"")))))))))),"")</f>
        <v/>
      </c>
      <c r="K57" s="809" t="str">
        <f>IFERROR(IF($L$3=$AJ$8,'Statement of Marks'!L56,IF($L$3=$AJ$9,'Statement of Marks'!Z56,IF($L$3=$AJ$10,'Statement of Marks'!AO56,IF($L$3=$AJ$11,'Statement of Marks'!BC56,IF($L$3=$AJ$12,'Statement of Marks'!BQ56,IF($L$3=$AJ$13,'Statement of Marks'!CF56,IF($L$3=$AJ$14,'Statement of Marks'!CU56,IF($L$3=$AJ$15,'Statement of Marks'!EA56,IF($L$3=$AJ$16,'Statement of Marks'!EM56,IF($L$3=$AJ$17,('Statement of Marks'!FD56+'Statement of Marks'!FE56),"")))))))))),"")</f>
        <v/>
      </c>
      <c r="L57" s="809" t="str">
        <f>IFERROR(IF($L$3=$AJ$8,'Statement of Marks'!M56,IF($L$3=$AJ$9,'Statement of Marks'!AA56,IF($L$3=$AJ$10,'Statement of Marks'!AP56,IF($L$3=$AJ$11,'Statement of Marks'!BD56,IF($L$3=$AJ$12,'Statement of Marks'!BR56,IF($L$3=$AJ$13,'Statement of Marks'!CG56,IF($L$3=$AJ$14,'Statement of Marks'!CV56,IF($L$3=$AJ$15,'Statement of Marks'!EB56,IF($L$3=$AJ$16,'Statement of Marks'!EN56,IF($L$3=$AJ$17,('Statement of Marks'!FF56+'Statement of Marks'!FG56),"")))))))))),"")</f>
        <v/>
      </c>
      <c r="M57" s="810">
        <f t="shared" si="0"/>
        <v>0</v>
      </c>
      <c r="N57" s="809" t="str">
        <f>IFERROR(IF($L$3=$AJ$8,'Statement of Marks'!O56,IF($L$3=$AJ$9,'Statement of Marks'!AC56,IF($L$3=$AJ$10,'Statement of Marks'!AR56,IF($L$3=$AJ$11,'Statement of Marks'!BF56,IF($L$3=$AJ$12,'Statement of Marks'!BT56,IF($L$3=$AJ$13,'Statement of Marks'!CI56,IF($L$3=$AJ$14,('Statement of Marks'!CX56+'Statement of Marks'!CY56),IF($L$3=$AJ$15,'Statement of Marks'!ED56,IF($L$3=$AJ$16,('Statement of Marks'!EP56+'Statement of Marks'!EQ56),IF($L$3=$AJ$17,('Statement of Marks'!FI56+'Statement of Marks'!FJ56),IF($L$3=$AJ$18,'Statement of Marks'!FU56,IF($L$3=$AJ$19,'Statement of Marks'!GC56,"")))))))))))),"")</f>
        <v/>
      </c>
      <c r="O57" s="811">
        <f>IF($L$3=$AJ$18,'Statement of Marks'!FV56,IF($L$3=$AJ$19,'Statement of Marks'!GD56,IF(AND(M57="NA",N57="NA"),"NA",IF(AND(M57="",N57=""),"",SUM(M57,N57)))))</f>
        <v>0</v>
      </c>
      <c r="P57" s="809" t="str">
        <f>IFERROR(IF($L$3=$AJ$8,'Statement of Marks'!Q56,IF($L$3=$AJ$9,'Statement of Marks'!AE56,IF($L$3=$AJ$10,'Statement of Marks'!AT56,IF($L$3=$AJ$11,'Statement of Marks'!BH56,IF($L$3=$AJ$12,'Statement of Marks'!BV56,IF($L$3=$AJ$13,'Statement of Marks'!CK56,IF($L$3=$AJ$14,('Statement of Marks'!DB56+'Statement of Marks'!DC56),IF($L$3=$AJ$15,'Statement of Marks'!EF56,IF($L$3=$AJ$16,('Statement of Marks'!ET56+'Statement of Marks'!EU56),IF($L$3=$AJ$17,('Statement of Marks'!FM56+'Statement of Marks'!FN56),IF($L$3=$AJ$18,'Statement of Marks'!FW56,IF($L$3=$AJ$19,'Statement of Marks'!GE56,"")))))))))))),"")</f>
        <v/>
      </c>
      <c r="Q57" s="812" t="str">
        <f t="shared" si="3"/>
        <v/>
      </c>
      <c r="R57" s="813">
        <f t="shared" si="8"/>
        <v>0</v>
      </c>
      <c r="S57" s="813" t="str">
        <f t="shared" si="4"/>
        <v/>
      </c>
      <c r="T57" s="813" t="str">
        <f t="shared" si="5"/>
        <v/>
      </c>
      <c r="U57" s="814" t="str">
        <f t="shared" si="6"/>
        <v/>
      </c>
      <c r="V57" s="815" t="str">
        <f t="shared" si="7"/>
        <v/>
      </c>
      <c r="W57" s="816" t="str">
        <f t="shared" si="9"/>
        <v/>
      </c>
    </row>
    <row r="58" spans="1:23">
      <c r="A58" s="803">
        <f>IF('Statement of Marks'!A57="","",'Statement of Marks'!A57)</f>
        <v>51</v>
      </c>
      <c r="B58" s="804" t="str">
        <f>IF(OR($D$3="",$L$3=""),"",IF('Statement of Marks'!B57="","",'Statement of Marks'!B57))</f>
        <v/>
      </c>
      <c r="C58" s="805" t="str">
        <f>IF(OR($D$3="",$L$3=""),"",IF('Statement of Marks'!D57="","",'Statement of Marks'!D57))</f>
        <v/>
      </c>
      <c r="D58" s="806" t="str">
        <f>IF(OR($D$3="",$L$3=""),"",IF('Statement of Marks'!E57="","",'Statement of Marks'!E57))</f>
        <v/>
      </c>
      <c r="E58" s="807" t="str">
        <f>IF(OR($D$3="",$L$3=""),"",IF('Statement of Marks'!F57="","",'Statement of Marks'!F57))</f>
        <v/>
      </c>
      <c r="F58" s="807" t="str">
        <f>IF(OR($D$3="",$L$3=""),"",IF('Statement of Marks'!G57="","",'Statement of Marks'!G57))</f>
        <v/>
      </c>
      <c r="G58" s="807" t="str">
        <f>IF(OR($D$3="",$L$3=""),"",IF('Statement of Marks'!H57="","",'Statement of Marks'!H57))</f>
        <v/>
      </c>
      <c r="H58" s="808" t="str">
        <f>IF(OR($D$3="",$L$3=""),"",IF('Statement of Marks'!I57="","",'Statement of Marks'!I57))</f>
        <v/>
      </c>
      <c r="I58" s="808" t="str">
        <f>IF(OR($D$3="",$L$3=""),"",IF('Statement of Marks'!J57="","",'Statement of Marks'!J57))</f>
        <v/>
      </c>
      <c r="J58" s="809" t="str">
        <f>IFERROR(IF($L$3=$AJ$8,'Statement of Marks'!K57,IF($L$3=$AJ$9,'Statement of Marks'!Y57,IF($L$3=$AJ$10,'Statement of Marks'!AN57,IF($L$3=$AJ$11,'Statement of Marks'!BB57,IF($L$3=$AJ$12,'Statement of Marks'!BP57,IF($L$3=$AJ$13,'Statement of Marks'!CE57,IF($L$3=$AJ$14,'Statement of Marks'!CT57,IF($L$3=$AJ$15,'Statement of Marks'!DZ57,IF($L$3=$AJ$16,'Statement of Marks'!EL57,IF($L$3=$AJ$17,('Statement of Marks'!FB57+'Statement of Marks'!FC57),"")))))))))),"")</f>
        <v/>
      </c>
      <c r="K58" s="809" t="str">
        <f>IFERROR(IF($L$3=$AJ$8,'Statement of Marks'!L57,IF($L$3=$AJ$9,'Statement of Marks'!Z57,IF($L$3=$AJ$10,'Statement of Marks'!AO57,IF($L$3=$AJ$11,'Statement of Marks'!BC57,IF($L$3=$AJ$12,'Statement of Marks'!BQ57,IF($L$3=$AJ$13,'Statement of Marks'!CF57,IF($L$3=$AJ$14,'Statement of Marks'!CU57,IF($L$3=$AJ$15,'Statement of Marks'!EA57,IF($L$3=$AJ$16,'Statement of Marks'!EM57,IF($L$3=$AJ$17,('Statement of Marks'!FD57+'Statement of Marks'!FE57),"")))))))))),"")</f>
        <v/>
      </c>
      <c r="L58" s="809" t="str">
        <f>IFERROR(IF($L$3=$AJ$8,'Statement of Marks'!M57,IF($L$3=$AJ$9,'Statement of Marks'!AA57,IF($L$3=$AJ$10,'Statement of Marks'!AP57,IF($L$3=$AJ$11,'Statement of Marks'!BD57,IF($L$3=$AJ$12,'Statement of Marks'!BR57,IF($L$3=$AJ$13,'Statement of Marks'!CG57,IF($L$3=$AJ$14,'Statement of Marks'!CV57,IF($L$3=$AJ$15,'Statement of Marks'!EB57,IF($L$3=$AJ$16,'Statement of Marks'!EN57,IF($L$3=$AJ$17,('Statement of Marks'!FF57+'Statement of Marks'!FG57),"")))))))))),"")</f>
        <v/>
      </c>
      <c r="M58" s="810">
        <f t="shared" si="0"/>
        <v>0</v>
      </c>
      <c r="N58" s="809" t="str">
        <f>IFERROR(IF($L$3=$AJ$8,'Statement of Marks'!O57,IF($L$3=$AJ$9,'Statement of Marks'!AC57,IF($L$3=$AJ$10,'Statement of Marks'!AR57,IF($L$3=$AJ$11,'Statement of Marks'!BF57,IF($L$3=$AJ$12,'Statement of Marks'!BT57,IF($L$3=$AJ$13,'Statement of Marks'!CI57,IF($L$3=$AJ$14,('Statement of Marks'!CX57+'Statement of Marks'!CY57),IF($L$3=$AJ$15,'Statement of Marks'!ED57,IF($L$3=$AJ$16,('Statement of Marks'!EP57+'Statement of Marks'!EQ57),IF($L$3=$AJ$17,('Statement of Marks'!FI57+'Statement of Marks'!FJ57),IF($L$3=$AJ$18,'Statement of Marks'!FU57,IF($L$3=$AJ$19,'Statement of Marks'!GC57,"")))))))))))),"")</f>
        <v/>
      </c>
      <c r="O58" s="811">
        <f>IF($L$3=$AJ$18,'Statement of Marks'!FV57,IF($L$3=$AJ$19,'Statement of Marks'!GD57,IF(AND(M58="NA",N58="NA"),"NA",IF(AND(M58="",N58=""),"",SUM(M58,N58)))))</f>
        <v>0</v>
      </c>
      <c r="P58" s="809" t="str">
        <f>IFERROR(IF($L$3=$AJ$8,'Statement of Marks'!Q57,IF($L$3=$AJ$9,'Statement of Marks'!AE57,IF($L$3=$AJ$10,'Statement of Marks'!AT57,IF($L$3=$AJ$11,'Statement of Marks'!BH57,IF($L$3=$AJ$12,'Statement of Marks'!BV57,IF($L$3=$AJ$13,'Statement of Marks'!CK57,IF($L$3=$AJ$14,('Statement of Marks'!DB57+'Statement of Marks'!DC57),IF($L$3=$AJ$15,'Statement of Marks'!EF57,IF($L$3=$AJ$16,('Statement of Marks'!ET57+'Statement of Marks'!EU57),IF($L$3=$AJ$17,('Statement of Marks'!FM57+'Statement of Marks'!FN57),IF($L$3=$AJ$18,'Statement of Marks'!FW57,IF($L$3=$AJ$19,'Statement of Marks'!GE57,"")))))))))))),"")</f>
        <v/>
      </c>
      <c r="Q58" s="812" t="str">
        <f t="shared" si="3"/>
        <v/>
      </c>
      <c r="R58" s="813">
        <f t="shared" si="8"/>
        <v>0</v>
      </c>
      <c r="S58" s="813" t="str">
        <f t="shared" si="4"/>
        <v/>
      </c>
      <c r="T58" s="813" t="str">
        <f t="shared" si="5"/>
        <v/>
      </c>
      <c r="U58" s="814" t="str">
        <f t="shared" si="6"/>
        <v/>
      </c>
      <c r="V58" s="815" t="str">
        <f t="shared" si="7"/>
        <v/>
      </c>
      <c r="W58" s="816" t="str">
        <f t="shared" si="9"/>
        <v/>
      </c>
    </row>
    <row r="59" spans="1:23">
      <c r="A59" s="803">
        <f>IF('Statement of Marks'!A58="","",'Statement of Marks'!A58)</f>
        <v>52</v>
      </c>
      <c r="B59" s="804" t="str">
        <f>IF(OR($D$3="",$L$3=""),"",IF('Statement of Marks'!B58="","",'Statement of Marks'!B58))</f>
        <v/>
      </c>
      <c r="C59" s="805" t="str">
        <f>IF(OR($D$3="",$L$3=""),"",IF('Statement of Marks'!D58="","",'Statement of Marks'!D58))</f>
        <v/>
      </c>
      <c r="D59" s="806" t="str">
        <f>IF(OR($D$3="",$L$3=""),"",IF('Statement of Marks'!E58="","",'Statement of Marks'!E58))</f>
        <v/>
      </c>
      <c r="E59" s="807" t="str">
        <f>IF(OR($D$3="",$L$3=""),"",IF('Statement of Marks'!F58="","",'Statement of Marks'!F58))</f>
        <v/>
      </c>
      <c r="F59" s="807" t="str">
        <f>IF(OR($D$3="",$L$3=""),"",IF('Statement of Marks'!G58="","",'Statement of Marks'!G58))</f>
        <v/>
      </c>
      <c r="G59" s="807" t="str">
        <f>IF(OR($D$3="",$L$3=""),"",IF('Statement of Marks'!H58="","",'Statement of Marks'!H58))</f>
        <v/>
      </c>
      <c r="H59" s="808" t="str">
        <f>IF(OR($D$3="",$L$3=""),"",IF('Statement of Marks'!I58="","",'Statement of Marks'!I58))</f>
        <v/>
      </c>
      <c r="I59" s="808" t="str">
        <f>IF(OR($D$3="",$L$3=""),"",IF('Statement of Marks'!J58="","",'Statement of Marks'!J58))</f>
        <v/>
      </c>
      <c r="J59" s="809" t="str">
        <f>IFERROR(IF($L$3=$AJ$8,'Statement of Marks'!K58,IF($L$3=$AJ$9,'Statement of Marks'!Y58,IF($L$3=$AJ$10,'Statement of Marks'!AN58,IF($L$3=$AJ$11,'Statement of Marks'!BB58,IF($L$3=$AJ$12,'Statement of Marks'!BP58,IF($L$3=$AJ$13,'Statement of Marks'!CE58,IF($L$3=$AJ$14,'Statement of Marks'!CT58,IF($L$3=$AJ$15,'Statement of Marks'!DZ58,IF($L$3=$AJ$16,'Statement of Marks'!EL58,IF($L$3=$AJ$17,('Statement of Marks'!FB58+'Statement of Marks'!FC58),"")))))))))),"")</f>
        <v/>
      </c>
      <c r="K59" s="809" t="str">
        <f>IFERROR(IF($L$3=$AJ$8,'Statement of Marks'!L58,IF($L$3=$AJ$9,'Statement of Marks'!Z58,IF($L$3=$AJ$10,'Statement of Marks'!AO58,IF($L$3=$AJ$11,'Statement of Marks'!BC58,IF($L$3=$AJ$12,'Statement of Marks'!BQ58,IF($L$3=$AJ$13,'Statement of Marks'!CF58,IF($L$3=$AJ$14,'Statement of Marks'!CU58,IF($L$3=$AJ$15,'Statement of Marks'!EA58,IF($L$3=$AJ$16,'Statement of Marks'!EM58,IF($L$3=$AJ$17,('Statement of Marks'!FD58+'Statement of Marks'!FE58),"")))))))))),"")</f>
        <v/>
      </c>
      <c r="L59" s="809" t="str">
        <f>IFERROR(IF($L$3=$AJ$8,'Statement of Marks'!M58,IF($L$3=$AJ$9,'Statement of Marks'!AA58,IF($L$3=$AJ$10,'Statement of Marks'!AP58,IF($L$3=$AJ$11,'Statement of Marks'!BD58,IF($L$3=$AJ$12,'Statement of Marks'!BR58,IF($L$3=$AJ$13,'Statement of Marks'!CG58,IF($L$3=$AJ$14,'Statement of Marks'!CV58,IF($L$3=$AJ$15,'Statement of Marks'!EB58,IF($L$3=$AJ$16,'Statement of Marks'!EN58,IF($L$3=$AJ$17,('Statement of Marks'!FF58+'Statement of Marks'!FG58),"")))))))))),"")</f>
        <v/>
      </c>
      <c r="M59" s="810">
        <f t="shared" si="0"/>
        <v>0</v>
      </c>
      <c r="N59" s="809" t="str">
        <f>IFERROR(IF($L$3=$AJ$8,'Statement of Marks'!O58,IF($L$3=$AJ$9,'Statement of Marks'!AC58,IF($L$3=$AJ$10,'Statement of Marks'!AR58,IF($L$3=$AJ$11,'Statement of Marks'!BF58,IF($L$3=$AJ$12,'Statement of Marks'!BT58,IF($L$3=$AJ$13,'Statement of Marks'!CI58,IF($L$3=$AJ$14,('Statement of Marks'!CX58+'Statement of Marks'!CY58),IF($L$3=$AJ$15,'Statement of Marks'!ED58,IF($L$3=$AJ$16,('Statement of Marks'!EP58+'Statement of Marks'!EQ58),IF($L$3=$AJ$17,('Statement of Marks'!FI58+'Statement of Marks'!FJ58),IF($L$3=$AJ$18,'Statement of Marks'!FU58,IF($L$3=$AJ$19,'Statement of Marks'!GC58,"")))))))))))),"")</f>
        <v/>
      </c>
      <c r="O59" s="811">
        <f>IF($L$3=$AJ$18,'Statement of Marks'!FV58,IF($L$3=$AJ$19,'Statement of Marks'!GD58,IF(AND(M59="NA",N59="NA"),"NA",IF(AND(M59="",N59=""),"",SUM(M59,N59)))))</f>
        <v>0</v>
      </c>
      <c r="P59" s="809" t="str">
        <f>IFERROR(IF($L$3=$AJ$8,'Statement of Marks'!Q58,IF($L$3=$AJ$9,'Statement of Marks'!AE58,IF($L$3=$AJ$10,'Statement of Marks'!AT58,IF($L$3=$AJ$11,'Statement of Marks'!BH58,IF($L$3=$AJ$12,'Statement of Marks'!BV58,IF($L$3=$AJ$13,'Statement of Marks'!CK58,IF($L$3=$AJ$14,('Statement of Marks'!DB58+'Statement of Marks'!DC58),IF($L$3=$AJ$15,'Statement of Marks'!EF58,IF($L$3=$AJ$16,('Statement of Marks'!ET58+'Statement of Marks'!EU58),IF($L$3=$AJ$17,('Statement of Marks'!FM58+'Statement of Marks'!FN58),IF($L$3=$AJ$18,'Statement of Marks'!FW58,IF($L$3=$AJ$19,'Statement of Marks'!GE58,"")))))))))))),"")</f>
        <v/>
      </c>
      <c r="Q59" s="812" t="str">
        <f t="shared" si="3"/>
        <v/>
      </c>
      <c r="R59" s="813">
        <f t="shared" si="8"/>
        <v>0</v>
      </c>
      <c r="S59" s="813" t="str">
        <f t="shared" si="4"/>
        <v/>
      </c>
      <c r="T59" s="813" t="str">
        <f t="shared" si="5"/>
        <v/>
      </c>
      <c r="U59" s="814" t="str">
        <f t="shared" si="6"/>
        <v/>
      </c>
      <c r="V59" s="815" t="str">
        <f t="shared" si="7"/>
        <v/>
      </c>
      <c r="W59" s="816" t="str">
        <f t="shared" si="9"/>
        <v/>
      </c>
    </row>
    <row r="60" spans="1:23">
      <c r="A60" s="803">
        <f>IF('Statement of Marks'!A59="","",'Statement of Marks'!A59)</f>
        <v>53</v>
      </c>
      <c r="B60" s="804" t="str">
        <f>IF(OR($D$3="",$L$3=""),"",IF('Statement of Marks'!B59="","",'Statement of Marks'!B59))</f>
        <v/>
      </c>
      <c r="C60" s="805" t="str">
        <f>IF(OR($D$3="",$L$3=""),"",IF('Statement of Marks'!D59="","",'Statement of Marks'!D59))</f>
        <v/>
      </c>
      <c r="D60" s="806" t="str">
        <f>IF(OR($D$3="",$L$3=""),"",IF('Statement of Marks'!E59="","",'Statement of Marks'!E59))</f>
        <v/>
      </c>
      <c r="E60" s="807" t="str">
        <f>IF(OR($D$3="",$L$3=""),"",IF('Statement of Marks'!F59="","",'Statement of Marks'!F59))</f>
        <v/>
      </c>
      <c r="F60" s="807" t="str">
        <f>IF(OR($D$3="",$L$3=""),"",IF('Statement of Marks'!G59="","",'Statement of Marks'!G59))</f>
        <v/>
      </c>
      <c r="G60" s="807" t="str">
        <f>IF(OR($D$3="",$L$3=""),"",IF('Statement of Marks'!H59="","",'Statement of Marks'!H59))</f>
        <v/>
      </c>
      <c r="H60" s="808" t="str">
        <f>IF(OR($D$3="",$L$3=""),"",IF('Statement of Marks'!I59="","",'Statement of Marks'!I59))</f>
        <v/>
      </c>
      <c r="I60" s="808" t="str">
        <f>IF(OR($D$3="",$L$3=""),"",IF('Statement of Marks'!J59="","",'Statement of Marks'!J59))</f>
        <v/>
      </c>
      <c r="J60" s="809" t="str">
        <f>IFERROR(IF($L$3=$AJ$8,'Statement of Marks'!K59,IF($L$3=$AJ$9,'Statement of Marks'!Y59,IF($L$3=$AJ$10,'Statement of Marks'!AN59,IF($L$3=$AJ$11,'Statement of Marks'!BB59,IF($L$3=$AJ$12,'Statement of Marks'!BP59,IF($L$3=$AJ$13,'Statement of Marks'!CE59,IF($L$3=$AJ$14,'Statement of Marks'!CT59,IF($L$3=$AJ$15,'Statement of Marks'!DZ59,IF($L$3=$AJ$16,'Statement of Marks'!EL59,IF($L$3=$AJ$17,('Statement of Marks'!FB59+'Statement of Marks'!FC59),"")))))))))),"")</f>
        <v/>
      </c>
      <c r="K60" s="809" t="str">
        <f>IFERROR(IF($L$3=$AJ$8,'Statement of Marks'!L59,IF($L$3=$AJ$9,'Statement of Marks'!Z59,IF($L$3=$AJ$10,'Statement of Marks'!AO59,IF($L$3=$AJ$11,'Statement of Marks'!BC59,IF($L$3=$AJ$12,'Statement of Marks'!BQ59,IF($L$3=$AJ$13,'Statement of Marks'!CF59,IF($L$3=$AJ$14,'Statement of Marks'!CU59,IF($L$3=$AJ$15,'Statement of Marks'!EA59,IF($L$3=$AJ$16,'Statement of Marks'!EM59,IF($L$3=$AJ$17,('Statement of Marks'!FD59+'Statement of Marks'!FE59),"")))))))))),"")</f>
        <v/>
      </c>
      <c r="L60" s="809" t="str">
        <f>IFERROR(IF($L$3=$AJ$8,'Statement of Marks'!M59,IF($L$3=$AJ$9,'Statement of Marks'!AA59,IF($L$3=$AJ$10,'Statement of Marks'!AP59,IF($L$3=$AJ$11,'Statement of Marks'!BD59,IF($L$3=$AJ$12,'Statement of Marks'!BR59,IF($L$3=$AJ$13,'Statement of Marks'!CG59,IF($L$3=$AJ$14,'Statement of Marks'!CV59,IF($L$3=$AJ$15,'Statement of Marks'!EB59,IF($L$3=$AJ$16,'Statement of Marks'!EN59,IF($L$3=$AJ$17,('Statement of Marks'!FF59+'Statement of Marks'!FG59),"")))))))))),"")</f>
        <v/>
      </c>
      <c r="M60" s="810">
        <f t="shared" si="0"/>
        <v>0</v>
      </c>
      <c r="N60" s="809" t="str">
        <f>IFERROR(IF($L$3=$AJ$8,'Statement of Marks'!O59,IF($L$3=$AJ$9,'Statement of Marks'!AC59,IF($L$3=$AJ$10,'Statement of Marks'!AR59,IF($L$3=$AJ$11,'Statement of Marks'!BF59,IF($L$3=$AJ$12,'Statement of Marks'!BT59,IF($L$3=$AJ$13,'Statement of Marks'!CI59,IF($L$3=$AJ$14,('Statement of Marks'!CX59+'Statement of Marks'!CY59),IF($L$3=$AJ$15,'Statement of Marks'!ED59,IF($L$3=$AJ$16,('Statement of Marks'!EP59+'Statement of Marks'!EQ59),IF($L$3=$AJ$17,('Statement of Marks'!FI59+'Statement of Marks'!FJ59),IF($L$3=$AJ$18,'Statement of Marks'!FU59,IF($L$3=$AJ$19,'Statement of Marks'!GC59,"")))))))))))),"")</f>
        <v/>
      </c>
      <c r="O60" s="811">
        <f>IF($L$3=$AJ$18,'Statement of Marks'!FV59,IF($L$3=$AJ$19,'Statement of Marks'!GD59,IF(AND(M60="NA",N60="NA"),"NA",IF(AND(M60="",N60=""),"",SUM(M60,N60)))))</f>
        <v>0</v>
      </c>
      <c r="P60" s="809" t="str">
        <f>IFERROR(IF($L$3=$AJ$8,'Statement of Marks'!Q59,IF($L$3=$AJ$9,'Statement of Marks'!AE59,IF($L$3=$AJ$10,'Statement of Marks'!AT59,IF($L$3=$AJ$11,'Statement of Marks'!BH59,IF($L$3=$AJ$12,'Statement of Marks'!BV59,IF($L$3=$AJ$13,'Statement of Marks'!CK59,IF($L$3=$AJ$14,('Statement of Marks'!DB59+'Statement of Marks'!DC59),IF($L$3=$AJ$15,'Statement of Marks'!EF59,IF($L$3=$AJ$16,('Statement of Marks'!ET59+'Statement of Marks'!EU59),IF($L$3=$AJ$17,('Statement of Marks'!FM59+'Statement of Marks'!FN59),IF($L$3=$AJ$18,'Statement of Marks'!FW59,IF($L$3=$AJ$19,'Statement of Marks'!GE59,"")))))))))))),"")</f>
        <v/>
      </c>
      <c r="Q60" s="812" t="str">
        <f t="shared" si="3"/>
        <v/>
      </c>
      <c r="R60" s="813">
        <f t="shared" si="8"/>
        <v>0</v>
      </c>
      <c r="S60" s="813" t="str">
        <f t="shared" si="4"/>
        <v/>
      </c>
      <c r="T60" s="813" t="str">
        <f t="shared" si="5"/>
        <v/>
      </c>
      <c r="U60" s="814" t="str">
        <f t="shared" si="6"/>
        <v/>
      </c>
      <c r="V60" s="815" t="str">
        <f t="shared" si="7"/>
        <v/>
      </c>
      <c r="W60" s="816" t="str">
        <f t="shared" si="9"/>
        <v/>
      </c>
    </row>
    <row r="61" spans="1:23">
      <c r="A61" s="803">
        <f>IF('Statement of Marks'!A60="","",'Statement of Marks'!A60)</f>
        <v>54</v>
      </c>
      <c r="B61" s="804" t="str">
        <f>IF(OR($D$3="",$L$3=""),"",IF('Statement of Marks'!B60="","",'Statement of Marks'!B60))</f>
        <v/>
      </c>
      <c r="C61" s="805" t="str">
        <f>IF(OR($D$3="",$L$3=""),"",IF('Statement of Marks'!D60="","",'Statement of Marks'!D60))</f>
        <v/>
      </c>
      <c r="D61" s="806" t="str">
        <f>IF(OR($D$3="",$L$3=""),"",IF('Statement of Marks'!E60="","",'Statement of Marks'!E60))</f>
        <v/>
      </c>
      <c r="E61" s="807" t="str">
        <f>IF(OR($D$3="",$L$3=""),"",IF('Statement of Marks'!F60="","",'Statement of Marks'!F60))</f>
        <v/>
      </c>
      <c r="F61" s="807" t="str">
        <f>IF(OR($D$3="",$L$3=""),"",IF('Statement of Marks'!G60="","",'Statement of Marks'!G60))</f>
        <v/>
      </c>
      <c r="G61" s="807" t="str">
        <f>IF(OR($D$3="",$L$3=""),"",IF('Statement of Marks'!H60="","",'Statement of Marks'!H60))</f>
        <v/>
      </c>
      <c r="H61" s="808" t="str">
        <f>IF(OR($D$3="",$L$3=""),"",IF('Statement of Marks'!I60="","",'Statement of Marks'!I60))</f>
        <v/>
      </c>
      <c r="I61" s="808" t="str">
        <f>IF(OR($D$3="",$L$3=""),"",IF('Statement of Marks'!J60="","",'Statement of Marks'!J60))</f>
        <v/>
      </c>
      <c r="J61" s="809" t="str">
        <f>IFERROR(IF($L$3=$AJ$8,'Statement of Marks'!K60,IF($L$3=$AJ$9,'Statement of Marks'!Y60,IF($L$3=$AJ$10,'Statement of Marks'!AN60,IF($L$3=$AJ$11,'Statement of Marks'!BB60,IF($L$3=$AJ$12,'Statement of Marks'!BP60,IF($L$3=$AJ$13,'Statement of Marks'!CE60,IF($L$3=$AJ$14,'Statement of Marks'!CT60,IF($L$3=$AJ$15,'Statement of Marks'!DZ60,IF($L$3=$AJ$16,'Statement of Marks'!EL60,IF($L$3=$AJ$17,('Statement of Marks'!FB60+'Statement of Marks'!FC60),"")))))))))),"")</f>
        <v/>
      </c>
      <c r="K61" s="809" t="str">
        <f>IFERROR(IF($L$3=$AJ$8,'Statement of Marks'!L60,IF($L$3=$AJ$9,'Statement of Marks'!Z60,IF($L$3=$AJ$10,'Statement of Marks'!AO60,IF($L$3=$AJ$11,'Statement of Marks'!BC60,IF($L$3=$AJ$12,'Statement of Marks'!BQ60,IF($L$3=$AJ$13,'Statement of Marks'!CF60,IF($L$3=$AJ$14,'Statement of Marks'!CU60,IF($L$3=$AJ$15,'Statement of Marks'!EA60,IF($L$3=$AJ$16,'Statement of Marks'!EM60,IF($L$3=$AJ$17,('Statement of Marks'!FD60+'Statement of Marks'!FE60),"")))))))))),"")</f>
        <v/>
      </c>
      <c r="L61" s="809" t="str">
        <f>IFERROR(IF($L$3=$AJ$8,'Statement of Marks'!M60,IF($L$3=$AJ$9,'Statement of Marks'!AA60,IF($L$3=$AJ$10,'Statement of Marks'!AP60,IF($L$3=$AJ$11,'Statement of Marks'!BD60,IF($L$3=$AJ$12,'Statement of Marks'!BR60,IF($L$3=$AJ$13,'Statement of Marks'!CG60,IF($L$3=$AJ$14,'Statement of Marks'!CV60,IF($L$3=$AJ$15,'Statement of Marks'!EB60,IF($L$3=$AJ$16,'Statement of Marks'!EN60,IF($L$3=$AJ$17,('Statement of Marks'!FF60+'Statement of Marks'!FG60),"")))))))))),"")</f>
        <v/>
      </c>
      <c r="M61" s="810">
        <f t="shared" si="0"/>
        <v>0</v>
      </c>
      <c r="N61" s="809" t="str">
        <f>IFERROR(IF($L$3=$AJ$8,'Statement of Marks'!O60,IF($L$3=$AJ$9,'Statement of Marks'!AC60,IF($L$3=$AJ$10,'Statement of Marks'!AR60,IF($L$3=$AJ$11,'Statement of Marks'!BF60,IF($L$3=$AJ$12,'Statement of Marks'!BT60,IF($L$3=$AJ$13,'Statement of Marks'!CI60,IF($L$3=$AJ$14,('Statement of Marks'!CX60+'Statement of Marks'!CY60),IF($L$3=$AJ$15,'Statement of Marks'!ED60,IF($L$3=$AJ$16,('Statement of Marks'!EP60+'Statement of Marks'!EQ60),IF($L$3=$AJ$17,('Statement of Marks'!FI60+'Statement of Marks'!FJ60),IF($L$3=$AJ$18,'Statement of Marks'!FU60,IF($L$3=$AJ$19,'Statement of Marks'!GC60,"")))))))))))),"")</f>
        <v/>
      </c>
      <c r="O61" s="811">
        <f>IF($L$3=$AJ$18,'Statement of Marks'!FV60,IF($L$3=$AJ$19,'Statement of Marks'!GD60,IF(AND(M61="NA",N61="NA"),"NA",IF(AND(M61="",N61=""),"",SUM(M61,N61)))))</f>
        <v>0</v>
      </c>
      <c r="P61" s="809" t="str">
        <f>IFERROR(IF($L$3=$AJ$8,'Statement of Marks'!Q60,IF($L$3=$AJ$9,'Statement of Marks'!AE60,IF($L$3=$AJ$10,'Statement of Marks'!AT60,IF($L$3=$AJ$11,'Statement of Marks'!BH60,IF($L$3=$AJ$12,'Statement of Marks'!BV60,IF($L$3=$AJ$13,'Statement of Marks'!CK60,IF($L$3=$AJ$14,('Statement of Marks'!DB60+'Statement of Marks'!DC60),IF($L$3=$AJ$15,'Statement of Marks'!EF60,IF($L$3=$AJ$16,('Statement of Marks'!ET60+'Statement of Marks'!EU60),IF($L$3=$AJ$17,('Statement of Marks'!FM60+'Statement of Marks'!FN60),IF($L$3=$AJ$18,'Statement of Marks'!FW60,IF($L$3=$AJ$19,'Statement of Marks'!GE60,"")))))))))))),"")</f>
        <v/>
      </c>
      <c r="Q61" s="812" t="str">
        <f t="shared" si="3"/>
        <v/>
      </c>
      <c r="R61" s="813">
        <f t="shared" si="8"/>
        <v>0</v>
      </c>
      <c r="S61" s="813" t="str">
        <f t="shared" si="4"/>
        <v/>
      </c>
      <c r="T61" s="813" t="str">
        <f t="shared" si="5"/>
        <v/>
      </c>
      <c r="U61" s="814" t="str">
        <f t="shared" si="6"/>
        <v/>
      </c>
      <c r="V61" s="815" t="str">
        <f t="shared" si="7"/>
        <v/>
      </c>
      <c r="W61" s="816" t="str">
        <f t="shared" si="9"/>
        <v/>
      </c>
    </row>
    <row r="62" spans="1:23">
      <c r="A62" s="803">
        <f>IF('Statement of Marks'!A61="","",'Statement of Marks'!A61)</f>
        <v>55</v>
      </c>
      <c r="B62" s="804" t="str">
        <f>IF(OR($D$3="",$L$3=""),"",IF('Statement of Marks'!B61="","",'Statement of Marks'!B61))</f>
        <v/>
      </c>
      <c r="C62" s="805" t="str">
        <f>IF(OR($D$3="",$L$3=""),"",IF('Statement of Marks'!D61="","",'Statement of Marks'!D61))</f>
        <v/>
      </c>
      <c r="D62" s="806" t="str">
        <f>IF(OR($D$3="",$L$3=""),"",IF('Statement of Marks'!E61="","",'Statement of Marks'!E61))</f>
        <v/>
      </c>
      <c r="E62" s="807" t="str">
        <f>IF(OR($D$3="",$L$3=""),"",IF('Statement of Marks'!F61="","",'Statement of Marks'!F61))</f>
        <v/>
      </c>
      <c r="F62" s="807" t="str">
        <f>IF(OR($D$3="",$L$3=""),"",IF('Statement of Marks'!G61="","",'Statement of Marks'!G61))</f>
        <v/>
      </c>
      <c r="G62" s="807" t="str">
        <f>IF(OR($D$3="",$L$3=""),"",IF('Statement of Marks'!H61="","",'Statement of Marks'!H61))</f>
        <v/>
      </c>
      <c r="H62" s="808" t="str">
        <f>IF(OR($D$3="",$L$3=""),"",IF('Statement of Marks'!I61="","",'Statement of Marks'!I61))</f>
        <v/>
      </c>
      <c r="I62" s="808" t="str">
        <f>IF(OR($D$3="",$L$3=""),"",IF('Statement of Marks'!J61="","",'Statement of Marks'!J61))</f>
        <v/>
      </c>
      <c r="J62" s="809" t="str">
        <f>IFERROR(IF($L$3=$AJ$8,'Statement of Marks'!K61,IF($L$3=$AJ$9,'Statement of Marks'!Y61,IF($L$3=$AJ$10,'Statement of Marks'!AN61,IF($L$3=$AJ$11,'Statement of Marks'!BB61,IF($L$3=$AJ$12,'Statement of Marks'!BP61,IF($L$3=$AJ$13,'Statement of Marks'!CE61,IF($L$3=$AJ$14,'Statement of Marks'!CT61,IF($L$3=$AJ$15,'Statement of Marks'!DZ61,IF($L$3=$AJ$16,'Statement of Marks'!EL61,IF($L$3=$AJ$17,('Statement of Marks'!FB61+'Statement of Marks'!FC61),"")))))))))),"")</f>
        <v/>
      </c>
      <c r="K62" s="809" t="str">
        <f>IFERROR(IF($L$3=$AJ$8,'Statement of Marks'!L61,IF($L$3=$AJ$9,'Statement of Marks'!Z61,IF($L$3=$AJ$10,'Statement of Marks'!AO61,IF($L$3=$AJ$11,'Statement of Marks'!BC61,IF($L$3=$AJ$12,'Statement of Marks'!BQ61,IF($L$3=$AJ$13,'Statement of Marks'!CF61,IF($L$3=$AJ$14,'Statement of Marks'!CU61,IF($L$3=$AJ$15,'Statement of Marks'!EA61,IF($L$3=$AJ$16,'Statement of Marks'!EM61,IF($L$3=$AJ$17,('Statement of Marks'!FD61+'Statement of Marks'!FE61),"")))))))))),"")</f>
        <v/>
      </c>
      <c r="L62" s="809" t="str">
        <f>IFERROR(IF($L$3=$AJ$8,'Statement of Marks'!M61,IF($L$3=$AJ$9,'Statement of Marks'!AA61,IF($L$3=$AJ$10,'Statement of Marks'!AP61,IF($L$3=$AJ$11,'Statement of Marks'!BD61,IF($L$3=$AJ$12,'Statement of Marks'!BR61,IF($L$3=$AJ$13,'Statement of Marks'!CG61,IF($L$3=$AJ$14,'Statement of Marks'!CV61,IF($L$3=$AJ$15,'Statement of Marks'!EB61,IF($L$3=$AJ$16,'Statement of Marks'!EN61,IF($L$3=$AJ$17,('Statement of Marks'!FF61+'Statement of Marks'!FG61),"")))))))))),"")</f>
        <v/>
      </c>
      <c r="M62" s="810">
        <f t="shared" si="0"/>
        <v>0</v>
      </c>
      <c r="N62" s="809" t="str">
        <f>IFERROR(IF($L$3=$AJ$8,'Statement of Marks'!O61,IF($L$3=$AJ$9,'Statement of Marks'!AC61,IF($L$3=$AJ$10,'Statement of Marks'!AR61,IF($L$3=$AJ$11,'Statement of Marks'!BF61,IF($L$3=$AJ$12,'Statement of Marks'!BT61,IF($L$3=$AJ$13,'Statement of Marks'!CI61,IF($L$3=$AJ$14,('Statement of Marks'!CX61+'Statement of Marks'!CY61),IF($L$3=$AJ$15,'Statement of Marks'!ED61,IF($L$3=$AJ$16,('Statement of Marks'!EP61+'Statement of Marks'!EQ61),IF($L$3=$AJ$17,('Statement of Marks'!FI61+'Statement of Marks'!FJ61),IF($L$3=$AJ$18,'Statement of Marks'!FU61,IF($L$3=$AJ$19,'Statement of Marks'!GC61,"")))))))))))),"")</f>
        <v/>
      </c>
      <c r="O62" s="811">
        <f>IF($L$3=$AJ$18,'Statement of Marks'!FV61,IF($L$3=$AJ$19,'Statement of Marks'!GD61,IF(AND(M62="NA",N62="NA"),"NA",IF(AND(M62="",N62=""),"",SUM(M62,N62)))))</f>
        <v>0</v>
      </c>
      <c r="P62" s="809" t="str">
        <f>IFERROR(IF($L$3=$AJ$8,'Statement of Marks'!Q61,IF($L$3=$AJ$9,'Statement of Marks'!AE61,IF($L$3=$AJ$10,'Statement of Marks'!AT61,IF($L$3=$AJ$11,'Statement of Marks'!BH61,IF($L$3=$AJ$12,'Statement of Marks'!BV61,IF($L$3=$AJ$13,'Statement of Marks'!CK61,IF($L$3=$AJ$14,('Statement of Marks'!DB61+'Statement of Marks'!DC61),IF($L$3=$AJ$15,'Statement of Marks'!EF61,IF($L$3=$AJ$16,('Statement of Marks'!ET61+'Statement of Marks'!EU61),IF($L$3=$AJ$17,('Statement of Marks'!FM61+'Statement of Marks'!FN61),IF($L$3=$AJ$18,'Statement of Marks'!FW61,IF($L$3=$AJ$19,'Statement of Marks'!GE61,"")))))))))))),"")</f>
        <v/>
      </c>
      <c r="Q62" s="812" t="str">
        <f t="shared" si="3"/>
        <v/>
      </c>
      <c r="R62" s="813">
        <f t="shared" si="8"/>
        <v>0</v>
      </c>
      <c r="S62" s="813" t="str">
        <f t="shared" si="4"/>
        <v/>
      </c>
      <c r="T62" s="813" t="str">
        <f t="shared" si="5"/>
        <v/>
      </c>
      <c r="U62" s="814" t="str">
        <f t="shared" si="6"/>
        <v/>
      </c>
      <c r="V62" s="815" t="str">
        <f t="shared" si="7"/>
        <v/>
      </c>
      <c r="W62" s="816" t="str">
        <f t="shared" si="9"/>
        <v/>
      </c>
    </row>
    <row r="63" spans="1:23">
      <c r="A63" s="803">
        <f>IF('Statement of Marks'!A62="","",'Statement of Marks'!A62)</f>
        <v>56</v>
      </c>
      <c r="B63" s="804" t="str">
        <f>IF(OR($D$3="",$L$3=""),"",IF('Statement of Marks'!B62="","",'Statement of Marks'!B62))</f>
        <v/>
      </c>
      <c r="C63" s="805" t="str">
        <f>IF(OR($D$3="",$L$3=""),"",IF('Statement of Marks'!D62="","",'Statement of Marks'!D62))</f>
        <v/>
      </c>
      <c r="D63" s="806" t="str">
        <f>IF(OR($D$3="",$L$3=""),"",IF('Statement of Marks'!E62="","",'Statement of Marks'!E62))</f>
        <v/>
      </c>
      <c r="E63" s="807" t="str">
        <f>IF(OR($D$3="",$L$3=""),"",IF('Statement of Marks'!F62="","",'Statement of Marks'!F62))</f>
        <v/>
      </c>
      <c r="F63" s="807" t="str">
        <f>IF(OR($D$3="",$L$3=""),"",IF('Statement of Marks'!G62="","",'Statement of Marks'!G62))</f>
        <v/>
      </c>
      <c r="G63" s="807" t="str">
        <f>IF(OR($D$3="",$L$3=""),"",IF('Statement of Marks'!H62="","",'Statement of Marks'!H62))</f>
        <v/>
      </c>
      <c r="H63" s="808" t="str">
        <f>IF(OR($D$3="",$L$3=""),"",IF('Statement of Marks'!I62="","",'Statement of Marks'!I62))</f>
        <v/>
      </c>
      <c r="I63" s="808" t="str">
        <f>IF(OR($D$3="",$L$3=""),"",IF('Statement of Marks'!J62="","",'Statement of Marks'!J62))</f>
        <v/>
      </c>
      <c r="J63" s="809" t="str">
        <f>IFERROR(IF($L$3=$AJ$8,'Statement of Marks'!K62,IF($L$3=$AJ$9,'Statement of Marks'!Y62,IF($L$3=$AJ$10,'Statement of Marks'!AN62,IF($L$3=$AJ$11,'Statement of Marks'!BB62,IF($L$3=$AJ$12,'Statement of Marks'!BP62,IF($L$3=$AJ$13,'Statement of Marks'!CE62,IF($L$3=$AJ$14,'Statement of Marks'!CT62,IF($L$3=$AJ$15,'Statement of Marks'!DZ62,IF($L$3=$AJ$16,'Statement of Marks'!EL62,IF($L$3=$AJ$17,('Statement of Marks'!FB62+'Statement of Marks'!FC62),"")))))))))),"")</f>
        <v/>
      </c>
      <c r="K63" s="809" t="str">
        <f>IFERROR(IF($L$3=$AJ$8,'Statement of Marks'!L62,IF($L$3=$AJ$9,'Statement of Marks'!Z62,IF($L$3=$AJ$10,'Statement of Marks'!AO62,IF($L$3=$AJ$11,'Statement of Marks'!BC62,IF($L$3=$AJ$12,'Statement of Marks'!BQ62,IF($L$3=$AJ$13,'Statement of Marks'!CF62,IF($L$3=$AJ$14,'Statement of Marks'!CU62,IF($L$3=$AJ$15,'Statement of Marks'!EA62,IF($L$3=$AJ$16,'Statement of Marks'!EM62,IF($L$3=$AJ$17,('Statement of Marks'!FD62+'Statement of Marks'!FE62),"")))))))))),"")</f>
        <v/>
      </c>
      <c r="L63" s="809" t="str">
        <f>IFERROR(IF($L$3=$AJ$8,'Statement of Marks'!M62,IF($L$3=$AJ$9,'Statement of Marks'!AA62,IF($L$3=$AJ$10,'Statement of Marks'!AP62,IF($L$3=$AJ$11,'Statement of Marks'!BD62,IF($L$3=$AJ$12,'Statement of Marks'!BR62,IF($L$3=$AJ$13,'Statement of Marks'!CG62,IF($L$3=$AJ$14,'Statement of Marks'!CV62,IF($L$3=$AJ$15,'Statement of Marks'!EB62,IF($L$3=$AJ$16,'Statement of Marks'!EN62,IF($L$3=$AJ$17,('Statement of Marks'!FF62+'Statement of Marks'!FG62),"")))))))))),"")</f>
        <v/>
      </c>
      <c r="M63" s="810">
        <f t="shared" si="0"/>
        <v>0</v>
      </c>
      <c r="N63" s="809" t="str">
        <f>IFERROR(IF($L$3=$AJ$8,'Statement of Marks'!O62,IF($L$3=$AJ$9,'Statement of Marks'!AC62,IF($L$3=$AJ$10,'Statement of Marks'!AR62,IF($L$3=$AJ$11,'Statement of Marks'!BF62,IF($L$3=$AJ$12,'Statement of Marks'!BT62,IF($L$3=$AJ$13,'Statement of Marks'!CI62,IF($L$3=$AJ$14,('Statement of Marks'!CX62+'Statement of Marks'!CY62),IF($L$3=$AJ$15,'Statement of Marks'!ED62,IF($L$3=$AJ$16,('Statement of Marks'!EP62+'Statement of Marks'!EQ62),IF($L$3=$AJ$17,('Statement of Marks'!FI62+'Statement of Marks'!FJ62),IF($L$3=$AJ$18,'Statement of Marks'!FU62,IF($L$3=$AJ$19,'Statement of Marks'!GC62,"")))))))))))),"")</f>
        <v/>
      </c>
      <c r="O63" s="811">
        <f>IF($L$3=$AJ$18,'Statement of Marks'!FV62,IF($L$3=$AJ$19,'Statement of Marks'!GD62,IF(AND(M63="NA",N63="NA"),"NA",IF(AND(M63="",N63=""),"",SUM(M63,N63)))))</f>
        <v>0</v>
      </c>
      <c r="P63" s="809" t="str">
        <f>IFERROR(IF($L$3=$AJ$8,'Statement of Marks'!Q62,IF($L$3=$AJ$9,'Statement of Marks'!AE62,IF($L$3=$AJ$10,'Statement of Marks'!AT62,IF($L$3=$AJ$11,'Statement of Marks'!BH62,IF($L$3=$AJ$12,'Statement of Marks'!BV62,IF($L$3=$AJ$13,'Statement of Marks'!CK62,IF($L$3=$AJ$14,('Statement of Marks'!DB62+'Statement of Marks'!DC62),IF($L$3=$AJ$15,'Statement of Marks'!EF62,IF($L$3=$AJ$16,('Statement of Marks'!ET62+'Statement of Marks'!EU62),IF($L$3=$AJ$17,('Statement of Marks'!FM62+'Statement of Marks'!FN62),IF($L$3=$AJ$18,'Statement of Marks'!FW62,IF($L$3=$AJ$19,'Statement of Marks'!GE62,"")))))))))))),"")</f>
        <v/>
      </c>
      <c r="Q63" s="812" t="str">
        <f t="shared" si="3"/>
        <v/>
      </c>
      <c r="R63" s="813">
        <f t="shared" si="8"/>
        <v>0</v>
      </c>
      <c r="S63" s="813" t="str">
        <f t="shared" si="4"/>
        <v/>
      </c>
      <c r="T63" s="813" t="str">
        <f t="shared" si="5"/>
        <v/>
      </c>
      <c r="U63" s="814" t="str">
        <f t="shared" si="6"/>
        <v/>
      </c>
      <c r="V63" s="815" t="str">
        <f t="shared" si="7"/>
        <v/>
      </c>
      <c r="W63" s="816" t="str">
        <f t="shared" si="9"/>
        <v/>
      </c>
    </row>
    <row r="64" spans="1:23">
      <c r="A64" s="803">
        <f>IF('Statement of Marks'!A63="","",'Statement of Marks'!A63)</f>
        <v>57</v>
      </c>
      <c r="B64" s="804" t="str">
        <f>IF(OR($D$3="",$L$3=""),"",IF('Statement of Marks'!B63="","",'Statement of Marks'!B63))</f>
        <v/>
      </c>
      <c r="C64" s="805" t="str">
        <f>IF(OR($D$3="",$L$3=""),"",IF('Statement of Marks'!D63="","",'Statement of Marks'!D63))</f>
        <v/>
      </c>
      <c r="D64" s="806" t="str">
        <f>IF(OR($D$3="",$L$3=""),"",IF('Statement of Marks'!E63="","",'Statement of Marks'!E63))</f>
        <v/>
      </c>
      <c r="E64" s="807" t="str">
        <f>IF(OR($D$3="",$L$3=""),"",IF('Statement of Marks'!F63="","",'Statement of Marks'!F63))</f>
        <v/>
      </c>
      <c r="F64" s="807" t="str">
        <f>IF(OR($D$3="",$L$3=""),"",IF('Statement of Marks'!G63="","",'Statement of Marks'!G63))</f>
        <v/>
      </c>
      <c r="G64" s="807" t="str">
        <f>IF(OR($D$3="",$L$3=""),"",IF('Statement of Marks'!H63="","",'Statement of Marks'!H63))</f>
        <v/>
      </c>
      <c r="H64" s="808" t="str">
        <f>IF(OR($D$3="",$L$3=""),"",IF('Statement of Marks'!I63="","",'Statement of Marks'!I63))</f>
        <v/>
      </c>
      <c r="I64" s="808" t="str">
        <f>IF(OR($D$3="",$L$3=""),"",IF('Statement of Marks'!J63="","",'Statement of Marks'!J63))</f>
        <v/>
      </c>
      <c r="J64" s="809" t="str">
        <f>IFERROR(IF($L$3=$AJ$8,'Statement of Marks'!K63,IF($L$3=$AJ$9,'Statement of Marks'!Y63,IF($L$3=$AJ$10,'Statement of Marks'!AN63,IF($L$3=$AJ$11,'Statement of Marks'!BB63,IF($L$3=$AJ$12,'Statement of Marks'!BP63,IF($L$3=$AJ$13,'Statement of Marks'!CE63,IF($L$3=$AJ$14,'Statement of Marks'!CT63,IF($L$3=$AJ$15,'Statement of Marks'!DZ63,IF($L$3=$AJ$16,'Statement of Marks'!EL63,IF($L$3=$AJ$17,('Statement of Marks'!FB63+'Statement of Marks'!FC63),"")))))))))),"")</f>
        <v/>
      </c>
      <c r="K64" s="809" t="str">
        <f>IFERROR(IF($L$3=$AJ$8,'Statement of Marks'!L63,IF($L$3=$AJ$9,'Statement of Marks'!Z63,IF($L$3=$AJ$10,'Statement of Marks'!AO63,IF($L$3=$AJ$11,'Statement of Marks'!BC63,IF($L$3=$AJ$12,'Statement of Marks'!BQ63,IF($L$3=$AJ$13,'Statement of Marks'!CF63,IF($L$3=$AJ$14,'Statement of Marks'!CU63,IF($L$3=$AJ$15,'Statement of Marks'!EA63,IF($L$3=$AJ$16,'Statement of Marks'!EM63,IF($L$3=$AJ$17,('Statement of Marks'!FD63+'Statement of Marks'!FE63),"")))))))))),"")</f>
        <v/>
      </c>
      <c r="L64" s="809" t="str">
        <f>IFERROR(IF($L$3=$AJ$8,'Statement of Marks'!M63,IF($L$3=$AJ$9,'Statement of Marks'!AA63,IF($L$3=$AJ$10,'Statement of Marks'!AP63,IF($L$3=$AJ$11,'Statement of Marks'!BD63,IF($L$3=$AJ$12,'Statement of Marks'!BR63,IF($L$3=$AJ$13,'Statement of Marks'!CG63,IF($L$3=$AJ$14,'Statement of Marks'!CV63,IF($L$3=$AJ$15,'Statement of Marks'!EB63,IF($L$3=$AJ$16,'Statement of Marks'!EN63,IF($L$3=$AJ$17,('Statement of Marks'!FF63+'Statement of Marks'!FG63),"")))))))))),"")</f>
        <v/>
      </c>
      <c r="M64" s="810">
        <f t="shared" si="0"/>
        <v>0</v>
      </c>
      <c r="N64" s="809" t="str">
        <f>IFERROR(IF($L$3=$AJ$8,'Statement of Marks'!O63,IF($L$3=$AJ$9,'Statement of Marks'!AC63,IF($L$3=$AJ$10,'Statement of Marks'!AR63,IF($L$3=$AJ$11,'Statement of Marks'!BF63,IF($L$3=$AJ$12,'Statement of Marks'!BT63,IF($L$3=$AJ$13,'Statement of Marks'!CI63,IF($L$3=$AJ$14,('Statement of Marks'!CX63+'Statement of Marks'!CY63),IF($L$3=$AJ$15,'Statement of Marks'!ED63,IF($L$3=$AJ$16,('Statement of Marks'!EP63+'Statement of Marks'!EQ63),IF($L$3=$AJ$17,('Statement of Marks'!FI63+'Statement of Marks'!FJ63),IF($L$3=$AJ$18,'Statement of Marks'!FU63,IF($L$3=$AJ$19,'Statement of Marks'!GC63,"")))))))))))),"")</f>
        <v/>
      </c>
      <c r="O64" s="811">
        <f>IF($L$3=$AJ$18,'Statement of Marks'!FV63,IF($L$3=$AJ$19,'Statement of Marks'!GD63,IF(AND(M64="NA",N64="NA"),"NA",IF(AND(M64="",N64=""),"",SUM(M64,N64)))))</f>
        <v>0</v>
      </c>
      <c r="P64" s="809" t="str">
        <f>IFERROR(IF($L$3=$AJ$8,'Statement of Marks'!Q63,IF($L$3=$AJ$9,'Statement of Marks'!AE63,IF($L$3=$AJ$10,'Statement of Marks'!AT63,IF($L$3=$AJ$11,'Statement of Marks'!BH63,IF($L$3=$AJ$12,'Statement of Marks'!BV63,IF($L$3=$AJ$13,'Statement of Marks'!CK63,IF($L$3=$AJ$14,('Statement of Marks'!DB63+'Statement of Marks'!DC63),IF($L$3=$AJ$15,'Statement of Marks'!EF63,IF($L$3=$AJ$16,('Statement of Marks'!ET63+'Statement of Marks'!EU63),IF($L$3=$AJ$17,('Statement of Marks'!FM63+'Statement of Marks'!FN63),IF($L$3=$AJ$18,'Statement of Marks'!FW63,IF($L$3=$AJ$19,'Statement of Marks'!GE63,"")))))))))))),"")</f>
        <v/>
      </c>
      <c r="Q64" s="812" t="str">
        <f t="shared" si="3"/>
        <v/>
      </c>
      <c r="R64" s="813">
        <f t="shared" si="8"/>
        <v>0</v>
      </c>
      <c r="S64" s="813" t="str">
        <f t="shared" si="4"/>
        <v/>
      </c>
      <c r="T64" s="813" t="str">
        <f t="shared" si="5"/>
        <v/>
      </c>
      <c r="U64" s="814" t="str">
        <f t="shared" si="6"/>
        <v/>
      </c>
      <c r="V64" s="815" t="str">
        <f t="shared" si="7"/>
        <v/>
      </c>
      <c r="W64" s="816" t="str">
        <f t="shared" si="9"/>
        <v/>
      </c>
    </row>
    <row r="65" spans="1:23">
      <c r="A65" s="803">
        <f>IF('Statement of Marks'!A64="","",'Statement of Marks'!A64)</f>
        <v>58</v>
      </c>
      <c r="B65" s="804" t="str">
        <f>IF(OR($D$3="",$L$3=""),"",IF('Statement of Marks'!B64="","",'Statement of Marks'!B64))</f>
        <v/>
      </c>
      <c r="C65" s="805" t="str">
        <f>IF(OR($D$3="",$L$3=""),"",IF('Statement of Marks'!D64="","",'Statement of Marks'!D64))</f>
        <v/>
      </c>
      <c r="D65" s="806" t="str">
        <f>IF(OR($D$3="",$L$3=""),"",IF('Statement of Marks'!E64="","",'Statement of Marks'!E64))</f>
        <v/>
      </c>
      <c r="E65" s="807" t="str">
        <f>IF(OR($D$3="",$L$3=""),"",IF('Statement of Marks'!F64="","",'Statement of Marks'!F64))</f>
        <v/>
      </c>
      <c r="F65" s="807" t="str">
        <f>IF(OR($D$3="",$L$3=""),"",IF('Statement of Marks'!G64="","",'Statement of Marks'!G64))</f>
        <v/>
      </c>
      <c r="G65" s="807" t="str">
        <f>IF(OR($D$3="",$L$3=""),"",IF('Statement of Marks'!H64="","",'Statement of Marks'!H64))</f>
        <v/>
      </c>
      <c r="H65" s="808" t="str">
        <f>IF(OR($D$3="",$L$3=""),"",IF('Statement of Marks'!I64="","",'Statement of Marks'!I64))</f>
        <v/>
      </c>
      <c r="I65" s="808" t="str">
        <f>IF(OR($D$3="",$L$3=""),"",IF('Statement of Marks'!J64="","",'Statement of Marks'!J64))</f>
        <v/>
      </c>
      <c r="J65" s="809" t="str">
        <f>IFERROR(IF($L$3=$AJ$8,'Statement of Marks'!K64,IF($L$3=$AJ$9,'Statement of Marks'!Y64,IF($L$3=$AJ$10,'Statement of Marks'!AN64,IF($L$3=$AJ$11,'Statement of Marks'!BB64,IF($L$3=$AJ$12,'Statement of Marks'!BP64,IF($L$3=$AJ$13,'Statement of Marks'!CE64,IF($L$3=$AJ$14,'Statement of Marks'!CT64,IF($L$3=$AJ$15,'Statement of Marks'!DZ64,IF($L$3=$AJ$16,'Statement of Marks'!EL64,IF($L$3=$AJ$17,('Statement of Marks'!FB64+'Statement of Marks'!FC64),"")))))))))),"")</f>
        <v/>
      </c>
      <c r="K65" s="809" t="str">
        <f>IFERROR(IF($L$3=$AJ$8,'Statement of Marks'!L64,IF($L$3=$AJ$9,'Statement of Marks'!Z64,IF($L$3=$AJ$10,'Statement of Marks'!AO64,IF($L$3=$AJ$11,'Statement of Marks'!BC64,IF($L$3=$AJ$12,'Statement of Marks'!BQ64,IF($L$3=$AJ$13,'Statement of Marks'!CF64,IF($L$3=$AJ$14,'Statement of Marks'!CU64,IF($L$3=$AJ$15,'Statement of Marks'!EA64,IF($L$3=$AJ$16,'Statement of Marks'!EM64,IF($L$3=$AJ$17,('Statement of Marks'!FD64+'Statement of Marks'!FE64),"")))))))))),"")</f>
        <v/>
      </c>
      <c r="L65" s="809" t="str">
        <f>IFERROR(IF($L$3=$AJ$8,'Statement of Marks'!M64,IF($L$3=$AJ$9,'Statement of Marks'!AA64,IF($L$3=$AJ$10,'Statement of Marks'!AP64,IF($L$3=$AJ$11,'Statement of Marks'!BD64,IF($L$3=$AJ$12,'Statement of Marks'!BR64,IF($L$3=$AJ$13,'Statement of Marks'!CG64,IF($L$3=$AJ$14,'Statement of Marks'!CV64,IF($L$3=$AJ$15,'Statement of Marks'!EB64,IF($L$3=$AJ$16,'Statement of Marks'!EN64,IF($L$3=$AJ$17,('Statement of Marks'!FF64+'Statement of Marks'!FG64),"")))))))))),"")</f>
        <v/>
      </c>
      <c r="M65" s="810">
        <f t="shared" si="0"/>
        <v>0</v>
      </c>
      <c r="N65" s="809" t="str">
        <f>IFERROR(IF($L$3=$AJ$8,'Statement of Marks'!O64,IF($L$3=$AJ$9,'Statement of Marks'!AC64,IF($L$3=$AJ$10,'Statement of Marks'!AR64,IF($L$3=$AJ$11,'Statement of Marks'!BF64,IF($L$3=$AJ$12,'Statement of Marks'!BT64,IF($L$3=$AJ$13,'Statement of Marks'!CI64,IF($L$3=$AJ$14,('Statement of Marks'!CX64+'Statement of Marks'!CY64),IF($L$3=$AJ$15,'Statement of Marks'!ED64,IF($L$3=$AJ$16,('Statement of Marks'!EP64+'Statement of Marks'!EQ64),IF($L$3=$AJ$17,('Statement of Marks'!FI64+'Statement of Marks'!FJ64),IF($L$3=$AJ$18,'Statement of Marks'!FU64,IF($L$3=$AJ$19,'Statement of Marks'!GC64,"")))))))))))),"")</f>
        <v/>
      </c>
      <c r="O65" s="811">
        <f>IF($L$3=$AJ$18,'Statement of Marks'!FV64,IF($L$3=$AJ$19,'Statement of Marks'!GD64,IF(AND(M65="NA",N65="NA"),"NA",IF(AND(M65="",N65=""),"",SUM(M65,N65)))))</f>
        <v>0</v>
      </c>
      <c r="P65" s="809" t="str">
        <f>IFERROR(IF($L$3=$AJ$8,'Statement of Marks'!Q64,IF($L$3=$AJ$9,'Statement of Marks'!AE64,IF($L$3=$AJ$10,'Statement of Marks'!AT64,IF($L$3=$AJ$11,'Statement of Marks'!BH64,IF($L$3=$AJ$12,'Statement of Marks'!BV64,IF($L$3=$AJ$13,'Statement of Marks'!CK64,IF($L$3=$AJ$14,('Statement of Marks'!DB64+'Statement of Marks'!DC64),IF($L$3=$AJ$15,'Statement of Marks'!EF64,IF($L$3=$AJ$16,('Statement of Marks'!ET64+'Statement of Marks'!EU64),IF($L$3=$AJ$17,('Statement of Marks'!FM64+'Statement of Marks'!FN64),IF($L$3=$AJ$18,'Statement of Marks'!FW64,IF($L$3=$AJ$19,'Statement of Marks'!GE64,"")))))))))))),"")</f>
        <v/>
      </c>
      <c r="Q65" s="812" t="str">
        <f t="shared" si="3"/>
        <v/>
      </c>
      <c r="R65" s="813">
        <f t="shared" si="8"/>
        <v>0</v>
      </c>
      <c r="S65" s="813" t="str">
        <f t="shared" si="4"/>
        <v/>
      </c>
      <c r="T65" s="813" t="str">
        <f t="shared" si="5"/>
        <v/>
      </c>
      <c r="U65" s="814" t="str">
        <f t="shared" si="6"/>
        <v/>
      </c>
      <c r="V65" s="815" t="str">
        <f t="shared" si="7"/>
        <v/>
      </c>
      <c r="W65" s="816" t="str">
        <f t="shared" si="9"/>
        <v/>
      </c>
    </row>
    <row r="66" spans="1:23">
      <c r="A66" s="803">
        <f>IF('Statement of Marks'!A65="","",'Statement of Marks'!A65)</f>
        <v>59</v>
      </c>
      <c r="B66" s="804" t="str">
        <f>IF(OR($D$3="",$L$3=""),"",IF('Statement of Marks'!B65="","",'Statement of Marks'!B65))</f>
        <v/>
      </c>
      <c r="C66" s="805" t="str">
        <f>IF(OR($D$3="",$L$3=""),"",IF('Statement of Marks'!D65="","",'Statement of Marks'!D65))</f>
        <v/>
      </c>
      <c r="D66" s="806" t="str">
        <f>IF(OR($D$3="",$L$3=""),"",IF('Statement of Marks'!E65="","",'Statement of Marks'!E65))</f>
        <v/>
      </c>
      <c r="E66" s="807" t="str">
        <f>IF(OR($D$3="",$L$3=""),"",IF('Statement of Marks'!F65="","",'Statement of Marks'!F65))</f>
        <v/>
      </c>
      <c r="F66" s="807" t="str">
        <f>IF(OR($D$3="",$L$3=""),"",IF('Statement of Marks'!G65="","",'Statement of Marks'!G65))</f>
        <v/>
      </c>
      <c r="G66" s="807" t="str">
        <f>IF(OR($D$3="",$L$3=""),"",IF('Statement of Marks'!H65="","",'Statement of Marks'!H65))</f>
        <v/>
      </c>
      <c r="H66" s="808" t="str">
        <f>IF(OR($D$3="",$L$3=""),"",IF('Statement of Marks'!I65="","",'Statement of Marks'!I65))</f>
        <v/>
      </c>
      <c r="I66" s="808" t="str">
        <f>IF(OR($D$3="",$L$3=""),"",IF('Statement of Marks'!J65="","",'Statement of Marks'!J65))</f>
        <v/>
      </c>
      <c r="J66" s="809" t="str">
        <f>IFERROR(IF($L$3=$AJ$8,'Statement of Marks'!K65,IF($L$3=$AJ$9,'Statement of Marks'!Y65,IF($L$3=$AJ$10,'Statement of Marks'!AN65,IF($L$3=$AJ$11,'Statement of Marks'!BB65,IF($L$3=$AJ$12,'Statement of Marks'!BP65,IF($L$3=$AJ$13,'Statement of Marks'!CE65,IF($L$3=$AJ$14,'Statement of Marks'!CT65,IF($L$3=$AJ$15,'Statement of Marks'!DZ65,IF($L$3=$AJ$16,'Statement of Marks'!EL65,IF($L$3=$AJ$17,('Statement of Marks'!FB65+'Statement of Marks'!FC65),"")))))))))),"")</f>
        <v/>
      </c>
      <c r="K66" s="809" t="str">
        <f>IFERROR(IF($L$3=$AJ$8,'Statement of Marks'!L65,IF($L$3=$AJ$9,'Statement of Marks'!Z65,IF($L$3=$AJ$10,'Statement of Marks'!AO65,IF($L$3=$AJ$11,'Statement of Marks'!BC65,IF($L$3=$AJ$12,'Statement of Marks'!BQ65,IF($L$3=$AJ$13,'Statement of Marks'!CF65,IF($L$3=$AJ$14,'Statement of Marks'!CU65,IF($L$3=$AJ$15,'Statement of Marks'!EA65,IF($L$3=$AJ$16,'Statement of Marks'!EM65,IF($L$3=$AJ$17,('Statement of Marks'!FD65+'Statement of Marks'!FE65),"")))))))))),"")</f>
        <v/>
      </c>
      <c r="L66" s="809" t="str">
        <f>IFERROR(IF($L$3=$AJ$8,'Statement of Marks'!M65,IF($L$3=$AJ$9,'Statement of Marks'!AA65,IF($L$3=$AJ$10,'Statement of Marks'!AP65,IF($L$3=$AJ$11,'Statement of Marks'!BD65,IF($L$3=$AJ$12,'Statement of Marks'!BR65,IF($L$3=$AJ$13,'Statement of Marks'!CG65,IF($L$3=$AJ$14,'Statement of Marks'!CV65,IF($L$3=$AJ$15,'Statement of Marks'!EB65,IF($L$3=$AJ$16,'Statement of Marks'!EN65,IF($L$3=$AJ$17,('Statement of Marks'!FF65+'Statement of Marks'!FG65),"")))))))))),"")</f>
        <v/>
      </c>
      <c r="M66" s="810">
        <f t="shared" si="0"/>
        <v>0</v>
      </c>
      <c r="N66" s="809" t="str">
        <f>IFERROR(IF($L$3=$AJ$8,'Statement of Marks'!O65,IF($L$3=$AJ$9,'Statement of Marks'!AC65,IF($L$3=$AJ$10,'Statement of Marks'!AR65,IF($L$3=$AJ$11,'Statement of Marks'!BF65,IF($L$3=$AJ$12,'Statement of Marks'!BT65,IF($L$3=$AJ$13,'Statement of Marks'!CI65,IF($L$3=$AJ$14,('Statement of Marks'!CX65+'Statement of Marks'!CY65),IF($L$3=$AJ$15,'Statement of Marks'!ED65,IF($L$3=$AJ$16,('Statement of Marks'!EP65+'Statement of Marks'!EQ65),IF($L$3=$AJ$17,('Statement of Marks'!FI65+'Statement of Marks'!FJ65),IF($L$3=$AJ$18,'Statement of Marks'!FU65,IF($L$3=$AJ$19,'Statement of Marks'!GC65,"")))))))))))),"")</f>
        <v/>
      </c>
      <c r="O66" s="811">
        <f>IF($L$3=$AJ$18,'Statement of Marks'!FV65,IF($L$3=$AJ$19,'Statement of Marks'!GD65,IF(AND(M66="NA",N66="NA"),"NA",IF(AND(M66="",N66=""),"",SUM(M66,N66)))))</f>
        <v>0</v>
      </c>
      <c r="P66" s="809" t="str">
        <f>IFERROR(IF($L$3=$AJ$8,'Statement of Marks'!Q65,IF($L$3=$AJ$9,'Statement of Marks'!AE65,IF($L$3=$AJ$10,'Statement of Marks'!AT65,IF($L$3=$AJ$11,'Statement of Marks'!BH65,IF($L$3=$AJ$12,'Statement of Marks'!BV65,IF($L$3=$AJ$13,'Statement of Marks'!CK65,IF($L$3=$AJ$14,('Statement of Marks'!DB65+'Statement of Marks'!DC65),IF($L$3=$AJ$15,'Statement of Marks'!EF65,IF($L$3=$AJ$16,('Statement of Marks'!ET65+'Statement of Marks'!EU65),IF($L$3=$AJ$17,('Statement of Marks'!FM65+'Statement of Marks'!FN65),IF($L$3=$AJ$18,'Statement of Marks'!FW65,IF($L$3=$AJ$19,'Statement of Marks'!GE65,"")))))))))))),"")</f>
        <v/>
      </c>
      <c r="Q66" s="812" t="str">
        <f t="shared" si="3"/>
        <v/>
      </c>
      <c r="R66" s="813">
        <f t="shared" si="8"/>
        <v>0</v>
      </c>
      <c r="S66" s="813" t="str">
        <f t="shared" si="4"/>
        <v/>
      </c>
      <c r="T66" s="813" t="str">
        <f t="shared" si="5"/>
        <v/>
      </c>
      <c r="U66" s="814" t="str">
        <f t="shared" si="6"/>
        <v/>
      </c>
      <c r="V66" s="815" t="str">
        <f t="shared" si="7"/>
        <v/>
      </c>
      <c r="W66" s="816" t="str">
        <f t="shared" si="9"/>
        <v/>
      </c>
    </row>
    <row r="67" spans="1:23">
      <c r="A67" s="803">
        <f>IF('Statement of Marks'!A66="","",'Statement of Marks'!A66)</f>
        <v>60</v>
      </c>
      <c r="B67" s="804" t="str">
        <f>IF(OR($D$3="",$L$3=""),"",IF('Statement of Marks'!B66="","",'Statement of Marks'!B66))</f>
        <v/>
      </c>
      <c r="C67" s="805" t="str">
        <f>IF(OR($D$3="",$L$3=""),"",IF('Statement of Marks'!D66="","",'Statement of Marks'!D66))</f>
        <v/>
      </c>
      <c r="D67" s="806" t="str">
        <f>IF(OR($D$3="",$L$3=""),"",IF('Statement of Marks'!E66="","",'Statement of Marks'!E66))</f>
        <v/>
      </c>
      <c r="E67" s="807" t="str">
        <f>IF(OR($D$3="",$L$3=""),"",IF('Statement of Marks'!F66="","",'Statement of Marks'!F66))</f>
        <v/>
      </c>
      <c r="F67" s="807" t="str">
        <f>IF(OR($D$3="",$L$3=""),"",IF('Statement of Marks'!G66="","",'Statement of Marks'!G66))</f>
        <v/>
      </c>
      <c r="G67" s="807" t="str">
        <f>IF(OR($D$3="",$L$3=""),"",IF('Statement of Marks'!H66="","",'Statement of Marks'!H66))</f>
        <v/>
      </c>
      <c r="H67" s="808" t="str">
        <f>IF(OR($D$3="",$L$3=""),"",IF('Statement of Marks'!I66="","",'Statement of Marks'!I66))</f>
        <v/>
      </c>
      <c r="I67" s="808" t="str">
        <f>IF(OR($D$3="",$L$3=""),"",IF('Statement of Marks'!J66="","",'Statement of Marks'!J66))</f>
        <v/>
      </c>
      <c r="J67" s="809" t="str">
        <f>IFERROR(IF($L$3=$AJ$8,'Statement of Marks'!K66,IF($L$3=$AJ$9,'Statement of Marks'!Y66,IF($L$3=$AJ$10,'Statement of Marks'!AN66,IF($L$3=$AJ$11,'Statement of Marks'!BB66,IF($L$3=$AJ$12,'Statement of Marks'!BP66,IF($L$3=$AJ$13,'Statement of Marks'!CE66,IF($L$3=$AJ$14,'Statement of Marks'!CT66,IF($L$3=$AJ$15,'Statement of Marks'!DZ66,IF($L$3=$AJ$16,'Statement of Marks'!EL66,IF($L$3=$AJ$17,('Statement of Marks'!FB66+'Statement of Marks'!FC66),"")))))))))),"")</f>
        <v/>
      </c>
      <c r="K67" s="809" t="str">
        <f>IFERROR(IF($L$3=$AJ$8,'Statement of Marks'!L66,IF($L$3=$AJ$9,'Statement of Marks'!Z66,IF($L$3=$AJ$10,'Statement of Marks'!AO66,IF($L$3=$AJ$11,'Statement of Marks'!BC66,IF($L$3=$AJ$12,'Statement of Marks'!BQ66,IF($L$3=$AJ$13,'Statement of Marks'!CF66,IF($L$3=$AJ$14,'Statement of Marks'!CU66,IF($L$3=$AJ$15,'Statement of Marks'!EA66,IF($L$3=$AJ$16,'Statement of Marks'!EM66,IF($L$3=$AJ$17,('Statement of Marks'!FD66+'Statement of Marks'!FE66),"")))))))))),"")</f>
        <v/>
      </c>
      <c r="L67" s="809" t="str">
        <f>IFERROR(IF($L$3=$AJ$8,'Statement of Marks'!M66,IF($L$3=$AJ$9,'Statement of Marks'!AA66,IF($L$3=$AJ$10,'Statement of Marks'!AP66,IF($L$3=$AJ$11,'Statement of Marks'!BD66,IF($L$3=$AJ$12,'Statement of Marks'!BR66,IF($L$3=$AJ$13,'Statement of Marks'!CG66,IF($L$3=$AJ$14,'Statement of Marks'!CV66,IF($L$3=$AJ$15,'Statement of Marks'!EB66,IF($L$3=$AJ$16,'Statement of Marks'!EN66,IF($L$3=$AJ$17,('Statement of Marks'!FF66+'Statement of Marks'!FG66),"")))))))))),"")</f>
        <v/>
      </c>
      <c r="M67" s="810">
        <f t="shared" si="0"/>
        <v>0</v>
      </c>
      <c r="N67" s="809" t="str">
        <f>IFERROR(IF($L$3=$AJ$8,'Statement of Marks'!O66,IF($L$3=$AJ$9,'Statement of Marks'!AC66,IF($L$3=$AJ$10,'Statement of Marks'!AR66,IF($L$3=$AJ$11,'Statement of Marks'!BF66,IF($L$3=$AJ$12,'Statement of Marks'!BT66,IF($L$3=$AJ$13,'Statement of Marks'!CI66,IF($L$3=$AJ$14,('Statement of Marks'!CX66+'Statement of Marks'!CY66),IF($L$3=$AJ$15,'Statement of Marks'!ED66,IF($L$3=$AJ$16,('Statement of Marks'!EP66+'Statement of Marks'!EQ66),IF($L$3=$AJ$17,('Statement of Marks'!FI66+'Statement of Marks'!FJ66),IF($L$3=$AJ$18,'Statement of Marks'!FU66,IF($L$3=$AJ$19,'Statement of Marks'!GC66,"")))))))))))),"")</f>
        <v/>
      </c>
      <c r="O67" s="811">
        <f>IF($L$3=$AJ$18,'Statement of Marks'!FV66,IF($L$3=$AJ$19,'Statement of Marks'!GD66,IF(AND(M67="NA",N67="NA"),"NA",IF(AND(M67="",N67=""),"",SUM(M67,N67)))))</f>
        <v>0</v>
      </c>
      <c r="P67" s="809" t="str">
        <f>IFERROR(IF($L$3=$AJ$8,'Statement of Marks'!Q66,IF($L$3=$AJ$9,'Statement of Marks'!AE66,IF($L$3=$AJ$10,'Statement of Marks'!AT66,IF($L$3=$AJ$11,'Statement of Marks'!BH66,IF($L$3=$AJ$12,'Statement of Marks'!BV66,IF($L$3=$AJ$13,'Statement of Marks'!CK66,IF($L$3=$AJ$14,('Statement of Marks'!DB66+'Statement of Marks'!DC66),IF($L$3=$AJ$15,'Statement of Marks'!EF66,IF($L$3=$AJ$16,('Statement of Marks'!ET66+'Statement of Marks'!EU66),IF($L$3=$AJ$17,('Statement of Marks'!FM66+'Statement of Marks'!FN66),IF($L$3=$AJ$18,'Statement of Marks'!FW66,IF($L$3=$AJ$19,'Statement of Marks'!GE66,"")))))))))))),"")</f>
        <v/>
      </c>
      <c r="Q67" s="812" t="str">
        <f t="shared" si="3"/>
        <v/>
      </c>
      <c r="R67" s="813">
        <f t="shared" si="8"/>
        <v>0</v>
      </c>
      <c r="S67" s="813" t="str">
        <f t="shared" si="4"/>
        <v/>
      </c>
      <c r="T67" s="813" t="str">
        <f t="shared" si="5"/>
        <v/>
      </c>
      <c r="U67" s="814" t="str">
        <f t="shared" si="6"/>
        <v/>
      </c>
      <c r="V67" s="815" t="str">
        <f t="shared" si="7"/>
        <v/>
      </c>
      <c r="W67" s="816" t="str">
        <f t="shared" si="9"/>
        <v/>
      </c>
    </row>
    <row r="68" spans="1:23">
      <c r="A68" s="803">
        <f>IF('Statement of Marks'!A67="","",'Statement of Marks'!A67)</f>
        <v>61</v>
      </c>
      <c r="B68" s="804" t="str">
        <f>IF(OR($D$3="",$L$3=""),"",IF('Statement of Marks'!B67="","",'Statement of Marks'!B67))</f>
        <v/>
      </c>
      <c r="C68" s="805" t="str">
        <f>IF(OR($D$3="",$L$3=""),"",IF('Statement of Marks'!D67="","",'Statement of Marks'!D67))</f>
        <v/>
      </c>
      <c r="D68" s="806" t="str">
        <f>IF(OR($D$3="",$L$3=""),"",IF('Statement of Marks'!E67="","",'Statement of Marks'!E67))</f>
        <v/>
      </c>
      <c r="E68" s="807" t="str">
        <f>IF(OR($D$3="",$L$3=""),"",IF('Statement of Marks'!F67="","",'Statement of Marks'!F67))</f>
        <v/>
      </c>
      <c r="F68" s="807" t="str">
        <f>IF(OR($D$3="",$L$3=""),"",IF('Statement of Marks'!G67="","",'Statement of Marks'!G67))</f>
        <v/>
      </c>
      <c r="G68" s="807" t="str">
        <f>IF(OR($D$3="",$L$3=""),"",IF('Statement of Marks'!H67="","",'Statement of Marks'!H67))</f>
        <v/>
      </c>
      <c r="H68" s="808" t="str">
        <f>IF(OR($D$3="",$L$3=""),"",IF('Statement of Marks'!I67="","",'Statement of Marks'!I67))</f>
        <v/>
      </c>
      <c r="I68" s="808" t="str">
        <f>IF(OR($D$3="",$L$3=""),"",IF('Statement of Marks'!J67="","",'Statement of Marks'!J67))</f>
        <v/>
      </c>
      <c r="J68" s="809" t="str">
        <f>IFERROR(IF($L$3=$AJ$8,'Statement of Marks'!K67,IF($L$3=$AJ$9,'Statement of Marks'!Y67,IF($L$3=$AJ$10,'Statement of Marks'!AN67,IF($L$3=$AJ$11,'Statement of Marks'!BB67,IF($L$3=$AJ$12,'Statement of Marks'!BP67,IF($L$3=$AJ$13,'Statement of Marks'!CE67,IF($L$3=$AJ$14,'Statement of Marks'!CT67,IF($L$3=$AJ$15,'Statement of Marks'!DZ67,IF($L$3=$AJ$16,'Statement of Marks'!EL67,IF($L$3=$AJ$17,('Statement of Marks'!FB67+'Statement of Marks'!FC67),"")))))))))),"")</f>
        <v/>
      </c>
      <c r="K68" s="809" t="str">
        <f>IFERROR(IF($L$3=$AJ$8,'Statement of Marks'!L67,IF($L$3=$AJ$9,'Statement of Marks'!Z67,IF($L$3=$AJ$10,'Statement of Marks'!AO67,IF($L$3=$AJ$11,'Statement of Marks'!BC67,IF($L$3=$AJ$12,'Statement of Marks'!BQ67,IF($L$3=$AJ$13,'Statement of Marks'!CF67,IF($L$3=$AJ$14,'Statement of Marks'!CU67,IF($L$3=$AJ$15,'Statement of Marks'!EA67,IF($L$3=$AJ$16,'Statement of Marks'!EM67,IF($L$3=$AJ$17,('Statement of Marks'!FD67+'Statement of Marks'!FE67),"")))))))))),"")</f>
        <v/>
      </c>
      <c r="L68" s="809" t="str">
        <f>IFERROR(IF($L$3=$AJ$8,'Statement of Marks'!M67,IF($L$3=$AJ$9,'Statement of Marks'!AA67,IF($L$3=$AJ$10,'Statement of Marks'!AP67,IF($L$3=$AJ$11,'Statement of Marks'!BD67,IF($L$3=$AJ$12,'Statement of Marks'!BR67,IF($L$3=$AJ$13,'Statement of Marks'!CG67,IF($L$3=$AJ$14,'Statement of Marks'!CV67,IF($L$3=$AJ$15,'Statement of Marks'!EB67,IF($L$3=$AJ$16,'Statement of Marks'!EN67,IF($L$3=$AJ$17,('Statement of Marks'!FF67+'Statement of Marks'!FG67),"")))))))))),"")</f>
        <v/>
      </c>
      <c r="M68" s="810">
        <f t="shared" si="0"/>
        <v>0</v>
      </c>
      <c r="N68" s="809" t="str">
        <f>IFERROR(IF($L$3=$AJ$8,'Statement of Marks'!O67,IF($L$3=$AJ$9,'Statement of Marks'!AC67,IF($L$3=$AJ$10,'Statement of Marks'!AR67,IF($L$3=$AJ$11,'Statement of Marks'!BF67,IF($L$3=$AJ$12,'Statement of Marks'!BT67,IF($L$3=$AJ$13,'Statement of Marks'!CI67,IF($L$3=$AJ$14,('Statement of Marks'!CX67+'Statement of Marks'!CY67),IF($L$3=$AJ$15,'Statement of Marks'!ED67,IF($L$3=$AJ$16,('Statement of Marks'!EP67+'Statement of Marks'!EQ67),IF($L$3=$AJ$17,('Statement of Marks'!FI67+'Statement of Marks'!FJ67),IF($L$3=$AJ$18,'Statement of Marks'!FU67,IF($L$3=$AJ$19,'Statement of Marks'!GC67,"")))))))))))),"")</f>
        <v/>
      </c>
      <c r="O68" s="811">
        <f>IF($L$3=$AJ$18,'Statement of Marks'!FV67,IF($L$3=$AJ$19,'Statement of Marks'!GD67,IF(AND(M68="NA",N68="NA"),"NA",IF(AND(M68="",N68=""),"",SUM(M68,N68)))))</f>
        <v>0</v>
      </c>
      <c r="P68" s="809" t="str">
        <f>IFERROR(IF($L$3=$AJ$8,'Statement of Marks'!Q67,IF($L$3=$AJ$9,'Statement of Marks'!AE67,IF($L$3=$AJ$10,'Statement of Marks'!AT67,IF($L$3=$AJ$11,'Statement of Marks'!BH67,IF($L$3=$AJ$12,'Statement of Marks'!BV67,IF($L$3=$AJ$13,'Statement of Marks'!CK67,IF($L$3=$AJ$14,('Statement of Marks'!DB67+'Statement of Marks'!DC67),IF($L$3=$AJ$15,'Statement of Marks'!EF67,IF($L$3=$AJ$16,('Statement of Marks'!ET67+'Statement of Marks'!EU67),IF($L$3=$AJ$17,('Statement of Marks'!FM67+'Statement of Marks'!FN67),IF($L$3=$AJ$18,'Statement of Marks'!FW67,IF($L$3=$AJ$19,'Statement of Marks'!GE67,"")))))))))))),"")</f>
        <v/>
      </c>
      <c r="Q68" s="812" t="str">
        <f t="shared" si="3"/>
        <v/>
      </c>
      <c r="R68" s="813">
        <f t="shared" si="8"/>
        <v>0</v>
      </c>
      <c r="S68" s="813" t="str">
        <f t="shared" si="4"/>
        <v/>
      </c>
      <c r="T68" s="813" t="str">
        <f t="shared" si="5"/>
        <v/>
      </c>
      <c r="U68" s="814" t="str">
        <f t="shared" si="6"/>
        <v/>
      </c>
      <c r="V68" s="815" t="str">
        <f t="shared" si="7"/>
        <v/>
      </c>
      <c r="W68" s="816" t="str">
        <f t="shared" si="9"/>
        <v/>
      </c>
    </row>
    <row r="69" spans="1:23">
      <c r="A69" s="803">
        <f>IF('Statement of Marks'!A68="","",'Statement of Marks'!A68)</f>
        <v>62</v>
      </c>
      <c r="B69" s="804" t="str">
        <f>IF(OR($D$3="",$L$3=""),"",IF('Statement of Marks'!B68="","",'Statement of Marks'!B68))</f>
        <v/>
      </c>
      <c r="C69" s="805" t="str">
        <f>IF(OR($D$3="",$L$3=""),"",IF('Statement of Marks'!D68="","",'Statement of Marks'!D68))</f>
        <v/>
      </c>
      <c r="D69" s="806" t="str">
        <f>IF(OR($D$3="",$L$3=""),"",IF('Statement of Marks'!E68="","",'Statement of Marks'!E68))</f>
        <v/>
      </c>
      <c r="E69" s="807" t="str">
        <f>IF(OR($D$3="",$L$3=""),"",IF('Statement of Marks'!F68="","",'Statement of Marks'!F68))</f>
        <v/>
      </c>
      <c r="F69" s="807" t="str">
        <f>IF(OR($D$3="",$L$3=""),"",IF('Statement of Marks'!G68="","",'Statement of Marks'!G68))</f>
        <v/>
      </c>
      <c r="G69" s="807" t="str">
        <f>IF(OR($D$3="",$L$3=""),"",IF('Statement of Marks'!H68="","",'Statement of Marks'!H68))</f>
        <v/>
      </c>
      <c r="H69" s="808" t="str">
        <f>IF(OR($D$3="",$L$3=""),"",IF('Statement of Marks'!I68="","",'Statement of Marks'!I68))</f>
        <v/>
      </c>
      <c r="I69" s="808" t="str">
        <f>IF(OR($D$3="",$L$3=""),"",IF('Statement of Marks'!J68="","",'Statement of Marks'!J68))</f>
        <v/>
      </c>
      <c r="J69" s="809" t="str">
        <f>IFERROR(IF($L$3=$AJ$8,'Statement of Marks'!K68,IF($L$3=$AJ$9,'Statement of Marks'!Y68,IF($L$3=$AJ$10,'Statement of Marks'!AN68,IF($L$3=$AJ$11,'Statement of Marks'!BB68,IF($L$3=$AJ$12,'Statement of Marks'!BP68,IF($L$3=$AJ$13,'Statement of Marks'!CE68,IF($L$3=$AJ$14,'Statement of Marks'!CT68,IF($L$3=$AJ$15,'Statement of Marks'!DZ68,IF($L$3=$AJ$16,'Statement of Marks'!EL68,IF($L$3=$AJ$17,('Statement of Marks'!FB68+'Statement of Marks'!FC68),"")))))))))),"")</f>
        <v/>
      </c>
      <c r="K69" s="809" t="str">
        <f>IFERROR(IF($L$3=$AJ$8,'Statement of Marks'!L68,IF($L$3=$AJ$9,'Statement of Marks'!Z68,IF($L$3=$AJ$10,'Statement of Marks'!AO68,IF($L$3=$AJ$11,'Statement of Marks'!BC68,IF($L$3=$AJ$12,'Statement of Marks'!BQ68,IF($L$3=$AJ$13,'Statement of Marks'!CF68,IF($L$3=$AJ$14,'Statement of Marks'!CU68,IF($L$3=$AJ$15,'Statement of Marks'!EA68,IF($L$3=$AJ$16,'Statement of Marks'!EM68,IF($L$3=$AJ$17,('Statement of Marks'!FD68+'Statement of Marks'!FE68),"")))))))))),"")</f>
        <v/>
      </c>
      <c r="L69" s="809" t="str">
        <f>IFERROR(IF($L$3=$AJ$8,'Statement of Marks'!M68,IF($L$3=$AJ$9,'Statement of Marks'!AA68,IF($L$3=$AJ$10,'Statement of Marks'!AP68,IF($L$3=$AJ$11,'Statement of Marks'!BD68,IF($L$3=$AJ$12,'Statement of Marks'!BR68,IF($L$3=$AJ$13,'Statement of Marks'!CG68,IF($L$3=$AJ$14,'Statement of Marks'!CV68,IF($L$3=$AJ$15,'Statement of Marks'!EB68,IF($L$3=$AJ$16,'Statement of Marks'!EN68,IF($L$3=$AJ$17,('Statement of Marks'!FF68+'Statement of Marks'!FG68),"")))))))))),"")</f>
        <v/>
      </c>
      <c r="M69" s="810">
        <f t="shared" si="0"/>
        <v>0</v>
      </c>
      <c r="N69" s="809" t="str">
        <f>IFERROR(IF($L$3=$AJ$8,'Statement of Marks'!O68,IF($L$3=$AJ$9,'Statement of Marks'!AC68,IF($L$3=$AJ$10,'Statement of Marks'!AR68,IF($L$3=$AJ$11,'Statement of Marks'!BF68,IF($L$3=$AJ$12,'Statement of Marks'!BT68,IF($L$3=$AJ$13,'Statement of Marks'!CI68,IF($L$3=$AJ$14,('Statement of Marks'!CX68+'Statement of Marks'!CY68),IF($L$3=$AJ$15,'Statement of Marks'!ED68,IF($L$3=$AJ$16,('Statement of Marks'!EP68+'Statement of Marks'!EQ68),IF($L$3=$AJ$17,('Statement of Marks'!FI68+'Statement of Marks'!FJ68),IF($L$3=$AJ$18,'Statement of Marks'!FU68,IF($L$3=$AJ$19,'Statement of Marks'!GC68,"")))))))))))),"")</f>
        <v/>
      </c>
      <c r="O69" s="811">
        <f>IF($L$3=$AJ$18,'Statement of Marks'!FV68,IF($L$3=$AJ$19,'Statement of Marks'!GD68,IF(AND(M69="NA",N69="NA"),"NA",IF(AND(M69="",N69=""),"",SUM(M69,N69)))))</f>
        <v>0</v>
      </c>
      <c r="P69" s="809" t="str">
        <f>IFERROR(IF($L$3=$AJ$8,'Statement of Marks'!Q68,IF($L$3=$AJ$9,'Statement of Marks'!AE68,IF($L$3=$AJ$10,'Statement of Marks'!AT68,IF($L$3=$AJ$11,'Statement of Marks'!BH68,IF($L$3=$AJ$12,'Statement of Marks'!BV68,IF($L$3=$AJ$13,'Statement of Marks'!CK68,IF($L$3=$AJ$14,('Statement of Marks'!DB68+'Statement of Marks'!DC68),IF($L$3=$AJ$15,'Statement of Marks'!EF68,IF($L$3=$AJ$16,('Statement of Marks'!ET68+'Statement of Marks'!EU68),IF($L$3=$AJ$17,('Statement of Marks'!FM68+'Statement of Marks'!FN68),IF($L$3=$AJ$18,'Statement of Marks'!FW68,IF($L$3=$AJ$19,'Statement of Marks'!GE68,"")))))))))))),"")</f>
        <v/>
      </c>
      <c r="Q69" s="812" t="str">
        <f t="shared" si="3"/>
        <v/>
      </c>
      <c r="R69" s="813">
        <f t="shared" si="8"/>
        <v>0</v>
      </c>
      <c r="S69" s="813" t="str">
        <f t="shared" si="4"/>
        <v/>
      </c>
      <c r="T69" s="813" t="str">
        <f t="shared" si="5"/>
        <v/>
      </c>
      <c r="U69" s="814" t="str">
        <f t="shared" si="6"/>
        <v/>
      </c>
      <c r="V69" s="815" t="str">
        <f t="shared" si="7"/>
        <v/>
      </c>
      <c r="W69" s="816" t="str">
        <f t="shared" si="9"/>
        <v/>
      </c>
    </row>
    <row r="70" spans="1:23">
      <c r="A70" s="803">
        <f>IF('Statement of Marks'!A69="","",'Statement of Marks'!A69)</f>
        <v>63</v>
      </c>
      <c r="B70" s="804" t="str">
        <f>IF(OR($D$3="",$L$3=""),"",IF('Statement of Marks'!B69="","",'Statement of Marks'!B69))</f>
        <v/>
      </c>
      <c r="C70" s="805" t="str">
        <f>IF(OR($D$3="",$L$3=""),"",IF('Statement of Marks'!D69="","",'Statement of Marks'!D69))</f>
        <v/>
      </c>
      <c r="D70" s="806" t="str">
        <f>IF(OR($D$3="",$L$3=""),"",IF('Statement of Marks'!E69="","",'Statement of Marks'!E69))</f>
        <v/>
      </c>
      <c r="E70" s="807" t="str">
        <f>IF(OR($D$3="",$L$3=""),"",IF('Statement of Marks'!F69="","",'Statement of Marks'!F69))</f>
        <v/>
      </c>
      <c r="F70" s="807" t="str">
        <f>IF(OR($D$3="",$L$3=""),"",IF('Statement of Marks'!G69="","",'Statement of Marks'!G69))</f>
        <v/>
      </c>
      <c r="G70" s="807" t="str">
        <f>IF(OR($D$3="",$L$3=""),"",IF('Statement of Marks'!H69="","",'Statement of Marks'!H69))</f>
        <v/>
      </c>
      <c r="H70" s="808" t="str">
        <f>IF(OR($D$3="",$L$3=""),"",IF('Statement of Marks'!I69="","",'Statement of Marks'!I69))</f>
        <v/>
      </c>
      <c r="I70" s="808" t="str">
        <f>IF(OR($D$3="",$L$3=""),"",IF('Statement of Marks'!J69="","",'Statement of Marks'!J69))</f>
        <v/>
      </c>
      <c r="J70" s="809" t="str">
        <f>IFERROR(IF($L$3=$AJ$8,'Statement of Marks'!K69,IF($L$3=$AJ$9,'Statement of Marks'!Y69,IF($L$3=$AJ$10,'Statement of Marks'!AN69,IF($L$3=$AJ$11,'Statement of Marks'!BB69,IF($L$3=$AJ$12,'Statement of Marks'!BP69,IF($L$3=$AJ$13,'Statement of Marks'!CE69,IF($L$3=$AJ$14,'Statement of Marks'!CT69,IF($L$3=$AJ$15,'Statement of Marks'!DZ69,IF($L$3=$AJ$16,'Statement of Marks'!EL69,IF($L$3=$AJ$17,('Statement of Marks'!FB69+'Statement of Marks'!FC69),"")))))))))),"")</f>
        <v/>
      </c>
      <c r="K70" s="809" t="str">
        <f>IFERROR(IF($L$3=$AJ$8,'Statement of Marks'!L69,IF($L$3=$AJ$9,'Statement of Marks'!Z69,IF($L$3=$AJ$10,'Statement of Marks'!AO69,IF($L$3=$AJ$11,'Statement of Marks'!BC69,IF($L$3=$AJ$12,'Statement of Marks'!BQ69,IF($L$3=$AJ$13,'Statement of Marks'!CF69,IF($L$3=$AJ$14,'Statement of Marks'!CU69,IF($L$3=$AJ$15,'Statement of Marks'!EA69,IF($L$3=$AJ$16,'Statement of Marks'!EM69,IF($L$3=$AJ$17,('Statement of Marks'!FD69+'Statement of Marks'!FE69),"")))))))))),"")</f>
        <v/>
      </c>
      <c r="L70" s="809" t="str">
        <f>IFERROR(IF($L$3=$AJ$8,'Statement of Marks'!M69,IF($L$3=$AJ$9,'Statement of Marks'!AA69,IF($L$3=$AJ$10,'Statement of Marks'!AP69,IF($L$3=$AJ$11,'Statement of Marks'!BD69,IF($L$3=$AJ$12,'Statement of Marks'!BR69,IF($L$3=$AJ$13,'Statement of Marks'!CG69,IF($L$3=$AJ$14,'Statement of Marks'!CV69,IF($L$3=$AJ$15,'Statement of Marks'!EB69,IF($L$3=$AJ$16,'Statement of Marks'!EN69,IF($L$3=$AJ$17,('Statement of Marks'!FF69+'Statement of Marks'!FG69),"")))))))))),"")</f>
        <v/>
      </c>
      <c r="M70" s="810">
        <f t="shared" si="0"/>
        <v>0</v>
      </c>
      <c r="N70" s="809" t="str">
        <f>IFERROR(IF($L$3=$AJ$8,'Statement of Marks'!O69,IF($L$3=$AJ$9,'Statement of Marks'!AC69,IF($L$3=$AJ$10,'Statement of Marks'!AR69,IF($L$3=$AJ$11,'Statement of Marks'!BF69,IF($L$3=$AJ$12,'Statement of Marks'!BT69,IF($L$3=$AJ$13,'Statement of Marks'!CI69,IF($L$3=$AJ$14,('Statement of Marks'!CX69+'Statement of Marks'!CY69),IF($L$3=$AJ$15,'Statement of Marks'!ED69,IF($L$3=$AJ$16,('Statement of Marks'!EP69+'Statement of Marks'!EQ69),IF($L$3=$AJ$17,('Statement of Marks'!FI69+'Statement of Marks'!FJ69),IF($L$3=$AJ$18,'Statement of Marks'!FU69,IF($L$3=$AJ$19,'Statement of Marks'!GC69,"")))))))))))),"")</f>
        <v/>
      </c>
      <c r="O70" s="811">
        <f>IF($L$3=$AJ$18,'Statement of Marks'!FV69,IF($L$3=$AJ$19,'Statement of Marks'!GD69,IF(AND(M70="NA",N70="NA"),"NA",IF(AND(M70="",N70=""),"",SUM(M70,N70)))))</f>
        <v>0</v>
      </c>
      <c r="P70" s="809" t="str">
        <f>IFERROR(IF($L$3=$AJ$8,'Statement of Marks'!Q69,IF($L$3=$AJ$9,'Statement of Marks'!AE69,IF($L$3=$AJ$10,'Statement of Marks'!AT69,IF($L$3=$AJ$11,'Statement of Marks'!BH69,IF($L$3=$AJ$12,'Statement of Marks'!BV69,IF($L$3=$AJ$13,'Statement of Marks'!CK69,IF($L$3=$AJ$14,('Statement of Marks'!DB69+'Statement of Marks'!DC69),IF($L$3=$AJ$15,'Statement of Marks'!EF69,IF($L$3=$AJ$16,('Statement of Marks'!ET69+'Statement of Marks'!EU69),IF($L$3=$AJ$17,('Statement of Marks'!FM69+'Statement of Marks'!FN69),IF($L$3=$AJ$18,'Statement of Marks'!FW69,IF($L$3=$AJ$19,'Statement of Marks'!GE69,"")))))))))))),"")</f>
        <v/>
      </c>
      <c r="Q70" s="812" t="str">
        <f t="shared" si="3"/>
        <v/>
      </c>
      <c r="R70" s="813">
        <f t="shared" si="8"/>
        <v>0</v>
      </c>
      <c r="S70" s="813" t="str">
        <f t="shared" si="4"/>
        <v/>
      </c>
      <c r="T70" s="813" t="str">
        <f t="shared" si="5"/>
        <v/>
      </c>
      <c r="U70" s="814" t="str">
        <f t="shared" si="6"/>
        <v/>
      </c>
      <c r="V70" s="815" t="str">
        <f t="shared" si="7"/>
        <v/>
      </c>
      <c r="W70" s="816" t="str">
        <f t="shared" si="9"/>
        <v/>
      </c>
    </row>
    <row r="71" spans="1:23">
      <c r="A71" s="803">
        <f>IF('Statement of Marks'!A70="","",'Statement of Marks'!A70)</f>
        <v>64</v>
      </c>
      <c r="B71" s="804" t="str">
        <f>IF(OR($D$3="",$L$3=""),"",IF('Statement of Marks'!B70="","",'Statement of Marks'!B70))</f>
        <v/>
      </c>
      <c r="C71" s="805" t="str">
        <f>IF(OR($D$3="",$L$3=""),"",IF('Statement of Marks'!D70="","",'Statement of Marks'!D70))</f>
        <v/>
      </c>
      <c r="D71" s="806" t="str">
        <f>IF(OR($D$3="",$L$3=""),"",IF('Statement of Marks'!E70="","",'Statement of Marks'!E70))</f>
        <v/>
      </c>
      <c r="E71" s="807" t="str">
        <f>IF(OR($D$3="",$L$3=""),"",IF('Statement of Marks'!F70="","",'Statement of Marks'!F70))</f>
        <v/>
      </c>
      <c r="F71" s="807" t="str">
        <f>IF(OR($D$3="",$L$3=""),"",IF('Statement of Marks'!G70="","",'Statement of Marks'!G70))</f>
        <v/>
      </c>
      <c r="G71" s="807" t="str">
        <f>IF(OR($D$3="",$L$3=""),"",IF('Statement of Marks'!H70="","",'Statement of Marks'!H70))</f>
        <v/>
      </c>
      <c r="H71" s="808" t="str">
        <f>IF(OR($D$3="",$L$3=""),"",IF('Statement of Marks'!I70="","",'Statement of Marks'!I70))</f>
        <v/>
      </c>
      <c r="I71" s="808" t="str">
        <f>IF(OR($D$3="",$L$3=""),"",IF('Statement of Marks'!J70="","",'Statement of Marks'!J70))</f>
        <v/>
      </c>
      <c r="J71" s="809" t="str">
        <f>IFERROR(IF($L$3=$AJ$8,'Statement of Marks'!K70,IF($L$3=$AJ$9,'Statement of Marks'!Y70,IF($L$3=$AJ$10,'Statement of Marks'!AN70,IF($L$3=$AJ$11,'Statement of Marks'!BB70,IF($L$3=$AJ$12,'Statement of Marks'!BP70,IF($L$3=$AJ$13,'Statement of Marks'!CE70,IF($L$3=$AJ$14,'Statement of Marks'!CT70,IF($L$3=$AJ$15,'Statement of Marks'!DZ70,IF($L$3=$AJ$16,'Statement of Marks'!EL70,IF($L$3=$AJ$17,('Statement of Marks'!FB70+'Statement of Marks'!FC70),"")))))))))),"")</f>
        <v/>
      </c>
      <c r="K71" s="809" t="str">
        <f>IFERROR(IF($L$3=$AJ$8,'Statement of Marks'!L70,IF($L$3=$AJ$9,'Statement of Marks'!Z70,IF($L$3=$AJ$10,'Statement of Marks'!AO70,IF($L$3=$AJ$11,'Statement of Marks'!BC70,IF($L$3=$AJ$12,'Statement of Marks'!BQ70,IF($L$3=$AJ$13,'Statement of Marks'!CF70,IF($L$3=$AJ$14,'Statement of Marks'!CU70,IF($L$3=$AJ$15,'Statement of Marks'!EA70,IF($L$3=$AJ$16,'Statement of Marks'!EM70,IF($L$3=$AJ$17,('Statement of Marks'!FD70+'Statement of Marks'!FE70),"")))))))))),"")</f>
        <v/>
      </c>
      <c r="L71" s="809" t="str">
        <f>IFERROR(IF($L$3=$AJ$8,'Statement of Marks'!M70,IF($L$3=$AJ$9,'Statement of Marks'!AA70,IF($L$3=$AJ$10,'Statement of Marks'!AP70,IF($L$3=$AJ$11,'Statement of Marks'!BD70,IF($L$3=$AJ$12,'Statement of Marks'!BR70,IF($L$3=$AJ$13,'Statement of Marks'!CG70,IF($L$3=$AJ$14,'Statement of Marks'!CV70,IF($L$3=$AJ$15,'Statement of Marks'!EB70,IF($L$3=$AJ$16,'Statement of Marks'!EN70,IF($L$3=$AJ$17,('Statement of Marks'!FF70+'Statement of Marks'!FG70),"")))))))))),"")</f>
        <v/>
      </c>
      <c r="M71" s="810">
        <f t="shared" ref="M71:M134" si="10">IF(AND(J71="",K71="",L71="",$L$3=""),"",IF(OR($L$3=$AJ$18,$L$3=$AJ$19),"",SUM(J71:L71)))</f>
        <v>0</v>
      </c>
      <c r="N71" s="809" t="str">
        <f>IFERROR(IF($L$3=$AJ$8,'Statement of Marks'!O70,IF($L$3=$AJ$9,'Statement of Marks'!AC70,IF($L$3=$AJ$10,'Statement of Marks'!AR70,IF($L$3=$AJ$11,'Statement of Marks'!BF70,IF($L$3=$AJ$12,'Statement of Marks'!BT70,IF($L$3=$AJ$13,'Statement of Marks'!CI70,IF($L$3=$AJ$14,('Statement of Marks'!CX70+'Statement of Marks'!CY70),IF($L$3=$AJ$15,'Statement of Marks'!ED70,IF($L$3=$AJ$16,('Statement of Marks'!EP70+'Statement of Marks'!EQ70),IF($L$3=$AJ$17,('Statement of Marks'!FI70+'Statement of Marks'!FJ70),IF($L$3=$AJ$18,'Statement of Marks'!FU70,IF($L$3=$AJ$19,'Statement of Marks'!GC70,"")))))))))))),"")</f>
        <v/>
      </c>
      <c r="O71" s="811">
        <f>IF($L$3=$AJ$18,'Statement of Marks'!FV70,IF($L$3=$AJ$19,'Statement of Marks'!GD70,IF(AND(M71="NA",N71="NA"),"NA",IF(AND(M71="",N71=""),"",SUM(M71,N71)))))</f>
        <v>0</v>
      </c>
      <c r="P71" s="809" t="str">
        <f>IFERROR(IF($L$3=$AJ$8,'Statement of Marks'!Q70,IF($L$3=$AJ$9,'Statement of Marks'!AE70,IF($L$3=$AJ$10,'Statement of Marks'!AT70,IF($L$3=$AJ$11,'Statement of Marks'!BH70,IF($L$3=$AJ$12,'Statement of Marks'!BV70,IF($L$3=$AJ$13,'Statement of Marks'!CK70,IF($L$3=$AJ$14,('Statement of Marks'!DB70+'Statement of Marks'!DC70),IF($L$3=$AJ$15,'Statement of Marks'!EF70,IF($L$3=$AJ$16,('Statement of Marks'!ET70+'Statement of Marks'!EU70),IF($L$3=$AJ$17,('Statement of Marks'!FM70+'Statement of Marks'!FN70),IF($L$3=$AJ$18,'Statement of Marks'!FW70,IF($L$3=$AJ$19,'Statement of Marks'!GE70,"")))))))))))),"")</f>
        <v/>
      </c>
      <c r="Q71" s="812" t="str">
        <f t="shared" si="3"/>
        <v/>
      </c>
      <c r="R71" s="813">
        <f t="shared" si="8"/>
        <v>0</v>
      </c>
      <c r="S71" s="813" t="str">
        <f t="shared" si="4"/>
        <v/>
      </c>
      <c r="T71" s="813" t="str">
        <f t="shared" si="5"/>
        <v/>
      </c>
      <c r="U71" s="814" t="str">
        <f t="shared" si="6"/>
        <v/>
      </c>
      <c r="V71" s="815" t="str">
        <f t="shared" si="7"/>
        <v/>
      </c>
      <c r="W71" s="816" t="str">
        <f t="shared" si="9"/>
        <v/>
      </c>
    </row>
    <row r="72" spans="1:23">
      <c r="A72" s="803">
        <f>IF('Statement of Marks'!A71="","",'Statement of Marks'!A71)</f>
        <v>65</v>
      </c>
      <c r="B72" s="804" t="str">
        <f>IF(OR($D$3="",$L$3=""),"",IF('Statement of Marks'!B71="","",'Statement of Marks'!B71))</f>
        <v/>
      </c>
      <c r="C72" s="805" t="str">
        <f>IF(OR($D$3="",$L$3=""),"",IF('Statement of Marks'!D71="","",'Statement of Marks'!D71))</f>
        <v/>
      </c>
      <c r="D72" s="806" t="str">
        <f>IF(OR($D$3="",$L$3=""),"",IF('Statement of Marks'!E71="","",'Statement of Marks'!E71))</f>
        <v/>
      </c>
      <c r="E72" s="807" t="str">
        <f>IF(OR($D$3="",$L$3=""),"",IF('Statement of Marks'!F71="","",'Statement of Marks'!F71))</f>
        <v/>
      </c>
      <c r="F72" s="807" t="str">
        <f>IF(OR($D$3="",$L$3=""),"",IF('Statement of Marks'!G71="","",'Statement of Marks'!G71))</f>
        <v/>
      </c>
      <c r="G72" s="807" t="str">
        <f>IF(OR($D$3="",$L$3=""),"",IF('Statement of Marks'!H71="","",'Statement of Marks'!H71))</f>
        <v/>
      </c>
      <c r="H72" s="808" t="str">
        <f>IF(OR($D$3="",$L$3=""),"",IF('Statement of Marks'!I71="","",'Statement of Marks'!I71))</f>
        <v/>
      </c>
      <c r="I72" s="808" t="str">
        <f>IF(OR($D$3="",$L$3=""),"",IF('Statement of Marks'!J71="","",'Statement of Marks'!J71))</f>
        <v/>
      </c>
      <c r="J72" s="809" t="str">
        <f>IFERROR(IF($L$3=$AJ$8,'Statement of Marks'!K71,IF($L$3=$AJ$9,'Statement of Marks'!Y71,IF($L$3=$AJ$10,'Statement of Marks'!AN71,IF($L$3=$AJ$11,'Statement of Marks'!BB71,IF($L$3=$AJ$12,'Statement of Marks'!BP71,IF($L$3=$AJ$13,'Statement of Marks'!CE71,IF($L$3=$AJ$14,'Statement of Marks'!CT71,IF($L$3=$AJ$15,'Statement of Marks'!DZ71,IF($L$3=$AJ$16,'Statement of Marks'!EL71,IF($L$3=$AJ$17,('Statement of Marks'!FB71+'Statement of Marks'!FC71),"")))))))))),"")</f>
        <v/>
      </c>
      <c r="K72" s="809" t="str">
        <f>IFERROR(IF($L$3=$AJ$8,'Statement of Marks'!L71,IF($L$3=$AJ$9,'Statement of Marks'!Z71,IF($L$3=$AJ$10,'Statement of Marks'!AO71,IF($L$3=$AJ$11,'Statement of Marks'!BC71,IF($L$3=$AJ$12,'Statement of Marks'!BQ71,IF($L$3=$AJ$13,'Statement of Marks'!CF71,IF($L$3=$AJ$14,'Statement of Marks'!CU71,IF($L$3=$AJ$15,'Statement of Marks'!EA71,IF($L$3=$AJ$16,'Statement of Marks'!EM71,IF($L$3=$AJ$17,('Statement of Marks'!FD71+'Statement of Marks'!FE71),"")))))))))),"")</f>
        <v/>
      </c>
      <c r="L72" s="809" t="str">
        <f>IFERROR(IF($L$3=$AJ$8,'Statement of Marks'!M71,IF($L$3=$AJ$9,'Statement of Marks'!AA71,IF($L$3=$AJ$10,'Statement of Marks'!AP71,IF($L$3=$AJ$11,'Statement of Marks'!BD71,IF($L$3=$AJ$12,'Statement of Marks'!BR71,IF($L$3=$AJ$13,'Statement of Marks'!CG71,IF($L$3=$AJ$14,'Statement of Marks'!CV71,IF($L$3=$AJ$15,'Statement of Marks'!EB71,IF($L$3=$AJ$16,'Statement of Marks'!EN71,IF($L$3=$AJ$17,('Statement of Marks'!FF71+'Statement of Marks'!FG71),"")))))))))),"")</f>
        <v/>
      </c>
      <c r="M72" s="810">
        <f t="shared" si="10"/>
        <v>0</v>
      </c>
      <c r="N72" s="809" t="str">
        <f>IFERROR(IF($L$3=$AJ$8,'Statement of Marks'!O71,IF($L$3=$AJ$9,'Statement of Marks'!AC71,IF($L$3=$AJ$10,'Statement of Marks'!AR71,IF($L$3=$AJ$11,'Statement of Marks'!BF71,IF($L$3=$AJ$12,'Statement of Marks'!BT71,IF($L$3=$AJ$13,'Statement of Marks'!CI71,IF($L$3=$AJ$14,('Statement of Marks'!CX71+'Statement of Marks'!CY71),IF($L$3=$AJ$15,'Statement of Marks'!ED71,IF($L$3=$AJ$16,('Statement of Marks'!EP71+'Statement of Marks'!EQ71),IF($L$3=$AJ$17,('Statement of Marks'!FI71+'Statement of Marks'!FJ71),IF($L$3=$AJ$18,'Statement of Marks'!FU71,IF($L$3=$AJ$19,'Statement of Marks'!GC71,"")))))))))))),"")</f>
        <v/>
      </c>
      <c r="O72" s="811">
        <f>IF($L$3=$AJ$18,'Statement of Marks'!FV71,IF($L$3=$AJ$19,'Statement of Marks'!GD71,IF(AND(M72="NA",N72="NA"),"NA",IF(AND(M72="",N72=""),"",SUM(M72,N72)))))</f>
        <v>0</v>
      </c>
      <c r="P72" s="809" t="str">
        <f>IFERROR(IF($L$3=$AJ$8,'Statement of Marks'!Q71,IF($L$3=$AJ$9,'Statement of Marks'!AE71,IF($L$3=$AJ$10,'Statement of Marks'!AT71,IF($L$3=$AJ$11,'Statement of Marks'!BH71,IF($L$3=$AJ$12,'Statement of Marks'!BV71,IF($L$3=$AJ$13,'Statement of Marks'!CK71,IF($L$3=$AJ$14,('Statement of Marks'!DB71+'Statement of Marks'!DC71),IF($L$3=$AJ$15,'Statement of Marks'!EF71,IF($L$3=$AJ$16,('Statement of Marks'!ET71+'Statement of Marks'!EU71),IF($L$3=$AJ$17,('Statement of Marks'!FM71+'Statement of Marks'!FN71),IF($L$3=$AJ$18,'Statement of Marks'!FW71,IF($L$3=$AJ$19,'Statement of Marks'!GE71,"")))))))))))),"")</f>
        <v/>
      </c>
      <c r="Q72" s="812" t="str">
        <f t="shared" si="3"/>
        <v/>
      </c>
      <c r="R72" s="813">
        <f t="shared" ref="R72:R103" si="11">IFERROR(IF($L$3="","",IF(OR($L$3=$AJ$18,$L$3=$AJ$19),COUNTIF(J72:L72,"NA")*$J$7+(COUNTIF(J72:L72,"ML")*$J$7)+(COUNTIF(O72,"ML")*$O$7)+(COUNTIF(N72,"ML")*$N$8)+(COUNTIF(P72,"ML")*$P$7),COUNTIF(N72,"NA")*$N$7+(COUNTIF(J72:L72,"ML")*$J$7)+(COUNTIF(N72,"ML")*$N$7)+(COUNTIF(P72,"ML")*$P$7))),0)</f>
        <v>0</v>
      </c>
      <c r="S72" s="813" t="str">
        <f t="shared" si="4"/>
        <v/>
      </c>
      <c r="T72" s="813" t="str">
        <f t="shared" si="5"/>
        <v/>
      </c>
      <c r="U72" s="814" t="str">
        <f t="shared" si="6"/>
        <v/>
      </c>
      <c r="V72" s="815" t="str">
        <f t="shared" si="7"/>
        <v/>
      </c>
      <c r="W72" s="816" t="str">
        <f t="shared" ref="W72:W103" si="12">IF(Q72="","",IF(OR(U72="",U72=0,U72="RE",U72="AB",B72="NSO"),"",IF(Q72&gt;85%*S72,"A",IF(Q72&gt;70%*S72,"B",IF(Q72&gt;=50%*S72,"C",IF(Q72&gt;=30%*S72,"D","E"))))))</f>
        <v/>
      </c>
    </row>
    <row r="73" spans="1:23">
      <c r="A73" s="803">
        <f>IF('Statement of Marks'!A72="","",'Statement of Marks'!A72)</f>
        <v>66</v>
      </c>
      <c r="B73" s="804" t="str">
        <f>IF(OR($D$3="",$L$3=""),"",IF('Statement of Marks'!B72="","",'Statement of Marks'!B72))</f>
        <v/>
      </c>
      <c r="C73" s="805" t="str">
        <f>IF(OR($D$3="",$L$3=""),"",IF('Statement of Marks'!D72="","",'Statement of Marks'!D72))</f>
        <v/>
      </c>
      <c r="D73" s="806" t="str">
        <f>IF(OR($D$3="",$L$3=""),"",IF('Statement of Marks'!E72="","",'Statement of Marks'!E72))</f>
        <v/>
      </c>
      <c r="E73" s="807" t="str">
        <f>IF(OR($D$3="",$L$3=""),"",IF('Statement of Marks'!F72="","",'Statement of Marks'!F72))</f>
        <v/>
      </c>
      <c r="F73" s="807" t="str">
        <f>IF(OR($D$3="",$L$3=""),"",IF('Statement of Marks'!G72="","",'Statement of Marks'!G72))</f>
        <v/>
      </c>
      <c r="G73" s="807" t="str">
        <f>IF(OR($D$3="",$L$3=""),"",IF('Statement of Marks'!H72="","",'Statement of Marks'!H72))</f>
        <v/>
      </c>
      <c r="H73" s="808" t="str">
        <f>IF(OR($D$3="",$L$3=""),"",IF('Statement of Marks'!I72="","",'Statement of Marks'!I72))</f>
        <v/>
      </c>
      <c r="I73" s="808" t="str">
        <f>IF(OR($D$3="",$L$3=""),"",IF('Statement of Marks'!J72="","",'Statement of Marks'!J72))</f>
        <v/>
      </c>
      <c r="J73" s="809" t="str">
        <f>IFERROR(IF($L$3=$AJ$8,'Statement of Marks'!K72,IF($L$3=$AJ$9,'Statement of Marks'!Y72,IF($L$3=$AJ$10,'Statement of Marks'!AN72,IF($L$3=$AJ$11,'Statement of Marks'!BB72,IF($L$3=$AJ$12,'Statement of Marks'!BP72,IF($L$3=$AJ$13,'Statement of Marks'!CE72,IF($L$3=$AJ$14,'Statement of Marks'!CT72,IF($L$3=$AJ$15,'Statement of Marks'!DZ72,IF($L$3=$AJ$16,'Statement of Marks'!EL72,IF($L$3=$AJ$17,('Statement of Marks'!FB72+'Statement of Marks'!FC72),"")))))))))),"")</f>
        <v/>
      </c>
      <c r="K73" s="809" t="str">
        <f>IFERROR(IF($L$3=$AJ$8,'Statement of Marks'!L72,IF($L$3=$AJ$9,'Statement of Marks'!Z72,IF($L$3=$AJ$10,'Statement of Marks'!AO72,IF($L$3=$AJ$11,'Statement of Marks'!BC72,IF($L$3=$AJ$12,'Statement of Marks'!BQ72,IF($L$3=$AJ$13,'Statement of Marks'!CF72,IF($L$3=$AJ$14,'Statement of Marks'!CU72,IF($L$3=$AJ$15,'Statement of Marks'!EA72,IF($L$3=$AJ$16,'Statement of Marks'!EM72,IF($L$3=$AJ$17,('Statement of Marks'!FD72+'Statement of Marks'!FE72),"")))))))))),"")</f>
        <v/>
      </c>
      <c r="L73" s="809" t="str">
        <f>IFERROR(IF($L$3=$AJ$8,'Statement of Marks'!M72,IF($L$3=$AJ$9,'Statement of Marks'!AA72,IF($L$3=$AJ$10,'Statement of Marks'!AP72,IF($L$3=$AJ$11,'Statement of Marks'!BD72,IF($L$3=$AJ$12,'Statement of Marks'!BR72,IF($L$3=$AJ$13,'Statement of Marks'!CG72,IF($L$3=$AJ$14,'Statement of Marks'!CV72,IF($L$3=$AJ$15,'Statement of Marks'!EB72,IF($L$3=$AJ$16,'Statement of Marks'!EN72,IF($L$3=$AJ$17,('Statement of Marks'!FF72+'Statement of Marks'!FG72),"")))))))))),"")</f>
        <v/>
      </c>
      <c r="M73" s="810">
        <f t="shared" si="10"/>
        <v>0</v>
      </c>
      <c r="N73" s="809" t="str">
        <f>IFERROR(IF($L$3=$AJ$8,'Statement of Marks'!O72,IF($L$3=$AJ$9,'Statement of Marks'!AC72,IF($L$3=$AJ$10,'Statement of Marks'!AR72,IF($L$3=$AJ$11,'Statement of Marks'!BF72,IF($L$3=$AJ$12,'Statement of Marks'!BT72,IF($L$3=$AJ$13,'Statement of Marks'!CI72,IF($L$3=$AJ$14,('Statement of Marks'!CX72+'Statement of Marks'!CY72),IF($L$3=$AJ$15,'Statement of Marks'!ED72,IF($L$3=$AJ$16,('Statement of Marks'!EP72+'Statement of Marks'!EQ72),IF($L$3=$AJ$17,('Statement of Marks'!FI72+'Statement of Marks'!FJ72),IF($L$3=$AJ$18,'Statement of Marks'!FU72,IF($L$3=$AJ$19,'Statement of Marks'!GC72,"")))))))))))),"")</f>
        <v/>
      </c>
      <c r="O73" s="811">
        <f>IF($L$3=$AJ$18,'Statement of Marks'!FV72,IF($L$3=$AJ$19,'Statement of Marks'!GD72,IF(AND(M73="NA",N73="NA"),"NA",IF(AND(M73="",N73=""),"",SUM(M73,N73)))))</f>
        <v>0</v>
      </c>
      <c r="P73" s="809" t="str">
        <f>IFERROR(IF($L$3=$AJ$8,'Statement of Marks'!Q72,IF($L$3=$AJ$9,'Statement of Marks'!AE72,IF($L$3=$AJ$10,'Statement of Marks'!AT72,IF($L$3=$AJ$11,'Statement of Marks'!BH72,IF($L$3=$AJ$12,'Statement of Marks'!BV72,IF($L$3=$AJ$13,'Statement of Marks'!CK72,IF($L$3=$AJ$14,('Statement of Marks'!DB72+'Statement of Marks'!DC72),IF($L$3=$AJ$15,'Statement of Marks'!EF72,IF($L$3=$AJ$16,('Statement of Marks'!ET72+'Statement of Marks'!EU72),IF($L$3=$AJ$17,('Statement of Marks'!FM72+'Statement of Marks'!FN72),IF($L$3=$AJ$18,'Statement of Marks'!FW72,IF($L$3=$AJ$19,'Statement of Marks'!GE72,"")))))))))))),"")</f>
        <v/>
      </c>
      <c r="Q73" s="812" t="str">
        <f t="shared" ref="Q73:Q136" si="13">IF(O73="","",IF(B73="","",IF(OR($L$3=$AJ$18,$L$3=$AJ$19),SUM(N73,O73,P73),SUM(O73,P73))))</f>
        <v/>
      </c>
      <c r="R73" s="813">
        <f t="shared" si="11"/>
        <v>0</v>
      </c>
      <c r="S73" s="813" t="str">
        <f t="shared" ref="S73:S136" si="14">IF(OR(B73="NSO",B73=0,B73=""),"",IF(OR(B73="NSO",B73=0,B73="",Q73=""),"",IF(OR($L$3=$AJ$8,$L$3=$AJ$9,$L$3=$AJ$10,$L$3=$AJ$11,$L$3=$AJ$12,$L$3=$AJ$13,$L$3=$AJ$14,$L$3=$AJ$15,$L$3=$AJ$16,$L$3=$AJ$17),IF(AND(J73="NA",L73="NA",K73="NA"),$M$7-R73,IF(AND(N73="ML"),$N$7-R73,IF(AND(P73="ML"),$P$7-R73,$Q$7-R73))),IF(AND(N73="NA"),$N$7-R73,IF(AND(O73="ML"),$O$7-R73,IF(AND(P73="ML"),$P$7-R73,$Q$7-R73))))))</f>
        <v/>
      </c>
      <c r="T73" s="813" t="str">
        <f t="shared" ref="T73:T136" si="15">IF(AND(OR(J73="ab",J73="ml"),OR(K73="ab",K73="ml"),OR(N73="ab",N73="ml"),OR(M73="ab",M73="ml"),OR(O73="ab",O73="ml")),"AB",IF(AND(OR(K73="ab",K73="ml"),OR(L73="ab",L73="ml"),OR(M73="ab",M73="ml"),OR(N73="ab",N73="ml")),"AB",IF(AND(OR(L73="ab",L73="ml"),OR(J73="ab",J73="ml"),OR(N73="ab",N73="ml"),OR(M73="ab",N73="ml")),"AB",IF(AND(OR(N73="ab",N73="ml"),OR(L73="ab",L73="ml"),OR(P73="ab",P73="ml"),OR(O73="ab",O73="ml"),OR(P73="ab",P73="ml")),"AB",IF(AND(OR(N73="ab",N73="ml"),OR(K73="ab",K73="ml"),OR(P73="ab",P73="ml"),OR(O73="ab",O73="ml"),OR(P73="ab",P73="ml")),"AB","")))))</f>
        <v/>
      </c>
      <c r="U73" s="814" t="str">
        <f t="shared" ref="U73:U136" si="16">IF(OR(B73="",$L$3=""),"",IF(Q73=0,"",IF(Q73="","",IF(B73="NSO","NSO",IF(OR(T73="AB",P73="ab"),"AB",IF(P73="ML","RE",IF(Q73="ML","RE",IF(AND(Q73&gt;=36%*S73,P73&gt;=$P$7*20%),"P",IF(AND(Q73&gt;=34%*S73,P73&gt;=$P$7*20%),"G",IF(AND(Q73&gt;=31%*S73,P73&gt;=$P$7*20%),"G",IF(AND(Q73&gt;=25%*S73,P73&gt;=$P$7*20%),"S","F")))))))))))</f>
        <v/>
      </c>
      <c r="V73" s="815" t="str">
        <f t="shared" ref="V73:V136" si="17">IF(OR(U73="",U73=0,U73="S",U73="RE",U73="F",U73="AB",B73="NSO"),"",IF(U73="G","G",IF(Q73&gt;=75%*S73,"I",IF(Q73&gt;=60%*S73,"I",IF(Q73&gt;=48%*S73,"II",IF(Q73&gt;=36%*S73,"III",""))))))</f>
        <v/>
      </c>
      <c r="W73" s="816" t="str">
        <f t="shared" si="12"/>
        <v/>
      </c>
    </row>
    <row r="74" spans="1:23">
      <c r="A74" s="803">
        <f>IF('Statement of Marks'!A73="","",'Statement of Marks'!A73)</f>
        <v>67</v>
      </c>
      <c r="B74" s="804" t="str">
        <f>IF(OR($D$3="",$L$3=""),"",IF('Statement of Marks'!B73="","",'Statement of Marks'!B73))</f>
        <v/>
      </c>
      <c r="C74" s="805" t="str">
        <f>IF(OR($D$3="",$L$3=""),"",IF('Statement of Marks'!D73="","",'Statement of Marks'!D73))</f>
        <v/>
      </c>
      <c r="D74" s="806" t="str">
        <f>IF(OR($D$3="",$L$3=""),"",IF('Statement of Marks'!E73="","",'Statement of Marks'!E73))</f>
        <v/>
      </c>
      <c r="E74" s="807" t="str">
        <f>IF(OR($D$3="",$L$3=""),"",IF('Statement of Marks'!F73="","",'Statement of Marks'!F73))</f>
        <v/>
      </c>
      <c r="F74" s="807" t="str">
        <f>IF(OR($D$3="",$L$3=""),"",IF('Statement of Marks'!G73="","",'Statement of Marks'!G73))</f>
        <v/>
      </c>
      <c r="G74" s="807" t="str">
        <f>IF(OR($D$3="",$L$3=""),"",IF('Statement of Marks'!H73="","",'Statement of Marks'!H73))</f>
        <v/>
      </c>
      <c r="H74" s="808" t="str">
        <f>IF(OR($D$3="",$L$3=""),"",IF('Statement of Marks'!I73="","",'Statement of Marks'!I73))</f>
        <v/>
      </c>
      <c r="I74" s="808" t="str">
        <f>IF(OR($D$3="",$L$3=""),"",IF('Statement of Marks'!J73="","",'Statement of Marks'!J73))</f>
        <v/>
      </c>
      <c r="J74" s="809" t="str">
        <f>IFERROR(IF($L$3=$AJ$8,'Statement of Marks'!K73,IF($L$3=$AJ$9,'Statement of Marks'!Y73,IF($L$3=$AJ$10,'Statement of Marks'!AN73,IF($L$3=$AJ$11,'Statement of Marks'!BB73,IF($L$3=$AJ$12,'Statement of Marks'!BP73,IF($L$3=$AJ$13,'Statement of Marks'!CE73,IF($L$3=$AJ$14,'Statement of Marks'!CT73,IF($L$3=$AJ$15,'Statement of Marks'!DZ73,IF($L$3=$AJ$16,'Statement of Marks'!EL73,IF($L$3=$AJ$17,('Statement of Marks'!FB73+'Statement of Marks'!FC73),"")))))))))),"")</f>
        <v/>
      </c>
      <c r="K74" s="809" t="str">
        <f>IFERROR(IF($L$3=$AJ$8,'Statement of Marks'!L73,IF($L$3=$AJ$9,'Statement of Marks'!Z73,IF($L$3=$AJ$10,'Statement of Marks'!AO73,IF($L$3=$AJ$11,'Statement of Marks'!BC73,IF($L$3=$AJ$12,'Statement of Marks'!BQ73,IF($L$3=$AJ$13,'Statement of Marks'!CF73,IF($L$3=$AJ$14,'Statement of Marks'!CU73,IF($L$3=$AJ$15,'Statement of Marks'!EA73,IF($L$3=$AJ$16,'Statement of Marks'!EM73,IF($L$3=$AJ$17,('Statement of Marks'!FD73+'Statement of Marks'!FE73),"")))))))))),"")</f>
        <v/>
      </c>
      <c r="L74" s="809" t="str">
        <f>IFERROR(IF($L$3=$AJ$8,'Statement of Marks'!M73,IF($L$3=$AJ$9,'Statement of Marks'!AA73,IF($L$3=$AJ$10,'Statement of Marks'!AP73,IF($L$3=$AJ$11,'Statement of Marks'!BD73,IF($L$3=$AJ$12,'Statement of Marks'!BR73,IF($L$3=$AJ$13,'Statement of Marks'!CG73,IF($L$3=$AJ$14,'Statement of Marks'!CV73,IF($L$3=$AJ$15,'Statement of Marks'!EB73,IF($L$3=$AJ$16,'Statement of Marks'!EN73,IF($L$3=$AJ$17,('Statement of Marks'!FF73+'Statement of Marks'!FG73),"")))))))))),"")</f>
        <v/>
      </c>
      <c r="M74" s="810">
        <f t="shared" si="10"/>
        <v>0</v>
      </c>
      <c r="N74" s="809" t="str">
        <f>IFERROR(IF($L$3=$AJ$8,'Statement of Marks'!O73,IF($L$3=$AJ$9,'Statement of Marks'!AC73,IF($L$3=$AJ$10,'Statement of Marks'!AR73,IF($L$3=$AJ$11,'Statement of Marks'!BF73,IF($L$3=$AJ$12,'Statement of Marks'!BT73,IF($L$3=$AJ$13,'Statement of Marks'!CI73,IF($L$3=$AJ$14,('Statement of Marks'!CX73+'Statement of Marks'!CY73),IF($L$3=$AJ$15,'Statement of Marks'!ED73,IF($L$3=$AJ$16,('Statement of Marks'!EP73+'Statement of Marks'!EQ73),IF($L$3=$AJ$17,('Statement of Marks'!FI73+'Statement of Marks'!FJ73),IF($L$3=$AJ$18,'Statement of Marks'!FU73,IF($L$3=$AJ$19,'Statement of Marks'!GC73,"")))))))))))),"")</f>
        <v/>
      </c>
      <c r="O74" s="811">
        <f>IF($L$3=$AJ$18,'Statement of Marks'!FV73,IF($L$3=$AJ$19,'Statement of Marks'!GD73,IF(AND(M74="NA",N74="NA"),"NA",IF(AND(M74="",N74=""),"",SUM(M74,N74)))))</f>
        <v>0</v>
      </c>
      <c r="P74" s="809" t="str">
        <f>IFERROR(IF($L$3=$AJ$8,'Statement of Marks'!Q73,IF($L$3=$AJ$9,'Statement of Marks'!AE73,IF($L$3=$AJ$10,'Statement of Marks'!AT73,IF($L$3=$AJ$11,'Statement of Marks'!BH73,IF($L$3=$AJ$12,'Statement of Marks'!BV73,IF($L$3=$AJ$13,'Statement of Marks'!CK73,IF($L$3=$AJ$14,('Statement of Marks'!DB73+'Statement of Marks'!DC73),IF($L$3=$AJ$15,'Statement of Marks'!EF73,IF($L$3=$AJ$16,('Statement of Marks'!ET73+'Statement of Marks'!EU73),IF($L$3=$AJ$17,('Statement of Marks'!FM73+'Statement of Marks'!FN73),IF($L$3=$AJ$18,'Statement of Marks'!FW73,IF($L$3=$AJ$19,'Statement of Marks'!GE73,"")))))))))))),"")</f>
        <v/>
      </c>
      <c r="Q74" s="812" t="str">
        <f t="shared" si="13"/>
        <v/>
      </c>
      <c r="R74" s="813">
        <f t="shared" si="11"/>
        <v>0</v>
      </c>
      <c r="S74" s="813" t="str">
        <f t="shared" si="14"/>
        <v/>
      </c>
      <c r="T74" s="813" t="str">
        <f t="shared" si="15"/>
        <v/>
      </c>
      <c r="U74" s="814" t="str">
        <f t="shared" si="16"/>
        <v/>
      </c>
      <c r="V74" s="815" t="str">
        <f t="shared" si="17"/>
        <v/>
      </c>
      <c r="W74" s="816" t="str">
        <f t="shared" si="12"/>
        <v/>
      </c>
    </row>
    <row r="75" spans="1:23">
      <c r="A75" s="803">
        <f>IF('Statement of Marks'!A74="","",'Statement of Marks'!A74)</f>
        <v>68</v>
      </c>
      <c r="B75" s="804" t="str">
        <f>IF(OR($D$3="",$L$3=""),"",IF('Statement of Marks'!B74="","",'Statement of Marks'!B74))</f>
        <v/>
      </c>
      <c r="C75" s="805" t="str">
        <f>IF(OR($D$3="",$L$3=""),"",IF('Statement of Marks'!D74="","",'Statement of Marks'!D74))</f>
        <v/>
      </c>
      <c r="D75" s="806" t="str">
        <f>IF(OR($D$3="",$L$3=""),"",IF('Statement of Marks'!E74="","",'Statement of Marks'!E74))</f>
        <v/>
      </c>
      <c r="E75" s="807" t="str">
        <f>IF(OR($D$3="",$L$3=""),"",IF('Statement of Marks'!F74="","",'Statement of Marks'!F74))</f>
        <v/>
      </c>
      <c r="F75" s="807" t="str">
        <f>IF(OR($D$3="",$L$3=""),"",IF('Statement of Marks'!G74="","",'Statement of Marks'!G74))</f>
        <v/>
      </c>
      <c r="G75" s="807" t="str">
        <f>IF(OR($D$3="",$L$3=""),"",IF('Statement of Marks'!H74="","",'Statement of Marks'!H74))</f>
        <v/>
      </c>
      <c r="H75" s="808" t="str">
        <f>IF(OR($D$3="",$L$3=""),"",IF('Statement of Marks'!I74="","",'Statement of Marks'!I74))</f>
        <v/>
      </c>
      <c r="I75" s="808" t="str">
        <f>IF(OR($D$3="",$L$3=""),"",IF('Statement of Marks'!J74="","",'Statement of Marks'!J74))</f>
        <v/>
      </c>
      <c r="J75" s="809" t="str">
        <f>IFERROR(IF($L$3=$AJ$8,'Statement of Marks'!K74,IF($L$3=$AJ$9,'Statement of Marks'!Y74,IF($L$3=$AJ$10,'Statement of Marks'!AN74,IF($L$3=$AJ$11,'Statement of Marks'!BB74,IF($L$3=$AJ$12,'Statement of Marks'!BP74,IF($L$3=$AJ$13,'Statement of Marks'!CE74,IF($L$3=$AJ$14,'Statement of Marks'!CT74,IF($L$3=$AJ$15,'Statement of Marks'!DZ74,IF($L$3=$AJ$16,'Statement of Marks'!EL74,IF($L$3=$AJ$17,('Statement of Marks'!FB74+'Statement of Marks'!FC74),"")))))))))),"")</f>
        <v/>
      </c>
      <c r="K75" s="809" t="str">
        <f>IFERROR(IF($L$3=$AJ$8,'Statement of Marks'!L74,IF($L$3=$AJ$9,'Statement of Marks'!Z74,IF($L$3=$AJ$10,'Statement of Marks'!AO74,IF($L$3=$AJ$11,'Statement of Marks'!BC74,IF($L$3=$AJ$12,'Statement of Marks'!BQ74,IF($L$3=$AJ$13,'Statement of Marks'!CF74,IF($L$3=$AJ$14,'Statement of Marks'!CU74,IF($L$3=$AJ$15,'Statement of Marks'!EA74,IF($L$3=$AJ$16,'Statement of Marks'!EM74,IF($L$3=$AJ$17,('Statement of Marks'!FD74+'Statement of Marks'!FE74),"")))))))))),"")</f>
        <v/>
      </c>
      <c r="L75" s="809" t="str">
        <f>IFERROR(IF($L$3=$AJ$8,'Statement of Marks'!M74,IF($L$3=$AJ$9,'Statement of Marks'!AA74,IF($L$3=$AJ$10,'Statement of Marks'!AP74,IF($L$3=$AJ$11,'Statement of Marks'!BD74,IF($L$3=$AJ$12,'Statement of Marks'!BR74,IF($L$3=$AJ$13,'Statement of Marks'!CG74,IF($L$3=$AJ$14,'Statement of Marks'!CV74,IF($L$3=$AJ$15,'Statement of Marks'!EB74,IF($L$3=$AJ$16,'Statement of Marks'!EN74,IF($L$3=$AJ$17,('Statement of Marks'!FF74+'Statement of Marks'!FG74),"")))))))))),"")</f>
        <v/>
      </c>
      <c r="M75" s="810">
        <f t="shared" si="10"/>
        <v>0</v>
      </c>
      <c r="N75" s="809" t="str">
        <f>IFERROR(IF($L$3=$AJ$8,'Statement of Marks'!O74,IF($L$3=$AJ$9,'Statement of Marks'!AC74,IF($L$3=$AJ$10,'Statement of Marks'!AR74,IF($L$3=$AJ$11,'Statement of Marks'!BF74,IF($L$3=$AJ$12,'Statement of Marks'!BT74,IF($L$3=$AJ$13,'Statement of Marks'!CI74,IF($L$3=$AJ$14,('Statement of Marks'!CX74+'Statement of Marks'!CY74),IF($L$3=$AJ$15,'Statement of Marks'!ED74,IF($L$3=$AJ$16,('Statement of Marks'!EP74+'Statement of Marks'!EQ74),IF($L$3=$AJ$17,('Statement of Marks'!FI74+'Statement of Marks'!FJ74),IF($L$3=$AJ$18,'Statement of Marks'!FU74,IF($L$3=$AJ$19,'Statement of Marks'!GC74,"")))))))))))),"")</f>
        <v/>
      </c>
      <c r="O75" s="811">
        <f>IF($L$3=$AJ$18,'Statement of Marks'!FV74,IF($L$3=$AJ$19,'Statement of Marks'!GD74,IF(AND(M75="NA",N75="NA"),"NA",IF(AND(M75="",N75=""),"",SUM(M75,N75)))))</f>
        <v>0</v>
      </c>
      <c r="P75" s="809" t="str">
        <f>IFERROR(IF($L$3=$AJ$8,'Statement of Marks'!Q74,IF($L$3=$AJ$9,'Statement of Marks'!AE74,IF($L$3=$AJ$10,'Statement of Marks'!AT74,IF($L$3=$AJ$11,'Statement of Marks'!BH74,IF($L$3=$AJ$12,'Statement of Marks'!BV74,IF($L$3=$AJ$13,'Statement of Marks'!CK74,IF($L$3=$AJ$14,('Statement of Marks'!DB74+'Statement of Marks'!DC74),IF($L$3=$AJ$15,'Statement of Marks'!EF74,IF($L$3=$AJ$16,('Statement of Marks'!ET74+'Statement of Marks'!EU74),IF($L$3=$AJ$17,('Statement of Marks'!FM74+'Statement of Marks'!FN74),IF($L$3=$AJ$18,'Statement of Marks'!FW74,IF($L$3=$AJ$19,'Statement of Marks'!GE74,"")))))))))))),"")</f>
        <v/>
      </c>
      <c r="Q75" s="812" t="str">
        <f t="shared" si="13"/>
        <v/>
      </c>
      <c r="R75" s="813">
        <f t="shared" si="11"/>
        <v>0</v>
      </c>
      <c r="S75" s="813" t="str">
        <f t="shared" si="14"/>
        <v/>
      </c>
      <c r="T75" s="813" t="str">
        <f t="shared" si="15"/>
        <v/>
      </c>
      <c r="U75" s="814" t="str">
        <f t="shared" si="16"/>
        <v/>
      </c>
      <c r="V75" s="815" t="str">
        <f t="shared" si="17"/>
        <v/>
      </c>
      <c r="W75" s="816" t="str">
        <f t="shared" si="12"/>
        <v/>
      </c>
    </row>
    <row r="76" spans="1:23">
      <c r="A76" s="803">
        <f>IF('Statement of Marks'!A75="","",'Statement of Marks'!A75)</f>
        <v>69</v>
      </c>
      <c r="B76" s="804" t="str">
        <f>IF(OR($D$3="",$L$3=""),"",IF('Statement of Marks'!B75="","",'Statement of Marks'!B75))</f>
        <v/>
      </c>
      <c r="C76" s="805" t="str">
        <f>IF(OR($D$3="",$L$3=""),"",IF('Statement of Marks'!D75="","",'Statement of Marks'!D75))</f>
        <v/>
      </c>
      <c r="D76" s="806" t="str">
        <f>IF(OR($D$3="",$L$3=""),"",IF('Statement of Marks'!E75="","",'Statement of Marks'!E75))</f>
        <v/>
      </c>
      <c r="E76" s="807" t="str">
        <f>IF(OR($D$3="",$L$3=""),"",IF('Statement of Marks'!F75="","",'Statement of Marks'!F75))</f>
        <v/>
      </c>
      <c r="F76" s="807" t="str">
        <f>IF(OR($D$3="",$L$3=""),"",IF('Statement of Marks'!G75="","",'Statement of Marks'!G75))</f>
        <v/>
      </c>
      <c r="G76" s="807" t="str">
        <f>IF(OR($D$3="",$L$3=""),"",IF('Statement of Marks'!H75="","",'Statement of Marks'!H75))</f>
        <v/>
      </c>
      <c r="H76" s="808" t="str">
        <f>IF(OR($D$3="",$L$3=""),"",IF('Statement of Marks'!I75="","",'Statement of Marks'!I75))</f>
        <v/>
      </c>
      <c r="I76" s="808" t="str">
        <f>IF(OR($D$3="",$L$3=""),"",IF('Statement of Marks'!J75="","",'Statement of Marks'!J75))</f>
        <v/>
      </c>
      <c r="J76" s="809" t="str">
        <f>IFERROR(IF($L$3=$AJ$8,'Statement of Marks'!K75,IF($L$3=$AJ$9,'Statement of Marks'!Y75,IF($L$3=$AJ$10,'Statement of Marks'!AN75,IF($L$3=$AJ$11,'Statement of Marks'!BB75,IF($L$3=$AJ$12,'Statement of Marks'!BP75,IF($L$3=$AJ$13,'Statement of Marks'!CE75,IF($L$3=$AJ$14,'Statement of Marks'!CT75,IF($L$3=$AJ$15,'Statement of Marks'!DZ75,IF($L$3=$AJ$16,'Statement of Marks'!EL75,IF($L$3=$AJ$17,('Statement of Marks'!FB75+'Statement of Marks'!FC75),"")))))))))),"")</f>
        <v/>
      </c>
      <c r="K76" s="809" t="str">
        <f>IFERROR(IF($L$3=$AJ$8,'Statement of Marks'!L75,IF($L$3=$AJ$9,'Statement of Marks'!Z75,IF($L$3=$AJ$10,'Statement of Marks'!AO75,IF($L$3=$AJ$11,'Statement of Marks'!BC75,IF($L$3=$AJ$12,'Statement of Marks'!BQ75,IF($L$3=$AJ$13,'Statement of Marks'!CF75,IF($L$3=$AJ$14,'Statement of Marks'!CU75,IF($L$3=$AJ$15,'Statement of Marks'!EA75,IF($L$3=$AJ$16,'Statement of Marks'!EM75,IF($L$3=$AJ$17,('Statement of Marks'!FD75+'Statement of Marks'!FE75),"")))))))))),"")</f>
        <v/>
      </c>
      <c r="L76" s="809" t="str">
        <f>IFERROR(IF($L$3=$AJ$8,'Statement of Marks'!M75,IF($L$3=$AJ$9,'Statement of Marks'!AA75,IF($L$3=$AJ$10,'Statement of Marks'!AP75,IF($L$3=$AJ$11,'Statement of Marks'!BD75,IF($L$3=$AJ$12,'Statement of Marks'!BR75,IF($L$3=$AJ$13,'Statement of Marks'!CG75,IF($L$3=$AJ$14,'Statement of Marks'!CV75,IF($L$3=$AJ$15,'Statement of Marks'!EB75,IF($L$3=$AJ$16,'Statement of Marks'!EN75,IF($L$3=$AJ$17,('Statement of Marks'!FF75+'Statement of Marks'!FG75),"")))))))))),"")</f>
        <v/>
      </c>
      <c r="M76" s="810">
        <f t="shared" si="10"/>
        <v>0</v>
      </c>
      <c r="N76" s="809" t="str">
        <f>IFERROR(IF($L$3=$AJ$8,'Statement of Marks'!O75,IF($L$3=$AJ$9,'Statement of Marks'!AC75,IF($L$3=$AJ$10,'Statement of Marks'!AR75,IF($L$3=$AJ$11,'Statement of Marks'!BF75,IF($L$3=$AJ$12,'Statement of Marks'!BT75,IF($L$3=$AJ$13,'Statement of Marks'!CI75,IF($L$3=$AJ$14,('Statement of Marks'!CX75+'Statement of Marks'!CY75),IF($L$3=$AJ$15,'Statement of Marks'!ED75,IF($L$3=$AJ$16,('Statement of Marks'!EP75+'Statement of Marks'!EQ75),IF($L$3=$AJ$17,('Statement of Marks'!FI75+'Statement of Marks'!FJ75),IF($L$3=$AJ$18,'Statement of Marks'!FU75,IF($L$3=$AJ$19,'Statement of Marks'!GC75,"")))))))))))),"")</f>
        <v/>
      </c>
      <c r="O76" s="811">
        <f>IF($L$3=$AJ$18,'Statement of Marks'!FV75,IF($L$3=$AJ$19,'Statement of Marks'!GD75,IF(AND(M76="NA",N76="NA"),"NA",IF(AND(M76="",N76=""),"",SUM(M76,N76)))))</f>
        <v>0</v>
      </c>
      <c r="P76" s="809" t="str">
        <f>IFERROR(IF($L$3=$AJ$8,'Statement of Marks'!Q75,IF($L$3=$AJ$9,'Statement of Marks'!AE75,IF($L$3=$AJ$10,'Statement of Marks'!AT75,IF($L$3=$AJ$11,'Statement of Marks'!BH75,IF($L$3=$AJ$12,'Statement of Marks'!BV75,IF($L$3=$AJ$13,'Statement of Marks'!CK75,IF($L$3=$AJ$14,('Statement of Marks'!DB75+'Statement of Marks'!DC75),IF($L$3=$AJ$15,'Statement of Marks'!EF75,IF($L$3=$AJ$16,('Statement of Marks'!ET75+'Statement of Marks'!EU75),IF($L$3=$AJ$17,('Statement of Marks'!FM75+'Statement of Marks'!FN75),IF($L$3=$AJ$18,'Statement of Marks'!FW75,IF($L$3=$AJ$19,'Statement of Marks'!GE75,"")))))))))))),"")</f>
        <v/>
      </c>
      <c r="Q76" s="812" t="str">
        <f t="shared" si="13"/>
        <v/>
      </c>
      <c r="R76" s="813">
        <f t="shared" si="11"/>
        <v>0</v>
      </c>
      <c r="S76" s="813" t="str">
        <f t="shared" si="14"/>
        <v/>
      </c>
      <c r="T76" s="813" t="str">
        <f t="shared" si="15"/>
        <v/>
      </c>
      <c r="U76" s="814" t="str">
        <f t="shared" si="16"/>
        <v/>
      </c>
      <c r="V76" s="815" t="str">
        <f t="shared" si="17"/>
        <v/>
      </c>
      <c r="W76" s="816" t="str">
        <f t="shared" si="12"/>
        <v/>
      </c>
    </row>
    <row r="77" spans="1:23">
      <c r="A77" s="803">
        <f>IF('Statement of Marks'!A76="","",'Statement of Marks'!A76)</f>
        <v>70</v>
      </c>
      <c r="B77" s="804" t="str">
        <f>IF(OR($D$3="",$L$3=""),"",IF('Statement of Marks'!B76="","",'Statement of Marks'!B76))</f>
        <v/>
      </c>
      <c r="C77" s="805" t="str">
        <f>IF(OR($D$3="",$L$3=""),"",IF('Statement of Marks'!D76="","",'Statement of Marks'!D76))</f>
        <v/>
      </c>
      <c r="D77" s="806" t="str">
        <f>IF(OR($D$3="",$L$3=""),"",IF('Statement of Marks'!E76="","",'Statement of Marks'!E76))</f>
        <v/>
      </c>
      <c r="E77" s="807" t="str">
        <f>IF(OR($D$3="",$L$3=""),"",IF('Statement of Marks'!F76="","",'Statement of Marks'!F76))</f>
        <v/>
      </c>
      <c r="F77" s="807" t="str">
        <f>IF(OR($D$3="",$L$3=""),"",IF('Statement of Marks'!G76="","",'Statement of Marks'!G76))</f>
        <v/>
      </c>
      <c r="G77" s="807" t="str">
        <f>IF(OR($D$3="",$L$3=""),"",IF('Statement of Marks'!H76="","",'Statement of Marks'!H76))</f>
        <v/>
      </c>
      <c r="H77" s="808" t="str">
        <f>IF(OR($D$3="",$L$3=""),"",IF('Statement of Marks'!I76="","",'Statement of Marks'!I76))</f>
        <v/>
      </c>
      <c r="I77" s="808" t="str">
        <f>IF(OR($D$3="",$L$3=""),"",IF('Statement of Marks'!J76="","",'Statement of Marks'!J76))</f>
        <v/>
      </c>
      <c r="J77" s="809" t="str">
        <f>IFERROR(IF($L$3=$AJ$8,'Statement of Marks'!K76,IF($L$3=$AJ$9,'Statement of Marks'!Y76,IF($L$3=$AJ$10,'Statement of Marks'!AN76,IF($L$3=$AJ$11,'Statement of Marks'!BB76,IF($L$3=$AJ$12,'Statement of Marks'!BP76,IF($L$3=$AJ$13,'Statement of Marks'!CE76,IF($L$3=$AJ$14,'Statement of Marks'!CT76,IF($L$3=$AJ$15,'Statement of Marks'!DZ76,IF($L$3=$AJ$16,'Statement of Marks'!EL76,IF($L$3=$AJ$17,('Statement of Marks'!FB76+'Statement of Marks'!FC76),"")))))))))),"")</f>
        <v/>
      </c>
      <c r="K77" s="809" t="str">
        <f>IFERROR(IF($L$3=$AJ$8,'Statement of Marks'!L76,IF($L$3=$AJ$9,'Statement of Marks'!Z76,IF($L$3=$AJ$10,'Statement of Marks'!AO76,IF($L$3=$AJ$11,'Statement of Marks'!BC76,IF($L$3=$AJ$12,'Statement of Marks'!BQ76,IF($L$3=$AJ$13,'Statement of Marks'!CF76,IF($L$3=$AJ$14,'Statement of Marks'!CU76,IF($L$3=$AJ$15,'Statement of Marks'!EA76,IF($L$3=$AJ$16,'Statement of Marks'!EM76,IF($L$3=$AJ$17,('Statement of Marks'!FD76+'Statement of Marks'!FE76),"")))))))))),"")</f>
        <v/>
      </c>
      <c r="L77" s="809" t="str">
        <f>IFERROR(IF($L$3=$AJ$8,'Statement of Marks'!M76,IF($L$3=$AJ$9,'Statement of Marks'!AA76,IF($L$3=$AJ$10,'Statement of Marks'!AP76,IF($L$3=$AJ$11,'Statement of Marks'!BD76,IF($L$3=$AJ$12,'Statement of Marks'!BR76,IF($L$3=$AJ$13,'Statement of Marks'!CG76,IF($L$3=$AJ$14,'Statement of Marks'!CV76,IF($L$3=$AJ$15,'Statement of Marks'!EB76,IF($L$3=$AJ$16,'Statement of Marks'!EN76,IF($L$3=$AJ$17,('Statement of Marks'!FF76+'Statement of Marks'!FG76),"")))))))))),"")</f>
        <v/>
      </c>
      <c r="M77" s="810">
        <f t="shared" si="10"/>
        <v>0</v>
      </c>
      <c r="N77" s="809" t="str">
        <f>IFERROR(IF($L$3=$AJ$8,'Statement of Marks'!O76,IF($L$3=$AJ$9,'Statement of Marks'!AC76,IF($L$3=$AJ$10,'Statement of Marks'!AR76,IF($L$3=$AJ$11,'Statement of Marks'!BF76,IF($L$3=$AJ$12,'Statement of Marks'!BT76,IF($L$3=$AJ$13,'Statement of Marks'!CI76,IF($L$3=$AJ$14,('Statement of Marks'!CX76+'Statement of Marks'!CY76),IF($L$3=$AJ$15,'Statement of Marks'!ED76,IF($L$3=$AJ$16,('Statement of Marks'!EP76+'Statement of Marks'!EQ76),IF($L$3=$AJ$17,('Statement of Marks'!FI76+'Statement of Marks'!FJ76),IF($L$3=$AJ$18,'Statement of Marks'!FU76,IF($L$3=$AJ$19,'Statement of Marks'!GC76,"")))))))))))),"")</f>
        <v/>
      </c>
      <c r="O77" s="811">
        <f>IF($L$3=$AJ$18,'Statement of Marks'!FV76,IF($L$3=$AJ$19,'Statement of Marks'!GD76,IF(AND(M77="NA",N77="NA"),"NA",IF(AND(M77="",N77=""),"",SUM(M77,N77)))))</f>
        <v>0</v>
      </c>
      <c r="P77" s="809" t="str">
        <f>IFERROR(IF($L$3=$AJ$8,'Statement of Marks'!Q76,IF($L$3=$AJ$9,'Statement of Marks'!AE76,IF($L$3=$AJ$10,'Statement of Marks'!AT76,IF($L$3=$AJ$11,'Statement of Marks'!BH76,IF($L$3=$AJ$12,'Statement of Marks'!BV76,IF($L$3=$AJ$13,'Statement of Marks'!CK76,IF($L$3=$AJ$14,('Statement of Marks'!DB76+'Statement of Marks'!DC76),IF($L$3=$AJ$15,'Statement of Marks'!EF76,IF($L$3=$AJ$16,('Statement of Marks'!ET76+'Statement of Marks'!EU76),IF($L$3=$AJ$17,('Statement of Marks'!FM76+'Statement of Marks'!FN76),IF($L$3=$AJ$18,'Statement of Marks'!FW76,IF($L$3=$AJ$19,'Statement of Marks'!GE76,"")))))))))))),"")</f>
        <v/>
      </c>
      <c r="Q77" s="812" t="str">
        <f t="shared" si="13"/>
        <v/>
      </c>
      <c r="R77" s="813">
        <f t="shared" si="11"/>
        <v>0</v>
      </c>
      <c r="S77" s="813" t="str">
        <f t="shared" si="14"/>
        <v/>
      </c>
      <c r="T77" s="813" t="str">
        <f t="shared" si="15"/>
        <v/>
      </c>
      <c r="U77" s="814" t="str">
        <f t="shared" si="16"/>
        <v/>
      </c>
      <c r="V77" s="815" t="str">
        <f t="shared" si="17"/>
        <v/>
      </c>
      <c r="W77" s="816" t="str">
        <f t="shared" si="12"/>
        <v/>
      </c>
    </row>
    <row r="78" spans="1:23">
      <c r="A78" s="803">
        <f>IF('Statement of Marks'!A77="","",'Statement of Marks'!A77)</f>
        <v>71</v>
      </c>
      <c r="B78" s="804" t="str">
        <f>IF(OR($D$3="",$L$3=""),"",IF('Statement of Marks'!B77="","",'Statement of Marks'!B77))</f>
        <v/>
      </c>
      <c r="C78" s="805" t="str">
        <f>IF(OR($D$3="",$L$3=""),"",IF('Statement of Marks'!D77="","",'Statement of Marks'!D77))</f>
        <v/>
      </c>
      <c r="D78" s="806" t="str">
        <f>IF(OR($D$3="",$L$3=""),"",IF('Statement of Marks'!E77="","",'Statement of Marks'!E77))</f>
        <v/>
      </c>
      <c r="E78" s="807" t="str">
        <f>IF(OR($D$3="",$L$3=""),"",IF('Statement of Marks'!F77="","",'Statement of Marks'!F77))</f>
        <v/>
      </c>
      <c r="F78" s="807" t="str">
        <f>IF(OR($D$3="",$L$3=""),"",IF('Statement of Marks'!G77="","",'Statement of Marks'!G77))</f>
        <v/>
      </c>
      <c r="G78" s="807" t="str">
        <f>IF(OR($D$3="",$L$3=""),"",IF('Statement of Marks'!H77="","",'Statement of Marks'!H77))</f>
        <v/>
      </c>
      <c r="H78" s="808" t="str">
        <f>IF(OR($D$3="",$L$3=""),"",IF('Statement of Marks'!I77="","",'Statement of Marks'!I77))</f>
        <v/>
      </c>
      <c r="I78" s="808" t="str">
        <f>IF(OR($D$3="",$L$3=""),"",IF('Statement of Marks'!J77="","",'Statement of Marks'!J77))</f>
        <v/>
      </c>
      <c r="J78" s="809" t="str">
        <f>IFERROR(IF($L$3=$AJ$8,'Statement of Marks'!K77,IF($L$3=$AJ$9,'Statement of Marks'!Y77,IF($L$3=$AJ$10,'Statement of Marks'!AN77,IF($L$3=$AJ$11,'Statement of Marks'!BB77,IF($L$3=$AJ$12,'Statement of Marks'!BP77,IF($L$3=$AJ$13,'Statement of Marks'!CE77,IF($L$3=$AJ$14,'Statement of Marks'!CT77,IF($L$3=$AJ$15,'Statement of Marks'!DZ77,IF($L$3=$AJ$16,'Statement of Marks'!EL77,IF($L$3=$AJ$17,('Statement of Marks'!FB77+'Statement of Marks'!FC77),"")))))))))),"")</f>
        <v/>
      </c>
      <c r="K78" s="809" t="str">
        <f>IFERROR(IF($L$3=$AJ$8,'Statement of Marks'!L77,IF($L$3=$AJ$9,'Statement of Marks'!Z77,IF($L$3=$AJ$10,'Statement of Marks'!AO77,IF($L$3=$AJ$11,'Statement of Marks'!BC77,IF($L$3=$AJ$12,'Statement of Marks'!BQ77,IF($L$3=$AJ$13,'Statement of Marks'!CF77,IF($L$3=$AJ$14,'Statement of Marks'!CU77,IF($L$3=$AJ$15,'Statement of Marks'!EA77,IF($L$3=$AJ$16,'Statement of Marks'!EM77,IF($L$3=$AJ$17,('Statement of Marks'!FD77+'Statement of Marks'!FE77),"")))))))))),"")</f>
        <v/>
      </c>
      <c r="L78" s="809" t="str">
        <f>IFERROR(IF($L$3=$AJ$8,'Statement of Marks'!M77,IF($L$3=$AJ$9,'Statement of Marks'!AA77,IF($L$3=$AJ$10,'Statement of Marks'!AP77,IF($L$3=$AJ$11,'Statement of Marks'!BD77,IF($L$3=$AJ$12,'Statement of Marks'!BR77,IF($L$3=$AJ$13,'Statement of Marks'!CG77,IF($L$3=$AJ$14,'Statement of Marks'!CV77,IF($L$3=$AJ$15,'Statement of Marks'!EB77,IF($L$3=$AJ$16,'Statement of Marks'!EN77,IF($L$3=$AJ$17,('Statement of Marks'!FF77+'Statement of Marks'!FG77),"")))))))))),"")</f>
        <v/>
      </c>
      <c r="M78" s="810">
        <f t="shared" si="10"/>
        <v>0</v>
      </c>
      <c r="N78" s="809" t="str">
        <f>IFERROR(IF($L$3=$AJ$8,'Statement of Marks'!O77,IF($L$3=$AJ$9,'Statement of Marks'!AC77,IF($L$3=$AJ$10,'Statement of Marks'!AR77,IF($L$3=$AJ$11,'Statement of Marks'!BF77,IF($L$3=$AJ$12,'Statement of Marks'!BT77,IF($L$3=$AJ$13,'Statement of Marks'!CI77,IF($L$3=$AJ$14,('Statement of Marks'!CX77+'Statement of Marks'!CY77),IF($L$3=$AJ$15,'Statement of Marks'!ED77,IF($L$3=$AJ$16,('Statement of Marks'!EP77+'Statement of Marks'!EQ77),IF($L$3=$AJ$17,('Statement of Marks'!FI77+'Statement of Marks'!FJ77),IF($L$3=$AJ$18,'Statement of Marks'!FU77,IF($L$3=$AJ$19,'Statement of Marks'!GC77,"")))))))))))),"")</f>
        <v/>
      </c>
      <c r="O78" s="811">
        <f>IF($L$3=$AJ$18,'Statement of Marks'!FV77,IF($L$3=$AJ$19,'Statement of Marks'!GD77,IF(AND(M78="NA",N78="NA"),"NA",IF(AND(M78="",N78=""),"",SUM(M78,N78)))))</f>
        <v>0</v>
      </c>
      <c r="P78" s="809" t="str">
        <f>IFERROR(IF($L$3=$AJ$8,'Statement of Marks'!Q77,IF($L$3=$AJ$9,'Statement of Marks'!AE77,IF($L$3=$AJ$10,'Statement of Marks'!AT77,IF($L$3=$AJ$11,'Statement of Marks'!BH77,IF($L$3=$AJ$12,'Statement of Marks'!BV77,IF($L$3=$AJ$13,'Statement of Marks'!CK77,IF($L$3=$AJ$14,('Statement of Marks'!DB77+'Statement of Marks'!DC77),IF($L$3=$AJ$15,'Statement of Marks'!EF77,IF($L$3=$AJ$16,('Statement of Marks'!ET77+'Statement of Marks'!EU77),IF($L$3=$AJ$17,('Statement of Marks'!FM77+'Statement of Marks'!FN77),IF($L$3=$AJ$18,'Statement of Marks'!FW77,IF($L$3=$AJ$19,'Statement of Marks'!GE77,"")))))))))))),"")</f>
        <v/>
      </c>
      <c r="Q78" s="812" t="str">
        <f t="shared" si="13"/>
        <v/>
      </c>
      <c r="R78" s="813">
        <f t="shared" si="11"/>
        <v>0</v>
      </c>
      <c r="S78" s="813" t="str">
        <f t="shared" si="14"/>
        <v/>
      </c>
      <c r="T78" s="813" t="str">
        <f t="shared" si="15"/>
        <v/>
      </c>
      <c r="U78" s="814" t="str">
        <f t="shared" si="16"/>
        <v/>
      </c>
      <c r="V78" s="815" t="str">
        <f t="shared" si="17"/>
        <v/>
      </c>
      <c r="W78" s="816" t="str">
        <f t="shared" si="12"/>
        <v/>
      </c>
    </row>
    <row r="79" spans="1:23">
      <c r="A79" s="803">
        <f>IF('Statement of Marks'!A78="","",'Statement of Marks'!A78)</f>
        <v>72</v>
      </c>
      <c r="B79" s="804" t="str">
        <f>IF(OR($D$3="",$L$3=""),"",IF('Statement of Marks'!B78="","",'Statement of Marks'!B78))</f>
        <v/>
      </c>
      <c r="C79" s="805" t="str">
        <f>IF(OR($D$3="",$L$3=""),"",IF('Statement of Marks'!D78="","",'Statement of Marks'!D78))</f>
        <v/>
      </c>
      <c r="D79" s="806" t="str">
        <f>IF(OR($D$3="",$L$3=""),"",IF('Statement of Marks'!E78="","",'Statement of Marks'!E78))</f>
        <v/>
      </c>
      <c r="E79" s="807" t="str">
        <f>IF(OR($D$3="",$L$3=""),"",IF('Statement of Marks'!F78="","",'Statement of Marks'!F78))</f>
        <v/>
      </c>
      <c r="F79" s="807" t="str">
        <f>IF(OR($D$3="",$L$3=""),"",IF('Statement of Marks'!G78="","",'Statement of Marks'!G78))</f>
        <v/>
      </c>
      <c r="G79" s="807" t="str">
        <f>IF(OR($D$3="",$L$3=""),"",IF('Statement of Marks'!H78="","",'Statement of Marks'!H78))</f>
        <v/>
      </c>
      <c r="H79" s="808" t="str">
        <f>IF(OR($D$3="",$L$3=""),"",IF('Statement of Marks'!I78="","",'Statement of Marks'!I78))</f>
        <v/>
      </c>
      <c r="I79" s="808" t="str">
        <f>IF(OR($D$3="",$L$3=""),"",IF('Statement of Marks'!J78="","",'Statement of Marks'!J78))</f>
        <v/>
      </c>
      <c r="J79" s="809" t="str">
        <f>IFERROR(IF($L$3=$AJ$8,'Statement of Marks'!K78,IF($L$3=$AJ$9,'Statement of Marks'!Y78,IF($L$3=$AJ$10,'Statement of Marks'!AN78,IF($L$3=$AJ$11,'Statement of Marks'!BB78,IF($L$3=$AJ$12,'Statement of Marks'!BP78,IF($L$3=$AJ$13,'Statement of Marks'!CE78,IF($L$3=$AJ$14,'Statement of Marks'!CT78,IF($L$3=$AJ$15,'Statement of Marks'!DZ78,IF($L$3=$AJ$16,'Statement of Marks'!EL78,IF($L$3=$AJ$17,('Statement of Marks'!FB78+'Statement of Marks'!FC78),"")))))))))),"")</f>
        <v/>
      </c>
      <c r="K79" s="809" t="str">
        <f>IFERROR(IF($L$3=$AJ$8,'Statement of Marks'!L78,IF($L$3=$AJ$9,'Statement of Marks'!Z78,IF($L$3=$AJ$10,'Statement of Marks'!AO78,IF($L$3=$AJ$11,'Statement of Marks'!BC78,IF($L$3=$AJ$12,'Statement of Marks'!BQ78,IF($L$3=$AJ$13,'Statement of Marks'!CF78,IF($L$3=$AJ$14,'Statement of Marks'!CU78,IF($L$3=$AJ$15,'Statement of Marks'!EA78,IF($L$3=$AJ$16,'Statement of Marks'!EM78,IF($L$3=$AJ$17,('Statement of Marks'!FD78+'Statement of Marks'!FE78),"")))))))))),"")</f>
        <v/>
      </c>
      <c r="L79" s="809" t="str">
        <f>IFERROR(IF($L$3=$AJ$8,'Statement of Marks'!M78,IF($L$3=$AJ$9,'Statement of Marks'!AA78,IF($L$3=$AJ$10,'Statement of Marks'!AP78,IF($L$3=$AJ$11,'Statement of Marks'!BD78,IF($L$3=$AJ$12,'Statement of Marks'!BR78,IF($L$3=$AJ$13,'Statement of Marks'!CG78,IF($L$3=$AJ$14,'Statement of Marks'!CV78,IF($L$3=$AJ$15,'Statement of Marks'!EB78,IF($L$3=$AJ$16,'Statement of Marks'!EN78,IF($L$3=$AJ$17,('Statement of Marks'!FF78+'Statement of Marks'!FG78),"")))))))))),"")</f>
        <v/>
      </c>
      <c r="M79" s="810">
        <f t="shared" si="10"/>
        <v>0</v>
      </c>
      <c r="N79" s="809" t="str">
        <f>IFERROR(IF($L$3=$AJ$8,'Statement of Marks'!O78,IF($L$3=$AJ$9,'Statement of Marks'!AC78,IF($L$3=$AJ$10,'Statement of Marks'!AR78,IF($L$3=$AJ$11,'Statement of Marks'!BF78,IF($L$3=$AJ$12,'Statement of Marks'!BT78,IF($L$3=$AJ$13,'Statement of Marks'!CI78,IF($L$3=$AJ$14,('Statement of Marks'!CX78+'Statement of Marks'!CY78),IF($L$3=$AJ$15,'Statement of Marks'!ED78,IF($L$3=$AJ$16,('Statement of Marks'!EP78+'Statement of Marks'!EQ78),IF($L$3=$AJ$17,('Statement of Marks'!FI78+'Statement of Marks'!FJ78),IF($L$3=$AJ$18,'Statement of Marks'!FU78,IF($L$3=$AJ$19,'Statement of Marks'!GC78,"")))))))))))),"")</f>
        <v/>
      </c>
      <c r="O79" s="811">
        <f>IF($L$3=$AJ$18,'Statement of Marks'!FV78,IF($L$3=$AJ$19,'Statement of Marks'!GD78,IF(AND(M79="NA",N79="NA"),"NA",IF(AND(M79="",N79=""),"",SUM(M79,N79)))))</f>
        <v>0</v>
      </c>
      <c r="P79" s="809" t="str">
        <f>IFERROR(IF($L$3=$AJ$8,'Statement of Marks'!Q78,IF($L$3=$AJ$9,'Statement of Marks'!AE78,IF($L$3=$AJ$10,'Statement of Marks'!AT78,IF($L$3=$AJ$11,'Statement of Marks'!BH78,IF($L$3=$AJ$12,'Statement of Marks'!BV78,IF($L$3=$AJ$13,'Statement of Marks'!CK78,IF($L$3=$AJ$14,('Statement of Marks'!DB78+'Statement of Marks'!DC78),IF($L$3=$AJ$15,'Statement of Marks'!EF78,IF($L$3=$AJ$16,('Statement of Marks'!ET78+'Statement of Marks'!EU78),IF($L$3=$AJ$17,('Statement of Marks'!FM78+'Statement of Marks'!FN78),IF($L$3=$AJ$18,'Statement of Marks'!FW78,IF($L$3=$AJ$19,'Statement of Marks'!GE78,"")))))))))))),"")</f>
        <v/>
      </c>
      <c r="Q79" s="812" t="str">
        <f t="shared" si="13"/>
        <v/>
      </c>
      <c r="R79" s="813">
        <f t="shared" si="11"/>
        <v>0</v>
      </c>
      <c r="S79" s="813" t="str">
        <f t="shared" si="14"/>
        <v/>
      </c>
      <c r="T79" s="813" t="str">
        <f t="shared" si="15"/>
        <v/>
      </c>
      <c r="U79" s="814" t="str">
        <f t="shared" si="16"/>
        <v/>
      </c>
      <c r="V79" s="815" t="str">
        <f t="shared" si="17"/>
        <v/>
      </c>
      <c r="W79" s="816" t="str">
        <f t="shared" si="12"/>
        <v/>
      </c>
    </row>
    <row r="80" spans="1:23">
      <c r="A80" s="803">
        <f>IF('Statement of Marks'!A79="","",'Statement of Marks'!A79)</f>
        <v>73</v>
      </c>
      <c r="B80" s="804" t="str">
        <f>IF(OR($D$3="",$L$3=""),"",IF('Statement of Marks'!B79="","",'Statement of Marks'!B79))</f>
        <v/>
      </c>
      <c r="C80" s="805" t="str">
        <f>IF(OR($D$3="",$L$3=""),"",IF('Statement of Marks'!D79="","",'Statement of Marks'!D79))</f>
        <v/>
      </c>
      <c r="D80" s="806" t="str">
        <f>IF(OR($D$3="",$L$3=""),"",IF('Statement of Marks'!E79="","",'Statement of Marks'!E79))</f>
        <v/>
      </c>
      <c r="E80" s="807" t="str">
        <f>IF(OR($D$3="",$L$3=""),"",IF('Statement of Marks'!F79="","",'Statement of Marks'!F79))</f>
        <v/>
      </c>
      <c r="F80" s="807" t="str">
        <f>IF(OR($D$3="",$L$3=""),"",IF('Statement of Marks'!G79="","",'Statement of Marks'!G79))</f>
        <v/>
      </c>
      <c r="G80" s="807" t="str">
        <f>IF(OR($D$3="",$L$3=""),"",IF('Statement of Marks'!H79="","",'Statement of Marks'!H79))</f>
        <v/>
      </c>
      <c r="H80" s="808" t="str">
        <f>IF(OR($D$3="",$L$3=""),"",IF('Statement of Marks'!I79="","",'Statement of Marks'!I79))</f>
        <v/>
      </c>
      <c r="I80" s="808" t="str">
        <f>IF(OR($D$3="",$L$3=""),"",IF('Statement of Marks'!J79="","",'Statement of Marks'!J79))</f>
        <v/>
      </c>
      <c r="J80" s="809" t="str">
        <f>IFERROR(IF($L$3=$AJ$8,'Statement of Marks'!K79,IF($L$3=$AJ$9,'Statement of Marks'!Y79,IF($L$3=$AJ$10,'Statement of Marks'!AN79,IF($L$3=$AJ$11,'Statement of Marks'!BB79,IF($L$3=$AJ$12,'Statement of Marks'!BP79,IF($L$3=$AJ$13,'Statement of Marks'!CE79,IF($L$3=$AJ$14,'Statement of Marks'!CT79,IF($L$3=$AJ$15,'Statement of Marks'!DZ79,IF($L$3=$AJ$16,'Statement of Marks'!EL79,IF($L$3=$AJ$17,('Statement of Marks'!FB79+'Statement of Marks'!FC79),"")))))))))),"")</f>
        <v/>
      </c>
      <c r="K80" s="809" t="str">
        <f>IFERROR(IF($L$3=$AJ$8,'Statement of Marks'!L79,IF($L$3=$AJ$9,'Statement of Marks'!Z79,IF($L$3=$AJ$10,'Statement of Marks'!AO79,IF($L$3=$AJ$11,'Statement of Marks'!BC79,IF($L$3=$AJ$12,'Statement of Marks'!BQ79,IF($L$3=$AJ$13,'Statement of Marks'!CF79,IF($L$3=$AJ$14,'Statement of Marks'!CU79,IF($L$3=$AJ$15,'Statement of Marks'!EA79,IF($L$3=$AJ$16,'Statement of Marks'!EM79,IF($L$3=$AJ$17,('Statement of Marks'!FD79+'Statement of Marks'!FE79),"")))))))))),"")</f>
        <v/>
      </c>
      <c r="L80" s="809" t="str">
        <f>IFERROR(IF($L$3=$AJ$8,'Statement of Marks'!M79,IF($L$3=$AJ$9,'Statement of Marks'!AA79,IF($L$3=$AJ$10,'Statement of Marks'!AP79,IF($L$3=$AJ$11,'Statement of Marks'!BD79,IF($L$3=$AJ$12,'Statement of Marks'!BR79,IF($L$3=$AJ$13,'Statement of Marks'!CG79,IF($L$3=$AJ$14,'Statement of Marks'!CV79,IF($L$3=$AJ$15,'Statement of Marks'!EB79,IF($L$3=$AJ$16,'Statement of Marks'!EN79,IF($L$3=$AJ$17,('Statement of Marks'!FF79+'Statement of Marks'!FG79),"")))))))))),"")</f>
        <v/>
      </c>
      <c r="M80" s="810">
        <f t="shared" si="10"/>
        <v>0</v>
      </c>
      <c r="N80" s="809" t="str">
        <f>IFERROR(IF($L$3=$AJ$8,'Statement of Marks'!O79,IF($L$3=$AJ$9,'Statement of Marks'!AC79,IF($L$3=$AJ$10,'Statement of Marks'!AR79,IF($L$3=$AJ$11,'Statement of Marks'!BF79,IF($L$3=$AJ$12,'Statement of Marks'!BT79,IF($L$3=$AJ$13,'Statement of Marks'!CI79,IF($L$3=$AJ$14,('Statement of Marks'!CX79+'Statement of Marks'!CY79),IF($L$3=$AJ$15,'Statement of Marks'!ED79,IF($L$3=$AJ$16,('Statement of Marks'!EP79+'Statement of Marks'!EQ79),IF($L$3=$AJ$17,('Statement of Marks'!FI79+'Statement of Marks'!FJ79),IF($L$3=$AJ$18,'Statement of Marks'!FU79,IF($L$3=$AJ$19,'Statement of Marks'!GC79,"")))))))))))),"")</f>
        <v/>
      </c>
      <c r="O80" s="811">
        <f>IF($L$3=$AJ$18,'Statement of Marks'!FV79,IF($L$3=$AJ$19,'Statement of Marks'!GD79,IF(AND(M80="NA",N80="NA"),"NA",IF(AND(M80="",N80=""),"",SUM(M80,N80)))))</f>
        <v>0</v>
      </c>
      <c r="P80" s="809" t="str">
        <f>IFERROR(IF($L$3=$AJ$8,'Statement of Marks'!Q79,IF($L$3=$AJ$9,'Statement of Marks'!AE79,IF($L$3=$AJ$10,'Statement of Marks'!AT79,IF($L$3=$AJ$11,'Statement of Marks'!BH79,IF($L$3=$AJ$12,'Statement of Marks'!BV79,IF($L$3=$AJ$13,'Statement of Marks'!CK79,IF($L$3=$AJ$14,('Statement of Marks'!DB79+'Statement of Marks'!DC79),IF($L$3=$AJ$15,'Statement of Marks'!EF79,IF($L$3=$AJ$16,('Statement of Marks'!ET79+'Statement of Marks'!EU79),IF($L$3=$AJ$17,('Statement of Marks'!FM79+'Statement of Marks'!FN79),IF($L$3=$AJ$18,'Statement of Marks'!FW79,IF($L$3=$AJ$19,'Statement of Marks'!GE79,"")))))))))))),"")</f>
        <v/>
      </c>
      <c r="Q80" s="812" t="str">
        <f t="shared" si="13"/>
        <v/>
      </c>
      <c r="R80" s="813">
        <f t="shared" si="11"/>
        <v>0</v>
      </c>
      <c r="S80" s="813" t="str">
        <f t="shared" si="14"/>
        <v/>
      </c>
      <c r="T80" s="813" t="str">
        <f t="shared" si="15"/>
        <v/>
      </c>
      <c r="U80" s="814" t="str">
        <f t="shared" si="16"/>
        <v/>
      </c>
      <c r="V80" s="815" t="str">
        <f t="shared" si="17"/>
        <v/>
      </c>
      <c r="W80" s="816" t="str">
        <f t="shared" si="12"/>
        <v/>
      </c>
    </row>
    <row r="81" spans="1:23">
      <c r="A81" s="803">
        <f>IF('Statement of Marks'!A80="","",'Statement of Marks'!A80)</f>
        <v>74</v>
      </c>
      <c r="B81" s="804" t="str">
        <f>IF(OR($D$3="",$L$3=""),"",IF('Statement of Marks'!B80="","",'Statement of Marks'!B80))</f>
        <v/>
      </c>
      <c r="C81" s="805" t="str">
        <f>IF(OR($D$3="",$L$3=""),"",IF('Statement of Marks'!D80="","",'Statement of Marks'!D80))</f>
        <v/>
      </c>
      <c r="D81" s="806" t="str">
        <f>IF(OR($D$3="",$L$3=""),"",IF('Statement of Marks'!E80="","",'Statement of Marks'!E80))</f>
        <v/>
      </c>
      <c r="E81" s="807" t="str">
        <f>IF(OR($D$3="",$L$3=""),"",IF('Statement of Marks'!F80="","",'Statement of Marks'!F80))</f>
        <v/>
      </c>
      <c r="F81" s="807" t="str">
        <f>IF(OR($D$3="",$L$3=""),"",IF('Statement of Marks'!G80="","",'Statement of Marks'!G80))</f>
        <v/>
      </c>
      <c r="G81" s="807" t="str">
        <f>IF(OR($D$3="",$L$3=""),"",IF('Statement of Marks'!H80="","",'Statement of Marks'!H80))</f>
        <v/>
      </c>
      <c r="H81" s="808" t="str">
        <f>IF(OR($D$3="",$L$3=""),"",IF('Statement of Marks'!I80="","",'Statement of Marks'!I80))</f>
        <v/>
      </c>
      <c r="I81" s="808" t="str">
        <f>IF(OR($D$3="",$L$3=""),"",IF('Statement of Marks'!J80="","",'Statement of Marks'!J80))</f>
        <v/>
      </c>
      <c r="J81" s="809" t="str">
        <f>IFERROR(IF($L$3=$AJ$8,'Statement of Marks'!K80,IF($L$3=$AJ$9,'Statement of Marks'!Y80,IF($L$3=$AJ$10,'Statement of Marks'!AN80,IF($L$3=$AJ$11,'Statement of Marks'!BB80,IF($L$3=$AJ$12,'Statement of Marks'!BP80,IF($L$3=$AJ$13,'Statement of Marks'!CE80,IF($L$3=$AJ$14,'Statement of Marks'!CT80,IF($L$3=$AJ$15,'Statement of Marks'!DZ80,IF($L$3=$AJ$16,'Statement of Marks'!EL80,IF($L$3=$AJ$17,('Statement of Marks'!FB80+'Statement of Marks'!FC80),"")))))))))),"")</f>
        <v/>
      </c>
      <c r="K81" s="809" t="str">
        <f>IFERROR(IF($L$3=$AJ$8,'Statement of Marks'!L80,IF($L$3=$AJ$9,'Statement of Marks'!Z80,IF($L$3=$AJ$10,'Statement of Marks'!AO80,IF($L$3=$AJ$11,'Statement of Marks'!BC80,IF($L$3=$AJ$12,'Statement of Marks'!BQ80,IF($L$3=$AJ$13,'Statement of Marks'!CF80,IF($L$3=$AJ$14,'Statement of Marks'!CU80,IF($L$3=$AJ$15,'Statement of Marks'!EA80,IF($L$3=$AJ$16,'Statement of Marks'!EM80,IF($L$3=$AJ$17,('Statement of Marks'!FD80+'Statement of Marks'!FE80),"")))))))))),"")</f>
        <v/>
      </c>
      <c r="L81" s="809" t="str">
        <f>IFERROR(IF($L$3=$AJ$8,'Statement of Marks'!M80,IF($L$3=$AJ$9,'Statement of Marks'!AA80,IF($L$3=$AJ$10,'Statement of Marks'!AP80,IF($L$3=$AJ$11,'Statement of Marks'!BD80,IF($L$3=$AJ$12,'Statement of Marks'!BR80,IF($L$3=$AJ$13,'Statement of Marks'!CG80,IF($L$3=$AJ$14,'Statement of Marks'!CV80,IF($L$3=$AJ$15,'Statement of Marks'!EB80,IF($L$3=$AJ$16,'Statement of Marks'!EN80,IF($L$3=$AJ$17,('Statement of Marks'!FF80+'Statement of Marks'!FG80),"")))))))))),"")</f>
        <v/>
      </c>
      <c r="M81" s="810">
        <f t="shared" si="10"/>
        <v>0</v>
      </c>
      <c r="N81" s="809" t="str">
        <f>IFERROR(IF($L$3=$AJ$8,'Statement of Marks'!O80,IF($L$3=$AJ$9,'Statement of Marks'!AC80,IF($L$3=$AJ$10,'Statement of Marks'!AR80,IF($L$3=$AJ$11,'Statement of Marks'!BF80,IF($L$3=$AJ$12,'Statement of Marks'!BT80,IF($L$3=$AJ$13,'Statement of Marks'!CI80,IF($L$3=$AJ$14,('Statement of Marks'!CX80+'Statement of Marks'!CY80),IF($L$3=$AJ$15,'Statement of Marks'!ED80,IF($L$3=$AJ$16,('Statement of Marks'!EP80+'Statement of Marks'!EQ80),IF($L$3=$AJ$17,('Statement of Marks'!FI80+'Statement of Marks'!FJ80),IF($L$3=$AJ$18,'Statement of Marks'!FU80,IF($L$3=$AJ$19,'Statement of Marks'!GC80,"")))))))))))),"")</f>
        <v/>
      </c>
      <c r="O81" s="811">
        <f>IF($L$3=$AJ$18,'Statement of Marks'!FV80,IF($L$3=$AJ$19,'Statement of Marks'!GD80,IF(AND(M81="NA",N81="NA"),"NA",IF(AND(M81="",N81=""),"",SUM(M81,N81)))))</f>
        <v>0</v>
      </c>
      <c r="P81" s="809" t="str">
        <f>IFERROR(IF($L$3=$AJ$8,'Statement of Marks'!Q80,IF($L$3=$AJ$9,'Statement of Marks'!AE80,IF($L$3=$AJ$10,'Statement of Marks'!AT80,IF($L$3=$AJ$11,'Statement of Marks'!BH80,IF($L$3=$AJ$12,'Statement of Marks'!BV80,IF($L$3=$AJ$13,'Statement of Marks'!CK80,IF($L$3=$AJ$14,('Statement of Marks'!DB80+'Statement of Marks'!DC80),IF($L$3=$AJ$15,'Statement of Marks'!EF80,IF($L$3=$AJ$16,('Statement of Marks'!ET80+'Statement of Marks'!EU80),IF($L$3=$AJ$17,('Statement of Marks'!FM80+'Statement of Marks'!FN80),IF($L$3=$AJ$18,'Statement of Marks'!FW80,IF($L$3=$AJ$19,'Statement of Marks'!GE80,"")))))))))))),"")</f>
        <v/>
      </c>
      <c r="Q81" s="812" t="str">
        <f t="shared" si="13"/>
        <v/>
      </c>
      <c r="R81" s="813">
        <f t="shared" si="11"/>
        <v>0</v>
      </c>
      <c r="S81" s="813" t="str">
        <f t="shared" si="14"/>
        <v/>
      </c>
      <c r="T81" s="813" t="str">
        <f t="shared" si="15"/>
        <v/>
      </c>
      <c r="U81" s="814" t="str">
        <f t="shared" si="16"/>
        <v/>
      </c>
      <c r="V81" s="815" t="str">
        <f t="shared" si="17"/>
        <v/>
      </c>
      <c r="W81" s="816" t="str">
        <f t="shared" si="12"/>
        <v/>
      </c>
    </row>
    <row r="82" spans="1:23">
      <c r="A82" s="803">
        <f>IF('Statement of Marks'!A81="","",'Statement of Marks'!A81)</f>
        <v>75</v>
      </c>
      <c r="B82" s="804" t="str">
        <f>IF(OR($D$3="",$L$3=""),"",IF('Statement of Marks'!B81="","",'Statement of Marks'!B81))</f>
        <v/>
      </c>
      <c r="C82" s="805" t="str">
        <f>IF(OR($D$3="",$L$3=""),"",IF('Statement of Marks'!D81="","",'Statement of Marks'!D81))</f>
        <v/>
      </c>
      <c r="D82" s="806" t="str">
        <f>IF(OR($D$3="",$L$3=""),"",IF('Statement of Marks'!E81="","",'Statement of Marks'!E81))</f>
        <v/>
      </c>
      <c r="E82" s="807" t="str">
        <f>IF(OR($D$3="",$L$3=""),"",IF('Statement of Marks'!F81="","",'Statement of Marks'!F81))</f>
        <v/>
      </c>
      <c r="F82" s="807" t="str">
        <f>IF(OR($D$3="",$L$3=""),"",IF('Statement of Marks'!G81="","",'Statement of Marks'!G81))</f>
        <v/>
      </c>
      <c r="G82" s="807" t="str">
        <f>IF(OR($D$3="",$L$3=""),"",IF('Statement of Marks'!H81="","",'Statement of Marks'!H81))</f>
        <v/>
      </c>
      <c r="H82" s="808" t="str">
        <f>IF(OR($D$3="",$L$3=""),"",IF('Statement of Marks'!I81="","",'Statement of Marks'!I81))</f>
        <v/>
      </c>
      <c r="I82" s="808" t="str">
        <f>IF(OR($D$3="",$L$3=""),"",IF('Statement of Marks'!J81="","",'Statement of Marks'!J81))</f>
        <v/>
      </c>
      <c r="J82" s="809" t="str">
        <f>IFERROR(IF($L$3=$AJ$8,'Statement of Marks'!K81,IF($L$3=$AJ$9,'Statement of Marks'!Y81,IF($L$3=$AJ$10,'Statement of Marks'!AN81,IF($L$3=$AJ$11,'Statement of Marks'!BB81,IF($L$3=$AJ$12,'Statement of Marks'!BP81,IF($L$3=$AJ$13,'Statement of Marks'!CE81,IF($L$3=$AJ$14,'Statement of Marks'!CT81,IF($L$3=$AJ$15,'Statement of Marks'!DZ81,IF($L$3=$AJ$16,'Statement of Marks'!EL81,IF($L$3=$AJ$17,('Statement of Marks'!FB81+'Statement of Marks'!FC81),"")))))))))),"")</f>
        <v/>
      </c>
      <c r="K82" s="809" t="str">
        <f>IFERROR(IF($L$3=$AJ$8,'Statement of Marks'!L81,IF($L$3=$AJ$9,'Statement of Marks'!Z81,IF($L$3=$AJ$10,'Statement of Marks'!AO81,IF($L$3=$AJ$11,'Statement of Marks'!BC81,IF($L$3=$AJ$12,'Statement of Marks'!BQ81,IF($L$3=$AJ$13,'Statement of Marks'!CF81,IF($L$3=$AJ$14,'Statement of Marks'!CU81,IF($L$3=$AJ$15,'Statement of Marks'!EA81,IF($L$3=$AJ$16,'Statement of Marks'!EM81,IF($L$3=$AJ$17,('Statement of Marks'!FD81+'Statement of Marks'!FE81),"")))))))))),"")</f>
        <v/>
      </c>
      <c r="L82" s="809" t="str">
        <f>IFERROR(IF($L$3=$AJ$8,'Statement of Marks'!M81,IF($L$3=$AJ$9,'Statement of Marks'!AA81,IF($L$3=$AJ$10,'Statement of Marks'!AP81,IF($L$3=$AJ$11,'Statement of Marks'!BD81,IF($L$3=$AJ$12,'Statement of Marks'!BR81,IF($L$3=$AJ$13,'Statement of Marks'!CG81,IF($L$3=$AJ$14,'Statement of Marks'!CV81,IF($L$3=$AJ$15,'Statement of Marks'!EB81,IF($L$3=$AJ$16,'Statement of Marks'!EN81,IF($L$3=$AJ$17,('Statement of Marks'!FF81+'Statement of Marks'!FG81),"")))))))))),"")</f>
        <v/>
      </c>
      <c r="M82" s="810">
        <f t="shared" si="10"/>
        <v>0</v>
      </c>
      <c r="N82" s="809" t="str">
        <f>IFERROR(IF($L$3=$AJ$8,'Statement of Marks'!O81,IF($L$3=$AJ$9,'Statement of Marks'!AC81,IF($L$3=$AJ$10,'Statement of Marks'!AR81,IF($L$3=$AJ$11,'Statement of Marks'!BF81,IF($L$3=$AJ$12,'Statement of Marks'!BT81,IF($L$3=$AJ$13,'Statement of Marks'!CI81,IF($L$3=$AJ$14,('Statement of Marks'!CX81+'Statement of Marks'!CY81),IF($L$3=$AJ$15,'Statement of Marks'!ED81,IF($L$3=$AJ$16,('Statement of Marks'!EP81+'Statement of Marks'!EQ81),IF($L$3=$AJ$17,('Statement of Marks'!FI81+'Statement of Marks'!FJ81),IF($L$3=$AJ$18,'Statement of Marks'!FU81,IF($L$3=$AJ$19,'Statement of Marks'!GC81,"")))))))))))),"")</f>
        <v/>
      </c>
      <c r="O82" s="811">
        <f>IF($L$3=$AJ$18,'Statement of Marks'!FV81,IF($L$3=$AJ$19,'Statement of Marks'!GD81,IF(AND(M82="NA",N82="NA"),"NA",IF(AND(M82="",N82=""),"",SUM(M82,N82)))))</f>
        <v>0</v>
      </c>
      <c r="P82" s="809" t="str">
        <f>IFERROR(IF($L$3=$AJ$8,'Statement of Marks'!Q81,IF($L$3=$AJ$9,'Statement of Marks'!AE81,IF($L$3=$AJ$10,'Statement of Marks'!AT81,IF($L$3=$AJ$11,'Statement of Marks'!BH81,IF($L$3=$AJ$12,'Statement of Marks'!BV81,IF($L$3=$AJ$13,'Statement of Marks'!CK81,IF($L$3=$AJ$14,('Statement of Marks'!DB81+'Statement of Marks'!DC81),IF($L$3=$AJ$15,'Statement of Marks'!EF81,IF($L$3=$AJ$16,('Statement of Marks'!ET81+'Statement of Marks'!EU81),IF($L$3=$AJ$17,('Statement of Marks'!FM81+'Statement of Marks'!FN81),IF($L$3=$AJ$18,'Statement of Marks'!FW81,IF($L$3=$AJ$19,'Statement of Marks'!GE81,"")))))))))))),"")</f>
        <v/>
      </c>
      <c r="Q82" s="812" t="str">
        <f t="shared" si="13"/>
        <v/>
      </c>
      <c r="R82" s="813">
        <f t="shared" si="11"/>
        <v>0</v>
      </c>
      <c r="S82" s="813" t="str">
        <f t="shared" si="14"/>
        <v/>
      </c>
      <c r="T82" s="813" t="str">
        <f t="shared" si="15"/>
        <v/>
      </c>
      <c r="U82" s="814" t="str">
        <f t="shared" si="16"/>
        <v/>
      </c>
      <c r="V82" s="815" t="str">
        <f t="shared" si="17"/>
        <v/>
      </c>
      <c r="W82" s="816" t="str">
        <f t="shared" si="12"/>
        <v/>
      </c>
    </row>
    <row r="83" spans="1:23">
      <c r="A83" s="803">
        <f>IF('Statement of Marks'!A82="","",'Statement of Marks'!A82)</f>
        <v>76</v>
      </c>
      <c r="B83" s="804" t="str">
        <f>IF(OR($D$3="",$L$3=""),"",IF('Statement of Marks'!B82="","",'Statement of Marks'!B82))</f>
        <v/>
      </c>
      <c r="C83" s="805" t="str">
        <f>IF(OR($D$3="",$L$3=""),"",IF('Statement of Marks'!D82="","",'Statement of Marks'!D82))</f>
        <v/>
      </c>
      <c r="D83" s="806" t="str">
        <f>IF(OR($D$3="",$L$3=""),"",IF('Statement of Marks'!E82="","",'Statement of Marks'!E82))</f>
        <v/>
      </c>
      <c r="E83" s="807" t="str">
        <f>IF(OR($D$3="",$L$3=""),"",IF('Statement of Marks'!F82="","",'Statement of Marks'!F82))</f>
        <v/>
      </c>
      <c r="F83" s="807" t="str">
        <f>IF(OR($D$3="",$L$3=""),"",IF('Statement of Marks'!G82="","",'Statement of Marks'!G82))</f>
        <v/>
      </c>
      <c r="G83" s="807" t="str">
        <f>IF(OR($D$3="",$L$3=""),"",IF('Statement of Marks'!H82="","",'Statement of Marks'!H82))</f>
        <v/>
      </c>
      <c r="H83" s="808" t="str">
        <f>IF(OR($D$3="",$L$3=""),"",IF('Statement of Marks'!I82="","",'Statement of Marks'!I82))</f>
        <v/>
      </c>
      <c r="I83" s="808" t="str">
        <f>IF(OR($D$3="",$L$3=""),"",IF('Statement of Marks'!J82="","",'Statement of Marks'!J82))</f>
        <v/>
      </c>
      <c r="J83" s="809" t="str">
        <f>IFERROR(IF($L$3=$AJ$8,'Statement of Marks'!K82,IF($L$3=$AJ$9,'Statement of Marks'!Y82,IF($L$3=$AJ$10,'Statement of Marks'!AN82,IF($L$3=$AJ$11,'Statement of Marks'!BB82,IF($L$3=$AJ$12,'Statement of Marks'!BP82,IF($L$3=$AJ$13,'Statement of Marks'!CE82,IF($L$3=$AJ$14,'Statement of Marks'!CT82,IF($L$3=$AJ$15,'Statement of Marks'!DZ82,IF($L$3=$AJ$16,'Statement of Marks'!EL82,IF($L$3=$AJ$17,('Statement of Marks'!FB82+'Statement of Marks'!FC82),"")))))))))),"")</f>
        <v/>
      </c>
      <c r="K83" s="809" t="str">
        <f>IFERROR(IF($L$3=$AJ$8,'Statement of Marks'!L82,IF($L$3=$AJ$9,'Statement of Marks'!Z82,IF($L$3=$AJ$10,'Statement of Marks'!AO82,IF($L$3=$AJ$11,'Statement of Marks'!BC82,IF($L$3=$AJ$12,'Statement of Marks'!BQ82,IF($L$3=$AJ$13,'Statement of Marks'!CF82,IF($L$3=$AJ$14,'Statement of Marks'!CU82,IF($L$3=$AJ$15,'Statement of Marks'!EA82,IF($L$3=$AJ$16,'Statement of Marks'!EM82,IF($L$3=$AJ$17,('Statement of Marks'!FD82+'Statement of Marks'!FE82),"")))))))))),"")</f>
        <v/>
      </c>
      <c r="L83" s="809" t="str">
        <f>IFERROR(IF($L$3=$AJ$8,'Statement of Marks'!M82,IF($L$3=$AJ$9,'Statement of Marks'!AA82,IF($L$3=$AJ$10,'Statement of Marks'!AP82,IF($L$3=$AJ$11,'Statement of Marks'!BD82,IF($L$3=$AJ$12,'Statement of Marks'!BR82,IF($L$3=$AJ$13,'Statement of Marks'!CG82,IF($L$3=$AJ$14,'Statement of Marks'!CV82,IF($L$3=$AJ$15,'Statement of Marks'!EB82,IF($L$3=$AJ$16,'Statement of Marks'!EN82,IF($L$3=$AJ$17,('Statement of Marks'!FF82+'Statement of Marks'!FG82),"")))))))))),"")</f>
        <v/>
      </c>
      <c r="M83" s="810">
        <f t="shared" si="10"/>
        <v>0</v>
      </c>
      <c r="N83" s="809" t="str">
        <f>IFERROR(IF($L$3=$AJ$8,'Statement of Marks'!O82,IF($L$3=$AJ$9,'Statement of Marks'!AC82,IF($L$3=$AJ$10,'Statement of Marks'!AR82,IF($L$3=$AJ$11,'Statement of Marks'!BF82,IF($L$3=$AJ$12,'Statement of Marks'!BT82,IF($L$3=$AJ$13,'Statement of Marks'!CI82,IF($L$3=$AJ$14,('Statement of Marks'!CX82+'Statement of Marks'!CY82),IF($L$3=$AJ$15,'Statement of Marks'!ED82,IF($L$3=$AJ$16,('Statement of Marks'!EP82+'Statement of Marks'!EQ82),IF($L$3=$AJ$17,('Statement of Marks'!FI82+'Statement of Marks'!FJ82),IF($L$3=$AJ$18,'Statement of Marks'!FU82,IF($L$3=$AJ$19,'Statement of Marks'!GC82,"")))))))))))),"")</f>
        <v/>
      </c>
      <c r="O83" s="811">
        <f>IF($L$3=$AJ$18,'Statement of Marks'!FV82,IF($L$3=$AJ$19,'Statement of Marks'!GD82,IF(AND(M83="NA",N83="NA"),"NA",IF(AND(M83="",N83=""),"",SUM(M83,N83)))))</f>
        <v>0</v>
      </c>
      <c r="P83" s="809" t="str">
        <f>IFERROR(IF($L$3=$AJ$8,'Statement of Marks'!Q82,IF($L$3=$AJ$9,'Statement of Marks'!AE82,IF($L$3=$AJ$10,'Statement of Marks'!AT82,IF($L$3=$AJ$11,'Statement of Marks'!BH82,IF($L$3=$AJ$12,'Statement of Marks'!BV82,IF($L$3=$AJ$13,'Statement of Marks'!CK82,IF($L$3=$AJ$14,('Statement of Marks'!DB82+'Statement of Marks'!DC82),IF($L$3=$AJ$15,'Statement of Marks'!EF82,IF($L$3=$AJ$16,('Statement of Marks'!ET82+'Statement of Marks'!EU82),IF($L$3=$AJ$17,('Statement of Marks'!FM82+'Statement of Marks'!FN82),IF($L$3=$AJ$18,'Statement of Marks'!FW82,IF($L$3=$AJ$19,'Statement of Marks'!GE82,"")))))))))))),"")</f>
        <v/>
      </c>
      <c r="Q83" s="812" t="str">
        <f t="shared" si="13"/>
        <v/>
      </c>
      <c r="R83" s="813">
        <f t="shared" si="11"/>
        <v>0</v>
      </c>
      <c r="S83" s="813" t="str">
        <f t="shared" si="14"/>
        <v/>
      </c>
      <c r="T83" s="813" t="str">
        <f t="shared" si="15"/>
        <v/>
      </c>
      <c r="U83" s="814" t="str">
        <f t="shared" si="16"/>
        <v/>
      </c>
      <c r="V83" s="815" t="str">
        <f t="shared" si="17"/>
        <v/>
      </c>
      <c r="W83" s="816" t="str">
        <f t="shared" si="12"/>
        <v/>
      </c>
    </row>
    <row r="84" spans="1:23">
      <c r="A84" s="803">
        <f>IF('Statement of Marks'!A83="","",'Statement of Marks'!A83)</f>
        <v>77</v>
      </c>
      <c r="B84" s="804" t="str">
        <f>IF(OR($D$3="",$L$3=""),"",IF('Statement of Marks'!B83="","",'Statement of Marks'!B83))</f>
        <v/>
      </c>
      <c r="C84" s="805" t="str">
        <f>IF(OR($D$3="",$L$3=""),"",IF('Statement of Marks'!D83="","",'Statement of Marks'!D83))</f>
        <v/>
      </c>
      <c r="D84" s="806" t="str">
        <f>IF(OR($D$3="",$L$3=""),"",IF('Statement of Marks'!E83="","",'Statement of Marks'!E83))</f>
        <v/>
      </c>
      <c r="E84" s="807" t="str">
        <f>IF(OR($D$3="",$L$3=""),"",IF('Statement of Marks'!F83="","",'Statement of Marks'!F83))</f>
        <v/>
      </c>
      <c r="F84" s="807" t="str">
        <f>IF(OR($D$3="",$L$3=""),"",IF('Statement of Marks'!G83="","",'Statement of Marks'!G83))</f>
        <v/>
      </c>
      <c r="G84" s="807" t="str">
        <f>IF(OR($D$3="",$L$3=""),"",IF('Statement of Marks'!H83="","",'Statement of Marks'!H83))</f>
        <v/>
      </c>
      <c r="H84" s="808" t="str">
        <f>IF(OR($D$3="",$L$3=""),"",IF('Statement of Marks'!I83="","",'Statement of Marks'!I83))</f>
        <v/>
      </c>
      <c r="I84" s="808" t="str">
        <f>IF(OR($D$3="",$L$3=""),"",IF('Statement of Marks'!J83="","",'Statement of Marks'!J83))</f>
        <v/>
      </c>
      <c r="J84" s="809" t="str">
        <f>IFERROR(IF($L$3=$AJ$8,'Statement of Marks'!K83,IF($L$3=$AJ$9,'Statement of Marks'!Y83,IF($L$3=$AJ$10,'Statement of Marks'!AN83,IF($L$3=$AJ$11,'Statement of Marks'!BB83,IF($L$3=$AJ$12,'Statement of Marks'!BP83,IF($L$3=$AJ$13,'Statement of Marks'!CE83,IF($L$3=$AJ$14,'Statement of Marks'!CT83,IF($L$3=$AJ$15,'Statement of Marks'!DZ83,IF($L$3=$AJ$16,'Statement of Marks'!EL83,IF($L$3=$AJ$17,('Statement of Marks'!FB83+'Statement of Marks'!FC83),"")))))))))),"")</f>
        <v/>
      </c>
      <c r="K84" s="809" t="str">
        <f>IFERROR(IF($L$3=$AJ$8,'Statement of Marks'!L83,IF($L$3=$AJ$9,'Statement of Marks'!Z83,IF($L$3=$AJ$10,'Statement of Marks'!AO83,IF($L$3=$AJ$11,'Statement of Marks'!BC83,IF($L$3=$AJ$12,'Statement of Marks'!BQ83,IF($L$3=$AJ$13,'Statement of Marks'!CF83,IF($L$3=$AJ$14,'Statement of Marks'!CU83,IF($L$3=$AJ$15,'Statement of Marks'!EA83,IF($L$3=$AJ$16,'Statement of Marks'!EM83,IF($L$3=$AJ$17,('Statement of Marks'!FD83+'Statement of Marks'!FE83),"")))))))))),"")</f>
        <v/>
      </c>
      <c r="L84" s="809" t="str">
        <f>IFERROR(IF($L$3=$AJ$8,'Statement of Marks'!M83,IF($L$3=$AJ$9,'Statement of Marks'!AA83,IF($L$3=$AJ$10,'Statement of Marks'!AP83,IF($L$3=$AJ$11,'Statement of Marks'!BD83,IF($L$3=$AJ$12,'Statement of Marks'!BR83,IF($L$3=$AJ$13,'Statement of Marks'!CG83,IF($L$3=$AJ$14,'Statement of Marks'!CV83,IF($L$3=$AJ$15,'Statement of Marks'!EB83,IF($L$3=$AJ$16,'Statement of Marks'!EN83,IF($L$3=$AJ$17,('Statement of Marks'!FF83+'Statement of Marks'!FG83),"")))))))))),"")</f>
        <v/>
      </c>
      <c r="M84" s="810">
        <f t="shared" si="10"/>
        <v>0</v>
      </c>
      <c r="N84" s="809" t="str">
        <f>IFERROR(IF($L$3=$AJ$8,'Statement of Marks'!O83,IF($L$3=$AJ$9,'Statement of Marks'!AC83,IF($L$3=$AJ$10,'Statement of Marks'!AR83,IF($L$3=$AJ$11,'Statement of Marks'!BF83,IF($L$3=$AJ$12,'Statement of Marks'!BT83,IF($L$3=$AJ$13,'Statement of Marks'!CI83,IF($L$3=$AJ$14,('Statement of Marks'!CX83+'Statement of Marks'!CY83),IF($L$3=$AJ$15,'Statement of Marks'!ED83,IF($L$3=$AJ$16,('Statement of Marks'!EP83+'Statement of Marks'!EQ83),IF($L$3=$AJ$17,('Statement of Marks'!FI83+'Statement of Marks'!FJ83),IF($L$3=$AJ$18,'Statement of Marks'!FU83,IF($L$3=$AJ$19,'Statement of Marks'!GC83,"")))))))))))),"")</f>
        <v/>
      </c>
      <c r="O84" s="811">
        <f>IF($L$3=$AJ$18,'Statement of Marks'!FV83,IF($L$3=$AJ$19,'Statement of Marks'!GD83,IF(AND(M84="NA",N84="NA"),"NA",IF(AND(M84="",N84=""),"",SUM(M84,N84)))))</f>
        <v>0</v>
      </c>
      <c r="P84" s="809" t="str">
        <f>IFERROR(IF($L$3=$AJ$8,'Statement of Marks'!Q83,IF($L$3=$AJ$9,'Statement of Marks'!AE83,IF($L$3=$AJ$10,'Statement of Marks'!AT83,IF($L$3=$AJ$11,'Statement of Marks'!BH83,IF($L$3=$AJ$12,'Statement of Marks'!BV83,IF($L$3=$AJ$13,'Statement of Marks'!CK83,IF($L$3=$AJ$14,('Statement of Marks'!DB83+'Statement of Marks'!DC83),IF($L$3=$AJ$15,'Statement of Marks'!EF83,IF($L$3=$AJ$16,('Statement of Marks'!ET83+'Statement of Marks'!EU83),IF($L$3=$AJ$17,('Statement of Marks'!FM83+'Statement of Marks'!FN83),IF($L$3=$AJ$18,'Statement of Marks'!FW83,IF($L$3=$AJ$19,'Statement of Marks'!GE83,"")))))))))))),"")</f>
        <v/>
      </c>
      <c r="Q84" s="812" t="str">
        <f t="shared" si="13"/>
        <v/>
      </c>
      <c r="R84" s="813">
        <f t="shared" si="11"/>
        <v>0</v>
      </c>
      <c r="S84" s="813" t="str">
        <f t="shared" si="14"/>
        <v/>
      </c>
      <c r="T84" s="813" t="str">
        <f t="shared" si="15"/>
        <v/>
      </c>
      <c r="U84" s="814" t="str">
        <f t="shared" si="16"/>
        <v/>
      </c>
      <c r="V84" s="815" t="str">
        <f t="shared" si="17"/>
        <v/>
      </c>
      <c r="W84" s="816" t="str">
        <f t="shared" si="12"/>
        <v/>
      </c>
    </row>
    <row r="85" spans="1:23">
      <c r="A85" s="803">
        <f>IF('Statement of Marks'!A84="","",'Statement of Marks'!A84)</f>
        <v>78</v>
      </c>
      <c r="B85" s="804" t="str">
        <f>IF(OR($D$3="",$L$3=""),"",IF('Statement of Marks'!B84="","",'Statement of Marks'!B84))</f>
        <v/>
      </c>
      <c r="C85" s="805" t="str">
        <f>IF(OR($D$3="",$L$3=""),"",IF('Statement of Marks'!D84="","",'Statement of Marks'!D84))</f>
        <v/>
      </c>
      <c r="D85" s="806" t="str">
        <f>IF(OR($D$3="",$L$3=""),"",IF('Statement of Marks'!E84="","",'Statement of Marks'!E84))</f>
        <v/>
      </c>
      <c r="E85" s="807" t="str">
        <f>IF(OR($D$3="",$L$3=""),"",IF('Statement of Marks'!F84="","",'Statement of Marks'!F84))</f>
        <v/>
      </c>
      <c r="F85" s="807" t="str">
        <f>IF(OR($D$3="",$L$3=""),"",IF('Statement of Marks'!G84="","",'Statement of Marks'!G84))</f>
        <v/>
      </c>
      <c r="G85" s="807" t="str">
        <f>IF(OR($D$3="",$L$3=""),"",IF('Statement of Marks'!H84="","",'Statement of Marks'!H84))</f>
        <v/>
      </c>
      <c r="H85" s="808" t="str">
        <f>IF(OR($D$3="",$L$3=""),"",IF('Statement of Marks'!I84="","",'Statement of Marks'!I84))</f>
        <v/>
      </c>
      <c r="I85" s="808" t="str">
        <f>IF(OR($D$3="",$L$3=""),"",IF('Statement of Marks'!J84="","",'Statement of Marks'!J84))</f>
        <v/>
      </c>
      <c r="J85" s="809" t="str">
        <f>IFERROR(IF($L$3=$AJ$8,'Statement of Marks'!K84,IF($L$3=$AJ$9,'Statement of Marks'!Y84,IF($L$3=$AJ$10,'Statement of Marks'!AN84,IF($L$3=$AJ$11,'Statement of Marks'!BB84,IF($L$3=$AJ$12,'Statement of Marks'!BP84,IF($L$3=$AJ$13,'Statement of Marks'!CE84,IF($L$3=$AJ$14,'Statement of Marks'!CT84,IF($L$3=$AJ$15,'Statement of Marks'!DZ84,IF($L$3=$AJ$16,'Statement of Marks'!EL84,IF($L$3=$AJ$17,('Statement of Marks'!FB84+'Statement of Marks'!FC84),"")))))))))),"")</f>
        <v/>
      </c>
      <c r="K85" s="809" t="str">
        <f>IFERROR(IF($L$3=$AJ$8,'Statement of Marks'!L84,IF($L$3=$AJ$9,'Statement of Marks'!Z84,IF($L$3=$AJ$10,'Statement of Marks'!AO84,IF($L$3=$AJ$11,'Statement of Marks'!BC84,IF($L$3=$AJ$12,'Statement of Marks'!BQ84,IF($L$3=$AJ$13,'Statement of Marks'!CF84,IF($L$3=$AJ$14,'Statement of Marks'!CU84,IF($L$3=$AJ$15,'Statement of Marks'!EA84,IF($L$3=$AJ$16,'Statement of Marks'!EM84,IF($L$3=$AJ$17,('Statement of Marks'!FD84+'Statement of Marks'!FE84),"")))))))))),"")</f>
        <v/>
      </c>
      <c r="L85" s="809" t="str">
        <f>IFERROR(IF($L$3=$AJ$8,'Statement of Marks'!M84,IF($L$3=$AJ$9,'Statement of Marks'!AA84,IF($L$3=$AJ$10,'Statement of Marks'!AP84,IF($L$3=$AJ$11,'Statement of Marks'!BD84,IF($L$3=$AJ$12,'Statement of Marks'!BR84,IF($L$3=$AJ$13,'Statement of Marks'!CG84,IF($L$3=$AJ$14,'Statement of Marks'!CV84,IF($L$3=$AJ$15,'Statement of Marks'!EB84,IF($L$3=$AJ$16,'Statement of Marks'!EN84,IF($L$3=$AJ$17,('Statement of Marks'!FF84+'Statement of Marks'!FG84),"")))))))))),"")</f>
        <v/>
      </c>
      <c r="M85" s="810">
        <f t="shared" si="10"/>
        <v>0</v>
      </c>
      <c r="N85" s="809" t="str">
        <f>IFERROR(IF($L$3=$AJ$8,'Statement of Marks'!O84,IF($L$3=$AJ$9,'Statement of Marks'!AC84,IF($L$3=$AJ$10,'Statement of Marks'!AR84,IF($L$3=$AJ$11,'Statement of Marks'!BF84,IF($L$3=$AJ$12,'Statement of Marks'!BT84,IF($L$3=$AJ$13,'Statement of Marks'!CI84,IF($L$3=$AJ$14,('Statement of Marks'!CX84+'Statement of Marks'!CY84),IF($L$3=$AJ$15,'Statement of Marks'!ED84,IF($L$3=$AJ$16,('Statement of Marks'!EP84+'Statement of Marks'!EQ84),IF($L$3=$AJ$17,('Statement of Marks'!FI84+'Statement of Marks'!FJ84),IF($L$3=$AJ$18,'Statement of Marks'!FU84,IF($L$3=$AJ$19,'Statement of Marks'!GC84,"")))))))))))),"")</f>
        <v/>
      </c>
      <c r="O85" s="811">
        <f>IF($L$3=$AJ$18,'Statement of Marks'!FV84,IF($L$3=$AJ$19,'Statement of Marks'!GD84,IF(AND(M85="NA",N85="NA"),"NA",IF(AND(M85="",N85=""),"",SUM(M85,N85)))))</f>
        <v>0</v>
      </c>
      <c r="P85" s="809" t="str">
        <f>IFERROR(IF($L$3=$AJ$8,'Statement of Marks'!Q84,IF($L$3=$AJ$9,'Statement of Marks'!AE84,IF($L$3=$AJ$10,'Statement of Marks'!AT84,IF($L$3=$AJ$11,'Statement of Marks'!BH84,IF($L$3=$AJ$12,'Statement of Marks'!BV84,IF($L$3=$AJ$13,'Statement of Marks'!CK84,IF($L$3=$AJ$14,('Statement of Marks'!DB84+'Statement of Marks'!DC84),IF($L$3=$AJ$15,'Statement of Marks'!EF84,IF($L$3=$AJ$16,('Statement of Marks'!ET84+'Statement of Marks'!EU84),IF($L$3=$AJ$17,('Statement of Marks'!FM84+'Statement of Marks'!FN84),IF($L$3=$AJ$18,'Statement of Marks'!FW84,IF($L$3=$AJ$19,'Statement of Marks'!GE84,"")))))))))))),"")</f>
        <v/>
      </c>
      <c r="Q85" s="812" t="str">
        <f t="shared" si="13"/>
        <v/>
      </c>
      <c r="R85" s="813">
        <f t="shared" si="11"/>
        <v>0</v>
      </c>
      <c r="S85" s="813" t="str">
        <f t="shared" si="14"/>
        <v/>
      </c>
      <c r="T85" s="813" t="str">
        <f t="shared" si="15"/>
        <v/>
      </c>
      <c r="U85" s="814" t="str">
        <f t="shared" si="16"/>
        <v/>
      </c>
      <c r="V85" s="815" t="str">
        <f t="shared" si="17"/>
        <v/>
      </c>
      <c r="W85" s="816" t="str">
        <f t="shared" si="12"/>
        <v/>
      </c>
    </row>
    <row r="86" spans="1:23">
      <c r="A86" s="803">
        <f>IF('Statement of Marks'!A85="","",'Statement of Marks'!A85)</f>
        <v>79</v>
      </c>
      <c r="B86" s="804" t="str">
        <f>IF(OR($D$3="",$L$3=""),"",IF('Statement of Marks'!B85="","",'Statement of Marks'!B85))</f>
        <v/>
      </c>
      <c r="C86" s="805" t="str">
        <f>IF(OR($D$3="",$L$3=""),"",IF('Statement of Marks'!D85="","",'Statement of Marks'!D85))</f>
        <v/>
      </c>
      <c r="D86" s="806" t="str">
        <f>IF(OR($D$3="",$L$3=""),"",IF('Statement of Marks'!E85="","",'Statement of Marks'!E85))</f>
        <v/>
      </c>
      <c r="E86" s="807" t="str">
        <f>IF(OR($D$3="",$L$3=""),"",IF('Statement of Marks'!F85="","",'Statement of Marks'!F85))</f>
        <v/>
      </c>
      <c r="F86" s="807" t="str">
        <f>IF(OR($D$3="",$L$3=""),"",IF('Statement of Marks'!G85="","",'Statement of Marks'!G85))</f>
        <v/>
      </c>
      <c r="G86" s="807" t="str">
        <f>IF(OR($D$3="",$L$3=""),"",IF('Statement of Marks'!H85="","",'Statement of Marks'!H85))</f>
        <v/>
      </c>
      <c r="H86" s="808" t="str">
        <f>IF(OR($D$3="",$L$3=""),"",IF('Statement of Marks'!I85="","",'Statement of Marks'!I85))</f>
        <v/>
      </c>
      <c r="I86" s="808" t="str">
        <f>IF(OR($D$3="",$L$3=""),"",IF('Statement of Marks'!J85="","",'Statement of Marks'!J85))</f>
        <v/>
      </c>
      <c r="J86" s="809" t="str">
        <f>IFERROR(IF($L$3=$AJ$8,'Statement of Marks'!K85,IF($L$3=$AJ$9,'Statement of Marks'!Y85,IF($L$3=$AJ$10,'Statement of Marks'!AN85,IF($L$3=$AJ$11,'Statement of Marks'!BB85,IF($L$3=$AJ$12,'Statement of Marks'!BP85,IF($L$3=$AJ$13,'Statement of Marks'!CE85,IF($L$3=$AJ$14,'Statement of Marks'!CT85,IF($L$3=$AJ$15,'Statement of Marks'!DZ85,IF($L$3=$AJ$16,'Statement of Marks'!EL85,IF($L$3=$AJ$17,('Statement of Marks'!FB85+'Statement of Marks'!FC85),"")))))))))),"")</f>
        <v/>
      </c>
      <c r="K86" s="809" t="str">
        <f>IFERROR(IF($L$3=$AJ$8,'Statement of Marks'!L85,IF($L$3=$AJ$9,'Statement of Marks'!Z85,IF($L$3=$AJ$10,'Statement of Marks'!AO85,IF($L$3=$AJ$11,'Statement of Marks'!BC85,IF($L$3=$AJ$12,'Statement of Marks'!BQ85,IF($L$3=$AJ$13,'Statement of Marks'!CF85,IF($L$3=$AJ$14,'Statement of Marks'!CU85,IF($L$3=$AJ$15,'Statement of Marks'!EA85,IF($L$3=$AJ$16,'Statement of Marks'!EM85,IF($L$3=$AJ$17,('Statement of Marks'!FD85+'Statement of Marks'!FE85),"")))))))))),"")</f>
        <v/>
      </c>
      <c r="L86" s="809" t="str">
        <f>IFERROR(IF($L$3=$AJ$8,'Statement of Marks'!M85,IF($L$3=$AJ$9,'Statement of Marks'!AA85,IF($L$3=$AJ$10,'Statement of Marks'!AP85,IF($L$3=$AJ$11,'Statement of Marks'!BD85,IF($L$3=$AJ$12,'Statement of Marks'!BR85,IF($L$3=$AJ$13,'Statement of Marks'!CG85,IF($L$3=$AJ$14,'Statement of Marks'!CV85,IF($L$3=$AJ$15,'Statement of Marks'!EB85,IF($L$3=$AJ$16,'Statement of Marks'!EN85,IF($L$3=$AJ$17,('Statement of Marks'!FF85+'Statement of Marks'!FG85),"")))))))))),"")</f>
        <v/>
      </c>
      <c r="M86" s="810">
        <f t="shared" si="10"/>
        <v>0</v>
      </c>
      <c r="N86" s="809" t="str">
        <f>IFERROR(IF($L$3=$AJ$8,'Statement of Marks'!O85,IF($L$3=$AJ$9,'Statement of Marks'!AC85,IF($L$3=$AJ$10,'Statement of Marks'!AR85,IF($L$3=$AJ$11,'Statement of Marks'!BF85,IF($L$3=$AJ$12,'Statement of Marks'!BT85,IF($L$3=$AJ$13,'Statement of Marks'!CI85,IF($L$3=$AJ$14,('Statement of Marks'!CX85+'Statement of Marks'!CY85),IF($L$3=$AJ$15,'Statement of Marks'!ED85,IF($L$3=$AJ$16,('Statement of Marks'!EP85+'Statement of Marks'!EQ85),IF($L$3=$AJ$17,('Statement of Marks'!FI85+'Statement of Marks'!FJ85),IF($L$3=$AJ$18,'Statement of Marks'!FU85,IF($L$3=$AJ$19,'Statement of Marks'!GC85,"")))))))))))),"")</f>
        <v/>
      </c>
      <c r="O86" s="811">
        <f>IF($L$3=$AJ$18,'Statement of Marks'!FV85,IF($L$3=$AJ$19,'Statement of Marks'!GD85,IF(AND(M86="NA",N86="NA"),"NA",IF(AND(M86="",N86=""),"",SUM(M86,N86)))))</f>
        <v>0</v>
      </c>
      <c r="P86" s="809" t="str">
        <f>IFERROR(IF($L$3=$AJ$8,'Statement of Marks'!Q85,IF($L$3=$AJ$9,'Statement of Marks'!AE85,IF($L$3=$AJ$10,'Statement of Marks'!AT85,IF($L$3=$AJ$11,'Statement of Marks'!BH85,IF($L$3=$AJ$12,'Statement of Marks'!BV85,IF($L$3=$AJ$13,'Statement of Marks'!CK85,IF($L$3=$AJ$14,('Statement of Marks'!DB85+'Statement of Marks'!DC85),IF($L$3=$AJ$15,'Statement of Marks'!EF85,IF($L$3=$AJ$16,('Statement of Marks'!ET85+'Statement of Marks'!EU85),IF($L$3=$AJ$17,('Statement of Marks'!FM85+'Statement of Marks'!FN85),IF($L$3=$AJ$18,'Statement of Marks'!FW85,IF($L$3=$AJ$19,'Statement of Marks'!GE85,"")))))))))))),"")</f>
        <v/>
      </c>
      <c r="Q86" s="812" t="str">
        <f t="shared" si="13"/>
        <v/>
      </c>
      <c r="R86" s="813">
        <f t="shared" si="11"/>
        <v>0</v>
      </c>
      <c r="S86" s="813" t="str">
        <f t="shared" si="14"/>
        <v/>
      </c>
      <c r="T86" s="813" t="str">
        <f t="shared" si="15"/>
        <v/>
      </c>
      <c r="U86" s="814" t="str">
        <f t="shared" si="16"/>
        <v/>
      </c>
      <c r="V86" s="815" t="str">
        <f t="shared" si="17"/>
        <v/>
      </c>
      <c r="W86" s="816" t="str">
        <f t="shared" si="12"/>
        <v/>
      </c>
    </row>
    <row r="87" spans="1:23">
      <c r="A87" s="803">
        <f>IF('Statement of Marks'!A86="","",'Statement of Marks'!A86)</f>
        <v>80</v>
      </c>
      <c r="B87" s="804" t="str">
        <f>IF(OR($D$3="",$L$3=""),"",IF('Statement of Marks'!B86="","",'Statement of Marks'!B86))</f>
        <v/>
      </c>
      <c r="C87" s="805" t="str">
        <f>IF(OR($D$3="",$L$3=""),"",IF('Statement of Marks'!D86="","",'Statement of Marks'!D86))</f>
        <v/>
      </c>
      <c r="D87" s="806" t="str">
        <f>IF(OR($D$3="",$L$3=""),"",IF('Statement of Marks'!E86="","",'Statement of Marks'!E86))</f>
        <v/>
      </c>
      <c r="E87" s="807" t="str">
        <f>IF(OR($D$3="",$L$3=""),"",IF('Statement of Marks'!F86="","",'Statement of Marks'!F86))</f>
        <v/>
      </c>
      <c r="F87" s="807" t="str">
        <f>IF(OR($D$3="",$L$3=""),"",IF('Statement of Marks'!G86="","",'Statement of Marks'!G86))</f>
        <v/>
      </c>
      <c r="G87" s="807" t="str">
        <f>IF(OR($D$3="",$L$3=""),"",IF('Statement of Marks'!H86="","",'Statement of Marks'!H86))</f>
        <v/>
      </c>
      <c r="H87" s="808" t="str">
        <f>IF(OR($D$3="",$L$3=""),"",IF('Statement of Marks'!I86="","",'Statement of Marks'!I86))</f>
        <v/>
      </c>
      <c r="I87" s="808" t="str">
        <f>IF(OR($D$3="",$L$3=""),"",IF('Statement of Marks'!J86="","",'Statement of Marks'!J86))</f>
        <v/>
      </c>
      <c r="J87" s="809" t="str">
        <f>IFERROR(IF($L$3=$AJ$8,'Statement of Marks'!K86,IF($L$3=$AJ$9,'Statement of Marks'!Y86,IF($L$3=$AJ$10,'Statement of Marks'!AN86,IF($L$3=$AJ$11,'Statement of Marks'!BB86,IF($L$3=$AJ$12,'Statement of Marks'!BP86,IF($L$3=$AJ$13,'Statement of Marks'!CE86,IF($L$3=$AJ$14,'Statement of Marks'!CT86,IF($L$3=$AJ$15,'Statement of Marks'!DZ86,IF($L$3=$AJ$16,'Statement of Marks'!EL86,IF($L$3=$AJ$17,('Statement of Marks'!FB86+'Statement of Marks'!FC86),"")))))))))),"")</f>
        <v/>
      </c>
      <c r="K87" s="809" t="str">
        <f>IFERROR(IF($L$3=$AJ$8,'Statement of Marks'!L86,IF($L$3=$AJ$9,'Statement of Marks'!Z86,IF($L$3=$AJ$10,'Statement of Marks'!AO86,IF($L$3=$AJ$11,'Statement of Marks'!BC86,IF($L$3=$AJ$12,'Statement of Marks'!BQ86,IF($L$3=$AJ$13,'Statement of Marks'!CF86,IF($L$3=$AJ$14,'Statement of Marks'!CU86,IF($L$3=$AJ$15,'Statement of Marks'!EA86,IF($L$3=$AJ$16,'Statement of Marks'!EM86,IF($L$3=$AJ$17,('Statement of Marks'!FD86+'Statement of Marks'!FE86),"")))))))))),"")</f>
        <v/>
      </c>
      <c r="L87" s="809" t="str">
        <f>IFERROR(IF($L$3=$AJ$8,'Statement of Marks'!M86,IF($L$3=$AJ$9,'Statement of Marks'!AA86,IF($L$3=$AJ$10,'Statement of Marks'!AP86,IF($L$3=$AJ$11,'Statement of Marks'!BD86,IF($L$3=$AJ$12,'Statement of Marks'!BR86,IF($L$3=$AJ$13,'Statement of Marks'!CG86,IF($L$3=$AJ$14,'Statement of Marks'!CV86,IF($L$3=$AJ$15,'Statement of Marks'!EB86,IF($L$3=$AJ$16,'Statement of Marks'!EN86,IF($L$3=$AJ$17,('Statement of Marks'!FF86+'Statement of Marks'!FG86),"")))))))))),"")</f>
        <v/>
      </c>
      <c r="M87" s="810">
        <f t="shared" si="10"/>
        <v>0</v>
      </c>
      <c r="N87" s="809" t="str">
        <f>IFERROR(IF($L$3=$AJ$8,'Statement of Marks'!O86,IF($L$3=$AJ$9,'Statement of Marks'!AC86,IF($L$3=$AJ$10,'Statement of Marks'!AR86,IF($L$3=$AJ$11,'Statement of Marks'!BF86,IF($L$3=$AJ$12,'Statement of Marks'!BT86,IF($L$3=$AJ$13,'Statement of Marks'!CI86,IF($L$3=$AJ$14,('Statement of Marks'!CX86+'Statement of Marks'!CY86),IF($L$3=$AJ$15,'Statement of Marks'!ED86,IF($L$3=$AJ$16,('Statement of Marks'!EP86+'Statement of Marks'!EQ86),IF($L$3=$AJ$17,('Statement of Marks'!FI86+'Statement of Marks'!FJ86),IF($L$3=$AJ$18,'Statement of Marks'!FU86,IF($L$3=$AJ$19,'Statement of Marks'!GC86,"")))))))))))),"")</f>
        <v/>
      </c>
      <c r="O87" s="811">
        <f>IF($L$3=$AJ$18,'Statement of Marks'!FV86,IF($L$3=$AJ$19,'Statement of Marks'!GD86,IF(AND(M87="NA",N87="NA"),"NA",IF(AND(M87="",N87=""),"",SUM(M87,N87)))))</f>
        <v>0</v>
      </c>
      <c r="P87" s="809" t="str">
        <f>IFERROR(IF($L$3=$AJ$8,'Statement of Marks'!Q86,IF($L$3=$AJ$9,'Statement of Marks'!AE86,IF($L$3=$AJ$10,'Statement of Marks'!AT86,IF($L$3=$AJ$11,'Statement of Marks'!BH86,IF($L$3=$AJ$12,'Statement of Marks'!BV86,IF($L$3=$AJ$13,'Statement of Marks'!CK86,IF($L$3=$AJ$14,('Statement of Marks'!DB86+'Statement of Marks'!DC86),IF($L$3=$AJ$15,'Statement of Marks'!EF86,IF($L$3=$AJ$16,('Statement of Marks'!ET86+'Statement of Marks'!EU86),IF($L$3=$AJ$17,('Statement of Marks'!FM86+'Statement of Marks'!FN86),IF($L$3=$AJ$18,'Statement of Marks'!FW86,IF($L$3=$AJ$19,'Statement of Marks'!GE86,"")))))))))))),"")</f>
        <v/>
      </c>
      <c r="Q87" s="812" t="str">
        <f t="shared" si="13"/>
        <v/>
      </c>
      <c r="R87" s="813">
        <f t="shared" si="11"/>
        <v>0</v>
      </c>
      <c r="S87" s="813" t="str">
        <f t="shared" si="14"/>
        <v/>
      </c>
      <c r="T87" s="813" t="str">
        <f t="shared" si="15"/>
        <v/>
      </c>
      <c r="U87" s="814" t="str">
        <f t="shared" si="16"/>
        <v/>
      </c>
      <c r="V87" s="815" t="str">
        <f t="shared" si="17"/>
        <v/>
      </c>
      <c r="W87" s="816" t="str">
        <f t="shared" si="12"/>
        <v/>
      </c>
    </row>
    <row r="88" spans="1:23">
      <c r="A88" s="803">
        <f>IF('Statement of Marks'!A87="","",'Statement of Marks'!A87)</f>
        <v>81</v>
      </c>
      <c r="B88" s="804" t="str">
        <f>IF(OR($D$3="",$L$3=""),"",IF('Statement of Marks'!B87="","",'Statement of Marks'!B87))</f>
        <v/>
      </c>
      <c r="C88" s="805" t="str">
        <f>IF(OR($D$3="",$L$3=""),"",IF('Statement of Marks'!D87="","",'Statement of Marks'!D87))</f>
        <v/>
      </c>
      <c r="D88" s="806" t="str">
        <f>IF(OR($D$3="",$L$3=""),"",IF('Statement of Marks'!E87="","",'Statement of Marks'!E87))</f>
        <v/>
      </c>
      <c r="E88" s="807" t="str">
        <f>IF(OR($D$3="",$L$3=""),"",IF('Statement of Marks'!F87="","",'Statement of Marks'!F87))</f>
        <v/>
      </c>
      <c r="F88" s="807" t="str">
        <f>IF(OR($D$3="",$L$3=""),"",IF('Statement of Marks'!G87="","",'Statement of Marks'!G87))</f>
        <v/>
      </c>
      <c r="G88" s="807" t="str">
        <f>IF(OR($D$3="",$L$3=""),"",IF('Statement of Marks'!H87="","",'Statement of Marks'!H87))</f>
        <v/>
      </c>
      <c r="H88" s="808" t="str">
        <f>IF(OR($D$3="",$L$3=""),"",IF('Statement of Marks'!I87="","",'Statement of Marks'!I87))</f>
        <v/>
      </c>
      <c r="I88" s="808" t="str">
        <f>IF(OR($D$3="",$L$3=""),"",IF('Statement of Marks'!J87="","",'Statement of Marks'!J87))</f>
        <v/>
      </c>
      <c r="J88" s="809" t="str">
        <f>IFERROR(IF($L$3=$AJ$8,'Statement of Marks'!K87,IF($L$3=$AJ$9,'Statement of Marks'!Y87,IF($L$3=$AJ$10,'Statement of Marks'!AN87,IF($L$3=$AJ$11,'Statement of Marks'!BB87,IF($L$3=$AJ$12,'Statement of Marks'!BP87,IF($L$3=$AJ$13,'Statement of Marks'!CE87,IF($L$3=$AJ$14,'Statement of Marks'!CT87,IF($L$3=$AJ$15,'Statement of Marks'!DZ87,IF($L$3=$AJ$16,'Statement of Marks'!EL87,IF($L$3=$AJ$17,('Statement of Marks'!FB87+'Statement of Marks'!FC87),"")))))))))),"")</f>
        <v/>
      </c>
      <c r="K88" s="809" t="str">
        <f>IFERROR(IF($L$3=$AJ$8,'Statement of Marks'!L87,IF($L$3=$AJ$9,'Statement of Marks'!Z87,IF($L$3=$AJ$10,'Statement of Marks'!AO87,IF($L$3=$AJ$11,'Statement of Marks'!BC87,IF($L$3=$AJ$12,'Statement of Marks'!BQ87,IF($L$3=$AJ$13,'Statement of Marks'!CF87,IF($L$3=$AJ$14,'Statement of Marks'!CU87,IF($L$3=$AJ$15,'Statement of Marks'!EA87,IF($L$3=$AJ$16,'Statement of Marks'!EM87,IF($L$3=$AJ$17,('Statement of Marks'!FD87+'Statement of Marks'!FE87),"")))))))))),"")</f>
        <v/>
      </c>
      <c r="L88" s="809" t="str">
        <f>IFERROR(IF($L$3=$AJ$8,'Statement of Marks'!M87,IF($L$3=$AJ$9,'Statement of Marks'!AA87,IF($L$3=$AJ$10,'Statement of Marks'!AP87,IF($L$3=$AJ$11,'Statement of Marks'!BD87,IF($L$3=$AJ$12,'Statement of Marks'!BR87,IF($L$3=$AJ$13,'Statement of Marks'!CG87,IF($L$3=$AJ$14,'Statement of Marks'!CV87,IF($L$3=$AJ$15,'Statement of Marks'!EB87,IF($L$3=$AJ$16,'Statement of Marks'!EN87,IF($L$3=$AJ$17,('Statement of Marks'!FF87+'Statement of Marks'!FG87),"")))))))))),"")</f>
        <v/>
      </c>
      <c r="M88" s="810">
        <f t="shared" si="10"/>
        <v>0</v>
      </c>
      <c r="N88" s="809" t="str">
        <f>IFERROR(IF($L$3=$AJ$8,'Statement of Marks'!O87,IF($L$3=$AJ$9,'Statement of Marks'!AC87,IF($L$3=$AJ$10,'Statement of Marks'!AR87,IF($L$3=$AJ$11,'Statement of Marks'!BF87,IF($L$3=$AJ$12,'Statement of Marks'!BT87,IF($L$3=$AJ$13,'Statement of Marks'!CI87,IF($L$3=$AJ$14,('Statement of Marks'!CX87+'Statement of Marks'!CY87),IF($L$3=$AJ$15,'Statement of Marks'!ED87,IF($L$3=$AJ$16,('Statement of Marks'!EP87+'Statement of Marks'!EQ87),IF($L$3=$AJ$17,('Statement of Marks'!FI87+'Statement of Marks'!FJ87),IF($L$3=$AJ$18,'Statement of Marks'!FU87,IF($L$3=$AJ$19,'Statement of Marks'!GC87,"")))))))))))),"")</f>
        <v/>
      </c>
      <c r="O88" s="811">
        <f>IF($L$3=$AJ$18,'Statement of Marks'!FV87,IF($L$3=$AJ$19,'Statement of Marks'!GD87,IF(AND(M88="NA",N88="NA"),"NA",IF(AND(M88="",N88=""),"",SUM(M88,N88)))))</f>
        <v>0</v>
      </c>
      <c r="P88" s="809" t="str">
        <f>IFERROR(IF($L$3=$AJ$8,'Statement of Marks'!Q87,IF($L$3=$AJ$9,'Statement of Marks'!AE87,IF($L$3=$AJ$10,'Statement of Marks'!AT87,IF($L$3=$AJ$11,'Statement of Marks'!BH87,IF($L$3=$AJ$12,'Statement of Marks'!BV87,IF($L$3=$AJ$13,'Statement of Marks'!CK87,IF($L$3=$AJ$14,('Statement of Marks'!DB87+'Statement of Marks'!DC87),IF($L$3=$AJ$15,'Statement of Marks'!EF87,IF($L$3=$AJ$16,('Statement of Marks'!ET87+'Statement of Marks'!EU87),IF($L$3=$AJ$17,('Statement of Marks'!FM87+'Statement of Marks'!FN87),IF($L$3=$AJ$18,'Statement of Marks'!FW87,IF($L$3=$AJ$19,'Statement of Marks'!GE87,"")))))))))))),"")</f>
        <v/>
      </c>
      <c r="Q88" s="812" t="str">
        <f t="shared" si="13"/>
        <v/>
      </c>
      <c r="R88" s="813">
        <f t="shared" si="11"/>
        <v>0</v>
      </c>
      <c r="S88" s="813" t="str">
        <f t="shared" si="14"/>
        <v/>
      </c>
      <c r="T88" s="813" t="str">
        <f t="shared" si="15"/>
        <v/>
      </c>
      <c r="U88" s="814" t="str">
        <f t="shared" si="16"/>
        <v/>
      </c>
      <c r="V88" s="815" t="str">
        <f t="shared" si="17"/>
        <v/>
      </c>
      <c r="W88" s="816" t="str">
        <f t="shared" si="12"/>
        <v/>
      </c>
    </row>
    <row r="89" spans="1:23">
      <c r="A89" s="803">
        <f>IF('Statement of Marks'!A88="","",'Statement of Marks'!A88)</f>
        <v>82</v>
      </c>
      <c r="B89" s="804" t="str">
        <f>IF(OR($D$3="",$L$3=""),"",IF('Statement of Marks'!B88="","",'Statement of Marks'!B88))</f>
        <v/>
      </c>
      <c r="C89" s="805" t="str">
        <f>IF(OR($D$3="",$L$3=""),"",IF('Statement of Marks'!D88="","",'Statement of Marks'!D88))</f>
        <v/>
      </c>
      <c r="D89" s="806" t="str">
        <f>IF(OR($D$3="",$L$3=""),"",IF('Statement of Marks'!E88="","",'Statement of Marks'!E88))</f>
        <v/>
      </c>
      <c r="E89" s="807" t="str">
        <f>IF(OR($D$3="",$L$3=""),"",IF('Statement of Marks'!F88="","",'Statement of Marks'!F88))</f>
        <v/>
      </c>
      <c r="F89" s="807" t="str">
        <f>IF(OR($D$3="",$L$3=""),"",IF('Statement of Marks'!G88="","",'Statement of Marks'!G88))</f>
        <v/>
      </c>
      <c r="G89" s="807" t="str">
        <f>IF(OR($D$3="",$L$3=""),"",IF('Statement of Marks'!H88="","",'Statement of Marks'!H88))</f>
        <v/>
      </c>
      <c r="H89" s="808" t="str">
        <f>IF(OR($D$3="",$L$3=""),"",IF('Statement of Marks'!I88="","",'Statement of Marks'!I88))</f>
        <v/>
      </c>
      <c r="I89" s="808" t="str">
        <f>IF(OR($D$3="",$L$3=""),"",IF('Statement of Marks'!J88="","",'Statement of Marks'!J88))</f>
        <v/>
      </c>
      <c r="J89" s="809" t="str">
        <f>IFERROR(IF($L$3=$AJ$8,'Statement of Marks'!K88,IF($L$3=$AJ$9,'Statement of Marks'!Y88,IF($L$3=$AJ$10,'Statement of Marks'!AN88,IF($L$3=$AJ$11,'Statement of Marks'!BB88,IF($L$3=$AJ$12,'Statement of Marks'!BP88,IF($L$3=$AJ$13,'Statement of Marks'!CE88,IF($L$3=$AJ$14,'Statement of Marks'!CT88,IF($L$3=$AJ$15,'Statement of Marks'!DZ88,IF($L$3=$AJ$16,'Statement of Marks'!EL88,IF($L$3=$AJ$17,('Statement of Marks'!FB88+'Statement of Marks'!FC88),"")))))))))),"")</f>
        <v/>
      </c>
      <c r="K89" s="809" t="str">
        <f>IFERROR(IF($L$3=$AJ$8,'Statement of Marks'!L88,IF($L$3=$AJ$9,'Statement of Marks'!Z88,IF($L$3=$AJ$10,'Statement of Marks'!AO88,IF($L$3=$AJ$11,'Statement of Marks'!BC88,IF($L$3=$AJ$12,'Statement of Marks'!BQ88,IF($L$3=$AJ$13,'Statement of Marks'!CF88,IF($L$3=$AJ$14,'Statement of Marks'!CU88,IF($L$3=$AJ$15,'Statement of Marks'!EA88,IF($L$3=$AJ$16,'Statement of Marks'!EM88,IF($L$3=$AJ$17,('Statement of Marks'!FD88+'Statement of Marks'!FE88),"")))))))))),"")</f>
        <v/>
      </c>
      <c r="L89" s="809" t="str">
        <f>IFERROR(IF($L$3=$AJ$8,'Statement of Marks'!M88,IF($L$3=$AJ$9,'Statement of Marks'!AA88,IF($L$3=$AJ$10,'Statement of Marks'!AP88,IF($L$3=$AJ$11,'Statement of Marks'!BD88,IF($L$3=$AJ$12,'Statement of Marks'!BR88,IF($L$3=$AJ$13,'Statement of Marks'!CG88,IF($L$3=$AJ$14,'Statement of Marks'!CV88,IF($L$3=$AJ$15,'Statement of Marks'!EB88,IF($L$3=$AJ$16,'Statement of Marks'!EN88,IF($L$3=$AJ$17,('Statement of Marks'!FF88+'Statement of Marks'!FG88),"")))))))))),"")</f>
        <v/>
      </c>
      <c r="M89" s="810">
        <f t="shared" si="10"/>
        <v>0</v>
      </c>
      <c r="N89" s="809" t="str">
        <f>IFERROR(IF($L$3=$AJ$8,'Statement of Marks'!O88,IF($L$3=$AJ$9,'Statement of Marks'!AC88,IF($L$3=$AJ$10,'Statement of Marks'!AR88,IF($L$3=$AJ$11,'Statement of Marks'!BF88,IF($L$3=$AJ$12,'Statement of Marks'!BT88,IF($L$3=$AJ$13,'Statement of Marks'!CI88,IF($L$3=$AJ$14,('Statement of Marks'!CX88+'Statement of Marks'!CY88),IF($L$3=$AJ$15,'Statement of Marks'!ED88,IF($L$3=$AJ$16,('Statement of Marks'!EP88+'Statement of Marks'!EQ88),IF($L$3=$AJ$17,('Statement of Marks'!FI88+'Statement of Marks'!FJ88),IF($L$3=$AJ$18,'Statement of Marks'!FU88,IF($L$3=$AJ$19,'Statement of Marks'!GC88,"")))))))))))),"")</f>
        <v/>
      </c>
      <c r="O89" s="811">
        <f>IF($L$3=$AJ$18,'Statement of Marks'!FV88,IF($L$3=$AJ$19,'Statement of Marks'!GD88,IF(AND(M89="NA",N89="NA"),"NA",IF(AND(M89="",N89=""),"",SUM(M89,N89)))))</f>
        <v>0</v>
      </c>
      <c r="P89" s="809" t="str">
        <f>IFERROR(IF($L$3=$AJ$8,'Statement of Marks'!Q88,IF($L$3=$AJ$9,'Statement of Marks'!AE88,IF($L$3=$AJ$10,'Statement of Marks'!AT88,IF($L$3=$AJ$11,'Statement of Marks'!BH88,IF($L$3=$AJ$12,'Statement of Marks'!BV88,IF($L$3=$AJ$13,'Statement of Marks'!CK88,IF($L$3=$AJ$14,('Statement of Marks'!DB88+'Statement of Marks'!DC88),IF($L$3=$AJ$15,'Statement of Marks'!EF88,IF($L$3=$AJ$16,('Statement of Marks'!ET88+'Statement of Marks'!EU88),IF($L$3=$AJ$17,('Statement of Marks'!FM88+'Statement of Marks'!FN88),IF($L$3=$AJ$18,'Statement of Marks'!FW88,IF($L$3=$AJ$19,'Statement of Marks'!GE88,"")))))))))))),"")</f>
        <v/>
      </c>
      <c r="Q89" s="812" t="str">
        <f t="shared" si="13"/>
        <v/>
      </c>
      <c r="R89" s="813">
        <f t="shared" si="11"/>
        <v>0</v>
      </c>
      <c r="S89" s="813" t="str">
        <f t="shared" si="14"/>
        <v/>
      </c>
      <c r="T89" s="813" t="str">
        <f t="shared" si="15"/>
        <v/>
      </c>
      <c r="U89" s="814" t="str">
        <f t="shared" si="16"/>
        <v/>
      </c>
      <c r="V89" s="815" t="str">
        <f t="shared" si="17"/>
        <v/>
      </c>
      <c r="W89" s="816" t="str">
        <f t="shared" si="12"/>
        <v/>
      </c>
    </row>
    <row r="90" spans="1:23">
      <c r="A90" s="803">
        <f>IF('Statement of Marks'!A89="","",'Statement of Marks'!A89)</f>
        <v>83</v>
      </c>
      <c r="B90" s="804" t="str">
        <f>IF(OR($D$3="",$L$3=""),"",IF('Statement of Marks'!B89="","",'Statement of Marks'!B89))</f>
        <v/>
      </c>
      <c r="C90" s="805" t="str">
        <f>IF(OR($D$3="",$L$3=""),"",IF('Statement of Marks'!D89="","",'Statement of Marks'!D89))</f>
        <v/>
      </c>
      <c r="D90" s="806" t="str">
        <f>IF(OR($D$3="",$L$3=""),"",IF('Statement of Marks'!E89="","",'Statement of Marks'!E89))</f>
        <v/>
      </c>
      <c r="E90" s="807" t="str">
        <f>IF(OR($D$3="",$L$3=""),"",IF('Statement of Marks'!F89="","",'Statement of Marks'!F89))</f>
        <v/>
      </c>
      <c r="F90" s="807" t="str">
        <f>IF(OR($D$3="",$L$3=""),"",IF('Statement of Marks'!G89="","",'Statement of Marks'!G89))</f>
        <v/>
      </c>
      <c r="G90" s="807" t="str">
        <f>IF(OR($D$3="",$L$3=""),"",IF('Statement of Marks'!H89="","",'Statement of Marks'!H89))</f>
        <v/>
      </c>
      <c r="H90" s="808" t="str">
        <f>IF(OR($D$3="",$L$3=""),"",IF('Statement of Marks'!I89="","",'Statement of Marks'!I89))</f>
        <v/>
      </c>
      <c r="I90" s="808" t="str">
        <f>IF(OR($D$3="",$L$3=""),"",IF('Statement of Marks'!J89="","",'Statement of Marks'!J89))</f>
        <v/>
      </c>
      <c r="J90" s="809" t="str">
        <f>IFERROR(IF($L$3=$AJ$8,'Statement of Marks'!K89,IF($L$3=$AJ$9,'Statement of Marks'!Y89,IF($L$3=$AJ$10,'Statement of Marks'!AN89,IF($L$3=$AJ$11,'Statement of Marks'!BB89,IF($L$3=$AJ$12,'Statement of Marks'!BP89,IF($L$3=$AJ$13,'Statement of Marks'!CE89,IF($L$3=$AJ$14,'Statement of Marks'!CT89,IF($L$3=$AJ$15,'Statement of Marks'!DZ89,IF($L$3=$AJ$16,'Statement of Marks'!EL89,IF($L$3=$AJ$17,('Statement of Marks'!FB89+'Statement of Marks'!FC89),"")))))))))),"")</f>
        <v/>
      </c>
      <c r="K90" s="809" t="str">
        <f>IFERROR(IF($L$3=$AJ$8,'Statement of Marks'!L89,IF($L$3=$AJ$9,'Statement of Marks'!Z89,IF($L$3=$AJ$10,'Statement of Marks'!AO89,IF($L$3=$AJ$11,'Statement of Marks'!BC89,IF($L$3=$AJ$12,'Statement of Marks'!BQ89,IF($L$3=$AJ$13,'Statement of Marks'!CF89,IF($L$3=$AJ$14,'Statement of Marks'!CU89,IF($L$3=$AJ$15,'Statement of Marks'!EA89,IF($L$3=$AJ$16,'Statement of Marks'!EM89,IF($L$3=$AJ$17,('Statement of Marks'!FD89+'Statement of Marks'!FE89),"")))))))))),"")</f>
        <v/>
      </c>
      <c r="L90" s="809" t="str">
        <f>IFERROR(IF($L$3=$AJ$8,'Statement of Marks'!M89,IF($L$3=$AJ$9,'Statement of Marks'!AA89,IF($L$3=$AJ$10,'Statement of Marks'!AP89,IF($L$3=$AJ$11,'Statement of Marks'!BD89,IF($L$3=$AJ$12,'Statement of Marks'!BR89,IF($L$3=$AJ$13,'Statement of Marks'!CG89,IF($L$3=$AJ$14,'Statement of Marks'!CV89,IF($L$3=$AJ$15,'Statement of Marks'!EB89,IF($L$3=$AJ$16,'Statement of Marks'!EN89,IF($L$3=$AJ$17,('Statement of Marks'!FF89+'Statement of Marks'!FG89),"")))))))))),"")</f>
        <v/>
      </c>
      <c r="M90" s="810">
        <f t="shared" si="10"/>
        <v>0</v>
      </c>
      <c r="N90" s="809" t="str">
        <f>IFERROR(IF($L$3=$AJ$8,'Statement of Marks'!O89,IF($L$3=$AJ$9,'Statement of Marks'!AC89,IF($L$3=$AJ$10,'Statement of Marks'!AR89,IF($L$3=$AJ$11,'Statement of Marks'!BF89,IF($L$3=$AJ$12,'Statement of Marks'!BT89,IF($L$3=$AJ$13,'Statement of Marks'!CI89,IF($L$3=$AJ$14,('Statement of Marks'!CX89+'Statement of Marks'!CY89),IF($L$3=$AJ$15,'Statement of Marks'!ED89,IF($L$3=$AJ$16,('Statement of Marks'!EP89+'Statement of Marks'!EQ89),IF($L$3=$AJ$17,('Statement of Marks'!FI89+'Statement of Marks'!FJ89),IF($L$3=$AJ$18,'Statement of Marks'!FU89,IF($L$3=$AJ$19,'Statement of Marks'!GC89,"")))))))))))),"")</f>
        <v/>
      </c>
      <c r="O90" s="811">
        <f>IF($L$3=$AJ$18,'Statement of Marks'!FV89,IF($L$3=$AJ$19,'Statement of Marks'!GD89,IF(AND(M90="NA",N90="NA"),"NA",IF(AND(M90="",N90=""),"",SUM(M90,N90)))))</f>
        <v>0</v>
      </c>
      <c r="P90" s="809" t="str">
        <f>IFERROR(IF($L$3=$AJ$8,'Statement of Marks'!Q89,IF($L$3=$AJ$9,'Statement of Marks'!AE89,IF($L$3=$AJ$10,'Statement of Marks'!AT89,IF($L$3=$AJ$11,'Statement of Marks'!BH89,IF($L$3=$AJ$12,'Statement of Marks'!BV89,IF($L$3=$AJ$13,'Statement of Marks'!CK89,IF($L$3=$AJ$14,('Statement of Marks'!DB89+'Statement of Marks'!DC89),IF($L$3=$AJ$15,'Statement of Marks'!EF89,IF($L$3=$AJ$16,('Statement of Marks'!ET89+'Statement of Marks'!EU89),IF($L$3=$AJ$17,('Statement of Marks'!FM89+'Statement of Marks'!FN89),IF($L$3=$AJ$18,'Statement of Marks'!FW89,IF($L$3=$AJ$19,'Statement of Marks'!GE89,"")))))))))))),"")</f>
        <v/>
      </c>
      <c r="Q90" s="812" t="str">
        <f t="shared" si="13"/>
        <v/>
      </c>
      <c r="R90" s="813">
        <f t="shared" si="11"/>
        <v>0</v>
      </c>
      <c r="S90" s="813" t="str">
        <f t="shared" si="14"/>
        <v/>
      </c>
      <c r="T90" s="813" t="str">
        <f t="shared" si="15"/>
        <v/>
      </c>
      <c r="U90" s="814" t="str">
        <f t="shared" si="16"/>
        <v/>
      </c>
      <c r="V90" s="815" t="str">
        <f t="shared" si="17"/>
        <v/>
      </c>
      <c r="W90" s="816" t="str">
        <f t="shared" si="12"/>
        <v/>
      </c>
    </row>
    <row r="91" spans="1:23">
      <c r="A91" s="803">
        <f>IF('Statement of Marks'!A90="","",'Statement of Marks'!A90)</f>
        <v>84</v>
      </c>
      <c r="B91" s="804" t="str">
        <f>IF(OR($D$3="",$L$3=""),"",IF('Statement of Marks'!B90="","",'Statement of Marks'!B90))</f>
        <v/>
      </c>
      <c r="C91" s="805" t="str">
        <f>IF(OR($D$3="",$L$3=""),"",IF('Statement of Marks'!D90="","",'Statement of Marks'!D90))</f>
        <v/>
      </c>
      <c r="D91" s="806" t="str">
        <f>IF(OR($D$3="",$L$3=""),"",IF('Statement of Marks'!E90="","",'Statement of Marks'!E90))</f>
        <v/>
      </c>
      <c r="E91" s="807" t="str">
        <f>IF(OR($D$3="",$L$3=""),"",IF('Statement of Marks'!F90="","",'Statement of Marks'!F90))</f>
        <v/>
      </c>
      <c r="F91" s="807" t="str">
        <f>IF(OR($D$3="",$L$3=""),"",IF('Statement of Marks'!G90="","",'Statement of Marks'!G90))</f>
        <v/>
      </c>
      <c r="G91" s="807" t="str">
        <f>IF(OR($D$3="",$L$3=""),"",IF('Statement of Marks'!H90="","",'Statement of Marks'!H90))</f>
        <v/>
      </c>
      <c r="H91" s="808" t="str">
        <f>IF(OR($D$3="",$L$3=""),"",IF('Statement of Marks'!I90="","",'Statement of Marks'!I90))</f>
        <v/>
      </c>
      <c r="I91" s="808" t="str">
        <f>IF(OR($D$3="",$L$3=""),"",IF('Statement of Marks'!J90="","",'Statement of Marks'!J90))</f>
        <v/>
      </c>
      <c r="J91" s="809" t="str">
        <f>IFERROR(IF($L$3=$AJ$8,'Statement of Marks'!K90,IF($L$3=$AJ$9,'Statement of Marks'!Y90,IF($L$3=$AJ$10,'Statement of Marks'!AN90,IF($L$3=$AJ$11,'Statement of Marks'!BB90,IF($L$3=$AJ$12,'Statement of Marks'!BP90,IF($L$3=$AJ$13,'Statement of Marks'!CE90,IF($L$3=$AJ$14,'Statement of Marks'!CT90,IF($L$3=$AJ$15,'Statement of Marks'!DZ90,IF($L$3=$AJ$16,'Statement of Marks'!EL90,IF($L$3=$AJ$17,('Statement of Marks'!FB90+'Statement of Marks'!FC90),"")))))))))),"")</f>
        <v/>
      </c>
      <c r="K91" s="809" t="str">
        <f>IFERROR(IF($L$3=$AJ$8,'Statement of Marks'!L90,IF($L$3=$AJ$9,'Statement of Marks'!Z90,IF($L$3=$AJ$10,'Statement of Marks'!AO90,IF($L$3=$AJ$11,'Statement of Marks'!BC90,IF($L$3=$AJ$12,'Statement of Marks'!BQ90,IF($L$3=$AJ$13,'Statement of Marks'!CF90,IF($L$3=$AJ$14,'Statement of Marks'!CU90,IF($L$3=$AJ$15,'Statement of Marks'!EA90,IF($L$3=$AJ$16,'Statement of Marks'!EM90,IF($L$3=$AJ$17,('Statement of Marks'!FD90+'Statement of Marks'!FE90),"")))))))))),"")</f>
        <v/>
      </c>
      <c r="L91" s="809" t="str">
        <f>IFERROR(IF($L$3=$AJ$8,'Statement of Marks'!M90,IF($L$3=$AJ$9,'Statement of Marks'!AA90,IF($L$3=$AJ$10,'Statement of Marks'!AP90,IF($L$3=$AJ$11,'Statement of Marks'!BD90,IF($L$3=$AJ$12,'Statement of Marks'!BR90,IF($L$3=$AJ$13,'Statement of Marks'!CG90,IF($L$3=$AJ$14,'Statement of Marks'!CV90,IF($L$3=$AJ$15,'Statement of Marks'!EB90,IF($L$3=$AJ$16,'Statement of Marks'!EN90,IF($L$3=$AJ$17,('Statement of Marks'!FF90+'Statement of Marks'!FG90),"")))))))))),"")</f>
        <v/>
      </c>
      <c r="M91" s="810">
        <f t="shared" si="10"/>
        <v>0</v>
      </c>
      <c r="N91" s="809" t="str">
        <f>IFERROR(IF($L$3=$AJ$8,'Statement of Marks'!O90,IF($L$3=$AJ$9,'Statement of Marks'!AC90,IF($L$3=$AJ$10,'Statement of Marks'!AR90,IF($L$3=$AJ$11,'Statement of Marks'!BF90,IF($L$3=$AJ$12,'Statement of Marks'!BT90,IF($L$3=$AJ$13,'Statement of Marks'!CI90,IF($L$3=$AJ$14,('Statement of Marks'!CX90+'Statement of Marks'!CY90),IF($L$3=$AJ$15,'Statement of Marks'!ED90,IF($L$3=$AJ$16,('Statement of Marks'!EP90+'Statement of Marks'!EQ90),IF($L$3=$AJ$17,('Statement of Marks'!FI90+'Statement of Marks'!FJ90),IF($L$3=$AJ$18,'Statement of Marks'!FU90,IF($L$3=$AJ$19,'Statement of Marks'!GC90,"")))))))))))),"")</f>
        <v/>
      </c>
      <c r="O91" s="811">
        <f>IF($L$3=$AJ$18,'Statement of Marks'!FV90,IF($L$3=$AJ$19,'Statement of Marks'!GD90,IF(AND(M91="NA",N91="NA"),"NA",IF(AND(M91="",N91=""),"",SUM(M91,N91)))))</f>
        <v>0</v>
      </c>
      <c r="P91" s="809" t="str">
        <f>IFERROR(IF($L$3=$AJ$8,'Statement of Marks'!Q90,IF($L$3=$AJ$9,'Statement of Marks'!AE90,IF($L$3=$AJ$10,'Statement of Marks'!AT90,IF($L$3=$AJ$11,'Statement of Marks'!BH90,IF($L$3=$AJ$12,'Statement of Marks'!BV90,IF($L$3=$AJ$13,'Statement of Marks'!CK90,IF($L$3=$AJ$14,('Statement of Marks'!DB90+'Statement of Marks'!DC90),IF($L$3=$AJ$15,'Statement of Marks'!EF90,IF($L$3=$AJ$16,('Statement of Marks'!ET90+'Statement of Marks'!EU90),IF($L$3=$AJ$17,('Statement of Marks'!FM90+'Statement of Marks'!FN90),IF($L$3=$AJ$18,'Statement of Marks'!FW90,IF($L$3=$AJ$19,'Statement of Marks'!GE90,"")))))))))))),"")</f>
        <v/>
      </c>
      <c r="Q91" s="812" t="str">
        <f t="shared" si="13"/>
        <v/>
      </c>
      <c r="R91" s="813">
        <f t="shared" si="11"/>
        <v>0</v>
      </c>
      <c r="S91" s="813" t="str">
        <f t="shared" si="14"/>
        <v/>
      </c>
      <c r="T91" s="813" t="str">
        <f t="shared" si="15"/>
        <v/>
      </c>
      <c r="U91" s="814" t="str">
        <f t="shared" si="16"/>
        <v/>
      </c>
      <c r="V91" s="815" t="str">
        <f t="shared" si="17"/>
        <v/>
      </c>
      <c r="W91" s="816" t="str">
        <f t="shared" si="12"/>
        <v/>
      </c>
    </row>
    <row r="92" spans="1:23">
      <c r="A92" s="803">
        <f>IF('Statement of Marks'!A91="","",'Statement of Marks'!A91)</f>
        <v>85</v>
      </c>
      <c r="B92" s="804" t="str">
        <f>IF(OR($D$3="",$L$3=""),"",IF('Statement of Marks'!B91="","",'Statement of Marks'!B91))</f>
        <v/>
      </c>
      <c r="C92" s="805" t="str">
        <f>IF(OR($D$3="",$L$3=""),"",IF('Statement of Marks'!D91="","",'Statement of Marks'!D91))</f>
        <v/>
      </c>
      <c r="D92" s="806" t="str">
        <f>IF(OR($D$3="",$L$3=""),"",IF('Statement of Marks'!E91="","",'Statement of Marks'!E91))</f>
        <v/>
      </c>
      <c r="E92" s="807" t="str">
        <f>IF(OR($D$3="",$L$3=""),"",IF('Statement of Marks'!F91="","",'Statement of Marks'!F91))</f>
        <v/>
      </c>
      <c r="F92" s="807" t="str">
        <f>IF(OR($D$3="",$L$3=""),"",IF('Statement of Marks'!G91="","",'Statement of Marks'!G91))</f>
        <v/>
      </c>
      <c r="G92" s="807" t="str">
        <f>IF(OR($D$3="",$L$3=""),"",IF('Statement of Marks'!H91="","",'Statement of Marks'!H91))</f>
        <v/>
      </c>
      <c r="H92" s="808" t="str">
        <f>IF(OR($D$3="",$L$3=""),"",IF('Statement of Marks'!I91="","",'Statement of Marks'!I91))</f>
        <v/>
      </c>
      <c r="I92" s="808" t="str">
        <f>IF(OR($D$3="",$L$3=""),"",IF('Statement of Marks'!J91="","",'Statement of Marks'!J91))</f>
        <v/>
      </c>
      <c r="J92" s="809" t="str">
        <f>IFERROR(IF($L$3=$AJ$8,'Statement of Marks'!K91,IF($L$3=$AJ$9,'Statement of Marks'!Y91,IF($L$3=$AJ$10,'Statement of Marks'!AN91,IF($L$3=$AJ$11,'Statement of Marks'!BB91,IF($L$3=$AJ$12,'Statement of Marks'!BP91,IF($L$3=$AJ$13,'Statement of Marks'!CE91,IF($L$3=$AJ$14,'Statement of Marks'!CT91,IF($L$3=$AJ$15,'Statement of Marks'!DZ91,IF($L$3=$AJ$16,'Statement of Marks'!EL91,IF($L$3=$AJ$17,('Statement of Marks'!FB91+'Statement of Marks'!FC91),"")))))))))),"")</f>
        <v/>
      </c>
      <c r="K92" s="809" t="str">
        <f>IFERROR(IF($L$3=$AJ$8,'Statement of Marks'!L91,IF($L$3=$AJ$9,'Statement of Marks'!Z91,IF($L$3=$AJ$10,'Statement of Marks'!AO91,IF($L$3=$AJ$11,'Statement of Marks'!BC91,IF($L$3=$AJ$12,'Statement of Marks'!BQ91,IF($L$3=$AJ$13,'Statement of Marks'!CF91,IF($L$3=$AJ$14,'Statement of Marks'!CU91,IF($L$3=$AJ$15,'Statement of Marks'!EA91,IF($L$3=$AJ$16,'Statement of Marks'!EM91,IF($L$3=$AJ$17,('Statement of Marks'!FD91+'Statement of Marks'!FE91),"")))))))))),"")</f>
        <v/>
      </c>
      <c r="L92" s="809" t="str">
        <f>IFERROR(IF($L$3=$AJ$8,'Statement of Marks'!M91,IF($L$3=$AJ$9,'Statement of Marks'!AA91,IF($L$3=$AJ$10,'Statement of Marks'!AP91,IF($L$3=$AJ$11,'Statement of Marks'!BD91,IF($L$3=$AJ$12,'Statement of Marks'!BR91,IF($L$3=$AJ$13,'Statement of Marks'!CG91,IF($L$3=$AJ$14,'Statement of Marks'!CV91,IF($L$3=$AJ$15,'Statement of Marks'!EB91,IF($L$3=$AJ$16,'Statement of Marks'!EN91,IF($L$3=$AJ$17,('Statement of Marks'!FF91+'Statement of Marks'!FG91),"")))))))))),"")</f>
        <v/>
      </c>
      <c r="M92" s="810">
        <f t="shared" si="10"/>
        <v>0</v>
      </c>
      <c r="N92" s="809" t="str">
        <f>IFERROR(IF($L$3=$AJ$8,'Statement of Marks'!O91,IF($L$3=$AJ$9,'Statement of Marks'!AC91,IF($L$3=$AJ$10,'Statement of Marks'!AR91,IF($L$3=$AJ$11,'Statement of Marks'!BF91,IF($L$3=$AJ$12,'Statement of Marks'!BT91,IF($L$3=$AJ$13,'Statement of Marks'!CI91,IF($L$3=$AJ$14,('Statement of Marks'!CX91+'Statement of Marks'!CY91),IF($L$3=$AJ$15,'Statement of Marks'!ED91,IF($L$3=$AJ$16,('Statement of Marks'!EP91+'Statement of Marks'!EQ91),IF($L$3=$AJ$17,('Statement of Marks'!FI91+'Statement of Marks'!FJ91),IF($L$3=$AJ$18,'Statement of Marks'!FU91,IF($L$3=$AJ$19,'Statement of Marks'!GC91,"")))))))))))),"")</f>
        <v/>
      </c>
      <c r="O92" s="811">
        <f>IF($L$3=$AJ$18,'Statement of Marks'!FV91,IF($L$3=$AJ$19,'Statement of Marks'!GD91,IF(AND(M92="NA",N92="NA"),"NA",IF(AND(M92="",N92=""),"",SUM(M92,N92)))))</f>
        <v>0</v>
      </c>
      <c r="P92" s="809" t="str">
        <f>IFERROR(IF($L$3=$AJ$8,'Statement of Marks'!Q91,IF($L$3=$AJ$9,'Statement of Marks'!AE91,IF($L$3=$AJ$10,'Statement of Marks'!AT91,IF($L$3=$AJ$11,'Statement of Marks'!BH91,IF($L$3=$AJ$12,'Statement of Marks'!BV91,IF($L$3=$AJ$13,'Statement of Marks'!CK91,IF($L$3=$AJ$14,('Statement of Marks'!DB91+'Statement of Marks'!DC91),IF($L$3=$AJ$15,'Statement of Marks'!EF91,IF($L$3=$AJ$16,('Statement of Marks'!ET91+'Statement of Marks'!EU91),IF($L$3=$AJ$17,('Statement of Marks'!FM91+'Statement of Marks'!FN91),IF($L$3=$AJ$18,'Statement of Marks'!FW91,IF($L$3=$AJ$19,'Statement of Marks'!GE91,"")))))))))))),"")</f>
        <v/>
      </c>
      <c r="Q92" s="812" t="str">
        <f t="shared" si="13"/>
        <v/>
      </c>
      <c r="R92" s="813">
        <f t="shared" si="11"/>
        <v>0</v>
      </c>
      <c r="S92" s="813" t="str">
        <f t="shared" si="14"/>
        <v/>
      </c>
      <c r="T92" s="813" t="str">
        <f t="shared" si="15"/>
        <v/>
      </c>
      <c r="U92" s="814" t="str">
        <f t="shared" si="16"/>
        <v/>
      </c>
      <c r="V92" s="815" t="str">
        <f t="shared" si="17"/>
        <v/>
      </c>
      <c r="W92" s="816" t="str">
        <f t="shared" si="12"/>
        <v/>
      </c>
    </row>
    <row r="93" spans="1:23">
      <c r="A93" s="803">
        <f>IF('Statement of Marks'!A92="","",'Statement of Marks'!A92)</f>
        <v>86</v>
      </c>
      <c r="B93" s="804" t="str">
        <f>IF(OR($D$3="",$L$3=""),"",IF('Statement of Marks'!B92="","",'Statement of Marks'!B92))</f>
        <v/>
      </c>
      <c r="C93" s="805" t="str">
        <f>IF(OR($D$3="",$L$3=""),"",IF('Statement of Marks'!D92="","",'Statement of Marks'!D92))</f>
        <v/>
      </c>
      <c r="D93" s="806" t="str">
        <f>IF(OR($D$3="",$L$3=""),"",IF('Statement of Marks'!E92="","",'Statement of Marks'!E92))</f>
        <v/>
      </c>
      <c r="E93" s="807" t="str">
        <f>IF(OR($D$3="",$L$3=""),"",IF('Statement of Marks'!F92="","",'Statement of Marks'!F92))</f>
        <v/>
      </c>
      <c r="F93" s="807" t="str">
        <f>IF(OR($D$3="",$L$3=""),"",IF('Statement of Marks'!G92="","",'Statement of Marks'!G92))</f>
        <v/>
      </c>
      <c r="G93" s="807" t="str">
        <f>IF(OR($D$3="",$L$3=""),"",IF('Statement of Marks'!H92="","",'Statement of Marks'!H92))</f>
        <v/>
      </c>
      <c r="H93" s="808" t="str">
        <f>IF(OR($D$3="",$L$3=""),"",IF('Statement of Marks'!I92="","",'Statement of Marks'!I92))</f>
        <v/>
      </c>
      <c r="I93" s="808" t="str">
        <f>IF(OR($D$3="",$L$3=""),"",IF('Statement of Marks'!J92="","",'Statement of Marks'!J92))</f>
        <v/>
      </c>
      <c r="J93" s="809" t="str">
        <f>IFERROR(IF($L$3=$AJ$8,'Statement of Marks'!K92,IF($L$3=$AJ$9,'Statement of Marks'!Y92,IF($L$3=$AJ$10,'Statement of Marks'!AN92,IF($L$3=$AJ$11,'Statement of Marks'!BB92,IF($L$3=$AJ$12,'Statement of Marks'!BP92,IF($L$3=$AJ$13,'Statement of Marks'!CE92,IF($L$3=$AJ$14,'Statement of Marks'!CT92,IF($L$3=$AJ$15,'Statement of Marks'!DZ92,IF($L$3=$AJ$16,'Statement of Marks'!EL92,IF($L$3=$AJ$17,('Statement of Marks'!FB92+'Statement of Marks'!FC92),"")))))))))),"")</f>
        <v/>
      </c>
      <c r="K93" s="809" t="str">
        <f>IFERROR(IF($L$3=$AJ$8,'Statement of Marks'!L92,IF($L$3=$AJ$9,'Statement of Marks'!Z92,IF($L$3=$AJ$10,'Statement of Marks'!AO92,IF($L$3=$AJ$11,'Statement of Marks'!BC92,IF($L$3=$AJ$12,'Statement of Marks'!BQ92,IF($L$3=$AJ$13,'Statement of Marks'!CF92,IF($L$3=$AJ$14,'Statement of Marks'!CU92,IF($L$3=$AJ$15,'Statement of Marks'!EA92,IF($L$3=$AJ$16,'Statement of Marks'!EM92,IF($L$3=$AJ$17,('Statement of Marks'!FD92+'Statement of Marks'!FE92),"")))))))))),"")</f>
        <v/>
      </c>
      <c r="L93" s="809" t="str">
        <f>IFERROR(IF($L$3=$AJ$8,'Statement of Marks'!M92,IF($L$3=$AJ$9,'Statement of Marks'!AA92,IF($L$3=$AJ$10,'Statement of Marks'!AP92,IF($L$3=$AJ$11,'Statement of Marks'!BD92,IF($L$3=$AJ$12,'Statement of Marks'!BR92,IF($L$3=$AJ$13,'Statement of Marks'!CG92,IF($L$3=$AJ$14,'Statement of Marks'!CV92,IF($L$3=$AJ$15,'Statement of Marks'!EB92,IF($L$3=$AJ$16,'Statement of Marks'!EN92,IF($L$3=$AJ$17,('Statement of Marks'!FF92+'Statement of Marks'!FG92),"")))))))))),"")</f>
        <v/>
      </c>
      <c r="M93" s="810">
        <f t="shared" si="10"/>
        <v>0</v>
      </c>
      <c r="N93" s="809" t="str">
        <f>IFERROR(IF($L$3=$AJ$8,'Statement of Marks'!O92,IF($L$3=$AJ$9,'Statement of Marks'!AC92,IF($L$3=$AJ$10,'Statement of Marks'!AR92,IF($L$3=$AJ$11,'Statement of Marks'!BF92,IF($L$3=$AJ$12,'Statement of Marks'!BT92,IF($L$3=$AJ$13,'Statement of Marks'!CI92,IF($L$3=$AJ$14,('Statement of Marks'!CX92+'Statement of Marks'!CY92),IF($L$3=$AJ$15,'Statement of Marks'!ED92,IF($L$3=$AJ$16,('Statement of Marks'!EP92+'Statement of Marks'!EQ92),IF($L$3=$AJ$17,('Statement of Marks'!FI92+'Statement of Marks'!FJ92),IF($L$3=$AJ$18,'Statement of Marks'!FU92,IF($L$3=$AJ$19,'Statement of Marks'!GC92,"")))))))))))),"")</f>
        <v/>
      </c>
      <c r="O93" s="811">
        <f>IF($L$3=$AJ$18,'Statement of Marks'!FV92,IF($L$3=$AJ$19,'Statement of Marks'!GD92,IF(AND(M93="NA",N93="NA"),"NA",IF(AND(M93="",N93=""),"",SUM(M93,N93)))))</f>
        <v>0</v>
      </c>
      <c r="P93" s="809" t="str">
        <f>IFERROR(IF($L$3=$AJ$8,'Statement of Marks'!Q92,IF($L$3=$AJ$9,'Statement of Marks'!AE92,IF($L$3=$AJ$10,'Statement of Marks'!AT92,IF($L$3=$AJ$11,'Statement of Marks'!BH92,IF($L$3=$AJ$12,'Statement of Marks'!BV92,IF($L$3=$AJ$13,'Statement of Marks'!CK92,IF($L$3=$AJ$14,('Statement of Marks'!DB92+'Statement of Marks'!DC92),IF($L$3=$AJ$15,'Statement of Marks'!EF92,IF($L$3=$AJ$16,('Statement of Marks'!ET92+'Statement of Marks'!EU92),IF($L$3=$AJ$17,('Statement of Marks'!FM92+'Statement of Marks'!FN92),IF($L$3=$AJ$18,'Statement of Marks'!FW92,IF($L$3=$AJ$19,'Statement of Marks'!GE92,"")))))))))))),"")</f>
        <v/>
      </c>
      <c r="Q93" s="812" t="str">
        <f t="shared" si="13"/>
        <v/>
      </c>
      <c r="R93" s="813">
        <f t="shared" si="11"/>
        <v>0</v>
      </c>
      <c r="S93" s="813" t="str">
        <f t="shared" si="14"/>
        <v/>
      </c>
      <c r="T93" s="813" t="str">
        <f t="shared" si="15"/>
        <v/>
      </c>
      <c r="U93" s="814" t="str">
        <f t="shared" si="16"/>
        <v/>
      </c>
      <c r="V93" s="815" t="str">
        <f t="shared" si="17"/>
        <v/>
      </c>
      <c r="W93" s="816" t="str">
        <f t="shared" si="12"/>
        <v/>
      </c>
    </row>
    <row r="94" spans="1:23">
      <c r="A94" s="803">
        <f>IF('Statement of Marks'!A93="","",'Statement of Marks'!A93)</f>
        <v>87</v>
      </c>
      <c r="B94" s="804" t="str">
        <f>IF(OR($D$3="",$L$3=""),"",IF('Statement of Marks'!B93="","",'Statement of Marks'!B93))</f>
        <v/>
      </c>
      <c r="C94" s="805" t="str">
        <f>IF(OR($D$3="",$L$3=""),"",IF('Statement of Marks'!D93="","",'Statement of Marks'!D93))</f>
        <v/>
      </c>
      <c r="D94" s="806" t="str">
        <f>IF(OR($D$3="",$L$3=""),"",IF('Statement of Marks'!E93="","",'Statement of Marks'!E93))</f>
        <v/>
      </c>
      <c r="E94" s="807" t="str">
        <f>IF(OR($D$3="",$L$3=""),"",IF('Statement of Marks'!F93="","",'Statement of Marks'!F93))</f>
        <v/>
      </c>
      <c r="F94" s="807" t="str">
        <f>IF(OR($D$3="",$L$3=""),"",IF('Statement of Marks'!G93="","",'Statement of Marks'!G93))</f>
        <v/>
      </c>
      <c r="G94" s="807" t="str">
        <f>IF(OR($D$3="",$L$3=""),"",IF('Statement of Marks'!H93="","",'Statement of Marks'!H93))</f>
        <v/>
      </c>
      <c r="H94" s="808" t="str">
        <f>IF(OR($D$3="",$L$3=""),"",IF('Statement of Marks'!I93="","",'Statement of Marks'!I93))</f>
        <v/>
      </c>
      <c r="I94" s="808" t="str">
        <f>IF(OR($D$3="",$L$3=""),"",IF('Statement of Marks'!J93="","",'Statement of Marks'!J93))</f>
        <v/>
      </c>
      <c r="J94" s="809" t="str">
        <f>IFERROR(IF($L$3=$AJ$8,'Statement of Marks'!K93,IF($L$3=$AJ$9,'Statement of Marks'!Y93,IF($L$3=$AJ$10,'Statement of Marks'!AN93,IF($L$3=$AJ$11,'Statement of Marks'!BB93,IF($L$3=$AJ$12,'Statement of Marks'!BP93,IF($L$3=$AJ$13,'Statement of Marks'!CE93,IF($L$3=$AJ$14,'Statement of Marks'!CT93,IF($L$3=$AJ$15,'Statement of Marks'!DZ93,IF($L$3=$AJ$16,'Statement of Marks'!EL93,IF($L$3=$AJ$17,('Statement of Marks'!FB93+'Statement of Marks'!FC93),"")))))))))),"")</f>
        <v/>
      </c>
      <c r="K94" s="809" t="str">
        <f>IFERROR(IF($L$3=$AJ$8,'Statement of Marks'!L93,IF($L$3=$AJ$9,'Statement of Marks'!Z93,IF($L$3=$AJ$10,'Statement of Marks'!AO93,IF($L$3=$AJ$11,'Statement of Marks'!BC93,IF($L$3=$AJ$12,'Statement of Marks'!BQ93,IF($L$3=$AJ$13,'Statement of Marks'!CF93,IF($L$3=$AJ$14,'Statement of Marks'!CU93,IF($L$3=$AJ$15,'Statement of Marks'!EA93,IF($L$3=$AJ$16,'Statement of Marks'!EM93,IF($L$3=$AJ$17,('Statement of Marks'!FD93+'Statement of Marks'!FE93),"")))))))))),"")</f>
        <v/>
      </c>
      <c r="L94" s="809" t="str">
        <f>IFERROR(IF($L$3=$AJ$8,'Statement of Marks'!M93,IF($L$3=$AJ$9,'Statement of Marks'!AA93,IF($L$3=$AJ$10,'Statement of Marks'!AP93,IF($L$3=$AJ$11,'Statement of Marks'!BD93,IF($L$3=$AJ$12,'Statement of Marks'!BR93,IF($L$3=$AJ$13,'Statement of Marks'!CG93,IF($L$3=$AJ$14,'Statement of Marks'!CV93,IF($L$3=$AJ$15,'Statement of Marks'!EB93,IF($L$3=$AJ$16,'Statement of Marks'!EN93,IF($L$3=$AJ$17,('Statement of Marks'!FF93+'Statement of Marks'!FG93),"")))))))))),"")</f>
        <v/>
      </c>
      <c r="M94" s="810">
        <f t="shared" si="10"/>
        <v>0</v>
      </c>
      <c r="N94" s="809" t="str">
        <f>IFERROR(IF($L$3=$AJ$8,'Statement of Marks'!O93,IF($L$3=$AJ$9,'Statement of Marks'!AC93,IF($L$3=$AJ$10,'Statement of Marks'!AR93,IF($L$3=$AJ$11,'Statement of Marks'!BF93,IF($L$3=$AJ$12,'Statement of Marks'!BT93,IF($L$3=$AJ$13,'Statement of Marks'!CI93,IF($L$3=$AJ$14,('Statement of Marks'!CX93+'Statement of Marks'!CY93),IF($L$3=$AJ$15,'Statement of Marks'!ED93,IF($L$3=$AJ$16,('Statement of Marks'!EP93+'Statement of Marks'!EQ93),IF($L$3=$AJ$17,('Statement of Marks'!FI93+'Statement of Marks'!FJ93),IF($L$3=$AJ$18,'Statement of Marks'!FU93,IF($L$3=$AJ$19,'Statement of Marks'!GC93,"")))))))))))),"")</f>
        <v/>
      </c>
      <c r="O94" s="811">
        <f>IF($L$3=$AJ$18,'Statement of Marks'!FV93,IF($L$3=$AJ$19,'Statement of Marks'!GD93,IF(AND(M94="NA",N94="NA"),"NA",IF(AND(M94="",N94=""),"",SUM(M94,N94)))))</f>
        <v>0</v>
      </c>
      <c r="P94" s="809" t="str">
        <f>IFERROR(IF($L$3=$AJ$8,'Statement of Marks'!Q93,IF($L$3=$AJ$9,'Statement of Marks'!AE93,IF($L$3=$AJ$10,'Statement of Marks'!AT93,IF($L$3=$AJ$11,'Statement of Marks'!BH93,IF($L$3=$AJ$12,'Statement of Marks'!BV93,IF($L$3=$AJ$13,'Statement of Marks'!CK93,IF($L$3=$AJ$14,('Statement of Marks'!DB93+'Statement of Marks'!DC93),IF($L$3=$AJ$15,'Statement of Marks'!EF93,IF($L$3=$AJ$16,('Statement of Marks'!ET93+'Statement of Marks'!EU93),IF($L$3=$AJ$17,('Statement of Marks'!FM93+'Statement of Marks'!FN93),IF($L$3=$AJ$18,'Statement of Marks'!FW93,IF($L$3=$AJ$19,'Statement of Marks'!GE93,"")))))))))))),"")</f>
        <v/>
      </c>
      <c r="Q94" s="812" t="str">
        <f t="shared" si="13"/>
        <v/>
      </c>
      <c r="R94" s="813">
        <f t="shared" si="11"/>
        <v>0</v>
      </c>
      <c r="S94" s="813" t="str">
        <f t="shared" si="14"/>
        <v/>
      </c>
      <c r="T94" s="813" t="str">
        <f t="shared" si="15"/>
        <v/>
      </c>
      <c r="U94" s="814" t="str">
        <f t="shared" si="16"/>
        <v/>
      </c>
      <c r="V94" s="815" t="str">
        <f t="shared" si="17"/>
        <v/>
      </c>
      <c r="W94" s="816" t="str">
        <f t="shared" si="12"/>
        <v/>
      </c>
    </row>
    <row r="95" spans="1:23">
      <c r="A95" s="803">
        <f>IF('Statement of Marks'!A94="","",'Statement of Marks'!A94)</f>
        <v>88</v>
      </c>
      <c r="B95" s="804" t="str">
        <f>IF(OR($D$3="",$L$3=""),"",IF('Statement of Marks'!B94="","",'Statement of Marks'!B94))</f>
        <v/>
      </c>
      <c r="C95" s="805" t="str">
        <f>IF(OR($D$3="",$L$3=""),"",IF('Statement of Marks'!D94="","",'Statement of Marks'!D94))</f>
        <v/>
      </c>
      <c r="D95" s="806" t="str">
        <f>IF(OR($D$3="",$L$3=""),"",IF('Statement of Marks'!E94="","",'Statement of Marks'!E94))</f>
        <v/>
      </c>
      <c r="E95" s="807" t="str">
        <f>IF(OR($D$3="",$L$3=""),"",IF('Statement of Marks'!F94="","",'Statement of Marks'!F94))</f>
        <v/>
      </c>
      <c r="F95" s="807" t="str">
        <f>IF(OR($D$3="",$L$3=""),"",IF('Statement of Marks'!G94="","",'Statement of Marks'!G94))</f>
        <v/>
      </c>
      <c r="G95" s="807" t="str">
        <f>IF(OR($D$3="",$L$3=""),"",IF('Statement of Marks'!H94="","",'Statement of Marks'!H94))</f>
        <v/>
      </c>
      <c r="H95" s="808" t="str">
        <f>IF(OR($D$3="",$L$3=""),"",IF('Statement of Marks'!I94="","",'Statement of Marks'!I94))</f>
        <v/>
      </c>
      <c r="I95" s="808" t="str">
        <f>IF(OR($D$3="",$L$3=""),"",IF('Statement of Marks'!J94="","",'Statement of Marks'!J94))</f>
        <v/>
      </c>
      <c r="J95" s="809" t="str">
        <f>IFERROR(IF($L$3=$AJ$8,'Statement of Marks'!K94,IF($L$3=$AJ$9,'Statement of Marks'!Y94,IF($L$3=$AJ$10,'Statement of Marks'!AN94,IF($L$3=$AJ$11,'Statement of Marks'!BB94,IF($L$3=$AJ$12,'Statement of Marks'!BP94,IF($L$3=$AJ$13,'Statement of Marks'!CE94,IF($L$3=$AJ$14,'Statement of Marks'!CT94,IF($L$3=$AJ$15,'Statement of Marks'!DZ94,IF($L$3=$AJ$16,'Statement of Marks'!EL94,IF($L$3=$AJ$17,('Statement of Marks'!FB94+'Statement of Marks'!FC94),"")))))))))),"")</f>
        <v/>
      </c>
      <c r="K95" s="809" t="str">
        <f>IFERROR(IF($L$3=$AJ$8,'Statement of Marks'!L94,IF($L$3=$AJ$9,'Statement of Marks'!Z94,IF($L$3=$AJ$10,'Statement of Marks'!AO94,IF($L$3=$AJ$11,'Statement of Marks'!BC94,IF($L$3=$AJ$12,'Statement of Marks'!BQ94,IF($L$3=$AJ$13,'Statement of Marks'!CF94,IF($L$3=$AJ$14,'Statement of Marks'!CU94,IF($L$3=$AJ$15,'Statement of Marks'!EA94,IF($L$3=$AJ$16,'Statement of Marks'!EM94,IF($L$3=$AJ$17,('Statement of Marks'!FD94+'Statement of Marks'!FE94),"")))))))))),"")</f>
        <v/>
      </c>
      <c r="L95" s="809" t="str">
        <f>IFERROR(IF($L$3=$AJ$8,'Statement of Marks'!M94,IF($L$3=$AJ$9,'Statement of Marks'!AA94,IF($L$3=$AJ$10,'Statement of Marks'!AP94,IF($L$3=$AJ$11,'Statement of Marks'!BD94,IF($L$3=$AJ$12,'Statement of Marks'!BR94,IF($L$3=$AJ$13,'Statement of Marks'!CG94,IF($L$3=$AJ$14,'Statement of Marks'!CV94,IF($L$3=$AJ$15,'Statement of Marks'!EB94,IF($L$3=$AJ$16,'Statement of Marks'!EN94,IF($L$3=$AJ$17,('Statement of Marks'!FF94+'Statement of Marks'!FG94),"")))))))))),"")</f>
        <v/>
      </c>
      <c r="M95" s="810">
        <f t="shared" si="10"/>
        <v>0</v>
      </c>
      <c r="N95" s="809" t="str">
        <f>IFERROR(IF($L$3=$AJ$8,'Statement of Marks'!O94,IF($L$3=$AJ$9,'Statement of Marks'!AC94,IF($L$3=$AJ$10,'Statement of Marks'!AR94,IF($L$3=$AJ$11,'Statement of Marks'!BF94,IF($L$3=$AJ$12,'Statement of Marks'!BT94,IF($L$3=$AJ$13,'Statement of Marks'!CI94,IF($L$3=$AJ$14,('Statement of Marks'!CX94+'Statement of Marks'!CY94),IF($L$3=$AJ$15,'Statement of Marks'!ED94,IF($L$3=$AJ$16,('Statement of Marks'!EP94+'Statement of Marks'!EQ94),IF($L$3=$AJ$17,('Statement of Marks'!FI94+'Statement of Marks'!FJ94),IF($L$3=$AJ$18,'Statement of Marks'!FU94,IF($L$3=$AJ$19,'Statement of Marks'!GC94,"")))))))))))),"")</f>
        <v/>
      </c>
      <c r="O95" s="811">
        <f>IF($L$3=$AJ$18,'Statement of Marks'!FV94,IF($L$3=$AJ$19,'Statement of Marks'!GD94,IF(AND(M95="NA",N95="NA"),"NA",IF(AND(M95="",N95=""),"",SUM(M95,N95)))))</f>
        <v>0</v>
      </c>
      <c r="P95" s="809" t="str">
        <f>IFERROR(IF($L$3=$AJ$8,'Statement of Marks'!Q94,IF($L$3=$AJ$9,'Statement of Marks'!AE94,IF($L$3=$AJ$10,'Statement of Marks'!AT94,IF($L$3=$AJ$11,'Statement of Marks'!BH94,IF($L$3=$AJ$12,'Statement of Marks'!BV94,IF($L$3=$AJ$13,'Statement of Marks'!CK94,IF($L$3=$AJ$14,('Statement of Marks'!DB94+'Statement of Marks'!DC94),IF($L$3=$AJ$15,'Statement of Marks'!EF94,IF($L$3=$AJ$16,('Statement of Marks'!ET94+'Statement of Marks'!EU94),IF($L$3=$AJ$17,('Statement of Marks'!FM94+'Statement of Marks'!FN94),IF($L$3=$AJ$18,'Statement of Marks'!FW94,IF($L$3=$AJ$19,'Statement of Marks'!GE94,"")))))))))))),"")</f>
        <v/>
      </c>
      <c r="Q95" s="812" t="str">
        <f t="shared" si="13"/>
        <v/>
      </c>
      <c r="R95" s="813">
        <f t="shared" si="11"/>
        <v>0</v>
      </c>
      <c r="S95" s="813" t="str">
        <f t="shared" si="14"/>
        <v/>
      </c>
      <c r="T95" s="813" t="str">
        <f t="shared" si="15"/>
        <v/>
      </c>
      <c r="U95" s="814" t="str">
        <f t="shared" si="16"/>
        <v/>
      </c>
      <c r="V95" s="815" t="str">
        <f t="shared" si="17"/>
        <v/>
      </c>
      <c r="W95" s="816" t="str">
        <f t="shared" si="12"/>
        <v/>
      </c>
    </row>
    <row r="96" spans="1:23">
      <c r="A96" s="803">
        <f>IF('Statement of Marks'!A95="","",'Statement of Marks'!A95)</f>
        <v>89</v>
      </c>
      <c r="B96" s="804" t="str">
        <f>IF(OR($D$3="",$L$3=""),"",IF('Statement of Marks'!B95="","",'Statement of Marks'!B95))</f>
        <v/>
      </c>
      <c r="C96" s="805" t="str">
        <f>IF(OR($D$3="",$L$3=""),"",IF('Statement of Marks'!D95="","",'Statement of Marks'!D95))</f>
        <v/>
      </c>
      <c r="D96" s="806" t="str">
        <f>IF(OR($D$3="",$L$3=""),"",IF('Statement of Marks'!E95="","",'Statement of Marks'!E95))</f>
        <v/>
      </c>
      <c r="E96" s="807" t="str">
        <f>IF(OR($D$3="",$L$3=""),"",IF('Statement of Marks'!F95="","",'Statement of Marks'!F95))</f>
        <v/>
      </c>
      <c r="F96" s="807" t="str">
        <f>IF(OR($D$3="",$L$3=""),"",IF('Statement of Marks'!G95="","",'Statement of Marks'!G95))</f>
        <v/>
      </c>
      <c r="G96" s="807" t="str">
        <f>IF(OR($D$3="",$L$3=""),"",IF('Statement of Marks'!H95="","",'Statement of Marks'!H95))</f>
        <v/>
      </c>
      <c r="H96" s="808" t="str">
        <f>IF(OR($D$3="",$L$3=""),"",IF('Statement of Marks'!I95="","",'Statement of Marks'!I95))</f>
        <v/>
      </c>
      <c r="I96" s="808" t="str">
        <f>IF(OR($D$3="",$L$3=""),"",IF('Statement of Marks'!J95="","",'Statement of Marks'!J95))</f>
        <v/>
      </c>
      <c r="J96" s="809" t="str">
        <f>IFERROR(IF($L$3=$AJ$8,'Statement of Marks'!K95,IF($L$3=$AJ$9,'Statement of Marks'!Y95,IF($L$3=$AJ$10,'Statement of Marks'!AN95,IF($L$3=$AJ$11,'Statement of Marks'!BB95,IF($L$3=$AJ$12,'Statement of Marks'!BP95,IF($L$3=$AJ$13,'Statement of Marks'!CE95,IF($L$3=$AJ$14,'Statement of Marks'!CT95,IF($L$3=$AJ$15,'Statement of Marks'!DZ95,IF($L$3=$AJ$16,'Statement of Marks'!EL95,IF($L$3=$AJ$17,('Statement of Marks'!FB95+'Statement of Marks'!FC95),"")))))))))),"")</f>
        <v/>
      </c>
      <c r="K96" s="809" t="str">
        <f>IFERROR(IF($L$3=$AJ$8,'Statement of Marks'!L95,IF($L$3=$AJ$9,'Statement of Marks'!Z95,IF($L$3=$AJ$10,'Statement of Marks'!AO95,IF($L$3=$AJ$11,'Statement of Marks'!BC95,IF($L$3=$AJ$12,'Statement of Marks'!BQ95,IF($L$3=$AJ$13,'Statement of Marks'!CF95,IF($L$3=$AJ$14,'Statement of Marks'!CU95,IF($L$3=$AJ$15,'Statement of Marks'!EA95,IF($L$3=$AJ$16,'Statement of Marks'!EM95,IF($L$3=$AJ$17,('Statement of Marks'!FD95+'Statement of Marks'!FE95),"")))))))))),"")</f>
        <v/>
      </c>
      <c r="L96" s="809" t="str">
        <f>IFERROR(IF($L$3=$AJ$8,'Statement of Marks'!M95,IF($L$3=$AJ$9,'Statement of Marks'!AA95,IF($L$3=$AJ$10,'Statement of Marks'!AP95,IF($L$3=$AJ$11,'Statement of Marks'!BD95,IF($L$3=$AJ$12,'Statement of Marks'!BR95,IF($L$3=$AJ$13,'Statement of Marks'!CG95,IF($L$3=$AJ$14,'Statement of Marks'!CV95,IF($L$3=$AJ$15,'Statement of Marks'!EB95,IF($L$3=$AJ$16,'Statement of Marks'!EN95,IF($L$3=$AJ$17,('Statement of Marks'!FF95+'Statement of Marks'!FG95),"")))))))))),"")</f>
        <v/>
      </c>
      <c r="M96" s="810">
        <f t="shared" si="10"/>
        <v>0</v>
      </c>
      <c r="N96" s="809" t="str">
        <f>IFERROR(IF($L$3=$AJ$8,'Statement of Marks'!O95,IF($L$3=$AJ$9,'Statement of Marks'!AC95,IF($L$3=$AJ$10,'Statement of Marks'!AR95,IF($L$3=$AJ$11,'Statement of Marks'!BF95,IF($L$3=$AJ$12,'Statement of Marks'!BT95,IF($L$3=$AJ$13,'Statement of Marks'!CI95,IF($L$3=$AJ$14,('Statement of Marks'!CX95+'Statement of Marks'!CY95),IF($L$3=$AJ$15,'Statement of Marks'!ED95,IF($L$3=$AJ$16,('Statement of Marks'!EP95+'Statement of Marks'!EQ95),IF($L$3=$AJ$17,('Statement of Marks'!FI95+'Statement of Marks'!FJ95),IF($L$3=$AJ$18,'Statement of Marks'!FU95,IF($L$3=$AJ$19,'Statement of Marks'!GC95,"")))))))))))),"")</f>
        <v/>
      </c>
      <c r="O96" s="811">
        <f>IF($L$3=$AJ$18,'Statement of Marks'!FV95,IF($L$3=$AJ$19,'Statement of Marks'!GD95,IF(AND(M96="NA",N96="NA"),"NA",IF(AND(M96="",N96=""),"",SUM(M96,N96)))))</f>
        <v>0</v>
      </c>
      <c r="P96" s="809" t="str">
        <f>IFERROR(IF($L$3=$AJ$8,'Statement of Marks'!Q95,IF($L$3=$AJ$9,'Statement of Marks'!AE95,IF($L$3=$AJ$10,'Statement of Marks'!AT95,IF($L$3=$AJ$11,'Statement of Marks'!BH95,IF($L$3=$AJ$12,'Statement of Marks'!BV95,IF($L$3=$AJ$13,'Statement of Marks'!CK95,IF($L$3=$AJ$14,('Statement of Marks'!DB95+'Statement of Marks'!DC95),IF($L$3=$AJ$15,'Statement of Marks'!EF95,IF($L$3=$AJ$16,('Statement of Marks'!ET95+'Statement of Marks'!EU95),IF($L$3=$AJ$17,('Statement of Marks'!FM95+'Statement of Marks'!FN95),IF($L$3=$AJ$18,'Statement of Marks'!FW95,IF($L$3=$AJ$19,'Statement of Marks'!GE95,"")))))))))))),"")</f>
        <v/>
      </c>
      <c r="Q96" s="812" t="str">
        <f t="shared" si="13"/>
        <v/>
      </c>
      <c r="R96" s="813">
        <f t="shared" si="11"/>
        <v>0</v>
      </c>
      <c r="S96" s="813" t="str">
        <f t="shared" si="14"/>
        <v/>
      </c>
      <c r="T96" s="813" t="str">
        <f t="shared" si="15"/>
        <v/>
      </c>
      <c r="U96" s="814" t="str">
        <f t="shared" si="16"/>
        <v/>
      </c>
      <c r="V96" s="815" t="str">
        <f t="shared" si="17"/>
        <v/>
      </c>
      <c r="W96" s="816" t="str">
        <f t="shared" si="12"/>
        <v/>
      </c>
    </row>
    <row r="97" spans="1:23">
      <c r="A97" s="803">
        <f>IF('Statement of Marks'!A96="","",'Statement of Marks'!A96)</f>
        <v>90</v>
      </c>
      <c r="B97" s="804" t="str">
        <f>IF(OR($D$3="",$L$3=""),"",IF('Statement of Marks'!B96="","",'Statement of Marks'!B96))</f>
        <v/>
      </c>
      <c r="C97" s="805" t="str">
        <f>IF(OR($D$3="",$L$3=""),"",IF('Statement of Marks'!D96="","",'Statement of Marks'!D96))</f>
        <v/>
      </c>
      <c r="D97" s="806" t="str">
        <f>IF(OR($D$3="",$L$3=""),"",IF('Statement of Marks'!E96="","",'Statement of Marks'!E96))</f>
        <v/>
      </c>
      <c r="E97" s="807" t="str">
        <f>IF(OR($D$3="",$L$3=""),"",IF('Statement of Marks'!F96="","",'Statement of Marks'!F96))</f>
        <v/>
      </c>
      <c r="F97" s="807" t="str">
        <f>IF(OR($D$3="",$L$3=""),"",IF('Statement of Marks'!G96="","",'Statement of Marks'!G96))</f>
        <v/>
      </c>
      <c r="G97" s="807" t="str">
        <f>IF(OR($D$3="",$L$3=""),"",IF('Statement of Marks'!H96="","",'Statement of Marks'!H96))</f>
        <v/>
      </c>
      <c r="H97" s="808" t="str">
        <f>IF(OR($D$3="",$L$3=""),"",IF('Statement of Marks'!I96="","",'Statement of Marks'!I96))</f>
        <v/>
      </c>
      <c r="I97" s="808" t="str">
        <f>IF(OR($D$3="",$L$3=""),"",IF('Statement of Marks'!J96="","",'Statement of Marks'!J96))</f>
        <v/>
      </c>
      <c r="J97" s="809" t="str">
        <f>IFERROR(IF($L$3=$AJ$8,'Statement of Marks'!K96,IF($L$3=$AJ$9,'Statement of Marks'!Y96,IF($L$3=$AJ$10,'Statement of Marks'!AN96,IF($L$3=$AJ$11,'Statement of Marks'!BB96,IF($L$3=$AJ$12,'Statement of Marks'!BP96,IF($L$3=$AJ$13,'Statement of Marks'!CE96,IF($L$3=$AJ$14,'Statement of Marks'!CT96,IF($L$3=$AJ$15,'Statement of Marks'!DZ96,IF($L$3=$AJ$16,'Statement of Marks'!EL96,IF($L$3=$AJ$17,('Statement of Marks'!FB96+'Statement of Marks'!FC96),"")))))))))),"")</f>
        <v/>
      </c>
      <c r="K97" s="809" t="str">
        <f>IFERROR(IF($L$3=$AJ$8,'Statement of Marks'!L96,IF($L$3=$AJ$9,'Statement of Marks'!Z96,IF($L$3=$AJ$10,'Statement of Marks'!AO96,IF($L$3=$AJ$11,'Statement of Marks'!BC96,IF($L$3=$AJ$12,'Statement of Marks'!BQ96,IF($L$3=$AJ$13,'Statement of Marks'!CF96,IF($L$3=$AJ$14,'Statement of Marks'!CU96,IF($L$3=$AJ$15,'Statement of Marks'!EA96,IF($L$3=$AJ$16,'Statement of Marks'!EM96,IF($L$3=$AJ$17,('Statement of Marks'!FD96+'Statement of Marks'!FE96),"")))))))))),"")</f>
        <v/>
      </c>
      <c r="L97" s="809" t="str">
        <f>IFERROR(IF($L$3=$AJ$8,'Statement of Marks'!M96,IF($L$3=$AJ$9,'Statement of Marks'!AA96,IF($L$3=$AJ$10,'Statement of Marks'!AP96,IF($L$3=$AJ$11,'Statement of Marks'!BD96,IF($L$3=$AJ$12,'Statement of Marks'!BR96,IF($L$3=$AJ$13,'Statement of Marks'!CG96,IF($L$3=$AJ$14,'Statement of Marks'!CV96,IF($L$3=$AJ$15,'Statement of Marks'!EB96,IF($L$3=$AJ$16,'Statement of Marks'!EN96,IF($L$3=$AJ$17,('Statement of Marks'!FF96+'Statement of Marks'!FG96),"")))))))))),"")</f>
        <v/>
      </c>
      <c r="M97" s="810">
        <f t="shared" si="10"/>
        <v>0</v>
      </c>
      <c r="N97" s="809" t="str">
        <f>IFERROR(IF($L$3=$AJ$8,'Statement of Marks'!O96,IF($L$3=$AJ$9,'Statement of Marks'!AC96,IF($L$3=$AJ$10,'Statement of Marks'!AR96,IF($L$3=$AJ$11,'Statement of Marks'!BF96,IF($L$3=$AJ$12,'Statement of Marks'!BT96,IF($L$3=$AJ$13,'Statement of Marks'!CI96,IF($L$3=$AJ$14,('Statement of Marks'!CX96+'Statement of Marks'!CY96),IF($L$3=$AJ$15,'Statement of Marks'!ED96,IF($L$3=$AJ$16,('Statement of Marks'!EP96+'Statement of Marks'!EQ96),IF($L$3=$AJ$17,('Statement of Marks'!FI96+'Statement of Marks'!FJ96),IF($L$3=$AJ$18,'Statement of Marks'!FU96,IF($L$3=$AJ$19,'Statement of Marks'!GC96,"")))))))))))),"")</f>
        <v/>
      </c>
      <c r="O97" s="811">
        <f>IF($L$3=$AJ$18,'Statement of Marks'!FV96,IF($L$3=$AJ$19,'Statement of Marks'!GD96,IF(AND(M97="NA",N97="NA"),"NA",IF(AND(M97="",N97=""),"",SUM(M97,N97)))))</f>
        <v>0</v>
      </c>
      <c r="P97" s="809" t="str">
        <f>IFERROR(IF($L$3=$AJ$8,'Statement of Marks'!Q96,IF($L$3=$AJ$9,'Statement of Marks'!AE96,IF($L$3=$AJ$10,'Statement of Marks'!AT96,IF($L$3=$AJ$11,'Statement of Marks'!BH96,IF($L$3=$AJ$12,'Statement of Marks'!BV96,IF($L$3=$AJ$13,'Statement of Marks'!CK96,IF($L$3=$AJ$14,('Statement of Marks'!DB96+'Statement of Marks'!DC96),IF($L$3=$AJ$15,'Statement of Marks'!EF96,IF($L$3=$AJ$16,('Statement of Marks'!ET96+'Statement of Marks'!EU96),IF($L$3=$AJ$17,('Statement of Marks'!FM96+'Statement of Marks'!FN96),IF($L$3=$AJ$18,'Statement of Marks'!FW96,IF($L$3=$AJ$19,'Statement of Marks'!GE96,"")))))))))))),"")</f>
        <v/>
      </c>
      <c r="Q97" s="812" t="str">
        <f t="shared" si="13"/>
        <v/>
      </c>
      <c r="R97" s="813">
        <f t="shared" si="11"/>
        <v>0</v>
      </c>
      <c r="S97" s="813" t="str">
        <f t="shared" si="14"/>
        <v/>
      </c>
      <c r="T97" s="813" t="str">
        <f t="shared" si="15"/>
        <v/>
      </c>
      <c r="U97" s="814" t="str">
        <f t="shared" si="16"/>
        <v/>
      </c>
      <c r="V97" s="815" t="str">
        <f t="shared" si="17"/>
        <v/>
      </c>
      <c r="W97" s="816" t="str">
        <f t="shared" si="12"/>
        <v/>
      </c>
    </row>
    <row r="98" spans="1:23">
      <c r="A98" s="803">
        <f>IF('Statement of Marks'!A97="","",'Statement of Marks'!A97)</f>
        <v>91</v>
      </c>
      <c r="B98" s="804" t="str">
        <f>IF(OR($D$3="",$L$3=""),"",IF('Statement of Marks'!B97="","",'Statement of Marks'!B97))</f>
        <v/>
      </c>
      <c r="C98" s="805" t="str">
        <f>IF(OR($D$3="",$L$3=""),"",IF('Statement of Marks'!D97="","",'Statement of Marks'!D97))</f>
        <v/>
      </c>
      <c r="D98" s="806" t="str">
        <f>IF(OR($D$3="",$L$3=""),"",IF('Statement of Marks'!E97="","",'Statement of Marks'!E97))</f>
        <v/>
      </c>
      <c r="E98" s="807" t="str">
        <f>IF(OR($D$3="",$L$3=""),"",IF('Statement of Marks'!F97="","",'Statement of Marks'!F97))</f>
        <v/>
      </c>
      <c r="F98" s="807" t="str">
        <f>IF(OR($D$3="",$L$3=""),"",IF('Statement of Marks'!G97="","",'Statement of Marks'!G97))</f>
        <v/>
      </c>
      <c r="G98" s="807" t="str">
        <f>IF(OR($D$3="",$L$3=""),"",IF('Statement of Marks'!H97="","",'Statement of Marks'!H97))</f>
        <v/>
      </c>
      <c r="H98" s="808" t="str">
        <f>IF(OR($D$3="",$L$3=""),"",IF('Statement of Marks'!I97="","",'Statement of Marks'!I97))</f>
        <v/>
      </c>
      <c r="I98" s="808" t="str">
        <f>IF(OR($D$3="",$L$3=""),"",IF('Statement of Marks'!J97="","",'Statement of Marks'!J97))</f>
        <v/>
      </c>
      <c r="J98" s="809" t="str">
        <f>IFERROR(IF($L$3=$AJ$8,'Statement of Marks'!K97,IF($L$3=$AJ$9,'Statement of Marks'!Y97,IF($L$3=$AJ$10,'Statement of Marks'!AN97,IF($L$3=$AJ$11,'Statement of Marks'!BB97,IF($L$3=$AJ$12,'Statement of Marks'!BP97,IF($L$3=$AJ$13,'Statement of Marks'!CE97,IF($L$3=$AJ$14,'Statement of Marks'!CT97,IF($L$3=$AJ$15,'Statement of Marks'!DZ97,IF($L$3=$AJ$16,'Statement of Marks'!EL97,IF($L$3=$AJ$17,('Statement of Marks'!FB97+'Statement of Marks'!FC97),"")))))))))),"")</f>
        <v/>
      </c>
      <c r="K98" s="809" t="str">
        <f>IFERROR(IF($L$3=$AJ$8,'Statement of Marks'!L97,IF($L$3=$AJ$9,'Statement of Marks'!Z97,IF($L$3=$AJ$10,'Statement of Marks'!AO97,IF($L$3=$AJ$11,'Statement of Marks'!BC97,IF($L$3=$AJ$12,'Statement of Marks'!BQ97,IF($L$3=$AJ$13,'Statement of Marks'!CF97,IF($L$3=$AJ$14,'Statement of Marks'!CU97,IF($L$3=$AJ$15,'Statement of Marks'!EA97,IF($L$3=$AJ$16,'Statement of Marks'!EM97,IF($L$3=$AJ$17,('Statement of Marks'!FD97+'Statement of Marks'!FE97),"")))))))))),"")</f>
        <v/>
      </c>
      <c r="L98" s="809" t="str">
        <f>IFERROR(IF($L$3=$AJ$8,'Statement of Marks'!M97,IF($L$3=$AJ$9,'Statement of Marks'!AA97,IF($L$3=$AJ$10,'Statement of Marks'!AP97,IF($L$3=$AJ$11,'Statement of Marks'!BD97,IF($L$3=$AJ$12,'Statement of Marks'!BR97,IF($L$3=$AJ$13,'Statement of Marks'!CG97,IF($L$3=$AJ$14,'Statement of Marks'!CV97,IF($L$3=$AJ$15,'Statement of Marks'!EB97,IF($L$3=$AJ$16,'Statement of Marks'!EN97,IF($L$3=$AJ$17,('Statement of Marks'!FF97+'Statement of Marks'!FG97),"")))))))))),"")</f>
        <v/>
      </c>
      <c r="M98" s="810">
        <f t="shared" si="10"/>
        <v>0</v>
      </c>
      <c r="N98" s="809" t="str">
        <f>IFERROR(IF($L$3=$AJ$8,'Statement of Marks'!O97,IF($L$3=$AJ$9,'Statement of Marks'!AC97,IF($L$3=$AJ$10,'Statement of Marks'!AR97,IF($L$3=$AJ$11,'Statement of Marks'!BF97,IF($L$3=$AJ$12,'Statement of Marks'!BT97,IF($L$3=$AJ$13,'Statement of Marks'!CI97,IF($L$3=$AJ$14,('Statement of Marks'!CX97+'Statement of Marks'!CY97),IF($L$3=$AJ$15,'Statement of Marks'!ED97,IF($L$3=$AJ$16,('Statement of Marks'!EP97+'Statement of Marks'!EQ97),IF($L$3=$AJ$17,('Statement of Marks'!FI97+'Statement of Marks'!FJ97),IF($L$3=$AJ$18,'Statement of Marks'!FU97,IF($L$3=$AJ$19,'Statement of Marks'!GC97,"")))))))))))),"")</f>
        <v/>
      </c>
      <c r="O98" s="811">
        <f>IF($L$3=$AJ$18,'Statement of Marks'!FV97,IF($L$3=$AJ$19,'Statement of Marks'!GD97,IF(AND(M98="NA",N98="NA"),"NA",IF(AND(M98="",N98=""),"",SUM(M98,N98)))))</f>
        <v>0</v>
      </c>
      <c r="P98" s="809" t="str">
        <f>IFERROR(IF($L$3=$AJ$8,'Statement of Marks'!Q97,IF($L$3=$AJ$9,'Statement of Marks'!AE97,IF($L$3=$AJ$10,'Statement of Marks'!AT97,IF($L$3=$AJ$11,'Statement of Marks'!BH97,IF($L$3=$AJ$12,'Statement of Marks'!BV97,IF($L$3=$AJ$13,'Statement of Marks'!CK97,IF($L$3=$AJ$14,('Statement of Marks'!DB97+'Statement of Marks'!DC97),IF($L$3=$AJ$15,'Statement of Marks'!EF97,IF($L$3=$AJ$16,('Statement of Marks'!ET97+'Statement of Marks'!EU97),IF($L$3=$AJ$17,('Statement of Marks'!FM97+'Statement of Marks'!FN97),IF($L$3=$AJ$18,'Statement of Marks'!FW97,IF($L$3=$AJ$19,'Statement of Marks'!GE97,"")))))))))))),"")</f>
        <v/>
      </c>
      <c r="Q98" s="812" t="str">
        <f t="shared" si="13"/>
        <v/>
      </c>
      <c r="R98" s="813">
        <f t="shared" si="11"/>
        <v>0</v>
      </c>
      <c r="S98" s="813" t="str">
        <f t="shared" si="14"/>
        <v/>
      </c>
      <c r="T98" s="813" t="str">
        <f t="shared" si="15"/>
        <v/>
      </c>
      <c r="U98" s="814" t="str">
        <f t="shared" si="16"/>
        <v/>
      </c>
      <c r="V98" s="815" t="str">
        <f t="shared" si="17"/>
        <v/>
      </c>
      <c r="W98" s="816" t="str">
        <f t="shared" si="12"/>
        <v/>
      </c>
    </row>
    <row r="99" spans="1:23">
      <c r="A99" s="803">
        <f>IF('Statement of Marks'!A98="","",'Statement of Marks'!A98)</f>
        <v>92</v>
      </c>
      <c r="B99" s="804" t="str">
        <f>IF(OR($D$3="",$L$3=""),"",IF('Statement of Marks'!B98="","",'Statement of Marks'!B98))</f>
        <v/>
      </c>
      <c r="C99" s="805" t="str">
        <f>IF(OR($D$3="",$L$3=""),"",IF('Statement of Marks'!D98="","",'Statement of Marks'!D98))</f>
        <v/>
      </c>
      <c r="D99" s="806" t="str">
        <f>IF(OR($D$3="",$L$3=""),"",IF('Statement of Marks'!E98="","",'Statement of Marks'!E98))</f>
        <v/>
      </c>
      <c r="E99" s="807" t="str">
        <f>IF(OR($D$3="",$L$3=""),"",IF('Statement of Marks'!F98="","",'Statement of Marks'!F98))</f>
        <v/>
      </c>
      <c r="F99" s="807" t="str">
        <f>IF(OR($D$3="",$L$3=""),"",IF('Statement of Marks'!G98="","",'Statement of Marks'!G98))</f>
        <v/>
      </c>
      <c r="G99" s="807" t="str">
        <f>IF(OR($D$3="",$L$3=""),"",IF('Statement of Marks'!H98="","",'Statement of Marks'!H98))</f>
        <v/>
      </c>
      <c r="H99" s="808" t="str">
        <f>IF(OR($D$3="",$L$3=""),"",IF('Statement of Marks'!I98="","",'Statement of Marks'!I98))</f>
        <v/>
      </c>
      <c r="I99" s="808" t="str">
        <f>IF(OR($D$3="",$L$3=""),"",IF('Statement of Marks'!J98="","",'Statement of Marks'!J98))</f>
        <v/>
      </c>
      <c r="J99" s="809" t="str">
        <f>IFERROR(IF($L$3=$AJ$8,'Statement of Marks'!K98,IF($L$3=$AJ$9,'Statement of Marks'!Y98,IF($L$3=$AJ$10,'Statement of Marks'!AN98,IF($L$3=$AJ$11,'Statement of Marks'!BB98,IF($L$3=$AJ$12,'Statement of Marks'!BP98,IF($L$3=$AJ$13,'Statement of Marks'!CE98,IF($L$3=$AJ$14,'Statement of Marks'!CT98,IF($L$3=$AJ$15,'Statement of Marks'!DZ98,IF($L$3=$AJ$16,'Statement of Marks'!EL98,IF($L$3=$AJ$17,('Statement of Marks'!FB98+'Statement of Marks'!FC98),"")))))))))),"")</f>
        <v/>
      </c>
      <c r="K99" s="809" t="str">
        <f>IFERROR(IF($L$3=$AJ$8,'Statement of Marks'!L98,IF($L$3=$AJ$9,'Statement of Marks'!Z98,IF($L$3=$AJ$10,'Statement of Marks'!AO98,IF($L$3=$AJ$11,'Statement of Marks'!BC98,IF($L$3=$AJ$12,'Statement of Marks'!BQ98,IF($L$3=$AJ$13,'Statement of Marks'!CF98,IF($L$3=$AJ$14,'Statement of Marks'!CU98,IF($L$3=$AJ$15,'Statement of Marks'!EA98,IF($L$3=$AJ$16,'Statement of Marks'!EM98,IF($L$3=$AJ$17,('Statement of Marks'!FD98+'Statement of Marks'!FE98),"")))))))))),"")</f>
        <v/>
      </c>
      <c r="L99" s="809" t="str">
        <f>IFERROR(IF($L$3=$AJ$8,'Statement of Marks'!M98,IF($L$3=$AJ$9,'Statement of Marks'!AA98,IF($L$3=$AJ$10,'Statement of Marks'!AP98,IF($L$3=$AJ$11,'Statement of Marks'!BD98,IF($L$3=$AJ$12,'Statement of Marks'!BR98,IF($L$3=$AJ$13,'Statement of Marks'!CG98,IF($L$3=$AJ$14,'Statement of Marks'!CV98,IF($L$3=$AJ$15,'Statement of Marks'!EB98,IF($L$3=$AJ$16,'Statement of Marks'!EN98,IF($L$3=$AJ$17,('Statement of Marks'!FF98+'Statement of Marks'!FG98),"")))))))))),"")</f>
        <v/>
      </c>
      <c r="M99" s="810">
        <f t="shared" si="10"/>
        <v>0</v>
      </c>
      <c r="N99" s="809" t="str">
        <f>IFERROR(IF($L$3=$AJ$8,'Statement of Marks'!O98,IF($L$3=$AJ$9,'Statement of Marks'!AC98,IF($L$3=$AJ$10,'Statement of Marks'!AR98,IF($L$3=$AJ$11,'Statement of Marks'!BF98,IF($L$3=$AJ$12,'Statement of Marks'!BT98,IF($L$3=$AJ$13,'Statement of Marks'!CI98,IF($L$3=$AJ$14,('Statement of Marks'!CX98+'Statement of Marks'!CY98),IF($L$3=$AJ$15,'Statement of Marks'!ED98,IF($L$3=$AJ$16,('Statement of Marks'!EP98+'Statement of Marks'!EQ98),IF($L$3=$AJ$17,('Statement of Marks'!FI98+'Statement of Marks'!FJ98),IF($L$3=$AJ$18,'Statement of Marks'!FU98,IF($L$3=$AJ$19,'Statement of Marks'!GC98,"")))))))))))),"")</f>
        <v/>
      </c>
      <c r="O99" s="811">
        <f>IF($L$3=$AJ$18,'Statement of Marks'!FV98,IF($L$3=$AJ$19,'Statement of Marks'!GD98,IF(AND(M99="NA",N99="NA"),"NA",IF(AND(M99="",N99=""),"",SUM(M99,N99)))))</f>
        <v>0</v>
      </c>
      <c r="P99" s="809" t="str">
        <f>IFERROR(IF($L$3=$AJ$8,'Statement of Marks'!Q98,IF($L$3=$AJ$9,'Statement of Marks'!AE98,IF($L$3=$AJ$10,'Statement of Marks'!AT98,IF($L$3=$AJ$11,'Statement of Marks'!BH98,IF($L$3=$AJ$12,'Statement of Marks'!BV98,IF($L$3=$AJ$13,'Statement of Marks'!CK98,IF($L$3=$AJ$14,('Statement of Marks'!DB98+'Statement of Marks'!DC98),IF($L$3=$AJ$15,'Statement of Marks'!EF98,IF($L$3=$AJ$16,('Statement of Marks'!ET98+'Statement of Marks'!EU98),IF($L$3=$AJ$17,('Statement of Marks'!FM98+'Statement of Marks'!FN98),IF($L$3=$AJ$18,'Statement of Marks'!FW98,IF($L$3=$AJ$19,'Statement of Marks'!GE98,"")))))))))))),"")</f>
        <v/>
      </c>
      <c r="Q99" s="812" t="str">
        <f t="shared" si="13"/>
        <v/>
      </c>
      <c r="R99" s="813">
        <f t="shared" si="11"/>
        <v>0</v>
      </c>
      <c r="S99" s="813" t="str">
        <f t="shared" si="14"/>
        <v/>
      </c>
      <c r="T99" s="813" t="str">
        <f t="shared" si="15"/>
        <v/>
      </c>
      <c r="U99" s="814" t="str">
        <f t="shared" si="16"/>
        <v/>
      </c>
      <c r="V99" s="815" t="str">
        <f t="shared" si="17"/>
        <v/>
      </c>
      <c r="W99" s="816" t="str">
        <f t="shared" si="12"/>
        <v/>
      </c>
    </row>
    <row r="100" spans="1:23">
      <c r="A100" s="803">
        <f>IF('Statement of Marks'!A99="","",'Statement of Marks'!A99)</f>
        <v>93</v>
      </c>
      <c r="B100" s="804" t="str">
        <f>IF(OR($D$3="",$L$3=""),"",IF('Statement of Marks'!B99="","",'Statement of Marks'!B99))</f>
        <v/>
      </c>
      <c r="C100" s="805" t="str">
        <f>IF(OR($D$3="",$L$3=""),"",IF('Statement of Marks'!D99="","",'Statement of Marks'!D99))</f>
        <v/>
      </c>
      <c r="D100" s="806" t="str">
        <f>IF(OR($D$3="",$L$3=""),"",IF('Statement of Marks'!E99="","",'Statement of Marks'!E99))</f>
        <v/>
      </c>
      <c r="E100" s="807" t="str">
        <f>IF(OR($D$3="",$L$3=""),"",IF('Statement of Marks'!F99="","",'Statement of Marks'!F99))</f>
        <v/>
      </c>
      <c r="F100" s="807" t="str">
        <f>IF(OR($D$3="",$L$3=""),"",IF('Statement of Marks'!G99="","",'Statement of Marks'!G99))</f>
        <v/>
      </c>
      <c r="G100" s="807" t="str">
        <f>IF(OR($D$3="",$L$3=""),"",IF('Statement of Marks'!H99="","",'Statement of Marks'!H99))</f>
        <v/>
      </c>
      <c r="H100" s="808" t="str">
        <f>IF(OR($D$3="",$L$3=""),"",IF('Statement of Marks'!I99="","",'Statement of Marks'!I99))</f>
        <v/>
      </c>
      <c r="I100" s="808" t="str">
        <f>IF(OR($D$3="",$L$3=""),"",IF('Statement of Marks'!J99="","",'Statement of Marks'!J99))</f>
        <v/>
      </c>
      <c r="J100" s="809" t="str">
        <f>IFERROR(IF($L$3=$AJ$8,'Statement of Marks'!K99,IF($L$3=$AJ$9,'Statement of Marks'!Y99,IF($L$3=$AJ$10,'Statement of Marks'!AN99,IF($L$3=$AJ$11,'Statement of Marks'!BB99,IF($L$3=$AJ$12,'Statement of Marks'!BP99,IF($L$3=$AJ$13,'Statement of Marks'!CE99,IF($L$3=$AJ$14,'Statement of Marks'!CT99,IF($L$3=$AJ$15,'Statement of Marks'!DZ99,IF($L$3=$AJ$16,'Statement of Marks'!EL99,IF($L$3=$AJ$17,('Statement of Marks'!FB99+'Statement of Marks'!FC99),"")))))))))),"")</f>
        <v/>
      </c>
      <c r="K100" s="809" t="str">
        <f>IFERROR(IF($L$3=$AJ$8,'Statement of Marks'!L99,IF($L$3=$AJ$9,'Statement of Marks'!Z99,IF($L$3=$AJ$10,'Statement of Marks'!AO99,IF($L$3=$AJ$11,'Statement of Marks'!BC99,IF($L$3=$AJ$12,'Statement of Marks'!BQ99,IF($L$3=$AJ$13,'Statement of Marks'!CF99,IF($L$3=$AJ$14,'Statement of Marks'!CU99,IF($L$3=$AJ$15,'Statement of Marks'!EA99,IF($L$3=$AJ$16,'Statement of Marks'!EM99,IF($L$3=$AJ$17,('Statement of Marks'!FD99+'Statement of Marks'!FE99),"")))))))))),"")</f>
        <v/>
      </c>
      <c r="L100" s="809" t="str">
        <f>IFERROR(IF($L$3=$AJ$8,'Statement of Marks'!M99,IF($L$3=$AJ$9,'Statement of Marks'!AA99,IF($L$3=$AJ$10,'Statement of Marks'!AP99,IF($L$3=$AJ$11,'Statement of Marks'!BD99,IF($L$3=$AJ$12,'Statement of Marks'!BR99,IF($L$3=$AJ$13,'Statement of Marks'!CG99,IF($L$3=$AJ$14,'Statement of Marks'!CV99,IF($L$3=$AJ$15,'Statement of Marks'!EB99,IF($L$3=$AJ$16,'Statement of Marks'!EN99,IF($L$3=$AJ$17,('Statement of Marks'!FF99+'Statement of Marks'!FG99),"")))))))))),"")</f>
        <v/>
      </c>
      <c r="M100" s="810">
        <f t="shared" si="10"/>
        <v>0</v>
      </c>
      <c r="N100" s="809" t="str">
        <f>IFERROR(IF($L$3=$AJ$8,'Statement of Marks'!O99,IF($L$3=$AJ$9,'Statement of Marks'!AC99,IF($L$3=$AJ$10,'Statement of Marks'!AR99,IF($L$3=$AJ$11,'Statement of Marks'!BF99,IF($L$3=$AJ$12,'Statement of Marks'!BT99,IF($L$3=$AJ$13,'Statement of Marks'!CI99,IF($L$3=$AJ$14,('Statement of Marks'!CX99+'Statement of Marks'!CY99),IF($L$3=$AJ$15,'Statement of Marks'!ED99,IF($L$3=$AJ$16,('Statement of Marks'!EP99+'Statement of Marks'!EQ99),IF($L$3=$AJ$17,('Statement of Marks'!FI99+'Statement of Marks'!FJ99),IF($L$3=$AJ$18,'Statement of Marks'!FU99,IF($L$3=$AJ$19,'Statement of Marks'!GC99,"")))))))))))),"")</f>
        <v/>
      </c>
      <c r="O100" s="811">
        <f>IF($L$3=$AJ$18,'Statement of Marks'!FV99,IF($L$3=$AJ$19,'Statement of Marks'!GD99,IF(AND(M100="NA",N100="NA"),"NA",IF(AND(M100="",N100=""),"",SUM(M100,N100)))))</f>
        <v>0</v>
      </c>
      <c r="P100" s="809" t="str">
        <f>IFERROR(IF($L$3=$AJ$8,'Statement of Marks'!Q99,IF($L$3=$AJ$9,'Statement of Marks'!AE99,IF($L$3=$AJ$10,'Statement of Marks'!AT99,IF($L$3=$AJ$11,'Statement of Marks'!BH99,IF($L$3=$AJ$12,'Statement of Marks'!BV99,IF($L$3=$AJ$13,'Statement of Marks'!CK99,IF($L$3=$AJ$14,('Statement of Marks'!DB99+'Statement of Marks'!DC99),IF($L$3=$AJ$15,'Statement of Marks'!EF99,IF($L$3=$AJ$16,('Statement of Marks'!ET99+'Statement of Marks'!EU99),IF($L$3=$AJ$17,('Statement of Marks'!FM99+'Statement of Marks'!FN99),IF($L$3=$AJ$18,'Statement of Marks'!FW99,IF($L$3=$AJ$19,'Statement of Marks'!GE99,"")))))))))))),"")</f>
        <v/>
      </c>
      <c r="Q100" s="812" t="str">
        <f t="shared" si="13"/>
        <v/>
      </c>
      <c r="R100" s="813">
        <f t="shared" si="11"/>
        <v>0</v>
      </c>
      <c r="S100" s="813" t="str">
        <f t="shared" si="14"/>
        <v/>
      </c>
      <c r="T100" s="813" t="str">
        <f t="shared" si="15"/>
        <v/>
      </c>
      <c r="U100" s="814" t="str">
        <f t="shared" si="16"/>
        <v/>
      </c>
      <c r="V100" s="815" t="str">
        <f t="shared" si="17"/>
        <v/>
      </c>
      <c r="W100" s="816" t="str">
        <f t="shared" si="12"/>
        <v/>
      </c>
    </row>
    <row r="101" spans="1:23">
      <c r="A101" s="803">
        <f>IF('Statement of Marks'!A100="","",'Statement of Marks'!A100)</f>
        <v>94</v>
      </c>
      <c r="B101" s="804" t="str">
        <f>IF(OR($D$3="",$L$3=""),"",IF('Statement of Marks'!B100="","",'Statement of Marks'!B100))</f>
        <v/>
      </c>
      <c r="C101" s="805" t="str">
        <f>IF(OR($D$3="",$L$3=""),"",IF('Statement of Marks'!D100="","",'Statement of Marks'!D100))</f>
        <v/>
      </c>
      <c r="D101" s="806" t="str">
        <f>IF(OR($D$3="",$L$3=""),"",IF('Statement of Marks'!E100="","",'Statement of Marks'!E100))</f>
        <v/>
      </c>
      <c r="E101" s="807" t="str">
        <f>IF(OR($D$3="",$L$3=""),"",IF('Statement of Marks'!F100="","",'Statement of Marks'!F100))</f>
        <v/>
      </c>
      <c r="F101" s="807" t="str">
        <f>IF(OR($D$3="",$L$3=""),"",IF('Statement of Marks'!G100="","",'Statement of Marks'!G100))</f>
        <v/>
      </c>
      <c r="G101" s="807" t="str">
        <f>IF(OR($D$3="",$L$3=""),"",IF('Statement of Marks'!H100="","",'Statement of Marks'!H100))</f>
        <v/>
      </c>
      <c r="H101" s="808" t="str">
        <f>IF(OR($D$3="",$L$3=""),"",IF('Statement of Marks'!I100="","",'Statement of Marks'!I100))</f>
        <v/>
      </c>
      <c r="I101" s="808" t="str">
        <f>IF(OR($D$3="",$L$3=""),"",IF('Statement of Marks'!J100="","",'Statement of Marks'!J100))</f>
        <v/>
      </c>
      <c r="J101" s="809" t="str">
        <f>IFERROR(IF($L$3=$AJ$8,'Statement of Marks'!K100,IF($L$3=$AJ$9,'Statement of Marks'!Y100,IF($L$3=$AJ$10,'Statement of Marks'!AN100,IF($L$3=$AJ$11,'Statement of Marks'!BB100,IF($L$3=$AJ$12,'Statement of Marks'!BP100,IF($L$3=$AJ$13,'Statement of Marks'!CE100,IF($L$3=$AJ$14,'Statement of Marks'!CT100,IF($L$3=$AJ$15,'Statement of Marks'!DZ100,IF($L$3=$AJ$16,'Statement of Marks'!EL100,IF($L$3=$AJ$17,('Statement of Marks'!FB100+'Statement of Marks'!FC100),"")))))))))),"")</f>
        <v/>
      </c>
      <c r="K101" s="809" t="str">
        <f>IFERROR(IF($L$3=$AJ$8,'Statement of Marks'!L100,IF($L$3=$AJ$9,'Statement of Marks'!Z100,IF($L$3=$AJ$10,'Statement of Marks'!AO100,IF($L$3=$AJ$11,'Statement of Marks'!BC100,IF($L$3=$AJ$12,'Statement of Marks'!BQ100,IF($L$3=$AJ$13,'Statement of Marks'!CF100,IF($L$3=$AJ$14,'Statement of Marks'!CU100,IF($L$3=$AJ$15,'Statement of Marks'!EA100,IF($L$3=$AJ$16,'Statement of Marks'!EM100,IF($L$3=$AJ$17,('Statement of Marks'!FD100+'Statement of Marks'!FE100),"")))))))))),"")</f>
        <v/>
      </c>
      <c r="L101" s="809" t="str">
        <f>IFERROR(IF($L$3=$AJ$8,'Statement of Marks'!M100,IF($L$3=$AJ$9,'Statement of Marks'!AA100,IF($L$3=$AJ$10,'Statement of Marks'!AP100,IF($L$3=$AJ$11,'Statement of Marks'!BD100,IF($L$3=$AJ$12,'Statement of Marks'!BR100,IF($L$3=$AJ$13,'Statement of Marks'!CG100,IF($L$3=$AJ$14,'Statement of Marks'!CV100,IF($L$3=$AJ$15,'Statement of Marks'!EB100,IF($L$3=$AJ$16,'Statement of Marks'!EN100,IF($L$3=$AJ$17,('Statement of Marks'!FF100+'Statement of Marks'!FG100),"")))))))))),"")</f>
        <v/>
      </c>
      <c r="M101" s="810">
        <f t="shared" si="10"/>
        <v>0</v>
      </c>
      <c r="N101" s="809" t="str">
        <f>IFERROR(IF($L$3=$AJ$8,'Statement of Marks'!O100,IF($L$3=$AJ$9,'Statement of Marks'!AC100,IF($L$3=$AJ$10,'Statement of Marks'!AR100,IF($L$3=$AJ$11,'Statement of Marks'!BF100,IF($L$3=$AJ$12,'Statement of Marks'!BT100,IF($L$3=$AJ$13,'Statement of Marks'!CI100,IF($L$3=$AJ$14,('Statement of Marks'!CX100+'Statement of Marks'!CY100),IF($L$3=$AJ$15,'Statement of Marks'!ED100,IF($L$3=$AJ$16,('Statement of Marks'!EP100+'Statement of Marks'!EQ100),IF($L$3=$AJ$17,('Statement of Marks'!FI100+'Statement of Marks'!FJ100),IF($L$3=$AJ$18,'Statement of Marks'!FU100,IF($L$3=$AJ$19,'Statement of Marks'!GC100,"")))))))))))),"")</f>
        <v/>
      </c>
      <c r="O101" s="811">
        <f>IF($L$3=$AJ$18,'Statement of Marks'!FV100,IF($L$3=$AJ$19,'Statement of Marks'!GD100,IF(AND(M101="NA",N101="NA"),"NA",IF(AND(M101="",N101=""),"",SUM(M101,N101)))))</f>
        <v>0</v>
      </c>
      <c r="P101" s="809" t="str">
        <f>IFERROR(IF($L$3=$AJ$8,'Statement of Marks'!Q100,IF($L$3=$AJ$9,'Statement of Marks'!AE100,IF($L$3=$AJ$10,'Statement of Marks'!AT100,IF($L$3=$AJ$11,'Statement of Marks'!BH100,IF($L$3=$AJ$12,'Statement of Marks'!BV100,IF($L$3=$AJ$13,'Statement of Marks'!CK100,IF($L$3=$AJ$14,('Statement of Marks'!DB100+'Statement of Marks'!DC100),IF($L$3=$AJ$15,'Statement of Marks'!EF100,IF($L$3=$AJ$16,('Statement of Marks'!ET100+'Statement of Marks'!EU100),IF($L$3=$AJ$17,('Statement of Marks'!FM100+'Statement of Marks'!FN100),IF($L$3=$AJ$18,'Statement of Marks'!FW100,IF($L$3=$AJ$19,'Statement of Marks'!GE100,"")))))))))))),"")</f>
        <v/>
      </c>
      <c r="Q101" s="812" t="str">
        <f t="shared" si="13"/>
        <v/>
      </c>
      <c r="R101" s="813">
        <f t="shared" si="11"/>
        <v>0</v>
      </c>
      <c r="S101" s="813" t="str">
        <f t="shared" si="14"/>
        <v/>
      </c>
      <c r="T101" s="813" t="str">
        <f t="shared" si="15"/>
        <v/>
      </c>
      <c r="U101" s="814" t="str">
        <f t="shared" si="16"/>
        <v/>
      </c>
      <c r="V101" s="815" t="str">
        <f t="shared" si="17"/>
        <v/>
      </c>
      <c r="W101" s="816" t="str">
        <f t="shared" si="12"/>
        <v/>
      </c>
    </row>
    <row r="102" spans="1:23">
      <c r="A102" s="803">
        <f>IF('Statement of Marks'!A101="","",'Statement of Marks'!A101)</f>
        <v>95</v>
      </c>
      <c r="B102" s="804" t="str">
        <f>IF(OR($D$3="",$L$3=""),"",IF('Statement of Marks'!B101="","",'Statement of Marks'!B101))</f>
        <v/>
      </c>
      <c r="C102" s="805" t="str">
        <f>IF(OR($D$3="",$L$3=""),"",IF('Statement of Marks'!D101="","",'Statement of Marks'!D101))</f>
        <v/>
      </c>
      <c r="D102" s="806" t="str">
        <f>IF(OR($D$3="",$L$3=""),"",IF('Statement of Marks'!E101="","",'Statement of Marks'!E101))</f>
        <v/>
      </c>
      <c r="E102" s="807" t="str">
        <f>IF(OR($D$3="",$L$3=""),"",IF('Statement of Marks'!F101="","",'Statement of Marks'!F101))</f>
        <v/>
      </c>
      <c r="F102" s="807" t="str">
        <f>IF(OR($D$3="",$L$3=""),"",IF('Statement of Marks'!G101="","",'Statement of Marks'!G101))</f>
        <v/>
      </c>
      <c r="G102" s="807" t="str">
        <f>IF(OR($D$3="",$L$3=""),"",IF('Statement of Marks'!H101="","",'Statement of Marks'!H101))</f>
        <v/>
      </c>
      <c r="H102" s="808" t="str">
        <f>IF(OR($D$3="",$L$3=""),"",IF('Statement of Marks'!I101="","",'Statement of Marks'!I101))</f>
        <v/>
      </c>
      <c r="I102" s="808" t="str">
        <f>IF(OR($D$3="",$L$3=""),"",IF('Statement of Marks'!J101="","",'Statement of Marks'!J101))</f>
        <v/>
      </c>
      <c r="J102" s="809" t="str">
        <f>IFERROR(IF($L$3=$AJ$8,'Statement of Marks'!K101,IF($L$3=$AJ$9,'Statement of Marks'!Y101,IF($L$3=$AJ$10,'Statement of Marks'!AN101,IF($L$3=$AJ$11,'Statement of Marks'!BB101,IF($L$3=$AJ$12,'Statement of Marks'!BP101,IF($L$3=$AJ$13,'Statement of Marks'!CE101,IF($L$3=$AJ$14,'Statement of Marks'!CT101,IF($L$3=$AJ$15,'Statement of Marks'!DZ101,IF($L$3=$AJ$16,'Statement of Marks'!EL101,IF($L$3=$AJ$17,('Statement of Marks'!FB101+'Statement of Marks'!FC101),"")))))))))),"")</f>
        <v/>
      </c>
      <c r="K102" s="809" t="str">
        <f>IFERROR(IF($L$3=$AJ$8,'Statement of Marks'!L101,IF($L$3=$AJ$9,'Statement of Marks'!Z101,IF($L$3=$AJ$10,'Statement of Marks'!AO101,IF($L$3=$AJ$11,'Statement of Marks'!BC101,IF($L$3=$AJ$12,'Statement of Marks'!BQ101,IF($L$3=$AJ$13,'Statement of Marks'!CF101,IF($L$3=$AJ$14,'Statement of Marks'!CU101,IF($L$3=$AJ$15,'Statement of Marks'!EA101,IF($L$3=$AJ$16,'Statement of Marks'!EM101,IF($L$3=$AJ$17,('Statement of Marks'!FD101+'Statement of Marks'!FE101),"")))))))))),"")</f>
        <v/>
      </c>
      <c r="L102" s="809" t="str">
        <f>IFERROR(IF($L$3=$AJ$8,'Statement of Marks'!M101,IF($L$3=$AJ$9,'Statement of Marks'!AA101,IF($L$3=$AJ$10,'Statement of Marks'!AP101,IF($L$3=$AJ$11,'Statement of Marks'!BD101,IF($L$3=$AJ$12,'Statement of Marks'!BR101,IF($L$3=$AJ$13,'Statement of Marks'!CG101,IF($L$3=$AJ$14,'Statement of Marks'!CV101,IF($L$3=$AJ$15,'Statement of Marks'!EB101,IF($L$3=$AJ$16,'Statement of Marks'!EN101,IF($L$3=$AJ$17,('Statement of Marks'!FF101+'Statement of Marks'!FG101),"")))))))))),"")</f>
        <v/>
      </c>
      <c r="M102" s="810">
        <f t="shared" si="10"/>
        <v>0</v>
      </c>
      <c r="N102" s="809" t="str">
        <f>IFERROR(IF($L$3=$AJ$8,'Statement of Marks'!O101,IF($L$3=$AJ$9,'Statement of Marks'!AC101,IF($L$3=$AJ$10,'Statement of Marks'!AR101,IF($L$3=$AJ$11,'Statement of Marks'!BF101,IF($L$3=$AJ$12,'Statement of Marks'!BT101,IF($L$3=$AJ$13,'Statement of Marks'!CI101,IF($L$3=$AJ$14,('Statement of Marks'!CX101+'Statement of Marks'!CY101),IF($L$3=$AJ$15,'Statement of Marks'!ED101,IF($L$3=$AJ$16,('Statement of Marks'!EP101+'Statement of Marks'!EQ101),IF($L$3=$AJ$17,('Statement of Marks'!FI101+'Statement of Marks'!FJ101),IF($L$3=$AJ$18,'Statement of Marks'!FU101,IF($L$3=$AJ$19,'Statement of Marks'!GC101,"")))))))))))),"")</f>
        <v/>
      </c>
      <c r="O102" s="811">
        <f>IF($L$3=$AJ$18,'Statement of Marks'!FV101,IF($L$3=$AJ$19,'Statement of Marks'!GD101,IF(AND(M102="NA",N102="NA"),"NA",IF(AND(M102="",N102=""),"",SUM(M102,N102)))))</f>
        <v>0</v>
      </c>
      <c r="P102" s="809" t="str">
        <f>IFERROR(IF($L$3=$AJ$8,'Statement of Marks'!Q101,IF($L$3=$AJ$9,'Statement of Marks'!AE101,IF($L$3=$AJ$10,'Statement of Marks'!AT101,IF($L$3=$AJ$11,'Statement of Marks'!BH101,IF($L$3=$AJ$12,'Statement of Marks'!BV101,IF($L$3=$AJ$13,'Statement of Marks'!CK101,IF($L$3=$AJ$14,('Statement of Marks'!DB101+'Statement of Marks'!DC101),IF($L$3=$AJ$15,'Statement of Marks'!EF101,IF($L$3=$AJ$16,('Statement of Marks'!ET101+'Statement of Marks'!EU101),IF($L$3=$AJ$17,('Statement of Marks'!FM101+'Statement of Marks'!FN101),IF($L$3=$AJ$18,'Statement of Marks'!FW101,IF($L$3=$AJ$19,'Statement of Marks'!GE101,"")))))))))))),"")</f>
        <v/>
      </c>
      <c r="Q102" s="812" t="str">
        <f t="shared" si="13"/>
        <v/>
      </c>
      <c r="R102" s="813">
        <f t="shared" si="11"/>
        <v>0</v>
      </c>
      <c r="S102" s="813" t="str">
        <f t="shared" si="14"/>
        <v/>
      </c>
      <c r="T102" s="813" t="str">
        <f t="shared" si="15"/>
        <v/>
      </c>
      <c r="U102" s="814" t="str">
        <f t="shared" si="16"/>
        <v/>
      </c>
      <c r="V102" s="815" t="str">
        <f t="shared" si="17"/>
        <v/>
      </c>
      <c r="W102" s="816" t="str">
        <f t="shared" si="12"/>
        <v/>
      </c>
    </row>
    <row r="103" spans="1:23">
      <c r="A103" s="803">
        <f>IF('Statement of Marks'!A102="","",'Statement of Marks'!A102)</f>
        <v>96</v>
      </c>
      <c r="B103" s="804" t="str">
        <f>IF(OR($D$3="",$L$3=""),"",IF('Statement of Marks'!B102="","",'Statement of Marks'!B102))</f>
        <v/>
      </c>
      <c r="C103" s="805" t="str">
        <f>IF(OR($D$3="",$L$3=""),"",IF('Statement of Marks'!D102="","",'Statement of Marks'!D102))</f>
        <v/>
      </c>
      <c r="D103" s="806" t="str">
        <f>IF(OR($D$3="",$L$3=""),"",IF('Statement of Marks'!E102="","",'Statement of Marks'!E102))</f>
        <v/>
      </c>
      <c r="E103" s="807" t="str">
        <f>IF(OR($D$3="",$L$3=""),"",IF('Statement of Marks'!F102="","",'Statement of Marks'!F102))</f>
        <v/>
      </c>
      <c r="F103" s="807" t="str">
        <f>IF(OR($D$3="",$L$3=""),"",IF('Statement of Marks'!G102="","",'Statement of Marks'!G102))</f>
        <v/>
      </c>
      <c r="G103" s="807" t="str">
        <f>IF(OR($D$3="",$L$3=""),"",IF('Statement of Marks'!H102="","",'Statement of Marks'!H102))</f>
        <v/>
      </c>
      <c r="H103" s="808" t="str">
        <f>IF(OR($D$3="",$L$3=""),"",IF('Statement of Marks'!I102="","",'Statement of Marks'!I102))</f>
        <v/>
      </c>
      <c r="I103" s="808" t="str">
        <f>IF(OR($D$3="",$L$3=""),"",IF('Statement of Marks'!J102="","",'Statement of Marks'!J102))</f>
        <v/>
      </c>
      <c r="J103" s="809" t="str">
        <f>IFERROR(IF($L$3=$AJ$8,'Statement of Marks'!K102,IF($L$3=$AJ$9,'Statement of Marks'!Y102,IF($L$3=$AJ$10,'Statement of Marks'!AN102,IF($L$3=$AJ$11,'Statement of Marks'!BB102,IF($L$3=$AJ$12,'Statement of Marks'!BP102,IF($L$3=$AJ$13,'Statement of Marks'!CE102,IF($L$3=$AJ$14,'Statement of Marks'!CT102,IF($L$3=$AJ$15,'Statement of Marks'!DZ102,IF($L$3=$AJ$16,'Statement of Marks'!EL102,IF($L$3=$AJ$17,('Statement of Marks'!FB102+'Statement of Marks'!FC102),"")))))))))),"")</f>
        <v/>
      </c>
      <c r="K103" s="809" t="str">
        <f>IFERROR(IF($L$3=$AJ$8,'Statement of Marks'!L102,IF($L$3=$AJ$9,'Statement of Marks'!Z102,IF($L$3=$AJ$10,'Statement of Marks'!AO102,IF($L$3=$AJ$11,'Statement of Marks'!BC102,IF($L$3=$AJ$12,'Statement of Marks'!BQ102,IF($L$3=$AJ$13,'Statement of Marks'!CF102,IF($L$3=$AJ$14,'Statement of Marks'!CU102,IF($L$3=$AJ$15,'Statement of Marks'!EA102,IF($L$3=$AJ$16,'Statement of Marks'!EM102,IF($L$3=$AJ$17,('Statement of Marks'!FD102+'Statement of Marks'!FE102),"")))))))))),"")</f>
        <v/>
      </c>
      <c r="L103" s="809" t="str">
        <f>IFERROR(IF($L$3=$AJ$8,'Statement of Marks'!M102,IF($L$3=$AJ$9,'Statement of Marks'!AA102,IF($L$3=$AJ$10,'Statement of Marks'!AP102,IF($L$3=$AJ$11,'Statement of Marks'!BD102,IF($L$3=$AJ$12,'Statement of Marks'!BR102,IF($L$3=$AJ$13,'Statement of Marks'!CG102,IF($L$3=$AJ$14,'Statement of Marks'!CV102,IF($L$3=$AJ$15,'Statement of Marks'!EB102,IF($L$3=$AJ$16,'Statement of Marks'!EN102,IF($L$3=$AJ$17,('Statement of Marks'!FF102+'Statement of Marks'!FG102),"")))))))))),"")</f>
        <v/>
      </c>
      <c r="M103" s="810">
        <f t="shared" si="10"/>
        <v>0</v>
      </c>
      <c r="N103" s="809" t="str">
        <f>IFERROR(IF($L$3=$AJ$8,'Statement of Marks'!O102,IF($L$3=$AJ$9,'Statement of Marks'!AC102,IF($L$3=$AJ$10,'Statement of Marks'!AR102,IF($L$3=$AJ$11,'Statement of Marks'!BF102,IF($L$3=$AJ$12,'Statement of Marks'!BT102,IF($L$3=$AJ$13,'Statement of Marks'!CI102,IF($L$3=$AJ$14,('Statement of Marks'!CX102+'Statement of Marks'!CY102),IF($L$3=$AJ$15,'Statement of Marks'!ED102,IF($L$3=$AJ$16,('Statement of Marks'!EP102+'Statement of Marks'!EQ102),IF($L$3=$AJ$17,('Statement of Marks'!FI102+'Statement of Marks'!FJ102),IF($L$3=$AJ$18,'Statement of Marks'!FU102,IF($L$3=$AJ$19,'Statement of Marks'!GC102,"")))))))))))),"")</f>
        <v/>
      </c>
      <c r="O103" s="811">
        <f>IF($L$3=$AJ$18,'Statement of Marks'!FV102,IF($L$3=$AJ$19,'Statement of Marks'!GD102,IF(AND(M103="NA",N103="NA"),"NA",IF(AND(M103="",N103=""),"",SUM(M103,N103)))))</f>
        <v>0</v>
      </c>
      <c r="P103" s="809" t="str">
        <f>IFERROR(IF($L$3=$AJ$8,'Statement of Marks'!Q102,IF($L$3=$AJ$9,'Statement of Marks'!AE102,IF($L$3=$AJ$10,'Statement of Marks'!AT102,IF($L$3=$AJ$11,'Statement of Marks'!BH102,IF($L$3=$AJ$12,'Statement of Marks'!BV102,IF($L$3=$AJ$13,'Statement of Marks'!CK102,IF($L$3=$AJ$14,('Statement of Marks'!DB102+'Statement of Marks'!DC102),IF($L$3=$AJ$15,'Statement of Marks'!EF102,IF($L$3=$AJ$16,('Statement of Marks'!ET102+'Statement of Marks'!EU102),IF($L$3=$AJ$17,('Statement of Marks'!FM102+'Statement of Marks'!FN102),IF($L$3=$AJ$18,'Statement of Marks'!FW102,IF($L$3=$AJ$19,'Statement of Marks'!GE102,"")))))))))))),"")</f>
        <v/>
      </c>
      <c r="Q103" s="812" t="str">
        <f t="shared" si="13"/>
        <v/>
      </c>
      <c r="R103" s="813">
        <f t="shared" si="11"/>
        <v>0</v>
      </c>
      <c r="S103" s="813" t="str">
        <f t="shared" si="14"/>
        <v/>
      </c>
      <c r="T103" s="813" t="str">
        <f t="shared" si="15"/>
        <v/>
      </c>
      <c r="U103" s="814" t="str">
        <f t="shared" si="16"/>
        <v/>
      </c>
      <c r="V103" s="815" t="str">
        <f t="shared" si="17"/>
        <v/>
      </c>
      <c r="W103" s="816" t="str">
        <f t="shared" si="12"/>
        <v/>
      </c>
    </row>
    <row r="104" spans="1:23">
      <c r="A104" s="803">
        <f>IF('Statement of Marks'!A103="","",'Statement of Marks'!A103)</f>
        <v>97</v>
      </c>
      <c r="B104" s="804" t="str">
        <f>IF(OR($D$3="",$L$3=""),"",IF('Statement of Marks'!B103="","",'Statement of Marks'!B103))</f>
        <v/>
      </c>
      <c r="C104" s="805" t="str">
        <f>IF(OR($D$3="",$L$3=""),"",IF('Statement of Marks'!D103="","",'Statement of Marks'!D103))</f>
        <v/>
      </c>
      <c r="D104" s="806" t="str">
        <f>IF(OR($D$3="",$L$3=""),"",IF('Statement of Marks'!E103="","",'Statement of Marks'!E103))</f>
        <v/>
      </c>
      <c r="E104" s="807" t="str">
        <f>IF(OR($D$3="",$L$3=""),"",IF('Statement of Marks'!F103="","",'Statement of Marks'!F103))</f>
        <v/>
      </c>
      <c r="F104" s="807" t="str">
        <f>IF(OR($D$3="",$L$3=""),"",IF('Statement of Marks'!G103="","",'Statement of Marks'!G103))</f>
        <v/>
      </c>
      <c r="G104" s="807" t="str">
        <f>IF(OR($D$3="",$L$3=""),"",IF('Statement of Marks'!H103="","",'Statement of Marks'!H103))</f>
        <v/>
      </c>
      <c r="H104" s="808" t="str">
        <f>IF(OR($D$3="",$L$3=""),"",IF('Statement of Marks'!I103="","",'Statement of Marks'!I103))</f>
        <v/>
      </c>
      <c r="I104" s="808" t="str">
        <f>IF(OR($D$3="",$L$3=""),"",IF('Statement of Marks'!J103="","",'Statement of Marks'!J103))</f>
        <v/>
      </c>
      <c r="J104" s="809" t="str">
        <f>IFERROR(IF($L$3=$AJ$8,'Statement of Marks'!K103,IF($L$3=$AJ$9,'Statement of Marks'!Y103,IF($L$3=$AJ$10,'Statement of Marks'!AN103,IF($L$3=$AJ$11,'Statement of Marks'!BB103,IF($L$3=$AJ$12,'Statement of Marks'!BP103,IF($L$3=$AJ$13,'Statement of Marks'!CE103,IF($L$3=$AJ$14,'Statement of Marks'!CT103,IF($L$3=$AJ$15,'Statement of Marks'!DZ103,IF($L$3=$AJ$16,'Statement of Marks'!EL103,IF($L$3=$AJ$17,('Statement of Marks'!FB103+'Statement of Marks'!FC103),"")))))))))),"")</f>
        <v/>
      </c>
      <c r="K104" s="809" t="str">
        <f>IFERROR(IF($L$3=$AJ$8,'Statement of Marks'!L103,IF($L$3=$AJ$9,'Statement of Marks'!Z103,IF($L$3=$AJ$10,'Statement of Marks'!AO103,IF($L$3=$AJ$11,'Statement of Marks'!BC103,IF($L$3=$AJ$12,'Statement of Marks'!BQ103,IF($L$3=$AJ$13,'Statement of Marks'!CF103,IF($L$3=$AJ$14,'Statement of Marks'!CU103,IF($L$3=$AJ$15,'Statement of Marks'!EA103,IF($L$3=$AJ$16,'Statement of Marks'!EM103,IF($L$3=$AJ$17,('Statement of Marks'!FD103+'Statement of Marks'!FE103),"")))))))))),"")</f>
        <v/>
      </c>
      <c r="L104" s="809" t="str">
        <f>IFERROR(IF($L$3=$AJ$8,'Statement of Marks'!M103,IF($L$3=$AJ$9,'Statement of Marks'!AA103,IF($L$3=$AJ$10,'Statement of Marks'!AP103,IF($L$3=$AJ$11,'Statement of Marks'!BD103,IF($L$3=$AJ$12,'Statement of Marks'!BR103,IF($L$3=$AJ$13,'Statement of Marks'!CG103,IF($L$3=$AJ$14,'Statement of Marks'!CV103,IF($L$3=$AJ$15,'Statement of Marks'!EB103,IF($L$3=$AJ$16,'Statement of Marks'!EN103,IF($L$3=$AJ$17,('Statement of Marks'!FF103+'Statement of Marks'!FG103),"")))))))))),"")</f>
        <v/>
      </c>
      <c r="M104" s="810">
        <f t="shared" si="10"/>
        <v>0</v>
      </c>
      <c r="N104" s="809" t="str">
        <f>IFERROR(IF($L$3=$AJ$8,'Statement of Marks'!O103,IF($L$3=$AJ$9,'Statement of Marks'!AC103,IF($L$3=$AJ$10,'Statement of Marks'!AR103,IF($L$3=$AJ$11,'Statement of Marks'!BF103,IF($L$3=$AJ$12,'Statement of Marks'!BT103,IF($L$3=$AJ$13,'Statement of Marks'!CI103,IF($L$3=$AJ$14,('Statement of Marks'!CX103+'Statement of Marks'!CY103),IF($L$3=$AJ$15,'Statement of Marks'!ED103,IF($L$3=$AJ$16,('Statement of Marks'!EP103+'Statement of Marks'!EQ103),IF($L$3=$AJ$17,('Statement of Marks'!FI103+'Statement of Marks'!FJ103),IF($L$3=$AJ$18,'Statement of Marks'!FU103,IF($L$3=$AJ$19,'Statement of Marks'!GC103,"")))))))))))),"")</f>
        <v/>
      </c>
      <c r="O104" s="811">
        <f>IF($L$3=$AJ$18,'Statement of Marks'!FV103,IF($L$3=$AJ$19,'Statement of Marks'!GD103,IF(AND(M104="NA",N104="NA"),"NA",IF(AND(M104="",N104=""),"",SUM(M104,N104)))))</f>
        <v>0</v>
      </c>
      <c r="P104" s="809" t="str">
        <f>IFERROR(IF($L$3=$AJ$8,'Statement of Marks'!Q103,IF($L$3=$AJ$9,'Statement of Marks'!AE103,IF($L$3=$AJ$10,'Statement of Marks'!AT103,IF($L$3=$AJ$11,'Statement of Marks'!BH103,IF($L$3=$AJ$12,'Statement of Marks'!BV103,IF($L$3=$AJ$13,'Statement of Marks'!CK103,IF($L$3=$AJ$14,('Statement of Marks'!DB103+'Statement of Marks'!DC103),IF($L$3=$AJ$15,'Statement of Marks'!EF103,IF($L$3=$AJ$16,('Statement of Marks'!ET103+'Statement of Marks'!EU103),IF($L$3=$AJ$17,('Statement of Marks'!FM103+'Statement of Marks'!FN103),IF($L$3=$AJ$18,'Statement of Marks'!FW103,IF($L$3=$AJ$19,'Statement of Marks'!GE103,"")))))))))))),"")</f>
        <v/>
      </c>
      <c r="Q104" s="812" t="str">
        <f t="shared" si="13"/>
        <v/>
      </c>
      <c r="R104" s="813">
        <f t="shared" ref="R104:R135" si="18">IFERROR(IF($L$3="","",IF(OR($L$3=$AJ$18,$L$3=$AJ$19),COUNTIF(J104:L104,"NA")*$J$7+(COUNTIF(J104:L104,"ML")*$J$7)+(COUNTIF(O104,"ML")*$O$7)+(COUNTIF(N104,"ML")*$N$8)+(COUNTIF(P104,"ML")*$P$7),COUNTIF(N104,"NA")*$N$7+(COUNTIF(J104:L104,"ML")*$J$7)+(COUNTIF(N104,"ML")*$N$7)+(COUNTIF(P104,"ML")*$P$7))),0)</f>
        <v>0</v>
      </c>
      <c r="S104" s="813" t="str">
        <f t="shared" si="14"/>
        <v/>
      </c>
      <c r="T104" s="813" t="str">
        <f t="shared" si="15"/>
        <v/>
      </c>
      <c r="U104" s="814" t="str">
        <f t="shared" si="16"/>
        <v/>
      </c>
      <c r="V104" s="815" t="str">
        <f t="shared" si="17"/>
        <v/>
      </c>
      <c r="W104" s="816" t="str">
        <f t="shared" ref="W104:W135" si="19">IF(Q104="","",IF(OR(U104="",U104=0,U104="RE",U104="AB",B104="NSO"),"",IF(Q104&gt;85%*S104,"A",IF(Q104&gt;70%*S104,"B",IF(Q104&gt;=50%*S104,"C",IF(Q104&gt;=30%*S104,"D","E"))))))</f>
        <v/>
      </c>
    </row>
    <row r="105" spans="1:23">
      <c r="A105" s="803">
        <f>IF('Statement of Marks'!A104="","",'Statement of Marks'!A104)</f>
        <v>98</v>
      </c>
      <c r="B105" s="804" t="str">
        <f>IF(OR($D$3="",$L$3=""),"",IF('Statement of Marks'!B104="","",'Statement of Marks'!B104))</f>
        <v/>
      </c>
      <c r="C105" s="805" t="str">
        <f>IF(OR($D$3="",$L$3=""),"",IF('Statement of Marks'!D104="","",'Statement of Marks'!D104))</f>
        <v/>
      </c>
      <c r="D105" s="806" t="str">
        <f>IF(OR($D$3="",$L$3=""),"",IF('Statement of Marks'!E104="","",'Statement of Marks'!E104))</f>
        <v/>
      </c>
      <c r="E105" s="807" t="str">
        <f>IF(OR($D$3="",$L$3=""),"",IF('Statement of Marks'!F104="","",'Statement of Marks'!F104))</f>
        <v/>
      </c>
      <c r="F105" s="807" t="str">
        <f>IF(OR($D$3="",$L$3=""),"",IF('Statement of Marks'!G104="","",'Statement of Marks'!G104))</f>
        <v/>
      </c>
      <c r="G105" s="807" t="str">
        <f>IF(OR($D$3="",$L$3=""),"",IF('Statement of Marks'!H104="","",'Statement of Marks'!H104))</f>
        <v/>
      </c>
      <c r="H105" s="808" t="str">
        <f>IF(OR($D$3="",$L$3=""),"",IF('Statement of Marks'!I104="","",'Statement of Marks'!I104))</f>
        <v/>
      </c>
      <c r="I105" s="808" t="str">
        <f>IF(OR($D$3="",$L$3=""),"",IF('Statement of Marks'!J104="","",'Statement of Marks'!J104))</f>
        <v/>
      </c>
      <c r="J105" s="809" t="str">
        <f>IFERROR(IF($L$3=$AJ$8,'Statement of Marks'!K104,IF($L$3=$AJ$9,'Statement of Marks'!Y104,IF($L$3=$AJ$10,'Statement of Marks'!AN104,IF($L$3=$AJ$11,'Statement of Marks'!BB104,IF($L$3=$AJ$12,'Statement of Marks'!BP104,IF($L$3=$AJ$13,'Statement of Marks'!CE104,IF($L$3=$AJ$14,'Statement of Marks'!CT104,IF($L$3=$AJ$15,'Statement of Marks'!DZ104,IF($L$3=$AJ$16,'Statement of Marks'!EL104,IF($L$3=$AJ$17,('Statement of Marks'!FB104+'Statement of Marks'!FC104),"")))))))))),"")</f>
        <v/>
      </c>
      <c r="K105" s="809" t="str">
        <f>IFERROR(IF($L$3=$AJ$8,'Statement of Marks'!L104,IF($L$3=$AJ$9,'Statement of Marks'!Z104,IF($L$3=$AJ$10,'Statement of Marks'!AO104,IF($L$3=$AJ$11,'Statement of Marks'!BC104,IF($L$3=$AJ$12,'Statement of Marks'!BQ104,IF($L$3=$AJ$13,'Statement of Marks'!CF104,IF($L$3=$AJ$14,'Statement of Marks'!CU104,IF($L$3=$AJ$15,'Statement of Marks'!EA104,IF($L$3=$AJ$16,'Statement of Marks'!EM104,IF($L$3=$AJ$17,('Statement of Marks'!FD104+'Statement of Marks'!FE104),"")))))))))),"")</f>
        <v/>
      </c>
      <c r="L105" s="809" t="str">
        <f>IFERROR(IF($L$3=$AJ$8,'Statement of Marks'!M104,IF($L$3=$AJ$9,'Statement of Marks'!AA104,IF($L$3=$AJ$10,'Statement of Marks'!AP104,IF($L$3=$AJ$11,'Statement of Marks'!BD104,IF($L$3=$AJ$12,'Statement of Marks'!BR104,IF($L$3=$AJ$13,'Statement of Marks'!CG104,IF($L$3=$AJ$14,'Statement of Marks'!CV104,IF($L$3=$AJ$15,'Statement of Marks'!EB104,IF($L$3=$AJ$16,'Statement of Marks'!EN104,IF($L$3=$AJ$17,('Statement of Marks'!FF104+'Statement of Marks'!FG104),"")))))))))),"")</f>
        <v/>
      </c>
      <c r="M105" s="810">
        <f t="shared" si="10"/>
        <v>0</v>
      </c>
      <c r="N105" s="809" t="str">
        <f>IFERROR(IF($L$3=$AJ$8,'Statement of Marks'!O104,IF($L$3=$AJ$9,'Statement of Marks'!AC104,IF($L$3=$AJ$10,'Statement of Marks'!AR104,IF($L$3=$AJ$11,'Statement of Marks'!BF104,IF($L$3=$AJ$12,'Statement of Marks'!BT104,IF($L$3=$AJ$13,'Statement of Marks'!CI104,IF($L$3=$AJ$14,('Statement of Marks'!CX104+'Statement of Marks'!CY104),IF($L$3=$AJ$15,'Statement of Marks'!ED104,IF($L$3=$AJ$16,('Statement of Marks'!EP104+'Statement of Marks'!EQ104),IF($L$3=$AJ$17,('Statement of Marks'!FI104+'Statement of Marks'!FJ104),IF($L$3=$AJ$18,'Statement of Marks'!FU104,IF($L$3=$AJ$19,'Statement of Marks'!GC104,"")))))))))))),"")</f>
        <v/>
      </c>
      <c r="O105" s="811">
        <f>IF($L$3=$AJ$18,'Statement of Marks'!FV104,IF($L$3=$AJ$19,'Statement of Marks'!GD104,IF(AND(M105="NA",N105="NA"),"NA",IF(AND(M105="",N105=""),"",SUM(M105,N105)))))</f>
        <v>0</v>
      </c>
      <c r="P105" s="809" t="str">
        <f>IFERROR(IF($L$3=$AJ$8,'Statement of Marks'!Q104,IF($L$3=$AJ$9,'Statement of Marks'!AE104,IF($L$3=$AJ$10,'Statement of Marks'!AT104,IF($L$3=$AJ$11,'Statement of Marks'!BH104,IF($L$3=$AJ$12,'Statement of Marks'!BV104,IF($L$3=$AJ$13,'Statement of Marks'!CK104,IF($L$3=$AJ$14,('Statement of Marks'!DB104+'Statement of Marks'!DC104),IF($L$3=$AJ$15,'Statement of Marks'!EF104,IF($L$3=$AJ$16,('Statement of Marks'!ET104+'Statement of Marks'!EU104),IF($L$3=$AJ$17,('Statement of Marks'!FM104+'Statement of Marks'!FN104),IF($L$3=$AJ$18,'Statement of Marks'!FW104,IF($L$3=$AJ$19,'Statement of Marks'!GE104,"")))))))))))),"")</f>
        <v/>
      </c>
      <c r="Q105" s="812" t="str">
        <f t="shared" si="13"/>
        <v/>
      </c>
      <c r="R105" s="813">
        <f t="shared" si="18"/>
        <v>0</v>
      </c>
      <c r="S105" s="813" t="str">
        <f t="shared" si="14"/>
        <v/>
      </c>
      <c r="T105" s="813" t="str">
        <f t="shared" si="15"/>
        <v/>
      </c>
      <c r="U105" s="814" t="str">
        <f t="shared" si="16"/>
        <v/>
      </c>
      <c r="V105" s="815" t="str">
        <f t="shared" si="17"/>
        <v/>
      </c>
      <c r="W105" s="816" t="str">
        <f t="shared" si="19"/>
        <v/>
      </c>
    </row>
    <row r="106" spans="1:23">
      <c r="A106" s="803">
        <f>IF('Statement of Marks'!A105="","",'Statement of Marks'!A105)</f>
        <v>99</v>
      </c>
      <c r="B106" s="804" t="str">
        <f>IF(OR($D$3="",$L$3=""),"",IF('Statement of Marks'!B105="","",'Statement of Marks'!B105))</f>
        <v/>
      </c>
      <c r="C106" s="805" t="str">
        <f>IF(OR($D$3="",$L$3=""),"",IF('Statement of Marks'!D105="","",'Statement of Marks'!D105))</f>
        <v/>
      </c>
      <c r="D106" s="806" t="str">
        <f>IF(OR($D$3="",$L$3=""),"",IF('Statement of Marks'!E105="","",'Statement of Marks'!E105))</f>
        <v/>
      </c>
      <c r="E106" s="807" t="str">
        <f>IF(OR($D$3="",$L$3=""),"",IF('Statement of Marks'!F105="","",'Statement of Marks'!F105))</f>
        <v/>
      </c>
      <c r="F106" s="807" t="str">
        <f>IF(OR($D$3="",$L$3=""),"",IF('Statement of Marks'!G105="","",'Statement of Marks'!G105))</f>
        <v/>
      </c>
      <c r="G106" s="807" t="str">
        <f>IF(OR($D$3="",$L$3=""),"",IF('Statement of Marks'!H105="","",'Statement of Marks'!H105))</f>
        <v/>
      </c>
      <c r="H106" s="808" t="str">
        <f>IF(OR($D$3="",$L$3=""),"",IF('Statement of Marks'!I105="","",'Statement of Marks'!I105))</f>
        <v/>
      </c>
      <c r="I106" s="808" t="str">
        <f>IF(OR($D$3="",$L$3=""),"",IF('Statement of Marks'!J105="","",'Statement of Marks'!J105))</f>
        <v/>
      </c>
      <c r="J106" s="809" t="str">
        <f>IFERROR(IF($L$3=$AJ$8,'Statement of Marks'!K105,IF($L$3=$AJ$9,'Statement of Marks'!Y105,IF($L$3=$AJ$10,'Statement of Marks'!AN105,IF($L$3=$AJ$11,'Statement of Marks'!BB105,IF($L$3=$AJ$12,'Statement of Marks'!BP105,IF($L$3=$AJ$13,'Statement of Marks'!CE105,IF($L$3=$AJ$14,'Statement of Marks'!CT105,IF($L$3=$AJ$15,'Statement of Marks'!DZ105,IF($L$3=$AJ$16,'Statement of Marks'!EL105,IF($L$3=$AJ$17,('Statement of Marks'!FB105+'Statement of Marks'!FC105),"")))))))))),"")</f>
        <v/>
      </c>
      <c r="K106" s="809" t="str">
        <f>IFERROR(IF($L$3=$AJ$8,'Statement of Marks'!L105,IF($L$3=$AJ$9,'Statement of Marks'!Z105,IF($L$3=$AJ$10,'Statement of Marks'!AO105,IF($L$3=$AJ$11,'Statement of Marks'!BC105,IF($L$3=$AJ$12,'Statement of Marks'!BQ105,IF($L$3=$AJ$13,'Statement of Marks'!CF105,IF($L$3=$AJ$14,'Statement of Marks'!CU105,IF($L$3=$AJ$15,'Statement of Marks'!EA105,IF($L$3=$AJ$16,'Statement of Marks'!EM105,IF($L$3=$AJ$17,('Statement of Marks'!FD105+'Statement of Marks'!FE105),"")))))))))),"")</f>
        <v/>
      </c>
      <c r="L106" s="809" t="str">
        <f>IFERROR(IF($L$3=$AJ$8,'Statement of Marks'!M105,IF($L$3=$AJ$9,'Statement of Marks'!AA105,IF($L$3=$AJ$10,'Statement of Marks'!AP105,IF($L$3=$AJ$11,'Statement of Marks'!BD105,IF($L$3=$AJ$12,'Statement of Marks'!BR105,IF($L$3=$AJ$13,'Statement of Marks'!CG105,IF($L$3=$AJ$14,'Statement of Marks'!CV105,IF($L$3=$AJ$15,'Statement of Marks'!EB105,IF($L$3=$AJ$16,'Statement of Marks'!EN105,IF($L$3=$AJ$17,('Statement of Marks'!FF105+'Statement of Marks'!FG105),"")))))))))),"")</f>
        <v/>
      </c>
      <c r="M106" s="810">
        <f t="shared" si="10"/>
        <v>0</v>
      </c>
      <c r="N106" s="809" t="str">
        <f>IFERROR(IF($L$3=$AJ$8,'Statement of Marks'!O105,IF($L$3=$AJ$9,'Statement of Marks'!AC105,IF($L$3=$AJ$10,'Statement of Marks'!AR105,IF($L$3=$AJ$11,'Statement of Marks'!BF105,IF($L$3=$AJ$12,'Statement of Marks'!BT105,IF($L$3=$AJ$13,'Statement of Marks'!CI105,IF($L$3=$AJ$14,('Statement of Marks'!CX105+'Statement of Marks'!CY105),IF($L$3=$AJ$15,'Statement of Marks'!ED105,IF($L$3=$AJ$16,('Statement of Marks'!EP105+'Statement of Marks'!EQ105),IF($L$3=$AJ$17,('Statement of Marks'!FI105+'Statement of Marks'!FJ105),IF($L$3=$AJ$18,'Statement of Marks'!FU105,IF($L$3=$AJ$19,'Statement of Marks'!GC105,"")))))))))))),"")</f>
        <v/>
      </c>
      <c r="O106" s="811">
        <f>IF($L$3=$AJ$18,'Statement of Marks'!FV105,IF($L$3=$AJ$19,'Statement of Marks'!GD105,IF(AND(M106="NA",N106="NA"),"NA",IF(AND(M106="",N106=""),"",SUM(M106,N106)))))</f>
        <v>0</v>
      </c>
      <c r="P106" s="809" t="str">
        <f>IFERROR(IF($L$3=$AJ$8,'Statement of Marks'!Q105,IF($L$3=$AJ$9,'Statement of Marks'!AE105,IF($L$3=$AJ$10,'Statement of Marks'!AT105,IF($L$3=$AJ$11,'Statement of Marks'!BH105,IF($L$3=$AJ$12,'Statement of Marks'!BV105,IF($L$3=$AJ$13,'Statement of Marks'!CK105,IF($L$3=$AJ$14,('Statement of Marks'!DB105+'Statement of Marks'!DC105),IF($L$3=$AJ$15,'Statement of Marks'!EF105,IF($L$3=$AJ$16,('Statement of Marks'!ET105+'Statement of Marks'!EU105),IF($L$3=$AJ$17,('Statement of Marks'!FM105+'Statement of Marks'!FN105),IF($L$3=$AJ$18,'Statement of Marks'!FW105,IF($L$3=$AJ$19,'Statement of Marks'!GE105,"")))))))))))),"")</f>
        <v/>
      </c>
      <c r="Q106" s="812" t="str">
        <f t="shared" si="13"/>
        <v/>
      </c>
      <c r="R106" s="813">
        <f t="shared" si="18"/>
        <v>0</v>
      </c>
      <c r="S106" s="813" t="str">
        <f t="shared" si="14"/>
        <v/>
      </c>
      <c r="T106" s="813" t="str">
        <f t="shared" si="15"/>
        <v/>
      </c>
      <c r="U106" s="814" t="str">
        <f t="shared" si="16"/>
        <v/>
      </c>
      <c r="V106" s="815" t="str">
        <f t="shared" si="17"/>
        <v/>
      </c>
      <c r="W106" s="816" t="str">
        <f t="shared" si="19"/>
        <v/>
      </c>
    </row>
    <row r="107" spans="1:23">
      <c r="A107" s="803">
        <f>IF('Statement of Marks'!A106="","",'Statement of Marks'!A106)</f>
        <v>100</v>
      </c>
      <c r="B107" s="804" t="str">
        <f>IF(OR($D$3="",$L$3=""),"",IF('Statement of Marks'!B106="","",'Statement of Marks'!B106))</f>
        <v/>
      </c>
      <c r="C107" s="805" t="str">
        <f>IF(OR($D$3="",$L$3=""),"",IF('Statement of Marks'!D106="","",'Statement of Marks'!D106))</f>
        <v/>
      </c>
      <c r="D107" s="806" t="str">
        <f>IF(OR($D$3="",$L$3=""),"",IF('Statement of Marks'!E106="","",'Statement of Marks'!E106))</f>
        <v/>
      </c>
      <c r="E107" s="807" t="str">
        <f>IF(OR($D$3="",$L$3=""),"",IF('Statement of Marks'!F106="","",'Statement of Marks'!F106))</f>
        <v/>
      </c>
      <c r="F107" s="807" t="str">
        <f>IF(OR($D$3="",$L$3=""),"",IF('Statement of Marks'!G106="","",'Statement of Marks'!G106))</f>
        <v/>
      </c>
      <c r="G107" s="807" t="str">
        <f>IF(OR($D$3="",$L$3=""),"",IF('Statement of Marks'!H106="","",'Statement of Marks'!H106))</f>
        <v/>
      </c>
      <c r="H107" s="808" t="str">
        <f>IF(OR($D$3="",$L$3=""),"",IF('Statement of Marks'!I106="","",'Statement of Marks'!I106))</f>
        <v/>
      </c>
      <c r="I107" s="808" t="str">
        <f>IF(OR($D$3="",$L$3=""),"",IF('Statement of Marks'!J106="","",'Statement of Marks'!J106))</f>
        <v/>
      </c>
      <c r="J107" s="809" t="str">
        <f>IFERROR(IF($L$3=$AJ$8,'Statement of Marks'!K106,IF($L$3=$AJ$9,'Statement of Marks'!Y106,IF($L$3=$AJ$10,'Statement of Marks'!AN106,IF($L$3=$AJ$11,'Statement of Marks'!BB106,IF($L$3=$AJ$12,'Statement of Marks'!BP106,IF($L$3=$AJ$13,'Statement of Marks'!CE106,IF($L$3=$AJ$14,'Statement of Marks'!CT106,IF($L$3=$AJ$15,'Statement of Marks'!DZ106,IF($L$3=$AJ$16,'Statement of Marks'!EL106,IF($L$3=$AJ$17,('Statement of Marks'!FB106+'Statement of Marks'!FC106),"")))))))))),"")</f>
        <v/>
      </c>
      <c r="K107" s="809" t="str">
        <f>IFERROR(IF($L$3=$AJ$8,'Statement of Marks'!L106,IF($L$3=$AJ$9,'Statement of Marks'!Z106,IF($L$3=$AJ$10,'Statement of Marks'!AO106,IF($L$3=$AJ$11,'Statement of Marks'!BC106,IF($L$3=$AJ$12,'Statement of Marks'!BQ106,IF($L$3=$AJ$13,'Statement of Marks'!CF106,IF($L$3=$AJ$14,'Statement of Marks'!CU106,IF($L$3=$AJ$15,'Statement of Marks'!EA106,IF($L$3=$AJ$16,'Statement of Marks'!EM106,IF($L$3=$AJ$17,('Statement of Marks'!FD106+'Statement of Marks'!FE106),"")))))))))),"")</f>
        <v/>
      </c>
      <c r="L107" s="809" t="str">
        <f>IFERROR(IF($L$3=$AJ$8,'Statement of Marks'!M106,IF($L$3=$AJ$9,'Statement of Marks'!AA106,IF($L$3=$AJ$10,'Statement of Marks'!AP106,IF($L$3=$AJ$11,'Statement of Marks'!BD106,IF($L$3=$AJ$12,'Statement of Marks'!BR106,IF($L$3=$AJ$13,'Statement of Marks'!CG106,IF($L$3=$AJ$14,'Statement of Marks'!CV106,IF($L$3=$AJ$15,'Statement of Marks'!EB106,IF($L$3=$AJ$16,'Statement of Marks'!EN106,IF($L$3=$AJ$17,('Statement of Marks'!FF106+'Statement of Marks'!FG106),"")))))))))),"")</f>
        <v/>
      </c>
      <c r="M107" s="810">
        <f t="shared" si="10"/>
        <v>0</v>
      </c>
      <c r="N107" s="809" t="str">
        <f>IFERROR(IF($L$3=$AJ$8,'Statement of Marks'!O106,IF($L$3=$AJ$9,'Statement of Marks'!AC106,IF($L$3=$AJ$10,'Statement of Marks'!AR106,IF($L$3=$AJ$11,'Statement of Marks'!BF106,IF($L$3=$AJ$12,'Statement of Marks'!BT106,IF($L$3=$AJ$13,'Statement of Marks'!CI106,IF($L$3=$AJ$14,('Statement of Marks'!CX106+'Statement of Marks'!CY106),IF($L$3=$AJ$15,'Statement of Marks'!ED106,IF($L$3=$AJ$16,('Statement of Marks'!EP106+'Statement of Marks'!EQ106),IF($L$3=$AJ$17,('Statement of Marks'!FI106+'Statement of Marks'!FJ106),IF($L$3=$AJ$18,'Statement of Marks'!FU106,IF($L$3=$AJ$19,'Statement of Marks'!GC106,"")))))))))))),"")</f>
        <v/>
      </c>
      <c r="O107" s="811">
        <f>IF($L$3=$AJ$18,'Statement of Marks'!FV106,IF($L$3=$AJ$19,'Statement of Marks'!GD106,IF(AND(M107="NA",N107="NA"),"NA",IF(AND(M107="",N107=""),"",SUM(M107,N107)))))</f>
        <v>0</v>
      </c>
      <c r="P107" s="809" t="str">
        <f>IFERROR(IF($L$3=$AJ$8,'Statement of Marks'!Q106,IF($L$3=$AJ$9,'Statement of Marks'!AE106,IF($L$3=$AJ$10,'Statement of Marks'!AT106,IF($L$3=$AJ$11,'Statement of Marks'!BH106,IF($L$3=$AJ$12,'Statement of Marks'!BV106,IF($L$3=$AJ$13,'Statement of Marks'!CK106,IF($L$3=$AJ$14,('Statement of Marks'!DB106+'Statement of Marks'!DC106),IF($L$3=$AJ$15,'Statement of Marks'!EF106,IF($L$3=$AJ$16,('Statement of Marks'!ET106+'Statement of Marks'!EU106),IF($L$3=$AJ$17,('Statement of Marks'!FM106+'Statement of Marks'!FN106),IF($L$3=$AJ$18,'Statement of Marks'!FW106,IF($L$3=$AJ$19,'Statement of Marks'!GE106,"")))))))))))),"")</f>
        <v/>
      </c>
      <c r="Q107" s="812" t="str">
        <f t="shared" si="13"/>
        <v/>
      </c>
      <c r="R107" s="813">
        <f t="shared" si="18"/>
        <v>0</v>
      </c>
      <c r="S107" s="813" t="str">
        <f t="shared" si="14"/>
        <v/>
      </c>
      <c r="T107" s="813" t="str">
        <f t="shared" si="15"/>
        <v/>
      </c>
      <c r="U107" s="814" t="str">
        <f t="shared" si="16"/>
        <v/>
      </c>
      <c r="V107" s="815" t="str">
        <f t="shared" si="17"/>
        <v/>
      </c>
      <c r="W107" s="816" t="str">
        <f t="shared" si="19"/>
        <v/>
      </c>
    </row>
    <row r="108" spans="1:23">
      <c r="A108" s="803">
        <f>IF('Statement of Marks'!A107="","",'Statement of Marks'!A107)</f>
        <v>101</v>
      </c>
      <c r="B108" s="804" t="str">
        <f>IF(OR($D$3="",$L$3=""),"",IF('Statement of Marks'!B107="","",'Statement of Marks'!B107))</f>
        <v/>
      </c>
      <c r="C108" s="805" t="str">
        <f>IF(OR($D$3="",$L$3=""),"",IF('Statement of Marks'!D107="","",'Statement of Marks'!D107))</f>
        <v/>
      </c>
      <c r="D108" s="806" t="str">
        <f>IF(OR($D$3="",$L$3=""),"",IF('Statement of Marks'!E107="","",'Statement of Marks'!E107))</f>
        <v/>
      </c>
      <c r="E108" s="807" t="str">
        <f>IF(OR($D$3="",$L$3=""),"",IF('Statement of Marks'!F107="","",'Statement of Marks'!F107))</f>
        <v/>
      </c>
      <c r="F108" s="807" t="str">
        <f>IF(OR($D$3="",$L$3=""),"",IF('Statement of Marks'!G107="","",'Statement of Marks'!G107))</f>
        <v/>
      </c>
      <c r="G108" s="807" t="str">
        <f>IF(OR($D$3="",$L$3=""),"",IF('Statement of Marks'!H107="","",'Statement of Marks'!H107))</f>
        <v/>
      </c>
      <c r="H108" s="808" t="str">
        <f>IF(OR($D$3="",$L$3=""),"",IF('Statement of Marks'!I107="","",'Statement of Marks'!I107))</f>
        <v/>
      </c>
      <c r="I108" s="808" t="str">
        <f>IF(OR($D$3="",$L$3=""),"",IF('Statement of Marks'!J107="","",'Statement of Marks'!J107))</f>
        <v/>
      </c>
      <c r="J108" s="809" t="str">
        <f>IFERROR(IF($L$3=$AJ$8,'Statement of Marks'!K107,IF($L$3=$AJ$9,'Statement of Marks'!Y107,IF($L$3=$AJ$10,'Statement of Marks'!AN107,IF($L$3=$AJ$11,'Statement of Marks'!BB107,IF($L$3=$AJ$12,'Statement of Marks'!BP107,IF($L$3=$AJ$13,'Statement of Marks'!CE107,IF($L$3=$AJ$14,'Statement of Marks'!CT107,IF($L$3=$AJ$15,'Statement of Marks'!DZ107,IF($L$3=$AJ$16,'Statement of Marks'!EL107,IF($L$3=$AJ$17,('Statement of Marks'!FB107+'Statement of Marks'!FC107),"")))))))))),"")</f>
        <v/>
      </c>
      <c r="K108" s="809" t="str">
        <f>IFERROR(IF($L$3=$AJ$8,'Statement of Marks'!L107,IF($L$3=$AJ$9,'Statement of Marks'!Z107,IF($L$3=$AJ$10,'Statement of Marks'!AO107,IF($L$3=$AJ$11,'Statement of Marks'!BC107,IF($L$3=$AJ$12,'Statement of Marks'!BQ107,IF($L$3=$AJ$13,'Statement of Marks'!CF107,IF($L$3=$AJ$14,'Statement of Marks'!CU107,IF($L$3=$AJ$15,'Statement of Marks'!EA107,IF($L$3=$AJ$16,'Statement of Marks'!EM107,IF($L$3=$AJ$17,('Statement of Marks'!FD107+'Statement of Marks'!FE107),"")))))))))),"")</f>
        <v/>
      </c>
      <c r="L108" s="809" t="str">
        <f>IFERROR(IF($L$3=$AJ$8,'Statement of Marks'!M107,IF($L$3=$AJ$9,'Statement of Marks'!AA107,IF($L$3=$AJ$10,'Statement of Marks'!AP107,IF($L$3=$AJ$11,'Statement of Marks'!BD107,IF($L$3=$AJ$12,'Statement of Marks'!BR107,IF($L$3=$AJ$13,'Statement of Marks'!CG107,IF($L$3=$AJ$14,'Statement of Marks'!CV107,IF($L$3=$AJ$15,'Statement of Marks'!EB107,IF($L$3=$AJ$16,'Statement of Marks'!EN107,IF($L$3=$AJ$17,('Statement of Marks'!FF107+'Statement of Marks'!FG107),"")))))))))),"")</f>
        <v/>
      </c>
      <c r="M108" s="810">
        <f t="shared" si="10"/>
        <v>0</v>
      </c>
      <c r="N108" s="809" t="str">
        <f>IFERROR(IF($L$3=$AJ$8,'Statement of Marks'!O107,IF($L$3=$AJ$9,'Statement of Marks'!AC107,IF($L$3=$AJ$10,'Statement of Marks'!AR107,IF($L$3=$AJ$11,'Statement of Marks'!BF107,IF($L$3=$AJ$12,'Statement of Marks'!BT107,IF($L$3=$AJ$13,'Statement of Marks'!CI107,IF($L$3=$AJ$14,('Statement of Marks'!CX107+'Statement of Marks'!CY107),IF($L$3=$AJ$15,'Statement of Marks'!ED107,IF($L$3=$AJ$16,('Statement of Marks'!EP107+'Statement of Marks'!EQ107),IF($L$3=$AJ$17,('Statement of Marks'!FI107+'Statement of Marks'!FJ107),IF($L$3=$AJ$18,'Statement of Marks'!FU107,IF($L$3=$AJ$19,'Statement of Marks'!GC107,"")))))))))))),"")</f>
        <v/>
      </c>
      <c r="O108" s="811">
        <f>IF($L$3=$AJ$18,'Statement of Marks'!FV107,IF($L$3=$AJ$19,'Statement of Marks'!GD107,IF(AND(M108="NA",N108="NA"),"NA",IF(AND(M108="",N108=""),"",SUM(M108,N108)))))</f>
        <v>0</v>
      </c>
      <c r="P108" s="809" t="str">
        <f>IFERROR(IF($L$3=$AJ$8,'Statement of Marks'!Q107,IF($L$3=$AJ$9,'Statement of Marks'!AE107,IF($L$3=$AJ$10,'Statement of Marks'!AT107,IF($L$3=$AJ$11,'Statement of Marks'!BH107,IF($L$3=$AJ$12,'Statement of Marks'!BV107,IF($L$3=$AJ$13,'Statement of Marks'!CK107,IF($L$3=$AJ$14,('Statement of Marks'!DB107+'Statement of Marks'!DC107),IF($L$3=$AJ$15,'Statement of Marks'!EF107,IF($L$3=$AJ$16,('Statement of Marks'!ET107+'Statement of Marks'!EU107),IF($L$3=$AJ$17,('Statement of Marks'!FM107+'Statement of Marks'!FN107),IF($L$3=$AJ$18,'Statement of Marks'!FW107,IF($L$3=$AJ$19,'Statement of Marks'!GE107,"")))))))))))),"")</f>
        <v/>
      </c>
      <c r="Q108" s="812" t="str">
        <f t="shared" si="13"/>
        <v/>
      </c>
      <c r="R108" s="813">
        <f t="shared" si="18"/>
        <v>0</v>
      </c>
      <c r="S108" s="813" t="str">
        <f t="shared" si="14"/>
        <v/>
      </c>
      <c r="T108" s="813" t="str">
        <f t="shared" si="15"/>
        <v/>
      </c>
      <c r="U108" s="814" t="str">
        <f t="shared" si="16"/>
        <v/>
      </c>
      <c r="V108" s="815" t="str">
        <f t="shared" si="17"/>
        <v/>
      </c>
      <c r="W108" s="816" t="str">
        <f t="shared" si="19"/>
        <v/>
      </c>
    </row>
    <row r="109" spans="1:23">
      <c r="A109" s="803">
        <f>IF('Statement of Marks'!A108="","",'Statement of Marks'!A108)</f>
        <v>102</v>
      </c>
      <c r="B109" s="804" t="str">
        <f>IF(OR($D$3="",$L$3=""),"",IF('Statement of Marks'!B108="","",'Statement of Marks'!B108))</f>
        <v/>
      </c>
      <c r="C109" s="805" t="str">
        <f>IF(OR($D$3="",$L$3=""),"",IF('Statement of Marks'!D108="","",'Statement of Marks'!D108))</f>
        <v/>
      </c>
      <c r="D109" s="806" t="str">
        <f>IF(OR($D$3="",$L$3=""),"",IF('Statement of Marks'!E108="","",'Statement of Marks'!E108))</f>
        <v/>
      </c>
      <c r="E109" s="807" t="str">
        <f>IF(OR($D$3="",$L$3=""),"",IF('Statement of Marks'!F108="","",'Statement of Marks'!F108))</f>
        <v/>
      </c>
      <c r="F109" s="807" t="str">
        <f>IF(OR($D$3="",$L$3=""),"",IF('Statement of Marks'!G108="","",'Statement of Marks'!G108))</f>
        <v/>
      </c>
      <c r="G109" s="807" t="str">
        <f>IF(OR($D$3="",$L$3=""),"",IF('Statement of Marks'!H108="","",'Statement of Marks'!H108))</f>
        <v/>
      </c>
      <c r="H109" s="808" t="str">
        <f>IF(OR($D$3="",$L$3=""),"",IF('Statement of Marks'!I108="","",'Statement of Marks'!I108))</f>
        <v/>
      </c>
      <c r="I109" s="808" t="str">
        <f>IF(OR($D$3="",$L$3=""),"",IF('Statement of Marks'!J108="","",'Statement of Marks'!J108))</f>
        <v/>
      </c>
      <c r="J109" s="809" t="str">
        <f>IFERROR(IF($L$3=$AJ$8,'Statement of Marks'!K108,IF($L$3=$AJ$9,'Statement of Marks'!Y108,IF($L$3=$AJ$10,'Statement of Marks'!AN108,IF($L$3=$AJ$11,'Statement of Marks'!BB108,IF($L$3=$AJ$12,'Statement of Marks'!BP108,IF($L$3=$AJ$13,'Statement of Marks'!CE108,IF($L$3=$AJ$14,'Statement of Marks'!CT108,IF($L$3=$AJ$15,'Statement of Marks'!DZ108,IF($L$3=$AJ$16,'Statement of Marks'!EL108,IF($L$3=$AJ$17,('Statement of Marks'!FB108+'Statement of Marks'!FC108),"")))))))))),"")</f>
        <v/>
      </c>
      <c r="K109" s="809" t="str">
        <f>IFERROR(IF($L$3=$AJ$8,'Statement of Marks'!L108,IF($L$3=$AJ$9,'Statement of Marks'!Z108,IF($L$3=$AJ$10,'Statement of Marks'!AO108,IF($L$3=$AJ$11,'Statement of Marks'!BC108,IF($L$3=$AJ$12,'Statement of Marks'!BQ108,IF($L$3=$AJ$13,'Statement of Marks'!CF108,IF($L$3=$AJ$14,'Statement of Marks'!CU108,IF($L$3=$AJ$15,'Statement of Marks'!EA108,IF($L$3=$AJ$16,'Statement of Marks'!EM108,IF($L$3=$AJ$17,('Statement of Marks'!FD108+'Statement of Marks'!FE108),"")))))))))),"")</f>
        <v/>
      </c>
      <c r="L109" s="809" t="str">
        <f>IFERROR(IF($L$3=$AJ$8,'Statement of Marks'!M108,IF($L$3=$AJ$9,'Statement of Marks'!AA108,IF($L$3=$AJ$10,'Statement of Marks'!AP108,IF($L$3=$AJ$11,'Statement of Marks'!BD108,IF($L$3=$AJ$12,'Statement of Marks'!BR108,IF($L$3=$AJ$13,'Statement of Marks'!CG108,IF($L$3=$AJ$14,'Statement of Marks'!CV108,IF($L$3=$AJ$15,'Statement of Marks'!EB108,IF($L$3=$AJ$16,'Statement of Marks'!EN108,IF($L$3=$AJ$17,('Statement of Marks'!FF108+'Statement of Marks'!FG108),"")))))))))),"")</f>
        <v/>
      </c>
      <c r="M109" s="810">
        <f t="shared" si="10"/>
        <v>0</v>
      </c>
      <c r="N109" s="809" t="str">
        <f>IFERROR(IF($L$3=$AJ$8,'Statement of Marks'!O108,IF($L$3=$AJ$9,'Statement of Marks'!AC108,IF($L$3=$AJ$10,'Statement of Marks'!AR108,IF($L$3=$AJ$11,'Statement of Marks'!BF108,IF($L$3=$AJ$12,'Statement of Marks'!BT108,IF($L$3=$AJ$13,'Statement of Marks'!CI108,IF($L$3=$AJ$14,('Statement of Marks'!CX108+'Statement of Marks'!CY108),IF($L$3=$AJ$15,'Statement of Marks'!ED108,IF($L$3=$AJ$16,('Statement of Marks'!EP108+'Statement of Marks'!EQ108),IF($L$3=$AJ$17,('Statement of Marks'!FI108+'Statement of Marks'!FJ108),IF($L$3=$AJ$18,'Statement of Marks'!FU108,IF($L$3=$AJ$19,'Statement of Marks'!GC108,"")))))))))))),"")</f>
        <v/>
      </c>
      <c r="O109" s="811">
        <f>IF($L$3=$AJ$18,'Statement of Marks'!FV108,IF($L$3=$AJ$19,'Statement of Marks'!GD108,IF(AND(M109="NA",N109="NA"),"NA",IF(AND(M109="",N109=""),"",SUM(M109,N109)))))</f>
        <v>0</v>
      </c>
      <c r="P109" s="809" t="str">
        <f>IFERROR(IF($L$3=$AJ$8,'Statement of Marks'!Q108,IF($L$3=$AJ$9,'Statement of Marks'!AE108,IF($L$3=$AJ$10,'Statement of Marks'!AT108,IF($L$3=$AJ$11,'Statement of Marks'!BH108,IF($L$3=$AJ$12,'Statement of Marks'!BV108,IF($L$3=$AJ$13,'Statement of Marks'!CK108,IF($L$3=$AJ$14,('Statement of Marks'!DB108+'Statement of Marks'!DC108),IF($L$3=$AJ$15,'Statement of Marks'!EF108,IF($L$3=$AJ$16,('Statement of Marks'!ET108+'Statement of Marks'!EU108),IF($L$3=$AJ$17,('Statement of Marks'!FM108+'Statement of Marks'!FN108),IF($L$3=$AJ$18,'Statement of Marks'!FW108,IF($L$3=$AJ$19,'Statement of Marks'!GE108,"")))))))))))),"")</f>
        <v/>
      </c>
      <c r="Q109" s="812" t="str">
        <f t="shared" si="13"/>
        <v/>
      </c>
      <c r="R109" s="813">
        <f t="shared" si="18"/>
        <v>0</v>
      </c>
      <c r="S109" s="813" t="str">
        <f t="shared" si="14"/>
        <v/>
      </c>
      <c r="T109" s="813" t="str">
        <f t="shared" si="15"/>
        <v/>
      </c>
      <c r="U109" s="814" t="str">
        <f t="shared" si="16"/>
        <v/>
      </c>
      <c r="V109" s="815" t="str">
        <f t="shared" si="17"/>
        <v/>
      </c>
      <c r="W109" s="816" t="str">
        <f t="shared" si="19"/>
        <v/>
      </c>
    </row>
    <row r="110" spans="1:23">
      <c r="A110" s="803">
        <f>IF('Statement of Marks'!A109="","",'Statement of Marks'!A109)</f>
        <v>103</v>
      </c>
      <c r="B110" s="804" t="str">
        <f>IF(OR($D$3="",$L$3=""),"",IF('Statement of Marks'!B109="","",'Statement of Marks'!B109))</f>
        <v/>
      </c>
      <c r="C110" s="805" t="str">
        <f>IF(OR($D$3="",$L$3=""),"",IF('Statement of Marks'!D109="","",'Statement of Marks'!D109))</f>
        <v/>
      </c>
      <c r="D110" s="806" t="str">
        <f>IF(OR($D$3="",$L$3=""),"",IF('Statement of Marks'!E109="","",'Statement of Marks'!E109))</f>
        <v/>
      </c>
      <c r="E110" s="807" t="str">
        <f>IF(OR($D$3="",$L$3=""),"",IF('Statement of Marks'!F109="","",'Statement of Marks'!F109))</f>
        <v/>
      </c>
      <c r="F110" s="807" t="str">
        <f>IF(OR($D$3="",$L$3=""),"",IF('Statement of Marks'!G109="","",'Statement of Marks'!G109))</f>
        <v/>
      </c>
      <c r="G110" s="807" t="str">
        <f>IF(OR($D$3="",$L$3=""),"",IF('Statement of Marks'!H109="","",'Statement of Marks'!H109))</f>
        <v/>
      </c>
      <c r="H110" s="808" t="str">
        <f>IF(OR($D$3="",$L$3=""),"",IF('Statement of Marks'!I109="","",'Statement of Marks'!I109))</f>
        <v/>
      </c>
      <c r="I110" s="808" t="str">
        <f>IF(OR($D$3="",$L$3=""),"",IF('Statement of Marks'!J109="","",'Statement of Marks'!J109))</f>
        <v/>
      </c>
      <c r="J110" s="809" t="str">
        <f>IFERROR(IF($L$3=$AJ$8,'Statement of Marks'!K109,IF($L$3=$AJ$9,'Statement of Marks'!Y109,IF($L$3=$AJ$10,'Statement of Marks'!AN109,IF($L$3=$AJ$11,'Statement of Marks'!BB109,IF($L$3=$AJ$12,'Statement of Marks'!BP109,IF($L$3=$AJ$13,'Statement of Marks'!CE109,IF($L$3=$AJ$14,'Statement of Marks'!CT109,IF($L$3=$AJ$15,'Statement of Marks'!DZ109,IF($L$3=$AJ$16,'Statement of Marks'!EL109,IF($L$3=$AJ$17,('Statement of Marks'!FB109+'Statement of Marks'!FC109),"")))))))))),"")</f>
        <v/>
      </c>
      <c r="K110" s="809" t="str">
        <f>IFERROR(IF($L$3=$AJ$8,'Statement of Marks'!L109,IF($L$3=$AJ$9,'Statement of Marks'!Z109,IF($L$3=$AJ$10,'Statement of Marks'!AO109,IF($L$3=$AJ$11,'Statement of Marks'!BC109,IF($L$3=$AJ$12,'Statement of Marks'!BQ109,IF($L$3=$AJ$13,'Statement of Marks'!CF109,IF($L$3=$AJ$14,'Statement of Marks'!CU109,IF($L$3=$AJ$15,'Statement of Marks'!EA109,IF($L$3=$AJ$16,'Statement of Marks'!EM109,IF($L$3=$AJ$17,('Statement of Marks'!FD109+'Statement of Marks'!FE109),"")))))))))),"")</f>
        <v/>
      </c>
      <c r="L110" s="809" t="str">
        <f>IFERROR(IF($L$3=$AJ$8,'Statement of Marks'!M109,IF($L$3=$AJ$9,'Statement of Marks'!AA109,IF($L$3=$AJ$10,'Statement of Marks'!AP109,IF($L$3=$AJ$11,'Statement of Marks'!BD109,IF($L$3=$AJ$12,'Statement of Marks'!BR109,IF($L$3=$AJ$13,'Statement of Marks'!CG109,IF($L$3=$AJ$14,'Statement of Marks'!CV109,IF($L$3=$AJ$15,'Statement of Marks'!EB109,IF($L$3=$AJ$16,'Statement of Marks'!EN109,IF($L$3=$AJ$17,('Statement of Marks'!FF109+'Statement of Marks'!FG109),"")))))))))),"")</f>
        <v/>
      </c>
      <c r="M110" s="810">
        <f t="shared" si="10"/>
        <v>0</v>
      </c>
      <c r="N110" s="809" t="str">
        <f>IFERROR(IF($L$3=$AJ$8,'Statement of Marks'!O109,IF($L$3=$AJ$9,'Statement of Marks'!AC109,IF($L$3=$AJ$10,'Statement of Marks'!AR109,IF($L$3=$AJ$11,'Statement of Marks'!BF109,IF($L$3=$AJ$12,'Statement of Marks'!BT109,IF($L$3=$AJ$13,'Statement of Marks'!CI109,IF($L$3=$AJ$14,('Statement of Marks'!CX109+'Statement of Marks'!CY109),IF($L$3=$AJ$15,'Statement of Marks'!ED109,IF($L$3=$AJ$16,('Statement of Marks'!EP109+'Statement of Marks'!EQ109),IF($L$3=$AJ$17,('Statement of Marks'!FI109+'Statement of Marks'!FJ109),IF($L$3=$AJ$18,'Statement of Marks'!FU109,IF($L$3=$AJ$19,'Statement of Marks'!GC109,"")))))))))))),"")</f>
        <v/>
      </c>
      <c r="O110" s="811">
        <f>IF($L$3=$AJ$18,'Statement of Marks'!FV109,IF($L$3=$AJ$19,'Statement of Marks'!GD109,IF(AND(M110="NA",N110="NA"),"NA",IF(AND(M110="",N110=""),"",SUM(M110,N110)))))</f>
        <v>0</v>
      </c>
      <c r="P110" s="809" t="str">
        <f>IFERROR(IF($L$3=$AJ$8,'Statement of Marks'!Q109,IF($L$3=$AJ$9,'Statement of Marks'!AE109,IF($L$3=$AJ$10,'Statement of Marks'!AT109,IF($L$3=$AJ$11,'Statement of Marks'!BH109,IF($L$3=$AJ$12,'Statement of Marks'!BV109,IF($L$3=$AJ$13,'Statement of Marks'!CK109,IF($L$3=$AJ$14,('Statement of Marks'!DB109+'Statement of Marks'!DC109),IF($L$3=$AJ$15,'Statement of Marks'!EF109,IF($L$3=$AJ$16,('Statement of Marks'!ET109+'Statement of Marks'!EU109),IF($L$3=$AJ$17,('Statement of Marks'!FM109+'Statement of Marks'!FN109),IF($L$3=$AJ$18,'Statement of Marks'!FW109,IF($L$3=$AJ$19,'Statement of Marks'!GE109,"")))))))))))),"")</f>
        <v/>
      </c>
      <c r="Q110" s="812" t="str">
        <f t="shared" si="13"/>
        <v/>
      </c>
      <c r="R110" s="813">
        <f t="shared" si="18"/>
        <v>0</v>
      </c>
      <c r="S110" s="813" t="str">
        <f t="shared" si="14"/>
        <v/>
      </c>
      <c r="T110" s="813" t="str">
        <f t="shared" si="15"/>
        <v/>
      </c>
      <c r="U110" s="814" t="str">
        <f t="shared" si="16"/>
        <v/>
      </c>
      <c r="V110" s="815" t="str">
        <f t="shared" si="17"/>
        <v/>
      </c>
      <c r="W110" s="816" t="str">
        <f t="shared" si="19"/>
        <v/>
      </c>
    </row>
    <row r="111" spans="1:23">
      <c r="A111" s="803">
        <f>IF('Statement of Marks'!A110="","",'Statement of Marks'!A110)</f>
        <v>104</v>
      </c>
      <c r="B111" s="804" t="str">
        <f>IF(OR($D$3="",$L$3=""),"",IF('Statement of Marks'!B110="","",'Statement of Marks'!B110))</f>
        <v/>
      </c>
      <c r="C111" s="805" t="str">
        <f>IF(OR($D$3="",$L$3=""),"",IF('Statement of Marks'!D110="","",'Statement of Marks'!D110))</f>
        <v/>
      </c>
      <c r="D111" s="806" t="str">
        <f>IF(OR($D$3="",$L$3=""),"",IF('Statement of Marks'!E110="","",'Statement of Marks'!E110))</f>
        <v/>
      </c>
      <c r="E111" s="807" t="str">
        <f>IF(OR($D$3="",$L$3=""),"",IF('Statement of Marks'!F110="","",'Statement of Marks'!F110))</f>
        <v/>
      </c>
      <c r="F111" s="807" t="str">
        <f>IF(OR($D$3="",$L$3=""),"",IF('Statement of Marks'!G110="","",'Statement of Marks'!G110))</f>
        <v/>
      </c>
      <c r="G111" s="807" t="str">
        <f>IF(OR($D$3="",$L$3=""),"",IF('Statement of Marks'!H110="","",'Statement of Marks'!H110))</f>
        <v/>
      </c>
      <c r="H111" s="808" t="str">
        <f>IF(OR($D$3="",$L$3=""),"",IF('Statement of Marks'!I110="","",'Statement of Marks'!I110))</f>
        <v/>
      </c>
      <c r="I111" s="808" t="str">
        <f>IF(OR($D$3="",$L$3=""),"",IF('Statement of Marks'!J110="","",'Statement of Marks'!J110))</f>
        <v/>
      </c>
      <c r="J111" s="809" t="str">
        <f>IFERROR(IF($L$3=$AJ$8,'Statement of Marks'!K110,IF($L$3=$AJ$9,'Statement of Marks'!Y110,IF($L$3=$AJ$10,'Statement of Marks'!AN110,IF($L$3=$AJ$11,'Statement of Marks'!BB110,IF($L$3=$AJ$12,'Statement of Marks'!BP110,IF($L$3=$AJ$13,'Statement of Marks'!CE110,IF($L$3=$AJ$14,'Statement of Marks'!CT110,IF($L$3=$AJ$15,'Statement of Marks'!DZ110,IF($L$3=$AJ$16,'Statement of Marks'!EL110,IF($L$3=$AJ$17,('Statement of Marks'!FB110+'Statement of Marks'!FC110),"")))))))))),"")</f>
        <v/>
      </c>
      <c r="K111" s="809" t="str">
        <f>IFERROR(IF($L$3=$AJ$8,'Statement of Marks'!L110,IF($L$3=$AJ$9,'Statement of Marks'!Z110,IF($L$3=$AJ$10,'Statement of Marks'!AO110,IF($L$3=$AJ$11,'Statement of Marks'!BC110,IF($L$3=$AJ$12,'Statement of Marks'!BQ110,IF($L$3=$AJ$13,'Statement of Marks'!CF110,IF($L$3=$AJ$14,'Statement of Marks'!CU110,IF($L$3=$AJ$15,'Statement of Marks'!EA110,IF($L$3=$AJ$16,'Statement of Marks'!EM110,IF($L$3=$AJ$17,('Statement of Marks'!FD110+'Statement of Marks'!FE110),"")))))))))),"")</f>
        <v/>
      </c>
      <c r="L111" s="809" t="str">
        <f>IFERROR(IF($L$3=$AJ$8,'Statement of Marks'!M110,IF($L$3=$AJ$9,'Statement of Marks'!AA110,IF($L$3=$AJ$10,'Statement of Marks'!AP110,IF($L$3=$AJ$11,'Statement of Marks'!BD110,IF($L$3=$AJ$12,'Statement of Marks'!BR110,IF($L$3=$AJ$13,'Statement of Marks'!CG110,IF($L$3=$AJ$14,'Statement of Marks'!CV110,IF($L$3=$AJ$15,'Statement of Marks'!EB110,IF($L$3=$AJ$16,'Statement of Marks'!EN110,IF($L$3=$AJ$17,('Statement of Marks'!FF110+'Statement of Marks'!FG110),"")))))))))),"")</f>
        <v/>
      </c>
      <c r="M111" s="810">
        <f t="shared" si="10"/>
        <v>0</v>
      </c>
      <c r="N111" s="809" t="str">
        <f>IFERROR(IF($L$3=$AJ$8,'Statement of Marks'!O110,IF($L$3=$AJ$9,'Statement of Marks'!AC110,IF($L$3=$AJ$10,'Statement of Marks'!AR110,IF($L$3=$AJ$11,'Statement of Marks'!BF110,IF($L$3=$AJ$12,'Statement of Marks'!BT110,IF($L$3=$AJ$13,'Statement of Marks'!CI110,IF($L$3=$AJ$14,('Statement of Marks'!CX110+'Statement of Marks'!CY110),IF($L$3=$AJ$15,'Statement of Marks'!ED110,IF($L$3=$AJ$16,('Statement of Marks'!EP110+'Statement of Marks'!EQ110),IF($L$3=$AJ$17,('Statement of Marks'!FI110+'Statement of Marks'!FJ110),IF($L$3=$AJ$18,'Statement of Marks'!FU110,IF($L$3=$AJ$19,'Statement of Marks'!GC110,"")))))))))))),"")</f>
        <v/>
      </c>
      <c r="O111" s="811">
        <f>IF($L$3=$AJ$18,'Statement of Marks'!FV110,IF($L$3=$AJ$19,'Statement of Marks'!GD110,IF(AND(M111="NA",N111="NA"),"NA",IF(AND(M111="",N111=""),"",SUM(M111,N111)))))</f>
        <v>0</v>
      </c>
      <c r="P111" s="809" t="str">
        <f>IFERROR(IF($L$3=$AJ$8,'Statement of Marks'!Q110,IF($L$3=$AJ$9,'Statement of Marks'!AE110,IF($L$3=$AJ$10,'Statement of Marks'!AT110,IF($L$3=$AJ$11,'Statement of Marks'!BH110,IF($L$3=$AJ$12,'Statement of Marks'!BV110,IF($L$3=$AJ$13,'Statement of Marks'!CK110,IF($L$3=$AJ$14,('Statement of Marks'!DB110+'Statement of Marks'!DC110),IF($L$3=$AJ$15,'Statement of Marks'!EF110,IF($L$3=$AJ$16,('Statement of Marks'!ET110+'Statement of Marks'!EU110),IF($L$3=$AJ$17,('Statement of Marks'!FM110+'Statement of Marks'!FN110),IF($L$3=$AJ$18,'Statement of Marks'!FW110,IF($L$3=$AJ$19,'Statement of Marks'!GE110,"")))))))))))),"")</f>
        <v/>
      </c>
      <c r="Q111" s="812" t="str">
        <f t="shared" si="13"/>
        <v/>
      </c>
      <c r="R111" s="813">
        <f t="shared" si="18"/>
        <v>0</v>
      </c>
      <c r="S111" s="813" t="str">
        <f t="shared" si="14"/>
        <v/>
      </c>
      <c r="T111" s="813" t="str">
        <f t="shared" si="15"/>
        <v/>
      </c>
      <c r="U111" s="814" t="str">
        <f t="shared" si="16"/>
        <v/>
      </c>
      <c r="V111" s="815" t="str">
        <f t="shared" si="17"/>
        <v/>
      </c>
      <c r="W111" s="816" t="str">
        <f t="shared" si="19"/>
        <v/>
      </c>
    </row>
    <row r="112" spans="1:23">
      <c r="A112" s="803">
        <f>IF('Statement of Marks'!A111="","",'Statement of Marks'!A111)</f>
        <v>105</v>
      </c>
      <c r="B112" s="804" t="str">
        <f>IF(OR($D$3="",$L$3=""),"",IF('Statement of Marks'!B111="","",'Statement of Marks'!B111))</f>
        <v/>
      </c>
      <c r="C112" s="805" t="str">
        <f>IF(OR($D$3="",$L$3=""),"",IF('Statement of Marks'!D111="","",'Statement of Marks'!D111))</f>
        <v/>
      </c>
      <c r="D112" s="806" t="str">
        <f>IF(OR($D$3="",$L$3=""),"",IF('Statement of Marks'!E111="","",'Statement of Marks'!E111))</f>
        <v/>
      </c>
      <c r="E112" s="807" t="str">
        <f>IF(OR($D$3="",$L$3=""),"",IF('Statement of Marks'!F111="","",'Statement of Marks'!F111))</f>
        <v/>
      </c>
      <c r="F112" s="807" t="str">
        <f>IF(OR($D$3="",$L$3=""),"",IF('Statement of Marks'!G111="","",'Statement of Marks'!G111))</f>
        <v/>
      </c>
      <c r="G112" s="807" t="str">
        <f>IF(OR($D$3="",$L$3=""),"",IF('Statement of Marks'!H111="","",'Statement of Marks'!H111))</f>
        <v/>
      </c>
      <c r="H112" s="808" t="str">
        <f>IF(OR($D$3="",$L$3=""),"",IF('Statement of Marks'!I111="","",'Statement of Marks'!I111))</f>
        <v/>
      </c>
      <c r="I112" s="808" t="str">
        <f>IF(OR($D$3="",$L$3=""),"",IF('Statement of Marks'!J111="","",'Statement of Marks'!J111))</f>
        <v/>
      </c>
      <c r="J112" s="809" t="str">
        <f>IFERROR(IF($L$3=$AJ$8,'Statement of Marks'!K111,IF($L$3=$AJ$9,'Statement of Marks'!Y111,IF($L$3=$AJ$10,'Statement of Marks'!AN111,IF($L$3=$AJ$11,'Statement of Marks'!BB111,IF($L$3=$AJ$12,'Statement of Marks'!BP111,IF($L$3=$AJ$13,'Statement of Marks'!CE111,IF($L$3=$AJ$14,'Statement of Marks'!CT111,IF($L$3=$AJ$15,'Statement of Marks'!DZ111,IF($L$3=$AJ$16,'Statement of Marks'!EL111,IF($L$3=$AJ$17,('Statement of Marks'!FB111+'Statement of Marks'!FC111),"")))))))))),"")</f>
        <v/>
      </c>
      <c r="K112" s="809" t="str">
        <f>IFERROR(IF($L$3=$AJ$8,'Statement of Marks'!L111,IF($L$3=$AJ$9,'Statement of Marks'!Z111,IF($L$3=$AJ$10,'Statement of Marks'!AO111,IF($L$3=$AJ$11,'Statement of Marks'!BC111,IF($L$3=$AJ$12,'Statement of Marks'!BQ111,IF($L$3=$AJ$13,'Statement of Marks'!CF111,IF($L$3=$AJ$14,'Statement of Marks'!CU111,IF($L$3=$AJ$15,'Statement of Marks'!EA111,IF($L$3=$AJ$16,'Statement of Marks'!EM111,IF($L$3=$AJ$17,('Statement of Marks'!FD111+'Statement of Marks'!FE111),"")))))))))),"")</f>
        <v/>
      </c>
      <c r="L112" s="809" t="str">
        <f>IFERROR(IF($L$3=$AJ$8,'Statement of Marks'!M111,IF($L$3=$AJ$9,'Statement of Marks'!AA111,IF($L$3=$AJ$10,'Statement of Marks'!AP111,IF($L$3=$AJ$11,'Statement of Marks'!BD111,IF($L$3=$AJ$12,'Statement of Marks'!BR111,IF($L$3=$AJ$13,'Statement of Marks'!CG111,IF($L$3=$AJ$14,'Statement of Marks'!CV111,IF($L$3=$AJ$15,'Statement of Marks'!EB111,IF($L$3=$AJ$16,'Statement of Marks'!EN111,IF($L$3=$AJ$17,('Statement of Marks'!FF111+'Statement of Marks'!FG111),"")))))))))),"")</f>
        <v/>
      </c>
      <c r="M112" s="810">
        <f t="shared" si="10"/>
        <v>0</v>
      </c>
      <c r="N112" s="809" t="str">
        <f>IFERROR(IF($L$3=$AJ$8,'Statement of Marks'!O111,IF($L$3=$AJ$9,'Statement of Marks'!AC111,IF($L$3=$AJ$10,'Statement of Marks'!AR111,IF($L$3=$AJ$11,'Statement of Marks'!BF111,IF($L$3=$AJ$12,'Statement of Marks'!BT111,IF($L$3=$AJ$13,'Statement of Marks'!CI111,IF($L$3=$AJ$14,('Statement of Marks'!CX111+'Statement of Marks'!CY111),IF($L$3=$AJ$15,'Statement of Marks'!ED111,IF($L$3=$AJ$16,('Statement of Marks'!EP111+'Statement of Marks'!EQ111),IF($L$3=$AJ$17,('Statement of Marks'!FI111+'Statement of Marks'!FJ111),IF($L$3=$AJ$18,'Statement of Marks'!FU111,IF($L$3=$AJ$19,'Statement of Marks'!GC111,"")))))))))))),"")</f>
        <v/>
      </c>
      <c r="O112" s="811">
        <f>IF($L$3=$AJ$18,'Statement of Marks'!FV111,IF($L$3=$AJ$19,'Statement of Marks'!GD111,IF(AND(M112="NA",N112="NA"),"NA",IF(AND(M112="",N112=""),"",SUM(M112,N112)))))</f>
        <v>0</v>
      </c>
      <c r="P112" s="809" t="str">
        <f>IFERROR(IF($L$3=$AJ$8,'Statement of Marks'!Q111,IF($L$3=$AJ$9,'Statement of Marks'!AE111,IF($L$3=$AJ$10,'Statement of Marks'!AT111,IF($L$3=$AJ$11,'Statement of Marks'!BH111,IF($L$3=$AJ$12,'Statement of Marks'!BV111,IF($L$3=$AJ$13,'Statement of Marks'!CK111,IF($L$3=$AJ$14,('Statement of Marks'!DB111+'Statement of Marks'!DC111),IF($L$3=$AJ$15,'Statement of Marks'!EF111,IF($L$3=$AJ$16,('Statement of Marks'!ET111+'Statement of Marks'!EU111),IF($L$3=$AJ$17,('Statement of Marks'!FM111+'Statement of Marks'!FN111),IF($L$3=$AJ$18,'Statement of Marks'!FW111,IF($L$3=$AJ$19,'Statement of Marks'!GE111,"")))))))))))),"")</f>
        <v/>
      </c>
      <c r="Q112" s="812" t="str">
        <f t="shared" si="13"/>
        <v/>
      </c>
      <c r="R112" s="813">
        <f t="shared" si="18"/>
        <v>0</v>
      </c>
      <c r="S112" s="813" t="str">
        <f t="shared" si="14"/>
        <v/>
      </c>
      <c r="T112" s="813" t="str">
        <f t="shared" si="15"/>
        <v/>
      </c>
      <c r="U112" s="814" t="str">
        <f t="shared" si="16"/>
        <v/>
      </c>
      <c r="V112" s="815" t="str">
        <f t="shared" si="17"/>
        <v/>
      </c>
      <c r="W112" s="816" t="str">
        <f t="shared" si="19"/>
        <v/>
      </c>
    </row>
    <row r="113" spans="1:23">
      <c r="A113" s="803">
        <f>IF('Statement of Marks'!A112="","",'Statement of Marks'!A112)</f>
        <v>106</v>
      </c>
      <c r="B113" s="804" t="str">
        <f>IF(OR($D$3="",$L$3=""),"",IF('Statement of Marks'!B112="","",'Statement of Marks'!B112))</f>
        <v/>
      </c>
      <c r="C113" s="805" t="str">
        <f>IF(OR($D$3="",$L$3=""),"",IF('Statement of Marks'!D112="","",'Statement of Marks'!D112))</f>
        <v/>
      </c>
      <c r="D113" s="806" t="str">
        <f>IF(OR($D$3="",$L$3=""),"",IF('Statement of Marks'!E112="","",'Statement of Marks'!E112))</f>
        <v/>
      </c>
      <c r="E113" s="807" t="str">
        <f>IF(OR($D$3="",$L$3=""),"",IF('Statement of Marks'!F112="","",'Statement of Marks'!F112))</f>
        <v/>
      </c>
      <c r="F113" s="807" t="str">
        <f>IF(OR($D$3="",$L$3=""),"",IF('Statement of Marks'!G112="","",'Statement of Marks'!G112))</f>
        <v/>
      </c>
      <c r="G113" s="807" t="str">
        <f>IF(OR($D$3="",$L$3=""),"",IF('Statement of Marks'!H112="","",'Statement of Marks'!H112))</f>
        <v/>
      </c>
      <c r="H113" s="808" t="str">
        <f>IF(OR($D$3="",$L$3=""),"",IF('Statement of Marks'!I112="","",'Statement of Marks'!I112))</f>
        <v/>
      </c>
      <c r="I113" s="808" t="str">
        <f>IF(OR($D$3="",$L$3=""),"",IF('Statement of Marks'!J112="","",'Statement of Marks'!J112))</f>
        <v/>
      </c>
      <c r="J113" s="809" t="str">
        <f>IFERROR(IF($L$3=$AJ$8,'Statement of Marks'!K112,IF($L$3=$AJ$9,'Statement of Marks'!Y112,IF($L$3=$AJ$10,'Statement of Marks'!AN112,IF($L$3=$AJ$11,'Statement of Marks'!BB112,IF($L$3=$AJ$12,'Statement of Marks'!BP112,IF($L$3=$AJ$13,'Statement of Marks'!CE112,IF($L$3=$AJ$14,'Statement of Marks'!CT112,IF($L$3=$AJ$15,'Statement of Marks'!DZ112,IF($L$3=$AJ$16,'Statement of Marks'!EL112,IF($L$3=$AJ$17,('Statement of Marks'!FB112+'Statement of Marks'!FC112),"")))))))))),"")</f>
        <v/>
      </c>
      <c r="K113" s="809" t="str">
        <f>IFERROR(IF($L$3=$AJ$8,'Statement of Marks'!L112,IF($L$3=$AJ$9,'Statement of Marks'!Z112,IF($L$3=$AJ$10,'Statement of Marks'!AO112,IF($L$3=$AJ$11,'Statement of Marks'!BC112,IF($L$3=$AJ$12,'Statement of Marks'!BQ112,IF($L$3=$AJ$13,'Statement of Marks'!CF112,IF($L$3=$AJ$14,'Statement of Marks'!CU112,IF($L$3=$AJ$15,'Statement of Marks'!EA112,IF($L$3=$AJ$16,'Statement of Marks'!EM112,IF($L$3=$AJ$17,('Statement of Marks'!FD112+'Statement of Marks'!FE112),"")))))))))),"")</f>
        <v/>
      </c>
      <c r="L113" s="809" t="str">
        <f>IFERROR(IF($L$3=$AJ$8,'Statement of Marks'!M112,IF($L$3=$AJ$9,'Statement of Marks'!AA112,IF($L$3=$AJ$10,'Statement of Marks'!AP112,IF($L$3=$AJ$11,'Statement of Marks'!BD112,IF($L$3=$AJ$12,'Statement of Marks'!BR112,IF($L$3=$AJ$13,'Statement of Marks'!CG112,IF($L$3=$AJ$14,'Statement of Marks'!CV112,IF($L$3=$AJ$15,'Statement of Marks'!EB112,IF($L$3=$AJ$16,'Statement of Marks'!EN112,IF($L$3=$AJ$17,('Statement of Marks'!FF112+'Statement of Marks'!FG112),"")))))))))),"")</f>
        <v/>
      </c>
      <c r="M113" s="810">
        <f t="shared" si="10"/>
        <v>0</v>
      </c>
      <c r="N113" s="809" t="str">
        <f>IFERROR(IF($L$3=$AJ$8,'Statement of Marks'!O112,IF($L$3=$AJ$9,'Statement of Marks'!AC112,IF($L$3=$AJ$10,'Statement of Marks'!AR112,IF($L$3=$AJ$11,'Statement of Marks'!BF112,IF($L$3=$AJ$12,'Statement of Marks'!BT112,IF($L$3=$AJ$13,'Statement of Marks'!CI112,IF($L$3=$AJ$14,('Statement of Marks'!CX112+'Statement of Marks'!CY112),IF($L$3=$AJ$15,'Statement of Marks'!ED112,IF($L$3=$AJ$16,('Statement of Marks'!EP112+'Statement of Marks'!EQ112),IF($L$3=$AJ$17,('Statement of Marks'!FI112+'Statement of Marks'!FJ112),IF($L$3=$AJ$18,'Statement of Marks'!FU112,IF($L$3=$AJ$19,'Statement of Marks'!GC112,"")))))))))))),"")</f>
        <v/>
      </c>
      <c r="O113" s="811">
        <f>IF($L$3=$AJ$18,'Statement of Marks'!FV112,IF($L$3=$AJ$19,'Statement of Marks'!GD112,IF(AND(M113="NA",N113="NA"),"NA",IF(AND(M113="",N113=""),"",SUM(M113,N113)))))</f>
        <v>0</v>
      </c>
      <c r="P113" s="809" t="str">
        <f>IFERROR(IF($L$3=$AJ$8,'Statement of Marks'!Q112,IF($L$3=$AJ$9,'Statement of Marks'!AE112,IF($L$3=$AJ$10,'Statement of Marks'!AT112,IF($L$3=$AJ$11,'Statement of Marks'!BH112,IF($L$3=$AJ$12,'Statement of Marks'!BV112,IF($L$3=$AJ$13,'Statement of Marks'!CK112,IF($L$3=$AJ$14,('Statement of Marks'!DB112+'Statement of Marks'!DC112),IF($L$3=$AJ$15,'Statement of Marks'!EF112,IF($L$3=$AJ$16,('Statement of Marks'!ET112+'Statement of Marks'!EU112),IF($L$3=$AJ$17,('Statement of Marks'!FM112+'Statement of Marks'!FN112),IF($L$3=$AJ$18,'Statement of Marks'!FW112,IF($L$3=$AJ$19,'Statement of Marks'!GE112,"")))))))))))),"")</f>
        <v/>
      </c>
      <c r="Q113" s="812" t="str">
        <f t="shared" si="13"/>
        <v/>
      </c>
      <c r="R113" s="813">
        <f t="shared" si="18"/>
        <v>0</v>
      </c>
      <c r="S113" s="813" t="str">
        <f t="shared" si="14"/>
        <v/>
      </c>
      <c r="T113" s="813" t="str">
        <f t="shared" si="15"/>
        <v/>
      </c>
      <c r="U113" s="814" t="str">
        <f t="shared" si="16"/>
        <v/>
      </c>
      <c r="V113" s="815" t="str">
        <f t="shared" si="17"/>
        <v/>
      </c>
      <c r="W113" s="816" t="str">
        <f t="shared" si="19"/>
        <v/>
      </c>
    </row>
    <row r="114" spans="1:23">
      <c r="A114" s="803">
        <f>IF('Statement of Marks'!A113="","",'Statement of Marks'!A113)</f>
        <v>107</v>
      </c>
      <c r="B114" s="804" t="str">
        <f>IF(OR($D$3="",$L$3=""),"",IF('Statement of Marks'!B113="","",'Statement of Marks'!B113))</f>
        <v/>
      </c>
      <c r="C114" s="805" t="str">
        <f>IF(OR($D$3="",$L$3=""),"",IF('Statement of Marks'!D113="","",'Statement of Marks'!D113))</f>
        <v/>
      </c>
      <c r="D114" s="806" t="str">
        <f>IF(OR($D$3="",$L$3=""),"",IF('Statement of Marks'!E113="","",'Statement of Marks'!E113))</f>
        <v/>
      </c>
      <c r="E114" s="807" t="str">
        <f>IF(OR($D$3="",$L$3=""),"",IF('Statement of Marks'!F113="","",'Statement of Marks'!F113))</f>
        <v/>
      </c>
      <c r="F114" s="807" t="str">
        <f>IF(OR($D$3="",$L$3=""),"",IF('Statement of Marks'!G113="","",'Statement of Marks'!G113))</f>
        <v/>
      </c>
      <c r="G114" s="807" t="str">
        <f>IF(OR($D$3="",$L$3=""),"",IF('Statement of Marks'!H113="","",'Statement of Marks'!H113))</f>
        <v/>
      </c>
      <c r="H114" s="808" t="str">
        <f>IF(OR($D$3="",$L$3=""),"",IF('Statement of Marks'!I113="","",'Statement of Marks'!I113))</f>
        <v/>
      </c>
      <c r="I114" s="808" t="str">
        <f>IF(OR($D$3="",$L$3=""),"",IF('Statement of Marks'!J113="","",'Statement of Marks'!J113))</f>
        <v/>
      </c>
      <c r="J114" s="809" t="str">
        <f>IFERROR(IF($L$3=$AJ$8,'Statement of Marks'!K113,IF($L$3=$AJ$9,'Statement of Marks'!Y113,IF($L$3=$AJ$10,'Statement of Marks'!AN113,IF($L$3=$AJ$11,'Statement of Marks'!BB113,IF($L$3=$AJ$12,'Statement of Marks'!BP113,IF($L$3=$AJ$13,'Statement of Marks'!CE113,IF($L$3=$AJ$14,'Statement of Marks'!CT113,IF($L$3=$AJ$15,'Statement of Marks'!DZ113,IF($L$3=$AJ$16,'Statement of Marks'!EL113,IF($L$3=$AJ$17,('Statement of Marks'!FB113+'Statement of Marks'!FC113),"")))))))))),"")</f>
        <v/>
      </c>
      <c r="K114" s="809" t="str">
        <f>IFERROR(IF($L$3=$AJ$8,'Statement of Marks'!L113,IF($L$3=$AJ$9,'Statement of Marks'!Z113,IF($L$3=$AJ$10,'Statement of Marks'!AO113,IF($L$3=$AJ$11,'Statement of Marks'!BC113,IF($L$3=$AJ$12,'Statement of Marks'!BQ113,IF($L$3=$AJ$13,'Statement of Marks'!CF113,IF($L$3=$AJ$14,'Statement of Marks'!CU113,IF($L$3=$AJ$15,'Statement of Marks'!EA113,IF($L$3=$AJ$16,'Statement of Marks'!EM113,IF($L$3=$AJ$17,('Statement of Marks'!FD113+'Statement of Marks'!FE113),"")))))))))),"")</f>
        <v/>
      </c>
      <c r="L114" s="809" t="str">
        <f>IFERROR(IF($L$3=$AJ$8,'Statement of Marks'!M113,IF($L$3=$AJ$9,'Statement of Marks'!AA113,IF($L$3=$AJ$10,'Statement of Marks'!AP113,IF($L$3=$AJ$11,'Statement of Marks'!BD113,IF($L$3=$AJ$12,'Statement of Marks'!BR113,IF($L$3=$AJ$13,'Statement of Marks'!CG113,IF($L$3=$AJ$14,'Statement of Marks'!CV113,IF($L$3=$AJ$15,'Statement of Marks'!EB113,IF($L$3=$AJ$16,'Statement of Marks'!EN113,IF($L$3=$AJ$17,('Statement of Marks'!FF113+'Statement of Marks'!FG113),"")))))))))),"")</f>
        <v/>
      </c>
      <c r="M114" s="810">
        <f t="shared" si="10"/>
        <v>0</v>
      </c>
      <c r="N114" s="809" t="str">
        <f>IFERROR(IF($L$3=$AJ$8,'Statement of Marks'!O113,IF($L$3=$AJ$9,'Statement of Marks'!AC113,IF($L$3=$AJ$10,'Statement of Marks'!AR113,IF($L$3=$AJ$11,'Statement of Marks'!BF113,IF($L$3=$AJ$12,'Statement of Marks'!BT113,IF($L$3=$AJ$13,'Statement of Marks'!CI113,IF($L$3=$AJ$14,('Statement of Marks'!CX113+'Statement of Marks'!CY113),IF($L$3=$AJ$15,'Statement of Marks'!ED113,IF($L$3=$AJ$16,('Statement of Marks'!EP113+'Statement of Marks'!EQ113),IF($L$3=$AJ$17,('Statement of Marks'!FI113+'Statement of Marks'!FJ113),IF($L$3=$AJ$18,'Statement of Marks'!FU113,IF($L$3=$AJ$19,'Statement of Marks'!GC113,"")))))))))))),"")</f>
        <v/>
      </c>
      <c r="O114" s="811">
        <f>IF($L$3=$AJ$18,'Statement of Marks'!FV113,IF($L$3=$AJ$19,'Statement of Marks'!GD113,IF(AND(M114="NA",N114="NA"),"NA",IF(AND(M114="",N114=""),"",SUM(M114,N114)))))</f>
        <v>0</v>
      </c>
      <c r="P114" s="809" t="str">
        <f>IFERROR(IF($L$3=$AJ$8,'Statement of Marks'!Q113,IF($L$3=$AJ$9,'Statement of Marks'!AE113,IF($L$3=$AJ$10,'Statement of Marks'!AT113,IF($L$3=$AJ$11,'Statement of Marks'!BH113,IF($L$3=$AJ$12,'Statement of Marks'!BV113,IF($L$3=$AJ$13,'Statement of Marks'!CK113,IF($L$3=$AJ$14,('Statement of Marks'!DB113+'Statement of Marks'!DC113),IF($L$3=$AJ$15,'Statement of Marks'!EF113,IF($L$3=$AJ$16,('Statement of Marks'!ET113+'Statement of Marks'!EU113),IF($L$3=$AJ$17,('Statement of Marks'!FM113+'Statement of Marks'!FN113),IF($L$3=$AJ$18,'Statement of Marks'!FW113,IF($L$3=$AJ$19,'Statement of Marks'!GE113,"")))))))))))),"")</f>
        <v/>
      </c>
      <c r="Q114" s="812" t="str">
        <f t="shared" si="13"/>
        <v/>
      </c>
      <c r="R114" s="813">
        <f t="shared" si="18"/>
        <v>0</v>
      </c>
      <c r="S114" s="813" t="str">
        <f t="shared" si="14"/>
        <v/>
      </c>
      <c r="T114" s="813" t="str">
        <f t="shared" si="15"/>
        <v/>
      </c>
      <c r="U114" s="814" t="str">
        <f t="shared" si="16"/>
        <v/>
      </c>
      <c r="V114" s="815" t="str">
        <f t="shared" si="17"/>
        <v/>
      </c>
      <c r="W114" s="816" t="str">
        <f t="shared" si="19"/>
        <v/>
      </c>
    </row>
    <row r="115" spans="1:23">
      <c r="A115" s="803">
        <f>IF('Statement of Marks'!A114="","",'Statement of Marks'!A114)</f>
        <v>108</v>
      </c>
      <c r="B115" s="804" t="str">
        <f>IF(OR($D$3="",$L$3=""),"",IF('Statement of Marks'!B114="","",'Statement of Marks'!B114))</f>
        <v/>
      </c>
      <c r="C115" s="805" t="str">
        <f>IF(OR($D$3="",$L$3=""),"",IF('Statement of Marks'!D114="","",'Statement of Marks'!D114))</f>
        <v/>
      </c>
      <c r="D115" s="806" t="str">
        <f>IF(OR($D$3="",$L$3=""),"",IF('Statement of Marks'!E114="","",'Statement of Marks'!E114))</f>
        <v/>
      </c>
      <c r="E115" s="807" t="str">
        <f>IF(OR($D$3="",$L$3=""),"",IF('Statement of Marks'!F114="","",'Statement of Marks'!F114))</f>
        <v/>
      </c>
      <c r="F115" s="807" t="str">
        <f>IF(OR($D$3="",$L$3=""),"",IF('Statement of Marks'!G114="","",'Statement of Marks'!G114))</f>
        <v/>
      </c>
      <c r="G115" s="807" t="str">
        <f>IF(OR($D$3="",$L$3=""),"",IF('Statement of Marks'!H114="","",'Statement of Marks'!H114))</f>
        <v/>
      </c>
      <c r="H115" s="808" t="str">
        <f>IF(OR($D$3="",$L$3=""),"",IF('Statement of Marks'!I114="","",'Statement of Marks'!I114))</f>
        <v/>
      </c>
      <c r="I115" s="808" t="str">
        <f>IF(OR($D$3="",$L$3=""),"",IF('Statement of Marks'!J114="","",'Statement of Marks'!J114))</f>
        <v/>
      </c>
      <c r="J115" s="809" t="str">
        <f>IFERROR(IF($L$3=$AJ$8,'Statement of Marks'!K114,IF($L$3=$AJ$9,'Statement of Marks'!Y114,IF($L$3=$AJ$10,'Statement of Marks'!AN114,IF($L$3=$AJ$11,'Statement of Marks'!BB114,IF($L$3=$AJ$12,'Statement of Marks'!BP114,IF($L$3=$AJ$13,'Statement of Marks'!CE114,IF($L$3=$AJ$14,'Statement of Marks'!CT114,IF($L$3=$AJ$15,'Statement of Marks'!DZ114,IF($L$3=$AJ$16,'Statement of Marks'!EL114,IF($L$3=$AJ$17,('Statement of Marks'!FB114+'Statement of Marks'!FC114),"")))))))))),"")</f>
        <v/>
      </c>
      <c r="K115" s="809" t="str">
        <f>IFERROR(IF($L$3=$AJ$8,'Statement of Marks'!L114,IF($L$3=$AJ$9,'Statement of Marks'!Z114,IF($L$3=$AJ$10,'Statement of Marks'!AO114,IF($L$3=$AJ$11,'Statement of Marks'!BC114,IF($L$3=$AJ$12,'Statement of Marks'!BQ114,IF($L$3=$AJ$13,'Statement of Marks'!CF114,IF($L$3=$AJ$14,'Statement of Marks'!CU114,IF($L$3=$AJ$15,'Statement of Marks'!EA114,IF($L$3=$AJ$16,'Statement of Marks'!EM114,IF($L$3=$AJ$17,('Statement of Marks'!FD114+'Statement of Marks'!FE114),"")))))))))),"")</f>
        <v/>
      </c>
      <c r="L115" s="809" t="str">
        <f>IFERROR(IF($L$3=$AJ$8,'Statement of Marks'!M114,IF($L$3=$AJ$9,'Statement of Marks'!AA114,IF($L$3=$AJ$10,'Statement of Marks'!AP114,IF($L$3=$AJ$11,'Statement of Marks'!BD114,IF($L$3=$AJ$12,'Statement of Marks'!BR114,IF($L$3=$AJ$13,'Statement of Marks'!CG114,IF($L$3=$AJ$14,'Statement of Marks'!CV114,IF($L$3=$AJ$15,'Statement of Marks'!EB114,IF($L$3=$AJ$16,'Statement of Marks'!EN114,IF($L$3=$AJ$17,('Statement of Marks'!FF114+'Statement of Marks'!FG114),"")))))))))),"")</f>
        <v/>
      </c>
      <c r="M115" s="810">
        <f t="shared" si="10"/>
        <v>0</v>
      </c>
      <c r="N115" s="809" t="str">
        <f>IFERROR(IF($L$3=$AJ$8,'Statement of Marks'!O114,IF($L$3=$AJ$9,'Statement of Marks'!AC114,IF($L$3=$AJ$10,'Statement of Marks'!AR114,IF($L$3=$AJ$11,'Statement of Marks'!BF114,IF($L$3=$AJ$12,'Statement of Marks'!BT114,IF($L$3=$AJ$13,'Statement of Marks'!CI114,IF($L$3=$AJ$14,('Statement of Marks'!CX114+'Statement of Marks'!CY114),IF($L$3=$AJ$15,'Statement of Marks'!ED114,IF($L$3=$AJ$16,('Statement of Marks'!EP114+'Statement of Marks'!EQ114),IF($L$3=$AJ$17,('Statement of Marks'!FI114+'Statement of Marks'!FJ114),IF($L$3=$AJ$18,'Statement of Marks'!FU114,IF($L$3=$AJ$19,'Statement of Marks'!GC114,"")))))))))))),"")</f>
        <v/>
      </c>
      <c r="O115" s="811">
        <f>IF($L$3=$AJ$18,'Statement of Marks'!FV114,IF($L$3=$AJ$19,'Statement of Marks'!GD114,IF(AND(M115="NA",N115="NA"),"NA",IF(AND(M115="",N115=""),"",SUM(M115,N115)))))</f>
        <v>0</v>
      </c>
      <c r="P115" s="809" t="str">
        <f>IFERROR(IF($L$3=$AJ$8,'Statement of Marks'!Q114,IF($L$3=$AJ$9,'Statement of Marks'!AE114,IF($L$3=$AJ$10,'Statement of Marks'!AT114,IF($L$3=$AJ$11,'Statement of Marks'!BH114,IF($L$3=$AJ$12,'Statement of Marks'!BV114,IF($L$3=$AJ$13,'Statement of Marks'!CK114,IF($L$3=$AJ$14,('Statement of Marks'!DB114+'Statement of Marks'!DC114),IF($L$3=$AJ$15,'Statement of Marks'!EF114,IF($L$3=$AJ$16,('Statement of Marks'!ET114+'Statement of Marks'!EU114),IF($L$3=$AJ$17,('Statement of Marks'!FM114+'Statement of Marks'!FN114),IF($L$3=$AJ$18,'Statement of Marks'!FW114,IF($L$3=$AJ$19,'Statement of Marks'!GE114,"")))))))))))),"")</f>
        <v/>
      </c>
      <c r="Q115" s="812" t="str">
        <f t="shared" si="13"/>
        <v/>
      </c>
      <c r="R115" s="813">
        <f t="shared" si="18"/>
        <v>0</v>
      </c>
      <c r="S115" s="813" t="str">
        <f t="shared" si="14"/>
        <v/>
      </c>
      <c r="T115" s="813" t="str">
        <f t="shared" si="15"/>
        <v/>
      </c>
      <c r="U115" s="814" t="str">
        <f t="shared" si="16"/>
        <v/>
      </c>
      <c r="V115" s="815" t="str">
        <f t="shared" si="17"/>
        <v/>
      </c>
      <c r="W115" s="816" t="str">
        <f t="shared" si="19"/>
        <v/>
      </c>
    </row>
    <row r="116" spans="1:23">
      <c r="A116" s="803">
        <f>IF('Statement of Marks'!A115="","",'Statement of Marks'!A115)</f>
        <v>109</v>
      </c>
      <c r="B116" s="804" t="str">
        <f>IF(OR($D$3="",$L$3=""),"",IF('Statement of Marks'!B115="","",'Statement of Marks'!B115))</f>
        <v/>
      </c>
      <c r="C116" s="805" t="str">
        <f>IF(OR($D$3="",$L$3=""),"",IF('Statement of Marks'!D115="","",'Statement of Marks'!D115))</f>
        <v/>
      </c>
      <c r="D116" s="806" t="str">
        <f>IF(OR($D$3="",$L$3=""),"",IF('Statement of Marks'!E115="","",'Statement of Marks'!E115))</f>
        <v/>
      </c>
      <c r="E116" s="807" t="str">
        <f>IF(OR($D$3="",$L$3=""),"",IF('Statement of Marks'!F115="","",'Statement of Marks'!F115))</f>
        <v/>
      </c>
      <c r="F116" s="807" t="str">
        <f>IF(OR($D$3="",$L$3=""),"",IF('Statement of Marks'!G115="","",'Statement of Marks'!G115))</f>
        <v/>
      </c>
      <c r="G116" s="807" t="str">
        <f>IF(OR($D$3="",$L$3=""),"",IF('Statement of Marks'!H115="","",'Statement of Marks'!H115))</f>
        <v/>
      </c>
      <c r="H116" s="808" t="str">
        <f>IF(OR($D$3="",$L$3=""),"",IF('Statement of Marks'!I115="","",'Statement of Marks'!I115))</f>
        <v/>
      </c>
      <c r="I116" s="808" t="str">
        <f>IF(OR($D$3="",$L$3=""),"",IF('Statement of Marks'!J115="","",'Statement of Marks'!J115))</f>
        <v/>
      </c>
      <c r="J116" s="809" t="str">
        <f>IFERROR(IF($L$3=$AJ$8,'Statement of Marks'!K115,IF($L$3=$AJ$9,'Statement of Marks'!Y115,IF($L$3=$AJ$10,'Statement of Marks'!AN115,IF($L$3=$AJ$11,'Statement of Marks'!BB115,IF($L$3=$AJ$12,'Statement of Marks'!BP115,IF($L$3=$AJ$13,'Statement of Marks'!CE115,IF($L$3=$AJ$14,'Statement of Marks'!CT115,IF($L$3=$AJ$15,'Statement of Marks'!DZ115,IF($L$3=$AJ$16,'Statement of Marks'!EL115,IF($L$3=$AJ$17,('Statement of Marks'!FB115+'Statement of Marks'!FC115),"")))))))))),"")</f>
        <v/>
      </c>
      <c r="K116" s="809" t="str">
        <f>IFERROR(IF($L$3=$AJ$8,'Statement of Marks'!L115,IF($L$3=$AJ$9,'Statement of Marks'!Z115,IF($L$3=$AJ$10,'Statement of Marks'!AO115,IF($L$3=$AJ$11,'Statement of Marks'!BC115,IF($L$3=$AJ$12,'Statement of Marks'!BQ115,IF($L$3=$AJ$13,'Statement of Marks'!CF115,IF($L$3=$AJ$14,'Statement of Marks'!CU115,IF($L$3=$AJ$15,'Statement of Marks'!EA115,IF($L$3=$AJ$16,'Statement of Marks'!EM115,IF($L$3=$AJ$17,('Statement of Marks'!FD115+'Statement of Marks'!FE115),"")))))))))),"")</f>
        <v/>
      </c>
      <c r="L116" s="809" t="str">
        <f>IFERROR(IF($L$3=$AJ$8,'Statement of Marks'!M115,IF($L$3=$AJ$9,'Statement of Marks'!AA115,IF($L$3=$AJ$10,'Statement of Marks'!AP115,IF($L$3=$AJ$11,'Statement of Marks'!BD115,IF($L$3=$AJ$12,'Statement of Marks'!BR115,IF($L$3=$AJ$13,'Statement of Marks'!CG115,IF($L$3=$AJ$14,'Statement of Marks'!CV115,IF($L$3=$AJ$15,'Statement of Marks'!EB115,IF($L$3=$AJ$16,'Statement of Marks'!EN115,IF($L$3=$AJ$17,('Statement of Marks'!FF115+'Statement of Marks'!FG115),"")))))))))),"")</f>
        <v/>
      </c>
      <c r="M116" s="810">
        <f t="shared" si="10"/>
        <v>0</v>
      </c>
      <c r="N116" s="809" t="str">
        <f>IFERROR(IF($L$3=$AJ$8,'Statement of Marks'!O115,IF($L$3=$AJ$9,'Statement of Marks'!AC115,IF($L$3=$AJ$10,'Statement of Marks'!AR115,IF($L$3=$AJ$11,'Statement of Marks'!BF115,IF($L$3=$AJ$12,'Statement of Marks'!BT115,IF($L$3=$AJ$13,'Statement of Marks'!CI115,IF($L$3=$AJ$14,('Statement of Marks'!CX115+'Statement of Marks'!CY115),IF($L$3=$AJ$15,'Statement of Marks'!ED115,IF($L$3=$AJ$16,('Statement of Marks'!EP115+'Statement of Marks'!EQ115),IF($L$3=$AJ$17,('Statement of Marks'!FI115+'Statement of Marks'!FJ115),IF($L$3=$AJ$18,'Statement of Marks'!FU115,IF($L$3=$AJ$19,'Statement of Marks'!GC115,"")))))))))))),"")</f>
        <v/>
      </c>
      <c r="O116" s="811">
        <f>IF($L$3=$AJ$18,'Statement of Marks'!FV115,IF($L$3=$AJ$19,'Statement of Marks'!GD115,IF(AND(M116="NA",N116="NA"),"NA",IF(AND(M116="",N116=""),"",SUM(M116,N116)))))</f>
        <v>0</v>
      </c>
      <c r="P116" s="809" t="str">
        <f>IFERROR(IF($L$3=$AJ$8,'Statement of Marks'!Q115,IF($L$3=$AJ$9,'Statement of Marks'!AE115,IF($L$3=$AJ$10,'Statement of Marks'!AT115,IF($L$3=$AJ$11,'Statement of Marks'!BH115,IF($L$3=$AJ$12,'Statement of Marks'!BV115,IF($L$3=$AJ$13,'Statement of Marks'!CK115,IF($L$3=$AJ$14,('Statement of Marks'!DB115+'Statement of Marks'!DC115),IF($L$3=$AJ$15,'Statement of Marks'!EF115,IF($L$3=$AJ$16,('Statement of Marks'!ET115+'Statement of Marks'!EU115),IF($L$3=$AJ$17,('Statement of Marks'!FM115+'Statement of Marks'!FN115),IF($L$3=$AJ$18,'Statement of Marks'!FW115,IF($L$3=$AJ$19,'Statement of Marks'!GE115,"")))))))))))),"")</f>
        <v/>
      </c>
      <c r="Q116" s="812" t="str">
        <f t="shared" si="13"/>
        <v/>
      </c>
      <c r="R116" s="813">
        <f t="shared" si="18"/>
        <v>0</v>
      </c>
      <c r="S116" s="813" t="str">
        <f t="shared" si="14"/>
        <v/>
      </c>
      <c r="T116" s="813" t="str">
        <f t="shared" si="15"/>
        <v/>
      </c>
      <c r="U116" s="814" t="str">
        <f t="shared" si="16"/>
        <v/>
      </c>
      <c r="V116" s="815" t="str">
        <f t="shared" si="17"/>
        <v/>
      </c>
      <c r="W116" s="816" t="str">
        <f t="shared" si="19"/>
        <v/>
      </c>
    </row>
    <row r="117" spans="1:23">
      <c r="A117" s="803">
        <f>IF('Statement of Marks'!A116="","",'Statement of Marks'!A116)</f>
        <v>110</v>
      </c>
      <c r="B117" s="804" t="str">
        <f>IF(OR($D$3="",$L$3=""),"",IF('Statement of Marks'!B116="","",'Statement of Marks'!B116))</f>
        <v/>
      </c>
      <c r="C117" s="805" t="str">
        <f>IF(OR($D$3="",$L$3=""),"",IF('Statement of Marks'!D116="","",'Statement of Marks'!D116))</f>
        <v/>
      </c>
      <c r="D117" s="806" t="str">
        <f>IF(OR($D$3="",$L$3=""),"",IF('Statement of Marks'!E116="","",'Statement of Marks'!E116))</f>
        <v/>
      </c>
      <c r="E117" s="807" t="str">
        <f>IF(OR($D$3="",$L$3=""),"",IF('Statement of Marks'!F116="","",'Statement of Marks'!F116))</f>
        <v/>
      </c>
      <c r="F117" s="807" t="str">
        <f>IF(OR($D$3="",$L$3=""),"",IF('Statement of Marks'!G116="","",'Statement of Marks'!G116))</f>
        <v/>
      </c>
      <c r="G117" s="807" t="str">
        <f>IF(OR($D$3="",$L$3=""),"",IF('Statement of Marks'!H116="","",'Statement of Marks'!H116))</f>
        <v/>
      </c>
      <c r="H117" s="808" t="str">
        <f>IF(OR($D$3="",$L$3=""),"",IF('Statement of Marks'!I116="","",'Statement of Marks'!I116))</f>
        <v/>
      </c>
      <c r="I117" s="808" t="str">
        <f>IF(OR($D$3="",$L$3=""),"",IF('Statement of Marks'!J116="","",'Statement of Marks'!J116))</f>
        <v/>
      </c>
      <c r="J117" s="809" t="str">
        <f>IFERROR(IF($L$3=$AJ$8,'Statement of Marks'!K116,IF($L$3=$AJ$9,'Statement of Marks'!Y116,IF($L$3=$AJ$10,'Statement of Marks'!AN116,IF($L$3=$AJ$11,'Statement of Marks'!BB116,IF($L$3=$AJ$12,'Statement of Marks'!BP116,IF($L$3=$AJ$13,'Statement of Marks'!CE116,IF($L$3=$AJ$14,'Statement of Marks'!CT116,IF($L$3=$AJ$15,'Statement of Marks'!DZ116,IF($L$3=$AJ$16,'Statement of Marks'!EL116,IF($L$3=$AJ$17,('Statement of Marks'!FB116+'Statement of Marks'!FC116),"")))))))))),"")</f>
        <v/>
      </c>
      <c r="K117" s="809" t="str">
        <f>IFERROR(IF($L$3=$AJ$8,'Statement of Marks'!L116,IF($L$3=$AJ$9,'Statement of Marks'!Z116,IF($L$3=$AJ$10,'Statement of Marks'!AO116,IF($L$3=$AJ$11,'Statement of Marks'!BC116,IF($L$3=$AJ$12,'Statement of Marks'!BQ116,IF($L$3=$AJ$13,'Statement of Marks'!CF116,IF($L$3=$AJ$14,'Statement of Marks'!CU116,IF($L$3=$AJ$15,'Statement of Marks'!EA116,IF($L$3=$AJ$16,'Statement of Marks'!EM116,IF($L$3=$AJ$17,('Statement of Marks'!FD116+'Statement of Marks'!FE116),"")))))))))),"")</f>
        <v/>
      </c>
      <c r="L117" s="809" t="str">
        <f>IFERROR(IF($L$3=$AJ$8,'Statement of Marks'!M116,IF($L$3=$AJ$9,'Statement of Marks'!AA116,IF($L$3=$AJ$10,'Statement of Marks'!AP116,IF($L$3=$AJ$11,'Statement of Marks'!BD116,IF($L$3=$AJ$12,'Statement of Marks'!BR116,IF($L$3=$AJ$13,'Statement of Marks'!CG116,IF($L$3=$AJ$14,'Statement of Marks'!CV116,IF($L$3=$AJ$15,'Statement of Marks'!EB116,IF($L$3=$AJ$16,'Statement of Marks'!EN116,IF($L$3=$AJ$17,('Statement of Marks'!FF116+'Statement of Marks'!FG116),"")))))))))),"")</f>
        <v/>
      </c>
      <c r="M117" s="810">
        <f t="shared" si="10"/>
        <v>0</v>
      </c>
      <c r="N117" s="809" t="str">
        <f>IFERROR(IF($L$3=$AJ$8,'Statement of Marks'!O116,IF($L$3=$AJ$9,'Statement of Marks'!AC116,IF($L$3=$AJ$10,'Statement of Marks'!AR116,IF($L$3=$AJ$11,'Statement of Marks'!BF116,IF($L$3=$AJ$12,'Statement of Marks'!BT116,IF($L$3=$AJ$13,'Statement of Marks'!CI116,IF($L$3=$AJ$14,('Statement of Marks'!CX116+'Statement of Marks'!CY116),IF($L$3=$AJ$15,'Statement of Marks'!ED116,IF($L$3=$AJ$16,('Statement of Marks'!EP116+'Statement of Marks'!EQ116),IF($L$3=$AJ$17,('Statement of Marks'!FI116+'Statement of Marks'!FJ116),IF($L$3=$AJ$18,'Statement of Marks'!FU116,IF($L$3=$AJ$19,'Statement of Marks'!GC116,"")))))))))))),"")</f>
        <v/>
      </c>
      <c r="O117" s="811">
        <f>IF($L$3=$AJ$18,'Statement of Marks'!FV116,IF($L$3=$AJ$19,'Statement of Marks'!GD116,IF(AND(M117="NA",N117="NA"),"NA",IF(AND(M117="",N117=""),"",SUM(M117,N117)))))</f>
        <v>0</v>
      </c>
      <c r="P117" s="809" t="str">
        <f>IFERROR(IF($L$3=$AJ$8,'Statement of Marks'!Q116,IF($L$3=$AJ$9,'Statement of Marks'!AE116,IF($L$3=$AJ$10,'Statement of Marks'!AT116,IF($L$3=$AJ$11,'Statement of Marks'!BH116,IF($L$3=$AJ$12,'Statement of Marks'!BV116,IF($L$3=$AJ$13,'Statement of Marks'!CK116,IF($L$3=$AJ$14,('Statement of Marks'!DB116+'Statement of Marks'!DC116),IF($L$3=$AJ$15,'Statement of Marks'!EF116,IF($L$3=$AJ$16,('Statement of Marks'!ET116+'Statement of Marks'!EU116),IF($L$3=$AJ$17,('Statement of Marks'!FM116+'Statement of Marks'!FN116),IF($L$3=$AJ$18,'Statement of Marks'!FW116,IF($L$3=$AJ$19,'Statement of Marks'!GE116,"")))))))))))),"")</f>
        <v/>
      </c>
      <c r="Q117" s="812" t="str">
        <f t="shared" si="13"/>
        <v/>
      </c>
      <c r="R117" s="813">
        <f t="shared" si="18"/>
        <v>0</v>
      </c>
      <c r="S117" s="813" t="str">
        <f t="shared" si="14"/>
        <v/>
      </c>
      <c r="T117" s="813" t="str">
        <f t="shared" si="15"/>
        <v/>
      </c>
      <c r="U117" s="814" t="str">
        <f t="shared" si="16"/>
        <v/>
      </c>
      <c r="V117" s="815" t="str">
        <f t="shared" si="17"/>
        <v/>
      </c>
      <c r="W117" s="816" t="str">
        <f t="shared" si="19"/>
        <v/>
      </c>
    </row>
    <row r="118" spans="1:23">
      <c r="A118" s="803">
        <f>IF('Statement of Marks'!A117="","",'Statement of Marks'!A117)</f>
        <v>111</v>
      </c>
      <c r="B118" s="804" t="str">
        <f>IF(OR($D$3="",$L$3=""),"",IF('Statement of Marks'!B117="","",'Statement of Marks'!B117))</f>
        <v/>
      </c>
      <c r="C118" s="805" t="str">
        <f>IF(OR($D$3="",$L$3=""),"",IF('Statement of Marks'!D117="","",'Statement of Marks'!D117))</f>
        <v/>
      </c>
      <c r="D118" s="806" t="str">
        <f>IF(OR($D$3="",$L$3=""),"",IF('Statement of Marks'!E117="","",'Statement of Marks'!E117))</f>
        <v/>
      </c>
      <c r="E118" s="807" t="str">
        <f>IF(OR($D$3="",$L$3=""),"",IF('Statement of Marks'!F117="","",'Statement of Marks'!F117))</f>
        <v/>
      </c>
      <c r="F118" s="807" t="str">
        <f>IF(OR($D$3="",$L$3=""),"",IF('Statement of Marks'!G117="","",'Statement of Marks'!G117))</f>
        <v/>
      </c>
      <c r="G118" s="807" t="str">
        <f>IF(OR($D$3="",$L$3=""),"",IF('Statement of Marks'!H117="","",'Statement of Marks'!H117))</f>
        <v/>
      </c>
      <c r="H118" s="808" t="str">
        <f>IF(OR($D$3="",$L$3=""),"",IF('Statement of Marks'!I117="","",'Statement of Marks'!I117))</f>
        <v/>
      </c>
      <c r="I118" s="808" t="str">
        <f>IF(OR($D$3="",$L$3=""),"",IF('Statement of Marks'!J117="","",'Statement of Marks'!J117))</f>
        <v/>
      </c>
      <c r="J118" s="809" t="str">
        <f>IFERROR(IF($L$3=$AJ$8,'Statement of Marks'!K117,IF($L$3=$AJ$9,'Statement of Marks'!Y117,IF($L$3=$AJ$10,'Statement of Marks'!AN117,IF($L$3=$AJ$11,'Statement of Marks'!BB117,IF($L$3=$AJ$12,'Statement of Marks'!BP117,IF($L$3=$AJ$13,'Statement of Marks'!CE117,IF($L$3=$AJ$14,'Statement of Marks'!CT117,IF($L$3=$AJ$15,'Statement of Marks'!DZ117,IF($L$3=$AJ$16,'Statement of Marks'!EL117,IF($L$3=$AJ$17,('Statement of Marks'!FB117+'Statement of Marks'!FC117),"")))))))))),"")</f>
        <v/>
      </c>
      <c r="K118" s="809" t="str">
        <f>IFERROR(IF($L$3=$AJ$8,'Statement of Marks'!L117,IF($L$3=$AJ$9,'Statement of Marks'!Z117,IF($L$3=$AJ$10,'Statement of Marks'!AO117,IF($L$3=$AJ$11,'Statement of Marks'!BC117,IF($L$3=$AJ$12,'Statement of Marks'!BQ117,IF($L$3=$AJ$13,'Statement of Marks'!CF117,IF($L$3=$AJ$14,'Statement of Marks'!CU117,IF($L$3=$AJ$15,'Statement of Marks'!EA117,IF($L$3=$AJ$16,'Statement of Marks'!EM117,IF($L$3=$AJ$17,('Statement of Marks'!FD117+'Statement of Marks'!FE117),"")))))))))),"")</f>
        <v/>
      </c>
      <c r="L118" s="809" t="str">
        <f>IFERROR(IF($L$3=$AJ$8,'Statement of Marks'!M117,IF($L$3=$AJ$9,'Statement of Marks'!AA117,IF($L$3=$AJ$10,'Statement of Marks'!AP117,IF($L$3=$AJ$11,'Statement of Marks'!BD117,IF($L$3=$AJ$12,'Statement of Marks'!BR117,IF($L$3=$AJ$13,'Statement of Marks'!CG117,IF($L$3=$AJ$14,'Statement of Marks'!CV117,IF($L$3=$AJ$15,'Statement of Marks'!EB117,IF($L$3=$AJ$16,'Statement of Marks'!EN117,IF($L$3=$AJ$17,('Statement of Marks'!FF117+'Statement of Marks'!FG117),"")))))))))),"")</f>
        <v/>
      </c>
      <c r="M118" s="810">
        <f t="shared" si="10"/>
        <v>0</v>
      </c>
      <c r="N118" s="809" t="str">
        <f>IFERROR(IF($L$3=$AJ$8,'Statement of Marks'!O117,IF($L$3=$AJ$9,'Statement of Marks'!AC117,IF($L$3=$AJ$10,'Statement of Marks'!AR117,IF($L$3=$AJ$11,'Statement of Marks'!BF117,IF($L$3=$AJ$12,'Statement of Marks'!BT117,IF($L$3=$AJ$13,'Statement of Marks'!CI117,IF($L$3=$AJ$14,('Statement of Marks'!CX117+'Statement of Marks'!CY117),IF($L$3=$AJ$15,'Statement of Marks'!ED117,IF($L$3=$AJ$16,('Statement of Marks'!EP117+'Statement of Marks'!EQ117),IF($L$3=$AJ$17,('Statement of Marks'!FI117+'Statement of Marks'!FJ117),IF($L$3=$AJ$18,'Statement of Marks'!FU117,IF($L$3=$AJ$19,'Statement of Marks'!GC117,"")))))))))))),"")</f>
        <v/>
      </c>
      <c r="O118" s="811">
        <f>IF($L$3=$AJ$18,'Statement of Marks'!FV117,IF($L$3=$AJ$19,'Statement of Marks'!GD117,IF(AND(M118="NA",N118="NA"),"NA",IF(AND(M118="",N118=""),"",SUM(M118,N118)))))</f>
        <v>0</v>
      </c>
      <c r="P118" s="809" t="str">
        <f>IFERROR(IF($L$3=$AJ$8,'Statement of Marks'!Q117,IF($L$3=$AJ$9,'Statement of Marks'!AE117,IF($L$3=$AJ$10,'Statement of Marks'!AT117,IF($L$3=$AJ$11,'Statement of Marks'!BH117,IF($L$3=$AJ$12,'Statement of Marks'!BV117,IF($L$3=$AJ$13,'Statement of Marks'!CK117,IF($L$3=$AJ$14,('Statement of Marks'!DB117+'Statement of Marks'!DC117),IF($L$3=$AJ$15,'Statement of Marks'!EF117,IF($L$3=$AJ$16,('Statement of Marks'!ET117+'Statement of Marks'!EU117),IF($L$3=$AJ$17,('Statement of Marks'!FM117+'Statement of Marks'!FN117),IF($L$3=$AJ$18,'Statement of Marks'!FW117,IF($L$3=$AJ$19,'Statement of Marks'!GE117,"")))))))))))),"")</f>
        <v/>
      </c>
      <c r="Q118" s="812" t="str">
        <f t="shared" si="13"/>
        <v/>
      </c>
      <c r="R118" s="813">
        <f t="shared" si="18"/>
        <v>0</v>
      </c>
      <c r="S118" s="813" t="str">
        <f t="shared" si="14"/>
        <v/>
      </c>
      <c r="T118" s="813" t="str">
        <f t="shared" si="15"/>
        <v/>
      </c>
      <c r="U118" s="814" t="str">
        <f t="shared" si="16"/>
        <v/>
      </c>
      <c r="V118" s="815" t="str">
        <f t="shared" si="17"/>
        <v/>
      </c>
      <c r="W118" s="816" t="str">
        <f t="shared" si="19"/>
        <v/>
      </c>
    </row>
    <row r="119" spans="1:23">
      <c r="A119" s="803">
        <f>IF('Statement of Marks'!A118="","",'Statement of Marks'!A118)</f>
        <v>112</v>
      </c>
      <c r="B119" s="804" t="str">
        <f>IF(OR($D$3="",$L$3=""),"",IF('Statement of Marks'!B118="","",'Statement of Marks'!B118))</f>
        <v/>
      </c>
      <c r="C119" s="805" t="str">
        <f>IF(OR($D$3="",$L$3=""),"",IF('Statement of Marks'!D118="","",'Statement of Marks'!D118))</f>
        <v/>
      </c>
      <c r="D119" s="806" t="str">
        <f>IF(OR($D$3="",$L$3=""),"",IF('Statement of Marks'!E118="","",'Statement of Marks'!E118))</f>
        <v/>
      </c>
      <c r="E119" s="807" t="str">
        <f>IF(OR($D$3="",$L$3=""),"",IF('Statement of Marks'!F118="","",'Statement of Marks'!F118))</f>
        <v/>
      </c>
      <c r="F119" s="807" t="str">
        <f>IF(OR($D$3="",$L$3=""),"",IF('Statement of Marks'!G118="","",'Statement of Marks'!G118))</f>
        <v/>
      </c>
      <c r="G119" s="807" t="str">
        <f>IF(OR($D$3="",$L$3=""),"",IF('Statement of Marks'!H118="","",'Statement of Marks'!H118))</f>
        <v/>
      </c>
      <c r="H119" s="808" t="str">
        <f>IF(OR($D$3="",$L$3=""),"",IF('Statement of Marks'!I118="","",'Statement of Marks'!I118))</f>
        <v/>
      </c>
      <c r="I119" s="808" t="str">
        <f>IF(OR($D$3="",$L$3=""),"",IF('Statement of Marks'!J118="","",'Statement of Marks'!J118))</f>
        <v/>
      </c>
      <c r="J119" s="809" t="str">
        <f>IFERROR(IF($L$3=$AJ$8,'Statement of Marks'!K118,IF($L$3=$AJ$9,'Statement of Marks'!Y118,IF($L$3=$AJ$10,'Statement of Marks'!AN118,IF($L$3=$AJ$11,'Statement of Marks'!BB118,IF($L$3=$AJ$12,'Statement of Marks'!BP118,IF($L$3=$AJ$13,'Statement of Marks'!CE118,IF($L$3=$AJ$14,'Statement of Marks'!CT118,IF($L$3=$AJ$15,'Statement of Marks'!DZ118,IF($L$3=$AJ$16,'Statement of Marks'!EL118,IF($L$3=$AJ$17,('Statement of Marks'!FB118+'Statement of Marks'!FC118),"")))))))))),"")</f>
        <v/>
      </c>
      <c r="K119" s="809" t="str">
        <f>IFERROR(IF($L$3=$AJ$8,'Statement of Marks'!L118,IF($L$3=$AJ$9,'Statement of Marks'!Z118,IF($L$3=$AJ$10,'Statement of Marks'!AO118,IF($L$3=$AJ$11,'Statement of Marks'!BC118,IF($L$3=$AJ$12,'Statement of Marks'!BQ118,IF($L$3=$AJ$13,'Statement of Marks'!CF118,IF($L$3=$AJ$14,'Statement of Marks'!CU118,IF($L$3=$AJ$15,'Statement of Marks'!EA118,IF($L$3=$AJ$16,'Statement of Marks'!EM118,IF($L$3=$AJ$17,('Statement of Marks'!FD118+'Statement of Marks'!FE118),"")))))))))),"")</f>
        <v/>
      </c>
      <c r="L119" s="809" t="str">
        <f>IFERROR(IF($L$3=$AJ$8,'Statement of Marks'!M118,IF($L$3=$AJ$9,'Statement of Marks'!AA118,IF($L$3=$AJ$10,'Statement of Marks'!AP118,IF($L$3=$AJ$11,'Statement of Marks'!BD118,IF($L$3=$AJ$12,'Statement of Marks'!BR118,IF($L$3=$AJ$13,'Statement of Marks'!CG118,IF($L$3=$AJ$14,'Statement of Marks'!CV118,IF($L$3=$AJ$15,'Statement of Marks'!EB118,IF($L$3=$AJ$16,'Statement of Marks'!EN118,IF($L$3=$AJ$17,('Statement of Marks'!FF118+'Statement of Marks'!FG118),"")))))))))),"")</f>
        <v/>
      </c>
      <c r="M119" s="810">
        <f t="shared" si="10"/>
        <v>0</v>
      </c>
      <c r="N119" s="809" t="str">
        <f>IFERROR(IF($L$3=$AJ$8,'Statement of Marks'!O118,IF($L$3=$AJ$9,'Statement of Marks'!AC118,IF($L$3=$AJ$10,'Statement of Marks'!AR118,IF($L$3=$AJ$11,'Statement of Marks'!BF118,IF($L$3=$AJ$12,'Statement of Marks'!BT118,IF($L$3=$AJ$13,'Statement of Marks'!CI118,IF($L$3=$AJ$14,('Statement of Marks'!CX118+'Statement of Marks'!CY118),IF($L$3=$AJ$15,'Statement of Marks'!ED118,IF($L$3=$AJ$16,('Statement of Marks'!EP118+'Statement of Marks'!EQ118),IF($L$3=$AJ$17,('Statement of Marks'!FI118+'Statement of Marks'!FJ118),IF($L$3=$AJ$18,'Statement of Marks'!FU118,IF($L$3=$AJ$19,'Statement of Marks'!GC118,"")))))))))))),"")</f>
        <v/>
      </c>
      <c r="O119" s="811">
        <f>IF($L$3=$AJ$18,'Statement of Marks'!FV118,IF($L$3=$AJ$19,'Statement of Marks'!GD118,IF(AND(M119="NA",N119="NA"),"NA",IF(AND(M119="",N119=""),"",SUM(M119,N119)))))</f>
        <v>0</v>
      </c>
      <c r="P119" s="809" t="str">
        <f>IFERROR(IF($L$3=$AJ$8,'Statement of Marks'!Q118,IF($L$3=$AJ$9,'Statement of Marks'!AE118,IF($L$3=$AJ$10,'Statement of Marks'!AT118,IF($L$3=$AJ$11,'Statement of Marks'!BH118,IF($L$3=$AJ$12,'Statement of Marks'!BV118,IF($L$3=$AJ$13,'Statement of Marks'!CK118,IF($L$3=$AJ$14,('Statement of Marks'!DB118+'Statement of Marks'!DC118),IF($L$3=$AJ$15,'Statement of Marks'!EF118,IF($L$3=$AJ$16,('Statement of Marks'!ET118+'Statement of Marks'!EU118),IF($L$3=$AJ$17,('Statement of Marks'!FM118+'Statement of Marks'!FN118),IF($L$3=$AJ$18,'Statement of Marks'!FW118,IF($L$3=$AJ$19,'Statement of Marks'!GE118,"")))))))))))),"")</f>
        <v/>
      </c>
      <c r="Q119" s="812" t="str">
        <f t="shared" si="13"/>
        <v/>
      </c>
      <c r="R119" s="813">
        <f t="shared" si="18"/>
        <v>0</v>
      </c>
      <c r="S119" s="813" t="str">
        <f t="shared" si="14"/>
        <v/>
      </c>
      <c r="T119" s="813" t="str">
        <f t="shared" si="15"/>
        <v/>
      </c>
      <c r="U119" s="814" t="str">
        <f t="shared" si="16"/>
        <v/>
      </c>
      <c r="V119" s="815" t="str">
        <f t="shared" si="17"/>
        <v/>
      </c>
      <c r="W119" s="816" t="str">
        <f t="shared" si="19"/>
        <v/>
      </c>
    </row>
    <row r="120" spans="1:23">
      <c r="A120" s="803">
        <f>IF('Statement of Marks'!A119="","",'Statement of Marks'!A119)</f>
        <v>113</v>
      </c>
      <c r="B120" s="804" t="str">
        <f>IF(OR($D$3="",$L$3=""),"",IF('Statement of Marks'!B119="","",'Statement of Marks'!B119))</f>
        <v/>
      </c>
      <c r="C120" s="805" t="str">
        <f>IF(OR($D$3="",$L$3=""),"",IF('Statement of Marks'!D119="","",'Statement of Marks'!D119))</f>
        <v/>
      </c>
      <c r="D120" s="806" t="str">
        <f>IF(OR($D$3="",$L$3=""),"",IF('Statement of Marks'!E119="","",'Statement of Marks'!E119))</f>
        <v/>
      </c>
      <c r="E120" s="807" t="str">
        <f>IF(OR($D$3="",$L$3=""),"",IF('Statement of Marks'!F119="","",'Statement of Marks'!F119))</f>
        <v/>
      </c>
      <c r="F120" s="807" t="str">
        <f>IF(OR($D$3="",$L$3=""),"",IF('Statement of Marks'!G119="","",'Statement of Marks'!G119))</f>
        <v/>
      </c>
      <c r="G120" s="807" t="str">
        <f>IF(OR($D$3="",$L$3=""),"",IF('Statement of Marks'!H119="","",'Statement of Marks'!H119))</f>
        <v/>
      </c>
      <c r="H120" s="808" t="str">
        <f>IF(OR($D$3="",$L$3=""),"",IF('Statement of Marks'!I119="","",'Statement of Marks'!I119))</f>
        <v/>
      </c>
      <c r="I120" s="808" t="str">
        <f>IF(OR($D$3="",$L$3=""),"",IF('Statement of Marks'!J119="","",'Statement of Marks'!J119))</f>
        <v/>
      </c>
      <c r="J120" s="809" t="str">
        <f>IFERROR(IF($L$3=$AJ$8,'Statement of Marks'!K119,IF($L$3=$AJ$9,'Statement of Marks'!Y119,IF($L$3=$AJ$10,'Statement of Marks'!AN119,IF($L$3=$AJ$11,'Statement of Marks'!BB119,IF($L$3=$AJ$12,'Statement of Marks'!BP119,IF($L$3=$AJ$13,'Statement of Marks'!CE119,IF($L$3=$AJ$14,'Statement of Marks'!CT119,IF($L$3=$AJ$15,'Statement of Marks'!DZ119,IF($L$3=$AJ$16,'Statement of Marks'!EL119,IF($L$3=$AJ$17,('Statement of Marks'!FB119+'Statement of Marks'!FC119),"")))))))))),"")</f>
        <v/>
      </c>
      <c r="K120" s="809" t="str">
        <f>IFERROR(IF($L$3=$AJ$8,'Statement of Marks'!L119,IF($L$3=$AJ$9,'Statement of Marks'!Z119,IF($L$3=$AJ$10,'Statement of Marks'!AO119,IF($L$3=$AJ$11,'Statement of Marks'!BC119,IF($L$3=$AJ$12,'Statement of Marks'!BQ119,IF($L$3=$AJ$13,'Statement of Marks'!CF119,IF($L$3=$AJ$14,'Statement of Marks'!CU119,IF($L$3=$AJ$15,'Statement of Marks'!EA119,IF($L$3=$AJ$16,'Statement of Marks'!EM119,IF($L$3=$AJ$17,('Statement of Marks'!FD119+'Statement of Marks'!FE119),"")))))))))),"")</f>
        <v/>
      </c>
      <c r="L120" s="809" t="str">
        <f>IFERROR(IF($L$3=$AJ$8,'Statement of Marks'!M119,IF($L$3=$AJ$9,'Statement of Marks'!AA119,IF($L$3=$AJ$10,'Statement of Marks'!AP119,IF($L$3=$AJ$11,'Statement of Marks'!BD119,IF($L$3=$AJ$12,'Statement of Marks'!BR119,IF($L$3=$AJ$13,'Statement of Marks'!CG119,IF($L$3=$AJ$14,'Statement of Marks'!CV119,IF($L$3=$AJ$15,'Statement of Marks'!EB119,IF($L$3=$AJ$16,'Statement of Marks'!EN119,IF($L$3=$AJ$17,('Statement of Marks'!FF119+'Statement of Marks'!FG119),"")))))))))),"")</f>
        <v/>
      </c>
      <c r="M120" s="810">
        <f t="shared" si="10"/>
        <v>0</v>
      </c>
      <c r="N120" s="809" t="str">
        <f>IFERROR(IF($L$3=$AJ$8,'Statement of Marks'!O119,IF($L$3=$AJ$9,'Statement of Marks'!AC119,IF($L$3=$AJ$10,'Statement of Marks'!AR119,IF($L$3=$AJ$11,'Statement of Marks'!BF119,IF($L$3=$AJ$12,'Statement of Marks'!BT119,IF($L$3=$AJ$13,'Statement of Marks'!CI119,IF($L$3=$AJ$14,('Statement of Marks'!CX119+'Statement of Marks'!CY119),IF($L$3=$AJ$15,'Statement of Marks'!ED119,IF($L$3=$AJ$16,('Statement of Marks'!EP119+'Statement of Marks'!EQ119),IF($L$3=$AJ$17,('Statement of Marks'!FI119+'Statement of Marks'!FJ119),IF($L$3=$AJ$18,'Statement of Marks'!FU119,IF($L$3=$AJ$19,'Statement of Marks'!GC119,"")))))))))))),"")</f>
        <v/>
      </c>
      <c r="O120" s="811">
        <f>IF($L$3=$AJ$18,'Statement of Marks'!FV119,IF($L$3=$AJ$19,'Statement of Marks'!GD119,IF(AND(M120="NA",N120="NA"),"NA",IF(AND(M120="",N120=""),"",SUM(M120,N120)))))</f>
        <v>0</v>
      </c>
      <c r="P120" s="809" t="str">
        <f>IFERROR(IF($L$3=$AJ$8,'Statement of Marks'!Q119,IF($L$3=$AJ$9,'Statement of Marks'!AE119,IF($L$3=$AJ$10,'Statement of Marks'!AT119,IF($L$3=$AJ$11,'Statement of Marks'!BH119,IF($L$3=$AJ$12,'Statement of Marks'!BV119,IF($L$3=$AJ$13,'Statement of Marks'!CK119,IF($L$3=$AJ$14,('Statement of Marks'!DB119+'Statement of Marks'!DC119),IF($L$3=$AJ$15,'Statement of Marks'!EF119,IF($L$3=$AJ$16,('Statement of Marks'!ET119+'Statement of Marks'!EU119),IF($L$3=$AJ$17,('Statement of Marks'!FM119+'Statement of Marks'!FN119),IF($L$3=$AJ$18,'Statement of Marks'!FW119,IF($L$3=$AJ$19,'Statement of Marks'!GE119,"")))))))))))),"")</f>
        <v/>
      </c>
      <c r="Q120" s="812" t="str">
        <f t="shared" si="13"/>
        <v/>
      </c>
      <c r="R120" s="813">
        <f t="shared" si="18"/>
        <v>0</v>
      </c>
      <c r="S120" s="813" t="str">
        <f t="shared" si="14"/>
        <v/>
      </c>
      <c r="T120" s="813" t="str">
        <f t="shared" si="15"/>
        <v/>
      </c>
      <c r="U120" s="814" t="str">
        <f t="shared" si="16"/>
        <v/>
      </c>
      <c r="V120" s="815" t="str">
        <f t="shared" si="17"/>
        <v/>
      </c>
      <c r="W120" s="816" t="str">
        <f t="shared" si="19"/>
        <v/>
      </c>
    </row>
    <row r="121" spans="1:23">
      <c r="A121" s="803">
        <f>IF('Statement of Marks'!A120="","",'Statement of Marks'!A120)</f>
        <v>114</v>
      </c>
      <c r="B121" s="804" t="str">
        <f>IF(OR($D$3="",$L$3=""),"",IF('Statement of Marks'!B120="","",'Statement of Marks'!B120))</f>
        <v/>
      </c>
      <c r="C121" s="805" t="str">
        <f>IF(OR($D$3="",$L$3=""),"",IF('Statement of Marks'!D120="","",'Statement of Marks'!D120))</f>
        <v/>
      </c>
      <c r="D121" s="806" t="str">
        <f>IF(OR($D$3="",$L$3=""),"",IF('Statement of Marks'!E120="","",'Statement of Marks'!E120))</f>
        <v/>
      </c>
      <c r="E121" s="807" t="str">
        <f>IF(OR($D$3="",$L$3=""),"",IF('Statement of Marks'!F120="","",'Statement of Marks'!F120))</f>
        <v/>
      </c>
      <c r="F121" s="807" t="str">
        <f>IF(OR($D$3="",$L$3=""),"",IF('Statement of Marks'!G120="","",'Statement of Marks'!G120))</f>
        <v/>
      </c>
      <c r="G121" s="807" t="str">
        <f>IF(OR($D$3="",$L$3=""),"",IF('Statement of Marks'!H120="","",'Statement of Marks'!H120))</f>
        <v/>
      </c>
      <c r="H121" s="808" t="str">
        <f>IF(OR($D$3="",$L$3=""),"",IF('Statement of Marks'!I120="","",'Statement of Marks'!I120))</f>
        <v/>
      </c>
      <c r="I121" s="808" t="str">
        <f>IF(OR($D$3="",$L$3=""),"",IF('Statement of Marks'!J120="","",'Statement of Marks'!J120))</f>
        <v/>
      </c>
      <c r="J121" s="809" t="str">
        <f>IFERROR(IF($L$3=$AJ$8,'Statement of Marks'!K120,IF($L$3=$AJ$9,'Statement of Marks'!Y120,IF($L$3=$AJ$10,'Statement of Marks'!AN120,IF($L$3=$AJ$11,'Statement of Marks'!BB120,IF($L$3=$AJ$12,'Statement of Marks'!BP120,IF($L$3=$AJ$13,'Statement of Marks'!CE120,IF($L$3=$AJ$14,'Statement of Marks'!CT120,IF($L$3=$AJ$15,'Statement of Marks'!DZ120,IF($L$3=$AJ$16,'Statement of Marks'!EL120,IF($L$3=$AJ$17,('Statement of Marks'!FB120+'Statement of Marks'!FC120),"")))))))))),"")</f>
        <v/>
      </c>
      <c r="K121" s="809" t="str">
        <f>IFERROR(IF($L$3=$AJ$8,'Statement of Marks'!L120,IF($L$3=$AJ$9,'Statement of Marks'!Z120,IF($L$3=$AJ$10,'Statement of Marks'!AO120,IF($L$3=$AJ$11,'Statement of Marks'!BC120,IF($L$3=$AJ$12,'Statement of Marks'!BQ120,IF($L$3=$AJ$13,'Statement of Marks'!CF120,IF($L$3=$AJ$14,'Statement of Marks'!CU120,IF($L$3=$AJ$15,'Statement of Marks'!EA120,IF($L$3=$AJ$16,'Statement of Marks'!EM120,IF($L$3=$AJ$17,('Statement of Marks'!FD120+'Statement of Marks'!FE120),"")))))))))),"")</f>
        <v/>
      </c>
      <c r="L121" s="809" t="str">
        <f>IFERROR(IF($L$3=$AJ$8,'Statement of Marks'!M120,IF($L$3=$AJ$9,'Statement of Marks'!AA120,IF($L$3=$AJ$10,'Statement of Marks'!AP120,IF($L$3=$AJ$11,'Statement of Marks'!BD120,IF($L$3=$AJ$12,'Statement of Marks'!BR120,IF($L$3=$AJ$13,'Statement of Marks'!CG120,IF($L$3=$AJ$14,'Statement of Marks'!CV120,IF($L$3=$AJ$15,'Statement of Marks'!EB120,IF($L$3=$AJ$16,'Statement of Marks'!EN120,IF($L$3=$AJ$17,('Statement of Marks'!FF120+'Statement of Marks'!FG120),"")))))))))),"")</f>
        <v/>
      </c>
      <c r="M121" s="810">
        <f t="shared" si="10"/>
        <v>0</v>
      </c>
      <c r="N121" s="809" t="str">
        <f>IFERROR(IF($L$3=$AJ$8,'Statement of Marks'!O120,IF($L$3=$AJ$9,'Statement of Marks'!AC120,IF($L$3=$AJ$10,'Statement of Marks'!AR120,IF($L$3=$AJ$11,'Statement of Marks'!BF120,IF($L$3=$AJ$12,'Statement of Marks'!BT120,IF($L$3=$AJ$13,'Statement of Marks'!CI120,IF($L$3=$AJ$14,('Statement of Marks'!CX120+'Statement of Marks'!CY120),IF($L$3=$AJ$15,'Statement of Marks'!ED120,IF($L$3=$AJ$16,('Statement of Marks'!EP120+'Statement of Marks'!EQ120),IF($L$3=$AJ$17,('Statement of Marks'!FI120+'Statement of Marks'!FJ120),IF($L$3=$AJ$18,'Statement of Marks'!FU120,IF($L$3=$AJ$19,'Statement of Marks'!GC120,"")))))))))))),"")</f>
        <v/>
      </c>
      <c r="O121" s="811">
        <f>IF($L$3=$AJ$18,'Statement of Marks'!FV120,IF($L$3=$AJ$19,'Statement of Marks'!GD120,IF(AND(M121="NA",N121="NA"),"NA",IF(AND(M121="",N121=""),"",SUM(M121,N121)))))</f>
        <v>0</v>
      </c>
      <c r="P121" s="809" t="str">
        <f>IFERROR(IF($L$3=$AJ$8,'Statement of Marks'!Q120,IF($L$3=$AJ$9,'Statement of Marks'!AE120,IF($L$3=$AJ$10,'Statement of Marks'!AT120,IF($L$3=$AJ$11,'Statement of Marks'!BH120,IF($L$3=$AJ$12,'Statement of Marks'!BV120,IF($L$3=$AJ$13,'Statement of Marks'!CK120,IF($L$3=$AJ$14,('Statement of Marks'!DB120+'Statement of Marks'!DC120),IF($L$3=$AJ$15,'Statement of Marks'!EF120,IF($L$3=$AJ$16,('Statement of Marks'!ET120+'Statement of Marks'!EU120),IF($L$3=$AJ$17,('Statement of Marks'!FM120+'Statement of Marks'!FN120),IF($L$3=$AJ$18,'Statement of Marks'!FW120,IF($L$3=$AJ$19,'Statement of Marks'!GE120,"")))))))))))),"")</f>
        <v/>
      </c>
      <c r="Q121" s="812" t="str">
        <f t="shared" si="13"/>
        <v/>
      </c>
      <c r="R121" s="813">
        <f t="shared" si="18"/>
        <v>0</v>
      </c>
      <c r="S121" s="813" t="str">
        <f t="shared" si="14"/>
        <v/>
      </c>
      <c r="T121" s="813" t="str">
        <f t="shared" si="15"/>
        <v/>
      </c>
      <c r="U121" s="814" t="str">
        <f t="shared" si="16"/>
        <v/>
      </c>
      <c r="V121" s="815" t="str">
        <f t="shared" si="17"/>
        <v/>
      </c>
      <c r="W121" s="816" t="str">
        <f t="shared" si="19"/>
        <v/>
      </c>
    </row>
    <row r="122" spans="1:23">
      <c r="A122" s="803">
        <f>IF('Statement of Marks'!A121="","",'Statement of Marks'!A121)</f>
        <v>115</v>
      </c>
      <c r="B122" s="804" t="str">
        <f>IF(OR($D$3="",$L$3=""),"",IF('Statement of Marks'!B121="","",'Statement of Marks'!B121))</f>
        <v/>
      </c>
      <c r="C122" s="805" t="str">
        <f>IF(OR($D$3="",$L$3=""),"",IF('Statement of Marks'!D121="","",'Statement of Marks'!D121))</f>
        <v/>
      </c>
      <c r="D122" s="806" t="str">
        <f>IF(OR($D$3="",$L$3=""),"",IF('Statement of Marks'!E121="","",'Statement of Marks'!E121))</f>
        <v/>
      </c>
      <c r="E122" s="807" t="str">
        <f>IF(OR($D$3="",$L$3=""),"",IF('Statement of Marks'!F121="","",'Statement of Marks'!F121))</f>
        <v/>
      </c>
      <c r="F122" s="807" t="str">
        <f>IF(OR($D$3="",$L$3=""),"",IF('Statement of Marks'!G121="","",'Statement of Marks'!G121))</f>
        <v/>
      </c>
      <c r="G122" s="807" t="str">
        <f>IF(OR($D$3="",$L$3=""),"",IF('Statement of Marks'!H121="","",'Statement of Marks'!H121))</f>
        <v/>
      </c>
      <c r="H122" s="808" t="str">
        <f>IF(OR($D$3="",$L$3=""),"",IF('Statement of Marks'!I121="","",'Statement of Marks'!I121))</f>
        <v/>
      </c>
      <c r="I122" s="808" t="str">
        <f>IF(OR($D$3="",$L$3=""),"",IF('Statement of Marks'!J121="","",'Statement of Marks'!J121))</f>
        <v/>
      </c>
      <c r="J122" s="809" t="str">
        <f>IFERROR(IF($L$3=$AJ$8,'Statement of Marks'!K121,IF($L$3=$AJ$9,'Statement of Marks'!Y121,IF($L$3=$AJ$10,'Statement of Marks'!AN121,IF($L$3=$AJ$11,'Statement of Marks'!BB121,IF($L$3=$AJ$12,'Statement of Marks'!BP121,IF($L$3=$AJ$13,'Statement of Marks'!CE121,IF($L$3=$AJ$14,'Statement of Marks'!CT121,IF($L$3=$AJ$15,'Statement of Marks'!DZ121,IF($L$3=$AJ$16,'Statement of Marks'!EL121,IF($L$3=$AJ$17,('Statement of Marks'!FB121+'Statement of Marks'!FC121),"")))))))))),"")</f>
        <v/>
      </c>
      <c r="K122" s="809" t="str">
        <f>IFERROR(IF($L$3=$AJ$8,'Statement of Marks'!L121,IF($L$3=$AJ$9,'Statement of Marks'!Z121,IF($L$3=$AJ$10,'Statement of Marks'!AO121,IF($L$3=$AJ$11,'Statement of Marks'!BC121,IF($L$3=$AJ$12,'Statement of Marks'!BQ121,IF($L$3=$AJ$13,'Statement of Marks'!CF121,IF($L$3=$AJ$14,'Statement of Marks'!CU121,IF($L$3=$AJ$15,'Statement of Marks'!EA121,IF($L$3=$AJ$16,'Statement of Marks'!EM121,IF($L$3=$AJ$17,('Statement of Marks'!FD121+'Statement of Marks'!FE121),"")))))))))),"")</f>
        <v/>
      </c>
      <c r="L122" s="809" t="str">
        <f>IFERROR(IF($L$3=$AJ$8,'Statement of Marks'!M121,IF($L$3=$AJ$9,'Statement of Marks'!AA121,IF($L$3=$AJ$10,'Statement of Marks'!AP121,IF($L$3=$AJ$11,'Statement of Marks'!BD121,IF($L$3=$AJ$12,'Statement of Marks'!BR121,IF($L$3=$AJ$13,'Statement of Marks'!CG121,IF($L$3=$AJ$14,'Statement of Marks'!CV121,IF($L$3=$AJ$15,'Statement of Marks'!EB121,IF($L$3=$AJ$16,'Statement of Marks'!EN121,IF($L$3=$AJ$17,('Statement of Marks'!FF121+'Statement of Marks'!FG121),"")))))))))),"")</f>
        <v/>
      </c>
      <c r="M122" s="810">
        <f t="shared" si="10"/>
        <v>0</v>
      </c>
      <c r="N122" s="809" t="str">
        <f>IFERROR(IF($L$3=$AJ$8,'Statement of Marks'!O121,IF($L$3=$AJ$9,'Statement of Marks'!AC121,IF($L$3=$AJ$10,'Statement of Marks'!AR121,IF($L$3=$AJ$11,'Statement of Marks'!BF121,IF($L$3=$AJ$12,'Statement of Marks'!BT121,IF($L$3=$AJ$13,'Statement of Marks'!CI121,IF($L$3=$AJ$14,('Statement of Marks'!CX121+'Statement of Marks'!CY121),IF($L$3=$AJ$15,'Statement of Marks'!ED121,IF($L$3=$AJ$16,('Statement of Marks'!EP121+'Statement of Marks'!EQ121),IF($L$3=$AJ$17,('Statement of Marks'!FI121+'Statement of Marks'!FJ121),IF($L$3=$AJ$18,'Statement of Marks'!FU121,IF($L$3=$AJ$19,'Statement of Marks'!GC121,"")))))))))))),"")</f>
        <v/>
      </c>
      <c r="O122" s="811">
        <f>IF($L$3=$AJ$18,'Statement of Marks'!FV121,IF($L$3=$AJ$19,'Statement of Marks'!GD121,IF(AND(M122="NA",N122="NA"),"NA",IF(AND(M122="",N122=""),"",SUM(M122,N122)))))</f>
        <v>0</v>
      </c>
      <c r="P122" s="809" t="str">
        <f>IFERROR(IF($L$3=$AJ$8,'Statement of Marks'!Q121,IF($L$3=$AJ$9,'Statement of Marks'!AE121,IF($L$3=$AJ$10,'Statement of Marks'!AT121,IF($L$3=$AJ$11,'Statement of Marks'!BH121,IF($L$3=$AJ$12,'Statement of Marks'!BV121,IF($L$3=$AJ$13,'Statement of Marks'!CK121,IF($L$3=$AJ$14,('Statement of Marks'!DB121+'Statement of Marks'!DC121),IF($L$3=$AJ$15,'Statement of Marks'!EF121,IF($L$3=$AJ$16,('Statement of Marks'!ET121+'Statement of Marks'!EU121),IF($L$3=$AJ$17,('Statement of Marks'!FM121+'Statement of Marks'!FN121),IF($L$3=$AJ$18,'Statement of Marks'!FW121,IF($L$3=$AJ$19,'Statement of Marks'!GE121,"")))))))))))),"")</f>
        <v/>
      </c>
      <c r="Q122" s="812" t="str">
        <f t="shared" si="13"/>
        <v/>
      </c>
      <c r="R122" s="813">
        <f t="shared" si="18"/>
        <v>0</v>
      </c>
      <c r="S122" s="813" t="str">
        <f t="shared" si="14"/>
        <v/>
      </c>
      <c r="T122" s="813" t="str">
        <f t="shared" si="15"/>
        <v/>
      </c>
      <c r="U122" s="814" t="str">
        <f t="shared" si="16"/>
        <v/>
      </c>
      <c r="V122" s="815" t="str">
        <f t="shared" si="17"/>
        <v/>
      </c>
      <c r="W122" s="816" t="str">
        <f t="shared" si="19"/>
        <v/>
      </c>
    </row>
    <row r="123" spans="1:23">
      <c r="A123" s="803">
        <f>IF('Statement of Marks'!A122="","",'Statement of Marks'!A122)</f>
        <v>116</v>
      </c>
      <c r="B123" s="804" t="str">
        <f>IF(OR($D$3="",$L$3=""),"",IF('Statement of Marks'!B122="","",'Statement of Marks'!B122))</f>
        <v/>
      </c>
      <c r="C123" s="805" t="str">
        <f>IF(OR($D$3="",$L$3=""),"",IF('Statement of Marks'!D122="","",'Statement of Marks'!D122))</f>
        <v/>
      </c>
      <c r="D123" s="806" t="str">
        <f>IF(OR($D$3="",$L$3=""),"",IF('Statement of Marks'!E122="","",'Statement of Marks'!E122))</f>
        <v/>
      </c>
      <c r="E123" s="807" t="str">
        <f>IF(OR($D$3="",$L$3=""),"",IF('Statement of Marks'!F122="","",'Statement of Marks'!F122))</f>
        <v/>
      </c>
      <c r="F123" s="807" t="str">
        <f>IF(OR($D$3="",$L$3=""),"",IF('Statement of Marks'!G122="","",'Statement of Marks'!G122))</f>
        <v/>
      </c>
      <c r="G123" s="807" t="str">
        <f>IF(OR($D$3="",$L$3=""),"",IF('Statement of Marks'!H122="","",'Statement of Marks'!H122))</f>
        <v/>
      </c>
      <c r="H123" s="808" t="str">
        <f>IF(OR($D$3="",$L$3=""),"",IF('Statement of Marks'!I122="","",'Statement of Marks'!I122))</f>
        <v/>
      </c>
      <c r="I123" s="808" t="str">
        <f>IF(OR($D$3="",$L$3=""),"",IF('Statement of Marks'!J122="","",'Statement of Marks'!J122))</f>
        <v/>
      </c>
      <c r="J123" s="809" t="str">
        <f>IFERROR(IF($L$3=$AJ$8,'Statement of Marks'!K122,IF($L$3=$AJ$9,'Statement of Marks'!Y122,IF($L$3=$AJ$10,'Statement of Marks'!AN122,IF($L$3=$AJ$11,'Statement of Marks'!BB122,IF($L$3=$AJ$12,'Statement of Marks'!BP122,IF($L$3=$AJ$13,'Statement of Marks'!CE122,IF($L$3=$AJ$14,'Statement of Marks'!CT122,IF($L$3=$AJ$15,'Statement of Marks'!DZ122,IF($L$3=$AJ$16,'Statement of Marks'!EL122,IF($L$3=$AJ$17,('Statement of Marks'!FB122+'Statement of Marks'!FC122),"")))))))))),"")</f>
        <v/>
      </c>
      <c r="K123" s="809" t="str">
        <f>IFERROR(IF($L$3=$AJ$8,'Statement of Marks'!L122,IF($L$3=$AJ$9,'Statement of Marks'!Z122,IF($L$3=$AJ$10,'Statement of Marks'!AO122,IF($L$3=$AJ$11,'Statement of Marks'!BC122,IF($L$3=$AJ$12,'Statement of Marks'!BQ122,IF($L$3=$AJ$13,'Statement of Marks'!CF122,IF($L$3=$AJ$14,'Statement of Marks'!CU122,IF($L$3=$AJ$15,'Statement of Marks'!EA122,IF($L$3=$AJ$16,'Statement of Marks'!EM122,IF($L$3=$AJ$17,('Statement of Marks'!FD122+'Statement of Marks'!FE122),"")))))))))),"")</f>
        <v/>
      </c>
      <c r="L123" s="809" t="str">
        <f>IFERROR(IF($L$3=$AJ$8,'Statement of Marks'!M122,IF($L$3=$AJ$9,'Statement of Marks'!AA122,IF($L$3=$AJ$10,'Statement of Marks'!AP122,IF($L$3=$AJ$11,'Statement of Marks'!BD122,IF($L$3=$AJ$12,'Statement of Marks'!BR122,IF($L$3=$AJ$13,'Statement of Marks'!CG122,IF($L$3=$AJ$14,'Statement of Marks'!CV122,IF($L$3=$AJ$15,'Statement of Marks'!EB122,IF($L$3=$AJ$16,'Statement of Marks'!EN122,IF($L$3=$AJ$17,('Statement of Marks'!FF122+'Statement of Marks'!FG122),"")))))))))),"")</f>
        <v/>
      </c>
      <c r="M123" s="810">
        <f t="shared" si="10"/>
        <v>0</v>
      </c>
      <c r="N123" s="809" t="str">
        <f>IFERROR(IF($L$3=$AJ$8,'Statement of Marks'!O122,IF($L$3=$AJ$9,'Statement of Marks'!AC122,IF($L$3=$AJ$10,'Statement of Marks'!AR122,IF($L$3=$AJ$11,'Statement of Marks'!BF122,IF($L$3=$AJ$12,'Statement of Marks'!BT122,IF($L$3=$AJ$13,'Statement of Marks'!CI122,IF($L$3=$AJ$14,('Statement of Marks'!CX122+'Statement of Marks'!CY122),IF($L$3=$AJ$15,'Statement of Marks'!ED122,IF($L$3=$AJ$16,('Statement of Marks'!EP122+'Statement of Marks'!EQ122),IF($L$3=$AJ$17,('Statement of Marks'!FI122+'Statement of Marks'!FJ122),IF($L$3=$AJ$18,'Statement of Marks'!FU122,IF($L$3=$AJ$19,'Statement of Marks'!GC122,"")))))))))))),"")</f>
        <v/>
      </c>
      <c r="O123" s="811">
        <f>IF($L$3=$AJ$18,'Statement of Marks'!FV122,IF($L$3=$AJ$19,'Statement of Marks'!GD122,IF(AND(M123="NA",N123="NA"),"NA",IF(AND(M123="",N123=""),"",SUM(M123,N123)))))</f>
        <v>0</v>
      </c>
      <c r="P123" s="809" t="str">
        <f>IFERROR(IF($L$3=$AJ$8,'Statement of Marks'!Q122,IF($L$3=$AJ$9,'Statement of Marks'!AE122,IF($L$3=$AJ$10,'Statement of Marks'!AT122,IF($L$3=$AJ$11,'Statement of Marks'!BH122,IF($L$3=$AJ$12,'Statement of Marks'!BV122,IF($L$3=$AJ$13,'Statement of Marks'!CK122,IF($L$3=$AJ$14,('Statement of Marks'!DB122+'Statement of Marks'!DC122),IF($L$3=$AJ$15,'Statement of Marks'!EF122,IF($L$3=$AJ$16,('Statement of Marks'!ET122+'Statement of Marks'!EU122),IF($L$3=$AJ$17,('Statement of Marks'!FM122+'Statement of Marks'!FN122),IF($L$3=$AJ$18,'Statement of Marks'!FW122,IF($L$3=$AJ$19,'Statement of Marks'!GE122,"")))))))))))),"")</f>
        <v/>
      </c>
      <c r="Q123" s="812" t="str">
        <f t="shared" si="13"/>
        <v/>
      </c>
      <c r="R123" s="813">
        <f t="shared" si="18"/>
        <v>0</v>
      </c>
      <c r="S123" s="813" t="str">
        <f t="shared" si="14"/>
        <v/>
      </c>
      <c r="T123" s="813" t="str">
        <f t="shared" si="15"/>
        <v/>
      </c>
      <c r="U123" s="814" t="str">
        <f t="shared" si="16"/>
        <v/>
      </c>
      <c r="V123" s="815" t="str">
        <f t="shared" si="17"/>
        <v/>
      </c>
      <c r="W123" s="816" t="str">
        <f t="shared" si="19"/>
        <v/>
      </c>
    </row>
    <row r="124" spans="1:23">
      <c r="A124" s="803">
        <f>IF('Statement of Marks'!A123="","",'Statement of Marks'!A123)</f>
        <v>117</v>
      </c>
      <c r="B124" s="804" t="str">
        <f>IF(OR($D$3="",$L$3=""),"",IF('Statement of Marks'!B123="","",'Statement of Marks'!B123))</f>
        <v/>
      </c>
      <c r="C124" s="805" t="str">
        <f>IF(OR($D$3="",$L$3=""),"",IF('Statement of Marks'!D123="","",'Statement of Marks'!D123))</f>
        <v/>
      </c>
      <c r="D124" s="806" t="str">
        <f>IF(OR($D$3="",$L$3=""),"",IF('Statement of Marks'!E123="","",'Statement of Marks'!E123))</f>
        <v/>
      </c>
      <c r="E124" s="807" t="str">
        <f>IF(OR($D$3="",$L$3=""),"",IF('Statement of Marks'!F123="","",'Statement of Marks'!F123))</f>
        <v/>
      </c>
      <c r="F124" s="807" t="str">
        <f>IF(OR($D$3="",$L$3=""),"",IF('Statement of Marks'!G123="","",'Statement of Marks'!G123))</f>
        <v/>
      </c>
      <c r="G124" s="807" t="str">
        <f>IF(OR($D$3="",$L$3=""),"",IF('Statement of Marks'!H123="","",'Statement of Marks'!H123))</f>
        <v/>
      </c>
      <c r="H124" s="808" t="str">
        <f>IF(OR($D$3="",$L$3=""),"",IF('Statement of Marks'!I123="","",'Statement of Marks'!I123))</f>
        <v/>
      </c>
      <c r="I124" s="808" t="str">
        <f>IF(OR($D$3="",$L$3=""),"",IF('Statement of Marks'!J123="","",'Statement of Marks'!J123))</f>
        <v/>
      </c>
      <c r="J124" s="809" t="str">
        <f>IFERROR(IF($L$3=$AJ$8,'Statement of Marks'!K123,IF($L$3=$AJ$9,'Statement of Marks'!Y123,IF($L$3=$AJ$10,'Statement of Marks'!AN123,IF($L$3=$AJ$11,'Statement of Marks'!BB123,IF($L$3=$AJ$12,'Statement of Marks'!BP123,IF($L$3=$AJ$13,'Statement of Marks'!CE123,IF($L$3=$AJ$14,'Statement of Marks'!CT123,IF($L$3=$AJ$15,'Statement of Marks'!DZ123,IF($L$3=$AJ$16,'Statement of Marks'!EL123,IF($L$3=$AJ$17,('Statement of Marks'!FB123+'Statement of Marks'!FC123),"")))))))))),"")</f>
        <v/>
      </c>
      <c r="K124" s="809" t="str">
        <f>IFERROR(IF($L$3=$AJ$8,'Statement of Marks'!L123,IF($L$3=$AJ$9,'Statement of Marks'!Z123,IF($L$3=$AJ$10,'Statement of Marks'!AO123,IF($L$3=$AJ$11,'Statement of Marks'!BC123,IF($L$3=$AJ$12,'Statement of Marks'!BQ123,IF($L$3=$AJ$13,'Statement of Marks'!CF123,IF($L$3=$AJ$14,'Statement of Marks'!CU123,IF($L$3=$AJ$15,'Statement of Marks'!EA123,IF($L$3=$AJ$16,'Statement of Marks'!EM123,IF($L$3=$AJ$17,('Statement of Marks'!FD123+'Statement of Marks'!FE123),"")))))))))),"")</f>
        <v/>
      </c>
      <c r="L124" s="809" t="str">
        <f>IFERROR(IF($L$3=$AJ$8,'Statement of Marks'!M123,IF($L$3=$AJ$9,'Statement of Marks'!AA123,IF($L$3=$AJ$10,'Statement of Marks'!AP123,IF($L$3=$AJ$11,'Statement of Marks'!BD123,IF($L$3=$AJ$12,'Statement of Marks'!BR123,IF($L$3=$AJ$13,'Statement of Marks'!CG123,IF($L$3=$AJ$14,'Statement of Marks'!CV123,IF($L$3=$AJ$15,'Statement of Marks'!EB123,IF($L$3=$AJ$16,'Statement of Marks'!EN123,IF($L$3=$AJ$17,('Statement of Marks'!FF123+'Statement of Marks'!FG123),"")))))))))),"")</f>
        <v/>
      </c>
      <c r="M124" s="810">
        <f t="shared" si="10"/>
        <v>0</v>
      </c>
      <c r="N124" s="809" t="str">
        <f>IFERROR(IF($L$3=$AJ$8,'Statement of Marks'!O123,IF($L$3=$AJ$9,'Statement of Marks'!AC123,IF($L$3=$AJ$10,'Statement of Marks'!AR123,IF($L$3=$AJ$11,'Statement of Marks'!BF123,IF($L$3=$AJ$12,'Statement of Marks'!BT123,IF($L$3=$AJ$13,'Statement of Marks'!CI123,IF($L$3=$AJ$14,('Statement of Marks'!CX123+'Statement of Marks'!CY123),IF($L$3=$AJ$15,'Statement of Marks'!ED123,IF($L$3=$AJ$16,('Statement of Marks'!EP123+'Statement of Marks'!EQ123),IF($L$3=$AJ$17,('Statement of Marks'!FI123+'Statement of Marks'!FJ123),IF($L$3=$AJ$18,'Statement of Marks'!FU123,IF($L$3=$AJ$19,'Statement of Marks'!GC123,"")))))))))))),"")</f>
        <v/>
      </c>
      <c r="O124" s="811">
        <f>IF($L$3=$AJ$18,'Statement of Marks'!FV123,IF($L$3=$AJ$19,'Statement of Marks'!GD123,IF(AND(M124="NA",N124="NA"),"NA",IF(AND(M124="",N124=""),"",SUM(M124,N124)))))</f>
        <v>0</v>
      </c>
      <c r="P124" s="809" t="str">
        <f>IFERROR(IF($L$3=$AJ$8,'Statement of Marks'!Q123,IF($L$3=$AJ$9,'Statement of Marks'!AE123,IF($L$3=$AJ$10,'Statement of Marks'!AT123,IF($L$3=$AJ$11,'Statement of Marks'!BH123,IF($L$3=$AJ$12,'Statement of Marks'!BV123,IF($L$3=$AJ$13,'Statement of Marks'!CK123,IF($L$3=$AJ$14,('Statement of Marks'!DB123+'Statement of Marks'!DC123),IF($L$3=$AJ$15,'Statement of Marks'!EF123,IF($L$3=$AJ$16,('Statement of Marks'!ET123+'Statement of Marks'!EU123),IF($L$3=$AJ$17,('Statement of Marks'!FM123+'Statement of Marks'!FN123),IF($L$3=$AJ$18,'Statement of Marks'!FW123,IF($L$3=$AJ$19,'Statement of Marks'!GE123,"")))))))))))),"")</f>
        <v/>
      </c>
      <c r="Q124" s="812" t="str">
        <f t="shared" si="13"/>
        <v/>
      </c>
      <c r="R124" s="813">
        <f t="shared" si="18"/>
        <v>0</v>
      </c>
      <c r="S124" s="813" t="str">
        <f t="shared" si="14"/>
        <v/>
      </c>
      <c r="T124" s="813" t="str">
        <f t="shared" si="15"/>
        <v/>
      </c>
      <c r="U124" s="814" t="str">
        <f t="shared" si="16"/>
        <v/>
      </c>
      <c r="V124" s="815" t="str">
        <f t="shared" si="17"/>
        <v/>
      </c>
      <c r="W124" s="816" t="str">
        <f t="shared" si="19"/>
        <v/>
      </c>
    </row>
    <row r="125" spans="1:23">
      <c r="A125" s="803">
        <f>IF('Statement of Marks'!A124="","",'Statement of Marks'!A124)</f>
        <v>118</v>
      </c>
      <c r="B125" s="804" t="str">
        <f>IF(OR($D$3="",$L$3=""),"",IF('Statement of Marks'!B124="","",'Statement of Marks'!B124))</f>
        <v/>
      </c>
      <c r="C125" s="805" t="str">
        <f>IF(OR($D$3="",$L$3=""),"",IF('Statement of Marks'!D124="","",'Statement of Marks'!D124))</f>
        <v/>
      </c>
      <c r="D125" s="806" t="str">
        <f>IF(OR($D$3="",$L$3=""),"",IF('Statement of Marks'!E124="","",'Statement of Marks'!E124))</f>
        <v/>
      </c>
      <c r="E125" s="807" t="str">
        <f>IF(OR($D$3="",$L$3=""),"",IF('Statement of Marks'!F124="","",'Statement of Marks'!F124))</f>
        <v/>
      </c>
      <c r="F125" s="807" t="str">
        <f>IF(OR($D$3="",$L$3=""),"",IF('Statement of Marks'!G124="","",'Statement of Marks'!G124))</f>
        <v/>
      </c>
      <c r="G125" s="807" t="str">
        <f>IF(OR($D$3="",$L$3=""),"",IF('Statement of Marks'!H124="","",'Statement of Marks'!H124))</f>
        <v/>
      </c>
      <c r="H125" s="808" t="str">
        <f>IF(OR($D$3="",$L$3=""),"",IF('Statement of Marks'!I124="","",'Statement of Marks'!I124))</f>
        <v/>
      </c>
      <c r="I125" s="808" t="str">
        <f>IF(OR($D$3="",$L$3=""),"",IF('Statement of Marks'!J124="","",'Statement of Marks'!J124))</f>
        <v/>
      </c>
      <c r="J125" s="809" t="str">
        <f>IFERROR(IF($L$3=$AJ$8,'Statement of Marks'!K124,IF($L$3=$AJ$9,'Statement of Marks'!Y124,IF($L$3=$AJ$10,'Statement of Marks'!AN124,IF($L$3=$AJ$11,'Statement of Marks'!BB124,IF($L$3=$AJ$12,'Statement of Marks'!BP124,IF($L$3=$AJ$13,'Statement of Marks'!CE124,IF($L$3=$AJ$14,'Statement of Marks'!CT124,IF($L$3=$AJ$15,'Statement of Marks'!DZ124,IF($L$3=$AJ$16,'Statement of Marks'!EL124,IF($L$3=$AJ$17,('Statement of Marks'!FB124+'Statement of Marks'!FC124),"")))))))))),"")</f>
        <v/>
      </c>
      <c r="K125" s="809" t="str">
        <f>IFERROR(IF($L$3=$AJ$8,'Statement of Marks'!L124,IF($L$3=$AJ$9,'Statement of Marks'!Z124,IF($L$3=$AJ$10,'Statement of Marks'!AO124,IF($L$3=$AJ$11,'Statement of Marks'!BC124,IF($L$3=$AJ$12,'Statement of Marks'!BQ124,IF($L$3=$AJ$13,'Statement of Marks'!CF124,IF($L$3=$AJ$14,'Statement of Marks'!CU124,IF($L$3=$AJ$15,'Statement of Marks'!EA124,IF($L$3=$AJ$16,'Statement of Marks'!EM124,IF($L$3=$AJ$17,('Statement of Marks'!FD124+'Statement of Marks'!FE124),"")))))))))),"")</f>
        <v/>
      </c>
      <c r="L125" s="809" t="str">
        <f>IFERROR(IF($L$3=$AJ$8,'Statement of Marks'!M124,IF($L$3=$AJ$9,'Statement of Marks'!AA124,IF($L$3=$AJ$10,'Statement of Marks'!AP124,IF($L$3=$AJ$11,'Statement of Marks'!BD124,IF($L$3=$AJ$12,'Statement of Marks'!BR124,IF($L$3=$AJ$13,'Statement of Marks'!CG124,IF($L$3=$AJ$14,'Statement of Marks'!CV124,IF($L$3=$AJ$15,'Statement of Marks'!EB124,IF($L$3=$AJ$16,'Statement of Marks'!EN124,IF($L$3=$AJ$17,('Statement of Marks'!FF124+'Statement of Marks'!FG124),"")))))))))),"")</f>
        <v/>
      </c>
      <c r="M125" s="810">
        <f t="shared" si="10"/>
        <v>0</v>
      </c>
      <c r="N125" s="809" t="str">
        <f>IFERROR(IF($L$3=$AJ$8,'Statement of Marks'!O124,IF($L$3=$AJ$9,'Statement of Marks'!AC124,IF($L$3=$AJ$10,'Statement of Marks'!AR124,IF($L$3=$AJ$11,'Statement of Marks'!BF124,IF($L$3=$AJ$12,'Statement of Marks'!BT124,IF($L$3=$AJ$13,'Statement of Marks'!CI124,IF($L$3=$AJ$14,('Statement of Marks'!CX124+'Statement of Marks'!CY124),IF($L$3=$AJ$15,'Statement of Marks'!ED124,IF($L$3=$AJ$16,('Statement of Marks'!EP124+'Statement of Marks'!EQ124),IF($L$3=$AJ$17,('Statement of Marks'!FI124+'Statement of Marks'!FJ124),IF($L$3=$AJ$18,'Statement of Marks'!FU124,IF($L$3=$AJ$19,'Statement of Marks'!GC124,"")))))))))))),"")</f>
        <v/>
      </c>
      <c r="O125" s="811">
        <f>IF($L$3=$AJ$18,'Statement of Marks'!FV124,IF($L$3=$AJ$19,'Statement of Marks'!GD124,IF(AND(M125="NA",N125="NA"),"NA",IF(AND(M125="",N125=""),"",SUM(M125,N125)))))</f>
        <v>0</v>
      </c>
      <c r="P125" s="809" t="str">
        <f>IFERROR(IF($L$3=$AJ$8,'Statement of Marks'!Q124,IF($L$3=$AJ$9,'Statement of Marks'!AE124,IF($L$3=$AJ$10,'Statement of Marks'!AT124,IF($L$3=$AJ$11,'Statement of Marks'!BH124,IF($L$3=$AJ$12,'Statement of Marks'!BV124,IF($L$3=$AJ$13,'Statement of Marks'!CK124,IF($L$3=$AJ$14,('Statement of Marks'!DB124+'Statement of Marks'!DC124),IF($L$3=$AJ$15,'Statement of Marks'!EF124,IF($L$3=$AJ$16,('Statement of Marks'!ET124+'Statement of Marks'!EU124),IF($L$3=$AJ$17,('Statement of Marks'!FM124+'Statement of Marks'!FN124),IF($L$3=$AJ$18,'Statement of Marks'!FW124,IF($L$3=$AJ$19,'Statement of Marks'!GE124,"")))))))))))),"")</f>
        <v/>
      </c>
      <c r="Q125" s="812" t="str">
        <f t="shared" si="13"/>
        <v/>
      </c>
      <c r="R125" s="813">
        <f t="shared" si="18"/>
        <v>0</v>
      </c>
      <c r="S125" s="813" t="str">
        <f t="shared" si="14"/>
        <v/>
      </c>
      <c r="T125" s="813" t="str">
        <f t="shared" si="15"/>
        <v/>
      </c>
      <c r="U125" s="814" t="str">
        <f t="shared" si="16"/>
        <v/>
      </c>
      <c r="V125" s="815" t="str">
        <f t="shared" si="17"/>
        <v/>
      </c>
      <c r="W125" s="816" t="str">
        <f t="shared" si="19"/>
        <v/>
      </c>
    </row>
    <row r="126" spans="1:23">
      <c r="A126" s="803">
        <f>IF('Statement of Marks'!A125="","",'Statement of Marks'!A125)</f>
        <v>119</v>
      </c>
      <c r="B126" s="804" t="str">
        <f>IF(OR($D$3="",$L$3=""),"",IF('Statement of Marks'!B125="","",'Statement of Marks'!B125))</f>
        <v/>
      </c>
      <c r="C126" s="805" t="str">
        <f>IF(OR($D$3="",$L$3=""),"",IF('Statement of Marks'!D125="","",'Statement of Marks'!D125))</f>
        <v/>
      </c>
      <c r="D126" s="806" t="str">
        <f>IF(OR($D$3="",$L$3=""),"",IF('Statement of Marks'!E125="","",'Statement of Marks'!E125))</f>
        <v/>
      </c>
      <c r="E126" s="807" t="str">
        <f>IF(OR($D$3="",$L$3=""),"",IF('Statement of Marks'!F125="","",'Statement of Marks'!F125))</f>
        <v/>
      </c>
      <c r="F126" s="807" t="str">
        <f>IF(OR($D$3="",$L$3=""),"",IF('Statement of Marks'!G125="","",'Statement of Marks'!G125))</f>
        <v/>
      </c>
      <c r="G126" s="807" t="str">
        <f>IF(OR($D$3="",$L$3=""),"",IF('Statement of Marks'!H125="","",'Statement of Marks'!H125))</f>
        <v/>
      </c>
      <c r="H126" s="808" t="str">
        <f>IF(OR($D$3="",$L$3=""),"",IF('Statement of Marks'!I125="","",'Statement of Marks'!I125))</f>
        <v/>
      </c>
      <c r="I126" s="808" t="str">
        <f>IF(OR($D$3="",$L$3=""),"",IF('Statement of Marks'!J125="","",'Statement of Marks'!J125))</f>
        <v/>
      </c>
      <c r="J126" s="809" t="str">
        <f>IFERROR(IF($L$3=$AJ$8,'Statement of Marks'!K125,IF($L$3=$AJ$9,'Statement of Marks'!Y125,IF($L$3=$AJ$10,'Statement of Marks'!AN125,IF($L$3=$AJ$11,'Statement of Marks'!BB125,IF($L$3=$AJ$12,'Statement of Marks'!BP125,IF($L$3=$AJ$13,'Statement of Marks'!CE125,IF($L$3=$AJ$14,'Statement of Marks'!CT125,IF($L$3=$AJ$15,'Statement of Marks'!DZ125,IF($L$3=$AJ$16,'Statement of Marks'!EL125,IF($L$3=$AJ$17,('Statement of Marks'!FB125+'Statement of Marks'!FC125),"")))))))))),"")</f>
        <v/>
      </c>
      <c r="K126" s="809" t="str">
        <f>IFERROR(IF($L$3=$AJ$8,'Statement of Marks'!L125,IF($L$3=$AJ$9,'Statement of Marks'!Z125,IF($L$3=$AJ$10,'Statement of Marks'!AO125,IF($L$3=$AJ$11,'Statement of Marks'!BC125,IF($L$3=$AJ$12,'Statement of Marks'!BQ125,IF($L$3=$AJ$13,'Statement of Marks'!CF125,IF($L$3=$AJ$14,'Statement of Marks'!CU125,IF($L$3=$AJ$15,'Statement of Marks'!EA125,IF($L$3=$AJ$16,'Statement of Marks'!EM125,IF($L$3=$AJ$17,('Statement of Marks'!FD125+'Statement of Marks'!FE125),"")))))))))),"")</f>
        <v/>
      </c>
      <c r="L126" s="809" t="str">
        <f>IFERROR(IF($L$3=$AJ$8,'Statement of Marks'!M125,IF($L$3=$AJ$9,'Statement of Marks'!AA125,IF($L$3=$AJ$10,'Statement of Marks'!AP125,IF($L$3=$AJ$11,'Statement of Marks'!BD125,IF($L$3=$AJ$12,'Statement of Marks'!BR125,IF($L$3=$AJ$13,'Statement of Marks'!CG125,IF($L$3=$AJ$14,'Statement of Marks'!CV125,IF($L$3=$AJ$15,'Statement of Marks'!EB125,IF($L$3=$AJ$16,'Statement of Marks'!EN125,IF($L$3=$AJ$17,('Statement of Marks'!FF125+'Statement of Marks'!FG125),"")))))))))),"")</f>
        <v/>
      </c>
      <c r="M126" s="810">
        <f t="shared" si="10"/>
        <v>0</v>
      </c>
      <c r="N126" s="809" t="str">
        <f>IFERROR(IF($L$3=$AJ$8,'Statement of Marks'!O125,IF($L$3=$AJ$9,'Statement of Marks'!AC125,IF($L$3=$AJ$10,'Statement of Marks'!AR125,IF($L$3=$AJ$11,'Statement of Marks'!BF125,IF($L$3=$AJ$12,'Statement of Marks'!BT125,IF($L$3=$AJ$13,'Statement of Marks'!CI125,IF($L$3=$AJ$14,('Statement of Marks'!CX125+'Statement of Marks'!CY125),IF($L$3=$AJ$15,'Statement of Marks'!ED125,IF($L$3=$AJ$16,('Statement of Marks'!EP125+'Statement of Marks'!EQ125),IF($L$3=$AJ$17,('Statement of Marks'!FI125+'Statement of Marks'!FJ125),IF($L$3=$AJ$18,'Statement of Marks'!FU125,IF($L$3=$AJ$19,'Statement of Marks'!GC125,"")))))))))))),"")</f>
        <v/>
      </c>
      <c r="O126" s="811">
        <f>IF($L$3=$AJ$18,'Statement of Marks'!FV125,IF($L$3=$AJ$19,'Statement of Marks'!GD125,IF(AND(M126="NA",N126="NA"),"NA",IF(AND(M126="",N126=""),"",SUM(M126,N126)))))</f>
        <v>0</v>
      </c>
      <c r="P126" s="809" t="str">
        <f>IFERROR(IF($L$3=$AJ$8,'Statement of Marks'!Q125,IF($L$3=$AJ$9,'Statement of Marks'!AE125,IF($L$3=$AJ$10,'Statement of Marks'!AT125,IF($L$3=$AJ$11,'Statement of Marks'!BH125,IF($L$3=$AJ$12,'Statement of Marks'!BV125,IF($L$3=$AJ$13,'Statement of Marks'!CK125,IF($L$3=$AJ$14,('Statement of Marks'!DB125+'Statement of Marks'!DC125),IF($L$3=$AJ$15,'Statement of Marks'!EF125,IF($L$3=$AJ$16,('Statement of Marks'!ET125+'Statement of Marks'!EU125),IF($L$3=$AJ$17,('Statement of Marks'!FM125+'Statement of Marks'!FN125),IF($L$3=$AJ$18,'Statement of Marks'!FW125,IF($L$3=$AJ$19,'Statement of Marks'!GE125,"")))))))))))),"")</f>
        <v/>
      </c>
      <c r="Q126" s="812" t="str">
        <f t="shared" si="13"/>
        <v/>
      </c>
      <c r="R126" s="813">
        <f t="shared" si="18"/>
        <v>0</v>
      </c>
      <c r="S126" s="813" t="str">
        <f t="shared" si="14"/>
        <v/>
      </c>
      <c r="T126" s="813" t="str">
        <f t="shared" si="15"/>
        <v/>
      </c>
      <c r="U126" s="814" t="str">
        <f t="shared" si="16"/>
        <v/>
      </c>
      <c r="V126" s="815" t="str">
        <f t="shared" si="17"/>
        <v/>
      </c>
      <c r="W126" s="816" t="str">
        <f t="shared" si="19"/>
        <v/>
      </c>
    </row>
    <row r="127" spans="1:23">
      <c r="A127" s="803">
        <f>IF('Statement of Marks'!A126="","",'Statement of Marks'!A126)</f>
        <v>120</v>
      </c>
      <c r="B127" s="804" t="str">
        <f>IF(OR($D$3="",$L$3=""),"",IF('Statement of Marks'!B126="","",'Statement of Marks'!B126))</f>
        <v/>
      </c>
      <c r="C127" s="805" t="str">
        <f>IF(OR($D$3="",$L$3=""),"",IF('Statement of Marks'!D126="","",'Statement of Marks'!D126))</f>
        <v/>
      </c>
      <c r="D127" s="806" t="str">
        <f>IF(OR($D$3="",$L$3=""),"",IF('Statement of Marks'!E126="","",'Statement of Marks'!E126))</f>
        <v/>
      </c>
      <c r="E127" s="807" t="str">
        <f>IF(OR($D$3="",$L$3=""),"",IF('Statement of Marks'!F126="","",'Statement of Marks'!F126))</f>
        <v/>
      </c>
      <c r="F127" s="807" t="str">
        <f>IF(OR($D$3="",$L$3=""),"",IF('Statement of Marks'!G126="","",'Statement of Marks'!G126))</f>
        <v/>
      </c>
      <c r="G127" s="807" t="str">
        <f>IF(OR($D$3="",$L$3=""),"",IF('Statement of Marks'!H126="","",'Statement of Marks'!H126))</f>
        <v/>
      </c>
      <c r="H127" s="808" t="str">
        <f>IF(OR($D$3="",$L$3=""),"",IF('Statement of Marks'!I126="","",'Statement of Marks'!I126))</f>
        <v/>
      </c>
      <c r="I127" s="808" t="str">
        <f>IF(OR($D$3="",$L$3=""),"",IF('Statement of Marks'!J126="","",'Statement of Marks'!J126))</f>
        <v/>
      </c>
      <c r="J127" s="809" t="str">
        <f>IFERROR(IF($L$3=$AJ$8,'Statement of Marks'!K126,IF($L$3=$AJ$9,'Statement of Marks'!Y126,IF($L$3=$AJ$10,'Statement of Marks'!AN126,IF($L$3=$AJ$11,'Statement of Marks'!BB126,IF($L$3=$AJ$12,'Statement of Marks'!BP126,IF($L$3=$AJ$13,'Statement of Marks'!CE126,IF($L$3=$AJ$14,'Statement of Marks'!CT126,IF($L$3=$AJ$15,'Statement of Marks'!DZ126,IF($L$3=$AJ$16,'Statement of Marks'!EL126,IF($L$3=$AJ$17,('Statement of Marks'!FB126+'Statement of Marks'!FC126),"")))))))))),"")</f>
        <v/>
      </c>
      <c r="K127" s="809" t="str">
        <f>IFERROR(IF($L$3=$AJ$8,'Statement of Marks'!L126,IF($L$3=$AJ$9,'Statement of Marks'!Z126,IF($L$3=$AJ$10,'Statement of Marks'!AO126,IF($L$3=$AJ$11,'Statement of Marks'!BC126,IF($L$3=$AJ$12,'Statement of Marks'!BQ126,IF($L$3=$AJ$13,'Statement of Marks'!CF126,IF($L$3=$AJ$14,'Statement of Marks'!CU126,IF($L$3=$AJ$15,'Statement of Marks'!EA126,IF($L$3=$AJ$16,'Statement of Marks'!EM126,IF($L$3=$AJ$17,('Statement of Marks'!FD126+'Statement of Marks'!FE126),"")))))))))),"")</f>
        <v/>
      </c>
      <c r="L127" s="809" t="str">
        <f>IFERROR(IF($L$3=$AJ$8,'Statement of Marks'!M126,IF($L$3=$AJ$9,'Statement of Marks'!AA126,IF($L$3=$AJ$10,'Statement of Marks'!AP126,IF($L$3=$AJ$11,'Statement of Marks'!BD126,IF($L$3=$AJ$12,'Statement of Marks'!BR126,IF($L$3=$AJ$13,'Statement of Marks'!CG126,IF($L$3=$AJ$14,'Statement of Marks'!CV126,IF($L$3=$AJ$15,'Statement of Marks'!EB126,IF($L$3=$AJ$16,'Statement of Marks'!EN126,IF($L$3=$AJ$17,('Statement of Marks'!FF126+'Statement of Marks'!FG126),"")))))))))),"")</f>
        <v/>
      </c>
      <c r="M127" s="810">
        <f t="shared" si="10"/>
        <v>0</v>
      </c>
      <c r="N127" s="809" t="str">
        <f>IFERROR(IF($L$3=$AJ$8,'Statement of Marks'!O126,IF($L$3=$AJ$9,'Statement of Marks'!AC126,IF($L$3=$AJ$10,'Statement of Marks'!AR126,IF($L$3=$AJ$11,'Statement of Marks'!BF126,IF($L$3=$AJ$12,'Statement of Marks'!BT126,IF($L$3=$AJ$13,'Statement of Marks'!CI126,IF($L$3=$AJ$14,('Statement of Marks'!CX126+'Statement of Marks'!CY126),IF($L$3=$AJ$15,'Statement of Marks'!ED126,IF($L$3=$AJ$16,('Statement of Marks'!EP126+'Statement of Marks'!EQ126),IF($L$3=$AJ$17,('Statement of Marks'!FI126+'Statement of Marks'!FJ126),IF($L$3=$AJ$18,'Statement of Marks'!FU126,IF($L$3=$AJ$19,'Statement of Marks'!GC126,"")))))))))))),"")</f>
        <v/>
      </c>
      <c r="O127" s="811">
        <f>IF($L$3=$AJ$18,'Statement of Marks'!FV126,IF($L$3=$AJ$19,'Statement of Marks'!GD126,IF(AND(M127="NA",N127="NA"),"NA",IF(AND(M127="",N127=""),"",SUM(M127,N127)))))</f>
        <v>0</v>
      </c>
      <c r="P127" s="809" t="str">
        <f>IFERROR(IF($L$3=$AJ$8,'Statement of Marks'!Q126,IF($L$3=$AJ$9,'Statement of Marks'!AE126,IF($L$3=$AJ$10,'Statement of Marks'!AT126,IF($L$3=$AJ$11,'Statement of Marks'!BH126,IF($L$3=$AJ$12,'Statement of Marks'!BV126,IF($L$3=$AJ$13,'Statement of Marks'!CK126,IF($L$3=$AJ$14,('Statement of Marks'!DB126+'Statement of Marks'!DC126),IF($L$3=$AJ$15,'Statement of Marks'!EF126,IF($L$3=$AJ$16,('Statement of Marks'!ET126+'Statement of Marks'!EU126),IF($L$3=$AJ$17,('Statement of Marks'!FM126+'Statement of Marks'!FN126),IF($L$3=$AJ$18,'Statement of Marks'!FW126,IF($L$3=$AJ$19,'Statement of Marks'!GE126,"")))))))))))),"")</f>
        <v/>
      </c>
      <c r="Q127" s="812" t="str">
        <f t="shared" si="13"/>
        <v/>
      </c>
      <c r="R127" s="813">
        <f t="shared" si="18"/>
        <v>0</v>
      </c>
      <c r="S127" s="813" t="str">
        <f t="shared" si="14"/>
        <v/>
      </c>
      <c r="T127" s="813" t="str">
        <f t="shared" si="15"/>
        <v/>
      </c>
      <c r="U127" s="814" t="str">
        <f t="shared" si="16"/>
        <v/>
      </c>
      <c r="V127" s="815" t="str">
        <f t="shared" si="17"/>
        <v/>
      </c>
      <c r="W127" s="816" t="str">
        <f t="shared" si="19"/>
        <v/>
      </c>
    </row>
    <row r="128" spans="1:23">
      <c r="A128" s="803">
        <f>IF('Statement of Marks'!A127="","",'Statement of Marks'!A127)</f>
        <v>121</v>
      </c>
      <c r="B128" s="804" t="str">
        <f>IF(OR($D$3="",$L$3=""),"",IF('Statement of Marks'!B127="","",'Statement of Marks'!B127))</f>
        <v/>
      </c>
      <c r="C128" s="805" t="str">
        <f>IF(OR($D$3="",$L$3=""),"",IF('Statement of Marks'!D127="","",'Statement of Marks'!D127))</f>
        <v/>
      </c>
      <c r="D128" s="806" t="str">
        <f>IF(OR($D$3="",$L$3=""),"",IF('Statement of Marks'!E127="","",'Statement of Marks'!E127))</f>
        <v/>
      </c>
      <c r="E128" s="807" t="str">
        <f>IF(OR($D$3="",$L$3=""),"",IF('Statement of Marks'!F127="","",'Statement of Marks'!F127))</f>
        <v/>
      </c>
      <c r="F128" s="807" t="str">
        <f>IF(OR($D$3="",$L$3=""),"",IF('Statement of Marks'!G127="","",'Statement of Marks'!G127))</f>
        <v/>
      </c>
      <c r="G128" s="807" t="str">
        <f>IF(OR($D$3="",$L$3=""),"",IF('Statement of Marks'!H127="","",'Statement of Marks'!H127))</f>
        <v/>
      </c>
      <c r="H128" s="808" t="str">
        <f>IF(OR($D$3="",$L$3=""),"",IF('Statement of Marks'!I127="","",'Statement of Marks'!I127))</f>
        <v/>
      </c>
      <c r="I128" s="808" t="str">
        <f>IF(OR($D$3="",$L$3=""),"",IF('Statement of Marks'!J127="","",'Statement of Marks'!J127))</f>
        <v/>
      </c>
      <c r="J128" s="809" t="str">
        <f>IFERROR(IF($L$3=$AJ$8,'Statement of Marks'!K127,IF($L$3=$AJ$9,'Statement of Marks'!Y127,IF($L$3=$AJ$10,'Statement of Marks'!AN127,IF($L$3=$AJ$11,'Statement of Marks'!BB127,IF($L$3=$AJ$12,'Statement of Marks'!BP127,IF($L$3=$AJ$13,'Statement of Marks'!CE127,IF($L$3=$AJ$14,'Statement of Marks'!CT127,IF($L$3=$AJ$15,'Statement of Marks'!DZ127,IF($L$3=$AJ$16,'Statement of Marks'!EL127,IF($L$3=$AJ$17,('Statement of Marks'!FB127+'Statement of Marks'!FC127),"")))))))))),"")</f>
        <v/>
      </c>
      <c r="K128" s="809" t="str">
        <f>IFERROR(IF($L$3=$AJ$8,'Statement of Marks'!L127,IF($L$3=$AJ$9,'Statement of Marks'!Z127,IF($L$3=$AJ$10,'Statement of Marks'!AO127,IF($L$3=$AJ$11,'Statement of Marks'!BC127,IF($L$3=$AJ$12,'Statement of Marks'!BQ127,IF($L$3=$AJ$13,'Statement of Marks'!CF127,IF($L$3=$AJ$14,'Statement of Marks'!CU127,IF($L$3=$AJ$15,'Statement of Marks'!EA127,IF($L$3=$AJ$16,'Statement of Marks'!EM127,IF($L$3=$AJ$17,('Statement of Marks'!FD127+'Statement of Marks'!FE127),"")))))))))),"")</f>
        <v/>
      </c>
      <c r="L128" s="809" t="str">
        <f>IFERROR(IF($L$3=$AJ$8,'Statement of Marks'!M127,IF($L$3=$AJ$9,'Statement of Marks'!AA127,IF($L$3=$AJ$10,'Statement of Marks'!AP127,IF($L$3=$AJ$11,'Statement of Marks'!BD127,IF($L$3=$AJ$12,'Statement of Marks'!BR127,IF($L$3=$AJ$13,'Statement of Marks'!CG127,IF($L$3=$AJ$14,'Statement of Marks'!CV127,IF($L$3=$AJ$15,'Statement of Marks'!EB127,IF($L$3=$AJ$16,'Statement of Marks'!EN127,IF($L$3=$AJ$17,('Statement of Marks'!FF127+'Statement of Marks'!FG127),"")))))))))),"")</f>
        <v/>
      </c>
      <c r="M128" s="810">
        <f t="shared" si="10"/>
        <v>0</v>
      </c>
      <c r="N128" s="809" t="str">
        <f>IFERROR(IF($L$3=$AJ$8,'Statement of Marks'!O127,IF($L$3=$AJ$9,'Statement of Marks'!AC127,IF($L$3=$AJ$10,'Statement of Marks'!AR127,IF($L$3=$AJ$11,'Statement of Marks'!BF127,IF($L$3=$AJ$12,'Statement of Marks'!BT127,IF($L$3=$AJ$13,'Statement of Marks'!CI127,IF($L$3=$AJ$14,('Statement of Marks'!CX127+'Statement of Marks'!CY127),IF($L$3=$AJ$15,'Statement of Marks'!ED127,IF($L$3=$AJ$16,('Statement of Marks'!EP127+'Statement of Marks'!EQ127),IF($L$3=$AJ$17,('Statement of Marks'!FI127+'Statement of Marks'!FJ127),IF($L$3=$AJ$18,'Statement of Marks'!FU127,IF($L$3=$AJ$19,'Statement of Marks'!GC127,"")))))))))))),"")</f>
        <v/>
      </c>
      <c r="O128" s="811">
        <f>IF($L$3=$AJ$18,'Statement of Marks'!FV127,IF($L$3=$AJ$19,'Statement of Marks'!GD127,IF(AND(M128="NA",N128="NA"),"NA",IF(AND(M128="",N128=""),"",SUM(M128,N128)))))</f>
        <v>0</v>
      </c>
      <c r="P128" s="809" t="str">
        <f>IFERROR(IF($L$3=$AJ$8,'Statement of Marks'!Q127,IF($L$3=$AJ$9,'Statement of Marks'!AE127,IF($L$3=$AJ$10,'Statement of Marks'!AT127,IF($L$3=$AJ$11,'Statement of Marks'!BH127,IF($L$3=$AJ$12,'Statement of Marks'!BV127,IF($L$3=$AJ$13,'Statement of Marks'!CK127,IF($L$3=$AJ$14,('Statement of Marks'!DB127+'Statement of Marks'!DC127),IF($L$3=$AJ$15,'Statement of Marks'!EF127,IF($L$3=$AJ$16,('Statement of Marks'!ET127+'Statement of Marks'!EU127),IF($L$3=$AJ$17,('Statement of Marks'!FM127+'Statement of Marks'!FN127),IF($L$3=$AJ$18,'Statement of Marks'!FW127,IF($L$3=$AJ$19,'Statement of Marks'!GE127,"")))))))))))),"")</f>
        <v/>
      </c>
      <c r="Q128" s="812" t="str">
        <f t="shared" si="13"/>
        <v/>
      </c>
      <c r="R128" s="813">
        <f t="shared" si="18"/>
        <v>0</v>
      </c>
      <c r="S128" s="813" t="str">
        <f t="shared" si="14"/>
        <v/>
      </c>
      <c r="T128" s="813" t="str">
        <f t="shared" si="15"/>
        <v/>
      </c>
      <c r="U128" s="814" t="str">
        <f t="shared" si="16"/>
        <v/>
      </c>
      <c r="V128" s="815" t="str">
        <f t="shared" si="17"/>
        <v/>
      </c>
      <c r="W128" s="816" t="str">
        <f t="shared" si="19"/>
        <v/>
      </c>
    </row>
    <row r="129" spans="1:23">
      <c r="A129" s="803">
        <f>IF('Statement of Marks'!A128="","",'Statement of Marks'!A128)</f>
        <v>122</v>
      </c>
      <c r="B129" s="804" t="str">
        <f>IF(OR($D$3="",$L$3=""),"",IF('Statement of Marks'!B128="","",'Statement of Marks'!B128))</f>
        <v/>
      </c>
      <c r="C129" s="805" t="str">
        <f>IF(OR($D$3="",$L$3=""),"",IF('Statement of Marks'!D128="","",'Statement of Marks'!D128))</f>
        <v/>
      </c>
      <c r="D129" s="806" t="str">
        <f>IF(OR($D$3="",$L$3=""),"",IF('Statement of Marks'!E128="","",'Statement of Marks'!E128))</f>
        <v/>
      </c>
      <c r="E129" s="807" t="str">
        <f>IF(OR($D$3="",$L$3=""),"",IF('Statement of Marks'!F128="","",'Statement of Marks'!F128))</f>
        <v/>
      </c>
      <c r="F129" s="807" t="str">
        <f>IF(OR($D$3="",$L$3=""),"",IF('Statement of Marks'!G128="","",'Statement of Marks'!G128))</f>
        <v/>
      </c>
      <c r="G129" s="807" t="str">
        <f>IF(OR($D$3="",$L$3=""),"",IF('Statement of Marks'!H128="","",'Statement of Marks'!H128))</f>
        <v/>
      </c>
      <c r="H129" s="808" t="str">
        <f>IF(OR($D$3="",$L$3=""),"",IF('Statement of Marks'!I128="","",'Statement of Marks'!I128))</f>
        <v/>
      </c>
      <c r="I129" s="808" t="str">
        <f>IF(OR($D$3="",$L$3=""),"",IF('Statement of Marks'!J128="","",'Statement of Marks'!J128))</f>
        <v/>
      </c>
      <c r="J129" s="809" t="str">
        <f>IFERROR(IF($L$3=$AJ$8,'Statement of Marks'!K128,IF($L$3=$AJ$9,'Statement of Marks'!Y128,IF($L$3=$AJ$10,'Statement of Marks'!AN128,IF($L$3=$AJ$11,'Statement of Marks'!BB128,IF($L$3=$AJ$12,'Statement of Marks'!BP128,IF($L$3=$AJ$13,'Statement of Marks'!CE128,IF($L$3=$AJ$14,'Statement of Marks'!CT128,IF($L$3=$AJ$15,'Statement of Marks'!DZ128,IF($L$3=$AJ$16,'Statement of Marks'!EL128,IF($L$3=$AJ$17,('Statement of Marks'!FB128+'Statement of Marks'!FC128),"")))))))))),"")</f>
        <v/>
      </c>
      <c r="K129" s="809" t="str">
        <f>IFERROR(IF($L$3=$AJ$8,'Statement of Marks'!L128,IF($L$3=$AJ$9,'Statement of Marks'!Z128,IF($L$3=$AJ$10,'Statement of Marks'!AO128,IF($L$3=$AJ$11,'Statement of Marks'!BC128,IF($L$3=$AJ$12,'Statement of Marks'!BQ128,IF($L$3=$AJ$13,'Statement of Marks'!CF128,IF($L$3=$AJ$14,'Statement of Marks'!CU128,IF($L$3=$AJ$15,'Statement of Marks'!EA128,IF($L$3=$AJ$16,'Statement of Marks'!EM128,IF($L$3=$AJ$17,('Statement of Marks'!FD128+'Statement of Marks'!FE128),"")))))))))),"")</f>
        <v/>
      </c>
      <c r="L129" s="809" t="str">
        <f>IFERROR(IF($L$3=$AJ$8,'Statement of Marks'!M128,IF($L$3=$AJ$9,'Statement of Marks'!AA128,IF($L$3=$AJ$10,'Statement of Marks'!AP128,IF($L$3=$AJ$11,'Statement of Marks'!BD128,IF($L$3=$AJ$12,'Statement of Marks'!BR128,IF($L$3=$AJ$13,'Statement of Marks'!CG128,IF($L$3=$AJ$14,'Statement of Marks'!CV128,IF($L$3=$AJ$15,'Statement of Marks'!EB128,IF($L$3=$AJ$16,'Statement of Marks'!EN128,IF($L$3=$AJ$17,('Statement of Marks'!FF128+'Statement of Marks'!FG128),"")))))))))),"")</f>
        <v/>
      </c>
      <c r="M129" s="810">
        <f t="shared" si="10"/>
        <v>0</v>
      </c>
      <c r="N129" s="809" t="str">
        <f>IFERROR(IF($L$3=$AJ$8,'Statement of Marks'!O128,IF($L$3=$AJ$9,'Statement of Marks'!AC128,IF($L$3=$AJ$10,'Statement of Marks'!AR128,IF($L$3=$AJ$11,'Statement of Marks'!BF128,IF($L$3=$AJ$12,'Statement of Marks'!BT128,IF($L$3=$AJ$13,'Statement of Marks'!CI128,IF($L$3=$AJ$14,('Statement of Marks'!CX128+'Statement of Marks'!CY128),IF($L$3=$AJ$15,'Statement of Marks'!ED128,IF($L$3=$AJ$16,('Statement of Marks'!EP128+'Statement of Marks'!EQ128),IF($L$3=$AJ$17,('Statement of Marks'!FI128+'Statement of Marks'!FJ128),IF($L$3=$AJ$18,'Statement of Marks'!FU128,IF($L$3=$AJ$19,'Statement of Marks'!GC128,"")))))))))))),"")</f>
        <v/>
      </c>
      <c r="O129" s="811">
        <f>IF($L$3=$AJ$18,'Statement of Marks'!FV128,IF($L$3=$AJ$19,'Statement of Marks'!GD128,IF(AND(M129="NA",N129="NA"),"NA",IF(AND(M129="",N129=""),"",SUM(M129,N129)))))</f>
        <v>0</v>
      </c>
      <c r="P129" s="809" t="str">
        <f>IFERROR(IF($L$3=$AJ$8,'Statement of Marks'!Q128,IF($L$3=$AJ$9,'Statement of Marks'!AE128,IF($L$3=$AJ$10,'Statement of Marks'!AT128,IF($L$3=$AJ$11,'Statement of Marks'!BH128,IF($L$3=$AJ$12,'Statement of Marks'!BV128,IF($L$3=$AJ$13,'Statement of Marks'!CK128,IF($L$3=$AJ$14,('Statement of Marks'!DB128+'Statement of Marks'!DC128),IF($L$3=$AJ$15,'Statement of Marks'!EF128,IF($L$3=$AJ$16,('Statement of Marks'!ET128+'Statement of Marks'!EU128),IF($L$3=$AJ$17,('Statement of Marks'!FM128+'Statement of Marks'!FN128),IF($L$3=$AJ$18,'Statement of Marks'!FW128,IF($L$3=$AJ$19,'Statement of Marks'!GE128,"")))))))))))),"")</f>
        <v/>
      </c>
      <c r="Q129" s="812" t="str">
        <f t="shared" si="13"/>
        <v/>
      </c>
      <c r="R129" s="813">
        <f t="shared" si="18"/>
        <v>0</v>
      </c>
      <c r="S129" s="813" t="str">
        <f t="shared" si="14"/>
        <v/>
      </c>
      <c r="T129" s="813" t="str">
        <f t="shared" si="15"/>
        <v/>
      </c>
      <c r="U129" s="814" t="str">
        <f t="shared" si="16"/>
        <v/>
      </c>
      <c r="V129" s="815" t="str">
        <f t="shared" si="17"/>
        <v/>
      </c>
      <c r="W129" s="816" t="str">
        <f t="shared" si="19"/>
        <v/>
      </c>
    </row>
    <row r="130" spans="1:23">
      <c r="A130" s="803">
        <f>IF('Statement of Marks'!A129="","",'Statement of Marks'!A129)</f>
        <v>123</v>
      </c>
      <c r="B130" s="804" t="str">
        <f>IF(OR($D$3="",$L$3=""),"",IF('Statement of Marks'!B129="","",'Statement of Marks'!B129))</f>
        <v/>
      </c>
      <c r="C130" s="805" t="str">
        <f>IF(OR($D$3="",$L$3=""),"",IF('Statement of Marks'!D129="","",'Statement of Marks'!D129))</f>
        <v/>
      </c>
      <c r="D130" s="806" t="str">
        <f>IF(OR($D$3="",$L$3=""),"",IF('Statement of Marks'!E129="","",'Statement of Marks'!E129))</f>
        <v/>
      </c>
      <c r="E130" s="807" t="str">
        <f>IF(OR($D$3="",$L$3=""),"",IF('Statement of Marks'!F129="","",'Statement of Marks'!F129))</f>
        <v/>
      </c>
      <c r="F130" s="807" t="str">
        <f>IF(OR($D$3="",$L$3=""),"",IF('Statement of Marks'!G129="","",'Statement of Marks'!G129))</f>
        <v/>
      </c>
      <c r="G130" s="807" t="str">
        <f>IF(OR($D$3="",$L$3=""),"",IF('Statement of Marks'!H129="","",'Statement of Marks'!H129))</f>
        <v/>
      </c>
      <c r="H130" s="808" t="str">
        <f>IF(OR($D$3="",$L$3=""),"",IF('Statement of Marks'!I129="","",'Statement of Marks'!I129))</f>
        <v/>
      </c>
      <c r="I130" s="808" t="str">
        <f>IF(OR($D$3="",$L$3=""),"",IF('Statement of Marks'!J129="","",'Statement of Marks'!J129))</f>
        <v/>
      </c>
      <c r="J130" s="809" t="str">
        <f>IFERROR(IF($L$3=$AJ$8,'Statement of Marks'!K129,IF($L$3=$AJ$9,'Statement of Marks'!Y129,IF($L$3=$AJ$10,'Statement of Marks'!AN129,IF($L$3=$AJ$11,'Statement of Marks'!BB129,IF($L$3=$AJ$12,'Statement of Marks'!BP129,IF($L$3=$AJ$13,'Statement of Marks'!CE129,IF($L$3=$AJ$14,'Statement of Marks'!CT129,IF($L$3=$AJ$15,'Statement of Marks'!DZ129,IF($L$3=$AJ$16,'Statement of Marks'!EL129,IF($L$3=$AJ$17,('Statement of Marks'!FB129+'Statement of Marks'!FC129),"")))))))))),"")</f>
        <v/>
      </c>
      <c r="K130" s="809" t="str">
        <f>IFERROR(IF($L$3=$AJ$8,'Statement of Marks'!L129,IF($L$3=$AJ$9,'Statement of Marks'!Z129,IF($L$3=$AJ$10,'Statement of Marks'!AO129,IF($L$3=$AJ$11,'Statement of Marks'!BC129,IF($L$3=$AJ$12,'Statement of Marks'!BQ129,IF($L$3=$AJ$13,'Statement of Marks'!CF129,IF($L$3=$AJ$14,'Statement of Marks'!CU129,IF($L$3=$AJ$15,'Statement of Marks'!EA129,IF($L$3=$AJ$16,'Statement of Marks'!EM129,IF($L$3=$AJ$17,('Statement of Marks'!FD129+'Statement of Marks'!FE129),"")))))))))),"")</f>
        <v/>
      </c>
      <c r="L130" s="809" t="str">
        <f>IFERROR(IF($L$3=$AJ$8,'Statement of Marks'!M129,IF($L$3=$AJ$9,'Statement of Marks'!AA129,IF($L$3=$AJ$10,'Statement of Marks'!AP129,IF($L$3=$AJ$11,'Statement of Marks'!BD129,IF($L$3=$AJ$12,'Statement of Marks'!BR129,IF($L$3=$AJ$13,'Statement of Marks'!CG129,IF($L$3=$AJ$14,'Statement of Marks'!CV129,IF($L$3=$AJ$15,'Statement of Marks'!EB129,IF($L$3=$AJ$16,'Statement of Marks'!EN129,IF($L$3=$AJ$17,('Statement of Marks'!FF129+'Statement of Marks'!FG129),"")))))))))),"")</f>
        <v/>
      </c>
      <c r="M130" s="810">
        <f t="shared" si="10"/>
        <v>0</v>
      </c>
      <c r="N130" s="809" t="str">
        <f>IFERROR(IF($L$3=$AJ$8,'Statement of Marks'!O129,IF($L$3=$AJ$9,'Statement of Marks'!AC129,IF($L$3=$AJ$10,'Statement of Marks'!AR129,IF($L$3=$AJ$11,'Statement of Marks'!BF129,IF($L$3=$AJ$12,'Statement of Marks'!BT129,IF($L$3=$AJ$13,'Statement of Marks'!CI129,IF($L$3=$AJ$14,('Statement of Marks'!CX129+'Statement of Marks'!CY129),IF($L$3=$AJ$15,'Statement of Marks'!ED129,IF($L$3=$AJ$16,('Statement of Marks'!EP129+'Statement of Marks'!EQ129),IF($L$3=$AJ$17,('Statement of Marks'!FI129+'Statement of Marks'!FJ129),IF($L$3=$AJ$18,'Statement of Marks'!FU129,IF($L$3=$AJ$19,'Statement of Marks'!GC129,"")))))))))))),"")</f>
        <v/>
      </c>
      <c r="O130" s="811">
        <f>IF($L$3=$AJ$18,'Statement of Marks'!FV129,IF($L$3=$AJ$19,'Statement of Marks'!GD129,IF(AND(M130="NA",N130="NA"),"NA",IF(AND(M130="",N130=""),"",SUM(M130,N130)))))</f>
        <v>0</v>
      </c>
      <c r="P130" s="809" t="str">
        <f>IFERROR(IF($L$3=$AJ$8,'Statement of Marks'!Q129,IF($L$3=$AJ$9,'Statement of Marks'!AE129,IF($L$3=$AJ$10,'Statement of Marks'!AT129,IF($L$3=$AJ$11,'Statement of Marks'!BH129,IF($L$3=$AJ$12,'Statement of Marks'!BV129,IF($L$3=$AJ$13,'Statement of Marks'!CK129,IF($L$3=$AJ$14,('Statement of Marks'!DB129+'Statement of Marks'!DC129),IF($L$3=$AJ$15,'Statement of Marks'!EF129,IF($L$3=$AJ$16,('Statement of Marks'!ET129+'Statement of Marks'!EU129),IF($L$3=$AJ$17,('Statement of Marks'!FM129+'Statement of Marks'!FN129),IF($L$3=$AJ$18,'Statement of Marks'!FW129,IF($L$3=$AJ$19,'Statement of Marks'!GE129,"")))))))))))),"")</f>
        <v/>
      </c>
      <c r="Q130" s="812" t="str">
        <f t="shared" si="13"/>
        <v/>
      </c>
      <c r="R130" s="813">
        <f t="shared" si="18"/>
        <v>0</v>
      </c>
      <c r="S130" s="813" t="str">
        <f t="shared" si="14"/>
        <v/>
      </c>
      <c r="T130" s="813" t="str">
        <f t="shared" si="15"/>
        <v/>
      </c>
      <c r="U130" s="814" t="str">
        <f t="shared" si="16"/>
        <v/>
      </c>
      <c r="V130" s="815" t="str">
        <f t="shared" si="17"/>
        <v/>
      </c>
      <c r="W130" s="816" t="str">
        <f t="shared" si="19"/>
        <v/>
      </c>
    </row>
    <row r="131" spans="1:23">
      <c r="A131" s="803">
        <f>IF('Statement of Marks'!A130="","",'Statement of Marks'!A130)</f>
        <v>124</v>
      </c>
      <c r="B131" s="804" t="str">
        <f>IF(OR($D$3="",$L$3=""),"",IF('Statement of Marks'!B130="","",'Statement of Marks'!B130))</f>
        <v/>
      </c>
      <c r="C131" s="805" t="str">
        <f>IF(OR($D$3="",$L$3=""),"",IF('Statement of Marks'!D130="","",'Statement of Marks'!D130))</f>
        <v/>
      </c>
      <c r="D131" s="806" t="str">
        <f>IF(OR($D$3="",$L$3=""),"",IF('Statement of Marks'!E130="","",'Statement of Marks'!E130))</f>
        <v/>
      </c>
      <c r="E131" s="807" t="str">
        <f>IF(OR($D$3="",$L$3=""),"",IF('Statement of Marks'!F130="","",'Statement of Marks'!F130))</f>
        <v/>
      </c>
      <c r="F131" s="807" t="str">
        <f>IF(OR($D$3="",$L$3=""),"",IF('Statement of Marks'!G130="","",'Statement of Marks'!G130))</f>
        <v/>
      </c>
      <c r="G131" s="807" t="str">
        <f>IF(OR($D$3="",$L$3=""),"",IF('Statement of Marks'!H130="","",'Statement of Marks'!H130))</f>
        <v/>
      </c>
      <c r="H131" s="808" t="str">
        <f>IF(OR($D$3="",$L$3=""),"",IF('Statement of Marks'!I130="","",'Statement of Marks'!I130))</f>
        <v/>
      </c>
      <c r="I131" s="808" t="str">
        <f>IF(OR($D$3="",$L$3=""),"",IF('Statement of Marks'!J130="","",'Statement of Marks'!J130))</f>
        <v/>
      </c>
      <c r="J131" s="809" t="str">
        <f>IFERROR(IF($L$3=$AJ$8,'Statement of Marks'!K130,IF($L$3=$AJ$9,'Statement of Marks'!Y130,IF($L$3=$AJ$10,'Statement of Marks'!AN130,IF($L$3=$AJ$11,'Statement of Marks'!BB130,IF($L$3=$AJ$12,'Statement of Marks'!BP130,IF($L$3=$AJ$13,'Statement of Marks'!CE130,IF($L$3=$AJ$14,'Statement of Marks'!CT130,IF($L$3=$AJ$15,'Statement of Marks'!DZ130,IF($L$3=$AJ$16,'Statement of Marks'!EL130,IF($L$3=$AJ$17,('Statement of Marks'!FB130+'Statement of Marks'!FC130),"")))))))))),"")</f>
        <v/>
      </c>
      <c r="K131" s="809" t="str">
        <f>IFERROR(IF($L$3=$AJ$8,'Statement of Marks'!L130,IF($L$3=$AJ$9,'Statement of Marks'!Z130,IF($L$3=$AJ$10,'Statement of Marks'!AO130,IF($L$3=$AJ$11,'Statement of Marks'!BC130,IF($L$3=$AJ$12,'Statement of Marks'!BQ130,IF($L$3=$AJ$13,'Statement of Marks'!CF130,IF($L$3=$AJ$14,'Statement of Marks'!CU130,IF($L$3=$AJ$15,'Statement of Marks'!EA130,IF($L$3=$AJ$16,'Statement of Marks'!EM130,IF($L$3=$AJ$17,('Statement of Marks'!FD130+'Statement of Marks'!FE130),"")))))))))),"")</f>
        <v/>
      </c>
      <c r="L131" s="809" t="str">
        <f>IFERROR(IF($L$3=$AJ$8,'Statement of Marks'!M130,IF($L$3=$AJ$9,'Statement of Marks'!AA130,IF($L$3=$AJ$10,'Statement of Marks'!AP130,IF($L$3=$AJ$11,'Statement of Marks'!BD130,IF($L$3=$AJ$12,'Statement of Marks'!BR130,IF($L$3=$AJ$13,'Statement of Marks'!CG130,IF($L$3=$AJ$14,'Statement of Marks'!CV130,IF($L$3=$AJ$15,'Statement of Marks'!EB130,IF($L$3=$AJ$16,'Statement of Marks'!EN130,IF($L$3=$AJ$17,('Statement of Marks'!FF130+'Statement of Marks'!FG130),"")))))))))),"")</f>
        <v/>
      </c>
      <c r="M131" s="810">
        <f t="shared" si="10"/>
        <v>0</v>
      </c>
      <c r="N131" s="809" t="str">
        <f>IFERROR(IF($L$3=$AJ$8,'Statement of Marks'!O130,IF($L$3=$AJ$9,'Statement of Marks'!AC130,IF($L$3=$AJ$10,'Statement of Marks'!AR130,IF($L$3=$AJ$11,'Statement of Marks'!BF130,IF($L$3=$AJ$12,'Statement of Marks'!BT130,IF($L$3=$AJ$13,'Statement of Marks'!CI130,IF($L$3=$AJ$14,('Statement of Marks'!CX130+'Statement of Marks'!CY130),IF($L$3=$AJ$15,'Statement of Marks'!ED130,IF($L$3=$AJ$16,('Statement of Marks'!EP130+'Statement of Marks'!EQ130),IF($L$3=$AJ$17,('Statement of Marks'!FI130+'Statement of Marks'!FJ130),IF($L$3=$AJ$18,'Statement of Marks'!FU130,IF($L$3=$AJ$19,'Statement of Marks'!GC130,"")))))))))))),"")</f>
        <v/>
      </c>
      <c r="O131" s="811">
        <f>IF($L$3=$AJ$18,'Statement of Marks'!FV130,IF($L$3=$AJ$19,'Statement of Marks'!GD130,IF(AND(M131="NA",N131="NA"),"NA",IF(AND(M131="",N131=""),"",SUM(M131,N131)))))</f>
        <v>0</v>
      </c>
      <c r="P131" s="809" t="str">
        <f>IFERROR(IF($L$3=$AJ$8,'Statement of Marks'!Q130,IF($L$3=$AJ$9,'Statement of Marks'!AE130,IF($L$3=$AJ$10,'Statement of Marks'!AT130,IF($L$3=$AJ$11,'Statement of Marks'!BH130,IF($L$3=$AJ$12,'Statement of Marks'!BV130,IF($L$3=$AJ$13,'Statement of Marks'!CK130,IF($L$3=$AJ$14,('Statement of Marks'!DB130+'Statement of Marks'!DC130),IF($L$3=$AJ$15,'Statement of Marks'!EF130,IF($L$3=$AJ$16,('Statement of Marks'!ET130+'Statement of Marks'!EU130),IF($L$3=$AJ$17,('Statement of Marks'!FM130+'Statement of Marks'!FN130),IF($L$3=$AJ$18,'Statement of Marks'!FW130,IF($L$3=$AJ$19,'Statement of Marks'!GE130,"")))))))))))),"")</f>
        <v/>
      </c>
      <c r="Q131" s="812" t="str">
        <f t="shared" si="13"/>
        <v/>
      </c>
      <c r="R131" s="813">
        <f t="shared" si="18"/>
        <v>0</v>
      </c>
      <c r="S131" s="813" t="str">
        <f t="shared" si="14"/>
        <v/>
      </c>
      <c r="T131" s="813" t="str">
        <f t="shared" si="15"/>
        <v/>
      </c>
      <c r="U131" s="814" t="str">
        <f t="shared" si="16"/>
        <v/>
      </c>
      <c r="V131" s="815" t="str">
        <f t="shared" si="17"/>
        <v/>
      </c>
      <c r="W131" s="816" t="str">
        <f t="shared" si="19"/>
        <v/>
      </c>
    </row>
    <row r="132" spans="1:23">
      <c r="A132" s="803">
        <f>IF('Statement of Marks'!A131="","",'Statement of Marks'!A131)</f>
        <v>125</v>
      </c>
      <c r="B132" s="804" t="str">
        <f>IF(OR($D$3="",$L$3=""),"",IF('Statement of Marks'!B131="","",'Statement of Marks'!B131))</f>
        <v/>
      </c>
      <c r="C132" s="805" t="str">
        <f>IF(OR($D$3="",$L$3=""),"",IF('Statement of Marks'!D131="","",'Statement of Marks'!D131))</f>
        <v/>
      </c>
      <c r="D132" s="806" t="str">
        <f>IF(OR($D$3="",$L$3=""),"",IF('Statement of Marks'!E131="","",'Statement of Marks'!E131))</f>
        <v/>
      </c>
      <c r="E132" s="807" t="str">
        <f>IF(OR($D$3="",$L$3=""),"",IF('Statement of Marks'!F131="","",'Statement of Marks'!F131))</f>
        <v/>
      </c>
      <c r="F132" s="807" t="str">
        <f>IF(OR($D$3="",$L$3=""),"",IF('Statement of Marks'!G131="","",'Statement of Marks'!G131))</f>
        <v/>
      </c>
      <c r="G132" s="807" t="str">
        <f>IF(OR($D$3="",$L$3=""),"",IF('Statement of Marks'!H131="","",'Statement of Marks'!H131))</f>
        <v/>
      </c>
      <c r="H132" s="808" t="str">
        <f>IF(OR($D$3="",$L$3=""),"",IF('Statement of Marks'!I131="","",'Statement of Marks'!I131))</f>
        <v/>
      </c>
      <c r="I132" s="808" t="str">
        <f>IF(OR($D$3="",$L$3=""),"",IF('Statement of Marks'!J131="","",'Statement of Marks'!J131))</f>
        <v/>
      </c>
      <c r="J132" s="809" t="str">
        <f>IFERROR(IF($L$3=$AJ$8,'Statement of Marks'!K131,IF($L$3=$AJ$9,'Statement of Marks'!Y131,IF($L$3=$AJ$10,'Statement of Marks'!AN131,IF($L$3=$AJ$11,'Statement of Marks'!BB131,IF($L$3=$AJ$12,'Statement of Marks'!BP131,IF($L$3=$AJ$13,'Statement of Marks'!CE131,IF($L$3=$AJ$14,'Statement of Marks'!CT131,IF($L$3=$AJ$15,'Statement of Marks'!DZ131,IF($L$3=$AJ$16,'Statement of Marks'!EL131,IF($L$3=$AJ$17,('Statement of Marks'!FB131+'Statement of Marks'!FC131),"")))))))))),"")</f>
        <v/>
      </c>
      <c r="K132" s="809" t="str">
        <f>IFERROR(IF($L$3=$AJ$8,'Statement of Marks'!L131,IF($L$3=$AJ$9,'Statement of Marks'!Z131,IF($L$3=$AJ$10,'Statement of Marks'!AO131,IF($L$3=$AJ$11,'Statement of Marks'!BC131,IF($L$3=$AJ$12,'Statement of Marks'!BQ131,IF($L$3=$AJ$13,'Statement of Marks'!CF131,IF($L$3=$AJ$14,'Statement of Marks'!CU131,IF($L$3=$AJ$15,'Statement of Marks'!EA131,IF($L$3=$AJ$16,'Statement of Marks'!EM131,IF($L$3=$AJ$17,('Statement of Marks'!FD131+'Statement of Marks'!FE131),"")))))))))),"")</f>
        <v/>
      </c>
      <c r="L132" s="809" t="str">
        <f>IFERROR(IF($L$3=$AJ$8,'Statement of Marks'!M131,IF($L$3=$AJ$9,'Statement of Marks'!AA131,IF($L$3=$AJ$10,'Statement of Marks'!AP131,IF($L$3=$AJ$11,'Statement of Marks'!BD131,IF($L$3=$AJ$12,'Statement of Marks'!BR131,IF($L$3=$AJ$13,'Statement of Marks'!CG131,IF($L$3=$AJ$14,'Statement of Marks'!CV131,IF($L$3=$AJ$15,'Statement of Marks'!EB131,IF($L$3=$AJ$16,'Statement of Marks'!EN131,IF($L$3=$AJ$17,('Statement of Marks'!FF131+'Statement of Marks'!FG131),"")))))))))),"")</f>
        <v/>
      </c>
      <c r="M132" s="810">
        <f t="shared" si="10"/>
        <v>0</v>
      </c>
      <c r="N132" s="809" t="str">
        <f>IFERROR(IF($L$3=$AJ$8,'Statement of Marks'!O131,IF($L$3=$AJ$9,'Statement of Marks'!AC131,IF($L$3=$AJ$10,'Statement of Marks'!AR131,IF($L$3=$AJ$11,'Statement of Marks'!BF131,IF($L$3=$AJ$12,'Statement of Marks'!BT131,IF($L$3=$AJ$13,'Statement of Marks'!CI131,IF($L$3=$AJ$14,('Statement of Marks'!CX131+'Statement of Marks'!CY131),IF($L$3=$AJ$15,'Statement of Marks'!ED131,IF($L$3=$AJ$16,('Statement of Marks'!EP131+'Statement of Marks'!EQ131),IF($L$3=$AJ$17,('Statement of Marks'!FI131+'Statement of Marks'!FJ131),IF($L$3=$AJ$18,'Statement of Marks'!FU131,IF($L$3=$AJ$19,'Statement of Marks'!GC131,"")))))))))))),"")</f>
        <v/>
      </c>
      <c r="O132" s="811">
        <f>IF($L$3=$AJ$18,'Statement of Marks'!FV131,IF($L$3=$AJ$19,'Statement of Marks'!GD131,IF(AND(M132="NA",N132="NA"),"NA",IF(AND(M132="",N132=""),"",SUM(M132,N132)))))</f>
        <v>0</v>
      </c>
      <c r="P132" s="809" t="str">
        <f>IFERROR(IF($L$3=$AJ$8,'Statement of Marks'!Q131,IF($L$3=$AJ$9,'Statement of Marks'!AE131,IF($L$3=$AJ$10,'Statement of Marks'!AT131,IF($L$3=$AJ$11,'Statement of Marks'!BH131,IF($L$3=$AJ$12,'Statement of Marks'!BV131,IF($L$3=$AJ$13,'Statement of Marks'!CK131,IF($L$3=$AJ$14,('Statement of Marks'!DB131+'Statement of Marks'!DC131),IF($L$3=$AJ$15,'Statement of Marks'!EF131,IF($L$3=$AJ$16,('Statement of Marks'!ET131+'Statement of Marks'!EU131),IF($L$3=$AJ$17,('Statement of Marks'!FM131+'Statement of Marks'!FN131),IF($L$3=$AJ$18,'Statement of Marks'!FW131,IF($L$3=$AJ$19,'Statement of Marks'!GE131,"")))))))))))),"")</f>
        <v/>
      </c>
      <c r="Q132" s="812" t="str">
        <f t="shared" si="13"/>
        <v/>
      </c>
      <c r="R132" s="813">
        <f t="shared" si="18"/>
        <v>0</v>
      </c>
      <c r="S132" s="813" t="str">
        <f t="shared" si="14"/>
        <v/>
      </c>
      <c r="T132" s="813" t="str">
        <f t="shared" si="15"/>
        <v/>
      </c>
      <c r="U132" s="814" t="str">
        <f t="shared" si="16"/>
        <v/>
      </c>
      <c r="V132" s="815" t="str">
        <f t="shared" si="17"/>
        <v/>
      </c>
      <c r="W132" s="816" t="str">
        <f t="shared" si="19"/>
        <v/>
      </c>
    </row>
    <row r="133" spans="1:23">
      <c r="A133" s="803">
        <f>IF('Statement of Marks'!A132="","",'Statement of Marks'!A132)</f>
        <v>126</v>
      </c>
      <c r="B133" s="804" t="str">
        <f>IF(OR($D$3="",$L$3=""),"",IF('Statement of Marks'!B132="","",'Statement of Marks'!B132))</f>
        <v/>
      </c>
      <c r="C133" s="805" t="str">
        <f>IF(OR($D$3="",$L$3=""),"",IF('Statement of Marks'!D132="","",'Statement of Marks'!D132))</f>
        <v/>
      </c>
      <c r="D133" s="806" t="str">
        <f>IF(OR($D$3="",$L$3=""),"",IF('Statement of Marks'!E132="","",'Statement of Marks'!E132))</f>
        <v/>
      </c>
      <c r="E133" s="807" t="str">
        <f>IF(OR($D$3="",$L$3=""),"",IF('Statement of Marks'!F132="","",'Statement of Marks'!F132))</f>
        <v/>
      </c>
      <c r="F133" s="807" t="str">
        <f>IF(OR($D$3="",$L$3=""),"",IF('Statement of Marks'!G132="","",'Statement of Marks'!G132))</f>
        <v/>
      </c>
      <c r="G133" s="807" t="str">
        <f>IF(OR($D$3="",$L$3=""),"",IF('Statement of Marks'!H132="","",'Statement of Marks'!H132))</f>
        <v/>
      </c>
      <c r="H133" s="808" t="str">
        <f>IF(OR($D$3="",$L$3=""),"",IF('Statement of Marks'!I132="","",'Statement of Marks'!I132))</f>
        <v/>
      </c>
      <c r="I133" s="808" t="str">
        <f>IF(OR($D$3="",$L$3=""),"",IF('Statement of Marks'!J132="","",'Statement of Marks'!J132))</f>
        <v/>
      </c>
      <c r="J133" s="809" t="str">
        <f>IFERROR(IF($L$3=$AJ$8,'Statement of Marks'!K132,IF($L$3=$AJ$9,'Statement of Marks'!Y132,IF($L$3=$AJ$10,'Statement of Marks'!AN132,IF($L$3=$AJ$11,'Statement of Marks'!BB132,IF($L$3=$AJ$12,'Statement of Marks'!BP132,IF($L$3=$AJ$13,'Statement of Marks'!CE132,IF($L$3=$AJ$14,'Statement of Marks'!CT132,IF($L$3=$AJ$15,'Statement of Marks'!DZ132,IF($L$3=$AJ$16,'Statement of Marks'!EL132,IF($L$3=$AJ$17,('Statement of Marks'!FB132+'Statement of Marks'!FC132),"")))))))))),"")</f>
        <v/>
      </c>
      <c r="K133" s="809" t="str">
        <f>IFERROR(IF($L$3=$AJ$8,'Statement of Marks'!L132,IF($L$3=$AJ$9,'Statement of Marks'!Z132,IF($L$3=$AJ$10,'Statement of Marks'!AO132,IF($L$3=$AJ$11,'Statement of Marks'!BC132,IF($L$3=$AJ$12,'Statement of Marks'!BQ132,IF($L$3=$AJ$13,'Statement of Marks'!CF132,IF($L$3=$AJ$14,'Statement of Marks'!CU132,IF($L$3=$AJ$15,'Statement of Marks'!EA132,IF($L$3=$AJ$16,'Statement of Marks'!EM132,IF($L$3=$AJ$17,('Statement of Marks'!FD132+'Statement of Marks'!FE132),"")))))))))),"")</f>
        <v/>
      </c>
      <c r="L133" s="809" t="str">
        <f>IFERROR(IF($L$3=$AJ$8,'Statement of Marks'!M132,IF($L$3=$AJ$9,'Statement of Marks'!AA132,IF($L$3=$AJ$10,'Statement of Marks'!AP132,IF($L$3=$AJ$11,'Statement of Marks'!BD132,IF($L$3=$AJ$12,'Statement of Marks'!BR132,IF($L$3=$AJ$13,'Statement of Marks'!CG132,IF($L$3=$AJ$14,'Statement of Marks'!CV132,IF($L$3=$AJ$15,'Statement of Marks'!EB132,IF($L$3=$AJ$16,'Statement of Marks'!EN132,IF($L$3=$AJ$17,('Statement of Marks'!FF132+'Statement of Marks'!FG132),"")))))))))),"")</f>
        <v/>
      </c>
      <c r="M133" s="810">
        <f t="shared" si="10"/>
        <v>0</v>
      </c>
      <c r="N133" s="809" t="str">
        <f>IFERROR(IF($L$3=$AJ$8,'Statement of Marks'!O132,IF($L$3=$AJ$9,'Statement of Marks'!AC132,IF($L$3=$AJ$10,'Statement of Marks'!AR132,IF($L$3=$AJ$11,'Statement of Marks'!BF132,IF($L$3=$AJ$12,'Statement of Marks'!BT132,IF($L$3=$AJ$13,'Statement of Marks'!CI132,IF($L$3=$AJ$14,('Statement of Marks'!CX132+'Statement of Marks'!CY132),IF($L$3=$AJ$15,'Statement of Marks'!ED132,IF($L$3=$AJ$16,('Statement of Marks'!EP132+'Statement of Marks'!EQ132),IF($L$3=$AJ$17,('Statement of Marks'!FI132+'Statement of Marks'!FJ132),IF($L$3=$AJ$18,'Statement of Marks'!FU132,IF($L$3=$AJ$19,'Statement of Marks'!GC132,"")))))))))))),"")</f>
        <v/>
      </c>
      <c r="O133" s="811">
        <f>IF($L$3=$AJ$18,'Statement of Marks'!FV132,IF($L$3=$AJ$19,'Statement of Marks'!GD132,IF(AND(M133="NA",N133="NA"),"NA",IF(AND(M133="",N133=""),"",SUM(M133,N133)))))</f>
        <v>0</v>
      </c>
      <c r="P133" s="809" t="str">
        <f>IFERROR(IF($L$3=$AJ$8,'Statement of Marks'!Q132,IF($L$3=$AJ$9,'Statement of Marks'!AE132,IF($L$3=$AJ$10,'Statement of Marks'!AT132,IF($L$3=$AJ$11,'Statement of Marks'!BH132,IF($L$3=$AJ$12,'Statement of Marks'!BV132,IF($L$3=$AJ$13,'Statement of Marks'!CK132,IF($L$3=$AJ$14,('Statement of Marks'!DB132+'Statement of Marks'!DC132),IF($L$3=$AJ$15,'Statement of Marks'!EF132,IF($L$3=$AJ$16,('Statement of Marks'!ET132+'Statement of Marks'!EU132),IF($L$3=$AJ$17,('Statement of Marks'!FM132+'Statement of Marks'!FN132),IF($L$3=$AJ$18,'Statement of Marks'!FW132,IF($L$3=$AJ$19,'Statement of Marks'!GE132,"")))))))))))),"")</f>
        <v/>
      </c>
      <c r="Q133" s="812" t="str">
        <f t="shared" si="13"/>
        <v/>
      </c>
      <c r="R133" s="813">
        <f t="shared" si="18"/>
        <v>0</v>
      </c>
      <c r="S133" s="813" t="str">
        <f t="shared" si="14"/>
        <v/>
      </c>
      <c r="T133" s="813" t="str">
        <f t="shared" si="15"/>
        <v/>
      </c>
      <c r="U133" s="814" t="str">
        <f t="shared" si="16"/>
        <v/>
      </c>
      <c r="V133" s="815" t="str">
        <f t="shared" si="17"/>
        <v/>
      </c>
      <c r="W133" s="816" t="str">
        <f t="shared" si="19"/>
        <v/>
      </c>
    </row>
    <row r="134" spans="1:23">
      <c r="A134" s="803">
        <f>IF('Statement of Marks'!A133="","",'Statement of Marks'!A133)</f>
        <v>127</v>
      </c>
      <c r="B134" s="804" t="str">
        <f>IF(OR($D$3="",$L$3=""),"",IF('Statement of Marks'!B133="","",'Statement of Marks'!B133))</f>
        <v/>
      </c>
      <c r="C134" s="805" t="str">
        <f>IF(OR($D$3="",$L$3=""),"",IF('Statement of Marks'!D133="","",'Statement of Marks'!D133))</f>
        <v/>
      </c>
      <c r="D134" s="806" t="str">
        <f>IF(OR($D$3="",$L$3=""),"",IF('Statement of Marks'!E133="","",'Statement of Marks'!E133))</f>
        <v/>
      </c>
      <c r="E134" s="807" t="str">
        <f>IF(OR($D$3="",$L$3=""),"",IF('Statement of Marks'!F133="","",'Statement of Marks'!F133))</f>
        <v/>
      </c>
      <c r="F134" s="807" t="str">
        <f>IF(OR($D$3="",$L$3=""),"",IF('Statement of Marks'!G133="","",'Statement of Marks'!G133))</f>
        <v/>
      </c>
      <c r="G134" s="807" t="str">
        <f>IF(OR($D$3="",$L$3=""),"",IF('Statement of Marks'!H133="","",'Statement of Marks'!H133))</f>
        <v/>
      </c>
      <c r="H134" s="808" t="str">
        <f>IF(OR($D$3="",$L$3=""),"",IF('Statement of Marks'!I133="","",'Statement of Marks'!I133))</f>
        <v/>
      </c>
      <c r="I134" s="808" t="str">
        <f>IF(OR($D$3="",$L$3=""),"",IF('Statement of Marks'!J133="","",'Statement of Marks'!J133))</f>
        <v/>
      </c>
      <c r="J134" s="809" t="str">
        <f>IFERROR(IF($L$3=$AJ$8,'Statement of Marks'!K133,IF($L$3=$AJ$9,'Statement of Marks'!Y133,IF($L$3=$AJ$10,'Statement of Marks'!AN133,IF($L$3=$AJ$11,'Statement of Marks'!BB133,IF($L$3=$AJ$12,'Statement of Marks'!BP133,IF($L$3=$AJ$13,'Statement of Marks'!CE133,IF($L$3=$AJ$14,'Statement of Marks'!CT133,IF($L$3=$AJ$15,'Statement of Marks'!DZ133,IF($L$3=$AJ$16,'Statement of Marks'!EL133,IF($L$3=$AJ$17,('Statement of Marks'!FB133+'Statement of Marks'!FC133),"")))))))))),"")</f>
        <v/>
      </c>
      <c r="K134" s="809" t="str">
        <f>IFERROR(IF($L$3=$AJ$8,'Statement of Marks'!L133,IF($L$3=$AJ$9,'Statement of Marks'!Z133,IF($L$3=$AJ$10,'Statement of Marks'!AO133,IF($L$3=$AJ$11,'Statement of Marks'!BC133,IF($L$3=$AJ$12,'Statement of Marks'!BQ133,IF($L$3=$AJ$13,'Statement of Marks'!CF133,IF($L$3=$AJ$14,'Statement of Marks'!CU133,IF($L$3=$AJ$15,'Statement of Marks'!EA133,IF($L$3=$AJ$16,'Statement of Marks'!EM133,IF($L$3=$AJ$17,('Statement of Marks'!FD133+'Statement of Marks'!FE133),"")))))))))),"")</f>
        <v/>
      </c>
      <c r="L134" s="809" t="str">
        <f>IFERROR(IF($L$3=$AJ$8,'Statement of Marks'!M133,IF($L$3=$AJ$9,'Statement of Marks'!AA133,IF($L$3=$AJ$10,'Statement of Marks'!AP133,IF($L$3=$AJ$11,'Statement of Marks'!BD133,IF($L$3=$AJ$12,'Statement of Marks'!BR133,IF($L$3=$AJ$13,'Statement of Marks'!CG133,IF($L$3=$AJ$14,'Statement of Marks'!CV133,IF($L$3=$AJ$15,'Statement of Marks'!EB133,IF($L$3=$AJ$16,'Statement of Marks'!EN133,IF($L$3=$AJ$17,('Statement of Marks'!FF133+'Statement of Marks'!FG133),"")))))))))),"")</f>
        <v/>
      </c>
      <c r="M134" s="810">
        <f t="shared" si="10"/>
        <v>0</v>
      </c>
      <c r="N134" s="809" t="str">
        <f>IFERROR(IF($L$3=$AJ$8,'Statement of Marks'!O133,IF($L$3=$AJ$9,'Statement of Marks'!AC133,IF($L$3=$AJ$10,'Statement of Marks'!AR133,IF($L$3=$AJ$11,'Statement of Marks'!BF133,IF($L$3=$AJ$12,'Statement of Marks'!BT133,IF($L$3=$AJ$13,'Statement of Marks'!CI133,IF($L$3=$AJ$14,('Statement of Marks'!CX133+'Statement of Marks'!CY133),IF($L$3=$AJ$15,'Statement of Marks'!ED133,IF($L$3=$AJ$16,('Statement of Marks'!EP133+'Statement of Marks'!EQ133),IF($L$3=$AJ$17,('Statement of Marks'!FI133+'Statement of Marks'!FJ133),IF($L$3=$AJ$18,'Statement of Marks'!FU133,IF($L$3=$AJ$19,'Statement of Marks'!GC133,"")))))))))))),"")</f>
        <v/>
      </c>
      <c r="O134" s="811">
        <f>IF($L$3=$AJ$18,'Statement of Marks'!FV133,IF($L$3=$AJ$19,'Statement of Marks'!GD133,IF(AND(M134="NA",N134="NA"),"NA",IF(AND(M134="",N134=""),"",SUM(M134,N134)))))</f>
        <v>0</v>
      </c>
      <c r="P134" s="809" t="str">
        <f>IFERROR(IF($L$3=$AJ$8,'Statement of Marks'!Q133,IF($L$3=$AJ$9,'Statement of Marks'!AE133,IF($L$3=$AJ$10,'Statement of Marks'!AT133,IF($L$3=$AJ$11,'Statement of Marks'!BH133,IF($L$3=$AJ$12,'Statement of Marks'!BV133,IF($L$3=$AJ$13,'Statement of Marks'!CK133,IF($L$3=$AJ$14,('Statement of Marks'!DB133+'Statement of Marks'!DC133),IF($L$3=$AJ$15,'Statement of Marks'!EF133,IF($L$3=$AJ$16,('Statement of Marks'!ET133+'Statement of Marks'!EU133),IF($L$3=$AJ$17,('Statement of Marks'!FM133+'Statement of Marks'!FN133),IF($L$3=$AJ$18,'Statement of Marks'!FW133,IF($L$3=$AJ$19,'Statement of Marks'!GE133,"")))))))))))),"")</f>
        <v/>
      </c>
      <c r="Q134" s="812" t="str">
        <f t="shared" si="13"/>
        <v/>
      </c>
      <c r="R134" s="813">
        <f t="shared" si="18"/>
        <v>0</v>
      </c>
      <c r="S134" s="813" t="str">
        <f t="shared" si="14"/>
        <v/>
      </c>
      <c r="T134" s="813" t="str">
        <f t="shared" si="15"/>
        <v/>
      </c>
      <c r="U134" s="814" t="str">
        <f t="shared" si="16"/>
        <v/>
      </c>
      <c r="V134" s="815" t="str">
        <f t="shared" si="17"/>
        <v/>
      </c>
      <c r="W134" s="816" t="str">
        <f t="shared" si="19"/>
        <v/>
      </c>
    </row>
    <row r="135" spans="1:23">
      <c r="A135" s="803">
        <f>IF('Statement of Marks'!A134="","",'Statement of Marks'!A134)</f>
        <v>128</v>
      </c>
      <c r="B135" s="804" t="str">
        <f>IF(OR($D$3="",$L$3=""),"",IF('Statement of Marks'!B134="","",'Statement of Marks'!B134))</f>
        <v/>
      </c>
      <c r="C135" s="805" t="str">
        <f>IF(OR($D$3="",$L$3=""),"",IF('Statement of Marks'!D134="","",'Statement of Marks'!D134))</f>
        <v/>
      </c>
      <c r="D135" s="806" t="str">
        <f>IF(OR($D$3="",$L$3=""),"",IF('Statement of Marks'!E134="","",'Statement of Marks'!E134))</f>
        <v/>
      </c>
      <c r="E135" s="807" t="str">
        <f>IF(OR($D$3="",$L$3=""),"",IF('Statement of Marks'!F134="","",'Statement of Marks'!F134))</f>
        <v/>
      </c>
      <c r="F135" s="807" t="str">
        <f>IF(OR($D$3="",$L$3=""),"",IF('Statement of Marks'!G134="","",'Statement of Marks'!G134))</f>
        <v/>
      </c>
      <c r="G135" s="807" t="str">
        <f>IF(OR($D$3="",$L$3=""),"",IF('Statement of Marks'!H134="","",'Statement of Marks'!H134))</f>
        <v/>
      </c>
      <c r="H135" s="808" t="str">
        <f>IF(OR($D$3="",$L$3=""),"",IF('Statement of Marks'!I134="","",'Statement of Marks'!I134))</f>
        <v/>
      </c>
      <c r="I135" s="808" t="str">
        <f>IF(OR($D$3="",$L$3=""),"",IF('Statement of Marks'!J134="","",'Statement of Marks'!J134))</f>
        <v/>
      </c>
      <c r="J135" s="809" t="str">
        <f>IFERROR(IF($L$3=$AJ$8,'Statement of Marks'!K134,IF($L$3=$AJ$9,'Statement of Marks'!Y134,IF($L$3=$AJ$10,'Statement of Marks'!AN134,IF($L$3=$AJ$11,'Statement of Marks'!BB134,IF($L$3=$AJ$12,'Statement of Marks'!BP134,IF($L$3=$AJ$13,'Statement of Marks'!CE134,IF($L$3=$AJ$14,'Statement of Marks'!CT134,IF($L$3=$AJ$15,'Statement of Marks'!DZ134,IF($L$3=$AJ$16,'Statement of Marks'!EL134,IF($L$3=$AJ$17,('Statement of Marks'!FB134+'Statement of Marks'!FC134),"")))))))))),"")</f>
        <v/>
      </c>
      <c r="K135" s="809" t="str">
        <f>IFERROR(IF($L$3=$AJ$8,'Statement of Marks'!L134,IF($L$3=$AJ$9,'Statement of Marks'!Z134,IF($L$3=$AJ$10,'Statement of Marks'!AO134,IF($L$3=$AJ$11,'Statement of Marks'!BC134,IF($L$3=$AJ$12,'Statement of Marks'!BQ134,IF($L$3=$AJ$13,'Statement of Marks'!CF134,IF($L$3=$AJ$14,'Statement of Marks'!CU134,IF($L$3=$AJ$15,'Statement of Marks'!EA134,IF($L$3=$AJ$16,'Statement of Marks'!EM134,IF($L$3=$AJ$17,('Statement of Marks'!FD134+'Statement of Marks'!FE134),"")))))))))),"")</f>
        <v/>
      </c>
      <c r="L135" s="809" t="str">
        <f>IFERROR(IF($L$3=$AJ$8,'Statement of Marks'!M134,IF($L$3=$AJ$9,'Statement of Marks'!AA134,IF($L$3=$AJ$10,'Statement of Marks'!AP134,IF($L$3=$AJ$11,'Statement of Marks'!BD134,IF($L$3=$AJ$12,'Statement of Marks'!BR134,IF($L$3=$AJ$13,'Statement of Marks'!CG134,IF($L$3=$AJ$14,'Statement of Marks'!CV134,IF($L$3=$AJ$15,'Statement of Marks'!EB134,IF($L$3=$AJ$16,'Statement of Marks'!EN134,IF($L$3=$AJ$17,('Statement of Marks'!FF134+'Statement of Marks'!FG134),"")))))))))),"")</f>
        <v/>
      </c>
      <c r="M135" s="810">
        <f t="shared" ref="M135:M198" si="20">IF(AND(J135="",K135="",L135="",$L$3=""),"",IF(OR($L$3=$AJ$18,$L$3=$AJ$19),"",SUM(J135:L135)))</f>
        <v>0</v>
      </c>
      <c r="N135" s="809" t="str">
        <f>IFERROR(IF($L$3=$AJ$8,'Statement of Marks'!O134,IF($L$3=$AJ$9,'Statement of Marks'!AC134,IF($L$3=$AJ$10,'Statement of Marks'!AR134,IF($L$3=$AJ$11,'Statement of Marks'!BF134,IF($L$3=$AJ$12,'Statement of Marks'!BT134,IF($L$3=$AJ$13,'Statement of Marks'!CI134,IF($L$3=$AJ$14,('Statement of Marks'!CX134+'Statement of Marks'!CY134),IF($L$3=$AJ$15,'Statement of Marks'!ED134,IF($L$3=$AJ$16,('Statement of Marks'!EP134+'Statement of Marks'!EQ134),IF($L$3=$AJ$17,('Statement of Marks'!FI134+'Statement of Marks'!FJ134),IF($L$3=$AJ$18,'Statement of Marks'!FU134,IF($L$3=$AJ$19,'Statement of Marks'!GC134,"")))))))))))),"")</f>
        <v/>
      </c>
      <c r="O135" s="811">
        <f>IF($L$3=$AJ$18,'Statement of Marks'!FV134,IF($L$3=$AJ$19,'Statement of Marks'!GD134,IF(AND(M135="NA",N135="NA"),"NA",IF(AND(M135="",N135=""),"",SUM(M135,N135)))))</f>
        <v>0</v>
      </c>
      <c r="P135" s="809" t="str">
        <f>IFERROR(IF($L$3=$AJ$8,'Statement of Marks'!Q134,IF($L$3=$AJ$9,'Statement of Marks'!AE134,IF($L$3=$AJ$10,'Statement of Marks'!AT134,IF($L$3=$AJ$11,'Statement of Marks'!BH134,IF($L$3=$AJ$12,'Statement of Marks'!BV134,IF($L$3=$AJ$13,'Statement of Marks'!CK134,IF($L$3=$AJ$14,('Statement of Marks'!DB134+'Statement of Marks'!DC134),IF($L$3=$AJ$15,'Statement of Marks'!EF134,IF($L$3=$AJ$16,('Statement of Marks'!ET134+'Statement of Marks'!EU134),IF($L$3=$AJ$17,('Statement of Marks'!FM134+'Statement of Marks'!FN134),IF($L$3=$AJ$18,'Statement of Marks'!FW134,IF($L$3=$AJ$19,'Statement of Marks'!GE134,"")))))))))))),"")</f>
        <v/>
      </c>
      <c r="Q135" s="812" t="str">
        <f t="shared" si="13"/>
        <v/>
      </c>
      <c r="R135" s="813">
        <f t="shared" si="18"/>
        <v>0</v>
      </c>
      <c r="S135" s="813" t="str">
        <f t="shared" si="14"/>
        <v/>
      </c>
      <c r="T135" s="813" t="str">
        <f t="shared" si="15"/>
        <v/>
      </c>
      <c r="U135" s="814" t="str">
        <f t="shared" si="16"/>
        <v/>
      </c>
      <c r="V135" s="815" t="str">
        <f t="shared" si="17"/>
        <v/>
      </c>
      <c r="W135" s="816" t="str">
        <f t="shared" si="19"/>
        <v/>
      </c>
    </row>
    <row r="136" spans="1:23">
      <c r="A136" s="803">
        <f>IF('Statement of Marks'!A135="","",'Statement of Marks'!A135)</f>
        <v>129</v>
      </c>
      <c r="B136" s="804" t="str">
        <f>IF(OR($D$3="",$L$3=""),"",IF('Statement of Marks'!B135="","",'Statement of Marks'!B135))</f>
        <v/>
      </c>
      <c r="C136" s="805" t="str">
        <f>IF(OR($D$3="",$L$3=""),"",IF('Statement of Marks'!D135="","",'Statement of Marks'!D135))</f>
        <v/>
      </c>
      <c r="D136" s="806" t="str">
        <f>IF(OR($D$3="",$L$3=""),"",IF('Statement of Marks'!E135="","",'Statement of Marks'!E135))</f>
        <v/>
      </c>
      <c r="E136" s="807" t="str">
        <f>IF(OR($D$3="",$L$3=""),"",IF('Statement of Marks'!F135="","",'Statement of Marks'!F135))</f>
        <v/>
      </c>
      <c r="F136" s="807" t="str">
        <f>IF(OR($D$3="",$L$3=""),"",IF('Statement of Marks'!G135="","",'Statement of Marks'!G135))</f>
        <v/>
      </c>
      <c r="G136" s="807" t="str">
        <f>IF(OR($D$3="",$L$3=""),"",IF('Statement of Marks'!H135="","",'Statement of Marks'!H135))</f>
        <v/>
      </c>
      <c r="H136" s="808" t="str">
        <f>IF(OR($D$3="",$L$3=""),"",IF('Statement of Marks'!I135="","",'Statement of Marks'!I135))</f>
        <v/>
      </c>
      <c r="I136" s="808" t="str">
        <f>IF(OR($D$3="",$L$3=""),"",IF('Statement of Marks'!J135="","",'Statement of Marks'!J135))</f>
        <v/>
      </c>
      <c r="J136" s="809" t="str">
        <f>IFERROR(IF($L$3=$AJ$8,'Statement of Marks'!K135,IF($L$3=$AJ$9,'Statement of Marks'!Y135,IF($L$3=$AJ$10,'Statement of Marks'!AN135,IF($L$3=$AJ$11,'Statement of Marks'!BB135,IF($L$3=$AJ$12,'Statement of Marks'!BP135,IF($L$3=$AJ$13,'Statement of Marks'!CE135,IF($L$3=$AJ$14,'Statement of Marks'!CT135,IF($L$3=$AJ$15,'Statement of Marks'!DZ135,IF($L$3=$AJ$16,'Statement of Marks'!EL135,IF($L$3=$AJ$17,('Statement of Marks'!FB135+'Statement of Marks'!FC135),"")))))))))),"")</f>
        <v/>
      </c>
      <c r="K136" s="809" t="str">
        <f>IFERROR(IF($L$3=$AJ$8,'Statement of Marks'!L135,IF($L$3=$AJ$9,'Statement of Marks'!Z135,IF($L$3=$AJ$10,'Statement of Marks'!AO135,IF($L$3=$AJ$11,'Statement of Marks'!BC135,IF($L$3=$AJ$12,'Statement of Marks'!BQ135,IF($L$3=$AJ$13,'Statement of Marks'!CF135,IF($L$3=$AJ$14,'Statement of Marks'!CU135,IF($L$3=$AJ$15,'Statement of Marks'!EA135,IF($L$3=$AJ$16,'Statement of Marks'!EM135,IF($L$3=$AJ$17,('Statement of Marks'!FD135+'Statement of Marks'!FE135),"")))))))))),"")</f>
        <v/>
      </c>
      <c r="L136" s="809" t="str">
        <f>IFERROR(IF($L$3=$AJ$8,'Statement of Marks'!M135,IF($L$3=$AJ$9,'Statement of Marks'!AA135,IF($L$3=$AJ$10,'Statement of Marks'!AP135,IF($L$3=$AJ$11,'Statement of Marks'!BD135,IF($L$3=$AJ$12,'Statement of Marks'!BR135,IF($L$3=$AJ$13,'Statement of Marks'!CG135,IF($L$3=$AJ$14,'Statement of Marks'!CV135,IF($L$3=$AJ$15,'Statement of Marks'!EB135,IF($L$3=$AJ$16,'Statement of Marks'!EN135,IF($L$3=$AJ$17,('Statement of Marks'!FF135+'Statement of Marks'!FG135),"")))))))))),"")</f>
        <v/>
      </c>
      <c r="M136" s="810">
        <f t="shared" si="20"/>
        <v>0</v>
      </c>
      <c r="N136" s="809" t="str">
        <f>IFERROR(IF($L$3=$AJ$8,'Statement of Marks'!O135,IF($L$3=$AJ$9,'Statement of Marks'!AC135,IF($L$3=$AJ$10,'Statement of Marks'!AR135,IF($L$3=$AJ$11,'Statement of Marks'!BF135,IF($L$3=$AJ$12,'Statement of Marks'!BT135,IF($L$3=$AJ$13,'Statement of Marks'!CI135,IF($L$3=$AJ$14,('Statement of Marks'!CX135+'Statement of Marks'!CY135),IF($L$3=$AJ$15,'Statement of Marks'!ED135,IF($L$3=$AJ$16,('Statement of Marks'!EP135+'Statement of Marks'!EQ135),IF($L$3=$AJ$17,('Statement of Marks'!FI135+'Statement of Marks'!FJ135),IF($L$3=$AJ$18,'Statement of Marks'!FU135,IF($L$3=$AJ$19,'Statement of Marks'!GC135,"")))))))))))),"")</f>
        <v/>
      </c>
      <c r="O136" s="811">
        <f>IF($L$3=$AJ$18,'Statement of Marks'!FV135,IF($L$3=$AJ$19,'Statement of Marks'!GD135,IF(AND(M136="NA",N136="NA"),"NA",IF(AND(M136="",N136=""),"",SUM(M136,N136)))))</f>
        <v>0</v>
      </c>
      <c r="P136" s="809" t="str">
        <f>IFERROR(IF($L$3=$AJ$8,'Statement of Marks'!Q135,IF($L$3=$AJ$9,'Statement of Marks'!AE135,IF($L$3=$AJ$10,'Statement of Marks'!AT135,IF($L$3=$AJ$11,'Statement of Marks'!BH135,IF($L$3=$AJ$12,'Statement of Marks'!BV135,IF($L$3=$AJ$13,'Statement of Marks'!CK135,IF($L$3=$AJ$14,('Statement of Marks'!DB135+'Statement of Marks'!DC135),IF($L$3=$AJ$15,'Statement of Marks'!EF135,IF($L$3=$AJ$16,('Statement of Marks'!ET135+'Statement of Marks'!EU135),IF($L$3=$AJ$17,('Statement of Marks'!FM135+'Statement of Marks'!FN135),IF($L$3=$AJ$18,'Statement of Marks'!FW135,IF($L$3=$AJ$19,'Statement of Marks'!GE135,"")))))))))))),"")</f>
        <v/>
      </c>
      <c r="Q136" s="812" t="str">
        <f t="shared" si="13"/>
        <v/>
      </c>
      <c r="R136" s="813">
        <f t="shared" ref="R136:R167" si="21">IFERROR(IF($L$3="","",IF(OR($L$3=$AJ$18,$L$3=$AJ$19),COUNTIF(J136:L136,"NA")*$J$7+(COUNTIF(J136:L136,"ML")*$J$7)+(COUNTIF(O136,"ML")*$O$7)+(COUNTIF(N136,"ML")*$N$8)+(COUNTIF(P136,"ML")*$P$7),COUNTIF(N136,"NA")*$N$7+(COUNTIF(J136:L136,"ML")*$J$7)+(COUNTIF(N136,"ML")*$N$7)+(COUNTIF(P136,"ML")*$P$7))),0)</f>
        <v>0</v>
      </c>
      <c r="S136" s="813" t="str">
        <f t="shared" si="14"/>
        <v/>
      </c>
      <c r="T136" s="813" t="str">
        <f t="shared" si="15"/>
        <v/>
      </c>
      <c r="U136" s="814" t="str">
        <f t="shared" si="16"/>
        <v/>
      </c>
      <c r="V136" s="815" t="str">
        <f t="shared" si="17"/>
        <v/>
      </c>
      <c r="W136" s="816" t="str">
        <f t="shared" ref="W136:W167" si="22">IF(Q136="","",IF(OR(U136="",U136=0,U136="RE",U136="AB",B136="NSO"),"",IF(Q136&gt;85%*S136,"A",IF(Q136&gt;70%*S136,"B",IF(Q136&gt;=50%*S136,"C",IF(Q136&gt;=30%*S136,"D","E"))))))</f>
        <v/>
      </c>
    </row>
    <row r="137" spans="1:23">
      <c r="A137" s="803">
        <f>IF('Statement of Marks'!A136="","",'Statement of Marks'!A136)</f>
        <v>130</v>
      </c>
      <c r="B137" s="804" t="str">
        <f>IF(OR($D$3="",$L$3=""),"",IF('Statement of Marks'!B136="","",'Statement of Marks'!B136))</f>
        <v/>
      </c>
      <c r="C137" s="805" t="str">
        <f>IF(OR($D$3="",$L$3=""),"",IF('Statement of Marks'!D136="","",'Statement of Marks'!D136))</f>
        <v/>
      </c>
      <c r="D137" s="806" t="str">
        <f>IF(OR($D$3="",$L$3=""),"",IF('Statement of Marks'!E136="","",'Statement of Marks'!E136))</f>
        <v/>
      </c>
      <c r="E137" s="807" t="str">
        <f>IF(OR($D$3="",$L$3=""),"",IF('Statement of Marks'!F136="","",'Statement of Marks'!F136))</f>
        <v/>
      </c>
      <c r="F137" s="807" t="str">
        <f>IF(OR($D$3="",$L$3=""),"",IF('Statement of Marks'!G136="","",'Statement of Marks'!G136))</f>
        <v/>
      </c>
      <c r="G137" s="807" t="str">
        <f>IF(OR($D$3="",$L$3=""),"",IF('Statement of Marks'!H136="","",'Statement of Marks'!H136))</f>
        <v/>
      </c>
      <c r="H137" s="808" t="str">
        <f>IF(OR($D$3="",$L$3=""),"",IF('Statement of Marks'!I136="","",'Statement of Marks'!I136))</f>
        <v/>
      </c>
      <c r="I137" s="808" t="str">
        <f>IF(OR($D$3="",$L$3=""),"",IF('Statement of Marks'!J136="","",'Statement of Marks'!J136))</f>
        <v/>
      </c>
      <c r="J137" s="809" t="str">
        <f>IFERROR(IF($L$3=$AJ$8,'Statement of Marks'!K136,IF($L$3=$AJ$9,'Statement of Marks'!Y136,IF($L$3=$AJ$10,'Statement of Marks'!AN136,IF($L$3=$AJ$11,'Statement of Marks'!BB136,IF($L$3=$AJ$12,'Statement of Marks'!BP136,IF($L$3=$AJ$13,'Statement of Marks'!CE136,IF($L$3=$AJ$14,'Statement of Marks'!CT136,IF($L$3=$AJ$15,'Statement of Marks'!DZ136,IF($L$3=$AJ$16,'Statement of Marks'!EL136,IF($L$3=$AJ$17,('Statement of Marks'!FB136+'Statement of Marks'!FC136),"")))))))))),"")</f>
        <v/>
      </c>
      <c r="K137" s="809" t="str">
        <f>IFERROR(IF($L$3=$AJ$8,'Statement of Marks'!L136,IF($L$3=$AJ$9,'Statement of Marks'!Z136,IF($L$3=$AJ$10,'Statement of Marks'!AO136,IF($L$3=$AJ$11,'Statement of Marks'!BC136,IF($L$3=$AJ$12,'Statement of Marks'!BQ136,IF($L$3=$AJ$13,'Statement of Marks'!CF136,IF($L$3=$AJ$14,'Statement of Marks'!CU136,IF($L$3=$AJ$15,'Statement of Marks'!EA136,IF($L$3=$AJ$16,'Statement of Marks'!EM136,IF($L$3=$AJ$17,('Statement of Marks'!FD136+'Statement of Marks'!FE136),"")))))))))),"")</f>
        <v/>
      </c>
      <c r="L137" s="809" t="str">
        <f>IFERROR(IF($L$3=$AJ$8,'Statement of Marks'!M136,IF($L$3=$AJ$9,'Statement of Marks'!AA136,IF($L$3=$AJ$10,'Statement of Marks'!AP136,IF($L$3=$AJ$11,'Statement of Marks'!BD136,IF($L$3=$AJ$12,'Statement of Marks'!BR136,IF($L$3=$AJ$13,'Statement of Marks'!CG136,IF($L$3=$AJ$14,'Statement of Marks'!CV136,IF($L$3=$AJ$15,'Statement of Marks'!EB136,IF($L$3=$AJ$16,'Statement of Marks'!EN136,IF($L$3=$AJ$17,('Statement of Marks'!FF136+'Statement of Marks'!FG136),"")))))))))),"")</f>
        <v/>
      </c>
      <c r="M137" s="810">
        <f t="shared" si="20"/>
        <v>0</v>
      </c>
      <c r="N137" s="809" t="str">
        <f>IFERROR(IF($L$3=$AJ$8,'Statement of Marks'!O136,IF($L$3=$AJ$9,'Statement of Marks'!AC136,IF($L$3=$AJ$10,'Statement of Marks'!AR136,IF($L$3=$AJ$11,'Statement of Marks'!BF136,IF($L$3=$AJ$12,'Statement of Marks'!BT136,IF($L$3=$AJ$13,'Statement of Marks'!CI136,IF($L$3=$AJ$14,('Statement of Marks'!CX136+'Statement of Marks'!CY136),IF($L$3=$AJ$15,'Statement of Marks'!ED136,IF($L$3=$AJ$16,('Statement of Marks'!EP136+'Statement of Marks'!EQ136),IF($L$3=$AJ$17,('Statement of Marks'!FI136+'Statement of Marks'!FJ136),IF($L$3=$AJ$18,'Statement of Marks'!FU136,IF($L$3=$AJ$19,'Statement of Marks'!GC136,"")))))))))))),"")</f>
        <v/>
      </c>
      <c r="O137" s="811">
        <f>IF($L$3=$AJ$18,'Statement of Marks'!FV136,IF($L$3=$AJ$19,'Statement of Marks'!GD136,IF(AND(M137="NA",N137="NA"),"NA",IF(AND(M137="",N137=""),"",SUM(M137,N137)))))</f>
        <v>0</v>
      </c>
      <c r="P137" s="809" t="str">
        <f>IFERROR(IF($L$3=$AJ$8,'Statement of Marks'!Q136,IF($L$3=$AJ$9,'Statement of Marks'!AE136,IF($L$3=$AJ$10,'Statement of Marks'!AT136,IF($L$3=$AJ$11,'Statement of Marks'!BH136,IF($L$3=$AJ$12,'Statement of Marks'!BV136,IF($L$3=$AJ$13,'Statement of Marks'!CK136,IF($L$3=$AJ$14,('Statement of Marks'!DB136+'Statement of Marks'!DC136),IF($L$3=$AJ$15,'Statement of Marks'!EF136,IF($L$3=$AJ$16,('Statement of Marks'!ET136+'Statement of Marks'!EU136),IF($L$3=$AJ$17,('Statement of Marks'!FM136+'Statement of Marks'!FN136),IF($L$3=$AJ$18,'Statement of Marks'!FW136,IF($L$3=$AJ$19,'Statement of Marks'!GE136,"")))))))))))),"")</f>
        <v/>
      </c>
      <c r="Q137" s="812" t="str">
        <f t="shared" ref="Q137:Q200" si="23">IF(O137="","",IF(B137="","",IF(OR($L$3=$AJ$18,$L$3=$AJ$19),SUM(N137,O137,P137),SUM(O137,P137))))</f>
        <v/>
      </c>
      <c r="R137" s="813">
        <f t="shared" si="21"/>
        <v>0</v>
      </c>
      <c r="S137" s="813" t="str">
        <f t="shared" ref="S137:S200" si="24">IF(OR(B137="NSO",B137=0,B137=""),"",IF(OR(B137="NSO",B137=0,B137="",Q137=""),"",IF(OR($L$3=$AJ$8,$L$3=$AJ$9,$L$3=$AJ$10,$L$3=$AJ$11,$L$3=$AJ$12,$L$3=$AJ$13,$L$3=$AJ$14,$L$3=$AJ$15,$L$3=$AJ$16,$L$3=$AJ$17),IF(AND(J137="NA",L137="NA",K137="NA"),$M$7-R137,IF(AND(N137="ML"),$N$7-R137,IF(AND(P137="ML"),$P$7-R137,$Q$7-R137))),IF(AND(N137="NA"),$N$7-R137,IF(AND(O137="ML"),$O$7-R137,IF(AND(P137="ML"),$P$7-R137,$Q$7-R137))))))</f>
        <v/>
      </c>
      <c r="T137" s="813" t="str">
        <f t="shared" ref="T137:T200" si="25">IF(AND(OR(J137="ab",J137="ml"),OR(K137="ab",K137="ml"),OR(N137="ab",N137="ml"),OR(M137="ab",M137="ml"),OR(O137="ab",O137="ml")),"AB",IF(AND(OR(K137="ab",K137="ml"),OR(L137="ab",L137="ml"),OR(M137="ab",M137="ml"),OR(N137="ab",N137="ml")),"AB",IF(AND(OR(L137="ab",L137="ml"),OR(J137="ab",J137="ml"),OR(N137="ab",N137="ml"),OR(M137="ab",N137="ml")),"AB",IF(AND(OR(N137="ab",N137="ml"),OR(L137="ab",L137="ml"),OR(P137="ab",P137="ml"),OR(O137="ab",O137="ml"),OR(P137="ab",P137="ml")),"AB",IF(AND(OR(N137="ab",N137="ml"),OR(K137="ab",K137="ml"),OR(P137="ab",P137="ml"),OR(O137="ab",O137="ml"),OR(P137="ab",P137="ml")),"AB","")))))</f>
        <v/>
      </c>
      <c r="U137" s="814" t="str">
        <f t="shared" ref="U137:U200" si="26">IF(OR(B137="",$L$3=""),"",IF(Q137=0,"",IF(Q137="","",IF(B137="NSO","NSO",IF(OR(T137="AB",P137="ab"),"AB",IF(P137="ML","RE",IF(Q137="ML","RE",IF(AND(Q137&gt;=36%*S137,P137&gt;=$P$7*20%),"P",IF(AND(Q137&gt;=34%*S137,P137&gt;=$P$7*20%),"G",IF(AND(Q137&gt;=31%*S137,P137&gt;=$P$7*20%),"G",IF(AND(Q137&gt;=25%*S137,P137&gt;=$P$7*20%),"S","F")))))))))))</f>
        <v/>
      </c>
      <c r="V137" s="815" t="str">
        <f t="shared" ref="V137:V200" si="27">IF(OR(U137="",U137=0,U137="S",U137="RE",U137="F",U137="AB",B137="NSO"),"",IF(U137="G","G",IF(Q137&gt;=75%*S137,"I",IF(Q137&gt;=60%*S137,"I",IF(Q137&gt;=48%*S137,"II",IF(Q137&gt;=36%*S137,"III",""))))))</f>
        <v/>
      </c>
      <c r="W137" s="816" t="str">
        <f t="shared" si="22"/>
        <v/>
      </c>
    </row>
    <row r="138" spans="1:23">
      <c r="A138" s="803">
        <f>IF('Statement of Marks'!A137="","",'Statement of Marks'!A137)</f>
        <v>131</v>
      </c>
      <c r="B138" s="804" t="str">
        <f>IF(OR($D$3="",$L$3=""),"",IF('Statement of Marks'!B137="","",'Statement of Marks'!B137))</f>
        <v/>
      </c>
      <c r="C138" s="805" t="str">
        <f>IF(OR($D$3="",$L$3=""),"",IF('Statement of Marks'!D137="","",'Statement of Marks'!D137))</f>
        <v/>
      </c>
      <c r="D138" s="806" t="str">
        <f>IF(OR($D$3="",$L$3=""),"",IF('Statement of Marks'!E137="","",'Statement of Marks'!E137))</f>
        <v/>
      </c>
      <c r="E138" s="807" t="str">
        <f>IF(OR($D$3="",$L$3=""),"",IF('Statement of Marks'!F137="","",'Statement of Marks'!F137))</f>
        <v/>
      </c>
      <c r="F138" s="807" t="str">
        <f>IF(OR($D$3="",$L$3=""),"",IF('Statement of Marks'!G137="","",'Statement of Marks'!G137))</f>
        <v/>
      </c>
      <c r="G138" s="807" t="str">
        <f>IF(OR($D$3="",$L$3=""),"",IF('Statement of Marks'!H137="","",'Statement of Marks'!H137))</f>
        <v/>
      </c>
      <c r="H138" s="808" t="str">
        <f>IF(OR($D$3="",$L$3=""),"",IF('Statement of Marks'!I137="","",'Statement of Marks'!I137))</f>
        <v/>
      </c>
      <c r="I138" s="808" t="str">
        <f>IF(OR($D$3="",$L$3=""),"",IF('Statement of Marks'!J137="","",'Statement of Marks'!J137))</f>
        <v/>
      </c>
      <c r="J138" s="809" t="str">
        <f>IFERROR(IF($L$3=$AJ$8,'Statement of Marks'!K137,IF($L$3=$AJ$9,'Statement of Marks'!Y137,IF($L$3=$AJ$10,'Statement of Marks'!AN137,IF($L$3=$AJ$11,'Statement of Marks'!BB137,IF($L$3=$AJ$12,'Statement of Marks'!BP137,IF($L$3=$AJ$13,'Statement of Marks'!CE137,IF($L$3=$AJ$14,'Statement of Marks'!CT137,IF($L$3=$AJ$15,'Statement of Marks'!DZ137,IF($L$3=$AJ$16,'Statement of Marks'!EL137,IF($L$3=$AJ$17,('Statement of Marks'!FB137+'Statement of Marks'!FC137),"")))))))))),"")</f>
        <v/>
      </c>
      <c r="K138" s="809" t="str">
        <f>IFERROR(IF($L$3=$AJ$8,'Statement of Marks'!L137,IF($L$3=$AJ$9,'Statement of Marks'!Z137,IF($L$3=$AJ$10,'Statement of Marks'!AO137,IF($L$3=$AJ$11,'Statement of Marks'!BC137,IF($L$3=$AJ$12,'Statement of Marks'!BQ137,IF($L$3=$AJ$13,'Statement of Marks'!CF137,IF($L$3=$AJ$14,'Statement of Marks'!CU137,IF($L$3=$AJ$15,'Statement of Marks'!EA137,IF($L$3=$AJ$16,'Statement of Marks'!EM137,IF($L$3=$AJ$17,('Statement of Marks'!FD137+'Statement of Marks'!FE137),"")))))))))),"")</f>
        <v/>
      </c>
      <c r="L138" s="809" t="str">
        <f>IFERROR(IF($L$3=$AJ$8,'Statement of Marks'!M137,IF($L$3=$AJ$9,'Statement of Marks'!AA137,IF($L$3=$AJ$10,'Statement of Marks'!AP137,IF($L$3=$AJ$11,'Statement of Marks'!BD137,IF($L$3=$AJ$12,'Statement of Marks'!BR137,IF($L$3=$AJ$13,'Statement of Marks'!CG137,IF($L$3=$AJ$14,'Statement of Marks'!CV137,IF($L$3=$AJ$15,'Statement of Marks'!EB137,IF($L$3=$AJ$16,'Statement of Marks'!EN137,IF($L$3=$AJ$17,('Statement of Marks'!FF137+'Statement of Marks'!FG137),"")))))))))),"")</f>
        <v/>
      </c>
      <c r="M138" s="810">
        <f t="shared" si="20"/>
        <v>0</v>
      </c>
      <c r="N138" s="809" t="str">
        <f>IFERROR(IF($L$3=$AJ$8,'Statement of Marks'!O137,IF($L$3=$AJ$9,'Statement of Marks'!AC137,IF($L$3=$AJ$10,'Statement of Marks'!AR137,IF($L$3=$AJ$11,'Statement of Marks'!BF137,IF($L$3=$AJ$12,'Statement of Marks'!BT137,IF($L$3=$AJ$13,'Statement of Marks'!CI137,IF($L$3=$AJ$14,('Statement of Marks'!CX137+'Statement of Marks'!CY137),IF($L$3=$AJ$15,'Statement of Marks'!ED137,IF($L$3=$AJ$16,('Statement of Marks'!EP137+'Statement of Marks'!EQ137),IF($L$3=$AJ$17,('Statement of Marks'!FI137+'Statement of Marks'!FJ137),IF($L$3=$AJ$18,'Statement of Marks'!FU137,IF($L$3=$AJ$19,'Statement of Marks'!GC137,"")))))))))))),"")</f>
        <v/>
      </c>
      <c r="O138" s="811">
        <f>IF($L$3=$AJ$18,'Statement of Marks'!FV137,IF($L$3=$AJ$19,'Statement of Marks'!GD137,IF(AND(M138="NA",N138="NA"),"NA",IF(AND(M138="",N138=""),"",SUM(M138,N138)))))</f>
        <v>0</v>
      </c>
      <c r="P138" s="809" t="str">
        <f>IFERROR(IF($L$3=$AJ$8,'Statement of Marks'!Q137,IF($L$3=$AJ$9,'Statement of Marks'!AE137,IF($L$3=$AJ$10,'Statement of Marks'!AT137,IF($L$3=$AJ$11,'Statement of Marks'!BH137,IF($L$3=$AJ$12,'Statement of Marks'!BV137,IF($L$3=$AJ$13,'Statement of Marks'!CK137,IF($L$3=$AJ$14,('Statement of Marks'!DB137+'Statement of Marks'!DC137),IF($L$3=$AJ$15,'Statement of Marks'!EF137,IF($L$3=$AJ$16,('Statement of Marks'!ET137+'Statement of Marks'!EU137),IF($L$3=$AJ$17,('Statement of Marks'!FM137+'Statement of Marks'!FN137),IF($L$3=$AJ$18,'Statement of Marks'!FW137,IF($L$3=$AJ$19,'Statement of Marks'!GE137,"")))))))))))),"")</f>
        <v/>
      </c>
      <c r="Q138" s="812" t="str">
        <f t="shared" si="23"/>
        <v/>
      </c>
      <c r="R138" s="813">
        <f t="shared" si="21"/>
        <v>0</v>
      </c>
      <c r="S138" s="813" t="str">
        <f t="shared" si="24"/>
        <v/>
      </c>
      <c r="T138" s="813" t="str">
        <f t="shared" si="25"/>
        <v/>
      </c>
      <c r="U138" s="814" t="str">
        <f t="shared" si="26"/>
        <v/>
      </c>
      <c r="V138" s="815" t="str">
        <f t="shared" si="27"/>
        <v/>
      </c>
      <c r="W138" s="816" t="str">
        <f t="shared" si="22"/>
        <v/>
      </c>
    </row>
    <row r="139" spans="1:23">
      <c r="A139" s="803">
        <f>IF('Statement of Marks'!A138="","",'Statement of Marks'!A138)</f>
        <v>132</v>
      </c>
      <c r="B139" s="804" t="str">
        <f>IF(OR($D$3="",$L$3=""),"",IF('Statement of Marks'!B138="","",'Statement of Marks'!B138))</f>
        <v/>
      </c>
      <c r="C139" s="805" t="str">
        <f>IF(OR($D$3="",$L$3=""),"",IF('Statement of Marks'!D138="","",'Statement of Marks'!D138))</f>
        <v/>
      </c>
      <c r="D139" s="806" t="str">
        <f>IF(OR($D$3="",$L$3=""),"",IF('Statement of Marks'!E138="","",'Statement of Marks'!E138))</f>
        <v/>
      </c>
      <c r="E139" s="807" t="str">
        <f>IF(OR($D$3="",$L$3=""),"",IF('Statement of Marks'!F138="","",'Statement of Marks'!F138))</f>
        <v/>
      </c>
      <c r="F139" s="807" t="str">
        <f>IF(OR($D$3="",$L$3=""),"",IF('Statement of Marks'!G138="","",'Statement of Marks'!G138))</f>
        <v/>
      </c>
      <c r="G139" s="807" t="str">
        <f>IF(OR($D$3="",$L$3=""),"",IF('Statement of Marks'!H138="","",'Statement of Marks'!H138))</f>
        <v/>
      </c>
      <c r="H139" s="808" t="str">
        <f>IF(OR($D$3="",$L$3=""),"",IF('Statement of Marks'!I138="","",'Statement of Marks'!I138))</f>
        <v/>
      </c>
      <c r="I139" s="808" t="str">
        <f>IF(OR($D$3="",$L$3=""),"",IF('Statement of Marks'!J138="","",'Statement of Marks'!J138))</f>
        <v/>
      </c>
      <c r="J139" s="809" t="str">
        <f>IFERROR(IF($L$3=$AJ$8,'Statement of Marks'!K138,IF($L$3=$AJ$9,'Statement of Marks'!Y138,IF($L$3=$AJ$10,'Statement of Marks'!AN138,IF($L$3=$AJ$11,'Statement of Marks'!BB138,IF($L$3=$AJ$12,'Statement of Marks'!BP138,IF($L$3=$AJ$13,'Statement of Marks'!CE138,IF($L$3=$AJ$14,'Statement of Marks'!CT138,IF($L$3=$AJ$15,'Statement of Marks'!DZ138,IF($L$3=$AJ$16,'Statement of Marks'!EL138,IF($L$3=$AJ$17,('Statement of Marks'!FB138+'Statement of Marks'!FC138),"")))))))))),"")</f>
        <v/>
      </c>
      <c r="K139" s="809" t="str">
        <f>IFERROR(IF($L$3=$AJ$8,'Statement of Marks'!L138,IF($L$3=$AJ$9,'Statement of Marks'!Z138,IF($L$3=$AJ$10,'Statement of Marks'!AO138,IF($L$3=$AJ$11,'Statement of Marks'!BC138,IF($L$3=$AJ$12,'Statement of Marks'!BQ138,IF($L$3=$AJ$13,'Statement of Marks'!CF138,IF($L$3=$AJ$14,'Statement of Marks'!CU138,IF($L$3=$AJ$15,'Statement of Marks'!EA138,IF($L$3=$AJ$16,'Statement of Marks'!EM138,IF($L$3=$AJ$17,('Statement of Marks'!FD138+'Statement of Marks'!FE138),"")))))))))),"")</f>
        <v/>
      </c>
      <c r="L139" s="809" t="str">
        <f>IFERROR(IF($L$3=$AJ$8,'Statement of Marks'!M138,IF($L$3=$AJ$9,'Statement of Marks'!AA138,IF($L$3=$AJ$10,'Statement of Marks'!AP138,IF($L$3=$AJ$11,'Statement of Marks'!BD138,IF($L$3=$AJ$12,'Statement of Marks'!BR138,IF($L$3=$AJ$13,'Statement of Marks'!CG138,IF($L$3=$AJ$14,'Statement of Marks'!CV138,IF($L$3=$AJ$15,'Statement of Marks'!EB138,IF($L$3=$AJ$16,'Statement of Marks'!EN138,IF($L$3=$AJ$17,('Statement of Marks'!FF138+'Statement of Marks'!FG138),"")))))))))),"")</f>
        <v/>
      </c>
      <c r="M139" s="810">
        <f t="shared" si="20"/>
        <v>0</v>
      </c>
      <c r="N139" s="809" t="str">
        <f>IFERROR(IF($L$3=$AJ$8,'Statement of Marks'!O138,IF($L$3=$AJ$9,'Statement of Marks'!AC138,IF($L$3=$AJ$10,'Statement of Marks'!AR138,IF($L$3=$AJ$11,'Statement of Marks'!BF138,IF($L$3=$AJ$12,'Statement of Marks'!BT138,IF($L$3=$AJ$13,'Statement of Marks'!CI138,IF($L$3=$AJ$14,('Statement of Marks'!CX138+'Statement of Marks'!CY138),IF($L$3=$AJ$15,'Statement of Marks'!ED138,IF($L$3=$AJ$16,('Statement of Marks'!EP138+'Statement of Marks'!EQ138),IF($L$3=$AJ$17,('Statement of Marks'!FI138+'Statement of Marks'!FJ138),IF($L$3=$AJ$18,'Statement of Marks'!FU138,IF($L$3=$AJ$19,'Statement of Marks'!GC138,"")))))))))))),"")</f>
        <v/>
      </c>
      <c r="O139" s="811">
        <f>IF($L$3=$AJ$18,'Statement of Marks'!FV138,IF($L$3=$AJ$19,'Statement of Marks'!GD138,IF(AND(M139="NA",N139="NA"),"NA",IF(AND(M139="",N139=""),"",SUM(M139,N139)))))</f>
        <v>0</v>
      </c>
      <c r="P139" s="809" t="str">
        <f>IFERROR(IF($L$3=$AJ$8,'Statement of Marks'!Q138,IF($L$3=$AJ$9,'Statement of Marks'!AE138,IF($L$3=$AJ$10,'Statement of Marks'!AT138,IF($L$3=$AJ$11,'Statement of Marks'!BH138,IF($L$3=$AJ$12,'Statement of Marks'!BV138,IF($L$3=$AJ$13,'Statement of Marks'!CK138,IF($L$3=$AJ$14,('Statement of Marks'!DB138+'Statement of Marks'!DC138),IF($L$3=$AJ$15,'Statement of Marks'!EF138,IF($L$3=$AJ$16,('Statement of Marks'!ET138+'Statement of Marks'!EU138),IF($L$3=$AJ$17,('Statement of Marks'!FM138+'Statement of Marks'!FN138),IF($L$3=$AJ$18,'Statement of Marks'!FW138,IF($L$3=$AJ$19,'Statement of Marks'!GE138,"")))))))))))),"")</f>
        <v/>
      </c>
      <c r="Q139" s="812" t="str">
        <f t="shared" si="23"/>
        <v/>
      </c>
      <c r="R139" s="813">
        <f t="shared" si="21"/>
        <v>0</v>
      </c>
      <c r="S139" s="813" t="str">
        <f t="shared" si="24"/>
        <v/>
      </c>
      <c r="T139" s="813" t="str">
        <f t="shared" si="25"/>
        <v/>
      </c>
      <c r="U139" s="814" t="str">
        <f t="shared" si="26"/>
        <v/>
      </c>
      <c r="V139" s="815" t="str">
        <f t="shared" si="27"/>
        <v/>
      </c>
      <c r="W139" s="816" t="str">
        <f t="shared" si="22"/>
        <v/>
      </c>
    </row>
    <row r="140" spans="1:23">
      <c r="A140" s="803">
        <f>IF('Statement of Marks'!A139="","",'Statement of Marks'!A139)</f>
        <v>133</v>
      </c>
      <c r="B140" s="804" t="str">
        <f>IF(OR($D$3="",$L$3=""),"",IF('Statement of Marks'!B139="","",'Statement of Marks'!B139))</f>
        <v/>
      </c>
      <c r="C140" s="805" t="str">
        <f>IF(OR($D$3="",$L$3=""),"",IF('Statement of Marks'!D139="","",'Statement of Marks'!D139))</f>
        <v/>
      </c>
      <c r="D140" s="806" t="str">
        <f>IF(OR($D$3="",$L$3=""),"",IF('Statement of Marks'!E139="","",'Statement of Marks'!E139))</f>
        <v/>
      </c>
      <c r="E140" s="807" t="str">
        <f>IF(OR($D$3="",$L$3=""),"",IF('Statement of Marks'!F139="","",'Statement of Marks'!F139))</f>
        <v/>
      </c>
      <c r="F140" s="807" t="str">
        <f>IF(OR($D$3="",$L$3=""),"",IF('Statement of Marks'!G139="","",'Statement of Marks'!G139))</f>
        <v/>
      </c>
      <c r="G140" s="807" t="str">
        <f>IF(OR($D$3="",$L$3=""),"",IF('Statement of Marks'!H139="","",'Statement of Marks'!H139))</f>
        <v/>
      </c>
      <c r="H140" s="808" t="str">
        <f>IF(OR($D$3="",$L$3=""),"",IF('Statement of Marks'!I139="","",'Statement of Marks'!I139))</f>
        <v/>
      </c>
      <c r="I140" s="808" t="str">
        <f>IF(OR($D$3="",$L$3=""),"",IF('Statement of Marks'!J139="","",'Statement of Marks'!J139))</f>
        <v/>
      </c>
      <c r="J140" s="809" t="str">
        <f>IFERROR(IF($L$3=$AJ$8,'Statement of Marks'!K139,IF($L$3=$AJ$9,'Statement of Marks'!Y139,IF($L$3=$AJ$10,'Statement of Marks'!AN139,IF($L$3=$AJ$11,'Statement of Marks'!BB139,IF($L$3=$AJ$12,'Statement of Marks'!BP139,IF($L$3=$AJ$13,'Statement of Marks'!CE139,IF($L$3=$AJ$14,'Statement of Marks'!CT139,IF($L$3=$AJ$15,'Statement of Marks'!DZ139,IF($L$3=$AJ$16,'Statement of Marks'!EL139,IF($L$3=$AJ$17,('Statement of Marks'!FB139+'Statement of Marks'!FC139),"")))))))))),"")</f>
        <v/>
      </c>
      <c r="K140" s="809" t="str">
        <f>IFERROR(IF($L$3=$AJ$8,'Statement of Marks'!L139,IF($L$3=$AJ$9,'Statement of Marks'!Z139,IF($L$3=$AJ$10,'Statement of Marks'!AO139,IF($L$3=$AJ$11,'Statement of Marks'!BC139,IF($L$3=$AJ$12,'Statement of Marks'!BQ139,IF($L$3=$AJ$13,'Statement of Marks'!CF139,IF($L$3=$AJ$14,'Statement of Marks'!CU139,IF($L$3=$AJ$15,'Statement of Marks'!EA139,IF($L$3=$AJ$16,'Statement of Marks'!EM139,IF($L$3=$AJ$17,('Statement of Marks'!FD139+'Statement of Marks'!FE139),"")))))))))),"")</f>
        <v/>
      </c>
      <c r="L140" s="809" t="str">
        <f>IFERROR(IF($L$3=$AJ$8,'Statement of Marks'!M139,IF($L$3=$AJ$9,'Statement of Marks'!AA139,IF($L$3=$AJ$10,'Statement of Marks'!AP139,IF($L$3=$AJ$11,'Statement of Marks'!BD139,IF($L$3=$AJ$12,'Statement of Marks'!BR139,IF($L$3=$AJ$13,'Statement of Marks'!CG139,IF($L$3=$AJ$14,'Statement of Marks'!CV139,IF($L$3=$AJ$15,'Statement of Marks'!EB139,IF($L$3=$AJ$16,'Statement of Marks'!EN139,IF($L$3=$AJ$17,('Statement of Marks'!FF139+'Statement of Marks'!FG139),"")))))))))),"")</f>
        <v/>
      </c>
      <c r="M140" s="810">
        <f t="shared" si="20"/>
        <v>0</v>
      </c>
      <c r="N140" s="809" t="str">
        <f>IFERROR(IF($L$3=$AJ$8,'Statement of Marks'!O139,IF($L$3=$AJ$9,'Statement of Marks'!AC139,IF($L$3=$AJ$10,'Statement of Marks'!AR139,IF($L$3=$AJ$11,'Statement of Marks'!BF139,IF($L$3=$AJ$12,'Statement of Marks'!BT139,IF($L$3=$AJ$13,'Statement of Marks'!CI139,IF($L$3=$AJ$14,('Statement of Marks'!CX139+'Statement of Marks'!CY139),IF($L$3=$AJ$15,'Statement of Marks'!ED139,IF($L$3=$AJ$16,('Statement of Marks'!EP139+'Statement of Marks'!EQ139),IF($L$3=$AJ$17,('Statement of Marks'!FI139+'Statement of Marks'!FJ139),IF($L$3=$AJ$18,'Statement of Marks'!FU139,IF($L$3=$AJ$19,'Statement of Marks'!GC139,"")))))))))))),"")</f>
        <v/>
      </c>
      <c r="O140" s="811">
        <f>IF($L$3=$AJ$18,'Statement of Marks'!FV139,IF($L$3=$AJ$19,'Statement of Marks'!GD139,IF(AND(M140="NA",N140="NA"),"NA",IF(AND(M140="",N140=""),"",SUM(M140,N140)))))</f>
        <v>0</v>
      </c>
      <c r="P140" s="809" t="str">
        <f>IFERROR(IF($L$3=$AJ$8,'Statement of Marks'!Q139,IF($L$3=$AJ$9,'Statement of Marks'!AE139,IF($L$3=$AJ$10,'Statement of Marks'!AT139,IF($L$3=$AJ$11,'Statement of Marks'!BH139,IF($L$3=$AJ$12,'Statement of Marks'!BV139,IF($L$3=$AJ$13,'Statement of Marks'!CK139,IF($L$3=$AJ$14,('Statement of Marks'!DB139+'Statement of Marks'!DC139),IF($L$3=$AJ$15,'Statement of Marks'!EF139,IF($L$3=$AJ$16,('Statement of Marks'!ET139+'Statement of Marks'!EU139),IF($L$3=$AJ$17,('Statement of Marks'!FM139+'Statement of Marks'!FN139),IF($L$3=$AJ$18,'Statement of Marks'!FW139,IF($L$3=$AJ$19,'Statement of Marks'!GE139,"")))))))))))),"")</f>
        <v/>
      </c>
      <c r="Q140" s="812" t="str">
        <f t="shared" si="23"/>
        <v/>
      </c>
      <c r="R140" s="813">
        <f t="shared" si="21"/>
        <v>0</v>
      </c>
      <c r="S140" s="813" t="str">
        <f t="shared" si="24"/>
        <v/>
      </c>
      <c r="T140" s="813" t="str">
        <f t="shared" si="25"/>
        <v/>
      </c>
      <c r="U140" s="814" t="str">
        <f t="shared" si="26"/>
        <v/>
      </c>
      <c r="V140" s="815" t="str">
        <f t="shared" si="27"/>
        <v/>
      </c>
      <c r="W140" s="816" t="str">
        <f t="shared" si="22"/>
        <v/>
      </c>
    </row>
    <row r="141" spans="1:23">
      <c r="A141" s="803">
        <f>IF('Statement of Marks'!A140="","",'Statement of Marks'!A140)</f>
        <v>134</v>
      </c>
      <c r="B141" s="804" t="str">
        <f>IF(OR($D$3="",$L$3=""),"",IF('Statement of Marks'!B140="","",'Statement of Marks'!B140))</f>
        <v/>
      </c>
      <c r="C141" s="805" t="str">
        <f>IF(OR($D$3="",$L$3=""),"",IF('Statement of Marks'!D140="","",'Statement of Marks'!D140))</f>
        <v/>
      </c>
      <c r="D141" s="806" t="str">
        <f>IF(OR($D$3="",$L$3=""),"",IF('Statement of Marks'!E140="","",'Statement of Marks'!E140))</f>
        <v/>
      </c>
      <c r="E141" s="807" t="str">
        <f>IF(OR($D$3="",$L$3=""),"",IF('Statement of Marks'!F140="","",'Statement of Marks'!F140))</f>
        <v/>
      </c>
      <c r="F141" s="807" t="str">
        <f>IF(OR($D$3="",$L$3=""),"",IF('Statement of Marks'!G140="","",'Statement of Marks'!G140))</f>
        <v/>
      </c>
      <c r="G141" s="807" t="str">
        <f>IF(OR($D$3="",$L$3=""),"",IF('Statement of Marks'!H140="","",'Statement of Marks'!H140))</f>
        <v/>
      </c>
      <c r="H141" s="808" t="str">
        <f>IF(OR($D$3="",$L$3=""),"",IF('Statement of Marks'!I140="","",'Statement of Marks'!I140))</f>
        <v/>
      </c>
      <c r="I141" s="808" t="str">
        <f>IF(OR($D$3="",$L$3=""),"",IF('Statement of Marks'!J140="","",'Statement of Marks'!J140))</f>
        <v/>
      </c>
      <c r="J141" s="809" t="str">
        <f>IFERROR(IF($L$3=$AJ$8,'Statement of Marks'!K140,IF($L$3=$AJ$9,'Statement of Marks'!Y140,IF($L$3=$AJ$10,'Statement of Marks'!AN140,IF($L$3=$AJ$11,'Statement of Marks'!BB140,IF($L$3=$AJ$12,'Statement of Marks'!BP140,IF($L$3=$AJ$13,'Statement of Marks'!CE140,IF($L$3=$AJ$14,'Statement of Marks'!CT140,IF($L$3=$AJ$15,'Statement of Marks'!DZ140,IF($L$3=$AJ$16,'Statement of Marks'!EL140,IF($L$3=$AJ$17,('Statement of Marks'!FB140+'Statement of Marks'!FC140),"")))))))))),"")</f>
        <v/>
      </c>
      <c r="K141" s="809" t="str">
        <f>IFERROR(IF($L$3=$AJ$8,'Statement of Marks'!L140,IF($L$3=$AJ$9,'Statement of Marks'!Z140,IF($L$3=$AJ$10,'Statement of Marks'!AO140,IF($L$3=$AJ$11,'Statement of Marks'!BC140,IF($L$3=$AJ$12,'Statement of Marks'!BQ140,IF($L$3=$AJ$13,'Statement of Marks'!CF140,IF($L$3=$AJ$14,'Statement of Marks'!CU140,IF($L$3=$AJ$15,'Statement of Marks'!EA140,IF($L$3=$AJ$16,'Statement of Marks'!EM140,IF($L$3=$AJ$17,('Statement of Marks'!FD140+'Statement of Marks'!FE140),"")))))))))),"")</f>
        <v/>
      </c>
      <c r="L141" s="809" t="str">
        <f>IFERROR(IF($L$3=$AJ$8,'Statement of Marks'!M140,IF($L$3=$AJ$9,'Statement of Marks'!AA140,IF($L$3=$AJ$10,'Statement of Marks'!AP140,IF($L$3=$AJ$11,'Statement of Marks'!BD140,IF($L$3=$AJ$12,'Statement of Marks'!BR140,IF($L$3=$AJ$13,'Statement of Marks'!CG140,IF($L$3=$AJ$14,'Statement of Marks'!CV140,IF($L$3=$AJ$15,'Statement of Marks'!EB140,IF($L$3=$AJ$16,'Statement of Marks'!EN140,IF($L$3=$AJ$17,('Statement of Marks'!FF140+'Statement of Marks'!FG140),"")))))))))),"")</f>
        <v/>
      </c>
      <c r="M141" s="810">
        <f t="shared" si="20"/>
        <v>0</v>
      </c>
      <c r="N141" s="809" t="str">
        <f>IFERROR(IF($L$3=$AJ$8,'Statement of Marks'!O140,IF($L$3=$AJ$9,'Statement of Marks'!AC140,IF($L$3=$AJ$10,'Statement of Marks'!AR140,IF($L$3=$AJ$11,'Statement of Marks'!BF140,IF($L$3=$AJ$12,'Statement of Marks'!BT140,IF($L$3=$AJ$13,'Statement of Marks'!CI140,IF($L$3=$AJ$14,('Statement of Marks'!CX140+'Statement of Marks'!CY140),IF($L$3=$AJ$15,'Statement of Marks'!ED140,IF($L$3=$AJ$16,('Statement of Marks'!EP140+'Statement of Marks'!EQ140),IF($L$3=$AJ$17,('Statement of Marks'!FI140+'Statement of Marks'!FJ140),IF($L$3=$AJ$18,'Statement of Marks'!FU140,IF($L$3=$AJ$19,'Statement of Marks'!GC140,"")))))))))))),"")</f>
        <v/>
      </c>
      <c r="O141" s="811">
        <f>IF($L$3=$AJ$18,'Statement of Marks'!FV140,IF($L$3=$AJ$19,'Statement of Marks'!GD140,IF(AND(M141="NA",N141="NA"),"NA",IF(AND(M141="",N141=""),"",SUM(M141,N141)))))</f>
        <v>0</v>
      </c>
      <c r="P141" s="809" t="str">
        <f>IFERROR(IF($L$3=$AJ$8,'Statement of Marks'!Q140,IF($L$3=$AJ$9,'Statement of Marks'!AE140,IF($L$3=$AJ$10,'Statement of Marks'!AT140,IF($L$3=$AJ$11,'Statement of Marks'!BH140,IF($L$3=$AJ$12,'Statement of Marks'!BV140,IF($L$3=$AJ$13,'Statement of Marks'!CK140,IF($L$3=$AJ$14,('Statement of Marks'!DB140+'Statement of Marks'!DC140),IF($L$3=$AJ$15,'Statement of Marks'!EF140,IF($L$3=$AJ$16,('Statement of Marks'!ET140+'Statement of Marks'!EU140),IF($L$3=$AJ$17,('Statement of Marks'!FM140+'Statement of Marks'!FN140),IF($L$3=$AJ$18,'Statement of Marks'!FW140,IF($L$3=$AJ$19,'Statement of Marks'!GE140,"")))))))))))),"")</f>
        <v/>
      </c>
      <c r="Q141" s="812" t="str">
        <f t="shared" si="23"/>
        <v/>
      </c>
      <c r="R141" s="813">
        <f t="shared" si="21"/>
        <v>0</v>
      </c>
      <c r="S141" s="813" t="str">
        <f t="shared" si="24"/>
        <v/>
      </c>
      <c r="T141" s="813" t="str">
        <f t="shared" si="25"/>
        <v/>
      </c>
      <c r="U141" s="814" t="str">
        <f t="shared" si="26"/>
        <v/>
      </c>
      <c r="V141" s="815" t="str">
        <f t="shared" si="27"/>
        <v/>
      </c>
      <c r="W141" s="816" t="str">
        <f t="shared" si="22"/>
        <v/>
      </c>
    </row>
    <row r="142" spans="1:23">
      <c r="A142" s="803">
        <f>IF('Statement of Marks'!A141="","",'Statement of Marks'!A141)</f>
        <v>135</v>
      </c>
      <c r="B142" s="804" t="str">
        <f>IF(OR($D$3="",$L$3=""),"",IF('Statement of Marks'!B141="","",'Statement of Marks'!B141))</f>
        <v/>
      </c>
      <c r="C142" s="805" t="str">
        <f>IF(OR($D$3="",$L$3=""),"",IF('Statement of Marks'!D141="","",'Statement of Marks'!D141))</f>
        <v/>
      </c>
      <c r="D142" s="806" t="str">
        <f>IF(OR($D$3="",$L$3=""),"",IF('Statement of Marks'!E141="","",'Statement of Marks'!E141))</f>
        <v/>
      </c>
      <c r="E142" s="807" t="str">
        <f>IF(OR($D$3="",$L$3=""),"",IF('Statement of Marks'!F141="","",'Statement of Marks'!F141))</f>
        <v/>
      </c>
      <c r="F142" s="807" t="str">
        <f>IF(OR($D$3="",$L$3=""),"",IF('Statement of Marks'!G141="","",'Statement of Marks'!G141))</f>
        <v/>
      </c>
      <c r="G142" s="807" t="str">
        <f>IF(OR($D$3="",$L$3=""),"",IF('Statement of Marks'!H141="","",'Statement of Marks'!H141))</f>
        <v/>
      </c>
      <c r="H142" s="808" t="str">
        <f>IF(OR($D$3="",$L$3=""),"",IF('Statement of Marks'!I141="","",'Statement of Marks'!I141))</f>
        <v/>
      </c>
      <c r="I142" s="808" t="str">
        <f>IF(OR($D$3="",$L$3=""),"",IF('Statement of Marks'!J141="","",'Statement of Marks'!J141))</f>
        <v/>
      </c>
      <c r="J142" s="809" t="str">
        <f>IFERROR(IF($L$3=$AJ$8,'Statement of Marks'!K141,IF($L$3=$AJ$9,'Statement of Marks'!Y141,IF($L$3=$AJ$10,'Statement of Marks'!AN141,IF($L$3=$AJ$11,'Statement of Marks'!BB141,IF($L$3=$AJ$12,'Statement of Marks'!BP141,IF($L$3=$AJ$13,'Statement of Marks'!CE141,IF($L$3=$AJ$14,'Statement of Marks'!CT141,IF($L$3=$AJ$15,'Statement of Marks'!DZ141,IF($L$3=$AJ$16,'Statement of Marks'!EL141,IF($L$3=$AJ$17,('Statement of Marks'!FB141+'Statement of Marks'!FC141),"")))))))))),"")</f>
        <v/>
      </c>
      <c r="K142" s="809" t="str">
        <f>IFERROR(IF($L$3=$AJ$8,'Statement of Marks'!L141,IF($L$3=$AJ$9,'Statement of Marks'!Z141,IF($L$3=$AJ$10,'Statement of Marks'!AO141,IF($L$3=$AJ$11,'Statement of Marks'!BC141,IF($L$3=$AJ$12,'Statement of Marks'!BQ141,IF($L$3=$AJ$13,'Statement of Marks'!CF141,IF($L$3=$AJ$14,'Statement of Marks'!CU141,IF($L$3=$AJ$15,'Statement of Marks'!EA141,IF($L$3=$AJ$16,'Statement of Marks'!EM141,IF($L$3=$AJ$17,('Statement of Marks'!FD141+'Statement of Marks'!FE141),"")))))))))),"")</f>
        <v/>
      </c>
      <c r="L142" s="809" t="str">
        <f>IFERROR(IF($L$3=$AJ$8,'Statement of Marks'!M141,IF($L$3=$AJ$9,'Statement of Marks'!AA141,IF($L$3=$AJ$10,'Statement of Marks'!AP141,IF($L$3=$AJ$11,'Statement of Marks'!BD141,IF($L$3=$AJ$12,'Statement of Marks'!BR141,IF($L$3=$AJ$13,'Statement of Marks'!CG141,IF($L$3=$AJ$14,'Statement of Marks'!CV141,IF($L$3=$AJ$15,'Statement of Marks'!EB141,IF($L$3=$AJ$16,'Statement of Marks'!EN141,IF($L$3=$AJ$17,('Statement of Marks'!FF141+'Statement of Marks'!FG141),"")))))))))),"")</f>
        <v/>
      </c>
      <c r="M142" s="810">
        <f t="shared" si="20"/>
        <v>0</v>
      </c>
      <c r="N142" s="809" t="str">
        <f>IFERROR(IF($L$3=$AJ$8,'Statement of Marks'!O141,IF($L$3=$AJ$9,'Statement of Marks'!AC141,IF($L$3=$AJ$10,'Statement of Marks'!AR141,IF($L$3=$AJ$11,'Statement of Marks'!BF141,IF($L$3=$AJ$12,'Statement of Marks'!BT141,IF($L$3=$AJ$13,'Statement of Marks'!CI141,IF($L$3=$AJ$14,('Statement of Marks'!CX141+'Statement of Marks'!CY141),IF($L$3=$AJ$15,'Statement of Marks'!ED141,IF($L$3=$AJ$16,('Statement of Marks'!EP141+'Statement of Marks'!EQ141),IF($L$3=$AJ$17,('Statement of Marks'!FI141+'Statement of Marks'!FJ141),IF($L$3=$AJ$18,'Statement of Marks'!FU141,IF($L$3=$AJ$19,'Statement of Marks'!GC141,"")))))))))))),"")</f>
        <v/>
      </c>
      <c r="O142" s="811">
        <f>IF($L$3=$AJ$18,'Statement of Marks'!FV141,IF($L$3=$AJ$19,'Statement of Marks'!GD141,IF(AND(M142="NA",N142="NA"),"NA",IF(AND(M142="",N142=""),"",SUM(M142,N142)))))</f>
        <v>0</v>
      </c>
      <c r="P142" s="809" t="str">
        <f>IFERROR(IF($L$3=$AJ$8,'Statement of Marks'!Q141,IF($L$3=$AJ$9,'Statement of Marks'!AE141,IF($L$3=$AJ$10,'Statement of Marks'!AT141,IF($L$3=$AJ$11,'Statement of Marks'!BH141,IF($L$3=$AJ$12,'Statement of Marks'!BV141,IF($L$3=$AJ$13,'Statement of Marks'!CK141,IF($L$3=$AJ$14,('Statement of Marks'!DB141+'Statement of Marks'!DC141),IF($L$3=$AJ$15,'Statement of Marks'!EF141,IF($L$3=$AJ$16,('Statement of Marks'!ET141+'Statement of Marks'!EU141),IF($L$3=$AJ$17,('Statement of Marks'!FM141+'Statement of Marks'!FN141),IF($L$3=$AJ$18,'Statement of Marks'!FW141,IF($L$3=$AJ$19,'Statement of Marks'!GE141,"")))))))))))),"")</f>
        <v/>
      </c>
      <c r="Q142" s="812" t="str">
        <f t="shared" si="23"/>
        <v/>
      </c>
      <c r="R142" s="813">
        <f t="shared" si="21"/>
        <v>0</v>
      </c>
      <c r="S142" s="813" t="str">
        <f t="shared" si="24"/>
        <v/>
      </c>
      <c r="T142" s="813" t="str">
        <f t="shared" si="25"/>
        <v/>
      </c>
      <c r="U142" s="814" t="str">
        <f t="shared" si="26"/>
        <v/>
      </c>
      <c r="V142" s="815" t="str">
        <f t="shared" si="27"/>
        <v/>
      </c>
      <c r="W142" s="816" t="str">
        <f t="shared" si="22"/>
        <v/>
      </c>
    </row>
    <row r="143" spans="1:23">
      <c r="A143" s="803">
        <f>IF('Statement of Marks'!A142="","",'Statement of Marks'!A142)</f>
        <v>136</v>
      </c>
      <c r="B143" s="804" t="str">
        <f>IF(OR($D$3="",$L$3=""),"",IF('Statement of Marks'!B142="","",'Statement of Marks'!B142))</f>
        <v/>
      </c>
      <c r="C143" s="805" t="str">
        <f>IF(OR($D$3="",$L$3=""),"",IF('Statement of Marks'!D142="","",'Statement of Marks'!D142))</f>
        <v/>
      </c>
      <c r="D143" s="806" t="str">
        <f>IF(OR($D$3="",$L$3=""),"",IF('Statement of Marks'!E142="","",'Statement of Marks'!E142))</f>
        <v/>
      </c>
      <c r="E143" s="807" t="str">
        <f>IF(OR($D$3="",$L$3=""),"",IF('Statement of Marks'!F142="","",'Statement of Marks'!F142))</f>
        <v/>
      </c>
      <c r="F143" s="807" t="str">
        <f>IF(OR($D$3="",$L$3=""),"",IF('Statement of Marks'!G142="","",'Statement of Marks'!G142))</f>
        <v/>
      </c>
      <c r="G143" s="807" t="str">
        <f>IF(OR($D$3="",$L$3=""),"",IF('Statement of Marks'!H142="","",'Statement of Marks'!H142))</f>
        <v/>
      </c>
      <c r="H143" s="808" t="str">
        <f>IF(OR($D$3="",$L$3=""),"",IF('Statement of Marks'!I142="","",'Statement of Marks'!I142))</f>
        <v/>
      </c>
      <c r="I143" s="808" t="str">
        <f>IF(OR($D$3="",$L$3=""),"",IF('Statement of Marks'!J142="","",'Statement of Marks'!J142))</f>
        <v/>
      </c>
      <c r="J143" s="809" t="str">
        <f>IFERROR(IF($L$3=$AJ$8,'Statement of Marks'!K142,IF($L$3=$AJ$9,'Statement of Marks'!Y142,IF($L$3=$AJ$10,'Statement of Marks'!AN142,IF($L$3=$AJ$11,'Statement of Marks'!BB142,IF($L$3=$AJ$12,'Statement of Marks'!BP142,IF($L$3=$AJ$13,'Statement of Marks'!CE142,IF($L$3=$AJ$14,'Statement of Marks'!CT142,IF($L$3=$AJ$15,'Statement of Marks'!DZ142,IF($L$3=$AJ$16,'Statement of Marks'!EL142,IF($L$3=$AJ$17,('Statement of Marks'!FB142+'Statement of Marks'!FC142),"")))))))))),"")</f>
        <v/>
      </c>
      <c r="K143" s="809" t="str">
        <f>IFERROR(IF($L$3=$AJ$8,'Statement of Marks'!L142,IF($L$3=$AJ$9,'Statement of Marks'!Z142,IF($L$3=$AJ$10,'Statement of Marks'!AO142,IF($L$3=$AJ$11,'Statement of Marks'!BC142,IF($L$3=$AJ$12,'Statement of Marks'!BQ142,IF($L$3=$AJ$13,'Statement of Marks'!CF142,IF($L$3=$AJ$14,'Statement of Marks'!CU142,IF($L$3=$AJ$15,'Statement of Marks'!EA142,IF($L$3=$AJ$16,'Statement of Marks'!EM142,IF($L$3=$AJ$17,('Statement of Marks'!FD142+'Statement of Marks'!FE142),"")))))))))),"")</f>
        <v/>
      </c>
      <c r="L143" s="809" t="str">
        <f>IFERROR(IF($L$3=$AJ$8,'Statement of Marks'!M142,IF($L$3=$AJ$9,'Statement of Marks'!AA142,IF($L$3=$AJ$10,'Statement of Marks'!AP142,IF($L$3=$AJ$11,'Statement of Marks'!BD142,IF($L$3=$AJ$12,'Statement of Marks'!BR142,IF($L$3=$AJ$13,'Statement of Marks'!CG142,IF($L$3=$AJ$14,'Statement of Marks'!CV142,IF($L$3=$AJ$15,'Statement of Marks'!EB142,IF($L$3=$AJ$16,'Statement of Marks'!EN142,IF($L$3=$AJ$17,('Statement of Marks'!FF142+'Statement of Marks'!FG142),"")))))))))),"")</f>
        <v/>
      </c>
      <c r="M143" s="810">
        <f t="shared" si="20"/>
        <v>0</v>
      </c>
      <c r="N143" s="809" t="str">
        <f>IFERROR(IF($L$3=$AJ$8,'Statement of Marks'!O142,IF($L$3=$AJ$9,'Statement of Marks'!AC142,IF($L$3=$AJ$10,'Statement of Marks'!AR142,IF($L$3=$AJ$11,'Statement of Marks'!BF142,IF($L$3=$AJ$12,'Statement of Marks'!BT142,IF($L$3=$AJ$13,'Statement of Marks'!CI142,IF($L$3=$AJ$14,('Statement of Marks'!CX142+'Statement of Marks'!CY142),IF($L$3=$AJ$15,'Statement of Marks'!ED142,IF($L$3=$AJ$16,('Statement of Marks'!EP142+'Statement of Marks'!EQ142),IF($L$3=$AJ$17,('Statement of Marks'!FI142+'Statement of Marks'!FJ142),IF($L$3=$AJ$18,'Statement of Marks'!FU142,IF($L$3=$AJ$19,'Statement of Marks'!GC142,"")))))))))))),"")</f>
        <v/>
      </c>
      <c r="O143" s="811">
        <f>IF($L$3=$AJ$18,'Statement of Marks'!FV142,IF($L$3=$AJ$19,'Statement of Marks'!GD142,IF(AND(M143="NA",N143="NA"),"NA",IF(AND(M143="",N143=""),"",SUM(M143,N143)))))</f>
        <v>0</v>
      </c>
      <c r="P143" s="809" t="str">
        <f>IFERROR(IF($L$3=$AJ$8,'Statement of Marks'!Q142,IF($L$3=$AJ$9,'Statement of Marks'!AE142,IF($L$3=$AJ$10,'Statement of Marks'!AT142,IF($L$3=$AJ$11,'Statement of Marks'!BH142,IF($L$3=$AJ$12,'Statement of Marks'!BV142,IF($L$3=$AJ$13,'Statement of Marks'!CK142,IF($L$3=$AJ$14,('Statement of Marks'!DB142+'Statement of Marks'!DC142),IF($L$3=$AJ$15,'Statement of Marks'!EF142,IF($L$3=$AJ$16,('Statement of Marks'!ET142+'Statement of Marks'!EU142),IF($L$3=$AJ$17,('Statement of Marks'!FM142+'Statement of Marks'!FN142),IF($L$3=$AJ$18,'Statement of Marks'!FW142,IF($L$3=$AJ$19,'Statement of Marks'!GE142,"")))))))))))),"")</f>
        <v/>
      </c>
      <c r="Q143" s="812" t="str">
        <f t="shared" si="23"/>
        <v/>
      </c>
      <c r="R143" s="813">
        <f t="shared" si="21"/>
        <v>0</v>
      </c>
      <c r="S143" s="813" t="str">
        <f t="shared" si="24"/>
        <v/>
      </c>
      <c r="T143" s="813" t="str">
        <f t="shared" si="25"/>
        <v/>
      </c>
      <c r="U143" s="814" t="str">
        <f t="shared" si="26"/>
        <v/>
      </c>
      <c r="V143" s="815" t="str">
        <f t="shared" si="27"/>
        <v/>
      </c>
      <c r="W143" s="816" t="str">
        <f t="shared" si="22"/>
        <v/>
      </c>
    </row>
    <row r="144" spans="1:23">
      <c r="A144" s="803">
        <f>IF('Statement of Marks'!A143="","",'Statement of Marks'!A143)</f>
        <v>137</v>
      </c>
      <c r="B144" s="804" t="str">
        <f>IF(OR($D$3="",$L$3=""),"",IF('Statement of Marks'!B143="","",'Statement of Marks'!B143))</f>
        <v/>
      </c>
      <c r="C144" s="805" t="str">
        <f>IF(OR($D$3="",$L$3=""),"",IF('Statement of Marks'!D143="","",'Statement of Marks'!D143))</f>
        <v/>
      </c>
      <c r="D144" s="806" t="str">
        <f>IF(OR($D$3="",$L$3=""),"",IF('Statement of Marks'!E143="","",'Statement of Marks'!E143))</f>
        <v/>
      </c>
      <c r="E144" s="807" t="str">
        <f>IF(OR($D$3="",$L$3=""),"",IF('Statement of Marks'!F143="","",'Statement of Marks'!F143))</f>
        <v/>
      </c>
      <c r="F144" s="807" t="str">
        <f>IF(OR($D$3="",$L$3=""),"",IF('Statement of Marks'!G143="","",'Statement of Marks'!G143))</f>
        <v/>
      </c>
      <c r="G144" s="807" t="str">
        <f>IF(OR($D$3="",$L$3=""),"",IF('Statement of Marks'!H143="","",'Statement of Marks'!H143))</f>
        <v/>
      </c>
      <c r="H144" s="808" t="str">
        <f>IF(OR($D$3="",$L$3=""),"",IF('Statement of Marks'!I143="","",'Statement of Marks'!I143))</f>
        <v/>
      </c>
      <c r="I144" s="808" t="str">
        <f>IF(OR($D$3="",$L$3=""),"",IF('Statement of Marks'!J143="","",'Statement of Marks'!J143))</f>
        <v/>
      </c>
      <c r="J144" s="809" t="str">
        <f>IFERROR(IF($L$3=$AJ$8,'Statement of Marks'!K143,IF($L$3=$AJ$9,'Statement of Marks'!Y143,IF($L$3=$AJ$10,'Statement of Marks'!AN143,IF($L$3=$AJ$11,'Statement of Marks'!BB143,IF($L$3=$AJ$12,'Statement of Marks'!BP143,IF($L$3=$AJ$13,'Statement of Marks'!CE143,IF($L$3=$AJ$14,'Statement of Marks'!CT143,IF($L$3=$AJ$15,'Statement of Marks'!DZ143,IF($L$3=$AJ$16,'Statement of Marks'!EL143,IF($L$3=$AJ$17,('Statement of Marks'!FB143+'Statement of Marks'!FC143),"")))))))))),"")</f>
        <v/>
      </c>
      <c r="K144" s="809" t="str">
        <f>IFERROR(IF($L$3=$AJ$8,'Statement of Marks'!L143,IF($L$3=$AJ$9,'Statement of Marks'!Z143,IF($L$3=$AJ$10,'Statement of Marks'!AO143,IF($L$3=$AJ$11,'Statement of Marks'!BC143,IF($L$3=$AJ$12,'Statement of Marks'!BQ143,IF($L$3=$AJ$13,'Statement of Marks'!CF143,IF($L$3=$AJ$14,'Statement of Marks'!CU143,IF($L$3=$AJ$15,'Statement of Marks'!EA143,IF($L$3=$AJ$16,'Statement of Marks'!EM143,IF($L$3=$AJ$17,('Statement of Marks'!FD143+'Statement of Marks'!FE143),"")))))))))),"")</f>
        <v/>
      </c>
      <c r="L144" s="809" t="str">
        <f>IFERROR(IF($L$3=$AJ$8,'Statement of Marks'!M143,IF($L$3=$AJ$9,'Statement of Marks'!AA143,IF($L$3=$AJ$10,'Statement of Marks'!AP143,IF($L$3=$AJ$11,'Statement of Marks'!BD143,IF($L$3=$AJ$12,'Statement of Marks'!BR143,IF($L$3=$AJ$13,'Statement of Marks'!CG143,IF($L$3=$AJ$14,'Statement of Marks'!CV143,IF($L$3=$AJ$15,'Statement of Marks'!EB143,IF($L$3=$AJ$16,'Statement of Marks'!EN143,IF($L$3=$AJ$17,('Statement of Marks'!FF143+'Statement of Marks'!FG143),"")))))))))),"")</f>
        <v/>
      </c>
      <c r="M144" s="810">
        <f t="shared" si="20"/>
        <v>0</v>
      </c>
      <c r="N144" s="809" t="str">
        <f>IFERROR(IF($L$3=$AJ$8,'Statement of Marks'!O143,IF($L$3=$AJ$9,'Statement of Marks'!AC143,IF($L$3=$AJ$10,'Statement of Marks'!AR143,IF($L$3=$AJ$11,'Statement of Marks'!BF143,IF($L$3=$AJ$12,'Statement of Marks'!BT143,IF($L$3=$AJ$13,'Statement of Marks'!CI143,IF($L$3=$AJ$14,('Statement of Marks'!CX143+'Statement of Marks'!CY143),IF($L$3=$AJ$15,'Statement of Marks'!ED143,IF($L$3=$AJ$16,('Statement of Marks'!EP143+'Statement of Marks'!EQ143),IF($L$3=$AJ$17,('Statement of Marks'!FI143+'Statement of Marks'!FJ143),IF($L$3=$AJ$18,'Statement of Marks'!FU143,IF($L$3=$AJ$19,'Statement of Marks'!GC143,"")))))))))))),"")</f>
        <v/>
      </c>
      <c r="O144" s="811">
        <f>IF($L$3=$AJ$18,'Statement of Marks'!FV143,IF($L$3=$AJ$19,'Statement of Marks'!GD143,IF(AND(M144="NA",N144="NA"),"NA",IF(AND(M144="",N144=""),"",SUM(M144,N144)))))</f>
        <v>0</v>
      </c>
      <c r="P144" s="809" t="str">
        <f>IFERROR(IF($L$3=$AJ$8,'Statement of Marks'!Q143,IF($L$3=$AJ$9,'Statement of Marks'!AE143,IF($L$3=$AJ$10,'Statement of Marks'!AT143,IF($L$3=$AJ$11,'Statement of Marks'!BH143,IF($L$3=$AJ$12,'Statement of Marks'!BV143,IF($L$3=$AJ$13,'Statement of Marks'!CK143,IF($L$3=$AJ$14,('Statement of Marks'!DB143+'Statement of Marks'!DC143),IF($L$3=$AJ$15,'Statement of Marks'!EF143,IF($L$3=$AJ$16,('Statement of Marks'!ET143+'Statement of Marks'!EU143),IF($L$3=$AJ$17,('Statement of Marks'!FM143+'Statement of Marks'!FN143),IF($L$3=$AJ$18,'Statement of Marks'!FW143,IF($L$3=$AJ$19,'Statement of Marks'!GE143,"")))))))))))),"")</f>
        <v/>
      </c>
      <c r="Q144" s="812" t="str">
        <f t="shared" si="23"/>
        <v/>
      </c>
      <c r="R144" s="813">
        <f t="shared" si="21"/>
        <v>0</v>
      </c>
      <c r="S144" s="813" t="str">
        <f t="shared" si="24"/>
        <v/>
      </c>
      <c r="T144" s="813" t="str">
        <f t="shared" si="25"/>
        <v/>
      </c>
      <c r="U144" s="814" t="str">
        <f t="shared" si="26"/>
        <v/>
      </c>
      <c r="V144" s="815" t="str">
        <f t="shared" si="27"/>
        <v/>
      </c>
      <c r="W144" s="816" t="str">
        <f t="shared" si="22"/>
        <v/>
      </c>
    </row>
    <row r="145" spans="1:23">
      <c r="A145" s="803">
        <f>IF('Statement of Marks'!A144="","",'Statement of Marks'!A144)</f>
        <v>138</v>
      </c>
      <c r="B145" s="804" t="str">
        <f>IF(OR($D$3="",$L$3=""),"",IF('Statement of Marks'!B144="","",'Statement of Marks'!B144))</f>
        <v/>
      </c>
      <c r="C145" s="805" t="str">
        <f>IF(OR($D$3="",$L$3=""),"",IF('Statement of Marks'!D144="","",'Statement of Marks'!D144))</f>
        <v/>
      </c>
      <c r="D145" s="806" t="str">
        <f>IF(OR($D$3="",$L$3=""),"",IF('Statement of Marks'!E144="","",'Statement of Marks'!E144))</f>
        <v/>
      </c>
      <c r="E145" s="807" t="str">
        <f>IF(OR($D$3="",$L$3=""),"",IF('Statement of Marks'!F144="","",'Statement of Marks'!F144))</f>
        <v/>
      </c>
      <c r="F145" s="807" t="str">
        <f>IF(OR($D$3="",$L$3=""),"",IF('Statement of Marks'!G144="","",'Statement of Marks'!G144))</f>
        <v/>
      </c>
      <c r="G145" s="807" t="str">
        <f>IF(OR($D$3="",$L$3=""),"",IF('Statement of Marks'!H144="","",'Statement of Marks'!H144))</f>
        <v/>
      </c>
      <c r="H145" s="808" t="str">
        <f>IF(OR($D$3="",$L$3=""),"",IF('Statement of Marks'!I144="","",'Statement of Marks'!I144))</f>
        <v/>
      </c>
      <c r="I145" s="808" t="str">
        <f>IF(OR($D$3="",$L$3=""),"",IF('Statement of Marks'!J144="","",'Statement of Marks'!J144))</f>
        <v/>
      </c>
      <c r="J145" s="809" t="str">
        <f>IFERROR(IF($L$3=$AJ$8,'Statement of Marks'!K144,IF($L$3=$AJ$9,'Statement of Marks'!Y144,IF($L$3=$AJ$10,'Statement of Marks'!AN144,IF($L$3=$AJ$11,'Statement of Marks'!BB144,IF($L$3=$AJ$12,'Statement of Marks'!BP144,IF($L$3=$AJ$13,'Statement of Marks'!CE144,IF($L$3=$AJ$14,'Statement of Marks'!CT144,IF($L$3=$AJ$15,'Statement of Marks'!DZ144,IF($L$3=$AJ$16,'Statement of Marks'!EL144,IF($L$3=$AJ$17,('Statement of Marks'!FB144+'Statement of Marks'!FC144),"")))))))))),"")</f>
        <v/>
      </c>
      <c r="K145" s="809" t="str">
        <f>IFERROR(IF($L$3=$AJ$8,'Statement of Marks'!L144,IF($L$3=$AJ$9,'Statement of Marks'!Z144,IF($L$3=$AJ$10,'Statement of Marks'!AO144,IF($L$3=$AJ$11,'Statement of Marks'!BC144,IF($L$3=$AJ$12,'Statement of Marks'!BQ144,IF($L$3=$AJ$13,'Statement of Marks'!CF144,IF($L$3=$AJ$14,'Statement of Marks'!CU144,IF($L$3=$AJ$15,'Statement of Marks'!EA144,IF($L$3=$AJ$16,'Statement of Marks'!EM144,IF($L$3=$AJ$17,('Statement of Marks'!FD144+'Statement of Marks'!FE144),"")))))))))),"")</f>
        <v/>
      </c>
      <c r="L145" s="809" t="str">
        <f>IFERROR(IF($L$3=$AJ$8,'Statement of Marks'!M144,IF($L$3=$AJ$9,'Statement of Marks'!AA144,IF($L$3=$AJ$10,'Statement of Marks'!AP144,IF($L$3=$AJ$11,'Statement of Marks'!BD144,IF($L$3=$AJ$12,'Statement of Marks'!BR144,IF($L$3=$AJ$13,'Statement of Marks'!CG144,IF($L$3=$AJ$14,'Statement of Marks'!CV144,IF($L$3=$AJ$15,'Statement of Marks'!EB144,IF($L$3=$AJ$16,'Statement of Marks'!EN144,IF($L$3=$AJ$17,('Statement of Marks'!FF144+'Statement of Marks'!FG144),"")))))))))),"")</f>
        <v/>
      </c>
      <c r="M145" s="810">
        <f t="shared" si="20"/>
        <v>0</v>
      </c>
      <c r="N145" s="809" t="str">
        <f>IFERROR(IF($L$3=$AJ$8,'Statement of Marks'!O144,IF($L$3=$AJ$9,'Statement of Marks'!AC144,IF($L$3=$AJ$10,'Statement of Marks'!AR144,IF($L$3=$AJ$11,'Statement of Marks'!BF144,IF($L$3=$AJ$12,'Statement of Marks'!BT144,IF($L$3=$AJ$13,'Statement of Marks'!CI144,IF($L$3=$AJ$14,('Statement of Marks'!CX144+'Statement of Marks'!CY144),IF($L$3=$AJ$15,'Statement of Marks'!ED144,IF($L$3=$AJ$16,('Statement of Marks'!EP144+'Statement of Marks'!EQ144),IF($L$3=$AJ$17,('Statement of Marks'!FI144+'Statement of Marks'!FJ144),IF($L$3=$AJ$18,'Statement of Marks'!FU144,IF($L$3=$AJ$19,'Statement of Marks'!GC144,"")))))))))))),"")</f>
        <v/>
      </c>
      <c r="O145" s="811">
        <f>IF($L$3=$AJ$18,'Statement of Marks'!FV144,IF($L$3=$AJ$19,'Statement of Marks'!GD144,IF(AND(M145="NA",N145="NA"),"NA",IF(AND(M145="",N145=""),"",SUM(M145,N145)))))</f>
        <v>0</v>
      </c>
      <c r="P145" s="809" t="str">
        <f>IFERROR(IF($L$3=$AJ$8,'Statement of Marks'!Q144,IF($L$3=$AJ$9,'Statement of Marks'!AE144,IF($L$3=$AJ$10,'Statement of Marks'!AT144,IF($L$3=$AJ$11,'Statement of Marks'!BH144,IF($L$3=$AJ$12,'Statement of Marks'!BV144,IF($L$3=$AJ$13,'Statement of Marks'!CK144,IF($L$3=$AJ$14,('Statement of Marks'!DB144+'Statement of Marks'!DC144),IF($L$3=$AJ$15,'Statement of Marks'!EF144,IF($L$3=$AJ$16,('Statement of Marks'!ET144+'Statement of Marks'!EU144),IF($L$3=$AJ$17,('Statement of Marks'!FM144+'Statement of Marks'!FN144),IF($L$3=$AJ$18,'Statement of Marks'!FW144,IF($L$3=$AJ$19,'Statement of Marks'!GE144,"")))))))))))),"")</f>
        <v/>
      </c>
      <c r="Q145" s="812" t="str">
        <f t="shared" si="23"/>
        <v/>
      </c>
      <c r="R145" s="813">
        <f t="shared" si="21"/>
        <v>0</v>
      </c>
      <c r="S145" s="813" t="str">
        <f t="shared" si="24"/>
        <v/>
      </c>
      <c r="T145" s="813" t="str">
        <f t="shared" si="25"/>
        <v/>
      </c>
      <c r="U145" s="814" t="str">
        <f t="shared" si="26"/>
        <v/>
      </c>
      <c r="V145" s="815" t="str">
        <f t="shared" si="27"/>
        <v/>
      </c>
      <c r="W145" s="816" t="str">
        <f t="shared" si="22"/>
        <v/>
      </c>
    </row>
    <row r="146" spans="1:23">
      <c r="A146" s="803">
        <f>IF('Statement of Marks'!A145="","",'Statement of Marks'!A145)</f>
        <v>139</v>
      </c>
      <c r="B146" s="804" t="str">
        <f>IF(OR($D$3="",$L$3=""),"",IF('Statement of Marks'!B145="","",'Statement of Marks'!B145))</f>
        <v/>
      </c>
      <c r="C146" s="805" t="str">
        <f>IF(OR($D$3="",$L$3=""),"",IF('Statement of Marks'!D145="","",'Statement of Marks'!D145))</f>
        <v/>
      </c>
      <c r="D146" s="806" t="str">
        <f>IF(OR($D$3="",$L$3=""),"",IF('Statement of Marks'!E145="","",'Statement of Marks'!E145))</f>
        <v/>
      </c>
      <c r="E146" s="807" t="str">
        <f>IF(OR($D$3="",$L$3=""),"",IF('Statement of Marks'!F145="","",'Statement of Marks'!F145))</f>
        <v/>
      </c>
      <c r="F146" s="807" t="str">
        <f>IF(OR($D$3="",$L$3=""),"",IF('Statement of Marks'!G145="","",'Statement of Marks'!G145))</f>
        <v/>
      </c>
      <c r="G146" s="807" t="str">
        <f>IF(OR($D$3="",$L$3=""),"",IF('Statement of Marks'!H145="","",'Statement of Marks'!H145))</f>
        <v/>
      </c>
      <c r="H146" s="808" t="str">
        <f>IF(OR($D$3="",$L$3=""),"",IF('Statement of Marks'!I145="","",'Statement of Marks'!I145))</f>
        <v/>
      </c>
      <c r="I146" s="808" t="str">
        <f>IF(OR($D$3="",$L$3=""),"",IF('Statement of Marks'!J145="","",'Statement of Marks'!J145))</f>
        <v/>
      </c>
      <c r="J146" s="809" t="str">
        <f>IFERROR(IF($L$3=$AJ$8,'Statement of Marks'!K145,IF($L$3=$AJ$9,'Statement of Marks'!Y145,IF($L$3=$AJ$10,'Statement of Marks'!AN145,IF($L$3=$AJ$11,'Statement of Marks'!BB145,IF($L$3=$AJ$12,'Statement of Marks'!BP145,IF($L$3=$AJ$13,'Statement of Marks'!CE145,IF($L$3=$AJ$14,'Statement of Marks'!CT145,IF($L$3=$AJ$15,'Statement of Marks'!DZ145,IF($L$3=$AJ$16,'Statement of Marks'!EL145,IF($L$3=$AJ$17,('Statement of Marks'!FB145+'Statement of Marks'!FC145),"")))))))))),"")</f>
        <v/>
      </c>
      <c r="K146" s="809" t="str">
        <f>IFERROR(IF($L$3=$AJ$8,'Statement of Marks'!L145,IF($L$3=$AJ$9,'Statement of Marks'!Z145,IF($L$3=$AJ$10,'Statement of Marks'!AO145,IF($L$3=$AJ$11,'Statement of Marks'!BC145,IF($L$3=$AJ$12,'Statement of Marks'!BQ145,IF($L$3=$AJ$13,'Statement of Marks'!CF145,IF($L$3=$AJ$14,'Statement of Marks'!CU145,IF($L$3=$AJ$15,'Statement of Marks'!EA145,IF($L$3=$AJ$16,'Statement of Marks'!EM145,IF($L$3=$AJ$17,('Statement of Marks'!FD145+'Statement of Marks'!FE145),"")))))))))),"")</f>
        <v/>
      </c>
      <c r="L146" s="809" t="str">
        <f>IFERROR(IF($L$3=$AJ$8,'Statement of Marks'!M145,IF($L$3=$AJ$9,'Statement of Marks'!AA145,IF($L$3=$AJ$10,'Statement of Marks'!AP145,IF($L$3=$AJ$11,'Statement of Marks'!BD145,IF($L$3=$AJ$12,'Statement of Marks'!BR145,IF($L$3=$AJ$13,'Statement of Marks'!CG145,IF($L$3=$AJ$14,'Statement of Marks'!CV145,IF($L$3=$AJ$15,'Statement of Marks'!EB145,IF($L$3=$AJ$16,'Statement of Marks'!EN145,IF($L$3=$AJ$17,('Statement of Marks'!FF145+'Statement of Marks'!FG145),"")))))))))),"")</f>
        <v/>
      </c>
      <c r="M146" s="810">
        <f t="shared" si="20"/>
        <v>0</v>
      </c>
      <c r="N146" s="809" t="str">
        <f>IFERROR(IF($L$3=$AJ$8,'Statement of Marks'!O145,IF($L$3=$AJ$9,'Statement of Marks'!AC145,IF($L$3=$AJ$10,'Statement of Marks'!AR145,IF($L$3=$AJ$11,'Statement of Marks'!BF145,IF($L$3=$AJ$12,'Statement of Marks'!BT145,IF($L$3=$AJ$13,'Statement of Marks'!CI145,IF($L$3=$AJ$14,('Statement of Marks'!CX145+'Statement of Marks'!CY145),IF($L$3=$AJ$15,'Statement of Marks'!ED145,IF($L$3=$AJ$16,('Statement of Marks'!EP145+'Statement of Marks'!EQ145),IF($L$3=$AJ$17,('Statement of Marks'!FI145+'Statement of Marks'!FJ145),IF($L$3=$AJ$18,'Statement of Marks'!FU145,IF($L$3=$AJ$19,'Statement of Marks'!GC145,"")))))))))))),"")</f>
        <v/>
      </c>
      <c r="O146" s="811">
        <f>IF($L$3=$AJ$18,'Statement of Marks'!FV145,IF($L$3=$AJ$19,'Statement of Marks'!GD145,IF(AND(M146="NA",N146="NA"),"NA",IF(AND(M146="",N146=""),"",SUM(M146,N146)))))</f>
        <v>0</v>
      </c>
      <c r="P146" s="809" t="str">
        <f>IFERROR(IF($L$3=$AJ$8,'Statement of Marks'!Q145,IF($L$3=$AJ$9,'Statement of Marks'!AE145,IF($L$3=$AJ$10,'Statement of Marks'!AT145,IF($L$3=$AJ$11,'Statement of Marks'!BH145,IF($L$3=$AJ$12,'Statement of Marks'!BV145,IF($L$3=$AJ$13,'Statement of Marks'!CK145,IF($L$3=$AJ$14,('Statement of Marks'!DB145+'Statement of Marks'!DC145),IF($L$3=$AJ$15,'Statement of Marks'!EF145,IF($L$3=$AJ$16,('Statement of Marks'!ET145+'Statement of Marks'!EU145),IF($L$3=$AJ$17,('Statement of Marks'!FM145+'Statement of Marks'!FN145),IF($L$3=$AJ$18,'Statement of Marks'!FW145,IF($L$3=$AJ$19,'Statement of Marks'!GE145,"")))))))))))),"")</f>
        <v/>
      </c>
      <c r="Q146" s="812" t="str">
        <f t="shared" si="23"/>
        <v/>
      </c>
      <c r="R146" s="813">
        <f t="shared" si="21"/>
        <v>0</v>
      </c>
      <c r="S146" s="813" t="str">
        <f t="shared" si="24"/>
        <v/>
      </c>
      <c r="T146" s="813" t="str">
        <f t="shared" si="25"/>
        <v/>
      </c>
      <c r="U146" s="814" t="str">
        <f t="shared" si="26"/>
        <v/>
      </c>
      <c r="V146" s="815" t="str">
        <f t="shared" si="27"/>
        <v/>
      </c>
      <c r="W146" s="816" t="str">
        <f t="shared" si="22"/>
        <v/>
      </c>
    </row>
    <row r="147" spans="1:23">
      <c r="A147" s="803">
        <f>IF('Statement of Marks'!A146="","",'Statement of Marks'!A146)</f>
        <v>140</v>
      </c>
      <c r="B147" s="804" t="str">
        <f>IF(OR($D$3="",$L$3=""),"",IF('Statement of Marks'!B146="","",'Statement of Marks'!B146))</f>
        <v/>
      </c>
      <c r="C147" s="805" t="str">
        <f>IF(OR($D$3="",$L$3=""),"",IF('Statement of Marks'!D146="","",'Statement of Marks'!D146))</f>
        <v/>
      </c>
      <c r="D147" s="806" t="str">
        <f>IF(OR($D$3="",$L$3=""),"",IF('Statement of Marks'!E146="","",'Statement of Marks'!E146))</f>
        <v/>
      </c>
      <c r="E147" s="807" t="str">
        <f>IF(OR($D$3="",$L$3=""),"",IF('Statement of Marks'!F146="","",'Statement of Marks'!F146))</f>
        <v/>
      </c>
      <c r="F147" s="807" t="str">
        <f>IF(OR($D$3="",$L$3=""),"",IF('Statement of Marks'!G146="","",'Statement of Marks'!G146))</f>
        <v/>
      </c>
      <c r="G147" s="807" t="str">
        <f>IF(OR($D$3="",$L$3=""),"",IF('Statement of Marks'!H146="","",'Statement of Marks'!H146))</f>
        <v/>
      </c>
      <c r="H147" s="808" t="str">
        <f>IF(OR($D$3="",$L$3=""),"",IF('Statement of Marks'!I146="","",'Statement of Marks'!I146))</f>
        <v/>
      </c>
      <c r="I147" s="808" t="str">
        <f>IF(OR($D$3="",$L$3=""),"",IF('Statement of Marks'!J146="","",'Statement of Marks'!J146))</f>
        <v/>
      </c>
      <c r="J147" s="809" t="str">
        <f>IFERROR(IF($L$3=$AJ$8,'Statement of Marks'!K146,IF($L$3=$AJ$9,'Statement of Marks'!Y146,IF($L$3=$AJ$10,'Statement of Marks'!AN146,IF($L$3=$AJ$11,'Statement of Marks'!BB146,IF($L$3=$AJ$12,'Statement of Marks'!BP146,IF($L$3=$AJ$13,'Statement of Marks'!CE146,IF($L$3=$AJ$14,'Statement of Marks'!CT146,IF($L$3=$AJ$15,'Statement of Marks'!DZ146,IF($L$3=$AJ$16,'Statement of Marks'!EL146,IF($L$3=$AJ$17,('Statement of Marks'!FB146+'Statement of Marks'!FC146),"")))))))))),"")</f>
        <v/>
      </c>
      <c r="K147" s="809" t="str">
        <f>IFERROR(IF($L$3=$AJ$8,'Statement of Marks'!L146,IF($L$3=$AJ$9,'Statement of Marks'!Z146,IF($L$3=$AJ$10,'Statement of Marks'!AO146,IF($L$3=$AJ$11,'Statement of Marks'!BC146,IF($L$3=$AJ$12,'Statement of Marks'!BQ146,IF($L$3=$AJ$13,'Statement of Marks'!CF146,IF($L$3=$AJ$14,'Statement of Marks'!CU146,IF($L$3=$AJ$15,'Statement of Marks'!EA146,IF($L$3=$AJ$16,'Statement of Marks'!EM146,IF($L$3=$AJ$17,('Statement of Marks'!FD146+'Statement of Marks'!FE146),"")))))))))),"")</f>
        <v/>
      </c>
      <c r="L147" s="809" t="str">
        <f>IFERROR(IF($L$3=$AJ$8,'Statement of Marks'!M146,IF($L$3=$AJ$9,'Statement of Marks'!AA146,IF($L$3=$AJ$10,'Statement of Marks'!AP146,IF($L$3=$AJ$11,'Statement of Marks'!BD146,IF($L$3=$AJ$12,'Statement of Marks'!BR146,IF($L$3=$AJ$13,'Statement of Marks'!CG146,IF($L$3=$AJ$14,'Statement of Marks'!CV146,IF($L$3=$AJ$15,'Statement of Marks'!EB146,IF($L$3=$AJ$16,'Statement of Marks'!EN146,IF($L$3=$AJ$17,('Statement of Marks'!FF146+'Statement of Marks'!FG146),"")))))))))),"")</f>
        <v/>
      </c>
      <c r="M147" s="810">
        <f t="shared" si="20"/>
        <v>0</v>
      </c>
      <c r="N147" s="809" t="str">
        <f>IFERROR(IF($L$3=$AJ$8,'Statement of Marks'!O146,IF($L$3=$AJ$9,'Statement of Marks'!AC146,IF($L$3=$AJ$10,'Statement of Marks'!AR146,IF($L$3=$AJ$11,'Statement of Marks'!BF146,IF($L$3=$AJ$12,'Statement of Marks'!BT146,IF($L$3=$AJ$13,'Statement of Marks'!CI146,IF($L$3=$AJ$14,('Statement of Marks'!CX146+'Statement of Marks'!CY146),IF($L$3=$AJ$15,'Statement of Marks'!ED146,IF($L$3=$AJ$16,('Statement of Marks'!EP146+'Statement of Marks'!EQ146),IF($L$3=$AJ$17,('Statement of Marks'!FI146+'Statement of Marks'!FJ146),IF($L$3=$AJ$18,'Statement of Marks'!FU146,IF($L$3=$AJ$19,'Statement of Marks'!GC146,"")))))))))))),"")</f>
        <v/>
      </c>
      <c r="O147" s="811">
        <f>IF($L$3=$AJ$18,'Statement of Marks'!FV146,IF($L$3=$AJ$19,'Statement of Marks'!GD146,IF(AND(M147="NA",N147="NA"),"NA",IF(AND(M147="",N147=""),"",SUM(M147,N147)))))</f>
        <v>0</v>
      </c>
      <c r="P147" s="809" t="str">
        <f>IFERROR(IF($L$3=$AJ$8,'Statement of Marks'!Q146,IF($L$3=$AJ$9,'Statement of Marks'!AE146,IF($L$3=$AJ$10,'Statement of Marks'!AT146,IF($L$3=$AJ$11,'Statement of Marks'!BH146,IF($L$3=$AJ$12,'Statement of Marks'!BV146,IF($L$3=$AJ$13,'Statement of Marks'!CK146,IF($L$3=$AJ$14,('Statement of Marks'!DB146+'Statement of Marks'!DC146),IF($L$3=$AJ$15,'Statement of Marks'!EF146,IF($L$3=$AJ$16,('Statement of Marks'!ET146+'Statement of Marks'!EU146),IF($L$3=$AJ$17,('Statement of Marks'!FM146+'Statement of Marks'!FN146),IF($L$3=$AJ$18,'Statement of Marks'!FW146,IF($L$3=$AJ$19,'Statement of Marks'!GE146,"")))))))))))),"")</f>
        <v/>
      </c>
      <c r="Q147" s="812" t="str">
        <f t="shared" si="23"/>
        <v/>
      </c>
      <c r="R147" s="813">
        <f t="shared" si="21"/>
        <v>0</v>
      </c>
      <c r="S147" s="813" t="str">
        <f t="shared" si="24"/>
        <v/>
      </c>
      <c r="T147" s="813" t="str">
        <f t="shared" si="25"/>
        <v/>
      </c>
      <c r="U147" s="814" t="str">
        <f t="shared" si="26"/>
        <v/>
      </c>
      <c r="V147" s="815" t="str">
        <f t="shared" si="27"/>
        <v/>
      </c>
      <c r="W147" s="816" t="str">
        <f t="shared" si="22"/>
        <v/>
      </c>
    </row>
    <row r="148" spans="1:23">
      <c r="A148" s="803">
        <f>IF('Statement of Marks'!A147="","",'Statement of Marks'!A147)</f>
        <v>141</v>
      </c>
      <c r="B148" s="804" t="str">
        <f>IF(OR($D$3="",$L$3=""),"",IF('Statement of Marks'!B147="","",'Statement of Marks'!B147))</f>
        <v/>
      </c>
      <c r="C148" s="805" t="str">
        <f>IF(OR($D$3="",$L$3=""),"",IF('Statement of Marks'!D147="","",'Statement of Marks'!D147))</f>
        <v/>
      </c>
      <c r="D148" s="806" t="str">
        <f>IF(OR($D$3="",$L$3=""),"",IF('Statement of Marks'!E147="","",'Statement of Marks'!E147))</f>
        <v/>
      </c>
      <c r="E148" s="807" t="str">
        <f>IF(OR($D$3="",$L$3=""),"",IF('Statement of Marks'!F147="","",'Statement of Marks'!F147))</f>
        <v/>
      </c>
      <c r="F148" s="807" t="str">
        <f>IF(OR($D$3="",$L$3=""),"",IF('Statement of Marks'!G147="","",'Statement of Marks'!G147))</f>
        <v/>
      </c>
      <c r="G148" s="807" t="str">
        <f>IF(OR($D$3="",$L$3=""),"",IF('Statement of Marks'!H147="","",'Statement of Marks'!H147))</f>
        <v/>
      </c>
      <c r="H148" s="808" t="str">
        <f>IF(OR($D$3="",$L$3=""),"",IF('Statement of Marks'!I147="","",'Statement of Marks'!I147))</f>
        <v/>
      </c>
      <c r="I148" s="808" t="str">
        <f>IF(OR($D$3="",$L$3=""),"",IF('Statement of Marks'!J147="","",'Statement of Marks'!J147))</f>
        <v/>
      </c>
      <c r="J148" s="809" t="str">
        <f>IFERROR(IF($L$3=$AJ$8,'Statement of Marks'!K147,IF($L$3=$AJ$9,'Statement of Marks'!Y147,IF($L$3=$AJ$10,'Statement of Marks'!AN147,IF($L$3=$AJ$11,'Statement of Marks'!BB147,IF($L$3=$AJ$12,'Statement of Marks'!BP147,IF($L$3=$AJ$13,'Statement of Marks'!CE147,IF($L$3=$AJ$14,'Statement of Marks'!CT147,IF($L$3=$AJ$15,'Statement of Marks'!DZ147,IF($L$3=$AJ$16,'Statement of Marks'!EL147,IF($L$3=$AJ$17,('Statement of Marks'!FB147+'Statement of Marks'!FC147),"")))))))))),"")</f>
        <v/>
      </c>
      <c r="K148" s="809" t="str">
        <f>IFERROR(IF($L$3=$AJ$8,'Statement of Marks'!L147,IF($L$3=$AJ$9,'Statement of Marks'!Z147,IF($L$3=$AJ$10,'Statement of Marks'!AO147,IF($L$3=$AJ$11,'Statement of Marks'!BC147,IF($L$3=$AJ$12,'Statement of Marks'!BQ147,IF($L$3=$AJ$13,'Statement of Marks'!CF147,IF($L$3=$AJ$14,'Statement of Marks'!CU147,IF($L$3=$AJ$15,'Statement of Marks'!EA147,IF($L$3=$AJ$16,'Statement of Marks'!EM147,IF($L$3=$AJ$17,('Statement of Marks'!FD147+'Statement of Marks'!FE147),"")))))))))),"")</f>
        <v/>
      </c>
      <c r="L148" s="809" t="str">
        <f>IFERROR(IF($L$3=$AJ$8,'Statement of Marks'!M147,IF($L$3=$AJ$9,'Statement of Marks'!AA147,IF($L$3=$AJ$10,'Statement of Marks'!AP147,IF($L$3=$AJ$11,'Statement of Marks'!BD147,IF($L$3=$AJ$12,'Statement of Marks'!BR147,IF($L$3=$AJ$13,'Statement of Marks'!CG147,IF($L$3=$AJ$14,'Statement of Marks'!CV147,IF($L$3=$AJ$15,'Statement of Marks'!EB147,IF($L$3=$AJ$16,'Statement of Marks'!EN147,IF($L$3=$AJ$17,('Statement of Marks'!FF147+'Statement of Marks'!FG147),"")))))))))),"")</f>
        <v/>
      </c>
      <c r="M148" s="810">
        <f t="shared" si="20"/>
        <v>0</v>
      </c>
      <c r="N148" s="809" t="str">
        <f>IFERROR(IF($L$3=$AJ$8,'Statement of Marks'!O147,IF($L$3=$AJ$9,'Statement of Marks'!AC147,IF($L$3=$AJ$10,'Statement of Marks'!AR147,IF($L$3=$AJ$11,'Statement of Marks'!BF147,IF($L$3=$AJ$12,'Statement of Marks'!BT147,IF($L$3=$AJ$13,'Statement of Marks'!CI147,IF($L$3=$AJ$14,('Statement of Marks'!CX147+'Statement of Marks'!CY147),IF($L$3=$AJ$15,'Statement of Marks'!ED147,IF($L$3=$AJ$16,('Statement of Marks'!EP147+'Statement of Marks'!EQ147),IF($L$3=$AJ$17,('Statement of Marks'!FI147+'Statement of Marks'!FJ147),IF($L$3=$AJ$18,'Statement of Marks'!FU147,IF($L$3=$AJ$19,'Statement of Marks'!GC147,"")))))))))))),"")</f>
        <v/>
      </c>
      <c r="O148" s="811">
        <f>IF($L$3=$AJ$18,'Statement of Marks'!FV147,IF($L$3=$AJ$19,'Statement of Marks'!GD147,IF(AND(M148="NA",N148="NA"),"NA",IF(AND(M148="",N148=""),"",SUM(M148,N148)))))</f>
        <v>0</v>
      </c>
      <c r="P148" s="809" t="str">
        <f>IFERROR(IF($L$3=$AJ$8,'Statement of Marks'!Q147,IF($L$3=$AJ$9,'Statement of Marks'!AE147,IF($L$3=$AJ$10,'Statement of Marks'!AT147,IF($L$3=$AJ$11,'Statement of Marks'!BH147,IF($L$3=$AJ$12,'Statement of Marks'!BV147,IF($L$3=$AJ$13,'Statement of Marks'!CK147,IF($L$3=$AJ$14,('Statement of Marks'!DB147+'Statement of Marks'!DC147),IF($L$3=$AJ$15,'Statement of Marks'!EF147,IF($L$3=$AJ$16,('Statement of Marks'!ET147+'Statement of Marks'!EU147),IF($L$3=$AJ$17,('Statement of Marks'!FM147+'Statement of Marks'!FN147),IF($L$3=$AJ$18,'Statement of Marks'!FW147,IF($L$3=$AJ$19,'Statement of Marks'!GE147,"")))))))))))),"")</f>
        <v/>
      </c>
      <c r="Q148" s="812" t="str">
        <f t="shared" si="23"/>
        <v/>
      </c>
      <c r="R148" s="813">
        <f t="shared" si="21"/>
        <v>0</v>
      </c>
      <c r="S148" s="813" t="str">
        <f t="shared" si="24"/>
        <v/>
      </c>
      <c r="T148" s="813" t="str">
        <f t="shared" si="25"/>
        <v/>
      </c>
      <c r="U148" s="814" t="str">
        <f t="shared" si="26"/>
        <v/>
      </c>
      <c r="V148" s="815" t="str">
        <f t="shared" si="27"/>
        <v/>
      </c>
      <c r="W148" s="816" t="str">
        <f t="shared" si="22"/>
        <v/>
      </c>
    </row>
    <row r="149" spans="1:23">
      <c r="A149" s="803">
        <f>IF('Statement of Marks'!A148="","",'Statement of Marks'!A148)</f>
        <v>142</v>
      </c>
      <c r="B149" s="804" t="str">
        <f>IF(OR($D$3="",$L$3=""),"",IF('Statement of Marks'!B148="","",'Statement of Marks'!B148))</f>
        <v/>
      </c>
      <c r="C149" s="805" t="str">
        <f>IF(OR($D$3="",$L$3=""),"",IF('Statement of Marks'!D148="","",'Statement of Marks'!D148))</f>
        <v/>
      </c>
      <c r="D149" s="806" t="str">
        <f>IF(OR($D$3="",$L$3=""),"",IF('Statement of Marks'!E148="","",'Statement of Marks'!E148))</f>
        <v/>
      </c>
      <c r="E149" s="807" t="str">
        <f>IF(OR($D$3="",$L$3=""),"",IF('Statement of Marks'!F148="","",'Statement of Marks'!F148))</f>
        <v/>
      </c>
      <c r="F149" s="807" t="str">
        <f>IF(OR($D$3="",$L$3=""),"",IF('Statement of Marks'!G148="","",'Statement of Marks'!G148))</f>
        <v/>
      </c>
      <c r="G149" s="807" t="str">
        <f>IF(OR($D$3="",$L$3=""),"",IF('Statement of Marks'!H148="","",'Statement of Marks'!H148))</f>
        <v/>
      </c>
      <c r="H149" s="808" t="str">
        <f>IF(OR($D$3="",$L$3=""),"",IF('Statement of Marks'!I148="","",'Statement of Marks'!I148))</f>
        <v/>
      </c>
      <c r="I149" s="808" t="str">
        <f>IF(OR($D$3="",$L$3=""),"",IF('Statement of Marks'!J148="","",'Statement of Marks'!J148))</f>
        <v/>
      </c>
      <c r="J149" s="809" t="str">
        <f>IFERROR(IF($L$3=$AJ$8,'Statement of Marks'!K148,IF($L$3=$AJ$9,'Statement of Marks'!Y148,IF($L$3=$AJ$10,'Statement of Marks'!AN148,IF($L$3=$AJ$11,'Statement of Marks'!BB148,IF($L$3=$AJ$12,'Statement of Marks'!BP148,IF($L$3=$AJ$13,'Statement of Marks'!CE148,IF($L$3=$AJ$14,'Statement of Marks'!CT148,IF($L$3=$AJ$15,'Statement of Marks'!DZ148,IF($L$3=$AJ$16,'Statement of Marks'!EL148,IF($L$3=$AJ$17,('Statement of Marks'!FB148+'Statement of Marks'!FC148),"")))))))))),"")</f>
        <v/>
      </c>
      <c r="K149" s="809" t="str">
        <f>IFERROR(IF($L$3=$AJ$8,'Statement of Marks'!L148,IF($L$3=$AJ$9,'Statement of Marks'!Z148,IF($L$3=$AJ$10,'Statement of Marks'!AO148,IF($L$3=$AJ$11,'Statement of Marks'!BC148,IF($L$3=$AJ$12,'Statement of Marks'!BQ148,IF($L$3=$AJ$13,'Statement of Marks'!CF148,IF($L$3=$AJ$14,'Statement of Marks'!CU148,IF($L$3=$AJ$15,'Statement of Marks'!EA148,IF($L$3=$AJ$16,'Statement of Marks'!EM148,IF($L$3=$AJ$17,('Statement of Marks'!FD148+'Statement of Marks'!FE148),"")))))))))),"")</f>
        <v/>
      </c>
      <c r="L149" s="809" t="str">
        <f>IFERROR(IF($L$3=$AJ$8,'Statement of Marks'!M148,IF($L$3=$AJ$9,'Statement of Marks'!AA148,IF($L$3=$AJ$10,'Statement of Marks'!AP148,IF($L$3=$AJ$11,'Statement of Marks'!BD148,IF($L$3=$AJ$12,'Statement of Marks'!BR148,IF($L$3=$AJ$13,'Statement of Marks'!CG148,IF($L$3=$AJ$14,'Statement of Marks'!CV148,IF($L$3=$AJ$15,'Statement of Marks'!EB148,IF($L$3=$AJ$16,'Statement of Marks'!EN148,IF($L$3=$AJ$17,('Statement of Marks'!FF148+'Statement of Marks'!FG148),"")))))))))),"")</f>
        <v/>
      </c>
      <c r="M149" s="810">
        <f t="shared" si="20"/>
        <v>0</v>
      </c>
      <c r="N149" s="809" t="str">
        <f>IFERROR(IF($L$3=$AJ$8,'Statement of Marks'!O148,IF($L$3=$AJ$9,'Statement of Marks'!AC148,IF($L$3=$AJ$10,'Statement of Marks'!AR148,IF($L$3=$AJ$11,'Statement of Marks'!BF148,IF($L$3=$AJ$12,'Statement of Marks'!BT148,IF($L$3=$AJ$13,'Statement of Marks'!CI148,IF($L$3=$AJ$14,('Statement of Marks'!CX148+'Statement of Marks'!CY148),IF($L$3=$AJ$15,'Statement of Marks'!ED148,IF($L$3=$AJ$16,('Statement of Marks'!EP148+'Statement of Marks'!EQ148),IF($L$3=$AJ$17,('Statement of Marks'!FI148+'Statement of Marks'!FJ148),IF($L$3=$AJ$18,'Statement of Marks'!FU148,IF($L$3=$AJ$19,'Statement of Marks'!GC148,"")))))))))))),"")</f>
        <v/>
      </c>
      <c r="O149" s="811">
        <f>IF($L$3=$AJ$18,'Statement of Marks'!FV148,IF($L$3=$AJ$19,'Statement of Marks'!GD148,IF(AND(M149="NA",N149="NA"),"NA",IF(AND(M149="",N149=""),"",SUM(M149,N149)))))</f>
        <v>0</v>
      </c>
      <c r="P149" s="809" t="str">
        <f>IFERROR(IF($L$3=$AJ$8,'Statement of Marks'!Q148,IF($L$3=$AJ$9,'Statement of Marks'!AE148,IF($L$3=$AJ$10,'Statement of Marks'!AT148,IF($L$3=$AJ$11,'Statement of Marks'!BH148,IF($L$3=$AJ$12,'Statement of Marks'!BV148,IF($L$3=$AJ$13,'Statement of Marks'!CK148,IF($L$3=$AJ$14,('Statement of Marks'!DB148+'Statement of Marks'!DC148),IF($L$3=$AJ$15,'Statement of Marks'!EF148,IF($L$3=$AJ$16,('Statement of Marks'!ET148+'Statement of Marks'!EU148),IF($L$3=$AJ$17,('Statement of Marks'!FM148+'Statement of Marks'!FN148),IF($L$3=$AJ$18,'Statement of Marks'!FW148,IF($L$3=$AJ$19,'Statement of Marks'!GE148,"")))))))))))),"")</f>
        <v/>
      </c>
      <c r="Q149" s="812" t="str">
        <f t="shared" si="23"/>
        <v/>
      </c>
      <c r="R149" s="813">
        <f t="shared" si="21"/>
        <v>0</v>
      </c>
      <c r="S149" s="813" t="str">
        <f t="shared" si="24"/>
        <v/>
      </c>
      <c r="T149" s="813" t="str">
        <f t="shared" si="25"/>
        <v/>
      </c>
      <c r="U149" s="814" t="str">
        <f t="shared" si="26"/>
        <v/>
      </c>
      <c r="V149" s="815" t="str">
        <f t="shared" si="27"/>
        <v/>
      </c>
      <c r="W149" s="816" t="str">
        <f t="shared" si="22"/>
        <v/>
      </c>
    </row>
    <row r="150" spans="1:23">
      <c r="A150" s="803">
        <f>IF('Statement of Marks'!A149="","",'Statement of Marks'!A149)</f>
        <v>143</v>
      </c>
      <c r="B150" s="804" t="str">
        <f>IF(OR($D$3="",$L$3=""),"",IF('Statement of Marks'!B149="","",'Statement of Marks'!B149))</f>
        <v/>
      </c>
      <c r="C150" s="805" t="str">
        <f>IF(OR($D$3="",$L$3=""),"",IF('Statement of Marks'!D149="","",'Statement of Marks'!D149))</f>
        <v/>
      </c>
      <c r="D150" s="806" t="str">
        <f>IF(OR($D$3="",$L$3=""),"",IF('Statement of Marks'!E149="","",'Statement of Marks'!E149))</f>
        <v/>
      </c>
      <c r="E150" s="807" t="str">
        <f>IF(OR($D$3="",$L$3=""),"",IF('Statement of Marks'!F149="","",'Statement of Marks'!F149))</f>
        <v/>
      </c>
      <c r="F150" s="807" t="str">
        <f>IF(OR($D$3="",$L$3=""),"",IF('Statement of Marks'!G149="","",'Statement of Marks'!G149))</f>
        <v/>
      </c>
      <c r="G150" s="807" t="str">
        <f>IF(OR($D$3="",$L$3=""),"",IF('Statement of Marks'!H149="","",'Statement of Marks'!H149))</f>
        <v/>
      </c>
      <c r="H150" s="808" t="str">
        <f>IF(OR($D$3="",$L$3=""),"",IF('Statement of Marks'!I149="","",'Statement of Marks'!I149))</f>
        <v/>
      </c>
      <c r="I150" s="808" t="str">
        <f>IF(OR($D$3="",$L$3=""),"",IF('Statement of Marks'!J149="","",'Statement of Marks'!J149))</f>
        <v/>
      </c>
      <c r="J150" s="809" t="str">
        <f>IFERROR(IF($L$3=$AJ$8,'Statement of Marks'!K149,IF($L$3=$AJ$9,'Statement of Marks'!Y149,IF($L$3=$AJ$10,'Statement of Marks'!AN149,IF($L$3=$AJ$11,'Statement of Marks'!BB149,IF($L$3=$AJ$12,'Statement of Marks'!BP149,IF($L$3=$AJ$13,'Statement of Marks'!CE149,IF($L$3=$AJ$14,'Statement of Marks'!CT149,IF($L$3=$AJ$15,'Statement of Marks'!DZ149,IF($L$3=$AJ$16,'Statement of Marks'!EL149,IF($L$3=$AJ$17,('Statement of Marks'!FB149+'Statement of Marks'!FC149),"")))))))))),"")</f>
        <v/>
      </c>
      <c r="K150" s="809" t="str">
        <f>IFERROR(IF($L$3=$AJ$8,'Statement of Marks'!L149,IF($L$3=$AJ$9,'Statement of Marks'!Z149,IF($L$3=$AJ$10,'Statement of Marks'!AO149,IF($L$3=$AJ$11,'Statement of Marks'!BC149,IF($L$3=$AJ$12,'Statement of Marks'!BQ149,IF($L$3=$AJ$13,'Statement of Marks'!CF149,IF($L$3=$AJ$14,'Statement of Marks'!CU149,IF($L$3=$AJ$15,'Statement of Marks'!EA149,IF($L$3=$AJ$16,'Statement of Marks'!EM149,IF($L$3=$AJ$17,('Statement of Marks'!FD149+'Statement of Marks'!FE149),"")))))))))),"")</f>
        <v/>
      </c>
      <c r="L150" s="809" t="str">
        <f>IFERROR(IF($L$3=$AJ$8,'Statement of Marks'!M149,IF($L$3=$AJ$9,'Statement of Marks'!AA149,IF($L$3=$AJ$10,'Statement of Marks'!AP149,IF($L$3=$AJ$11,'Statement of Marks'!BD149,IF($L$3=$AJ$12,'Statement of Marks'!BR149,IF($L$3=$AJ$13,'Statement of Marks'!CG149,IF($L$3=$AJ$14,'Statement of Marks'!CV149,IF($L$3=$AJ$15,'Statement of Marks'!EB149,IF($L$3=$AJ$16,'Statement of Marks'!EN149,IF($L$3=$AJ$17,('Statement of Marks'!FF149+'Statement of Marks'!FG149),"")))))))))),"")</f>
        <v/>
      </c>
      <c r="M150" s="810">
        <f t="shared" si="20"/>
        <v>0</v>
      </c>
      <c r="N150" s="809" t="str">
        <f>IFERROR(IF($L$3=$AJ$8,'Statement of Marks'!O149,IF($L$3=$AJ$9,'Statement of Marks'!AC149,IF($L$3=$AJ$10,'Statement of Marks'!AR149,IF($L$3=$AJ$11,'Statement of Marks'!BF149,IF($L$3=$AJ$12,'Statement of Marks'!BT149,IF($L$3=$AJ$13,'Statement of Marks'!CI149,IF($L$3=$AJ$14,('Statement of Marks'!CX149+'Statement of Marks'!CY149),IF($L$3=$AJ$15,'Statement of Marks'!ED149,IF($L$3=$AJ$16,('Statement of Marks'!EP149+'Statement of Marks'!EQ149),IF($L$3=$AJ$17,('Statement of Marks'!FI149+'Statement of Marks'!FJ149),IF($L$3=$AJ$18,'Statement of Marks'!FU149,IF($L$3=$AJ$19,'Statement of Marks'!GC149,"")))))))))))),"")</f>
        <v/>
      </c>
      <c r="O150" s="811">
        <f>IF($L$3=$AJ$18,'Statement of Marks'!FV149,IF($L$3=$AJ$19,'Statement of Marks'!GD149,IF(AND(M150="NA",N150="NA"),"NA",IF(AND(M150="",N150=""),"",SUM(M150,N150)))))</f>
        <v>0</v>
      </c>
      <c r="P150" s="809" t="str">
        <f>IFERROR(IF($L$3=$AJ$8,'Statement of Marks'!Q149,IF($L$3=$AJ$9,'Statement of Marks'!AE149,IF($L$3=$AJ$10,'Statement of Marks'!AT149,IF($L$3=$AJ$11,'Statement of Marks'!BH149,IF($L$3=$AJ$12,'Statement of Marks'!BV149,IF($L$3=$AJ$13,'Statement of Marks'!CK149,IF($L$3=$AJ$14,('Statement of Marks'!DB149+'Statement of Marks'!DC149),IF($L$3=$AJ$15,'Statement of Marks'!EF149,IF($L$3=$AJ$16,('Statement of Marks'!ET149+'Statement of Marks'!EU149),IF($L$3=$AJ$17,('Statement of Marks'!FM149+'Statement of Marks'!FN149),IF($L$3=$AJ$18,'Statement of Marks'!FW149,IF($L$3=$AJ$19,'Statement of Marks'!GE149,"")))))))))))),"")</f>
        <v/>
      </c>
      <c r="Q150" s="812" t="str">
        <f t="shared" si="23"/>
        <v/>
      </c>
      <c r="R150" s="813">
        <f t="shared" si="21"/>
        <v>0</v>
      </c>
      <c r="S150" s="813" t="str">
        <f t="shared" si="24"/>
        <v/>
      </c>
      <c r="T150" s="813" t="str">
        <f t="shared" si="25"/>
        <v/>
      </c>
      <c r="U150" s="814" t="str">
        <f t="shared" si="26"/>
        <v/>
      </c>
      <c r="V150" s="815" t="str">
        <f t="shared" si="27"/>
        <v/>
      </c>
      <c r="W150" s="816" t="str">
        <f t="shared" si="22"/>
        <v/>
      </c>
    </row>
    <row r="151" spans="1:23">
      <c r="A151" s="803">
        <f>IF('Statement of Marks'!A150="","",'Statement of Marks'!A150)</f>
        <v>144</v>
      </c>
      <c r="B151" s="804" t="str">
        <f>IF(OR($D$3="",$L$3=""),"",IF('Statement of Marks'!B150="","",'Statement of Marks'!B150))</f>
        <v/>
      </c>
      <c r="C151" s="805" t="str">
        <f>IF(OR($D$3="",$L$3=""),"",IF('Statement of Marks'!D150="","",'Statement of Marks'!D150))</f>
        <v/>
      </c>
      <c r="D151" s="806" t="str">
        <f>IF(OR($D$3="",$L$3=""),"",IF('Statement of Marks'!E150="","",'Statement of Marks'!E150))</f>
        <v/>
      </c>
      <c r="E151" s="807" t="str">
        <f>IF(OR($D$3="",$L$3=""),"",IF('Statement of Marks'!F150="","",'Statement of Marks'!F150))</f>
        <v/>
      </c>
      <c r="F151" s="807" t="str">
        <f>IF(OR($D$3="",$L$3=""),"",IF('Statement of Marks'!G150="","",'Statement of Marks'!G150))</f>
        <v/>
      </c>
      <c r="G151" s="807" t="str">
        <f>IF(OR($D$3="",$L$3=""),"",IF('Statement of Marks'!H150="","",'Statement of Marks'!H150))</f>
        <v/>
      </c>
      <c r="H151" s="808" t="str">
        <f>IF(OR($D$3="",$L$3=""),"",IF('Statement of Marks'!I150="","",'Statement of Marks'!I150))</f>
        <v/>
      </c>
      <c r="I151" s="808" t="str">
        <f>IF(OR($D$3="",$L$3=""),"",IF('Statement of Marks'!J150="","",'Statement of Marks'!J150))</f>
        <v/>
      </c>
      <c r="J151" s="809" t="str">
        <f>IFERROR(IF($L$3=$AJ$8,'Statement of Marks'!K150,IF($L$3=$AJ$9,'Statement of Marks'!Y150,IF($L$3=$AJ$10,'Statement of Marks'!AN150,IF($L$3=$AJ$11,'Statement of Marks'!BB150,IF($L$3=$AJ$12,'Statement of Marks'!BP150,IF($L$3=$AJ$13,'Statement of Marks'!CE150,IF($L$3=$AJ$14,'Statement of Marks'!CT150,IF($L$3=$AJ$15,'Statement of Marks'!DZ150,IF($L$3=$AJ$16,'Statement of Marks'!EL150,IF($L$3=$AJ$17,('Statement of Marks'!FB150+'Statement of Marks'!FC150),"")))))))))),"")</f>
        <v/>
      </c>
      <c r="K151" s="809" t="str">
        <f>IFERROR(IF($L$3=$AJ$8,'Statement of Marks'!L150,IF($L$3=$AJ$9,'Statement of Marks'!Z150,IF($L$3=$AJ$10,'Statement of Marks'!AO150,IF($L$3=$AJ$11,'Statement of Marks'!BC150,IF($L$3=$AJ$12,'Statement of Marks'!BQ150,IF($L$3=$AJ$13,'Statement of Marks'!CF150,IF($L$3=$AJ$14,'Statement of Marks'!CU150,IF($L$3=$AJ$15,'Statement of Marks'!EA150,IF($L$3=$AJ$16,'Statement of Marks'!EM150,IF($L$3=$AJ$17,('Statement of Marks'!FD150+'Statement of Marks'!FE150),"")))))))))),"")</f>
        <v/>
      </c>
      <c r="L151" s="809" t="str">
        <f>IFERROR(IF($L$3=$AJ$8,'Statement of Marks'!M150,IF($L$3=$AJ$9,'Statement of Marks'!AA150,IF($L$3=$AJ$10,'Statement of Marks'!AP150,IF($L$3=$AJ$11,'Statement of Marks'!BD150,IF($L$3=$AJ$12,'Statement of Marks'!BR150,IF($L$3=$AJ$13,'Statement of Marks'!CG150,IF($L$3=$AJ$14,'Statement of Marks'!CV150,IF($L$3=$AJ$15,'Statement of Marks'!EB150,IF($L$3=$AJ$16,'Statement of Marks'!EN150,IF($L$3=$AJ$17,('Statement of Marks'!FF150+'Statement of Marks'!FG150),"")))))))))),"")</f>
        <v/>
      </c>
      <c r="M151" s="810">
        <f t="shared" si="20"/>
        <v>0</v>
      </c>
      <c r="N151" s="809" t="str">
        <f>IFERROR(IF($L$3=$AJ$8,'Statement of Marks'!O150,IF($L$3=$AJ$9,'Statement of Marks'!AC150,IF($L$3=$AJ$10,'Statement of Marks'!AR150,IF($L$3=$AJ$11,'Statement of Marks'!BF150,IF($L$3=$AJ$12,'Statement of Marks'!BT150,IF($L$3=$AJ$13,'Statement of Marks'!CI150,IF($L$3=$AJ$14,('Statement of Marks'!CX150+'Statement of Marks'!CY150),IF($L$3=$AJ$15,'Statement of Marks'!ED150,IF($L$3=$AJ$16,('Statement of Marks'!EP150+'Statement of Marks'!EQ150),IF($L$3=$AJ$17,('Statement of Marks'!FI150+'Statement of Marks'!FJ150),IF($L$3=$AJ$18,'Statement of Marks'!FU150,IF($L$3=$AJ$19,'Statement of Marks'!GC150,"")))))))))))),"")</f>
        <v/>
      </c>
      <c r="O151" s="811">
        <f>IF($L$3=$AJ$18,'Statement of Marks'!FV150,IF($L$3=$AJ$19,'Statement of Marks'!GD150,IF(AND(M151="NA",N151="NA"),"NA",IF(AND(M151="",N151=""),"",SUM(M151,N151)))))</f>
        <v>0</v>
      </c>
      <c r="P151" s="809" t="str">
        <f>IFERROR(IF($L$3=$AJ$8,'Statement of Marks'!Q150,IF($L$3=$AJ$9,'Statement of Marks'!AE150,IF($L$3=$AJ$10,'Statement of Marks'!AT150,IF($L$3=$AJ$11,'Statement of Marks'!BH150,IF($L$3=$AJ$12,'Statement of Marks'!BV150,IF($L$3=$AJ$13,'Statement of Marks'!CK150,IF($L$3=$AJ$14,('Statement of Marks'!DB150+'Statement of Marks'!DC150),IF($L$3=$AJ$15,'Statement of Marks'!EF150,IF($L$3=$AJ$16,('Statement of Marks'!ET150+'Statement of Marks'!EU150),IF($L$3=$AJ$17,('Statement of Marks'!FM150+'Statement of Marks'!FN150),IF($L$3=$AJ$18,'Statement of Marks'!FW150,IF($L$3=$AJ$19,'Statement of Marks'!GE150,"")))))))))))),"")</f>
        <v/>
      </c>
      <c r="Q151" s="812" t="str">
        <f t="shared" si="23"/>
        <v/>
      </c>
      <c r="R151" s="813">
        <f t="shared" si="21"/>
        <v>0</v>
      </c>
      <c r="S151" s="813" t="str">
        <f t="shared" si="24"/>
        <v/>
      </c>
      <c r="T151" s="813" t="str">
        <f t="shared" si="25"/>
        <v/>
      </c>
      <c r="U151" s="814" t="str">
        <f t="shared" si="26"/>
        <v/>
      </c>
      <c r="V151" s="815" t="str">
        <f t="shared" si="27"/>
        <v/>
      </c>
      <c r="W151" s="816" t="str">
        <f t="shared" si="22"/>
        <v/>
      </c>
    </row>
    <row r="152" spans="1:23">
      <c r="A152" s="803">
        <f>IF('Statement of Marks'!A151="","",'Statement of Marks'!A151)</f>
        <v>145</v>
      </c>
      <c r="B152" s="804" t="str">
        <f>IF(OR($D$3="",$L$3=""),"",IF('Statement of Marks'!B151="","",'Statement of Marks'!B151))</f>
        <v/>
      </c>
      <c r="C152" s="805" t="str">
        <f>IF(OR($D$3="",$L$3=""),"",IF('Statement of Marks'!D151="","",'Statement of Marks'!D151))</f>
        <v/>
      </c>
      <c r="D152" s="806" t="str">
        <f>IF(OR($D$3="",$L$3=""),"",IF('Statement of Marks'!E151="","",'Statement of Marks'!E151))</f>
        <v/>
      </c>
      <c r="E152" s="807" t="str">
        <f>IF(OR($D$3="",$L$3=""),"",IF('Statement of Marks'!F151="","",'Statement of Marks'!F151))</f>
        <v/>
      </c>
      <c r="F152" s="807" t="str">
        <f>IF(OR($D$3="",$L$3=""),"",IF('Statement of Marks'!G151="","",'Statement of Marks'!G151))</f>
        <v/>
      </c>
      <c r="G152" s="807" t="str">
        <f>IF(OR($D$3="",$L$3=""),"",IF('Statement of Marks'!H151="","",'Statement of Marks'!H151))</f>
        <v/>
      </c>
      <c r="H152" s="808" t="str">
        <f>IF(OR($D$3="",$L$3=""),"",IF('Statement of Marks'!I151="","",'Statement of Marks'!I151))</f>
        <v/>
      </c>
      <c r="I152" s="808" t="str">
        <f>IF(OR($D$3="",$L$3=""),"",IF('Statement of Marks'!J151="","",'Statement of Marks'!J151))</f>
        <v/>
      </c>
      <c r="J152" s="809" t="str">
        <f>IFERROR(IF($L$3=$AJ$8,'Statement of Marks'!K151,IF($L$3=$AJ$9,'Statement of Marks'!Y151,IF($L$3=$AJ$10,'Statement of Marks'!AN151,IF($L$3=$AJ$11,'Statement of Marks'!BB151,IF($L$3=$AJ$12,'Statement of Marks'!BP151,IF($L$3=$AJ$13,'Statement of Marks'!CE151,IF($L$3=$AJ$14,'Statement of Marks'!CT151,IF($L$3=$AJ$15,'Statement of Marks'!DZ151,IF($L$3=$AJ$16,'Statement of Marks'!EL151,IF($L$3=$AJ$17,('Statement of Marks'!FB151+'Statement of Marks'!FC151),"")))))))))),"")</f>
        <v/>
      </c>
      <c r="K152" s="809" t="str">
        <f>IFERROR(IF($L$3=$AJ$8,'Statement of Marks'!L151,IF($L$3=$AJ$9,'Statement of Marks'!Z151,IF($L$3=$AJ$10,'Statement of Marks'!AO151,IF($L$3=$AJ$11,'Statement of Marks'!BC151,IF($L$3=$AJ$12,'Statement of Marks'!BQ151,IF($L$3=$AJ$13,'Statement of Marks'!CF151,IF($L$3=$AJ$14,'Statement of Marks'!CU151,IF($L$3=$AJ$15,'Statement of Marks'!EA151,IF($L$3=$AJ$16,'Statement of Marks'!EM151,IF($L$3=$AJ$17,('Statement of Marks'!FD151+'Statement of Marks'!FE151),"")))))))))),"")</f>
        <v/>
      </c>
      <c r="L152" s="809" t="str">
        <f>IFERROR(IF($L$3=$AJ$8,'Statement of Marks'!M151,IF($L$3=$AJ$9,'Statement of Marks'!AA151,IF($L$3=$AJ$10,'Statement of Marks'!AP151,IF($L$3=$AJ$11,'Statement of Marks'!BD151,IF($L$3=$AJ$12,'Statement of Marks'!BR151,IF($L$3=$AJ$13,'Statement of Marks'!CG151,IF($L$3=$AJ$14,'Statement of Marks'!CV151,IF($L$3=$AJ$15,'Statement of Marks'!EB151,IF($L$3=$AJ$16,'Statement of Marks'!EN151,IF($L$3=$AJ$17,('Statement of Marks'!FF151+'Statement of Marks'!FG151),"")))))))))),"")</f>
        <v/>
      </c>
      <c r="M152" s="810">
        <f t="shared" si="20"/>
        <v>0</v>
      </c>
      <c r="N152" s="809" t="str">
        <f>IFERROR(IF($L$3=$AJ$8,'Statement of Marks'!O151,IF($L$3=$AJ$9,'Statement of Marks'!AC151,IF($L$3=$AJ$10,'Statement of Marks'!AR151,IF($L$3=$AJ$11,'Statement of Marks'!BF151,IF($L$3=$AJ$12,'Statement of Marks'!BT151,IF($L$3=$AJ$13,'Statement of Marks'!CI151,IF($L$3=$AJ$14,('Statement of Marks'!CX151+'Statement of Marks'!CY151),IF($L$3=$AJ$15,'Statement of Marks'!ED151,IF($L$3=$AJ$16,('Statement of Marks'!EP151+'Statement of Marks'!EQ151),IF($L$3=$AJ$17,('Statement of Marks'!FI151+'Statement of Marks'!FJ151),IF($L$3=$AJ$18,'Statement of Marks'!FU151,IF($L$3=$AJ$19,'Statement of Marks'!GC151,"")))))))))))),"")</f>
        <v/>
      </c>
      <c r="O152" s="811">
        <f>IF($L$3=$AJ$18,'Statement of Marks'!FV151,IF($L$3=$AJ$19,'Statement of Marks'!GD151,IF(AND(M152="NA",N152="NA"),"NA",IF(AND(M152="",N152=""),"",SUM(M152,N152)))))</f>
        <v>0</v>
      </c>
      <c r="P152" s="809" t="str">
        <f>IFERROR(IF($L$3=$AJ$8,'Statement of Marks'!Q151,IF($L$3=$AJ$9,'Statement of Marks'!AE151,IF($L$3=$AJ$10,'Statement of Marks'!AT151,IF($L$3=$AJ$11,'Statement of Marks'!BH151,IF($L$3=$AJ$12,'Statement of Marks'!BV151,IF($L$3=$AJ$13,'Statement of Marks'!CK151,IF($L$3=$AJ$14,('Statement of Marks'!DB151+'Statement of Marks'!DC151),IF($L$3=$AJ$15,'Statement of Marks'!EF151,IF($L$3=$AJ$16,('Statement of Marks'!ET151+'Statement of Marks'!EU151),IF($L$3=$AJ$17,('Statement of Marks'!FM151+'Statement of Marks'!FN151),IF($L$3=$AJ$18,'Statement of Marks'!FW151,IF($L$3=$AJ$19,'Statement of Marks'!GE151,"")))))))))))),"")</f>
        <v/>
      </c>
      <c r="Q152" s="812" t="str">
        <f t="shared" si="23"/>
        <v/>
      </c>
      <c r="R152" s="813">
        <f t="shared" si="21"/>
        <v>0</v>
      </c>
      <c r="S152" s="813" t="str">
        <f t="shared" si="24"/>
        <v/>
      </c>
      <c r="T152" s="813" t="str">
        <f t="shared" si="25"/>
        <v/>
      </c>
      <c r="U152" s="814" t="str">
        <f t="shared" si="26"/>
        <v/>
      </c>
      <c r="V152" s="815" t="str">
        <f t="shared" si="27"/>
        <v/>
      </c>
      <c r="W152" s="816" t="str">
        <f t="shared" si="22"/>
        <v/>
      </c>
    </row>
    <row r="153" spans="1:23">
      <c r="A153" s="803">
        <f>IF('Statement of Marks'!A152="","",'Statement of Marks'!A152)</f>
        <v>146</v>
      </c>
      <c r="B153" s="804" t="str">
        <f>IF(OR($D$3="",$L$3=""),"",IF('Statement of Marks'!B152="","",'Statement of Marks'!B152))</f>
        <v/>
      </c>
      <c r="C153" s="805" t="str">
        <f>IF(OR($D$3="",$L$3=""),"",IF('Statement of Marks'!D152="","",'Statement of Marks'!D152))</f>
        <v/>
      </c>
      <c r="D153" s="806" t="str">
        <f>IF(OR($D$3="",$L$3=""),"",IF('Statement of Marks'!E152="","",'Statement of Marks'!E152))</f>
        <v/>
      </c>
      <c r="E153" s="807" t="str">
        <f>IF(OR($D$3="",$L$3=""),"",IF('Statement of Marks'!F152="","",'Statement of Marks'!F152))</f>
        <v/>
      </c>
      <c r="F153" s="807" t="str">
        <f>IF(OR($D$3="",$L$3=""),"",IF('Statement of Marks'!G152="","",'Statement of Marks'!G152))</f>
        <v/>
      </c>
      <c r="G153" s="807" t="str">
        <f>IF(OR($D$3="",$L$3=""),"",IF('Statement of Marks'!H152="","",'Statement of Marks'!H152))</f>
        <v/>
      </c>
      <c r="H153" s="808" t="str">
        <f>IF(OR($D$3="",$L$3=""),"",IF('Statement of Marks'!I152="","",'Statement of Marks'!I152))</f>
        <v/>
      </c>
      <c r="I153" s="808" t="str">
        <f>IF(OR($D$3="",$L$3=""),"",IF('Statement of Marks'!J152="","",'Statement of Marks'!J152))</f>
        <v/>
      </c>
      <c r="J153" s="809" t="str">
        <f>IFERROR(IF($L$3=$AJ$8,'Statement of Marks'!K152,IF($L$3=$AJ$9,'Statement of Marks'!Y152,IF($L$3=$AJ$10,'Statement of Marks'!AN152,IF($L$3=$AJ$11,'Statement of Marks'!BB152,IF($L$3=$AJ$12,'Statement of Marks'!BP152,IF($L$3=$AJ$13,'Statement of Marks'!CE152,IF($L$3=$AJ$14,'Statement of Marks'!CT152,IF($L$3=$AJ$15,'Statement of Marks'!DZ152,IF($L$3=$AJ$16,'Statement of Marks'!EL152,IF($L$3=$AJ$17,('Statement of Marks'!FB152+'Statement of Marks'!FC152),"")))))))))),"")</f>
        <v/>
      </c>
      <c r="K153" s="809" t="str">
        <f>IFERROR(IF($L$3=$AJ$8,'Statement of Marks'!L152,IF($L$3=$AJ$9,'Statement of Marks'!Z152,IF($L$3=$AJ$10,'Statement of Marks'!AO152,IF($L$3=$AJ$11,'Statement of Marks'!BC152,IF($L$3=$AJ$12,'Statement of Marks'!BQ152,IF($L$3=$AJ$13,'Statement of Marks'!CF152,IF($L$3=$AJ$14,'Statement of Marks'!CU152,IF($L$3=$AJ$15,'Statement of Marks'!EA152,IF($L$3=$AJ$16,'Statement of Marks'!EM152,IF($L$3=$AJ$17,('Statement of Marks'!FD152+'Statement of Marks'!FE152),"")))))))))),"")</f>
        <v/>
      </c>
      <c r="L153" s="809" t="str">
        <f>IFERROR(IF($L$3=$AJ$8,'Statement of Marks'!M152,IF($L$3=$AJ$9,'Statement of Marks'!AA152,IF($L$3=$AJ$10,'Statement of Marks'!AP152,IF($L$3=$AJ$11,'Statement of Marks'!BD152,IF($L$3=$AJ$12,'Statement of Marks'!BR152,IF($L$3=$AJ$13,'Statement of Marks'!CG152,IF($L$3=$AJ$14,'Statement of Marks'!CV152,IF($L$3=$AJ$15,'Statement of Marks'!EB152,IF($L$3=$AJ$16,'Statement of Marks'!EN152,IF($L$3=$AJ$17,('Statement of Marks'!FF152+'Statement of Marks'!FG152),"")))))))))),"")</f>
        <v/>
      </c>
      <c r="M153" s="810">
        <f t="shared" si="20"/>
        <v>0</v>
      </c>
      <c r="N153" s="809" t="str">
        <f>IFERROR(IF($L$3=$AJ$8,'Statement of Marks'!O152,IF($L$3=$AJ$9,'Statement of Marks'!AC152,IF($L$3=$AJ$10,'Statement of Marks'!AR152,IF($L$3=$AJ$11,'Statement of Marks'!BF152,IF($L$3=$AJ$12,'Statement of Marks'!BT152,IF($L$3=$AJ$13,'Statement of Marks'!CI152,IF($L$3=$AJ$14,('Statement of Marks'!CX152+'Statement of Marks'!CY152),IF($L$3=$AJ$15,'Statement of Marks'!ED152,IF($L$3=$AJ$16,('Statement of Marks'!EP152+'Statement of Marks'!EQ152),IF($L$3=$AJ$17,('Statement of Marks'!FI152+'Statement of Marks'!FJ152),IF($L$3=$AJ$18,'Statement of Marks'!FU152,IF($L$3=$AJ$19,'Statement of Marks'!GC152,"")))))))))))),"")</f>
        <v/>
      </c>
      <c r="O153" s="811">
        <f>IF($L$3=$AJ$18,'Statement of Marks'!FV152,IF($L$3=$AJ$19,'Statement of Marks'!GD152,IF(AND(M153="NA",N153="NA"),"NA",IF(AND(M153="",N153=""),"",SUM(M153,N153)))))</f>
        <v>0</v>
      </c>
      <c r="P153" s="809" t="str">
        <f>IFERROR(IF($L$3=$AJ$8,'Statement of Marks'!Q152,IF($L$3=$AJ$9,'Statement of Marks'!AE152,IF($L$3=$AJ$10,'Statement of Marks'!AT152,IF($L$3=$AJ$11,'Statement of Marks'!BH152,IF($L$3=$AJ$12,'Statement of Marks'!BV152,IF($L$3=$AJ$13,'Statement of Marks'!CK152,IF($L$3=$AJ$14,('Statement of Marks'!DB152+'Statement of Marks'!DC152),IF($L$3=$AJ$15,'Statement of Marks'!EF152,IF($L$3=$AJ$16,('Statement of Marks'!ET152+'Statement of Marks'!EU152),IF($L$3=$AJ$17,('Statement of Marks'!FM152+'Statement of Marks'!FN152),IF($L$3=$AJ$18,'Statement of Marks'!FW152,IF($L$3=$AJ$19,'Statement of Marks'!GE152,"")))))))))))),"")</f>
        <v/>
      </c>
      <c r="Q153" s="812" t="str">
        <f t="shared" si="23"/>
        <v/>
      </c>
      <c r="R153" s="813">
        <f t="shared" si="21"/>
        <v>0</v>
      </c>
      <c r="S153" s="813" t="str">
        <f t="shared" si="24"/>
        <v/>
      </c>
      <c r="T153" s="813" t="str">
        <f t="shared" si="25"/>
        <v/>
      </c>
      <c r="U153" s="814" t="str">
        <f t="shared" si="26"/>
        <v/>
      </c>
      <c r="V153" s="815" t="str">
        <f t="shared" si="27"/>
        <v/>
      </c>
      <c r="W153" s="816" t="str">
        <f t="shared" si="22"/>
        <v/>
      </c>
    </row>
    <row r="154" spans="1:23">
      <c r="A154" s="803">
        <f>IF('Statement of Marks'!A153="","",'Statement of Marks'!A153)</f>
        <v>147</v>
      </c>
      <c r="B154" s="804" t="str">
        <f>IF(OR($D$3="",$L$3=""),"",IF('Statement of Marks'!B153="","",'Statement of Marks'!B153))</f>
        <v/>
      </c>
      <c r="C154" s="805" t="str">
        <f>IF(OR($D$3="",$L$3=""),"",IF('Statement of Marks'!D153="","",'Statement of Marks'!D153))</f>
        <v/>
      </c>
      <c r="D154" s="806" t="str">
        <f>IF(OR($D$3="",$L$3=""),"",IF('Statement of Marks'!E153="","",'Statement of Marks'!E153))</f>
        <v/>
      </c>
      <c r="E154" s="807" t="str">
        <f>IF(OR($D$3="",$L$3=""),"",IF('Statement of Marks'!F153="","",'Statement of Marks'!F153))</f>
        <v/>
      </c>
      <c r="F154" s="807" t="str">
        <f>IF(OR($D$3="",$L$3=""),"",IF('Statement of Marks'!G153="","",'Statement of Marks'!G153))</f>
        <v/>
      </c>
      <c r="G154" s="807" t="str">
        <f>IF(OR($D$3="",$L$3=""),"",IF('Statement of Marks'!H153="","",'Statement of Marks'!H153))</f>
        <v/>
      </c>
      <c r="H154" s="808" t="str">
        <f>IF(OR($D$3="",$L$3=""),"",IF('Statement of Marks'!I153="","",'Statement of Marks'!I153))</f>
        <v/>
      </c>
      <c r="I154" s="808" t="str">
        <f>IF(OR($D$3="",$L$3=""),"",IF('Statement of Marks'!J153="","",'Statement of Marks'!J153))</f>
        <v/>
      </c>
      <c r="J154" s="809" t="str">
        <f>IFERROR(IF($L$3=$AJ$8,'Statement of Marks'!K153,IF($L$3=$AJ$9,'Statement of Marks'!Y153,IF($L$3=$AJ$10,'Statement of Marks'!AN153,IF($L$3=$AJ$11,'Statement of Marks'!BB153,IF($L$3=$AJ$12,'Statement of Marks'!BP153,IF($L$3=$AJ$13,'Statement of Marks'!CE153,IF($L$3=$AJ$14,'Statement of Marks'!CT153,IF($L$3=$AJ$15,'Statement of Marks'!DZ153,IF($L$3=$AJ$16,'Statement of Marks'!EL153,IF($L$3=$AJ$17,('Statement of Marks'!FB153+'Statement of Marks'!FC153),"")))))))))),"")</f>
        <v/>
      </c>
      <c r="K154" s="809" t="str">
        <f>IFERROR(IF($L$3=$AJ$8,'Statement of Marks'!L153,IF($L$3=$AJ$9,'Statement of Marks'!Z153,IF($L$3=$AJ$10,'Statement of Marks'!AO153,IF($L$3=$AJ$11,'Statement of Marks'!BC153,IF($L$3=$AJ$12,'Statement of Marks'!BQ153,IF($L$3=$AJ$13,'Statement of Marks'!CF153,IF($L$3=$AJ$14,'Statement of Marks'!CU153,IF($L$3=$AJ$15,'Statement of Marks'!EA153,IF($L$3=$AJ$16,'Statement of Marks'!EM153,IF($L$3=$AJ$17,('Statement of Marks'!FD153+'Statement of Marks'!FE153),"")))))))))),"")</f>
        <v/>
      </c>
      <c r="L154" s="809" t="str">
        <f>IFERROR(IF($L$3=$AJ$8,'Statement of Marks'!M153,IF($L$3=$AJ$9,'Statement of Marks'!AA153,IF($L$3=$AJ$10,'Statement of Marks'!AP153,IF($L$3=$AJ$11,'Statement of Marks'!BD153,IF($L$3=$AJ$12,'Statement of Marks'!BR153,IF($L$3=$AJ$13,'Statement of Marks'!CG153,IF($L$3=$AJ$14,'Statement of Marks'!CV153,IF($L$3=$AJ$15,'Statement of Marks'!EB153,IF($L$3=$AJ$16,'Statement of Marks'!EN153,IF($L$3=$AJ$17,('Statement of Marks'!FF153+'Statement of Marks'!FG153),"")))))))))),"")</f>
        <v/>
      </c>
      <c r="M154" s="810">
        <f t="shared" si="20"/>
        <v>0</v>
      </c>
      <c r="N154" s="809" t="str">
        <f>IFERROR(IF($L$3=$AJ$8,'Statement of Marks'!O153,IF($L$3=$AJ$9,'Statement of Marks'!AC153,IF($L$3=$AJ$10,'Statement of Marks'!AR153,IF($L$3=$AJ$11,'Statement of Marks'!BF153,IF($L$3=$AJ$12,'Statement of Marks'!BT153,IF($L$3=$AJ$13,'Statement of Marks'!CI153,IF($L$3=$AJ$14,('Statement of Marks'!CX153+'Statement of Marks'!CY153),IF($L$3=$AJ$15,'Statement of Marks'!ED153,IF($L$3=$AJ$16,('Statement of Marks'!EP153+'Statement of Marks'!EQ153),IF($L$3=$AJ$17,('Statement of Marks'!FI153+'Statement of Marks'!FJ153),IF($L$3=$AJ$18,'Statement of Marks'!FU153,IF($L$3=$AJ$19,'Statement of Marks'!GC153,"")))))))))))),"")</f>
        <v/>
      </c>
      <c r="O154" s="811">
        <f>IF($L$3=$AJ$18,'Statement of Marks'!FV153,IF($L$3=$AJ$19,'Statement of Marks'!GD153,IF(AND(M154="NA",N154="NA"),"NA",IF(AND(M154="",N154=""),"",SUM(M154,N154)))))</f>
        <v>0</v>
      </c>
      <c r="P154" s="809" t="str">
        <f>IFERROR(IF($L$3=$AJ$8,'Statement of Marks'!Q153,IF($L$3=$AJ$9,'Statement of Marks'!AE153,IF($L$3=$AJ$10,'Statement of Marks'!AT153,IF($L$3=$AJ$11,'Statement of Marks'!BH153,IF($L$3=$AJ$12,'Statement of Marks'!BV153,IF($L$3=$AJ$13,'Statement of Marks'!CK153,IF($L$3=$AJ$14,('Statement of Marks'!DB153+'Statement of Marks'!DC153),IF($L$3=$AJ$15,'Statement of Marks'!EF153,IF($L$3=$AJ$16,('Statement of Marks'!ET153+'Statement of Marks'!EU153),IF($L$3=$AJ$17,('Statement of Marks'!FM153+'Statement of Marks'!FN153),IF($L$3=$AJ$18,'Statement of Marks'!FW153,IF($L$3=$AJ$19,'Statement of Marks'!GE153,"")))))))))))),"")</f>
        <v/>
      </c>
      <c r="Q154" s="812" t="str">
        <f t="shared" si="23"/>
        <v/>
      </c>
      <c r="R154" s="813">
        <f t="shared" si="21"/>
        <v>0</v>
      </c>
      <c r="S154" s="813" t="str">
        <f t="shared" si="24"/>
        <v/>
      </c>
      <c r="T154" s="813" t="str">
        <f t="shared" si="25"/>
        <v/>
      </c>
      <c r="U154" s="814" t="str">
        <f t="shared" si="26"/>
        <v/>
      </c>
      <c r="V154" s="815" t="str">
        <f t="shared" si="27"/>
        <v/>
      </c>
      <c r="W154" s="816" t="str">
        <f t="shared" si="22"/>
        <v/>
      </c>
    </row>
    <row r="155" spans="1:23">
      <c r="A155" s="803">
        <f>IF('Statement of Marks'!A154="","",'Statement of Marks'!A154)</f>
        <v>148</v>
      </c>
      <c r="B155" s="804" t="str">
        <f>IF(OR($D$3="",$L$3=""),"",IF('Statement of Marks'!B154="","",'Statement of Marks'!B154))</f>
        <v/>
      </c>
      <c r="C155" s="805" t="str">
        <f>IF(OR($D$3="",$L$3=""),"",IF('Statement of Marks'!D154="","",'Statement of Marks'!D154))</f>
        <v/>
      </c>
      <c r="D155" s="806" t="str">
        <f>IF(OR($D$3="",$L$3=""),"",IF('Statement of Marks'!E154="","",'Statement of Marks'!E154))</f>
        <v/>
      </c>
      <c r="E155" s="807" t="str">
        <f>IF(OR($D$3="",$L$3=""),"",IF('Statement of Marks'!F154="","",'Statement of Marks'!F154))</f>
        <v/>
      </c>
      <c r="F155" s="807" t="str">
        <f>IF(OR($D$3="",$L$3=""),"",IF('Statement of Marks'!G154="","",'Statement of Marks'!G154))</f>
        <v/>
      </c>
      <c r="G155" s="807" t="str">
        <f>IF(OR($D$3="",$L$3=""),"",IF('Statement of Marks'!H154="","",'Statement of Marks'!H154))</f>
        <v/>
      </c>
      <c r="H155" s="808" t="str">
        <f>IF(OR($D$3="",$L$3=""),"",IF('Statement of Marks'!I154="","",'Statement of Marks'!I154))</f>
        <v/>
      </c>
      <c r="I155" s="808" t="str">
        <f>IF(OR($D$3="",$L$3=""),"",IF('Statement of Marks'!J154="","",'Statement of Marks'!J154))</f>
        <v/>
      </c>
      <c r="J155" s="809" t="str">
        <f>IFERROR(IF($L$3=$AJ$8,'Statement of Marks'!K154,IF($L$3=$AJ$9,'Statement of Marks'!Y154,IF($L$3=$AJ$10,'Statement of Marks'!AN154,IF($L$3=$AJ$11,'Statement of Marks'!BB154,IF($L$3=$AJ$12,'Statement of Marks'!BP154,IF($L$3=$AJ$13,'Statement of Marks'!CE154,IF($L$3=$AJ$14,'Statement of Marks'!CT154,IF($L$3=$AJ$15,'Statement of Marks'!DZ154,IF($L$3=$AJ$16,'Statement of Marks'!EL154,IF($L$3=$AJ$17,('Statement of Marks'!FB154+'Statement of Marks'!FC154),"")))))))))),"")</f>
        <v/>
      </c>
      <c r="K155" s="809" t="str">
        <f>IFERROR(IF($L$3=$AJ$8,'Statement of Marks'!L154,IF($L$3=$AJ$9,'Statement of Marks'!Z154,IF($L$3=$AJ$10,'Statement of Marks'!AO154,IF($L$3=$AJ$11,'Statement of Marks'!BC154,IF($L$3=$AJ$12,'Statement of Marks'!BQ154,IF($L$3=$AJ$13,'Statement of Marks'!CF154,IF($L$3=$AJ$14,'Statement of Marks'!CU154,IF($L$3=$AJ$15,'Statement of Marks'!EA154,IF($L$3=$AJ$16,'Statement of Marks'!EM154,IF($L$3=$AJ$17,('Statement of Marks'!FD154+'Statement of Marks'!FE154),"")))))))))),"")</f>
        <v/>
      </c>
      <c r="L155" s="809" t="str">
        <f>IFERROR(IF($L$3=$AJ$8,'Statement of Marks'!M154,IF($L$3=$AJ$9,'Statement of Marks'!AA154,IF($L$3=$AJ$10,'Statement of Marks'!AP154,IF($L$3=$AJ$11,'Statement of Marks'!BD154,IF($L$3=$AJ$12,'Statement of Marks'!BR154,IF($L$3=$AJ$13,'Statement of Marks'!CG154,IF($L$3=$AJ$14,'Statement of Marks'!CV154,IF($L$3=$AJ$15,'Statement of Marks'!EB154,IF($L$3=$AJ$16,'Statement of Marks'!EN154,IF($L$3=$AJ$17,('Statement of Marks'!FF154+'Statement of Marks'!FG154),"")))))))))),"")</f>
        <v/>
      </c>
      <c r="M155" s="810">
        <f t="shared" si="20"/>
        <v>0</v>
      </c>
      <c r="N155" s="809" t="str">
        <f>IFERROR(IF($L$3=$AJ$8,'Statement of Marks'!O154,IF($L$3=$AJ$9,'Statement of Marks'!AC154,IF($L$3=$AJ$10,'Statement of Marks'!AR154,IF($L$3=$AJ$11,'Statement of Marks'!BF154,IF($L$3=$AJ$12,'Statement of Marks'!BT154,IF($L$3=$AJ$13,'Statement of Marks'!CI154,IF($L$3=$AJ$14,('Statement of Marks'!CX154+'Statement of Marks'!CY154),IF($L$3=$AJ$15,'Statement of Marks'!ED154,IF($L$3=$AJ$16,('Statement of Marks'!EP154+'Statement of Marks'!EQ154),IF($L$3=$AJ$17,('Statement of Marks'!FI154+'Statement of Marks'!FJ154),IF($L$3=$AJ$18,'Statement of Marks'!FU154,IF($L$3=$AJ$19,'Statement of Marks'!GC154,"")))))))))))),"")</f>
        <v/>
      </c>
      <c r="O155" s="811">
        <f>IF($L$3=$AJ$18,'Statement of Marks'!FV154,IF($L$3=$AJ$19,'Statement of Marks'!GD154,IF(AND(M155="NA",N155="NA"),"NA",IF(AND(M155="",N155=""),"",SUM(M155,N155)))))</f>
        <v>0</v>
      </c>
      <c r="P155" s="809" t="str">
        <f>IFERROR(IF($L$3=$AJ$8,'Statement of Marks'!Q154,IF($L$3=$AJ$9,'Statement of Marks'!AE154,IF($L$3=$AJ$10,'Statement of Marks'!AT154,IF($L$3=$AJ$11,'Statement of Marks'!BH154,IF($L$3=$AJ$12,'Statement of Marks'!BV154,IF($L$3=$AJ$13,'Statement of Marks'!CK154,IF($L$3=$AJ$14,('Statement of Marks'!DB154+'Statement of Marks'!DC154),IF($L$3=$AJ$15,'Statement of Marks'!EF154,IF($L$3=$AJ$16,('Statement of Marks'!ET154+'Statement of Marks'!EU154),IF($L$3=$AJ$17,('Statement of Marks'!FM154+'Statement of Marks'!FN154),IF($L$3=$AJ$18,'Statement of Marks'!FW154,IF($L$3=$AJ$19,'Statement of Marks'!GE154,"")))))))))))),"")</f>
        <v/>
      </c>
      <c r="Q155" s="812" t="str">
        <f t="shared" si="23"/>
        <v/>
      </c>
      <c r="R155" s="813">
        <f t="shared" si="21"/>
        <v>0</v>
      </c>
      <c r="S155" s="813" t="str">
        <f t="shared" si="24"/>
        <v/>
      </c>
      <c r="T155" s="813" t="str">
        <f t="shared" si="25"/>
        <v/>
      </c>
      <c r="U155" s="814" t="str">
        <f t="shared" si="26"/>
        <v/>
      </c>
      <c r="V155" s="815" t="str">
        <f t="shared" si="27"/>
        <v/>
      </c>
      <c r="W155" s="816" t="str">
        <f t="shared" si="22"/>
        <v/>
      </c>
    </row>
    <row r="156" spans="1:23">
      <c r="A156" s="803">
        <f>IF('Statement of Marks'!A155="","",'Statement of Marks'!A155)</f>
        <v>149</v>
      </c>
      <c r="B156" s="804" t="str">
        <f>IF(OR($D$3="",$L$3=""),"",IF('Statement of Marks'!B155="","",'Statement of Marks'!B155))</f>
        <v/>
      </c>
      <c r="C156" s="805" t="str">
        <f>IF(OR($D$3="",$L$3=""),"",IF('Statement of Marks'!D155="","",'Statement of Marks'!D155))</f>
        <v/>
      </c>
      <c r="D156" s="806" t="str">
        <f>IF(OR($D$3="",$L$3=""),"",IF('Statement of Marks'!E155="","",'Statement of Marks'!E155))</f>
        <v/>
      </c>
      <c r="E156" s="807" t="str">
        <f>IF(OR($D$3="",$L$3=""),"",IF('Statement of Marks'!F155="","",'Statement of Marks'!F155))</f>
        <v/>
      </c>
      <c r="F156" s="807" t="str">
        <f>IF(OR($D$3="",$L$3=""),"",IF('Statement of Marks'!G155="","",'Statement of Marks'!G155))</f>
        <v/>
      </c>
      <c r="G156" s="807" t="str">
        <f>IF(OR($D$3="",$L$3=""),"",IF('Statement of Marks'!H155="","",'Statement of Marks'!H155))</f>
        <v/>
      </c>
      <c r="H156" s="808" t="str">
        <f>IF(OR($D$3="",$L$3=""),"",IF('Statement of Marks'!I155="","",'Statement of Marks'!I155))</f>
        <v/>
      </c>
      <c r="I156" s="808" t="str">
        <f>IF(OR($D$3="",$L$3=""),"",IF('Statement of Marks'!J155="","",'Statement of Marks'!J155))</f>
        <v/>
      </c>
      <c r="J156" s="809" t="str">
        <f>IFERROR(IF($L$3=$AJ$8,'Statement of Marks'!K155,IF($L$3=$AJ$9,'Statement of Marks'!Y155,IF($L$3=$AJ$10,'Statement of Marks'!AN155,IF($L$3=$AJ$11,'Statement of Marks'!BB155,IF($L$3=$AJ$12,'Statement of Marks'!BP155,IF($L$3=$AJ$13,'Statement of Marks'!CE155,IF($L$3=$AJ$14,'Statement of Marks'!CT155,IF($L$3=$AJ$15,'Statement of Marks'!DZ155,IF($L$3=$AJ$16,'Statement of Marks'!EL155,IF($L$3=$AJ$17,('Statement of Marks'!FB155+'Statement of Marks'!FC155),"")))))))))),"")</f>
        <v/>
      </c>
      <c r="K156" s="809" t="str">
        <f>IFERROR(IF($L$3=$AJ$8,'Statement of Marks'!L155,IF($L$3=$AJ$9,'Statement of Marks'!Z155,IF($L$3=$AJ$10,'Statement of Marks'!AO155,IF($L$3=$AJ$11,'Statement of Marks'!BC155,IF($L$3=$AJ$12,'Statement of Marks'!BQ155,IF($L$3=$AJ$13,'Statement of Marks'!CF155,IF($L$3=$AJ$14,'Statement of Marks'!CU155,IF($L$3=$AJ$15,'Statement of Marks'!EA155,IF($L$3=$AJ$16,'Statement of Marks'!EM155,IF($L$3=$AJ$17,('Statement of Marks'!FD155+'Statement of Marks'!FE155),"")))))))))),"")</f>
        <v/>
      </c>
      <c r="L156" s="809" t="str">
        <f>IFERROR(IF($L$3=$AJ$8,'Statement of Marks'!M155,IF($L$3=$AJ$9,'Statement of Marks'!AA155,IF($L$3=$AJ$10,'Statement of Marks'!AP155,IF($L$3=$AJ$11,'Statement of Marks'!BD155,IF($L$3=$AJ$12,'Statement of Marks'!BR155,IF($L$3=$AJ$13,'Statement of Marks'!CG155,IF($L$3=$AJ$14,'Statement of Marks'!CV155,IF($L$3=$AJ$15,'Statement of Marks'!EB155,IF($L$3=$AJ$16,'Statement of Marks'!EN155,IF($L$3=$AJ$17,('Statement of Marks'!FF155+'Statement of Marks'!FG155),"")))))))))),"")</f>
        <v/>
      </c>
      <c r="M156" s="810">
        <f t="shared" si="20"/>
        <v>0</v>
      </c>
      <c r="N156" s="809" t="str">
        <f>IFERROR(IF($L$3=$AJ$8,'Statement of Marks'!O155,IF($L$3=$AJ$9,'Statement of Marks'!AC155,IF($L$3=$AJ$10,'Statement of Marks'!AR155,IF($L$3=$AJ$11,'Statement of Marks'!BF155,IF($L$3=$AJ$12,'Statement of Marks'!BT155,IF($L$3=$AJ$13,'Statement of Marks'!CI155,IF($L$3=$AJ$14,('Statement of Marks'!CX155+'Statement of Marks'!CY155),IF($L$3=$AJ$15,'Statement of Marks'!ED155,IF($L$3=$AJ$16,('Statement of Marks'!EP155+'Statement of Marks'!EQ155),IF($L$3=$AJ$17,('Statement of Marks'!FI155+'Statement of Marks'!FJ155),IF($L$3=$AJ$18,'Statement of Marks'!FU155,IF($L$3=$AJ$19,'Statement of Marks'!GC155,"")))))))))))),"")</f>
        <v/>
      </c>
      <c r="O156" s="811">
        <f>IF($L$3=$AJ$18,'Statement of Marks'!FV155,IF($L$3=$AJ$19,'Statement of Marks'!GD155,IF(AND(M156="NA",N156="NA"),"NA",IF(AND(M156="",N156=""),"",SUM(M156,N156)))))</f>
        <v>0</v>
      </c>
      <c r="P156" s="809" t="str">
        <f>IFERROR(IF($L$3=$AJ$8,'Statement of Marks'!Q155,IF($L$3=$AJ$9,'Statement of Marks'!AE155,IF($L$3=$AJ$10,'Statement of Marks'!AT155,IF($L$3=$AJ$11,'Statement of Marks'!BH155,IF($L$3=$AJ$12,'Statement of Marks'!BV155,IF($L$3=$AJ$13,'Statement of Marks'!CK155,IF($L$3=$AJ$14,('Statement of Marks'!DB155+'Statement of Marks'!DC155),IF($L$3=$AJ$15,'Statement of Marks'!EF155,IF($L$3=$AJ$16,('Statement of Marks'!ET155+'Statement of Marks'!EU155),IF($L$3=$AJ$17,('Statement of Marks'!FM155+'Statement of Marks'!FN155),IF($L$3=$AJ$18,'Statement of Marks'!FW155,IF($L$3=$AJ$19,'Statement of Marks'!GE155,"")))))))))))),"")</f>
        <v/>
      </c>
      <c r="Q156" s="812" t="str">
        <f t="shared" si="23"/>
        <v/>
      </c>
      <c r="R156" s="813">
        <f t="shared" si="21"/>
        <v>0</v>
      </c>
      <c r="S156" s="813" t="str">
        <f t="shared" si="24"/>
        <v/>
      </c>
      <c r="T156" s="813" t="str">
        <f t="shared" si="25"/>
        <v/>
      </c>
      <c r="U156" s="814" t="str">
        <f t="shared" si="26"/>
        <v/>
      </c>
      <c r="V156" s="815" t="str">
        <f t="shared" si="27"/>
        <v/>
      </c>
      <c r="W156" s="816" t="str">
        <f t="shared" si="22"/>
        <v/>
      </c>
    </row>
    <row r="157" spans="1:23">
      <c r="A157" s="803">
        <f>IF('Statement of Marks'!A156="","",'Statement of Marks'!A156)</f>
        <v>150</v>
      </c>
      <c r="B157" s="804" t="str">
        <f>IF(OR($D$3="",$L$3=""),"",IF('Statement of Marks'!B156="","",'Statement of Marks'!B156))</f>
        <v/>
      </c>
      <c r="C157" s="805" t="str">
        <f>IF(OR($D$3="",$L$3=""),"",IF('Statement of Marks'!D156="","",'Statement of Marks'!D156))</f>
        <v/>
      </c>
      <c r="D157" s="806" t="str">
        <f>IF(OR($D$3="",$L$3=""),"",IF('Statement of Marks'!E156="","",'Statement of Marks'!E156))</f>
        <v/>
      </c>
      <c r="E157" s="807" t="str">
        <f>IF(OR($D$3="",$L$3=""),"",IF('Statement of Marks'!F156="","",'Statement of Marks'!F156))</f>
        <v/>
      </c>
      <c r="F157" s="807" t="str">
        <f>IF(OR($D$3="",$L$3=""),"",IF('Statement of Marks'!G156="","",'Statement of Marks'!G156))</f>
        <v/>
      </c>
      <c r="G157" s="807" t="str">
        <f>IF(OR($D$3="",$L$3=""),"",IF('Statement of Marks'!H156="","",'Statement of Marks'!H156))</f>
        <v/>
      </c>
      <c r="H157" s="808" t="str">
        <f>IF(OR($D$3="",$L$3=""),"",IF('Statement of Marks'!I156="","",'Statement of Marks'!I156))</f>
        <v/>
      </c>
      <c r="I157" s="808" t="str">
        <f>IF(OR($D$3="",$L$3=""),"",IF('Statement of Marks'!J156="","",'Statement of Marks'!J156))</f>
        <v/>
      </c>
      <c r="J157" s="809" t="str">
        <f>IFERROR(IF($L$3=$AJ$8,'Statement of Marks'!K156,IF($L$3=$AJ$9,'Statement of Marks'!Y156,IF($L$3=$AJ$10,'Statement of Marks'!AN156,IF($L$3=$AJ$11,'Statement of Marks'!BB156,IF($L$3=$AJ$12,'Statement of Marks'!BP156,IF($L$3=$AJ$13,'Statement of Marks'!CE156,IF($L$3=$AJ$14,'Statement of Marks'!CT156,IF($L$3=$AJ$15,'Statement of Marks'!DZ156,IF($L$3=$AJ$16,'Statement of Marks'!EL156,IF($L$3=$AJ$17,('Statement of Marks'!FB156+'Statement of Marks'!FC156),"")))))))))),"")</f>
        <v/>
      </c>
      <c r="K157" s="809" t="str">
        <f>IFERROR(IF($L$3=$AJ$8,'Statement of Marks'!L156,IF($L$3=$AJ$9,'Statement of Marks'!Z156,IF($L$3=$AJ$10,'Statement of Marks'!AO156,IF($L$3=$AJ$11,'Statement of Marks'!BC156,IF($L$3=$AJ$12,'Statement of Marks'!BQ156,IF($L$3=$AJ$13,'Statement of Marks'!CF156,IF($L$3=$AJ$14,'Statement of Marks'!CU156,IF($L$3=$AJ$15,'Statement of Marks'!EA156,IF($L$3=$AJ$16,'Statement of Marks'!EM156,IF($L$3=$AJ$17,('Statement of Marks'!FD156+'Statement of Marks'!FE156),"")))))))))),"")</f>
        <v/>
      </c>
      <c r="L157" s="809" t="str">
        <f>IFERROR(IF($L$3=$AJ$8,'Statement of Marks'!M156,IF($L$3=$AJ$9,'Statement of Marks'!AA156,IF($L$3=$AJ$10,'Statement of Marks'!AP156,IF($L$3=$AJ$11,'Statement of Marks'!BD156,IF($L$3=$AJ$12,'Statement of Marks'!BR156,IF($L$3=$AJ$13,'Statement of Marks'!CG156,IF($L$3=$AJ$14,'Statement of Marks'!CV156,IF($L$3=$AJ$15,'Statement of Marks'!EB156,IF($L$3=$AJ$16,'Statement of Marks'!EN156,IF($L$3=$AJ$17,('Statement of Marks'!FF156+'Statement of Marks'!FG156),"")))))))))),"")</f>
        <v/>
      </c>
      <c r="M157" s="810">
        <f t="shared" si="20"/>
        <v>0</v>
      </c>
      <c r="N157" s="809" t="str">
        <f>IFERROR(IF($L$3=$AJ$8,'Statement of Marks'!O156,IF($L$3=$AJ$9,'Statement of Marks'!AC156,IF($L$3=$AJ$10,'Statement of Marks'!AR156,IF($L$3=$AJ$11,'Statement of Marks'!BF156,IF($L$3=$AJ$12,'Statement of Marks'!BT156,IF($L$3=$AJ$13,'Statement of Marks'!CI156,IF($L$3=$AJ$14,('Statement of Marks'!CX156+'Statement of Marks'!CY156),IF($L$3=$AJ$15,'Statement of Marks'!ED156,IF($L$3=$AJ$16,('Statement of Marks'!EP156+'Statement of Marks'!EQ156),IF($L$3=$AJ$17,('Statement of Marks'!FI156+'Statement of Marks'!FJ156),IF($L$3=$AJ$18,'Statement of Marks'!FU156,IF($L$3=$AJ$19,'Statement of Marks'!GC156,"")))))))))))),"")</f>
        <v/>
      </c>
      <c r="O157" s="811">
        <f>IF($L$3=$AJ$18,'Statement of Marks'!FV156,IF($L$3=$AJ$19,'Statement of Marks'!GD156,IF(AND(M157="NA",N157="NA"),"NA",IF(AND(M157="",N157=""),"",SUM(M157,N157)))))</f>
        <v>0</v>
      </c>
      <c r="P157" s="809" t="str">
        <f>IFERROR(IF($L$3=$AJ$8,'Statement of Marks'!Q156,IF($L$3=$AJ$9,'Statement of Marks'!AE156,IF($L$3=$AJ$10,'Statement of Marks'!AT156,IF($L$3=$AJ$11,'Statement of Marks'!BH156,IF($L$3=$AJ$12,'Statement of Marks'!BV156,IF($L$3=$AJ$13,'Statement of Marks'!CK156,IF($L$3=$AJ$14,('Statement of Marks'!DB156+'Statement of Marks'!DC156),IF($L$3=$AJ$15,'Statement of Marks'!EF156,IF($L$3=$AJ$16,('Statement of Marks'!ET156+'Statement of Marks'!EU156),IF($L$3=$AJ$17,('Statement of Marks'!FM156+'Statement of Marks'!FN156),IF($L$3=$AJ$18,'Statement of Marks'!FW156,IF($L$3=$AJ$19,'Statement of Marks'!GE156,"")))))))))))),"")</f>
        <v/>
      </c>
      <c r="Q157" s="812" t="str">
        <f t="shared" si="23"/>
        <v/>
      </c>
      <c r="R157" s="813">
        <f t="shared" si="21"/>
        <v>0</v>
      </c>
      <c r="S157" s="813" t="str">
        <f t="shared" si="24"/>
        <v/>
      </c>
      <c r="T157" s="813" t="str">
        <f t="shared" si="25"/>
        <v/>
      </c>
      <c r="U157" s="814" t="str">
        <f t="shared" si="26"/>
        <v/>
      </c>
      <c r="V157" s="815" t="str">
        <f t="shared" si="27"/>
        <v/>
      </c>
      <c r="W157" s="816" t="str">
        <f t="shared" si="22"/>
        <v/>
      </c>
    </row>
    <row r="158" spans="1:23">
      <c r="A158" s="803">
        <f>IF('Statement of Marks'!A157="","",'Statement of Marks'!A157)</f>
        <v>151</v>
      </c>
      <c r="B158" s="804" t="str">
        <f>IF(OR($D$3="",$L$3=""),"",IF('Statement of Marks'!B157="","",'Statement of Marks'!B157))</f>
        <v/>
      </c>
      <c r="C158" s="805" t="str">
        <f>IF(OR($D$3="",$L$3=""),"",IF('Statement of Marks'!D157="","",'Statement of Marks'!D157))</f>
        <v/>
      </c>
      <c r="D158" s="806" t="str">
        <f>IF(OR($D$3="",$L$3=""),"",IF('Statement of Marks'!E157="","",'Statement of Marks'!E157))</f>
        <v/>
      </c>
      <c r="E158" s="807" t="str">
        <f>IF(OR($D$3="",$L$3=""),"",IF('Statement of Marks'!F157="","",'Statement of Marks'!F157))</f>
        <v/>
      </c>
      <c r="F158" s="807" t="str">
        <f>IF(OR($D$3="",$L$3=""),"",IF('Statement of Marks'!G157="","",'Statement of Marks'!G157))</f>
        <v/>
      </c>
      <c r="G158" s="807" t="str">
        <f>IF(OR($D$3="",$L$3=""),"",IF('Statement of Marks'!H157="","",'Statement of Marks'!H157))</f>
        <v/>
      </c>
      <c r="H158" s="808" t="str">
        <f>IF(OR($D$3="",$L$3=""),"",IF('Statement of Marks'!I157="","",'Statement of Marks'!I157))</f>
        <v/>
      </c>
      <c r="I158" s="808" t="str">
        <f>IF(OR($D$3="",$L$3=""),"",IF('Statement of Marks'!J157="","",'Statement of Marks'!J157))</f>
        <v/>
      </c>
      <c r="J158" s="809" t="str">
        <f>IFERROR(IF($L$3=$AJ$8,'Statement of Marks'!K157,IF($L$3=$AJ$9,'Statement of Marks'!Y157,IF($L$3=$AJ$10,'Statement of Marks'!AN157,IF($L$3=$AJ$11,'Statement of Marks'!BB157,IF($L$3=$AJ$12,'Statement of Marks'!BP157,IF($L$3=$AJ$13,'Statement of Marks'!CE157,IF($L$3=$AJ$14,'Statement of Marks'!CT157,IF($L$3=$AJ$15,'Statement of Marks'!DZ157,IF($L$3=$AJ$16,'Statement of Marks'!EL157,IF($L$3=$AJ$17,('Statement of Marks'!FB157+'Statement of Marks'!FC157),"")))))))))),"")</f>
        <v/>
      </c>
      <c r="K158" s="809" t="str">
        <f>IFERROR(IF($L$3=$AJ$8,'Statement of Marks'!L157,IF($L$3=$AJ$9,'Statement of Marks'!Z157,IF($L$3=$AJ$10,'Statement of Marks'!AO157,IF($L$3=$AJ$11,'Statement of Marks'!BC157,IF($L$3=$AJ$12,'Statement of Marks'!BQ157,IF($L$3=$AJ$13,'Statement of Marks'!CF157,IF($L$3=$AJ$14,'Statement of Marks'!CU157,IF($L$3=$AJ$15,'Statement of Marks'!EA157,IF($L$3=$AJ$16,'Statement of Marks'!EM157,IF($L$3=$AJ$17,('Statement of Marks'!FD157+'Statement of Marks'!FE157),"")))))))))),"")</f>
        <v/>
      </c>
      <c r="L158" s="809" t="str">
        <f>IFERROR(IF($L$3=$AJ$8,'Statement of Marks'!M157,IF($L$3=$AJ$9,'Statement of Marks'!AA157,IF($L$3=$AJ$10,'Statement of Marks'!AP157,IF($L$3=$AJ$11,'Statement of Marks'!BD157,IF($L$3=$AJ$12,'Statement of Marks'!BR157,IF($L$3=$AJ$13,'Statement of Marks'!CG157,IF($L$3=$AJ$14,'Statement of Marks'!CV157,IF($L$3=$AJ$15,'Statement of Marks'!EB157,IF($L$3=$AJ$16,'Statement of Marks'!EN157,IF($L$3=$AJ$17,('Statement of Marks'!FF157+'Statement of Marks'!FG157),"")))))))))),"")</f>
        <v/>
      </c>
      <c r="M158" s="810">
        <f t="shared" si="20"/>
        <v>0</v>
      </c>
      <c r="N158" s="809" t="str">
        <f>IFERROR(IF($L$3=$AJ$8,'Statement of Marks'!O157,IF($L$3=$AJ$9,'Statement of Marks'!AC157,IF($L$3=$AJ$10,'Statement of Marks'!AR157,IF($L$3=$AJ$11,'Statement of Marks'!BF157,IF($L$3=$AJ$12,'Statement of Marks'!BT157,IF($L$3=$AJ$13,'Statement of Marks'!CI157,IF($L$3=$AJ$14,('Statement of Marks'!CX157+'Statement of Marks'!CY157),IF($L$3=$AJ$15,'Statement of Marks'!ED157,IF($L$3=$AJ$16,('Statement of Marks'!EP157+'Statement of Marks'!EQ157),IF($L$3=$AJ$17,('Statement of Marks'!FI157+'Statement of Marks'!FJ157),IF($L$3=$AJ$18,'Statement of Marks'!FU157,IF($L$3=$AJ$19,'Statement of Marks'!GC157,"")))))))))))),"")</f>
        <v/>
      </c>
      <c r="O158" s="811">
        <f>IF($L$3=$AJ$18,'Statement of Marks'!FV157,IF($L$3=$AJ$19,'Statement of Marks'!GD157,IF(AND(M158="NA",N158="NA"),"NA",IF(AND(M158="",N158=""),"",SUM(M158,N158)))))</f>
        <v>0</v>
      </c>
      <c r="P158" s="809" t="str">
        <f>IFERROR(IF($L$3=$AJ$8,'Statement of Marks'!Q157,IF($L$3=$AJ$9,'Statement of Marks'!AE157,IF($L$3=$AJ$10,'Statement of Marks'!AT157,IF($L$3=$AJ$11,'Statement of Marks'!BH157,IF($L$3=$AJ$12,'Statement of Marks'!BV157,IF($L$3=$AJ$13,'Statement of Marks'!CK157,IF($L$3=$AJ$14,('Statement of Marks'!DB157+'Statement of Marks'!DC157),IF($L$3=$AJ$15,'Statement of Marks'!EF157,IF($L$3=$AJ$16,('Statement of Marks'!ET157+'Statement of Marks'!EU157),IF($L$3=$AJ$17,('Statement of Marks'!FM157+'Statement of Marks'!FN157),IF($L$3=$AJ$18,'Statement of Marks'!FW157,IF($L$3=$AJ$19,'Statement of Marks'!GE157,"")))))))))))),"")</f>
        <v/>
      </c>
      <c r="Q158" s="812" t="str">
        <f t="shared" si="23"/>
        <v/>
      </c>
      <c r="R158" s="813">
        <f t="shared" si="21"/>
        <v>0</v>
      </c>
      <c r="S158" s="813" t="str">
        <f t="shared" si="24"/>
        <v/>
      </c>
      <c r="T158" s="813" t="str">
        <f t="shared" si="25"/>
        <v/>
      </c>
      <c r="U158" s="814" t="str">
        <f t="shared" si="26"/>
        <v/>
      </c>
      <c r="V158" s="815" t="str">
        <f t="shared" si="27"/>
        <v/>
      </c>
      <c r="W158" s="816" t="str">
        <f t="shared" si="22"/>
        <v/>
      </c>
    </row>
    <row r="159" spans="1:23">
      <c r="A159" s="803">
        <f>IF('Statement of Marks'!A158="","",'Statement of Marks'!A158)</f>
        <v>152</v>
      </c>
      <c r="B159" s="804" t="str">
        <f>IF(OR($D$3="",$L$3=""),"",IF('Statement of Marks'!B158="","",'Statement of Marks'!B158))</f>
        <v/>
      </c>
      <c r="C159" s="805" t="str">
        <f>IF(OR($D$3="",$L$3=""),"",IF('Statement of Marks'!D158="","",'Statement of Marks'!D158))</f>
        <v/>
      </c>
      <c r="D159" s="806" t="str">
        <f>IF(OR($D$3="",$L$3=""),"",IF('Statement of Marks'!E158="","",'Statement of Marks'!E158))</f>
        <v/>
      </c>
      <c r="E159" s="807" t="str">
        <f>IF(OR($D$3="",$L$3=""),"",IF('Statement of Marks'!F158="","",'Statement of Marks'!F158))</f>
        <v/>
      </c>
      <c r="F159" s="807" t="str">
        <f>IF(OR($D$3="",$L$3=""),"",IF('Statement of Marks'!G158="","",'Statement of Marks'!G158))</f>
        <v/>
      </c>
      <c r="G159" s="807" t="str">
        <f>IF(OR($D$3="",$L$3=""),"",IF('Statement of Marks'!H158="","",'Statement of Marks'!H158))</f>
        <v/>
      </c>
      <c r="H159" s="808" t="str">
        <f>IF(OR($D$3="",$L$3=""),"",IF('Statement of Marks'!I158="","",'Statement of Marks'!I158))</f>
        <v/>
      </c>
      <c r="I159" s="808" t="str">
        <f>IF(OR($D$3="",$L$3=""),"",IF('Statement of Marks'!J158="","",'Statement of Marks'!J158))</f>
        <v/>
      </c>
      <c r="J159" s="809" t="str">
        <f>IFERROR(IF($L$3=$AJ$8,'Statement of Marks'!K158,IF($L$3=$AJ$9,'Statement of Marks'!Y158,IF($L$3=$AJ$10,'Statement of Marks'!AN158,IF($L$3=$AJ$11,'Statement of Marks'!BB158,IF($L$3=$AJ$12,'Statement of Marks'!BP158,IF($L$3=$AJ$13,'Statement of Marks'!CE158,IF($L$3=$AJ$14,'Statement of Marks'!CT158,IF($L$3=$AJ$15,'Statement of Marks'!DZ158,IF($L$3=$AJ$16,'Statement of Marks'!EL158,IF($L$3=$AJ$17,('Statement of Marks'!FB158+'Statement of Marks'!FC158),"")))))))))),"")</f>
        <v/>
      </c>
      <c r="K159" s="809" t="str">
        <f>IFERROR(IF($L$3=$AJ$8,'Statement of Marks'!L158,IF($L$3=$AJ$9,'Statement of Marks'!Z158,IF($L$3=$AJ$10,'Statement of Marks'!AO158,IF($L$3=$AJ$11,'Statement of Marks'!BC158,IF($L$3=$AJ$12,'Statement of Marks'!BQ158,IF($L$3=$AJ$13,'Statement of Marks'!CF158,IF($L$3=$AJ$14,'Statement of Marks'!CU158,IF($L$3=$AJ$15,'Statement of Marks'!EA158,IF($L$3=$AJ$16,'Statement of Marks'!EM158,IF($L$3=$AJ$17,('Statement of Marks'!FD158+'Statement of Marks'!FE158),"")))))))))),"")</f>
        <v/>
      </c>
      <c r="L159" s="809" t="str">
        <f>IFERROR(IF($L$3=$AJ$8,'Statement of Marks'!M158,IF($L$3=$AJ$9,'Statement of Marks'!AA158,IF($L$3=$AJ$10,'Statement of Marks'!AP158,IF($L$3=$AJ$11,'Statement of Marks'!BD158,IF($L$3=$AJ$12,'Statement of Marks'!BR158,IF($L$3=$AJ$13,'Statement of Marks'!CG158,IF($L$3=$AJ$14,'Statement of Marks'!CV158,IF($L$3=$AJ$15,'Statement of Marks'!EB158,IF($L$3=$AJ$16,'Statement of Marks'!EN158,IF($L$3=$AJ$17,('Statement of Marks'!FF158+'Statement of Marks'!FG158),"")))))))))),"")</f>
        <v/>
      </c>
      <c r="M159" s="810">
        <f t="shared" si="20"/>
        <v>0</v>
      </c>
      <c r="N159" s="809" t="str">
        <f>IFERROR(IF($L$3=$AJ$8,'Statement of Marks'!O158,IF($L$3=$AJ$9,'Statement of Marks'!AC158,IF($L$3=$AJ$10,'Statement of Marks'!AR158,IF($L$3=$AJ$11,'Statement of Marks'!BF158,IF($L$3=$AJ$12,'Statement of Marks'!BT158,IF($L$3=$AJ$13,'Statement of Marks'!CI158,IF($L$3=$AJ$14,('Statement of Marks'!CX158+'Statement of Marks'!CY158),IF($L$3=$AJ$15,'Statement of Marks'!ED158,IF($L$3=$AJ$16,('Statement of Marks'!EP158+'Statement of Marks'!EQ158),IF($L$3=$AJ$17,('Statement of Marks'!FI158+'Statement of Marks'!FJ158),IF($L$3=$AJ$18,'Statement of Marks'!FU158,IF($L$3=$AJ$19,'Statement of Marks'!GC158,"")))))))))))),"")</f>
        <v/>
      </c>
      <c r="O159" s="811">
        <f>IF($L$3=$AJ$18,'Statement of Marks'!FV158,IF($L$3=$AJ$19,'Statement of Marks'!GD158,IF(AND(M159="NA",N159="NA"),"NA",IF(AND(M159="",N159=""),"",SUM(M159,N159)))))</f>
        <v>0</v>
      </c>
      <c r="P159" s="809" t="str">
        <f>IFERROR(IF($L$3=$AJ$8,'Statement of Marks'!Q158,IF($L$3=$AJ$9,'Statement of Marks'!AE158,IF($L$3=$AJ$10,'Statement of Marks'!AT158,IF($L$3=$AJ$11,'Statement of Marks'!BH158,IF($L$3=$AJ$12,'Statement of Marks'!BV158,IF($L$3=$AJ$13,'Statement of Marks'!CK158,IF($L$3=$AJ$14,('Statement of Marks'!DB158+'Statement of Marks'!DC158),IF($L$3=$AJ$15,'Statement of Marks'!EF158,IF($L$3=$AJ$16,('Statement of Marks'!ET158+'Statement of Marks'!EU158),IF($L$3=$AJ$17,('Statement of Marks'!FM158+'Statement of Marks'!FN158),IF($L$3=$AJ$18,'Statement of Marks'!FW158,IF($L$3=$AJ$19,'Statement of Marks'!GE158,"")))))))))))),"")</f>
        <v/>
      </c>
      <c r="Q159" s="812" t="str">
        <f t="shared" si="23"/>
        <v/>
      </c>
      <c r="R159" s="813">
        <f t="shared" si="21"/>
        <v>0</v>
      </c>
      <c r="S159" s="813" t="str">
        <f t="shared" si="24"/>
        <v/>
      </c>
      <c r="T159" s="813" t="str">
        <f t="shared" si="25"/>
        <v/>
      </c>
      <c r="U159" s="814" t="str">
        <f t="shared" si="26"/>
        <v/>
      </c>
      <c r="V159" s="815" t="str">
        <f t="shared" si="27"/>
        <v/>
      </c>
      <c r="W159" s="816" t="str">
        <f t="shared" si="22"/>
        <v/>
      </c>
    </row>
    <row r="160" spans="1:23">
      <c r="A160" s="803">
        <f>IF('Statement of Marks'!A159="","",'Statement of Marks'!A159)</f>
        <v>153</v>
      </c>
      <c r="B160" s="804" t="str">
        <f>IF(OR($D$3="",$L$3=""),"",IF('Statement of Marks'!B159="","",'Statement of Marks'!B159))</f>
        <v/>
      </c>
      <c r="C160" s="805" t="str">
        <f>IF(OR($D$3="",$L$3=""),"",IF('Statement of Marks'!D159="","",'Statement of Marks'!D159))</f>
        <v/>
      </c>
      <c r="D160" s="806" t="str">
        <f>IF(OR($D$3="",$L$3=""),"",IF('Statement of Marks'!E159="","",'Statement of Marks'!E159))</f>
        <v/>
      </c>
      <c r="E160" s="807" t="str">
        <f>IF(OR($D$3="",$L$3=""),"",IF('Statement of Marks'!F159="","",'Statement of Marks'!F159))</f>
        <v/>
      </c>
      <c r="F160" s="807" t="str">
        <f>IF(OR($D$3="",$L$3=""),"",IF('Statement of Marks'!G159="","",'Statement of Marks'!G159))</f>
        <v/>
      </c>
      <c r="G160" s="807" t="str">
        <f>IF(OR($D$3="",$L$3=""),"",IF('Statement of Marks'!H159="","",'Statement of Marks'!H159))</f>
        <v/>
      </c>
      <c r="H160" s="808" t="str">
        <f>IF(OR($D$3="",$L$3=""),"",IF('Statement of Marks'!I159="","",'Statement of Marks'!I159))</f>
        <v/>
      </c>
      <c r="I160" s="808" t="str">
        <f>IF(OR($D$3="",$L$3=""),"",IF('Statement of Marks'!J159="","",'Statement of Marks'!J159))</f>
        <v/>
      </c>
      <c r="J160" s="809" t="str">
        <f>IFERROR(IF($L$3=$AJ$8,'Statement of Marks'!K159,IF($L$3=$AJ$9,'Statement of Marks'!Y159,IF($L$3=$AJ$10,'Statement of Marks'!AN159,IF($L$3=$AJ$11,'Statement of Marks'!BB159,IF($L$3=$AJ$12,'Statement of Marks'!BP159,IF($L$3=$AJ$13,'Statement of Marks'!CE159,IF($L$3=$AJ$14,'Statement of Marks'!CT159,IF($L$3=$AJ$15,'Statement of Marks'!DZ159,IF($L$3=$AJ$16,'Statement of Marks'!EL159,IF($L$3=$AJ$17,('Statement of Marks'!FB159+'Statement of Marks'!FC159),"")))))))))),"")</f>
        <v/>
      </c>
      <c r="K160" s="809" t="str">
        <f>IFERROR(IF($L$3=$AJ$8,'Statement of Marks'!L159,IF($L$3=$AJ$9,'Statement of Marks'!Z159,IF($L$3=$AJ$10,'Statement of Marks'!AO159,IF($L$3=$AJ$11,'Statement of Marks'!BC159,IF($L$3=$AJ$12,'Statement of Marks'!BQ159,IF($L$3=$AJ$13,'Statement of Marks'!CF159,IF($L$3=$AJ$14,'Statement of Marks'!CU159,IF($L$3=$AJ$15,'Statement of Marks'!EA159,IF($L$3=$AJ$16,'Statement of Marks'!EM159,IF($L$3=$AJ$17,('Statement of Marks'!FD159+'Statement of Marks'!FE159),"")))))))))),"")</f>
        <v/>
      </c>
      <c r="L160" s="809" t="str">
        <f>IFERROR(IF($L$3=$AJ$8,'Statement of Marks'!M159,IF($L$3=$AJ$9,'Statement of Marks'!AA159,IF($L$3=$AJ$10,'Statement of Marks'!AP159,IF($L$3=$AJ$11,'Statement of Marks'!BD159,IF($L$3=$AJ$12,'Statement of Marks'!BR159,IF($L$3=$AJ$13,'Statement of Marks'!CG159,IF($L$3=$AJ$14,'Statement of Marks'!CV159,IF($L$3=$AJ$15,'Statement of Marks'!EB159,IF($L$3=$AJ$16,'Statement of Marks'!EN159,IF($L$3=$AJ$17,('Statement of Marks'!FF159+'Statement of Marks'!FG159),"")))))))))),"")</f>
        <v/>
      </c>
      <c r="M160" s="810">
        <f t="shared" si="20"/>
        <v>0</v>
      </c>
      <c r="N160" s="809" t="str">
        <f>IFERROR(IF($L$3=$AJ$8,'Statement of Marks'!O159,IF($L$3=$AJ$9,'Statement of Marks'!AC159,IF($L$3=$AJ$10,'Statement of Marks'!AR159,IF($L$3=$AJ$11,'Statement of Marks'!BF159,IF($L$3=$AJ$12,'Statement of Marks'!BT159,IF($L$3=$AJ$13,'Statement of Marks'!CI159,IF($L$3=$AJ$14,('Statement of Marks'!CX159+'Statement of Marks'!CY159),IF($L$3=$AJ$15,'Statement of Marks'!ED159,IF($L$3=$AJ$16,('Statement of Marks'!EP159+'Statement of Marks'!EQ159),IF($L$3=$AJ$17,('Statement of Marks'!FI159+'Statement of Marks'!FJ159),IF($L$3=$AJ$18,'Statement of Marks'!FU159,IF($L$3=$AJ$19,'Statement of Marks'!GC159,"")))))))))))),"")</f>
        <v/>
      </c>
      <c r="O160" s="811">
        <f>IF($L$3=$AJ$18,'Statement of Marks'!FV159,IF($L$3=$AJ$19,'Statement of Marks'!GD159,IF(AND(M160="NA",N160="NA"),"NA",IF(AND(M160="",N160=""),"",SUM(M160,N160)))))</f>
        <v>0</v>
      </c>
      <c r="P160" s="809" t="str">
        <f>IFERROR(IF($L$3=$AJ$8,'Statement of Marks'!Q159,IF($L$3=$AJ$9,'Statement of Marks'!AE159,IF($L$3=$AJ$10,'Statement of Marks'!AT159,IF($L$3=$AJ$11,'Statement of Marks'!BH159,IF($L$3=$AJ$12,'Statement of Marks'!BV159,IF($L$3=$AJ$13,'Statement of Marks'!CK159,IF($L$3=$AJ$14,('Statement of Marks'!DB159+'Statement of Marks'!DC159),IF($L$3=$AJ$15,'Statement of Marks'!EF159,IF($L$3=$AJ$16,('Statement of Marks'!ET159+'Statement of Marks'!EU159),IF($L$3=$AJ$17,('Statement of Marks'!FM159+'Statement of Marks'!FN159),IF($L$3=$AJ$18,'Statement of Marks'!FW159,IF($L$3=$AJ$19,'Statement of Marks'!GE159,"")))))))))))),"")</f>
        <v/>
      </c>
      <c r="Q160" s="812" t="str">
        <f t="shared" si="23"/>
        <v/>
      </c>
      <c r="R160" s="813">
        <f t="shared" si="21"/>
        <v>0</v>
      </c>
      <c r="S160" s="813" t="str">
        <f t="shared" si="24"/>
        <v/>
      </c>
      <c r="T160" s="813" t="str">
        <f t="shared" si="25"/>
        <v/>
      </c>
      <c r="U160" s="814" t="str">
        <f t="shared" si="26"/>
        <v/>
      </c>
      <c r="V160" s="815" t="str">
        <f t="shared" si="27"/>
        <v/>
      </c>
      <c r="W160" s="816" t="str">
        <f t="shared" si="22"/>
        <v/>
      </c>
    </row>
    <row r="161" spans="1:23">
      <c r="A161" s="803">
        <f>IF('Statement of Marks'!A160="","",'Statement of Marks'!A160)</f>
        <v>154</v>
      </c>
      <c r="B161" s="804" t="str">
        <f>IF(OR($D$3="",$L$3=""),"",IF('Statement of Marks'!B160="","",'Statement of Marks'!B160))</f>
        <v/>
      </c>
      <c r="C161" s="805" t="str">
        <f>IF(OR($D$3="",$L$3=""),"",IF('Statement of Marks'!D160="","",'Statement of Marks'!D160))</f>
        <v/>
      </c>
      <c r="D161" s="806" t="str">
        <f>IF(OR($D$3="",$L$3=""),"",IF('Statement of Marks'!E160="","",'Statement of Marks'!E160))</f>
        <v/>
      </c>
      <c r="E161" s="807" t="str">
        <f>IF(OR($D$3="",$L$3=""),"",IF('Statement of Marks'!F160="","",'Statement of Marks'!F160))</f>
        <v/>
      </c>
      <c r="F161" s="807" t="str">
        <f>IF(OR($D$3="",$L$3=""),"",IF('Statement of Marks'!G160="","",'Statement of Marks'!G160))</f>
        <v/>
      </c>
      <c r="G161" s="807" t="str">
        <f>IF(OR($D$3="",$L$3=""),"",IF('Statement of Marks'!H160="","",'Statement of Marks'!H160))</f>
        <v/>
      </c>
      <c r="H161" s="808" t="str">
        <f>IF(OR($D$3="",$L$3=""),"",IF('Statement of Marks'!I160="","",'Statement of Marks'!I160))</f>
        <v/>
      </c>
      <c r="I161" s="808" t="str">
        <f>IF(OR($D$3="",$L$3=""),"",IF('Statement of Marks'!J160="","",'Statement of Marks'!J160))</f>
        <v/>
      </c>
      <c r="J161" s="809" t="str">
        <f>IFERROR(IF($L$3=$AJ$8,'Statement of Marks'!K160,IF($L$3=$AJ$9,'Statement of Marks'!Y160,IF($L$3=$AJ$10,'Statement of Marks'!AN160,IF($L$3=$AJ$11,'Statement of Marks'!BB160,IF($L$3=$AJ$12,'Statement of Marks'!BP160,IF($L$3=$AJ$13,'Statement of Marks'!CE160,IF($L$3=$AJ$14,'Statement of Marks'!CT160,IF($L$3=$AJ$15,'Statement of Marks'!DZ160,IF($L$3=$AJ$16,'Statement of Marks'!EL160,IF($L$3=$AJ$17,('Statement of Marks'!FB160+'Statement of Marks'!FC160),"")))))))))),"")</f>
        <v/>
      </c>
      <c r="K161" s="809" t="str">
        <f>IFERROR(IF($L$3=$AJ$8,'Statement of Marks'!L160,IF($L$3=$AJ$9,'Statement of Marks'!Z160,IF($L$3=$AJ$10,'Statement of Marks'!AO160,IF($L$3=$AJ$11,'Statement of Marks'!BC160,IF($L$3=$AJ$12,'Statement of Marks'!BQ160,IF($L$3=$AJ$13,'Statement of Marks'!CF160,IF($L$3=$AJ$14,'Statement of Marks'!CU160,IF($L$3=$AJ$15,'Statement of Marks'!EA160,IF($L$3=$AJ$16,'Statement of Marks'!EM160,IF($L$3=$AJ$17,('Statement of Marks'!FD160+'Statement of Marks'!FE160),"")))))))))),"")</f>
        <v/>
      </c>
      <c r="L161" s="809" t="str">
        <f>IFERROR(IF($L$3=$AJ$8,'Statement of Marks'!M160,IF($L$3=$AJ$9,'Statement of Marks'!AA160,IF($L$3=$AJ$10,'Statement of Marks'!AP160,IF($L$3=$AJ$11,'Statement of Marks'!BD160,IF($L$3=$AJ$12,'Statement of Marks'!BR160,IF($L$3=$AJ$13,'Statement of Marks'!CG160,IF($L$3=$AJ$14,'Statement of Marks'!CV160,IF($L$3=$AJ$15,'Statement of Marks'!EB160,IF($L$3=$AJ$16,'Statement of Marks'!EN160,IF($L$3=$AJ$17,('Statement of Marks'!FF160+'Statement of Marks'!FG160),"")))))))))),"")</f>
        <v/>
      </c>
      <c r="M161" s="810">
        <f t="shared" si="20"/>
        <v>0</v>
      </c>
      <c r="N161" s="809" t="str">
        <f>IFERROR(IF($L$3=$AJ$8,'Statement of Marks'!O160,IF($L$3=$AJ$9,'Statement of Marks'!AC160,IF($L$3=$AJ$10,'Statement of Marks'!AR160,IF($L$3=$AJ$11,'Statement of Marks'!BF160,IF($L$3=$AJ$12,'Statement of Marks'!BT160,IF($L$3=$AJ$13,'Statement of Marks'!CI160,IF($L$3=$AJ$14,('Statement of Marks'!CX160+'Statement of Marks'!CY160),IF($L$3=$AJ$15,'Statement of Marks'!ED160,IF($L$3=$AJ$16,('Statement of Marks'!EP160+'Statement of Marks'!EQ160),IF($L$3=$AJ$17,('Statement of Marks'!FI160+'Statement of Marks'!FJ160),IF($L$3=$AJ$18,'Statement of Marks'!FU160,IF($L$3=$AJ$19,'Statement of Marks'!GC160,"")))))))))))),"")</f>
        <v/>
      </c>
      <c r="O161" s="811">
        <f>IF($L$3=$AJ$18,'Statement of Marks'!FV160,IF($L$3=$AJ$19,'Statement of Marks'!GD160,IF(AND(M161="NA",N161="NA"),"NA",IF(AND(M161="",N161=""),"",SUM(M161,N161)))))</f>
        <v>0</v>
      </c>
      <c r="P161" s="809" t="str">
        <f>IFERROR(IF($L$3=$AJ$8,'Statement of Marks'!Q160,IF($L$3=$AJ$9,'Statement of Marks'!AE160,IF($L$3=$AJ$10,'Statement of Marks'!AT160,IF($L$3=$AJ$11,'Statement of Marks'!BH160,IF($L$3=$AJ$12,'Statement of Marks'!BV160,IF($L$3=$AJ$13,'Statement of Marks'!CK160,IF($L$3=$AJ$14,('Statement of Marks'!DB160+'Statement of Marks'!DC160),IF($L$3=$AJ$15,'Statement of Marks'!EF160,IF($L$3=$AJ$16,('Statement of Marks'!ET160+'Statement of Marks'!EU160),IF($L$3=$AJ$17,('Statement of Marks'!FM160+'Statement of Marks'!FN160),IF($L$3=$AJ$18,'Statement of Marks'!FW160,IF($L$3=$AJ$19,'Statement of Marks'!GE160,"")))))))))))),"")</f>
        <v/>
      </c>
      <c r="Q161" s="812" t="str">
        <f t="shared" si="23"/>
        <v/>
      </c>
      <c r="R161" s="813">
        <f t="shared" si="21"/>
        <v>0</v>
      </c>
      <c r="S161" s="813" t="str">
        <f t="shared" si="24"/>
        <v/>
      </c>
      <c r="T161" s="813" t="str">
        <f t="shared" si="25"/>
        <v/>
      </c>
      <c r="U161" s="814" t="str">
        <f t="shared" si="26"/>
        <v/>
      </c>
      <c r="V161" s="815" t="str">
        <f t="shared" si="27"/>
        <v/>
      </c>
      <c r="W161" s="816" t="str">
        <f t="shared" si="22"/>
        <v/>
      </c>
    </row>
    <row r="162" spans="1:23">
      <c r="A162" s="803">
        <f>IF('Statement of Marks'!A161="","",'Statement of Marks'!A161)</f>
        <v>155</v>
      </c>
      <c r="B162" s="804" t="str">
        <f>IF(OR($D$3="",$L$3=""),"",IF('Statement of Marks'!B161="","",'Statement of Marks'!B161))</f>
        <v/>
      </c>
      <c r="C162" s="805" t="str">
        <f>IF(OR($D$3="",$L$3=""),"",IF('Statement of Marks'!D161="","",'Statement of Marks'!D161))</f>
        <v/>
      </c>
      <c r="D162" s="806" t="str">
        <f>IF(OR($D$3="",$L$3=""),"",IF('Statement of Marks'!E161="","",'Statement of Marks'!E161))</f>
        <v/>
      </c>
      <c r="E162" s="807" t="str">
        <f>IF(OR($D$3="",$L$3=""),"",IF('Statement of Marks'!F161="","",'Statement of Marks'!F161))</f>
        <v/>
      </c>
      <c r="F162" s="807" t="str">
        <f>IF(OR($D$3="",$L$3=""),"",IF('Statement of Marks'!G161="","",'Statement of Marks'!G161))</f>
        <v/>
      </c>
      <c r="G162" s="807" t="str">
        <f>IF(OR($D$3="",$L$3=""),"",IF('Statement of Marks'!H161="","",'Statement of Marks'!H161))</f>
        <v/>
      </c>
      <c r="H162" s="808" t="str">
        <f>IF(OR($D$3="",$L$3=""),"",IF('Statement of Marks'!I161="","",'Statement of Marks'!I161))</f>
        <v/>
      </c>
      <c r="I162" s="808" t="str">
        <f>IF(OR($D$3="",$L$3=""),"",IF('Statement of Marks'!J161="","",'Statement of Marks'!J161))</f>
        <v/>
      </c>
      <c r="J162" s="809" t="str">
        <f>IFERROR(IF($L$3=$AJ$8,'Statement of Marks'!K161,IF($L$3=$AJ$9,'Statement of Marks'!Y161,IF($L$3=$AJ$10,'Statement of Marks'!AN161,IF($L$3=$AJ$11,'Statement of Marks'!BB161,IF($L$3=$AJ$12,'Statement of Marks'!BP161,IF($L$3=$AJ$13,'Statement of Marks'!CE161,IF($L$3=$AJ$14,'Statement of Marks'!CT161,IF($L$3=$AJ$15,'Statement of Marks'!DZ161,IF($L$3=$AJ$16,'Statement of Marks'!EL161,IF($L$3=$AJ$17,('Statement of Marks'!FB161+'Statement of Marks'!FC161),"")))))))))),"")</f>
        <v/>
      </c>
      <c r="K162" s="809" t="str">
        <f>IFERROR(IF($L$3=$AJ$8,'Statement of Marks'!L161,IF($L$3=$AJ$9,'Statement of Marks'!Z161,IF($L$3=$AJ$10,'Statement of Marks'!AO161,IF($L$3=$AJ$11,'Statement of Marks'!BC161,IF($L$3=$AJ$12,'Statement of Marks'!BQ161,IF($L$3=$AJ$13,'Statement of Marks'!CF161,IF($L$3=$AJ$14,'Statement of Marks'!CU161,IF($L$3=$AJ$15,'Statement of Marks'!EA161,IF($L$3=$AJ$16,'Statement of Marks'!EM161,IF($L$3=$AJ$17,('Statement of Marks'!FD161+'Statement of Marks'!FE161),"")))))))))),"")</f>
        <v/>
      </c>
      <c r="L162" s="809" t="str">
        <f>IFERROR(IF($L$3=$AJ$8,'Statement of Marks'!M161,IF($L$3=$AJ$9,'Statement of Marks'!AA161,IF($L$3=$AJ$10,'Statement of Marks'!AP161,IF($L$3=$AJ$11,'Statement of Marks'!BD161,IF($L$3=$AJ$12,'Statement of Marks'!BR161,IF($L$3=$AJ$13,'Statement of Marks'!CG161,IF($L$3=$AJ$14,'Statement of Marks'!CV161,IF($L$3=$AJ$15,'Statement of Marks'!EB161,IF($L$3=$AJ$16,'Statement of Marks'!EN161,IF($L$3=$AJ$17,('Statement of Marks'!FF161+'Statement of Marks'!FG161),"")))))))))),"")</f>
        <v/>
      </c>
      <c r="M162" s="810">
        <f t="shared" si="20"/>
        <v>0</v>
      </c>
      <c r="N162" s="809" t="str">
        <f>IFERROR(IF($L$3=$AJ$8,'Statement of Marks'!O161,IF($L$3=$AJ$9,'Statement of Marks'!AC161,IF($L$3=$AJ$10,'Statement of Marks'!AR161,IF($L$3=$AJ$11,'Statement of Marks'!BF161,IF($L$3=$AJ$12,'Statement of Marks'!BT161,IF($L$3=$AJ$13,'Statement of Marks'!CI161,IF($L$3=$AJ$14,('Statement of Marks'!CX161+'Statement of Marks'!CY161),IF($L$3=$AJ$15,'Statement of Marks'!ED161,IF($L$3=$AJ$16,('Statement of Marks'!EP161+'Statement of Marks'!EQ161),IF($L$3=$AJ$17,('Statement of Marks'!FI161+'Statement of Marks'!FJ161),IF($L$3=$AJ$18,'Statement of Marks'!FU161,IF($L$3=$AJ$19,'Statement of Marks'!GC161,"")))))))))))),"")</f>
        <v/>
      </c>
      <c r="O162" s="811">
        <f>IF($L$3=$AJ$18,'Statement of Marks'!FV161,IF($L$3=$AJ$19,'Statement of Marks'!GD161,IF(AND(M162="NA",N162="NA"),"NA",IF(AND(M162="",N162=""),"",SUM(M162,N162)))))</f>
        <v>0</v>
      </c>
      <c r="P162" s="809" t="str">
        <f>IFERROR(IF($L$3=$AJ$8,'Statement of Marks'!Q161,IF($L$3=$AJ$9,'Statement of Marks'!AE161,IF($L$3=$AJ$10,'Statement of Marks'!AT161,IF($L$3=$AJ$11,'Statement of Marks'!BH161,IF($L$3=$AJ$12,'Statement of Marks'!BV161,IF($L$3=$AJ$13,'Statement of Marks'!CK161,IF($L$3=$AJ$14,('Statement of Marks'!DB161+'Statement of Marks'!DC161),IF($L$3=$AJ$15,'Statement of Marks'!EF161,IF($L$3=$AJ$16,('Statement of Marks'!ET161+'Statement of Marks'!EU161),IF($L$3=$AJ$17,('Statement of Marks'!FM161+'Statement of Marks'!FN161),IF($L$3=$AJ$18,'Statement of Marks'!FW161,IF($L$3=$AJ$19,'Statement of Marks'!GE161,"")))))))))))),"")</f>
        <v/>
      </c>
      <c r="Q162" s="812" t="str">
        <f t="shared" si="23"/>
        <v/>
      </c>
      <c r="R162" s="813">
        <f t="shared" si="21"/>
        <v>0</v>
      </c>
      <c r="S162" s="813" t="str">
        <f t="shared" si="24"/>
        <v/>
      </c>
      <c r="T162" s="813" t="str">
        <f t="shared" si="25"/>
        <v/>
      </c>
      <c r="U162" s="814" t="str">
        <f t="shared" si="26"/>
        <v/>
      </c>
      <c r="V162" s="815" t="str">
        <f t="shared" si="27"/>
        <v/>
      </c>
      <c r="W162" s="816" t="str">
        <f t="shared" si="22"/>
        <v/>
      </c>
    </row>
    <row r="163" spans="1:23">
      <c r="A163" s="803">
        <f>IF('Statement of Marks'!A162="","",'Statement of Marks'!A162)</f>
        <v>156</v>
      </c>
      <c r="B163" s="804" t="str">
        <f>IF(OR($D$3="",$L$3=""),"",IF('Statement of Marks'!B162="","",'Statement of Marks'!B162))</f>
        <v/>
      </c>
      <c r="C163" s="805" t="str">
        <f>IF(OR($D$3="",$L$3=""),"",IF('Statement of Marks'!D162="","",'Statement of Marks'!D162))</f>
        <v/>
      </c>
      <c r="D163" s="806" t="str">
        <f>IF(OR($D$3="",$L$3=""),"",IF('Statement of Marks'!E162="","",'Statement of Marks'!E162))</f>
        <v/>
      </c>
      <c r="E163" s="807" t="str">
        <f>IF(OR($D$3="",$L$3=""),"",IF('Statement of Marks'!F162="","",'Statement of Marks'!F162))</f>
        <v/>
      </c>
      <c r="F163" s="807" t="str">
        <f>IF(OR($D$3="",$L$3=""),"",IF('Statement of Marks'!G162="","",'Statement of Marks'!G162))</f>
        <v/>
      </c>
      <c r="G163" s="807" t="str">
        <f>IF(OR($D$3="",$L$3=""),"",IF('Statement of Marks'!H162="","",'Statement of Marks'!H162))</f>
        <v/>
      </c>
      <c r="H163" s="808" t="str">
        <f>IF(OR($D$3="",$L$3=""),"",IF('Statement of Marks'!I162="","",'Statement of Marks'!I162))</f>
        <v/>
      </c>
      <c r="I163" s="808" t="str">
        <f>IF(OR($D$3="",$L$3=""),"",IF('Statement of Marks'!J162="","",'Statement of Marks'!J162))</f>
        <v/>
      </c>
      <c r="J163" s="809" t="str">
        <f>IFERROR(IF($L$3=$AJ$8,'Statement of Marks'!K162,IF($L$3=$AJ$9,'Statement of Marks'!Y162,IF($L$3=$AJ$10,'Statement of Marks'!AN162,IF($L$3=$AJ$11,'Statement of Marks'!BB162,IF($L$3=$AJ$12,'Statement of Marks'!BP162,IF($L$3=$AJ$13,'Statement of Marks'!CE162,IF($L$3=$AJ$14,'Statement of Marks'!CT162,IF($L$3=$AJ$15,'Statement of Marks'!DZ162,IF($L$3=$AJ$16,'Statement of Marks'!EL162,IF($L$3=$AJ$17,('Statement of Marks'!FB162+'Statement of Marks'!FC162),"")))))))))),"")</f>
        <v/>
      </c>
      <c r="K163" s="809" t="str">
        <f>IFERROR(IF($L$3=$AJ$8,'Statement of Marks'!L162,IF($L$3=$AJ$9,'Statement of Marks'!Z162,IF($L$3=$AJ$10,'Statement of Marks'!AO162,IF($L$3=$AJ$11,'Statement of Marks'!BC162,IF($L$3=$AJ$12,'Statement of Marks'!BQ162,IF($L$3=$AJ$13,'Statement of Marks'!CF162,IF($L$3=$AJ$14,'Statement of Marks'!CU162,IF($L$3=$AJ$15,'Statement of Marks'!EA162,IF($L$3=$AJ$16,'Statement of Marks'!EM162,IF($L$3=$AJ$17,('Statement of Marks'!FD162+'Statement of Marks'!FE162),"")))))))))),"")</f>
        <v/>
      </c>
      <c r="L163" s="809" t="str">
        <f>IFERROR(IF($L$3=$AJ$8,'Statement of Marks'!M162,IF($L$3=$AJ$9,'Statement of Marks'!AA162,IF($L$3=$AJ$10,'Statement of Marks'!AP162,IF($L$3=$AJ$11,'Statement of Marks'!BD162,IF($L$3=$AJ$12,'Statement of Marks'!BR162,IF($L$3=$AJ$13,'Statement of Marks'!CG162,IF($L$3=$AJ$14,'Statement of Marks'!CV162,IF($L$3=$AJ$15,'Statement of Marks'!EB162,IF($L$3=$AJ$16,'Statement of Marks'!EN162,IF($L$3=$AJ$17,('Statement of Marks'!FF162+'Statement of Marks'!FG162),"")))))))))),"")</f>
        <v/>
      </c>
      <c r="M163" s="810">
        <f t="shared" si="20"/>
        <v>0</v>
      </c>
      <c r="N163" s="809" t="str">
        <f>IFERROR(IF($L$3=$AJ$8,'Statement of Marks'!O162,IF($L$3=$AJ$9,'Statement of Marks'!AC162,IF($L$3=$AJ$10,'Statement of Marks'!AR162,IF($L$3=$AJ$11,'Statement of Marks'!BF162,IF($L$3=$AJ$12,'Statement of Marks'!BT162,IF($L$3=$AJ$13,'Statement of Marks'!CI162,IF($L$3=$AJ$14,('Statement of Marks'!CX162+'Statement of Marks'!CY162),IF($L$3=$AJ$15,'Statement of Marks'!ED162,IF($L$3=$AJ$16,('Statement of Marks'!EP162+'Statement of Marks'!EQ162),IF($L$3=$AJ$17,('Statement of Marks'!FI162+'Statement of Marks'!FJ162),IF($L$3=$AJ$18,'Statement of Marks'!FU162,IF($L$3=$AJ$19,'Statement of Marks'!GC162,"")))))))))))),"")</f>
        <v/>
      </c>
      <c r="O163" s="811">
        <f>IF($L$3=$AJ$18,'Statement of Marks'!FV162,IF($L$3=$AJ$19,'Statement of Marks'!GD162,IF(AND(M163="NA",N163="NA"),"NA",IF(AND(M163="",N163=""),"",SUM(M163,N163)))))</f>
        <v>0</v>
      </c>
      <c r="P163" s="809" t="str">
        <f>IFERROR(IF($L$3=$AJ$8,'Statement of Marks'!Q162,IF($L$3=$AJ$9,'Statement of Marks'!AE162,IF($L$3=$AJ$10,'Statement of Marks'!AT162,IF($L$3=$AJ$11,'Statement of Marks'!BH162,IF($L$3=$AJ$12,'Statement of Marks'!BV162,IF($L$3=$AJ$13,'Statement of Marks'!CK162,IF($L$3=$AJ$14,('Statement of Marks'!DB162+'Statement of Marks'!DC162),IF($L$3=$AJ$15,'Statement of Marks'!EF162,IF($L$3=$AJ$16,('Statement of Marks'!ET162+'Statement of Marks'!EU162),IF($L$3=$AJ$17,('Statement of Marks'!FM162+'Statement of Marks'!FN162),IF($L$3=$AJ$18,'Statement of Marks'!FW162,IF($L$3=$AJ$19,'Statement of Marks'!GE162,"")))))))))))),"")</f>
        <v/>
      </c>
      <c r="Q163" s="812" t="str">
        <f t="shared" si="23"/>
        <v/>
      </c>
      <c r="R163" s="813">
        <f t="shared" si="21"/>
        <v>0</v>
      </c>
      <c r="S163" s="813" t="str">
        <f t="shared" si="24"/>
        <v/>
      </c>
      <c r="T163" s="813" t="str">
        <f t="shared" si="25"/>
        <v/>
      </c>
      <c r="U163" s="814" t="str">
        <f t="shared" si="26"/>
        <v/>
      </c>
      <c r="V163" s="815" t="str">
        <f t="shared" si="27"/>
        <v/>
      </c>
      <c r="W163" s="816" t="str">
        <f t="shared" si="22"/>
        <v/>
      </c>
    </row>
    <row r="164" spans="1:23">
      <c r="A164" s="803">
        <f>IF('Statement of Marks'!A163="","",'Statement of Marks'!A163)</f>
        <v>157</v>
      </c>
      <c r="B164" s="804" t="str">
        <f>IF(OR($D$3="",$L$3=""),"",IF('Statement of Marks'!B163="","",'Statement of Marks'!B163))</f>
        <v/>
      </c>
      <c r="C164" s="805" t="str">
        <f>IF(OR($D$3="",$L$3=""),"",IF('Statement of Marks'!D163="","",'Statement of Marks'!D163))</f>
        <v/>
      </c>
      <c r="D164" s="806" t="str">
        <f>IF(OR($D$3="",$L$3=""),"",IF('Statement of Marks'!E163="","",'Statement of Marks'!E163))</f>
        <v/>
      </c>
      <c r="E164" s="807" t="str">
        <f>IF(OR($D$3="",$L$3=""),"",IF('Statement of Marks'!F163="","",'Statement of Marks'!F163))</f>
        <v/>
      </c>
      <c r="F164" s="807" t="str">
        <f>IF(OR($D$3="",$L$3=""),"",IF('Statement of Marks'!G163="","",'Statement of Marks'!G163))</f>
        <v/>
      </c>
      <c r="G164" s="807" t="str">
        <f>IF(OR($D$3="",$L$3=""),"",IF('Statement of Marks'!H163="","",'Statement of Marks'!H163))</f>
        <v/>
      </c>
      <c r="H164" s="808" t="str">
        <f>IF(OR($D$3="",$L$3=""),"",IF('Statement of Marks'!I163="","",'Statement of Marks'!I163))</f>
        <v/>
      </c>
      <c r="I164" s="808" t="str">
        <f>IF(OR($D$3="",$L$3=""),"",IF('Statement of Marks'!J163="","",'Statement of Marks'!J163))</f>
        <v/>
      </c>
      <c r="J164" s="809" t="str">
        <f>IFERROR(IF($L$3=$AJ$8,'Statement of Marks'!K163,IF($L$3=$AJ$9,'Statement of Marks'!Y163,IF($L$3=$AJ$10,'Statement of Marks'!AN163,IF($L$3=$AJ$11,'Statement of Marks'!BB163,IF($L$3=$AJ$12,'Statement of Marks'!BP163,IF($L$3=$AJ$13,'Statement of Marks'!CE163,IF($L$3=$AJ$14,'Statement of Marks'!CT163,IF($L$3=$AJ$15,'Statement of Marks'!DZ163,IF($L$3=$AJ$16,'Statement of Marks'!EL163,IF($L$3=$AJ$17,('Statement of Marks'!FB163+'Statement of Marks'!FC163),"")))))))))),"")</f>
        <v/>
      </c>
      <c r="K164" s="809" t="str">
        <f>IFERROR(IF($L$3=$AJ$8,'Statement of Marks'!L163,IF($L$3=$AJ$9,'Statement of Marks'!Z163,IF($L$3=$AJ$10,'Statement of Marks'!AO163,IF($L$3=$AJ$11,'Statement of Marks'!BC163,IF($L$3=$AJ$12,'Statement of Marks'!BQ163,IF($L$3=$AJ$13,'Statement of Marks'!CF163,IF($L$3=$AJ$14,'Statement of Marks'!CU163,IF($L$3=$AJ$15,'Statement of Marks'!EA163,IF($L$3=$AJ$16,'Statement of Marks'!EM163,IF($L$3=$AJ$17,('Statement of Marks'!FD163+'Statement of Marks'!FE163),"")))))))))),"")</f>
        <v/>
      </c>
      <c r="L164" s="809" t="str">
        <f>IFERROR(IF($L$3=$AJ$8,'Statement of Marks'!M163,IF($L$3=$AJ$9,'Statement of Marks'!AA163,IF($L$3=$AJ$10,'Statement of Marks'!AP163,IF($L$3=$AJ$11,'Statement of Marks'!BD163,IF($L$3=$AJ$12,'Statement of Marks'!BR163,IF($L$3=$AJ$13,'Statement of Marks'!CG163,IF($L$3=$AJ$14,'Statement of Marks'!CV163,IF($L$3=$AJ$15,'Statement of Marks'!EB163,IF($L$3=$AJ$16,'Statement of Marks'!EN163,IF($L$3=$AJ$17,('Statement of Marks'!FF163+'Statement of Marks'!FG163),"")))))))))),"")</f>
        <v/>
      </c>
      <c r="M164" s="810">
        <f t="shared" si="20"/>
        <v>0</v>
      </c>
      <c r="N164" s="809" t="str">
        <f>IFERROR(IF($L$3=$AJ$8,'Statement of Marks'!O163,IF($L$3=$AJ$9,'Statement of Marks'!AC163,IF($L$3=$AJ$10,'Statement of Marks'!AR163,IF($L$3=$AJ$11,'Statement of Marks'!BF163,IF($L$3=$AJ$12,'Statement of Marks'!BT163,IF($L$3=$AJ$13,'Statement of Marks'!CI163,IF($L$3=$AJ$14,('Statement of Marks'!CX163+'Statement of Marks'!CY163),IF($L$3=$AJ$15,'Statement of Marks'!ED163,IF($L$3=$AJ$16,('Statement of Marks'!EP163+'Statement of Marks'!EQ163),IF($L$3=$AJ$17,('Statement of Marks'!FI163+'Statement of Marks'!FJ163),IF($L$3=$AJ$18,'Statement of Marks'!FU163,IF($L$3=$AJ$19,'Statement of Marks'!GC163,"")))))))))))),"")</f>
        <v/>
      </c>
      <c r="O164" s="811">
        <f>IF($L$3=$AJ$18,'Statement of Marks'!FV163,IF($L$3=$AJ$19,'Statement of Marks'!GD163,IF(AND(M164="NA",N164="NA"),"NA",IF(AND(M164="",N164=""),"",SUM(M164,N164)))))</f>
        <v>0</v>
      </c>
      <c r="P164" s="809" t="str">
        <f>IFERROR(IF($L$3=$AJ$8,'Statement of Marks'!Q163,IF($L$3=$AJ$9,'Statement of Marks'!AE163,IF($L$3=$AJ$10,'Statement of Marks'!AT163,IF($L$3=$AJ$11,'Statement of Marks'!BH163,IF($L$3=$AJ$12,'Statement of Marks'!BV163,IF($L$3=$AJ$13,'Statement of Marks'!CK163,IF($L$3=$AJ$14,('Statement of Marks'!DB163+'Statement of Marks'!DC163),IF($L$3=$AJ$15,'Statement of Marks'!EF163,IF($L$3=$AJ$16,('Statement of Marks'!ET163+'Statement of Marks'!EU163),IF($L$3=$AJ$17,('Statement of Marks'!FM163+'Statement of Marks'!FN163),IF($L$3=$AJ$18,'Statement of Marks'!FW163,IF($L$3=$AJ$19,'Statement of Marks'!GE163,"")))))))))))),"")</f>
        <v/>
      </c>
      <c r="Q164" s="812" t="str">
        <f t="shared" si="23"/>
        <v/>
      </c>
      <c r="R164" s="813">
        <f t="shared" si="21"/>
        <v>0</v>
      </c>
      <c r="S164" s="813" t="str">
        <f t="shared" si="24"/>
        <v/>
      </c>
      <c r="T164" s="813" t="str">
        <f t="shared" si="25"/>
        <v/>
      </c>
      <c r="U164" s="814" t="str">
        <f t="shared" si="26"/>
        <v/>
      </c>
      <c r="V164" s="815" t="str">
        <f t="shared" si="27"/>
        <v/>
      </c>
      <c r="W164" s="816" t="str">
        <f t="shared" si="22"/>
        <v/>
      </c>
    </row>
    <row r="165" spans="1:23">
      <c r="A165" s="803">
        <f>IF('Statement of Marks'!A164="","",'Statement of Marks'!A164)</f>
        <v>158</v>
      </c>
      <c r="B165" s="804" t="str">
        <f>IF(OR($D$3="",$L$3=""),"",IF('Statement of Marks'!B164="","",'Statement of Marks'!B164))</f>
        <v/>
      </c>
      <c r="C165" s="805" t="str">
        <f>IF(OR($D$3="",$L$3=""),"",IF('Statement of Marks'!D164="","",'Statement of Marks'!D164))</f>
        <v/>
      </c>
      <c r="D165" s="806" t="str">
        <f>IF(OR($D$3="",$L$3=""),"",IF('Statement of Marks'!E164="","",'Statement of Marks'!E164))</f>
        <v/>
      </c>
      <c r="E165" s="807" t="str">
        <f>IF(OR($D$3="",$L$3=""),"",IF('Statement of Marks'!F164="","",'Statement of Marks'!F164))</f>
        <v/>
      </c>
      <c r="F165" s="807" t="str">
        <f>IF(OR($D$3="",$L$3=""),"",IF('Statement of Marks'!G164="","",'Statement of Marks'!G164))</f>
        <v/>
      </c>
      <c r="G165" s="807" t="str">
        <f>IF(OR($D$3="",$L$3=""),"",IF('Statement of Marks'!H164="","",'Statement of Marks'!H164))</f>
        <v/>
      </c>
      <c r="H165" s="808" t="str">
        <f>IF(OR($D$3="",$L$3=""),"",IF('Statement of Marks'!I164="","",'Statement of Marks'!I164))</f>
        <v/>
      </c>
      <c r="I165" s="808" t="str">
        <f>IF(OR($D$3="",$L$3=""),"",IF('Statement of Marks'!J164="","",'Statement of Marks'!J164))</f>
        <v/>
      </c>
      <c r="J165" s="809" t="str">
        <f>IFERROR(IF($L$3=$AJ$8,'Statement of Marks'!K164,IF($L$3=$AJ$9,'Statement of Marks'!Y164,IF($L$3=$AJ$10,'Statement of Marks'!AN164,IF($L$3=$AJ$11,'Statement of Marks'!BB164,IF($L$3=$AJ$12,'Statement of Marks'!BP164,IF($L$3=$AJ$13,'Statement of Marks'!CE164,IF($L$3=$AJ$14,'Statement of Marks'!CT164,IF($L$3=$AJ$15,'Statement of Marks'!DZ164,IF($L$3=$AJ$16,'Statement of Marks'!EL164,IF($L$3=$AJ$17,('Statement of Marks'!FB164+'Statement of Marks'!FC164),"")))))))))),"")</f>
        <v/>
      </c>
      <c r="K165" s="809" t="str">
        <f>IFERROR(IF($L$3=$AJ$8,'Statement of Marks'!L164,IF($L$3=$AJ$9,'Statement of Marks'!Z164,IF($L$3=$AJ$10,'Statement of Marks'!AO164,IF($L$3=$AJ$11,'Statement of Marks'!BC164,IF($L$3=$AJ$12,'Statement of Marks'!BQ164,IF($L$3=$AJ$13,'Statement of Marks'!CF164,IF($L$3=$AJ$14,'Statement of Marks'!CU164,IF($L$3=$AJ$15,'Statement of Marks'!EA164,IF($L$3=$AJ$16,'Statement of Marks'!EM164,IF($L$3=$AJ$17,('Statement of Marks'!FD164+'Statement of Marks'!FE164),"")))))))))),"")</f>
        <v/>
      </c>
      <c r="L165" s="809" t="str">
        <f>IFERROR(IF($L$3=$AJ$8,'Statement of Marks'!M164,IF($L$3=$AJ$9,'Statement of Marks'!AA164,IF($L$3=$AJ$10,'Statement of Marks'!AP164,IF($L$3=$AJ$11,'Statement of Marks'!BD164,IF($L$3=$AJ$12,'Statement of Marks'!BR164,IF($L$3=$AJ$13,'Statement of Marks'!CG164,IF($L$3=$AJ$14,'Statement of Marks'!CV164,IF($L$3=$AJ$15,'Statement of Marks'!EB164,IF($L$3=$AJ$16,'Statement of Marks'!EN164,IF($L$3=$AJ$17,('Statement of Marks'!FF164+'Statement of Marks'!FG164),"")))))))))),"")</f>
        <v/>
      </c>
      <c r="M165" s="810">
        <f t="shared" si="20"/>
        <v>0</v>
      </c>
      <c r="N165" s="809" t="str">
        <f>IFERROR(IF($L$3=$AJ$8,'Statement of Marks'!O164,IF($L$3=$AJ$9,'Statement of Marks'!AC164,IF($L$3=$AJ$10,'Statement of Marks'!AR164,IF($L$3=$AJ$11,'Statement of Marks'!BF164,IF($L$3=$AJ$12,'Statement of Marks'!BT164,IF($L$3=$AJ$13,'Statement of Marks'!CI164,IF($L$3=$AJ$14,('Statement of Marks'!CX164+'Statement of Marks'!CY164),IF($L$3=$AJ$15,'Statement of Marks'!ED164,IF($L$3=$AJ$16,('Statement of Marks'!EP164+'Statement of Marks'!EQ164),IF($L$3=$AJ$17,('Statement of Marks'!FI164+'Statement of Marks'!FJ164),IF($L$3=$AJ$18,'Statement of Marks'!FU164,IF($L$3=$AJ$19,'Statement of Marks'!GC164,"")))))))))))),"")</f>
        <v/>
      </c>
      <c r="O165" s="811">
        <f>IF($L$3=$AJ$18,'Statement of Marks'!FV164,IF($L$3=$AJ$19,'Statement of Marks'!GD164,IF(AND(M165="NA",N165="NA"),"NA",IF(AND(M165="",N165=""),"",SUM(M165,N165)))))</f>
        <v>0</v>
      </c>
      <c r="P165" s="809" t="str">
        <f>IFERROR(IF($L$3=$AJ$8,'Statement of Marks'!Q164,IF($L$3=$AJ$9,'Statement of Marks'!AE164,IF($L$3=$AJ$10,'Statement of Marks'!AT164,IF($L$3=$AJ$11,'Statement of Marks'!BH164,IF($L$3=$AJ$12,'Statement of Marks'!BV164,IF($L$3=$AJ$13,'Statement of Marks'!CK164,IF($L$3=$AJ$14,('Statement of Marks'!DB164+'Statement of Marks'!DC164),IF($L$3=$AJ$15,'Statement of Marks'!EF164,IF($L$3=$AJ$16,('Statement of Marks'!ET164+'Statement of Marks'!EU164),IF($L$3=$AJ$17,('Statement of Marks'!FM164+'Statement of Marks'!FN164),IF($L$3=$AJ$18,'Statement of Marks'!FW164,IF($L$3=$AJ$19,'Statement of Marks'!GE164,"")))))))))))),"")</f>
        <v/>
      </c>
      <c r="Q165" s="812" t="str">
        <f t="shared" si="23"/>
        <v/>
      </c>
      <c r="R165" s="813">
        <f t="shared" si="21"/>
        <v>0</v>
      </c>
      <c r="S165" s="813" t="str">
        <f t="shared" si="24"/>
        <v/>
      </c>
      <c r="T165" s="813" t="str">
        <f t="shared" si="25"/>
        <v/>
      </c>
      <c r="U165" s="814" t="str">
        <f t="shared" si="26"/>
        <v/>
      </c>
      <c r="V165" s="815" t="str">
        <f t="shared" si="27"/>
        <v/>
      </c>
      <c r="W165" s="816" t="str">
        <f t="shared" si="22"/>
        <v/>
      </c>
    </row>
    <row r="166" spans="1:23">
      <c r="A166" s="803">
        <f>IF('Statement of Marks'!A165="","",'Statement of Marks'!A165)</f>
        <v>159</v>
      </c>
      <c r="B166" s="804" t="str">
        <f>IF(OR($D$3="",$L$3=""),"",IF('Statement of Marks'!B165="","",'Statement of Marks'!B165))</f>
        <v/>
      </c>
      <c r="C166" s="805" t="str">
        <f>IF(OR($D$3="",$L$3=""),"",IF('Statement of Marks'!D165="","",'Statement of Marks'!D165))</f>
        <v/>
      </c>
      <c r="D166" s="806" t="str">
        <f>IF(OR($D$3="",$L$3=""),"",IF('Statement of Marks'!E165="","",'Statement of Marks'!E165))</f>
        <v/>
      </c>
      <c r="E166" s="807" t="str">
        <f>IF(OR($D$3="",$L$3=""),"",IF('Statement of Marks'!F165="","",'Statement of Marks'!F165))</f>
        <v/>
      </c>
      <c r="F166" s="807" t="str">
        <f>IF(OR($D$3="",$L$3=""),"",IF('Statement of Marks'!G165="","",'Statement of Marks'!G165))</f>
        <v/>
      </c>
      <c r="G166" s="807" t="str">
        <f>IF(OR($D$3="",$L$3=""),"",IF('Statement of Marks'!H165="","",'Statement of Marks'!H165))</f>
        <v/>
      </c>
      <c r="H166" s="808" t="str">
        <f>IF(OR($D$3="",$L$3=""),"",IF('Statement of Marks'!I165="","",'Statement of Marks'!I165))</f>
        <v/>
      </c>
      <c r="I166" s="808" t="str">
        <f>IF(OR($D$3="",$L$3=""),"",IF('Statement of Marks'!J165="","",'Statement of Marks'!J165))</f>
        <v/>
      </c>
      <c r="J166" s="809" t="str">
        <f>IFERROR(IF($L$3=$AJ$8,'Statement of Marks'!K165,IF($L$3=$AJ$9,'Statement of Marks'!Y165,IF($L$3=$AJ$10,'Statement of Marks'!AN165,IF($L$3=$AJ$11,'Statement of Marks'!BB165,IF($L$3=$AJ$12,'Statement of Marks'!BP165,IF($L$3=$AJ$13,'Statement of Marks'!CE165,IF($L$3=$AJ$14,'Statement of Marks'!CT165,IF($L$3=$AJ$15,'Statement of Marks'!DZ165,IF($L$3=$AJ$16,'Statement of Marks'!EL165,IF($L$3=$AJ$17,('Statement of Marks'!FB165+'Statement of Marks'!FC165),"")))))))))),"")</f>
        <v/>
      </c>
      <c r="K166" s="809" t="str">
        <f>IFERROR(IF($L$3=$AJ$8,'Statement of Marks'!L165,IF($L$3=$AJ$9,'Statement of Marks'!Z165,IF($L$3=$AJ$10,'Statement of Marks'!AO165,IF($L$3=$AJ$11,'Statement of Marks'!BC165,IF($L$3=$AJ$12,'Statement of Marks'!BQ165,IF($L$3=$AJ$13,'Statement of Marks'!CF165,IF($L$3=$AJ$14,'Statement of Marks'!CU165,IF($L$3=$AJ$15,'Statement of Marks'!EA165,IF($L$3=$AJ$16,'Statement of Marks'!EM165,IF($L$3=$AJ$17,('Statement of Marks'!FD165+'Statement of Marks'!FE165),"")))))))))),"")</f>
        <v/>
      </c>
      <c r="L166" s="809" t="str">
        <f>IFERROR(IF($L$3=$AJ$8,'Statement of Marks'!M165,IF($L$3=$AJ$9,'Statement of Marks'!AA165,IF($L$3=$AJ$10,'Statement of Marks'!AP165,IF($L$3=$AJ$11,'Statement of Marks'!BD165,IF($L$3=$AJ$12,'Statement of Marks'!BR165,IF($L$3=$AJ$13,'Statement of Marks'!CG165,IF($L$3=$AJ$14,'Statement of Marks'!CV165,IF($L$3=$AJ$15,'Statement of Marks'!EB165,IF($L$3=$AJ$16,'Statement of Marks'!EN165,IF($L$3=$AJ$17,('Statement of Marks'!FF165+'Statement of Marks'!FG165),"")))))))))),"")</f>
        <v/>
      </c>
      <c r="M166" s="810">
        <f t="shared" si="20"/>
        <v>0</v>
      </c>
      <c r="N166" s="809" t="str">
        <f>IFERROR(IF($L$3=$AJ$8,'Statement of Marks'!O165,IF($L$3=$AJ$9,'Statement of Marks'!AC165,IF($L$3=$AJ$10,'Statement of Marks'!AR165,IF($L$3=$AJ$11,'Statement of Marks'!BF165,IF($L$3=$AJ$12,'Statement of Marks'!BT165,IF($L$3=$AJ$13,'Statement of Marks'!CI165,IF($L$3=$AJ$14,('Statement of Marks'!CX165+'Statement of Marks'!CY165),IF($L$3=$AJ$15,'Statement of Marks'!ED165,IF($L$3=$AJ$16,('Statement of Marks'!EP165+'Statement of Marks'!EQ165),IF($L$3=$AJ$17,('Statement of Marks'!FI165+'Statement of Marks'!FJ165),IF($L$3=$AJ$18,'Statement of Marks'!FU165,IF($L$3=$AJ$19,'Statement of Marks'!GC165,"")))))))))))),"")</f>
        <v/>
      </c>
      <c r="O166" s="811">
        <f>IF($L$3=$AJ$18,'Statement of Marks'!FV165,IF($L$3=$AJ$19,'Statement of Marks'!GD165,IF(AND(M166="NA",N166="NA"),"NA",IF(AND(M166="",N166=""),"",SUM(M166,N166)))))</f>
        <v>0</v>
      </c>
      <c r="P166" s="809" t="str">
        <f>IFERROR(IF($L$3=$AJ$8,'Statement of Marks'!Q165,IF($L$3=$AJ$9,'Statement of Marks'!AE165,IF($L$3=$AJ$10,'Statement of Marks'!AT165,IF($L$3=$AJ$11,'Statement of Marks'!BH165,IF($L$3=$AJ$12,'Statement of Marks'!BV165,IF($L$3=$AJ$13,'Statement of Marks'!CK165,IF($L$3=$AJ$14,('Statement of Marks'!DB165+'Statement of Marks'!DC165),IF($L$3=$AJ$15,'Statement of Marks'!EF165,IF($L$3=$AJ$16,('Statement of Marks'!ET165+'Statement of Marks'!EU165),IF($L$3=$AJ$17,('Statement of Marks'!FM165+'Statement of Marks'!FN165),IF($L$3=$AJ$18,'Statement of Marks'!FW165,IF($L$3=$AJ$19,'Statement of Marks'!GE165,"")))))))))))),"")</f>
        <v/>
      </c>
      <c r="Q166" s="812" t="str">
        <f t="shared" si="23"/>
        <v/>
      </c>
      <c r="R166" s="813">
        <f t="shared" si="21"/>
        <v>0</v>
      </c>
      <c r="S166" s="813" t="str">
        <f t="shared" si="24"/>
        <v/>
      </c>
      <c r="T166" s="813" t="str">
        <f t="shared" si="25"/>
        <v/>
      </c>
      <c r="U166" s="814" t="str">
        <f t="shared" si="26"/>
        <v/>
      </c>
      <c r="V166" s="815" t="str">
        <f t="shared" si="27"/>
        <v/>
      </c>
      <c r="W166" s="816" t="str">
        <f t="shared" si="22"/>
        <v/>
      </c>
    </row>
    <row r="167" spans="1:23">
      <c r="A167" s="803">
        <f>IF('Statement of Marks'!A166="","",'Statement of Marks'!A166)</f>
        <v>160</v>
      </c>
      <c r="B167" s="804" t="str">
        <f>IF(OR($D$3="",$L$3=""),"",IF('Statement of Marks'!B166="","",'Statement of Marks'!B166))</f>
        <v/>
      </c>
      <c r="C167" s="805" t="str">
        <f>IF(OR($D$3="",$L$3=""),"",IF('Statement of Marks'!D166="","",'Statement of Marks'!D166))</f>
        <v/>
      </c>
      <c r="D167" s="806" t="str">
        <f>IF(OR($D$3="",$L$3=""),"",IF('Statement of Marks'!E166="","",'Statement of Marks'!E166))</f>
        <v/>
      </c>
      <c r="E167" s="807" t="str">
        <f>IF(OR($D$3="",$L$3=""),"",IF('Statement of Marks'!F166="","",'Statement of Marks'!F166))</f>
        <v/>
      </c>
      <c r="F167" s="807" t="str">
        <f>IF(OR($D$3="",$L$3=""),"",IF('Statement of Marks'!G166="","",'Statement of Marks'!G166))</f>
        <v/>
      </c>
      <c r="G167" s="807" t="str">
        <f>IF(OR($D$3="",$L$3=""),"",IF('Statement of Marks'!H166="","",'Statement of Marks'!H166))</f>
        <v/>
      </c>
      <c r="H167" s="808" t="str">
        <f>IF(OR($D$3="",$L$3=""),"",IF('Statement of Marks'!I166="","",'Statement of Marks'!I166))</f>
        <v/>
      </c>
      <c r="I167" s="808" t="str">
        <f>IF(OR($D$3="",$L$3=""),"",IF('Statement of Marks'!J166="","",'Statement of Marks'!J166))</f>
        <v/>
      </c>
      <c r="J167" s="809" t="str">
        <f>IFERROR(IF($L$3=$AJ$8,'Statement of Marks'!K166,IF($L$3=$AJ$9,'Statement of Marks'!Y166,IF($L$3=$AJ$10,'Statement of Marks'!AN166,IF($L$3=$AJ$11,'Statement of Marks'!BB166,IF($L$3=$AJ$12,'Statement of Marks'!BP166,IF($L$3=$AJ$13,'Statement of Marks'!CE166,IF($L$3=$AJ$14,'Statement of Marks'!CT166,IF($L$3=$AJ$15,'Statement of Marks'!DZ166,IF($L$3=$AJ$16,'Statement of Marks'!EL166,IF($L$3=$AJ$17,('Statement of Marks'!FB166+'Statement of Marks'!FC166),"")))))))))),"")</f>
        <v/>
      </c>
      <c r="K167" s="809" t="str">
        <f>IFERROR(IF($L$3=$AJ$8,'Statement of Marks'!L166,IF($L$3=$AJ$9,'Statement of Marks'!Z166,IF($L$3=$AJ$10,'Statement of Marks'!AO166,IF($L$3=$AJ$11,'Statement of Marks'!BC166,IF($L$3=$AJ$12,'Statement of Marks'!BQ166,IF($L$3=$AJ$13,'Statement of Marks'!CF166,IF($L$3=$AJ$14,'Statement of Marks'!CU166,IF($L$3=$AJ$15,'Statement of Marks'!EA166,IF($L$3=$AJ$16,'Statement of Marks'!EM166,IF($L$3=$AJ$17,('Statement of Marks'!FD166+'Statement of Marks'!FE166),"")))))))))),"")</f>
        <v/>
      </c>
      <c r="L167" s="809" t="str">
        <f>IFERROR(IF($L$3=$AJ$8,'Statement of Marks'!M166,IF($L$3=$AJ$9,'Statement of Marks'!AA166,IF($L$3=$AJ$10,'Statement of Marks'!AP166,IF($L$3=$AJ$11,'Statement of Marks'!BD166,IF($L$3=$AJ$12,'Statement of Marks'!BR166,IF($L$3=$AJ$13,'Statement of Marks'!CG166,IF($L$3=$AJ$14,'Statement of Marks'!CV166,IF($L$3=$AJ$15,'Statement of Marks'!EB166,IF($L$3=$AJ$16,'Statement of Marks'!EN166,IF($L$3=$AJ$17,('Statement of Marks'!FF166+'Statement of Marks'!FG166),"")))))))))),"")</f>
        <v/>
      </c>
      <c r="M167" s="810">
        <f t="shared" si="20"/>
        <v>0</v>
      </c>
      <c r="N167" s="809" t="str">
        <f>IFERROR(IF($L$3=$AJ$8,'Statement of Marks'!O166,IF($L$3=$AJ$9,'Statement of Marks'!AC166,IF($L$3=$AJ$10,'Statement of Marks'!AR166,IF($L$3=$AJ$11,'Statement of Marks'!BF166,IF($L$3=$AJ$12,'Statement of Marks'!BT166,IF($L$3=$AJ$13,'Statement of Marks'!CI166,IF($L$3=$AJ$14,('Statement of Marks'!CX166+'Statement of Marks'!CY166),IF($L$3=$AJ$15,'Statement of Marks'!ED166,IF($L$3=$AJ$16,('Statement of Marks'!EP166+'Statement of Marks'!EQ166),IF($L$3=$AJ$17,('Statement of Marks'!FI166+'Statement of Marks'!FJ166),IF($L$3=$AJ$18,'Statement of Marks'!FU166,IF($L$3=$AJ$19,'Statement of Marks'!GC166,"")))))))))))),"")</f>
        <v/>
      </c>
      <c r="O167" s="811">
        <f>IF($L$3=$AJ$18,'Statement of Marks'!FV166,IF($L$3=$AJ$19,'Statement of Marks'!GD166,IF(AND(M167="NA",N167="NA"),"NA",IF(AND(M167="",N167=""),"",SUM(M167,N167)))))</f>
        <v>0</v>
      </c>
      <c r="P167" s="809" t="str">
        <f>IFERROR(IF($L$3=$AJ$8,'Statement of Marks'!Q166,IF($L$3=$AJ$9,'Statement of Marks'!AE166,IF($L$3=$AJ$10,'Statement of Marks'!AT166,IF($L$3=$AJ$11,'Statement of Marks'!BH166,IF($L$3=$AJ$12,'Statement of Marks'!BV166,IF($L$3=$AJ$13,'Statement of Marks'!CK166,IF($L$3=$AJ$14,('Statement of Marks'!DB166+'Statement of Marks'!DC166),IF($L$3=$AJ$15,'Statement of Marks'!EF166,IF($L$3=$AJ$16,('Statement of Marks'!ET166+'Statement of Marks'!EU166),IF($L$3=$AJ$17,('Statement of Marks'!FM166+'Statement of Marks'!FN166),IF($L$3=$AJ$18,'Statement of Marks'!FW166,IF($L$3=$AJ$19,'Statement of Marks'!GE166,"")))))))))))),"")</f>
        <v/>
      </c>
      <c r="Q167" s="812" t="str">
        <f t="shared" si="23"/>
        <v/>
      </c>
      <c r="R167" s="813">
        <f t="shared" si="21"/>
        <v>0</v>
      </c>
      <c r="S167" s="813" t="str">
        <f t="shared" si="24"/>
        <v/>
      </c>
      <c r="T167" s="813" t="str">
        <f t="shared" si="25"/>
        <v/>
      </c>
      <c r="U167" s="814" t="str">
        <f t="shared" si="26"/>
        <v/>
      </c>
      <c r="V167" s="815" t="str">
        <f t="shared" si="27"/>
        <v/>
      </c>
      <c r="W167" s="816" t="str">
        <f t="shared" si="22"/>
        <v/>
      </c>
    </row>
    <row r="168" spans="1:23">
      <c r="A168" s="803">
        <f>IF('Statement of Marks'!A167="","",'Statement of Marks'!A167)</f>
        <v>161</v>
      </c>
      <c r="B168" s="804" t="str">
        <f>IF(OR($D$3="",$L$3=""),"",IF('Statement of Marks'!B167="","",'Statement of Marks'!B167))</f>
        <v/>
      </c>
      <c r="C168" s="805" t="str">
        <f>IF(OR($D$3="",$L$3=""),"",IF('Statement of Marks'!D167="","",'Statement of Marks'!D167))</f>
        <v/>
      </c>
      <c r="D168" s="806" t="str">
        <f>IF(OR($D$3="",$L$3=""),"",IF('Statement of Marks'!E167="","",'Statement of Marks'!E167))</f>
        <v/>
      </c>
      <c r="E168" s="807" t="str">
        <f>IF(OR($D$3="",$L$3=""),"",IF('Statement of Marks'!F167="","",'Statement of Marks'!F167))</f>
        <v/>
      </c>
      <c r="F168" s="807" t="str">
        <f>IF(OR($D$3="",$L$3=""),"",IF('Statement of Marks'!G167="","",'Statement of Marks'!G167))</f>
        <v/>
      </c>
      <c r="G168" s="807" t="str">
        <f>IF(OR($D$3="",$L$3=""),"",IF('Statement of Marks'!H167="","",'Statement of Marks'!H167))</f>
        <v/>
      </c>
      <c r="H168" s="808" t="str">
        <f>IF(OR($D$3="",$L$3=""),"",IF('Statement of Marks'!I167="","",'Statement of Marks'!I167))</f>
        <v/>
      </c>
      <c r="I168" s="808" t="str">
        <f>IF(OR($D$3="",$L$3=""),"",IF('Statement of Marks'!J167="","",'Statement of Marks'!J167))</f>
        <v/>
      </c>
      <c r="J168" s="809" t="str">
        <f>IFERROR(IF($L$3=$AJ$8,'Statement of Marks'!K167,IF($L$3=$AJ$9,'Statement of Marks'!Y167,IF($L$3=$AJ$10,'Statement of Marks'!AN167,IF($L$3=$AJ$11,'Statement of Marks'!BB167,IF($L$3=$AJ$12,'Statement of Marks'!BP167,IF($L$3=$AJ$13,'Statement of Marks'!CE167,IF($L$3=$AJ$14,'Statement of Marks'!CT167,IF($L$3=$AJ$15,'Statement of Marks'!DZ167,IF($L$3=$AJ$16,'Statement of Marks'!EL167,IF($L$3=$AJ$17,('Statement of Marks'!FB167+'Statement of Marks'!FC167),"")))))))))),"")</f>
        <v/>
      </c>
      <c r="K168" s="809" t="str">
        <f>IFERROR(IF($L$3=$AJ$8,'Statement of Marks'!L167,IF($L$3=$AJ$9,'Statement of Marks'!Z167,IF($L$3=$AJ$10,'Statement of Marks'!AO167,IF($L$3=$AJ$11,'Statement of Marks'!BC167,IF($L$3=$AJ$12,'Statement of Marks'!BQ167,IF($L$3=$AJ$13,'Statement of Marks'!CF167,IF($L$3=$AJ$14,'Statement of Marks'!CU167,IF($L$3=$AJ$15,'Statement of Marks'!EA167,IF($L$3=$AJ$16,'Statement of Marks'!EM167,IF($L$3=$AJ$17,('Statement of Marks'!FD167+'Statement of Marks'!FE167),"")))))))))),"")</f>
        <v/>
      </c>
      <c r="L168" s="809" t="str">
        <f>IFERROR(IF($L$3=$AJ$8,'Statement of Marks'!M167,IF($L$3=$AJ$9,'Statement of Marks'!AA167,IF($L$3=$AJ$10,'Statement of Marks'!AP167,IF($L$3=$AJ$11,'Statement of Marks'!BD167,IF($L$3=$AJ$12,'Statement of Marks'!BR167,IF($L$3=$AJ$13,'Statement of Marks'!CG167,IF($L$3=$AJ$14,'Statement of Marks'!CV167,IF($L$3=$AJ$15,'Statement of Marks'!EB167,IF($L$3=$AJ$16,'Statement of Marks'!EN167,IF($L$3=$AJ$17,('Statement of Marks'!FF167+'Statement of Marks'!FG167),"")))))))))),"")</f>
        <v/>
      </c>
      <c r="M168" s="810">
        <f t="shared" si="20"/>
        <v>0</v>
      </c>
      <c r="N168" s="809" t="str">
        <f>IFERROR(IF($L$3=$AJ$8,'Statement of Marks'!O167,IF($L$3=$AJ$9,'Statement of Marks'!AC167,IF($L$3=$AJ$10,'Statement of Marks'!AR167,IF($L$3=$AJ$11,'Statement of Marks'!BF167,IF($L$3=$AJ$12,'Statement of Marks'!BT167,IF($L$3=$AJ$13,'Statement of Marks'!CI167,IF($L$3=$AJ$14,('Statement of Marks'!CX167+'Statement of Marks'!CY167),IF($L$3=$AJ$15,'Statement of Marks'!ED167,IF($L$3=$AJ$16,('Statement of Marks'!EP167+'Statement of Marks'!EQ167),IF($L$3=$AJ$17,('Statement of Marks'!FI167+'Statement of Marks'!FJ167),IF($L$3=$AJ$18,'Statement of Marks'!FU167,IF($L$3=$AJ$19,'Statement of Marks'!GC167,"")))))))))))),"")</f>
        <v/>
      </c>
      <c r="O168" s="811">
        <f>IF($L$3=$AJ$18,'Statement of Marks'!FV167,IF($L$3=$AJ$19,'Statement of Marks'!GD167,IF(AND(M168="NA",N168="NA"),"NA",IF(AND(M168="",N168=""),"",SUM(M168,N168)))))</f>
        <v>0</v>
      </c>
      <c r="P168" s="809" t="str">
        <f>IFERROR(IF($L$3=$AJ$8,'Statement of Marks'!Q167,IF($L$3=$AJ$9,'Statement of Marks'!AE167,IF($L$3=$AJ$10,'Statement of Marks'!AT167,IF($L$3=$AJ$11,'Statement of Marks'!BH167,IF($L$3=$AJ$12,'Statement of Marks'!BV167,IF($L$3=$AJ$13,'Statement of Marks'!CK167,IF($L$3=$AJ$14,('Statement of Marks'!DB167+'Statement of Marks'!DC167),IF($L$3=$AJ$15,'Statement of Marks'!EF167,IF($L$3=$AJ$16,('Statement of Marks'!ET167+'Statement of Marks'!EU167),IF($L$3=$AJ$17,('Statement of Marks'!FM167+'Statement of Marks'!FN167),IF($L$3=$AJ$18,'Statement of Marks'!FW167,IF($L$3=$AJ$19,'Statement of Marks'!GE167,"")))))))))))),"")</f>
        <v/>
      </c>
      <c r="Q168" s="812" t="str">
        <f t="shared" si="23"/>
        <v/>
      </c>
      <c r="R168" s="813">
        <f t="shared" ref="R168:R199" si="28">IFERROR(IF($L$3="","",IF(OR($L$3=$AJ$18,$L$3=$AJ$19),COUNTIF(J168:L168,"NA")*$J$7+(COUNTIF(J168:L168,"ML")*$J$7)+(COUNTIF(O168,"ML")*$O$7)+(COUNTIF(N168,"ML")*$N$8)+(COUNTIF(P168,"ML")*$P$7),COUNTIF(N168,"NA")*$N$7+(COUNTIF(J168:L168,"ML")*$J$7)+(COUNTIF(N168,"ML")*$N$7)+(COUNTIF(P168,"ML")*$P$7))),0)</f>
        <v>0</v>
      </c>
      <c r="S168" s="813" t="str">
        <f t="shared" si="24"/>
        <v/>
      </c>
      <c r="T168" s="813" t="str">
        <f t="shared" si="25"/>
        <v/>
      </c>
      <c r="U168" s="814" t="str">
        <f t="shared" si="26"/>
        <v/>
      </c>
      <c r="V168" s="815" t="str">
        <f t="shared" si="27"/>
        <v/>
      </c>
      <c r="W168" s="816" t="str">
        <f t="shared" ref="W168:W199" si="29">IF(Q168="","",IF(OR(U168="",U168=0,U168="RE",U168="AB",B168="NSO"),"",IF(Q168&gt;85%*S168,"A",IF(Q168&gt;70%*S168,"B",IF(Q168&gt;=50%*S168,"C",IF(Q168&gt;=30%*S168,"D","E"))))))</f>
        <v/>
      </c>
    </row>
    <row r="169" spans="1:23">
      <c r="A169" s="803">
        <f>IF('Statement of Marks'!A168="","",'Statement of Marks'!A168)</f>
        <v>162</v>
      </c>
      <c r="B169" s="804" t="str">
        <f>IF(OR($D$3="",$L$3=""),"",IF('Statement of Marks'!B168="","",'Statement of Marks'!B168))</f>
        <v/>
      </c>
      <c r="C169" s="805" t="str">
        <f>IF(OR($D$3="",$L$3=""),"",IF('Statement of Marks'!D168="","",'Statement of Marks'!D168))</f>
        <v/>
      </c>
      <c r="D169" s="806" t="str">
        <f>IF(OR($D$3="",$L$3=""),"",IF('Statement of Marks'!E168="","",'Statement of Marks'!E168))</f>
        <v/>
      </c>
      <c r="E169" s="807" t="str">
        <f>IF(OR($D$3="",$L$3=""),"",IF('Statement of Marks'!F168="","",'Statement of Marks'!F168))</f>
        <v/>
      </c>
      <c r="F169" s="807" t="str">
        <f>IF(OR($D$3="",$L$3=""),"",IF('Statement of Marks'!G168="","",'Statement of Marks'!G168))</f>
        <v/>
      </c>
      <c r="G169" s="807" t="str">
        <f>IF(OR($D$3="",$L$3=""),"",IF('Statement of Marks'!H168="","",'Statement of Marks'!H168))</f>
        <v/>
      </c>
      <c r="H169" s="808" t="str">
        <f>IF(OR($D$3="",$L$3=""),"",IF('Statement of Marks'!I168="","",'Statement of Marks'!I168))</f>
        <v/>
      </c>
      <c r="I169" s="808" t="str">
        <f>IF(OR($D$3="",$L$3=""),"",IF('Statement of Marks'!J168="","",'Statement of Marks'!J168))</f>
        <v/>
      </c>
      <c r="J169" s="809" t="str">
        <f>IFERROR(IF($L$3=$AJ$8,'Statement of Marks'!K168,IF($L$3=$AJ$9,'Statement of Marks'!Y168,IF($L$3=$AJ$10,'Statement of Marks'!AN168,IF($L$3=$AJ$11,'Statement of Marks'!BB168,IF($L$3=$AJ$12,'Statement of Marks'!BP168,IF($L$3=$AJ$13,'Statement of Marks'!CE168,IF($L$3=$AJ$14,'Statement of Marks'!CT168,IF($L$3=$AJ$15,'Statement of Marks'!DZ168,IF($L$3=$AJ$16,'Statement of Marks'!EL168,IF($L$3=$AJ$17,('Statement of Marks'!FB168+'Statement of Marks'!FC168),"")))))))))),"")</f>
        <v/>
      </c>
      <c r="K169" s="809" t="str">
        <f>IFERROR(IF($L$3=$AJ$8,'Statement of Marks'!L168,IF($L$3=$AJ$9,'Statement of Marks'!Z168,IF($L$3=$AJ$10,'Statement of Marks'!AO168,IF($L$3=$AJ$11,'Statement of Marks'!BC168,IF($L$3=$AJ$12,'Statement of Marks'!BQ168,IF($L$3=$AJ$13,'Statement of Marks'!CF168,IF($L$3=$AJ$14,'Statement of Marks'!CU168,IF($L$3=$AJ$15,'Statement of Marks'!EA168,IF($L$3=$AJ$16,'Statement of Marks'!EM168,IF($L$3=$AJ$17,('Statement of Marks'!FD168+'Statement of Marks'!FE168),"")))))))))),"")</f>
        <v/>
      </c>
      <c r="L169" s="809" t="str">
        <f>IFERROR(IF($L$3=$AJ$8,'Statement of Marks'!M168,IF($L$3=$AJ$9,'Statement of Marks'!AA168,IF($L$3=$AJ$10,'Statement of Marks'!AP168,IF($L$3=$AJ$11,'Statement of Marks'!BD168,IF($L$3=$AJ$12,'Statement of Marks'!BR168,IF($L$3=$AJ$13,'Statement of Marks'!CG168,IF($L$3=$AJ$14,'Statement of Marks'!CV168,IF($L$3=$AJ$15,'Statement of Marks'!EB168,IF($L$3=$AJ$16,'Statement of Marks'!EN168,IF($L$3=$AJ$17,('Statement of Marks'!FF168+'Statement of Marks'!FG168),"")))))))))),"")</f>
        <v/>
      </c>
      <c r="M169" s="810">
        <f t="shared" si="20"/>
        <v>0</v>
      </c>
      <c r="N169" s="809" t="str">
        <f>IFERROR(IF($L$3=$AJ$8,'Statement of Marks'!O168,IF($L$3=$AJ$9,'Statement of Marks'!AC168,IF($L$3=$AJ$10,'Statement of Marks'!AR168,IF($L$3=$AJ$11,'Statement of Marks'!BF168,IF($L$3=$AJ$12,'Statement of Marks'!BT168,IF($L$3=$AJ$13,'Statement of Marks'!CI168,IF($L$3=$AJ$14,('Statement of Marks'!CX168+'Statement of Marks'!CY168),IF($L$3=$AJ$15,'Statement of Marks'!ED168,IF($L$3=$AJ$16,('Statement of Marks'!EP168+'Statement of Marks'!EQ168),IF($L$3=$AJ$17,('Statement of Marks'!FI168+'Statement of Marks'!FJ168),IF($L$3=$AJ$18,'Statement of Marks'!FU168,IF($L$3=$AJ$19,'Statement of Marks'!GC168,"")))))))))))),"")</f>
        <v/>
      </c>
      <c r="O169" s="811">
        <f>IF($L$3=$AJ$18,'Statement of Marks'!FV168,IF($L$3=$AJ$19,'Statement of Marks'!GD168,IF(AND(M169="NA",N169="NA"),"NA",IF(AND(M169="",N169=""),"",SUM(M169,N169)))))</f>
        <v>0</v>
      </c>
      <c r="P169" s="809" t="str">
        <f>IFERROR(IF($L$3=$AJ$8,'Statement of Marks'!Q168,IF($L$3=$AJ$9,'Statement of Marks'!AE168,IF($L$3=$AJ$10,'Statement of Marks'!AT168,IF($L$3=$AJ$11,'Statement of Marks'!BH168,IF($L$3=$AJ$12,'Statement of Marks'!BV168,IF($L$3=$AJ$13,'Statement of Marks'!CK168,IF($L$3=$AJ$14,('Statement of Marks'!DB168+'Statement of Marks'!DC168),IF($L$3=$AJ$15,'Statement of Marks'!EF168,IF($L$3=$AJ$16,('Statement of Marks'!ET168+'Statement of Marks'!EU168),IF($L$3=$AJ$17,('Statement of Marks'!FM168+'Statement of Marks'!FN168),IF($L$3=$AJ$18,'Statement of Marks'!FW168,IF($L$3=$AJ$19,'Statement of Marks'!GE168,"")))))))))))),"")</f>
        <v/>
      </c>
      <c r="Q169" s="812" t="str">
        <f t="shared" si="23"/>
        <v/>
      </c>
      <c r="R169" s="813">
        <f t="shared" si="28"/>
        <v>0</v>
      </c>
      <c r="S169" s="813" t="str">
        <f t="shared" si="24"/>
        <v/>
      </c>
      <c r="T169" s="813" t="str">
        <f t="shared" si="25"/>
        <v/>
      </c>
      <c r="U169" s="814" t="str">
        <f t="shared" si="26"/>
        <v/>
      </c>
      <c r="V169" s="815" t="str">
        <f t="shared" si="27"/>
        <v/>
      </c>
      <c r="W169" s="816" t="str">
        <f t="shared" si="29"/>
        <v/>
      </c>
    </row>
    <row r="170" spans="1:23">
      <c r="A170" s="803">
        <f>IF('Statement of Marks'!A169="","",'Statement of Marks'!A169)</f>
        <v>163</v>
      </c>
      <c r="B170" s="804" t="str">
        <f>IF(OR($D$3="",$L$3=""),"",IF('Statement of Marks'!B169="","",'Statement of Marks'!B169))</f>
        <v/>
      </c>
      <c r="C170" s="805" t="str">
        <f>IF(OR($D$3="",$L$3=""),"",IF('Statement of Marks'!D169="","",'Statement of Marks'!D169))</f>
        <v/>
      </c>
      <c r="D170" s="806" t="str">
        <f>IF(OR($D$3="",$L$3=""),"",IF('Statement of Marks'!E169="","",'Statement of Marks'!E169))</f>
        <v/>
      </c>
      <c r="E170" s="807" t="str">
        <f>IF(OR($D$3="",$L$3=""),"",IF('Statement of Marks'!F169="","",'Statement of Marks'!F169))</f>
        <v/>
      </c>
      <c r="F170" s="807" t="str">
        <f>IF(OR($D$3="",$L$3=""),"",IF('Statement of Marks'!G169="","",'Statement of Marks'!G169))</f>
        <v/>
      </c>
      <c r="G170" s="807" t="str">
        <f>IF(OR($D$3="",$L$3=""),"",IF('Statement of Marks'!H169="","",'Statement of Marks'!H169))</f>
        <v/>
      </c>
      <c r="H170" s="808" t="str">
        <f>IF(OR($D$3="",$L$3=""),"",IF('Statement of Marks'!I169="","",'Statement of Marks'!I169))</f>
        <v/>
      </c>
      <c r="I170" s="808" t="str">
        <f>IF(OR($D$3="",$L$3=""),"",IF('Statement of Marks'!J169="","",'Statement of Marks'!J169))</f>
        <v/>
      </c>
      <c r="J170" s="809" t="str">
        <f>IFERROR(IF($L$3=$AJ$8,'Statement of Marks'!K169,IF($L$3=$AJ$9,'Statement of Marks'!Y169,IF($L$3=$AJ$10,'Statement of Marks'!AN169,IF($L$3=$AJ$11,'Statement of Marks'!BB169,IF($L$3=$AJ$12,'Statement of Marks'!BP169,IF($L$3=$AJ$13,'Statement of Marks'!CE169,IF($L$3=$AJ$14,'Statement of Marks'!CT169,IF($L$3=$AJ$15,'Statement of Marks'!DZ169,IF($L$3=$AJ$16,'Statement of Marks'!EL169,IF($L$3=$AJ$17,('Statement of Marks'!FB169+'Statement of Marks'!FC169),"")))))))))),"")</f>
        <v/>
      </c>
      <c r="K170" s="809" t="str">
        <f>IFERROR(IF($L$3=$AJ$8,'Statement of Marks'!L169,IF($L$3=$AJ$9,'Statement of Marks'!Z169,IF($L$3=$AJ$10,'Statement of Marks'!AO169,IF($L$3=$AJ$11,'Statement of Marks'!BC169,IF($L$3=$AJ$12,'Statement of Marks'!BQ169,IF($L$3=$AJ$13,'Statement of Marks'!CF169,IF($L$3=$AJ$14,'Statement of Marks'!CU169,IF($L$3=$AJ$15,'Statement of Marks'!EA169,IF($L$3=$AJ$16,'Statement of Marks'!EM169,IF($L$3=$AJ$17,('Statement of Marks'!FD169+'Statement of Marks'!FE169),"")))))))))),"")</f>
        <v/>
      </c>
      <c r="L170" s="809" t="str">
        <f>IFERROR(IF($L$3=$AJ$8,'Statement of Marks'!M169,IF($L$3=$AJ$9,'Statement of Marks'!AA169,IF($L$3=$AJ$10,'Statement of Marks'!AP169,IF($L$3=$AJ$11,'Statement of Marks'!BD169,IF($L$3=$AJ$12,'Statement of Marks'!BR169,IF($L$3=$AJ$13,'Statement of Marks'!CG169,IF($L$3=$AJ$14,'Statement of Marks'!CV169,IF($L$3=$AJ$15,'Statement of Marks'!EB169,IF($L$3=$AJ$16,'Statement of Marks'!EN169,IF($L$3=$AJ$17,('Statement of Marks'!FF169+'Statement of Marks'!FG169),"")))))))))),"")</f>
        <v/>
      </c>
      <c r="M170" s="810">
        <f t="shared" si="20"/>
        <v>0</v>
      </c>
      <c r="N170" s="809" t="str">
        <f>IFERROR(IF($L$3=$AJ$8,'Statement of Marks'!O169,IF($L$3=$AJ$9,'Statement of Marks'!AC169,IF($L$3=$AJ$10,'Statement of Marks'!AR169,IF($L$3=$AJ$11,'Statement of Marks'!BF169,IF($L$3=$AJ$12,'Statement of Marks'!BT169,IF($L$3=$AJ$13,'Statement of Marks'!CI169,IF($L$3=$AJ$14,('Statement of Marks'!CX169+'Statement of Marks'!CY169),IF($L$3=$AJ$15,'Statement of Marks'!ED169,IF($L$3=$AJ$16,('Statement of Marks'!EP169+'Statement of Marks'!EQ169),IF($L$3=$AJ$17,('Statement of Marks'!FI169+'Statement of Marks'!FJ169),IF($L$3=$AJ$18,'Statement of Marks'!FU169,IF($L$3=$AJ$19,'Statement of Marks'!GC169,"")))))))))))),"")</f>
        <v/>
      </c>
      <c r="O170" s="811">
        <f>IF($L$3=$AJ$18,'Statement of Marks'!FV169,IF($L$3=$AJ$19,'Statement of Marks'!GD169,IF(AND(M170="NA",N170="NA"),"NA",IF(AND(M170="",N170=""),"",SUM(M170,N170)))))</f>
        <v>0</v>
      </c>
      <c r="P170" s="809" t="str">
        <f>IFERROR(IF($L$3=$AJ$8,'Statement of Marks'!Q169,IF($L$3=$AJ$9,'Statement of Marks'!AE169,IF($L$3=$AJ$10,'Statement of Marks'!AT169,IF($L$3=$AJ$11,'Statement of Marks'!BH169,IF($L$3=$AJ$12,'Statement of Marks'!BV169,IF($L$3=$AJ$13,'Statement of Marks'!CK169,IF($L$3=$AJ$14,('Statement of Marks'!DB169+'Statement of Marks'!DC169),IF($L$3=$AJ$15,'Statement of Marks'!EF169,IF($L$3=$AJ$16,('Statement of Marks'!ET169+'Statement of Marks'!EU169),IF($L$3=$AJ$17,('Statement of Marks'!FM169+'Statement of Marks'!FN169),IF($L$3=$AJ$18,'Statement of Marks'!FW169,IF($L$3=$AJ$19,'Statement of Marks'!GE169,"")))))))))))),"")</f>
        <v/>
      </c>
      <c r="Q170" s="812" t="str">
        <f t="shared" si="23"/>
        <v/>
      </c>
      <c r="R170" s="813">
        <f t="shared" si="28"/>
        <v>0</v>
      </c>
      <c r="S170" s="813" t="str">
        <f t="shared" si="24"/>
        <v/>
      </c>
      <c r="T170" s="813" t="str">
        <f t="shared" si="25"/>
        <v/>
      </c>
      <c r="U170" s="814" t="str">
        <f t="shared" si="26"/>
        <v/>
      </c>
      <c r="V170" s="815" t="str">
        <f t="shared" si="27"/>
        <v/>
      </c>
      <c r="W170" s="816" t="str">
        <f t="shared" si="29"/>
        <v/>
      </c>
    </row>
    <row r="171" spans="1:23">
      <c r="A171" s="803">
        <f>IF('Statement of Marks'!A170="","",'Statement of Marks'!A170)</f>
        <v>164</v>
      </c>
      <c r="B171" s="804" t="str">
        <f>IF(OR($D$3="",$L$3=""),"",IF('Statement of Marks'!B170="","",'Statement of Marks'!B170))</f>
        <v/>
      </c>
      <c r="C171" s="805" t="str">
        <f>IF(OR($D$3="",$L$3=""),"",IF('Statement of Marks'!D170="","",'Statement of Marks'!D170))</f>
        <v/>
      </c>
      <c r="D171" s="806" t="str">
        <f>IF(OR($D$3="",$L$3=""),"",IF('Statement of Marks'!E170="","",'Statement of Marks'!E170))</f>
        <v/>
      </c>
      <c r="E171" s="807" t="str">
        <f>IF(OR($D$3="",$L$3=""),"",IF('Statement of Marks'!F170="","",'Statement of Marks'!F170))</f>
        <v/>
      </c>
      <c r="F171" s="807" t="str">
        <f>IF(OR($D$3="",$L$3=""),"",IF('Statement of Marks'!G170="","",'Statement of Marks'!G170))</f>
        <v/>
      </c>
      <c r="G171" s="807" t="str">
        <f>IF(OR($D$3="",$L$3=""),"",IF('Statement of Marks'!H170="","",'Statement of Marks'!H170))</f>
        <v/>
      </c>
      <c r="H171" s="808" t="str">
        <f>IF(OR($D$3="",$L$3=""),"",IF('Statement of Marks'!I170="","",'Statement of Marks'!I170))</f>
        <v/>
      </c>
      <c r="I171" s="808" t="str">
        <f>IF(OR($D$3="",$L$3=""),"",IF('Statement of Marks'!J170="","",'Statement of Marks'!J170))</f>
        <v/>
      </c>
      <c r="J171" s="809" t="str">
        <f>IFERROR(IF($L$3=$AJ$8,'Statement of Marks'!K170,IF($L$3=$AJ$9,'Statement of Marks'!Y170,IF($L$3=$AJ$10,'Statement of Marks'!AN170,IF($L$3=$AJ$11,'Statement of Marks'!BB170,IF($L$3=$AJ$12,'Statement of Marks'!BP170,IF($L$3=$AJ$13,'Statement of Marks'!CE170,IF($L$3=$AJ$14,'Statement of Marks'!CT170,IF($L$3=$AJ$15,'Statement of Marks'!DZ170,IF($L$3=$AJ$16,'Statement of Marks'!EL170,IF($L$3=$AJ$17,('Statement of Marks'!FB170+'Statement of Marks'!FC170),"")))))))))),"")</f>
        <v/>
      </c>
      <c r="K171" s="809" t="str">
        <f>IFERROR(IF($L$3=$AJ$8,'Statement of Marks'!L170,IF($L$3=$AJ$9,'Statement of Marks'!Z170,IF($L$3=$AJ$10,'Statement of Marks'!AO170,IF($L$3=$AJ$11,'Statement of Marks'!BC170,IF($L$3=$AJ$12,'Statement of Marks'!BQ170,IF($L$3=$AJ$13,'Statement of Marks'!CF170,IF($L$3=$AJ$14,'Statement of Marks'!CU170,IF($L$3=$AJ$15,'Statement of Marks'!EA170,IF($L$3=$AJ$16,'Statement of Marks'!EM170,IF($L$3=$AJ$17,('Statement of Marks'!FD170+'Statement of Marks'!FE170),"")))))))))),"")</f>
        <v/>
      </c>
      <c r="L171" s="809" t="str">
        <f>IFERROR(IF($L$3=$AJ$8,'Statement of Marks'!M170,IF($L$3=$AJ$9,'Statement of Marks'!AA170,IF($L$3=$AJ$10,'Statement of Marks'!AP170,IF($L$3=$AJ$11,'Statement of Marks'!BD170,IF($L$3=$AJ$12,'Statement of Marks'!BR170,IF($L$3=$AJ$13,'Statement of Marks'!CG170,IF($L$3=$AJ$14,'Statement of Marks'!CV170,IF($L$3=$AJ$15,'Statement of Marks'!EB170,IF($L$3=$AJ$16,'Statement of Marks'!EN170,IF($L$3=$AJ$17,('Statement of Marks'!FF170+'Statement of Marks'!FG170),"")))))))))),"")</f>
        <v/>
      </c>
      <c r="M171" s="810">
        <f t="shared" si="20"/>
        <v>0</v>
      </c>
      <c r="N171" s="809" t="str">
        <f>IFERROR(IF($L$3=$AJ$8,'Statement of Marks'!O170,IF($L$3=$AJ$9,'Statement of Marks'!AC170,IF($L$3=$AJ$10,'Statement of Marks'!AR170,IF($L$3=$AJ$11,'Statement of Marks'!BF170,IF($L$3=$AJ$12,'Statement of Marks'!BT170,IF($L$3=$AJ$13,'Statement of Marks'!CI170,IF($L$3=$AJ$14,('Statement of Marks'!CX170+'Statement of Marks'!CY170),IF($L$3=$AJ$15,'Statement of Marks'!ED170,IF($L$3=$AJ$16,('Statement of Marks'!EP170+'Statement of Marks'!EQ170),IF($L$3=$AJ$17,('Statement of Marks'!FI170+'Statement of Marks'!FJ170),IF($L$3=$AJ$18,'Statement of Marks'!FU170,IF($L$3=$AJ$19,'Statement of Marks'!GC170,"")))))))))))),"")</f>
        <v/>
      </c>
      <c r="O171" s="811">
        <f>IF($L$3=$AJ$18,'Statement of Marks'!FV170,IF($L$3=$AJ$19,'Statement of Marks'!GD170,IF(AND(M171="NA",N171="NA"),"NA",IF(AND(M171="",N171=""),"",SUM(M171,N171)))))</f>
        <v>0</v>
      </c>
      <c r="P171" s="809" t="str">
        <f>IFERROR(IF($L$3=$AJ$8,'Statement of Marks'!Q170,IF($L$3=$AJ$9,'Statement of Marks'!AE170,IF($L$3=$AJ$10,'Statement of Marks'!AT170,IF($L$3=$AJ$11,'Statement of Marks'!BH170,IF($L$3=$AJ$12,'Statement of Marks'!BV170,IF($L$3=$AJ$13,'Statement of Marks'!CK170,IF($L$3=$AJ$14,('Statement of Marks'!DB170+'Statement of Marks'!DC170),IF($L$3=$AJ$15,'Statement of Marks'!EF170,IF($L$3=$AJ$16,('Statement of Marks'!ET170+'Statement of Marks'!EU170),IF($L$3=$AJ$17,('Statement of Marks'!FM170+'Statement of Marks'!FN170),IF($L$3=$AJ$18,'Statement of Marks'!FW170,IF($L$3=$AJ$19,'Statement of Marks'!GE170,"")))))))))))),"")</f>
        <v/>
      </c>
      <c r="Q171" s="812" t="str">
        <f t="shared" si="23"/>
        <v/>
      </c>
      <c r="R171" s="813">
        <f t="shared" si="28"/>
        <v>0</v>
      </c>
      <c r="S171" s="813" t="str">
        <f t="shared" si="24"/>
        <v/>
      </c>
      <c r="T171" s="813" t="str">
        <f t="shared" si="25"/>
        <v/>
      </c>
      <c r="U171" s="814" t="str">
        <f t="shared" si="26"/>
        <v/>
      </c>
      <c r="V171" s="815" t="str">
        <f t="shared" si="27"/>
        <v/>
      </c>
      <c r="W171" s="816" t="str">
        <f t="shared" si="29"/>
        <v/>
      </c>
    </row>
    <row r="172" spans="1:23">
      <c r="A172" s="803">
        <f>IF('Statement of Marks'!A171="","",'Statement of Marks'!A171)</f>
        <v>165</v>
      </c>
      <c r="B172" s="804" t="str">
        <f>IF(OR($D$3="",$L$3=""),"",IF('Statement of Marks'!B171="","",'Statement of Marks'!B171))</f>
        <v/>
      </c>
      <c r="C172" s="805" t="str">
        <f>IF(OR($D$3="",$L$3=""),"",IF('Statement of Marks'!D171="","",'Statement of Marks'!D171))</f>
        <v/>
      </c>
      <c r="D172" s="806" t="str">
        <f>IF(OR($D$3="",$L$3=""),"",IF('Statement of Marks'!E171="","",'Statement of Marks'!E171))</f>
        <v/>
      </c>
      <c r="E172" s="807" t="str">
        <f>IF(OR($D$3="",$L$3=""),"",IF('Statement of Marks'!F171="","",'Statement of Marks'!F171))</f>
        <v/>
      </c>
      <c r="F172" s="807" t="str">
        <f>IF(OR($D$3="",$L$3=""),"",IF('Statement of Marks'!G171="","",'Statement of Marks'!G171))</f>
        <v/>
      </c>
      <c r="G172" s="807" t="str">
        <f>IF(OR($D$3="",$L$3=""),"",IF('Statement of Marks'!H171="","",'Statement of Marks'!H171))</f>
        <v/>
      </c>
      <c r="H172" s="808" t="str">
        <f>IF(OR($D$3="",$L$3=""),"",IF('Statement of Marks'!I171="","",'Statement of Marks'!I171))</f>
        <v/>
      </c>
      <c r="I172" s="808" t="str">
        <f>IF(OR($D$3="",$L$3=""),"",IF('Statement of Marks'!J171="","",'Statement of Marks'!J171))</f>
        <v/>
      </c>
      <c r="J172" s="809" t="str">
        <f>IFERROR(IF($L$3=$AJ$8,'Statement of Marks'!K171,IF($L$3=$AJ$9,'Statement of Marks'!Y171,IF($L$3=$AJ$10,'Statement of Marks'!AN171,IF($L$3=$AJ$11,'Statement of Marks'!BB171,IF($L$3=$AJ$12,'Statement of Marks'!BP171,IF($L$3=$AJ$13,'Statement of Marks'!CE171,IF($L$3=$AJ$14,'Statement of Marks'!CT171,IF($L$3=$AJ$15,'Statement of Marks'!DZ171,IF($L$3=$AJ$16,'Statement of Marks'!EL171,IF($L$3=$AJ$17,('Statement of Marks'!FB171+'Statement of Marks'!FC171),"")))))))))),"")</f>
        <v/>
      </c>
      <c r="K172" s="809" t="str">
        <f>IFERROR(IF($L$3=$AJ$8,'Statement of Marks'!L171,IF($L$3=$AJ$9,'Statement of Marks'!Z171,IF($L$3=$AJ$10,'Statement of Marks'!AO171,IF($L$3=$AJ$11,'Statement of Marks'!BC171,IF($L$3=$AJ$12,'Statement of Marks'!BQ171,IF($L$3=$AJ$13,'Statement of Marks'!CF171,IF($L$3=$AJ$14,'Statement of Marks'!CU171,IF($L$3=$AJ$15,'Statement of Marks'!EA171,IF($L$3=$AJ$16,'Statement of Marks'!EM171,IF($L$3=$AJ$17,('Statement of Marks'!FD171+'Statement of Marks'!FE171),"")))))))))),"")</f>
        <v/>
      </c>
      <c r="L172" s="809" t="str">
        <f>IFERROR(IF($L$3=$AJ$8,'Statement of Marks'!M171,IF($L$3=$AJ$9,'Statement of Marks'!AA171,IF($L$3=$AJ$10,'Statement of Marks'!AP171,IF($L$3=$AJ$11,'Statement of Marks'!BD171,IF($L$3=$AJ$12,'Statement of Marks'!BR171,IF($L$3=$AJ$13,'Statement of Marks'!CG171,IF($L$3=$AJ$14,'Statement of Marks'!CV171,IF($L$3=$AJ$15,'Statement of Marks'!EB171,IF($L$3=$AJ$16,'Statement of Marks'!EN171,IF($L$3=$AJ$17,('Statement of Marks'!FF171+'Statement of Marks'!FG171),"")))))))))),"")</f>
        <v/>
      </c>
      <c r="M172" s="810">
        <f t="shared" si="20"/>
        <v>0</v>
      </c>
      <c r="N172" s="809" t="str">
        <f>IFERROR(IF($L$3=$AJ$8,'Statement of Marks'!O171,IF($L$3=$AJ$9,'Statement of Marks'!AC171,IF($L$3=$AJ$10,'Statement of Marks'!AR171,IF($L$3=$AJ$11,'Statement of Marks'!BF171,IF($L$3=$AJ$12,'Statement of Marks'!BT171,IF($L$3=$AJ$13,'Statement of Marks'!CI171,IF($L$3=$AJ$14,('Statement of Marks'!CX171+'Statement of Marks'!CY171),IF($L$3=$AJ$15,'Statement of Marks'!ED171,IF($L$3=$AJ$16,('Statement of Marks'!EP171+'Statement of Marks'!EQ171),IF($L$3=$AJ$17,('Statement of Marks'!FI171+'Statement of Marks'!FJ171),IF($L$3=$AJ$18,'Statement of Marks'!FU171,IF($L$3=$AJ$19,'Statement of Marks'!GC171,"")))))))))))),"")</f>
        <v/>
      </c>
      <c r="O172" s="811">
        <f>IF($L$3=$AJ$18,'Statement of Marks'!FV171,IF($L$3=$AJ$19,'Statement of Marks'!GD171,IF(AND(M172="NA",N172="NA"),"NA",IF(AND(M172="",N172=""),"",SUM(M172,N172)))))</f>
        <v>0</v>
      </c>
      <c r="P172" s="809" t="str">
        <f>IFERROR(IF($L$3=$AJ$8,'Statement of Marks'!Q171,IF($L$3=$AJ$9,'Statement of Marks'!AE171,IF($L$3=$AJ$10,'Statement of Marks'!AT171,IF($L$3=$AJ$11,'Statement of Marks'!BH171,IF($L$3=$AJ$12,'Statement of Marks'!BV171,IF($L$3=$AJ$13,'Statement of Marks'!CK171,IF($L$3=$AJ$14,('Statement of Marks'!DB171+'Statement of Marks'!DC171),IF($L$3=$AJ$15,'Statement of Marks'!EF171,IF($L$3=$AJ$16,('Statement of Marks'!ET171+'Statement of Marks'!EU171),IF($L$3=$AJ$17,('Statement of Marks'!FM171+'Statement of Marks'!FN171),IF($L$3=$AJ$18,'Statement of Marks'!FW171,IF($L$3=$AJ$19,'Statement of Marks'!GE171,"")))))))))))),"")</f>
        <v/>
      </c>
      <c r="Q172" s="812" t="str">
        <f t="shared" si="23"/>
        <v/>
      </c>
      <c r="R172" s="813">
        <f t="shared" si="28"/>
        <v>0</v>
      </c>
      <c r="S172" s="813" t="str">
        <f t="shared" si="24"/>
        <v/>
      </c>
      <c r="T172" s="813" t="str">
        <f t="shared" si="25"/>
        <v/>
      </c>
      <c r="U172" s="814" t="str">
        <f t="shared" si="26"/>
        <v/>
      </c>
      <c r="V172" s="815" t="str">
        <f t="shared" si="27"/>
        <v/>
      </c>
      <c r="W172" s="816" t="str">
        <f t="shared" si="29"/>
        <v/>
      </c>
    </row>
    <row r="173" spans="1:23">
      <c r="A173" s="803">
        <f>IF('Statement of Marks'!A172="","",'Statement of Marks'!A172)</f>
        <v>166</v>
      </c>
      <c r="B173" s="804" t="str">
        <f>IF(OR($D$3="",$L$3=""),"",IF('Statement of Marks'!B172="","",'Statement of Marks'!B172))</f>
        <v/>
      </c>
      <c r="C173" s="805" t="str">
        <f>IF(OR($D$3="",$L$3=""),"",IF('Statement of Marks'!D172="","",'Statement of Marks'!D172))</f>
        <v/>
      </c>
      <c r="D173" s="806" t="str">
        <f>IF(OR($D$3="",$L$3=""),"",IF('Statement of Marks'!E172="","",'Statement of Marks'!E172))</f>
        <v/>
      </c>
      <c r="E173" s="807" t="str">
        <f>IF(OR($D$3="",$L$3=""),"",IF('Statement of Marks'!F172="","",'Statement of Marks'!F172))</f>
        <v/>
      </c>
      <c r="F173" s="807" t="str">
        <f>IF(OR($D$3="",$L$3=""),"",IF('Statement of Marks'!G172="","",'Statement of Marks'!G172))</f>
        <v/>
      </c>
      <c r="G173" s="807" t="str">
        <f>IF(OR($D$3="",$L$3=""),"",IF('Statement of Marks'!H172="","",'Statement of Marks'!H172))</f>
        <v/>
      </c>
      <c r="H173" s="808" t="str">
        <f>IF(OR($D$3="",$L$3=""),"",IF('Statement of Marks'!I172="","",'Statement of Marks'!I172))</f>
        <v/>
      </c>
      <c r="I173" s="808" t="str">
        <f>IF(OR($D$3="",$L$3=""),"",IF('Statement of Marks'!J172="","",'Statement of Marks'!J172))</f>
        <v/>
      </c>
      <c r="J173" s="809" t="str">
        <f>IFERROR(IF($L$3=$AJ$8,'Statement of Marks'!K172,IF($L$3=$AJ$9,'Statement of Marks'!Y172,IF($L$3=$AJ$10,'Statement of Marks'!AN172,IF($L$3=$AJ$11,'Statement of Marks'!BB172,IF($L$3=$AJ$12,'Statement of Marks'!BP172,IF($L$3=$AJ$13,'Statement of Marks'!CE172,IF($L$3=$AJ$14,'Statement of Marks'!CT172,IF($L$3=$AJ$15,'Statement of Marks'!DZ172,IF($L$3=$AJ$16,'Statement of Marks'!EL172,IF($L$3=$AJ$17,('Statement of Marks'!FB172+'Statement of Marks'!FC172),"")))))))))),"")</f>
        <v/>
      </c>
      <c r="K173" s="809" t="str">
        <f>IFERROR(IF($L$3=$AJ$8,'Statement of Marks'!L172,IF($L$3=$AJ$9,'Statement of Marks'!Z172,IF($L$3=$AJ$10,'Statement of Marks'!AO172,IF($L$3=$AJ$11,'Statement of Marks'!BC172,IF($L$3=$AJ$12,'Statement of Marks'!BQ172,IF($L$3=$AJ$13,'Statement of Marks'!CF172,IF($L$3=$AJ$14,'Statement of Marks'!CU172,IF($L$3=$AJ$15,'Statement of Marks'!EA172,IF($L$3=$AJ$16,'Statement of Marks'!EM172,IF($L$3=$AJ$17,('Statement of Marks'!FD172+'Statement of Marks'!FE172),"")))))))))),"")</f>
        <v/>
      </c>
      <c r="L173" s="809" t="str">
        <f>IFERROR(IF($L$3=$AJ$8,'Statement of Marks'!M172,IF($L$3=$AJ$9,'Statement of Marks'!AA172,IF($L$3=$AJ$10,'Statement of Marks'!AP172,IF($L$3=$AJ$11,'Statement of Marks'!BD172,IF($L$3=$AJ$12,'Statement of Marks'!BR172,IF($L$3=$AJ$13,'Statement of Marks'!CG172,IF($L$3=$AJ$14,'Statement of Marks'!CV172,IF($L$3=$AJ$15,'Statement of Marks'!EB172,IF($L$3=$AJ$16,'Statement of Marks'!EN172,IF($L$3=$AJ$17,('Statement of Marks'!FF172+'Statement of Marks'!FG172),"")))))))))),"")</f>
        <v/>
      </c>
      <c r="M173" s="810">
        <f t="shared" si="20"/>
        <v>0</v>
      </c>
      <c r="N173" s="809" t="str">
        <f>IFERROR(IF($L$3=$AJ$8,'Statement of Marks'!O172,IF($L$3=$AJ$9,'Statement of Marks'!AC172,IF($L$3=$AJ$10,'Statement of Marks'!AR172,IF($L$3=$AJ$11,'Statement of Marks'!BF172,IF($L$3=$AJ$12,'Statement of Marks'!BT172,IF($L$3=$AJ$13,'Statement of Marks'!CI172,IF($L$3=$AJ$14,('Statement of Marks'!CX172+'Statement of Marks'!CY172),IF($L$3=$AJ$15,'Statement of Marks'!ED172,IF($L$3=$AJ$16,('Statement of Marks'!EP172+'Statement of Marks'!EQ172),IF($L$3=$AJ$17,('Statement of Marks'!FI172+'Statement of Marks'!FJ172),IF($L$3=$AJ$18,'Statement of Marks'!FU172,IF($L$3=$AJ$19,'Statement of Marks'!GC172,"")))))))))))),"")</f>
        <v/>
      </c>
      <c r="O173" s="811">
        <f>IF($L$3=$AJ$18,'Statement of Marks'!FV172,IF($L$3=$AJ$19,'Statement of Marks'!GD172,IF(AND(M173="NA",N173="NA"),"NA",IF(AND(M173="",N173=""),"",SUM(M173,N173)))))</f>
        <v>0</v>
      </c>
      <c r="P173" s="809" t="str">
        <f>IFERROR(IF($L$3=$AJ$8,'Statement of Marks'!Q172,IF($L$3=$AJ$9,'Statement of Marks'!AE172,IF($L$3=$AJ$10,'Statement of Marks'!AT172,IF($L$3=$AJ$11,'Statement of Marks'!BH172,IF($L$3=$AJ$12,'Statement of Marks'!BV172,IF($L$3=$AJ$13,'Statement of Marks'!CK172,IF($L$3=$AJ$14,('Statement of Marks'!DB172+'Statement of Marks'!DC172),IF($L$3=$AJ$15,'Statement of Marks'!EF172,IF($L$3=$AJ$16,('Statement of Marks'!ET172+'Statement of Marks'!EU172),IF($L$3=$AJ$17,('Statement of Marks'!FM172+'Statement of Marks'!FN172),IF($L$3=$AJ$18,'Statement of Marks'!FW172,IF($L$3=$AJ$19,'Statement of Marks'!GE172,"")))))))))))),"")</f>
        <v/>
      </c>
      <c r="Q173" s="812" t="str">
        <f t="shared" si="23"/>
        <v/>
      </c>
      <c r="R173" s="813">
        <f t="shared" si="28"/>
        <v>0</v>
      </c>
      <c r="S173" s="813" t="str">
        <f t="shared" si="24"/>
        <v/>
      </c>
      <c r="T173" s="813" t="str">
        <f t="shared" si="25"/>
        <v/>
      </c>
      <c r="U173" s="814" t="str">
        <f t="shared" si="26"/>
        <v/>
      </c>
      <c r="V173" s="815" t="str">
        <f t="shared" si="27"/>
        <v/>
      </c>
      <c r="W173" s="816" t="str">
        <f t="shared" si="29"/>
        <v/>
      </c>
    </row>
    <row r="174" spans="1:23">
      <c r="A174" s="803">
        <f>IF('Statement of Marks'!A173="","",'Statement of Marks'!A173)</f>
        <v>167</v>
      </c>
      <c r="B174" s="804" t="str">
        <f>IF(OR($D$3="",$L$3=""),"",IF('Statement of Marks'!B173="","",'Statement of Marks'!B173))</f>
        <v/>
      </c>
      <c r="C174" s="805" t="str">
        <f>IF(OR($D$3="",$L$3=""),"",IF('Statement of Marks'!D173="","",'Statement of Marks'!D173))</f>
        <v/>
      </c>
      <c r="D174" s="806" t="str">
        <f>IF(OR($D$3="",$L$3=""),"",IF('Statement of Marks'!E173="","",'Statement of Marks'!E173))</f>
        <v/>
      </c>
      <c r="E174" s="807" t="str">
        <f>IF(OR($D$3="",$L$3=""),"",IF('Statement of Marks'!F173="","",'Statement of Marks'!F173))</f>
        <v/>
      </c>
      <c r="F174" s="807" t="str">
        <f>IF(OR($D$3="",$L$3=""),"",IF('Statement of Marks'!G173="","",'Statement of Marks'!G173))</f>
        <v/>
      </c>
      <c r="G174" s="807" t="str">
        <f>IF(OR($D$3="",$L$3=""),"",IF('Statement of Marks'!H173="","",'Statement of Marks'!H173))</f>
        <v/>
      </c>
      <c r="H174" s="808" t="str">
        <f>IF(OR($D$3="",$L$3=""),"",IF('Statement of Marks'!I173="","",'Statement of Marks'!I173))</f>
        <v/>
      </c>
      <c r="I174" s="808" t="str">
        <f>IF(OR($D$3="",$L$3=""),"",IF('Statement of Marks'!J173="","",'Statement of Marks'!J173))</f>
        <v/>
      </c>
      <c r="J174" s="809" t="str">
        <f>IFERROR(IF($L$3=$AJ$8,'Statement of Marks'!K173,IF($L$3=$AJ$9,'Statement of Marks'!Y173,IF($L$3=$AJ$10,'Statement of Marks'!AN173,IF($L$3=$AJ$11,'Statement of Marks'!BB173,IF($L$3=$AJ$12,'Statement of Marks'!BP173,IF($L$3=$AJ$13,'Statement of Marks'!CE173,IF($L$3=$AJ$14,'Statement of Marks'!CT173,IF($L$3=$AJ$15,'Statement of Marks'!DZ173,IF($L$3=$AJ$16,'Statement of Marks'!EL173,IF($L$3=$AJ$17,('Statement of Marks'!FB173+'Statement of Marks'!FC173),"")))))))))),"")</f>
        <v/>
      </c>
      <c r="K174" s="809" t="str">
        <f>IFERROR(IF($L$3=$AJ$8,'Statement of Marks'!L173,IF($L$3=$AJ$9,'Statement of Marks'!Z173,IF($L$3=$AJ$10,'Statement of Marks'!AO173,IF($L$3=$AJ$11,'Statement of Marks'!BC173,IF($L$3=$AJ$12,'Statement of Marks'!BQ173,IF($L$3=$AJ$13,'Statement of Marks'!CF173,IF($L$3=$AJ$14,'Statement of Marks'!CU173,IF($L$3=$AJ$15,'Statement of Marks'!EA173,IF($L$3=$AJ$16,'Statement of Marks'!EM173,IF($L$3=$AJ$17,('Statement of Marks'!FD173+'Statement of Marks'!FE173),"")))))))))),"")</f>
        <v/>
      </c>
      <c r="L174" s="809" t="str">
        <f>IFERROR(IF($L$3=$AJ$8,'Statement of Marks'!M173,IF($L$3=$AJ$9,'Statement of Marks'!AA173,IF($L$3=$AJ$10,'Statement of Marks'!AP173,IF($L$3=$AJ$11,'Statement of Marks'!BD173,IF($L$3=$AJ$12,'Statement of Marks'!BR173,IF($L$3=$AJ$13,'Statement of Marks'!CG173,IF($L$3=$AJ$14,'Statement of Marks'!CV173,IF($L$3=$AJ$15,'Statement of Marks'!EB173,IF($L$3=$AJ$16,'Statement of Marks'!EN173,IF($L$3=$AJ$17,('Statement of Marks'!FF173+'Statement of Marks'!FG173),"")))))))))),"")</f>
        <v/>
      </c>
      <c r="M174" s="810">
        <f t="shared" si="20"/>
        <v>0</v>
      </c>
      <c r="N174" s="809" t="str">
        <f>IFERROR(IF($L$3=$AJ$8,'Statement of Marks'!O173,IF($L$3=$AJ$9,'Statement of Marks'!AC173,IF($L$3=$AJ$10,'Statement of Marks'!AR173,IF($L$3=$AJ$11,'Statement of Marks'!BF173,IF($L$3=$AJ$12,'Statement of Marks'!BT173,IF($L$3=$AJ$13,'Statement of Marks'!CI173,IF($L$3=$AJ$14,('Statement of Marks'!CX173+'Statement of Marks'!CY173),IF($L$3=$AJ$15,'Statement of Marks'!ED173,IF($L$3=$AJ$16,('Statement of Marks'!EP173+'Statement of Marks'!EQ173),IF($L$3=$AJ$17,('Statement of Marks'!FI173+'Statement of Marks'!FJ173),IF($L$3=$AJ$18,'Statement of Marks'!FU173,IF($L$3=$AJ$19,'Statement of Marks'!GC173,"")))))))))))),"")</f>
        <v/>
      </c>
      <c r="O174" s="811">
        <f>IF($L$3=$AJ$18,'Statement of Marks'!FV173,IF($L$3=$AJ$19,'Statement of Marks'!GD173,IF(AND(M174="NA",N174="NA"),"NA",IF(AND(M174="",N174=""),"",SUM(M174,N174)))))</f>
        <v>0</v>
      </c>
      <c r="P174" s="809" t="str">
        <f>IFERROR(IF($L$3=$AJ$8,'Statement of Marks'!Q173,IF($L$3=$AJ$9,'Statement of Marks'!AE173,IF($L$3=$AJ$10,'Statement of Marks'!AT173,IF($L$3=$AJ$11,'Statement of Marks'!BH173,IF($L$3=$AJ$12,'Statement of Marks'!BV173,IF($L$3=$AJ$13,'Statement of Marks'!CK173,IF($L$3=$AJ$14,('Statement of Marks'!DB173+'Statement of Marks'!DC173),IF($L$3=$AJ$15,'Statement of Marks'!EF173,IF($L$3=$AJ$16,('Statement of Marks'!ET173+'Statement of Marks'!EU173),IF($L$3=$AJ$17,('Statement of Marks'!FM173+'Statement of Marks'!FN173),IF($L$3=$AJ$18,'Statement of Marks'!FW173,IF($L$3=$AJ$19,'Statement of Marks'!GE173,"")))))))))))),"")</f>
        <v/>
      </c>
      <c r="Q174" s="812" t="str">
        <f t="shared" si="23"/>
        <v/>
      </c>
      <c r="R174" s="813">
        <f t="shared" si="28"/>
        <v>0</v>
      </c>
      <c r="S174" s="813" t="str">
        <f t="shared" si="24"/>
        <v/>
      </c>
      <c r="T174" s="813" t="str">
        <f t="shared" si="25"/>
        <v/>
      </c>
      <c r="U174" s="814" t="str">
        <f t="shared" si="26"/>
        <v/>
      </c>
      <c r="V174" s="815" t="str">
        <f t="shared" si="27"/>
        <v/>
      </c>
      <c r="W174" s="816" t="str">
        <f t="shared" si="29"/>
        <v/>
      </c>
    </row>
    <row r="175" spans="1:23">
      <c r="A175" s="803">
        <f>IF('Statement of Marks'!A174="","",'Statement of Marks'!A174)</f>
        <v>168</v>
      </c>
      <c r="B175" s="804" t="str">
        <f>IF(OR($D$3="",$L$3=""),"",IF('Statement of Marks'!B174="","",'Statement of Marks'!B174))</f>
        <v/>
      </c>
      <c r="C175" s="805" t="str">
        <f>IF(OR($D$3="",$L$3=""),"",IF('Statement of Marks'!D174="","",'Statement of Marks'!D174))</f>
        <v/>
      </c>
      <c r="D175" s="806" t="str">
        <f>IF(OR($D$3="",$L$3=""),"",IF('Statement of Marks'!E174="","",'Statement of Marks'!E174))</f>
        <v/>
      </c>
      <c r="E175" s="807" t="str">
        <f>IF(OR($D$3="",$L$3=""),"",IF('Statement of Marks'!F174="","",'Statement of Marks'!F174))</f>
        <v/>
      </c>
      <c r="F175" s="807" t="str">
        <f>IF(OR($D$3="",$L$3=""),"",IF('Statement of Marks'!G174="","",'Statement of Marks'!G174))</f>
        <v/>
      </c>
      <c r="G175" s="807" t="str">
        <f>IF(OR($D$3="",$L$3=""),"",IF('Statement of Marks'!H174="","",'Statement of Marks'!H174))</f>
        <v/>
      </c>
      <c r="H175" s="808" t="str">
        <f>IF(OR($D$3="",$L$3=""),"",IF('Statement of Marks'!I174="","",'Statement of Marks'!I174))</f>
        <v/>
      </c>
      <c r="I175" s="808" t="str">
        <f>IF(OR($D$3="",$L$3=""),"",IF('Statement of Marks'!J174="","",'Statement of Marks'!J174))</f>
        <v/>
      </c>
      <c r="J175" s="809" t="str">
        <f>IFERROR(IF($L$3=$AJ$8,'Statement of Marks'!K174,IF($L$3=$AJ$9,'Statement of Marks'!Y174,IF($L$3=$AJ$10,'Statement of Marks'!AN174,IF($L$3=$AJ$11,'Statement of Marks'!BB174,IF($L$3=$AJ$12,'Statement of Marks'!BP174,IF($L$3=$AJ$13,'Statement of Marks'!CE174,IF($L$3=$AJ$14,'Statement of Marks'!CT174,IF($L$3=$AJ$15,'Statement of Marks'!DZ174,IF($L$3=$AJ$16,'Statement of Marks'!EL174,IF($L$3=$AJ$17,('Statement of Marks'!FB174+'Statement of Marks'!FC174),"")))))))))),"")</f>
        <v/>
      </c>
      <c r="K175" s="809" t="str">
        <f>IFERROR(IF($L$3=$AJ$8,'Statement of Marks'!L174,IF($L$3=$AJ$9,'Statement of Marks'!Z174,IF($L$3=$AJ$10,'Statement of Marks'!AO174,IF($L$3=$AJ$11,'Statement of Marks'!BC174,IF($L$3=$AJ$12,'Statement of Marks'!BQ174,IF($L$3=$AJ$13,'Statement of Marks'!CF174,IF($L$3=$AJ$14,'Statement of Marks'!CU174,IF($L$3=$AJ$15,'Statement of Marks'!EA174,IF($L$3=$AJ$16,'Statement of Marks'!EM174,IF($L$3=$AJ$17,('Statement of Marks'!FD174+'Statement of Marks'!FE174),"")))))))))),"")</f>
        <v/>
      </c>
      <c r="L175" s="809" t="str">
        <f>IFERROR(IF($L$3=$AJ$8,'Statement of Marks'!M174,IF($L$3=$AJ$9,'Statement of Marks'!AA174,IF($L$3=$AJ$10,'Statement of Marks'!AP174,IF($L$3=$AJ$11,'Statement of Marks'!BD174,IF($L$3=$AJ$12,'Statement of Marks'!BR174,IF($L$3=$AJ$13,'Statement of Marks'!CG174,IF($L$3=$AJ$14,'Statement of Marks'!CV174,IF($L$3=$AJ$15,'Statement of Marks'!EB174,IF($L$3=$AJ$16,'Statement of Marks'!EN174,IF($L$3=$AJ$17,('Statement of Marks'!FF174+'Statement of Marks'!FG174),"")))))))))),"")</f>
        <v/>
      </c>
      <c r="M175" s="810">
        <f t="shared" si="20"/>
        <v>0</v>
      </c>
      <c r="N175" s="809" t="str">
        <f>IFERROR(IF($L$3=$AJ$8,'Statement of Marks'!O174,IF($L$3=$AJ$9,'Statement of Marks'!AC174,IF($L$3=$AJ$10,'Statement of Marks'!AR174,IF($L$3=$AJ$11,'Statement of Marks'!BF174,IF($L$3=$AJ$12,'Statement of Marks'!BT174,IF($L$3=$AJ$13,'Statement of Marks'!CI174,IF($L$3=$AJ$14,('Statement of Marks'!CX174+'Statement of Marks'!CY174),IF($L$3=$AJ$15,'Statement of Marks'!ED174,IF($L$3=$AJ$16,('Statement of Marks'!EP174+'Statement of Marks'!EQ174),IF($L$3=$AJ$17,('Statement of Marks'!FI174+'Statement of Marks'!FJ174),IF($L$3=$AJ$18,'Statement of Marks'!FU174,IF($L$3=$AJ$19,'Statement of Marks'!GC174,"")))))))))))),"")</f>
        <v/>
      </c>
      <c r="O175" s="811">
        <f>IF($L$3=$AJ$18,'Statement of Marks'!FV174,IF($L$3=$AJ$19,'Statement of Marks'!GD174,IF(AND(M175="NA",N175="NA"),"NA",IF(AND(M175="",N175=""),"",SUM(M175,N175)))))</f>
        <v>0</v>
      </c>
      <c r="P175" s="809" t="str">
        <f>IFERROR(IF($L$3=$AJ$8,'Statement of Marks'!Q174,IF($L$3=$AJ$9,'Statement of Marks'!AE174,IF($L$3=$AJ$10,'Statement of Marks'!AT174,IF($L$3=$AJ$11,'Statement of Marks'!BH174,IF($L$3=$AJ$12,'Statement of Marks'!BV174,IF($L$3=$AJ$13,'Statement of Marks'!CK174,IF($L$3=$AJ$14,('Statement of Marks'!DB174+'Statement of Marks'!DC174),IF($L$3=$AJ$15,'Statement of Marks'!EF174,IF($L$3=$AJ$16,('Statement of Marks'!ET174+'Statement of Marks'!EU174),IF($L$3=$AJ$17,('Statement of Marks'!FM174+'Statement of Marks'!FN174),IF($L$3=$AJ$18,'Statement of Marks'!FW174,IF($L$3=$AJ$19,'Statement of Marks'!GE174,"")))))))))))),"")</f>
        <v/>
      </c>
      <c r="Q175" s="812" t="str">
        <f t="shared" si="23"/>
        <v/>
      </c>
      <c r="R175" s="813">
        <f t="shared" si="28"/>
        <v>0</v>
      </c>
      <c r="S175" s="813" t="str">
        <f t="shared" si="24"/>
        <v/>
      </c>
      <c r="T175" s="813" t="str">
        <f t="shared" si="25"/>
        <v/>
      </c>
      <c r="U175" s="814" t="str">
        <f t="shared" si="26"/>
        <v/>
      </c>
      <c r="V175" s="815" t="str">
        <f t="shared" si="27"/>
        <v/>
      </c>
      <c r="W175" s="816" t="str">
        <f t="shared" si="29"/>
        <v/>
      </c>
    </row>
    <row r="176" spans="1:23">
      <c r="A176" s="803">
        <f>IF('Statement of Marks'!A175="","",'Statement of Marks'!A175)</f>
        <v>169</v>
      </c>
      <c r="B176" s="804" t="str">
        <f>IF(OR($D$3="",$L$3=""),"",IF('Statement of Marks'!B175="","",'Statement of Marks'!B175))</f>
        <v/>
      </c>
      <c r="C176" s="805" t="str">
        <f>IF(OR($D$3="",$L$3=""),"",IF('Statement of Marks'!D175="","",'Statement of Marks'!D175))</f>
        <v/>
      </c>
      <c r="D176" s="806" t="str">
        <f>IF(OR($D$3="",$L$3=""),"",IF('Statement of Marks'!E175="","",'Statement of Marks'!E175))</f>
        <v/>
      </c>
      <c r="E176" s="807" t="str">
        <f>IF(OR($D$3="",$L$3=""),"",IF('Statement of Marks'!F175="","",'Statement of Marks'!F175))</f>
        <v/>
      </c>
      <c r="F176" s="807" t="str">
        <f>IF(OR($D$3="",$L$3=""),"",IF('Statement of Marks'!G175="","",'Statement of Marks'!G175))</f>
        <v/>
      </c>
      <c r="G176" s="807" t="str">
        <f>IF(OR($D$3="",$L$3=""),"",IF('Statement of Marks'!H175="","",'Statement of Marks'!H175))</f>
        <v/>
      </c>
      <c r="H176" s="808" t="str">
        <f>IF(OR($D$3="",$L$3=""),"",IF('Statement of Marks'!I175="","",'Statement of Marks'!I175))</f>
        <v/>
      </c>
      <c r="I176" s="808" t="str">
        <f>IF(OR($D$3="",$L$3=""),"",IF('Statement of Marks'!J175="","",'Statement of Marks'!J175))</f>
        <v/>
      </c>
      <c r="J176" s="809" t="str">
        <f>IFERROR(IF($L$3=$AJ$8,'Statement of Marks'!K175,IF($L$3=$AJ$9,'Statement of Marks'!Y175,IF($L$3=$AJ$10,'Statement of Marks'!AN175,IF($L$3=$AJ$11,'Statement of Marks'!BB175,IF($L$3=$AJ$12,'Statement of Marks'!BP175,IF($L$3=$AJ$13,'Statement of Marks'!CE175,IF($L$3=$AJ$14,'Statement of Marks'!CT175,IF($L$3=$AJ$15,'Statement of Marks'!DZ175,IF($L$3=$AJ$16,'Statement of Marks'!EL175,IF($L$3=$AJ$17,('Statement of Marks'!FB175+'Statement of Marks'!FC175),"")))))))))),"")</f>
        <v/>
      </c>
      <c r="K176" s="809" t="str">
        <f>IFERROR(IF($L$3=$AJ$8,'Statement of Marks'!L175,IF($L$3=$AJ$9,'Statement of Marks'!Z175,IF($L$3=$AJ$10,'Statement of Marks'!AO175,IF($L$3=$AJ$11,'Statement of Marks'!BC175,IF($L$3=$AJ$12,'Statement of Marks'!BQ175,IF($L$3=$AJ$13,'Statement of Marks'!CF175,IF($L$3=$AJ$14,'Statement of Marks'!CU175,IF($L$3=$AJ$15,'Statement of Marks'!EA175,IF($L$3=$AJ$16,'Statement of Marks'!EM175,IF($L$3=$AJ$17,('Statement of Marks'!FD175+'Statement of Marks'!FE175),"")))))))))),"")</f>
        <v/>
      </c>
      <c r="L176" s="809" t="str">
        <f>IFERROR(IF($L$3=$AJ$8,'Statement of Marks'!M175,IF($L$3=$AJ$9,'Statement of Marks'!AA175,IF($L$3=$AJ$10,'Statement of Marks'!AP175,IF($L$3=$AJ$11,'Statement of Marks'!BD175,IF($L$3=$AJ$12,'Statement of Marks'!BR175,IF($L$3=$AJ$13,'Statement of Marks'!CG175,IF($L$3=$AJ$14,'Statement of Marks'!CV175,IF($L$3=$AJ$15,'Statement of Marks'!EB175,IF($L$3=$AJ$16,'Statement of Marks'!EN175,IF($L$3=$AJ$17,('Statement of Marks'!FF175+'Statement of Marks'!FG175),"")))))))))),"")</f>
        <v/>
      </c>
      <c r="M176" s="810">
        <f t="shared" si="20"/>
        <v>0</v>
      </c>
      <c r="N176" s="809" t="str">
        <f>IFERROR(IF($L$3=$AJ$8,'Statement of Marks'!O175,IF($L$3=$AJ$9,'Statement of Marks'!AC175,IF($L$3=$AJ$10,'Statement of Marks'!AR175,IF($L$3=$AJ$11,'Statement of Marks'!BF175,IF($L$3=$AJ$12,'Statement of Marks'!BT175,IF($L$3=$AJ$13,'Statement of Marks'!CI175,IF($L$3=$AJ$14,('Statement of Marks'!CX175+'Statement of Marks'!CY175),IF($L$3=$AJ$15,'Statement of Marks'!ED175,IF($L$3=$AJ$16,('Statement of Marks'!EP175+'Statement of Marks'!EQ175),IF($L$3=$AJ$17,('Statement of Marks'!FI175+'Statement of Marks'!FJ175),IF($L$3=$AJ$18,'Statement of Marks'!FU175,IF($L$3=$AJ$19,'Statement of Marks'!GC175,"")))))))))))),"")</f>
        <v/>
      </c>
      <c r="O176" s="811">
        <f>IF($L$3=$AJ$18,'Statement of Marks'!FV175,IF($L$3=$AJ$19,'Statement of Marks'!GD175,IF(AND(M176="NA",N176="NA"),"NA",IF(AND(M176="",N176=""),"",SUM(M176,N176)))))</f>
        <v>0</v>
      </c>
      <c r="P176" s="809" t="str">
        <f>IFERROR(IF($L$3=$AJ$8,'Statement of Marks'!Q175,IF($L$3=$AJ$9,'Statement of Marks'!AE175,IF($L$3=$AJ$10,'Statement of Marks'!AT175,IF($L$3=$AJ$11,'Statement of Marks'!BH175,IF($L$3=$AJ$12,'Statement of Marks'!BV175,IF($L$3=$AJ$13,'Statement of Marks'!CK175,IF($L$3=$AJ$14,('Statement of Marks'!DB175+'Statement of Marks'!DC175),IF($L$3=$AJ$15,'Statement of Marks'!EF175,IF($L$3=$AJ$16,('Statement of Marks'!ET175+'Statement of Marks'!EU175),IF($L$3=$AJ$17,('Statement of Marks'!FM175+'Statement of Marks'!FN175),IF($L$3=$AJ$18,'Statement of Marks'!FW175,IF($L$3=$AJ$19,'Statement of Marks'!GE175,"")))))))))))),"")</f>
        <v/>
      </c>
      <c r="Q176" s="812" t="str">
        <f t="shared" si="23"/>
        <v/>
      </c>
      <c r="R176" s="813">
        <f t="shared" si="28"/>
        <v>0</v>
      </c>
      <c r="S176" s="813" t="str">
        <f t="shared" si="24"/>
        <v/>
      </c>
      <c r="T176" s="813" t="str">
        <f t="shared" si="25"/>
        <v/>
      </c>
      <c r="U176" s="814" t="str">
        <f t="shared" si="26"/>
        <v/>
      </c>
      <c r="V176" s="815" t="str">
        <f t="shared" si="27"/>
        <v/>
      </c>
      <c r="W176" s="816" t="str">
        <f t="shared" si="29"/>
        <v/>
      </c>
    </row>
    <row r="177" spans="1:23">
      <c r="A177" s="803">
        <f>IF('Statement of Marks'!A176="","",'Statement of Marks'!A176)</f>
        <v>170</v>
      </c>
      <c r="B177" s="804" t="str">
        <f>IF(OR($D$3="",$L$3=""),"",IF('Statement of Marks'!B176="","",'Statement of Marks'!B176))</f>
        <v/>
      </c>
      <c r="C177" s="805" t="str">
        <f>IF(OR($D$3="",$L$3=""),"",IF('Statement of Marks'!D176="","",'Statement of Marks'!D176))</f>
        <v/>
      </c>
      <c r="D177" s="806" t="str">
        <f>IF(OR($D$3="",$L$3=""),"",IF('Statement of Marks'!E176="","",'Statement of Marks'!E176))</f>
        <v/>
      </c>
      <c r="E177" s="807" t="str">
        <f>IF(OR($D$3="",$L$3=""),"",IF('Statement of Marks'!F176="","",'Statement of Marks'!F176))</f>
        <v/>
      </c>
      <c r="F177" s="807" t="str">
        <f>IF(OR($D$3="",$L$3=""),"",IF('Statement of Marks'!G176="","",'Statement of Marks'!G176))</f>
        <v/>
      </c>
      <c r="G177" s="807" t="str">
        <f>IF(OR($D$3="",$L$3=""),"",IF('Statement of Marks'!H176="","",'Statement of Marks'!H176))</f>
        <v/>
      </c>
      <c r="H177" s="808" t="str">
        <f>IF(OR($D$3="",$L$3=""),"",IF('Statement of Marks'!I176="","",'Statement of Marks'!I176))</f>
        <v/>
      </c>
      <c r="I177" s="808" t="str">
        <f>IF(OR($D$3="",$L$3=""),"",IF('Statement of Marks'!J176="","",'Statement of Marks'!J176))</f>
        <v/>
      </c>
      <c r="J177" s="809" t="str">
        <f>IFERROR(IF($L$3=$AJ$8,'Statement of Marks'!K176,IF($L$3=$AJ$9,'Statement of Marks'!Y176,IF($L$3=$AJ$10,'Statement of Marks'!AN176,IF($L$3=$AJ$11,'Statement of Marks'!BB176,IF($L$3=$AJ$12,'Statement of Marks'!BP176,IF($L$3=$AJ$13,'Statement of Marks'!CE176,IF($L$3=$AJ$14,'Statement of Marks'!CT176,IF($L$3=$AJ$15,'Statement of Marks'!DZ176,IF($L$3=$AJ$16,'Statement of Marks'!EL176,IF($L$3=$AJ$17,('Statement of Marks'!FB176+'Statement of Marks'!FC176),"")))))))))),"")</f>
        <v/>
      </c>
      <c r="K177" s="809" t="str">
        <f>IFERROR(IF($L$3=$AJ$8,'Statement of Marks'!L176,IF($L$3=$AJ$9,'Statement of Marks'!Z176,IF($L$3=$AJ$10,'Statement of Marks'!AO176,IF($L$3=$AJ$11,'Statement of Marks'!BC176,IF($L$3=$AJ$12,'Statement of Marks'!BQ176,IF($L$3=$AJ$13,'Statement of Marks'!CF176,IF($L$3=$AJ$14,'Statement of Marks'!CU176,IF($L$3=$AJ$15,'Statement of Marks'!EA176,IF($L$3=$AJ$16,'Statement of Marks'!EM176,IF($L$3=$AJ$17,('Statement of Marks'!FD176+'Statement of Marks'!FE176),"")))))))))),"")</f>
        <v/>
      </c>
      <c r="L177" s="809" t="str">
        <f>IFERROR(IF($L$3=$AJ$8,'Statement of Marks'!M176,IF($L$3=$AJ$9,'Statement of Marks'!AA176,IF($L$3=$AJ$10,'Statement of Marks'!AP176,IF($L$3=$AJ$11,'Statement of Marks'!BD176,IF($L$3=$AJ$12,'Statement of Marks'!BR176,IF($L$3=$AJ$13,'Statement of Marks'!CG176,IF($L$3=$AJ$14,'Statement of Marks'!CV176,IF($L$3=$AJ$15,'Statement of Marks'!EB176,IF($L$3=$AJ$16,'Statement of Marks'!EN176,IF($L$3=$AJ$17,('Statement of Marks'!FF176+'Statement of Marks'!FG176),"")))))))))),"")</f>
        <v/>
      </c>
      <c r="M177" s="810">
        <f t="shared" si="20"/>
        <v>0</v>
      </c>
      <c r="N177" s="809" t="str">
        <f>IFERROR(IF($L$3=$AJ$8,'Statement of Marks'!O176,IF($L$3=$AJ$9,'Statement of Marks'!AC176,IF($L$3=$AJ$10,'Statement of Marks'!AR176,IF($L$3=$AJ$11,'Statement of Marks'!BF176,IF($L$3=$AJ$12,'Statement of Marks'!BT176,IF($L$3=$AJ$13,'Statement of Marks'!CI176,IF($L$3=$AJ$14,('Statement of Marks'!CX176+'Statement of Marks'!CY176),IF($L$3=$AJ$15,'Statement of Marks'!ED176,IF($L$3=$AJ$16,('Statement of Marks'!EP176+'Statement of Marks'!EQ176),IF($L$3=$AJ$17,('Statement of Marks'!FI176+'Statement of Marks'!FJ176),IF($L$3=$AJ$18,'Statement of Marks'!FU176,IF($L$3=$AJ$19,'Statement of Marks'!GC176,"")))))))))))),"")</f>
        <v/>
      </c>
      <c r="O177" s="811">
        <f>IF($L$3=$AJ$18,'Statement of Marks'!FV176,IF($L$3=$AJ$19,'Statement of Marks'!GD176,IF(AND(M177="NA",N177="NA"),"NA",IF(AND(M177="",N177=""),"",SUM(M177,N177)))))</f>
        <v>0</v>
      </c>
      <c r="P177" s="809" t="str">
        <f>IFERROR(IF($L$3=$AJ$8,'Statement of Marks'!Q176,IF($L$3=$AJ$9,'Statement of Marks'!AE176,IF($L$3=$AJ$10,'Statement of Marks'!AT176,IF($L$3=$AJ$11,'Statement of Marks'!BH176,IF($L$3=$AJ$12,'Statement of Marks'!BV176,IF($L$3=$AJ$13,'Statement of Marks'!CK176,IF($L$3=$AJ$14,('Statement of Marks'!DB176+'Statement of Marks'!DC176),IF($L$3=$AJ$15,'Statement of Marks'!EF176,IF($L$3=$AJ$16,('Statement of Marks'!ET176+'Statement of Marks'!EU176),IF($L$3=$AJ$17,('Statement of Marks'!FM176+'Statement of Marks'!FN176),IF($L$3=$AJ$18,'Statement of Marks'!FW176,IF($L$3=$AJ$19,'Statement of Marks'!GE176,"")))))))))))),"")</f>
        <v/>
      </c>
      <c r="Q177" s="812" t="str">
        <f t="shared" si="23"/>
        <v/>
      </c>
      <c r="R177" s="813">
        <f t="shared" si="28"/>
        <v>0</v>
      </c>
      <c r="S177" s="813" t="str">
        <f t="shared" si="24"/>
        <v/>
      </c>
      <c r="T177" s="813" t="str">
        <f t="shared" si="25"/>
        <v/>
      </c>
      <c r="U177" s="814" t="str">
        <f t="shared" si="26"/>
        <v/>
      </c>
      <c r="V177" s="815" t="str">
        <f t="shared" si="27"/>
        <v/>
      </c>
      <c r="W177" s="816" t="str">
        <f t="shared" si="29"/>
        <v/>
      </c>
    </row>
    <row r="178" spans="1:23">
      <c r="A178" s="803">
        <f>IF('Statement of Marks'!A177="","",'Statement of Marks'!A177)</f>
        <v>171</v>
      </c>
      <c r="B178" s="804" t="str">
        <f>IF(OR($D$3="",$L$3=""),"",IF('Statement of Marks'!B177="","",'Statement of Marks'!B177))</f>
        <v/>
      </c>
      <c r="C178" s="805" t="str">
        <f>IF(OR($D$3="",$L$3=""),"",IF('Statement of Marks'!D177="","",'Statement of Marks'!D177))</f>
        <v/>
      </c>
      <c r="D178" s="806" t="str">
        <f>IF(OR($D$3="",$L$3=""),"",IF('Statement of Marks'!E177="","",'Statement of Marks'!E177))</f>
        <v/>
      </c>
      <c r="E178" s="807" t="str">
        <f>IF(OR($D$3="",$L$3=""),"",IF('Statement of Marks'!F177="","",'Statement of Marks'!F177))</f>
        <v/>
      </c>
      <c r="F178" s="807" t="str">
        <f>IF(OR($D$3="",$L$3=""),"",IF('Statement of Marks'!G177="","",'Statement of Marks'!G177))</f>
        <v/>
      </c>
      <c r="G178" s="807" t="str">
        <f>IF(OR($D$3="",$L$3=""),"",IF('Statement of Marks'!H177="","",'Statement of Marks'!H177))</f>
        <v/>
      </c>
      <c r="H178" s="808" t="str">
        <f>IF(OR($D$3="",$L$3=""),"",IF('Statement of Marks'!I177="","",'Statement of Marks'!I177))</f>
        <v/>
      </c>
      <c r="I178" s="808" t="str">
        <f>IF(OR($D$3="",$L$3=""),"",IF('Statement of Marks'!J177="","",'Statement of Marks'!J177))</f>
        <v/>
      </c>
      <c r="J178" s="809" t="str">
        <f>IFERROR(IF($L$3=$AJ$8,'Statement of Marks'!K177,IF($L$3=$AJ$9,'Statement of Marks'!Y177,IF($L$3=$AJ$10,'Statement of Marks'!AN177,IF($L$3=$AJ$11,'Statement of Marks'!BB177,IF($L$3=$AJ$12,'Statement of Marks'!BP177,IF($L$3=$AJ$13,'Statement of Marks'!CE177,IF($L$3=$AJ$14,'Statement of Marks'!CT177,IF($L$3=$AJ$15,'Statement of Marks'!DZ177,IF($L$3=$AJ$16,'Statement of Marks'!EL177,IF($L$3=$AJ$17,('Statement of Marks'!FB177+'Statement of Marks'!FC177),"")))))))))),"")</f>
        <v/>
      </c>
      <c r="K178" s="809" t="str">
        <f>IFERROR(IF($L$3=$AJ$8,'Statement of Marks'!L177,IF($L$3=$AJ$9,'Statement of Marks'!Z177,IF($L$3=$AJ$10,'Statement of Marks'!AO177,IF($L$3=$AJ$11,'Statement of Marks'!BC177,IF($L$3=$AJ$12,'Statement of Marks'!BQ177,IF($L$3=$AJ$13,'Statement of Marks'!CF177,IF($L$3=$AJ$14,'Statement of Marks'!CU177,IF($L$3=$AJ$15,'Statement of Marks'!EA177,IF($L$3=$AJ$16,'Statement of Marks'!EM177,IF($L$3=$AJ$17,('Statement of Marks'!FD177+'Statement of Marks'!FE177),"")))))))))),"")</f>
        <v/>
      </c>
      <c r="L178" s="809" t="str">
        <f>IFERROR(IF($L$3=$AJ$8,'Statement of Marks'!M177,IF($L$3=$AJ$9,'Statement of Marks'!AA177,IF($L$3=$AJ$10,'Statement of Marks'!AP177,IF($L$3=$AJ$11,'Statement of Marks'!BD177,IF($L$3=$AJ$12,'Statement of Marks'!BR177,IF($L$3=$AJ$13,'Statement of Marks'!CG177,IF($L$3=$AJ$14,'Statement of Marks'!CV177,IF($L$3=$AJ$15,'Statement of Marks'!EB177,IF($L$3=$AJ$16,'Statement of Marks'!EN177,IF($L$3=$AJ$17,('Statement of Marks'!FF177+'Statement of Marks'!FG177),"")))))))))),"")</f>
        <v/>
      </c>
      <c r="M178" s="810">
        <f t="shared" si="20"/>
        <v>0</v>
      </c>
      <c r="N178" s="809" t="str">
        <f>IFERROR(IF($L$3=$AJ$8,'Statement of Marks'!O177,IF($L$3=$AJ$9,'Statement of Marks'!AC177,IF($L$3=$AJ$10,'Statement of Marks'!AR177,IF($L$3=$AJ$11,'Statement of Marks'!BF177,IF($L$3=$AJ$12,'Statement of Marks'!BT177,IF($L$3=$AJ$13,'Statement of Marks'!CI177,IF($L$3=$AJ$14,('Statement of Marks'!CX177+'Statement of Marks'!CY177),IF($L$3=$AJ$15,'Statement of Marks'!ED177,IF($L$3=$AJ$16,('Statement of Marks'!EP177+'Statement of Marks'!EQ177),IF($L$3=$AJ$17,('Statement of Marks'!FI177+'Statement of Marks'!FJ177),IF($L$3=$AJ$18,'Statement of Marks'!FU177,IF($L$3=$AJ$19,'Statement of Marks'!GC177,"")))))))))))),"")</f>
        <v/>
      </c>
      <c r="O178" s="811">
        <f>IF($L$3=$AJ$18,'Statement of Marks'!FV177,IF($L$3=$AJ$19,'Statement of Marks'!GD177,IF(AND(M178="NA",N178="NA"),"NA",IF(AND(M178="",N178=""),"",SUM(M178,N178)))))</f>
        <v>0</v>
      </c>
      <c r="P178" s="809" t="str">
        <f>IFERROR(IF($L$3=$AJ$8,'Statement of Marks'!Q177,IF($L$3=$AJ$9,'Statement of Marks'!AE177,IF($L$3=$AJ$10,'Statement of Marks'!AT177,IF($L$3=$AJ$11,'Statement of Marks'!BH177,IF($L$3=$AJ$12,'Statement of Marks'!BV177,IF($L$3=$AJ$13,'Statement of Marks'!CK177,IF($L$3=$AJ$14,('Statement of Marks'!DB177+'Statement of Marks'!DC177),IF($L$3=$AJ$15,'Statement of Marks'!EF177,IF($L$3=$AJ$16,('Statement of Marks'!ET177+'Statement of Marks'!EU177),IF($L$3=$AJ$17,('Statement of Marks'!FM177+'Statement of Marks'!FN177),IF($L$3=$AJ$18,'Statement of Marks'!FW177,IF($L$3=$AJ$19,'Statement of Marks'!GE177,"")))))))))))),"")</f>
        <v/>
      </c>
      <c r="Q178" s="812" t="str">
        <f t="shared" si="23"/>
        <v/>
      </c>
      <c r="R178" s="813">
        <f t="shared" si="28"/>
        <v>0</v>
      </c>
      <c r="S178" s="813" t="str">
        <f t="shared" si="24"/>
        <v/>
      </c>
      <c r="T178" s="813" t="str">
        <f t="shared" si="25"/>
        <v/>
      </c>
      <c r="U178" s="814" t="str">
        <f t="shared" si="26"/>
        <v/>
      </c>
      <c r="V178" s="815" t="str">
        <f t="shared" si="27"/>
        <v/>
      </c>
      <c r="W178" s="816" t="str">
        <f t="shared" si="29"/>
        <v/>
      </c>
    </row>
    <row r="179" spans="1:23">
      <c r="A179" s="803">
        <f>IF('Statement of Marks'!A178="","",'Statement of Marks'!A178)</f>
        <v>172</v>
      </c>
      <c r="B179" s="804" t="str">
        <f>IF(OR($D$3="",$L$3=""),"",IF('Statement of Marks'!B178="","",'Statement of Marks'!B178))</f>
        <v/>
      </c>
      <c r="C179" s="805" t="str">
        <f>IF(OR($D$3="",$L$3=""),"",IF('Statement of Marks'!D178="","",'Statement of Marks'!D178))</f>
        <v/>
      </c>
      <c r="D179" s="806" t="str">
        <f>IF(OR($D$3="",$L$3=""),"",IF('Statement of Marks'!E178="","",'Statement of Marks'!E178))</f>
        <v/>
      </c>
      <c r="E179" s="807" t="str">
        <f>IF(OR($D$3="",$L$3=""),"",IF('Statement of Marks'!F178="","",'Statement of Marks'!F178))</f>
        <v/>
      </c>
      <c r="F179" s="807" t="str">
        <f>IF(OR($D$3="",$L$3=""),"",IF('Statement of Marks'!G178="","",'Statement of Marks'!G178))</f>
        <v/>
      </c>
      <c r="G179" s="807" t="str">
        <f>IF(OR($D$3="",$L$3=""),"",IF('Statement of Marks'!H178="","",'Statement of Marks'!H178))</f>
        <v/>
      </c>
      <c r="H179" s="808" t="str">
        <f>IF(OR($D$3="",$L$3=""),"",IF('Statement of Marks'!I178="","",'Statement of Marks'!I178))</f>
        <v/>
      </c>
      <c r="I179" s="808" t="str">
        <f>IF(OR($D$3="",$L$3=""),"",IF('Statement of Marks'!J178="","",'Statement of Marks'!J178))</f>
        <v/>
      </c>
      <c r="J179" s="809" t="str">
        <f>IFERROR(IF($L$3=$AJ$8,'Statement of Marks'!K178,IF($L$3=$AJ$9,'Statement of Marks'!Y178,IF($L$3=$AJ$10,'Statement of Marks'!AN178,IF($L$3=$AJ$11,'Statement of Marks'!BB178,IF($L$3=$AJ$12,'Statement of Marks'!BP178,IF($L$3=$AJ$13,'Statement of Marks'!CE178,IF($L$3=$AJ$14,'Statement of Marks'!CT178,IF($L$3=$AJ$15,'Statement of Marks'!DZ178,IF($L$3=$AJ$16,'Statement of Marks'!EL178,IF($L$3=$AJ$17,('Statement of Marks'!FB178+'Statement of Marks'!FC178),"")))))))))),"")</f>
        <v/>
      </c>
      <c r="K179" s="809" t="str">
        <f>IFERROR(IF($L$3=$AJ$8,'Statement of Marks'!L178,IF($L$3=$AJ$9,'Statement of Marks'!Z178,IF($L$3=$AJ$10,'Statement of Marks'!AO178,IF($L$3=$AJ$11,'Statement of Marks'!BC178,IF($L$3=$AJ$12,'Statement of Marks'!BQ178,IF($L$3=$AJ$13,'Statement of Marks'!CF178,IF($L$3=$AJ$14,'Statement of Marks'!CU178,IF($L$3=$AJ$15,'Statement of Marks'!EA178,IF($L$3=$AJ$16,'Statement of Marks'!EM178,IF($L$3=$AJ$17,('Statement of Marks'!FD178+'Statement of Marks'!FE178),"")))))))))),"")</f>
        <v/>
      </c>
      <c r="L179" s="809" t="str">
        <f>IFERROR(IF($L$3=$AJ$8,'Statement of Marks'!M178,IF($L$3=$AJ$9,'Statement of Marks'!AA178,IF($L$3=$AJ$10,'Statement of Marks'!AP178,IF($L$3=$AJ$11,'Statement of Marks'!BD178,IF($L$3=$AJ$12,'Statement of Marks'!BR178,IF($L$3=$AJ$13,'Statement of Marks'!CG178,IF($L$3=$AJ$14,'Statement of Marks'!CV178,IF($L$3=$AJ$15,'Statement of Marks'!EB178,IF($L$3=$AJ$16,'Statement of Marks'!EN178,IF($L$3=$AJ$17,('Statement of Marks'!FF178+'Statement of Marks'!FG178),"")))))))))),"")</f>
        <v/>
      </c>
      <c r="M179" s="810">
        <f t="shared" si="20"/>
        <v>0</v>
      </c>
      <c r="N179" s="809" t="str">
        <f>IFERROR(IF($L$3=$AJ$8,'Statement of Marks'!O178,IF($L$3=$AJ$9,'Statement of Marks'!AC178,IF($L$3=$AJ$10,'Statement of Marks'!AR178,IF($L$3=$AJ$11,'Statement of Marks'!BF178,IF($L$3=$AJ$12,'Statement of Marks'!BT178,IF($L$3=$AJ$13,'Statement of Marks'!CI178,IF($L$3=$AJ$14,('Statement of Marks'!CX178+'Statement of Marks'!CY178),IF($L$3=$AJ$15,'Statement of Marks'!ED178,IF($L$3=$AJ$16,('Statement of Marks'!EP178+'Statement of Marks'!EQ178),IF($L$3=$AJ$17,('Statement of Marks'!FI178+'Statement of Marks'!FJ178),IF($L$3=$AJ$18,'Statement of Marks'!FU178,IF($L$3=$AJ$19,'Statement of Marks'!GC178,"")))))))))))),"")</f>
        <v/>
      </c>
      <c r="O179" s="811">
        <f>IF($L$3=$AJ$18,'Statement of Marks'!FV178,IF($L$3=$AJ$19,'Statement of Marks'!GD178,IF(AND(M179="NA",N179="NA"),"NA",IF(AND(M179="",N179=""),"",SUM(M179,N179)))))</f>
        <v>0</v>
      </c>
      <c r="P179" s="809" t="str">
        <f>IFERROR(IF($L$3=$AJ$8,'Statement of Marks'!Q178,IF($L$3=$AJ$9,'Statement of Marks'!AE178,IF($L$3=$AJ$10,'Statement of Marks'!AT178,IF($L$3=$AJ$11,'Statement of Marks'!BH178,IF($L$3=$AJ$12,'Statement of Marks'!BV178,IF($L$3=$AJ$13,'Statement of Marks'!CK178,IF($L$3=$AJ$14,('Statement of Marks'!DB178+'Statement of Marks'!DC178),IF($L$3=$AJ$15,'Statement of Marks'!EF178,IF($L$3=$AJ$16,('Statement of Marks'!ET178+'Statement of Marks'!EU178),IF($L$3=$AJ$17,('Statement of Marks'!FM178+'Statement of Marks'!FN178),IF($L$3=$AJ$18,'Statement of Marks'!FW178,IF($L$3=$AJ$19,'Statement of Marks'!GE178,"")))))))))))),"")</f>
        <v/>
      </c>
      <c r="Q179" s="812" t="str">
        <f t="shared" si="23"/>
        <v/>
      </c>
      <c r="R179" s="813">
        <f t="shared" si="28"/>
        <v>0</v>
      </c>
      <c r="S179" s="813" t="str">
        <f t="shared" si="24"/>
        <v/>
      </c>
      <c r="T179" s="813" t="str">
        <f t="shared" si="25"/>
        <v/>
      </c>
      <c r="U179" s="814" t="str">
        <f t="shared" si="26"/>
        <v/>
      </c>
      <c r="V179" s="815" t="str">
        <f t="shared" si="27"/>
        <v/>
      </c>
      <c r="W179" s="816" t="str">
        <f t="shared" si="29"/>
        <v/>
      </c>
    </row>
    <row r="180" spans="1:23">
      <c r="A180" s="803">
        <f>IF('Statement of Marks'!A179="","",'Statement of Marks'!A179)</f>
        <v>173</v>
      </c>
      <c r="B180" s="804" t="str">
        <f>IF(OR($D$3="",$L$3=""),"",IF('Statement of Marks'!B179="","",'Statement of Marks'!B179))</f>
        <v/>
      </c>
      <c r="C180" s="805" t="str">
        <f>IF(OR($D$3="",$L$3=""),"",IF('Statement of Marks'!D179="","",'Statement of Marks'!D179))</f>
        <v/>
      </c>
      <c r="D180" s="806" t="str">
        <f>IF(OR($D$3="",$L$3=""),"",IF('Statement of Marks'!E179="","",'Statement of Marks'!E179))</f>
        <v/>
      </c>
      <c r="E180" s="807" t="str">
        <f>IF(OR($D$3="",$L$3=""),"",IF('Statement of Marks'!F179="","",'Statement of Marks'!F179))</f>
        <v/>
      </c>
      <c r="F180" s="807" t="str">
        <f>IF(OR($D$3="",$L$3=""),"",IF('Statement of Marks'!G179="","",'Statement of Marks'!G179))</f>
        <v/>
      </c>
      <c r="G180" s="807" t="str">
        <f>IF(OR($D$3="",$L$3=""),"",IF('Statement of Marks'!H179="","",'Statement of Marks'!H179))</f>
        <v/>
      </c>
      <c r="H180" s="808" t="str">
        <f>IF(OR($D$3="",$L$3=""),"",IF('Statement of Marks'!I179="","",'Statement of Marks'!I179))</f>
        <v/>
      </c>
      <c r="I180" s="808" t="str">
        <f>IF(OR($D$3="",$L$3=""),"",IF('Statement of Marks'!J179="","",'Statement of Marks'!J179))</f>
        <v/>
      </c>
      <c r="J180" s="809" t="str">
        <f>IFERROR(IF($L$3=$AJ$8,'Statement of Marks'!K179,IF($L$3=$AJ$9,'Statement of Marks'!Y179,IF($L$3=$AJ$10,'Statement of Marks'!AN179,IF($L$3=$AJ$11,'Statement of Marks'!BB179,IF($L$3=$AJ$12,'Statement of Marks'!BP179,IF($L$3=$AJ$13,'Statement of Marks'!CE179,IF($L$3=$AJ$14,'Statement of Marks'!CT179,IF($L$3=$AJ$15,'Statement of Marks'!DZ179,IF($L$3=$AJ$16,'Statement of Marks'!EL179,IF($L$3=$AJ$17,('Statement of Marks'!FB179+'Statement of Marks'!FC179),"")))))))))),"")</f>
        <v/>
      </c>
      <c r="K180" s="809" t="str">
        <f>IFERROR(IF($L$3=$AJ$8,'Statement of Marks'!L179,IF($L$3=$AJ$9,'Statement of Marks'!Z179,IF($L$3=$AJ$10,'Statement of Marks'!AO179,IF($L$3=$AJ$11,'Statement of Marks'!BC179,IF($L$3=$AJ$12,'Statement of Marks'!BQ179,IF($L$3=$AJ$13,'Statement of Marks'!CF179,IF($L$3=$AJ$14,'Statement of Marks'!CU179,IF($L$3=$AJ$15,'Statement of Marks'!EA179,IF($L$3=$AJ$16,'Statement of Marks'!EM179,IF($L$3=$AJ$17,('Statement of Marks'!FD179+'Statement of Marks'!FE179),"")))))))))),"")</f>
        <v/>
      </c>
      <c r="L180" s="809" t="str">
        <f>IFERROR(IF($L$3=$AJ$8,'Statement of Marks'!M179,IF($L$3=$AJ$9,'Statement of Marks'!AA179,IF($L$3=$AJ$10,'Statement of Marks'!AP179,IF($L$3=$AJ$11,'Statement of Marks'!BD179,IF($L$3=$AJ$12,'Statement of Marks'!BR179,IF($L$3=$AJ$13,'Statement of Marks'!CG179,IF($L$3=$AJ$14,'Statement of Marks'!CV179,IF($L$3=$AJ$15,'Statement of Marks'!EB179,IF($L$3=$AJ$16,'Statement of Marks'!EN179,IF($L$3=$AJ$17,('Statement of Marks'!FF179+'Statement of Marks'!FG179),"")))))))))),"")</f>
        <v/>
      </c>
      <c r="M180" s="810">
        <f t="shared" si="20"/>
        <v>0</v>
      </c>
      <c r="N180" s="809" t="str">
        <f>IFERROR(IF($L$3=$AJ$8,'Statement of Marks'!O179,IF($L$3=$AJ$9,'Statement of Marks'!AC179,IF($L$3=$AJ$10,'Statement of Marks'!AR179,IF($L$3=$AJ$11,'Statement of Marks'!BF179,IF($L$3=$AJ$12,'Statement of Marks'!BT179,IF($L$3=$AJ$13,'Statement of Marks'!CI179,IF($L$3=$AJ$14,('Statement of Marks'!CX179+'Statement of Marks'!CY179),IF($L$3=$AJ$15,'Statement of Marks'!ED179,IF($L$3=$AJ$16,('Statement of Marks'!EP179+'Statement of Marks'!EQ179),IF($L$3=$AJ$17,('Statement of Marks'!FI179+'Statement of Marks'!FJ179),IF($L$3=$AJ$18,'Statement of Marks'!FU179,IF($L$3=$AJ$19,'Statement of Marks'!GC179,"")))))))))))),"")</f>
        <v/>
      </c>
      <c r="O180" s="811">
        <f>IF($L$3=$AJ$18,'Statement of Marks'!FV179,IF($L$3=$AJ$19,'Statement of Marks'!GD179,IF(AND(M180="NA",N180="NA"),"NA",IF(AND(M180="",N180=""),"",SUM(M180,N180)))))</f>
        <v>0</v>
      </c>
      <c r="P180" s="809" t="str">
        <f>IFERROR(IF($L$3=$AJ$8,'Statement of Marks'!Q179,IF($L$3=$AJ$9,'Statement of Marks'!AE179,IF($L$3=$AJ$10,'Statement of Marks'!AT179,IF($L$3=$AJ$11,'Statement of Marks'!BH179,IF($L$3=$AJ$12,'Statement of Marks'!BV179,IF($L$3=$AJ$13,'Statement of Marks'!CK179,IF($L$3=$AJ$14,('Statement of Marks'!DB179+'Statement of Marks'!DC179),IF($L$3=$AJ$15,'Statement of Marks'!EF179,IF($L$3=$AJ$16,('Statement of Marks'!ET179+'Statement of Marks'!EU179),IF($L$3=$AJ$17,('Statement of Marks'!FM179+'Statement of Marks'!FN179),IF($L$3=$AJ$18,'Statement of Marks'!FW179,IF($L$3=$AJ$19,'Statement of Marks'!GE179,"")))))))))))),"")</f>
        <v/>
      </c>
      <c r="Q180" s="812" t="str">
        <f t="shared" si="23"/>
        <v/>
      </c>
      <c r="R180" s="813">
        <f t="shared" si="28"/>
        <v>0</v>
      </c>
      <c r="S180" s="813" t="str">
        <f t="shared" si="24"/>
        <v/>
      </c>
      <c r="T180" s="813" t="str">
        <f t="shared" si="25"/>
        <v/>
      </c>
      <c r="U180" s="814" t="str">
        <f t="shared" si="26"/>
        <v/>
      </c>
      <c r="V180" s="815" t="str">
        <f t="shared" si="27"/>
        <v/>
      </c>
      <c r="W180" s="816" t="str">
        <f t="shared" si="29"/>
        <v/>
      </c>
    </row>
    <row r="181" spans="1:23">
      <c r="A181" s="803">
        <f>IF('Statement of Marks'!A180="","",'Statement of Marks'!A180)</f>
        <v>174</v>
      </c>
      <c r="B181" s="804" t="str">
        <f>IF(OR($D$3="",$L$3=""),"",IF('Statement of Marks'!B180="","",'Statement of Marks'!B180))</f>
        <v/>
      </c>
      <c r="C181" s="805" t="str">
        <f>IF(OR($D$3="",$L$3=""),"",IF('Statement of Marks'!D180="","",'Statement of Marks'!D180))</f>
        <v/>
      </c>
      <c r="D181" s="806" t="str">
        <f>IF(OR($D$3="",$L$3=""),"",IF('Statement of Marks'!E180="","",'Statement of Marks'!E180))</f>
        <v/>
      </c>
      <c r="E181" s="807" t="str">
        <f>IF(OR($D$3="",$L$3=""),"",IF('Statement of Marks'!F180="","",'Statement of Marks'!F180))</f>
        <v/>
      </c>
      <c r="F181" s="807" t="str">
        <f>IF(OR($D$3="",$L$3=""),"",IF('Statement of Marks'!G180="","",'Statement of Marks'!G180))</f>
        <v/>
      </c>
      <c r="G181" s="807" t="str">
        <f>IF(OR($D$3="",$L$3=""),"",IF('Statement of Marks'!H180="","",'Statement of Marks'!H180))</f>
        <v/>
      </c>
      <c r="H181" s="808" t="str">
        <f>IF(OR($D$3="",$L$3=""),"",IF('Statement of Marks'!I180="","",'Statement of Marks'!I180))</f>
        <v/>
      </c>
      <c r="I181" s="808" t="str">
        <f>IF(OR($D$3="",$L$3=""),"",IF('Statement of Marks'!J180="","",'Statement of Marks'!J180))</f>
        <v/>
      </c>
      <c r="J181" s="809" t="str">
        <f>IFERROR(IF($L$3=$AJ$8,'Statement of Marks'!K180,IF($L$3=$AJ$9,'Statement of Marks'!Y180,IF($L$3=$AJ$10,'Statement of Marks'!AN180,IF($L$3=$AJ$11,'Statement of Marks'!BB180,IF($L$3=$AJ$12,'Statement of Marks'!BP180,IF($L$3=$AJ$13,'Statement of Marks'!CE180,IF($L$3=$AJ$14,'Statement of Marks'!CT180,IF($L$3=$AJ$15,'Statement of Marks'!DZ180,IF($L$3=$AJ$16,'Statement of Marks'!EL180,IF($L$3=$AJ$17,('Statement of Marks'!FB180+'Statement of Marks'!FC180),"")))))))))),"")</f>
        <v/>
      </c>
      <c r="K181" s="809" t="str">
        <f>IFERROR(IF($L$3=$AJ$8,'Statement of Marks'!L180,IF($L$3=$AJ$9,'Statement of Marks'!Z180,IF($L$3=$AJ$10,'Statement of Marks'!AO180,IF($L$3=$AJ$11,'Statement of Marks'!BC180,IF($L$3=$AJ$12,'Statement of Marks'!BQ180,IF($L$3=$AJ$13,'Statement of Marks'!CF180,IF($L$3=$AJ$14,'Statement of Marks'!CU180,IF($L$3=$AJ$15,'Statement of Marks'!EA180,IF($L$3=$AJ$16,'Statement of Marks'!EM180,IF($L$3=$AJ$17,('Statement of Marks'!FD180+'Statement of Marks'!FE180),"")))))))))),"")</f>
        <v/>
      </c>
      <c r="L181" s="809" t="str">
        <f>IFERROR(IF($L$3=$AJ$8,'Statement of Marks'!M180,IF($L$3=$AJ$9,'Statement of Marks'!AA180,IF($L$3=$AJ$10,'Statement of Marks'!AP180,IF($L$3=$AJ$11,'Statement of Marks'!BD180,IF($L$3=$AJ$12,'Statement of Marks'!BR180,IF($L$3=$AJ$13,'Statement of Marks'!CG180,IF($L$3=$AJ$14,'Statement of Marks'!CV180,IF($L$3=$AJ$15,'Statement of Marks'!EB180,IF($L$3=$AJ$16,'Statement of Marks'!EN180,IF($L$3=$AJ$17,('Statement of Marks'!FF180+'Statement of Marks'!FG180),"")))))))))),"")</f>
        <v/>
      </c>
      <c r="M181" s="810">
        <f t="shared" si="20"/>
        <v>0</v>
      </c>
      <c r="N181" s="809" t="str">
        <f>IFERROR(IF($L$3=$AJ$8,'Statement of Marks'!O180,IF($L$3=$AJ$9,'Statement of Marks'!AC180,IF($L$3=$AJ$10,'Statement of Marks'!AR180,IF($L$3=$AJ$11,'Statement of Marks'!BF180,IF($L$3=$AJ$12,'Statement of Marks'!BT180,IF($L$3=$AJ$13,'Statement of Marks'!CI180,IF($L$3=$AJ$14,('Statement of Marks'!CX180+'Statement of Marks'!CY180),IF($L$3=$AJ$15,'Statement of Marks'!ED180,IF($L$3=$AJ$16,('Statement of Marks'!EP180+'Statement of Marks'!EQ180),IF($L$3=$AJ$17,('Statement of Marks'!FI180+'Statement of Marks'!FJ180),IF($L$3=$AJ$18,'Statement of Marks'!FU180,IF($L$3=$AJ$19,'Statement of Marks'!GC180,"")))))))))))),"")</f>
        <v/>
      </c>
      <c r="O181" s="811">
        <f>IF($L$3=$AJ$18,'Statement of Marks'!FV180,IF($L$3=$AJ$19,'Statement of Marks'!GD180,IF(AND(M181="NA",N181="NA"),"NA",IF(AND(M181="",N181=""),"",SUM(M181,N181)))))</f>
        <v>0</v>
      </c>
      <c r="P181" s="809" t="str">
        <f>IFERROR(IF($L$3=$AJ$8,'Statement of Marks'!Q180,IF($L$3=$AJ$9,'Statement of Marks'!AE180,IF($L$3=$AJ$10,'Statement of Marks'!AT180,IF($L$3=$AJ$11,'Statement of Marks'!BH180,IF($L$3=$AJ$12,'Statement of Marks'!BV180,IF($L$3=$AJ$13,'Statement of Marks'!CK180,IF($L$3=$AJ$14,('Statement of Marks'!DB180+'Statement of Marks'!DC180),IF($L$3=$AJ$15,'Statement of Marks'!EF180,IF($L$3=$AJ$16,('Statement of Marks'!ET180+'Statement of Marks'!EU180),IF($L$3=$AJ$17,('Statement of Marks'!FM180+'Statement of Marks'!FN180),IF($L$3=$AJ$18,'Statement of Marks'!FW180,IF($L$3=$AJ$19,'Statement of Marks'!GE180,"")))))))))))),"")</f>
        <v/>
      </c>
      <c r="Q181" s="812" t="str">
        <f t="shared" si="23"/>
        <v/>
      </c>
      <c r="R181" s="813">
        <f t="shared" si="28"/>
        <v>0</v>
      </c>
      <c r="S181" s="813" t="str">
        <f t="shared" si="24"/>
        <v/>
      </c>
      <c r="T181" s="813" t="str">
        <f t="shared" si="25"/>
        <v/>
      </c>
      <c r="U181" s="814" t="str">
        <f t="shared" si="26"/>
        <v/>
      </c>
      <c r="V181" s="815" t="str">
        <f t="shared" si="27"/>
        <v/>
      </c>
      <c r="W181" s="816" t="str">
        <f t="shared" si="29"/>
        <v/>
      </c>
    </row>
    <row r="182" spans="1:23">
      <c r="A182" s="803">
        <f>IF('Statement of Marks'!A181="","",'Statement of Marks'!A181)</f>
        <v>175</v>
      </c>
      <c r="B182" s="804" t="str">
        <f>IF(OR($D$3="",$L$3=""),"",IF('Statement of Marks'!B181="","",'Statement of Marks'!B181))</f>
        <v/>
      </c>
      <c r="C182" s="805" t="str">
        <f>IF(OR($D$3="",$L$3=""),"",IF('Statement of Marks'!D181="","",'Statement of Marks'!D181))</f>
        <v/>
      </c>
      <c r="D182" s="806" t="str">
        <f>IF(OR($D$3="",$L$3=""),"",IF('Statement of Marks'!E181="","",'Statement of Marks'!E181))</f>
        <v/>
      </c>
      <c r="E182" s="807" t="str">
        <f>IF(OR($D$3="",$L$3=""),"",IF('Statement of Marks'!F181="","",'Statement of Marks'!F181))</f>
        <v/>
      </c>
      <c r="F182" s="807" t="str">
        <f>IF(OR($D$3="",$L$3=""),"",IF('Statement of Marks'!G181="","",'Statement of Marks'!G181))</f>
        <v/>
      </c>
      <c r="G182" s="807" t="str">
        <f>IF(OR($D$3="",$L$3=""),"",IF('Statement of Marks'!H181="","",'Statement of Marks'!H181))</f>
        <v/>
      </c>
      <c r="H182" s="808" t="str">
        <f>IF(OR($D$3="",$L$3=""),"",IF('Statement of Marks'!I181="","",'Statement of Marks'!I181))</f>
        <v/>
      </c>
      <c r="I182" s="808" t="str">
        <f>IF(OR($D$3="",$L$3=""),"",IF('Statement of Marks'!J181="","",'Statement of Marks'!J181))</f>
        <v/>
      </c>
      <c r="J182" s="809" t="str">
        <f>IFERROR(IF($L$3=$AJ$8,'Statement of Marks'!K181,IF($L$3=$AJ$9,'Statement of Marks'!Y181,IF($L$3=$AJ$10,'Statement of Marks'!AN181,IF($L$3=$AJ$11,'Statement of Marks'!BB181,IF($L$3=$AJ$12,'Statement of Marks'!BP181,IF($L$3=$AJ$13,'Statement of Marks'!CE181,IF($L$3=$AJ$14,'Statement of Marks'!CT181,IF($L$3=$AJ$15,'Statement of Marks'!DZ181,IF($L$3=$AJ$16,'Statement of Marks'!EL181,IF($L$3=$AJ$17,('Statement of Marks'!FB181+'Statement of Marks'!FC181),"")))))))))),"")</f>
        <v/>
      </c>
      <c r="K182" s="809" t="str">
        <f>IFERROR(IF($L$3=$AJ$8,'Statement of Marks'!L181,IF($L$3=$AJ$9,'Statement of Marks'!Z181,IF($L$3=$AJ$10,'Statement of Marks'!AO181,IF($L$3=$AJ$11,'Statement of Marks'!BC181,IF($L$3=$AJ$12,'Statement of Marks'!BQ181,IF($L$3=$AJ$13,'Statement of Marks'!CF181,IF($L$3=$AJ$14,'Statement of Marks'!CU181,IF($L$3=$AJ$15,'Statement of Marks'!EA181,IF($L$3=$AJ$16,'Statement of Marks'!EM181,IF($L$3=$AJ$17,('Statement of Marks'!FD181+'Statement of Marks'!FE181),"")))))))))),"")</f>
        <v/>
      </c>
      <c r="L182" s="809" t="str">
        <f>IFERROR(IF($L$3=$AJ$8,'Statement of Marks'!M181,IF($L$3=$AJ$9,'Statement of Marks'!AA181,IF($L$3=$AJ$10,'Statement of Marks'!AP181,IF($L$3=$AJ$11,'Statement of Marks'!BD181,IF($L$3=$AJ$12,'Statement of Marks'!BR181,IF($L$3=$AJ$13,'Statement of Marks'!CG181,IF($L$3=$AJ$14,'Statement of Marks'!CV181,IF($L$3=$AJ$15,'Statement of Marks'!EB181,IF($L$3=$AJ$16,'Statement of Marks'!EN181,IF($L$3=$AJ$17,('Statement of Marks'!FF181+'Statement of Marks'!FG181),"")))))))))),"")</f>
        <v/>
      </c>
      <c r="M182" s="810">
        <f t="shared" si="20"/>
        <v>0</v>
      </c>
      <c r="N182" s="809" t="str">
        <f>IFERROR(IF($L$3=$AJ$8,'Statement of Marks'!O181,IF($L$3=$AJ$9,'Statement of Marks'!AC181,IF($L$3=$AJ$10,'Statement of Marks'!AR181,IF($L$3=$AJ$11,'Statement of Marks'!BF181,IF($L$3=$AJ$12,'Statement of Marks'!BT181,IF($L$3=$AJ$13,'Statement of Marks'!CI181,IF($L$3=$AJ$14,('Statement of Marks'!CX181+'Statement of Marks'!CY181),IF($L$3=$AJ$15,'Statement of Marks'!ED181,IF($L$3=$AJ$16,('Statement of Marks'!EP181+'Statement of Marks'!EQ181),IF($L$3=$AJ$17,('Statement of Marks'!FI181+'Statement of Marks'!FJ181),IF($L$3=$AJ$18,'Statement of Marks'!FU181,IF($L$3=$AJ$19,'Statement of Marks'!GC181,"")))))))))))),"")</f>
        <v/>
      </c>
      <c r="O182" s="811">
        <f>IF($L$3=$AJ$18,'Statement of Marks'!FV181,IF($L$3=$AJ$19,'Statement of Marks'!GD181,IF(AND(M182="NA",N182="NA"),"NA",IF(AND(M182="",N182=""),"",SUM(M182,N182)))))</f>
        <v>0</v>
      </c>
      <c r="P182" s="809" t="str">
        <f>IFERROR(IF($L$3=$AJ$8,'Statement of Marks'!Q181,IF($L$3=$AJ$9,'Statement of Marks'!AE181,IF($L$3=$AJ$10,'Statement of Marks'!AT181,IF($L$3=$AJ$11,'Statement of Marks'!BH181,IF($L$3=$AJ$12,'Statement of Marks'!BV181,IF($L$3=$AJ$13,'Statement of Marks'!CK181,IF($L$3=$AJ$14,('Statement of Marks'!DB181+'Statement of Marks'!DC181),IF($L$3=$AJ$15,'Statement of Marks'!EF181,IF($L$3=$AJ$16,('Statement of Marks'!ET181+'Statement of Marks'!EU181),IF($L$3=$AJ$17,('Statement of Marks'!FM181+'Statement of Marks'!FN181),IF($L$3=$AJ$18,'Statement of Marks'!FW181,IF($L$3=$AJ$19,'Statement of Marks'!GE181,"")))))))))))),"")</f>
        <v/>
      </c>
      <c r="Q182" s="812" t="str">
        <f t="shared" si="23"/>
        <v/>
      </c>
      <c r="R182" s="813">
        <f t="shared" si="28"/>
        <v>0</v>
      </c>
      <c r="S182" s="813" t="str">
        <f t="shared" si="24"/>
        <v/>
      </c>
      <c r="T182" s="813" t="str">
        <f t="shared" si="25"/>
        <v/>
      </c>
      <c r="U182" s="814" t="str">
        <f t="shared" si="26"/>
        <v/>
      </c>
      <c r="V182" s="815" t="str">
        <f t="shared" si="27"/>
        <v/>
      </c>
      <c r="W182" s="816" t="str">
        <f t="shared" si="29"/>
        <v/>
      </c>
    </row>
    <row r="183" spans="1:23">
      <c r="A183" s="803">
        <f>IF('Statement of Marks'!A182="","",'Statement of Marks'!A182)</f>
        <v>176</v>
      </c>
      <c r="B183" s="804" t="str">
        <f>IF(OR($D$3="",$L$3=""),"",IF('Statement of Marks'!B182="","",'Statement of Marks'!B182))</f>
        <v/>
      </c>
      <c r="C183" s="805" t="str">
        <f>IF(OR($D$3="",$L$3=""),"",IF('Statement of Marks'!D182="","",'Statement of Marks'!D182))</f>
        <v/>
      </c>
      <c r="D183" s="806" t="str">
        <f>IF(OR($D$3="",$L$3=""),"",IF('Statement of Marks'!E182="","",'Statement of Marks'!E182))</f>
        <v/>
      </c>
      <c r="E183" s="807" t="str">
        <f>IF(OR($D$3="",$L$3=""),"",IF('Statement of Marks'!F182="","",'Statement of Marks'!F182))</f>
        <v/>
      </c>
      <c r="F183" s="807" t="str">
        <f>IF(OR($D$3="",$L$3=""),"",IF('Statement of Marks'!G182="","",'Statement of Marks'!G182))</f>
        <v/>
      </c>
      <c r="G183" s="807" t="str">
        <f>IF(OR($D$3="",$L$3=""),"",IF('Statement of Marks'!H182="","",'Statement of Marks'!H182))</f>
        <v/>
      </c>
      <c r="H183" s="808" t="str">
        <f>IF(OR($D$3="",$L$3=""),"",IF('Statement of Marks'!I182="","",'Statement of Marks'!I182))</f>
        <v/>
      </c>
      <c r="I183" s="808" t="str">
        <f>IF(OR($D$3="",$L$3=""),"",IF('Statement of Marks'!J182="","",'Statement of Marks'!J182))</f>
        <v/>
      </c>
      <c r="J183" s="809" t="str">
        <f>IFERROR(IF($L$3=$AJ$8,'Statement of Marks'!K182,IF($L$3=$AJ$9,'Statement of Marks'!Y182,IF($L$3=$AJ$10,'Statement of Marks'!AN182,IF($L$3=$AJ$11,'Statement of Marks'!BB182,IF($L$3=$AJ$12,'Statement of Marks'!BP182,IF($L$3=$AJ$13,'Statement of Marks'!CE182,IF($L$3=$AJ$14,'Statement of Marks'!CT182,IF($L$3=$AJ$15,'Statement of Marks'!DZ182,IF($L$3=$AJ$16,'Statement of Marks'!EL182,IF($L$3=$AJ$17,('Statement of Marks'!FB182+'Statement of Marks'!FC182),"")))))))))),"")</f>
        <v/>
      </c>
      <c r="K183" s="809" t="str">
        <f>IFERROR(IF($L$3=$AJ$8,'Statement of Marks'!L182,IF($L$3=$AJ$9,'Statement of Marks'!Z182,IF($L$3=$AJ$10,'Statement of Marks'!AO182,IF($L$3=$AJ$11,'Statement of Marks'!BC182,IF($L$3=$AJ$12,'Statement of Marks'!BQ182,IF($L$3=$AJ$13,'Statement of Marks'!CF182,IF($L$3=$AJ$14,'Statement of Marks'!CU182,IF($L$3=$AJ$15,'Statement of Marks'!EA182,IF($L$3=$AJ$16,'Statement of Marks'!EM182,IF($L$3=$AJ$17,('Statement of Marks'!FD182+'Statement of Marks'!FE182),"")))))))))),"")</f>
        <v/>
      </c>
      <c r="L183" s="809" t="str">
        <f>IFERROR(IF($L$3=$AJ$8,'Statement of Marks'!M182,IF($L$3=$AJ$9,'Statement of Marks'!AA182,IF($L$3=$AJ$10,'Statement of Marks'!AP182,IF($L$3=$AJ$11,'Statement of Marks'!BD182,IF($L$3=$AJ$12,'Statement of Marks'!BR182,IF($L$3=$AJ$13,'Statement of Marks'!CG182,IF($L$3=$AJ$14,'Statement of Marks'!CV182,IF($L$3=$AJ$15,'Statement of Marks'!EB182,IF($L$3=$AJ$16,'Statement of Marks'!EN182,IF($L$3=$AJ$17,('Statement of Marks'!FF182+'Statement of Marks'!FG182),"")))))))))),"")</f>
        <v/>
      </c>
      <c r="M183" s="810">
        <f t="shared" si="20"/>
        <v>0</v>
      </c>
      <c r="N183" s="809" t="str">
        <f>IFERROR(IF($L$3=$AJ$8,'Statement of Marks'!O182,IF($L$3=$AJ$9,'Statement of Marks'!AC182,IF($L$3=$AJ$10,'Statement of Marks'!AR182,IF($L$3=$AJ$11,'Statement of Marks'!BF182,IF($L$3=$AJ$12,'Statement of Marks'!BT182,IF($L$3=$AJ$13,'Statement of Marks'!CI182,IF($L$3=$AJ$14,('Statement of Marks'!CX182+'Statement of Marks'!CY182),IF($L$3=$AJ$15,'Statement of Marks'!ED182,IF($L$3=$AJ$16,('Statement of Marks'!EP182+'Statement of Marks'!EQ182),IF($L$3=$AJ$17,('Statement of Marks'!FI182+'Statement of Marks'!FJ182),IF($L$3=$AJ$18,'Statement of Marks'!FU182,IF($L$3=$AJ$19,'Statement of Marks'!GC182,"")))))))))))),"")</f>
        <v/>
      </c>
      <c r="O183" s="811">
        <f>IF($L$3=$AJ$18,'Statement of Marks'!FV182,IF($L$3=$AJ$19,'Statement of Marks'!GD182,IF(AND(M183="NA",N183="NA"),"NA",IF(AND(M183="",N183=""),"",SUM(M183,N183)))))</f>
        <v>0</v>
      </c>
      <c r="P183" s="809" t="str">
        <f>IFERROR(IF($L$3=$AJ$8,'Statement of Marks'!Q182,IF($L$3=$AJ$9,'Statement of Marks'!AE182,IF($L$3=$AJ$10,'Statement of Marks'!AT182,IF($L$3=$AJ$11,'Statement of Marks'!BH182,IF($L$3=$AJ$12,'Statement of Marks'!BV182,IF($L$3=$AJ$13,'Statement of Marks'!CK182,IF($L$3=$AJ$14,('Statement of Marks'!DB182+'Statement of Marks'!DC182),IF($L$3=$AJ$15,'Statement of Marks'!EF182,IF($L$3=$AJ$16,('Statement of Marks'!ET182+'Statement of Marks'!EU182),IF($L$3=$AJ$17,('Statement of Marks'!FM182+'Statement of Marks'!FN182),IF($L$3=$AJ$18,'Statement of Marks'!FW182,IF($L$3=$AJ$19,'Statement of Marks'!GE182,"")))))))))))),"")</f>
        <v/>
      </c>
      <c r="Q183" s="812" t="str">
        <f t="shared" si="23"/>
        <v/>
      </c>
      <c r="R183" s="813">
        <f t="shared" si="28"/>
        <v>0</v>
      </c>
      <c r="S183" s="813" t="str">
        <f t="shared" si="24"/>
        <v/>
      </c>
      <c r="T183" s="813" t="str">
        <f t="shared" si="25"/>
        <v/>
      </c>
      <c r="U183" s="814" t="str">
        <f t="shared" si="26"/>
        <v/>
      </c>
      <c r="V183" s="815" t="str">
        <f t="shared" si="27"/>
        <v/>
      </c>
      <c r="W183" s="816" t="str">
        <f t="shared" si="29"/>
        <v/>
      </c>
    </row>
    <row r="184" spans="1:23">
      <c r="A184" s="803">
        <f>IF('Statement of Marks'!A183="","",'Statement of Marks'!A183)</f>
        <v>177</v>
      </c>
      <c r="B184" s="804" t="str">
        <f>IF(OR($D$3="",$L$3=""),"",IF('Statement of Marks'!B183="","",'Statement of Marks'!B183))</f>
        <v/>
      </c>
      <c r="C184" s="805" t="str">
        <f>IF(OR($D$3="",$L$3=""),"",IF('Statement of Marks'!D183="","",'Statement of Marks'!D183))</f>
        <v/>
      </c>
      <c r="D184" s="806" t="str">
        <f>IF(OR($D$3="",$L$3=""),"",IF('Statement of Marks'!E183="","",'Statement of Marks'!E183))</f>
        <v/>
      </c>
      <c r="E184" s="807" t="str">
        <f>IF(OR($D$3="",$L$3=""),"",IF('Statement of Marks'!F183="","",'Statement of Marks'!F183))</f>
        <v/>
      </c>
      <c r="F184" s="807" t="str">
        <f>IF(OR($D$3="",$L$3=""),"",IF('Statement of Marks'!G183="","",'Statement of Marks'!G183))</f>
        <v/>
      </c>
      <c r="G184" s="807" t="str">
        <f>IF(OR($D$3="",$L$3=""),"",IF('Statement of Marks'!H183="","",'Statement of Marks'!H183))</f>
        <v/>
      </c>
      <c r="H184" s="808" t="str">
        <f>IF(OR($D$3="",$L$3=""),"",IF('Statement of Marks'!I183="","",'Statement of Marks'!I183))</f>
        <v/>
      </c>
      <c r="I184" s="808" t="str">
        <f>IF(OR($D$3="",$L$3=""),"",IF('Statement of Marks'!J183="","",'Statement of Marks'!J183))</f>
        <v/>
      </c>
      <c r="J184" s="809" t="str">
        <f>IFERROR(IF($L$3=$AJ$8,'Statement of Marks'!K183,IF($L$3=$AJ$9,'Statement of Marks'!Y183,IF($L$3=$AJ$10,'Statement of Marks'!AN183,IF($L$3=$AJ$11,'Statement of Marks'!BB183,IF($L$3=$AJ$12,'Statement of Marks'!BP183,IF($L$3=$AJ$13,'Statement of Marks'!CE183,IF($L$3=$AJ$14,'Statement of Marks'!CT183,IF($L$3=$AJ$15,'Statement of Marks'!DZ183,IF($L$3=$AJ$16,'Statement of Marks'!EL183,IF($L$3=$AJ$17,('Statement of Marks'!FB183+'Statement of Marks'!FC183),"")))))))))),"")</f>
        <v/>
      </c>
      <c r="K184" s="809" t="str">
        <f>IFERROR(IF($L$3=$AJ$8,'Statement of Marks'!L183,IF($L$3=$AJ$9,'Statement of Marks'!Z183,IF($L$3=$AJ$10,'Statement of Marks'!AO183,IF($L$3=$AJ$11,'Statement of Marks'!BC183,IF($L$3=$AJ$12,'Statement of Marks'!BQ183,IF($L$3=$AJ$13,'Statement of Marks'!CF183,IF($L$3=$AJ$14,'Statement of Marks'!CU183,IF($L$3=$AJ$15,'Statement of Marks'!EA183,IF($L$3=$AJ$16,'Statement of Marks'!EM183,IF($L$3=$AJ$17,('Statement of Marks'!FD183+'Statement of Marks'!FE183),"")))))))))),"")</f>
        <v/>
      </c>
      <c r="L184" s="809" t="str">
        <f>IFERROR(IF($L$3=$AJ$8,'Statement of Marks'!M183,IF($L$3=$AJ$9,'Statement of Marks'!AA183,IF($L$3=$AJ$10,'Statement of Marks'!AP183,IF($L$3=$AJ$11,'Statement of Marks'!BD183,IF($L$3=$AJ$12,'Statement of Marks'!BR183,IF($L$3=$AJ$13,'Statement of Marks'!CG183,IF($L$3=$AJ$14,'Statement of Marks'!CV183,IF($L$3=$AJ$15,'Statement of Marks'!EB183,IF($L$3=$AJ$16,'Statement of Marks'!EN183,IF($L$3=$AJ$17,('Statement of Marks'!FF183+'Statement of Marks'!FG183),"")))))))))),"")</f>
        <v/>
      </c>
      <c r="M184" s="810">
        <f t="shared" si="20"/>
        <v>0</v>
      </c>
      <c r="N184" s="809" t="str">
        <f>IFERROR(IF($L$3=$AJ$8,'Statement of Marks'!O183,IF($L$3=$AJ$9,'Statement of Marks'!AC183,IF($L$3=$AJ$10,'Statement of Marks'!AR183,IF($L$3=$AJ$11,'Statement of Marks'!BF183,IF($L$3=$AJ$12,'Statement of Marks'!BT183,IF($L$3=$AJ$13,'Statement of Marks'!CI183,IF($L$3=$AJ$14,('Statement of Marks'!CX183+'Statement of Marks'!CY183),IF($L$3=$AJ$15,'Statement of Marks'!ED183,IF($L$3=$AJ$16,('Statement of Marks'!EP183+'Statement of Marks'!EQ183),IF($L$3=$AJ$17,('Statement of Marks'!FI183+'Statement of Marks'!FJ183),IF($L$3=$AJ$18,'Statement of Marks'!FU183,IF($L$3=$AJ$19,'Statement of Marks'!GC183,"")))))))))))),"")</f>
        <v/>
      </c>
      <c r="O184" s="811">
        <f>IF($L$3=$AJ$18,'Statement of Marks'!FV183,IF($L$3=$AJ$19,'Statement of Marks'!GD183,IF(AND(M184="NA",N184="NA"),"NA",IF(AND(M184="",N184=""),"",SUM(M184,N184)))))</f>
        <v>0</v>
      </c>
      <c r="P184" s="809" t="str">
        <f>IFERROR(IF($L$3=$AJ$8,'Statement of Marks'!Q183,IF($L$3=$AJ$9,'Statement of Marks'!AE183,IF($L$3=$AJ$10,'Statement of Marks'!AT183,IF($L$3=$AJ$11,'Statement of Marks'!BH183,IF($L$3=$AJ$12,'Statement of Marks'!BV183,IF($L$3=$AJ$13,'Statement of Marks'!CK183,IF($L$3=$AJ$14,('Statement of Marks'!DB183+'Statement of Marks'!DC183),IF($L$3=$AJ$15,'Statement of Marks'!EF183,IF($L$3=$AJ$16,('Statement of Marks'!ET183+'Statement of Marks'!EU183),IF($L$3=$AJ$17,('Statement of Marks'!FM183+'Statement of Marks'!FN183),IF($L$3=$AJ$18,'Statement of Marks'!FW183,IF($L$3=$AJ$19,'Statement of Marks'!GE183,"")))))))))))),"")</f>
        <v/>
      </c>
      <c r="Q184" s="812" t="str">
        <f t="shared" si="23"/>
        <v/>
      </c>
      <c r="R184" s="813">
        <f t="shared" si="28"/>
        <v>0</v>
      </c>
      <c r="S184" s="813" t="str">
        <f t="shared" si="24"/>
        <v/>
      </c>
      <c r="T184" s="813" t="str">
        <f t="shared" si="25"/>
        <v/>
      </c>
      <c r="U184" s="814" t="str">
        <f t="shared" si="26"/>
        <v/>
      </c>
      <c r="V184" s="815" t="str">
        <f t="shared" si="27"/>
        <v/>
      </c>
      <c r="W184" s="816" t="str">
        <f t="shared" si="29"/>
        <v/>
      </c>
    </row>
    <row r="185" spans="1:23">
      <c r="A185" s="803">
        <f>IF('Statement of Marks'!A184="","",'Statement of Marks'!A184)</f>
        <v>178</v>
      </c>
      <c r="B185" s="804" t="str">
        <f>IF(OR($D$3="",$L$3=""),"",IF('Statement of Marks'!B184="","",'Statement of Marks'!B184))</f>
        <v/>
      </c>
      <c r="C185" s="805" t="str">
        <f>IF(OR($D$3="",$L$3=""),"",IF('Statement of Marks'!D184="","",'Statement of Marks'!D184))</f>
        <v/>
      </c>
      <c r="D185" s="806" t="str">
        <f>IF(OR($D$3="",$L$3=""),"",IF('Statement of Marks'!E184="","",'Statement of Marks'!E184))</f>
        <v/>
      </c>
      <c r="E185" s="807" t="str">
        <f>IF(OR($D$3="",$L$3=""),"",IF('Statement of Marks'!F184="","",'Statement of Marks'!F184))</f>
        <v/>
      </c>
      <c r="F185" s="807" t="str">
        <f>IF(OR($D$3="",$L$3=""),"",IF('Statement of Marks'!G184="","",'Statement of Marks'!G184))</f>
        <v/>
      </c>
      <c r="G185" s="807" t="str">
        <f>IF(OR($D$3="",$L$3=""),"",IF('Statement of Marks'!H184="","",'Statement of Marks'!H184))</f>
        <v/>
      </c>
      <c r="H185" s="808" t="str">
        <f>IF(OR($D$3="",$L$3=""),"",IF('Statement of Marks'!I184="","",'Statement of Marks'!I184))</f>
        <v/>
      </c>
      <c r="I185" s="808" t="str">
        <f>IF(OR($D$3="",$L$3=""),"",IF('Statement of Marks'!J184="","",'Statement of Marks'!J184))</f>
        <v/>
      </c>
      <c r="J185" s="809" t="str">
        <f>IFERROR(IF($L$3=$AJ$8,'Statement of Marks'!K184,IF($L$3=$AJ$9,'Statement of Marks'!Y184,IF($L$3=$AJ$10,'Statement of Marks'!AN184,IF($L$3=$AJ$11,'Statement of Marks'!BB184,IF($L$3=$AJ$12,'Statement of Marks'!BP184,IF($L$3=$AJ$13,'Statement of Marks'!CE184,IF($L$3=$AJ$14,'Statement of Marks'!CT184,IF($L$3=$AJ$15,'Statement of Marks'!DZ184,IF($L$3=$AJ$16,'Statement of Marks'!EL184,IF($L$3=$AJ$17,('Statement of Marks'!FB184+'Statement of Marks'!FC184),"")))))))))),"")</f>
        <v/>
      </c>
      <c r="K185" s="809" t="str">
        <f>IFERROR(IF($L$3=$AJ$8,'Statement of Marks'!L184,IF($L$3=$AJ$9,'Statement of Marks'!Z184,IF($L$3=$AJ$10,'Statement of Marks'!AO184,IF($L$3=$AJ$11,'Statement of Marks'!BC184,IF($L$3=$AJ$12,'Statement of Marks'!BQ184,IF($L$3=$AJ$13,'Statement of Marks'!CF184,IF($L$3=$AJ$14,'Statement of Marks'!CU184,IF($L$3=$AJ$15,'Statement of Marks'!EA184,IF($L$3=$AJ$16,'Statement of Marks'!EM184,IF($L$3=$AJ$17,('Statement of Marks'!FD184+'Statement of Marks'!FE184),"")))))))))),"")</f>
        <v/>
      </c>
      <c r="L185" s="809" t="str">
        <f>IFERROR(IF($L$3=$AJ$8,'Statement of Marks'!M184,IF($L$3=$AJ$9,'Statement of Marks'!AA184,IF($L$3=$AJ$10,'Statement of Marks'!AP184,IF($L$3=$AJ$11,'Statement of Marks'!BD184,IF($L$3=$AJ$12,'Statement of Marks'!BR184,IF($L$3=$AJ$13,'Statement of Marks'!CG184,IF($L$3=$AJ$14,'Statement of Marks'!CV184,IF($L$3=$AJ$15,'Statement of Marks'!EB184,IF($L$3=$AJ$16,'Statement of Marks'!EN184,IF($L$3=$AJ$17,('Statement of Marks'!FF184+'Statement of Marks'!FG184),"")))))))))),"")</f>
        <v/>
      </c>
      <c r="M185" s="810">
        <f t="shared" si="20"/>
        <v>0</v>
      </c>
      <c r="N185" s="809" t="str">
        <f>IFERROR(IF($L$3=$AJ$8,'Statement of Marks'!O184,IF($L$3=$AJ$9,'Statement of Marks'!AC184,IF($L$3=$AJ$10,'Statement of Marks'!AR184,IF($L$3=$AJ$11,'Statement of Marks'!BF184,IF($L$3=$AJ$12,'Statement of Marks'!BT184,IF($L$3=$AJ$13,'Statement of Marks'!CI184,IF($L$3=$AJ$14,('Statement of Marks'!CX184+'Statement of Marks'!CY184),IF($L$3=$AJ$15,'Statement of Marks'!ED184,IF($L$3=$AJ$16,('Statement of Marks'!EP184+'Statement of Marks'!EQ184),IF($L$3=$AJ$17,('Statement of Marks'!FI184+'Statement of Marks'!FJ184),IF($L$3=$AJ$18,'Statement of Marks'!FU184,IF($L$3=$AJ$19,'Statement of Marks'!GC184,"")))))))))))),"")</f>
        <v/>
      </c>
      <c r="O185" s="811">
        <f>IF($L$3=$AJ$18,'Statement of Marks'!FV184,IF($L$3=$AJ$19,'Statement of Marks'!GD184,IF(AND(M185="NA",N185="NA"),"NA",IF(AND(M185="",N185=""),"",SUM(M185,N185)))))</f>
        <v>0</v>
      </c>
      <c r="P185" s="809" t="str">
        <f>IFERROR(IF($L$3=$AJ$8,'Statement of Marks'!Q184,IF($L$3=$AJ$9,'Statement of Marks'!AE184,IF($L$3=$AJ$10,'Statement of Marks'!AT184,IF($L$3=$AJ$11,'Statement of Marks'!BH184,IF($L$3=$AJ$12,'Statement of Marks'!BV184,IF($L$3=$AJ$13,'Statement of Marks'!CK184,IF($L$3=$AJ$14,('Statement of Marks'!DB184+'Statement of Marks'!DC184),IF($L$3=$AJ$15,'Statement of Marks'!EF184,IF($L$3=$AJ$16,('Statement of Marks'!ET184+'Statement of Marks'!EU184),IF($L$3=$AJ$17,('Statement of Marks'!FM184+'Statement of Marks'!FN184),IF($L$3=$AJ$18,'Statement of Marks'!FW184,IF($L$3=$AJ$19,'Statement of Marks'!GE184,"")))))))))))),"")</f>
        <v/>
      </c>
      <c r="Q185" s="812" t="str">
        <f t="shared" si="23"/>
        <v/>
      </c>
      <c r="R185" s="813">
        <f t="shared" si="28"/>
        <v>0</v>
      </c>
      <c r="S185" s="813" t="str">
        <f t="shared" si="24"/>
        <v/>
      </c>
      <c r="T185" s="813" t="str">
        <f t="shared" si="25"/>
        <v/>
      </c>
      <c r="U185" s="814" t="str">
        <f t="shared" si="26"/>
        <v/>
      </c>
      <c r="V185" s="815" t="str">
        <f t="shared" si="27"/>
        <v/>
      </c>
      <c r="W185" s="816" t="str">
        <f t="shared" si="29"/>
        <v/>
      </c>
    </row>
    <row r="186" spans="1:23">
      <c r="A186" s="803">
        <f>IF('Statement of Marks'!A185="","",'Statement of Marks'!A185)</f>
        <v>179</v>
      </c>
      <c r="B186" s="804" t="str">
        <f>IF(OR($D$3="",$L$3=""),"",IF('Statement of Marks'!B185="","",'Statement of Marks'!B185))</f>
        <v/>
      </c>
      <c r="C186" s="805" t="str">
        <f>IF(OR($D$3="",$L$3=""),"",IF('Statement of Marks'!D185="","",'Statement of Marks'!D185))</f>
        <v/>
      </c>
      <c r="D186" s="806" t="str">
        <f>IF(OR($D$3="",$L$3=""),"",IF('Statement of Marks'!E185="","",'Statement of Marks'!E185))</f>
        <v/>
      </c>
      <c r="E186" s="807" t="str">
        <f>IF(OR($D$3="",$L$3=""),"",IF('Statement of Marks'!F185="","",'Statement of Marks'!F185))</f>
        <v/>
      </c>
      <c r="F186" s="807" t="str">
        <f>IF(OR($D$3="",$L$3=""),"",IF('Statement of Marks'!G185="","",'Statement of Marks'!G185))</f>
        <v/>
      </c>
      <c r="G186" s="807" t="str">
        <f>IF(OR($D$3="",$L$3=""),"",IF('Statement of Marks'!H185="","",'Statement of Marks'!H185))</f>
        <v/>
      </c>
      <c r="H186" s="808" t="str">
        <f>IF(OR($D$3="",$L$3=""),"",IF('Statement of Marks'!I185="","",'Statement of Marks'!I185))</f>
        <v/>
      </c>
      <c r="I186" s="808" t="str">
        <f>IF(OR($D$3="",$L$3=""),"",IF('Statement of Marks'!J185="","",'Statement of Marks'!J185))</f>
        <v/>
      </c>
      <c r="J186" s="809" t="str">
        <f>IFERROR(IF($L$3=$AJ$8,'Statement of Marks'!K185,IF($L$3=$AJ$9,'Statement of Marks'!Y185,IF($L$3=$AJ$10,'Statement of Marks'!AN185,IF($L$3=$AJ$11,'Statement of Marks'!BB185,IF($L$3=$AJ$12,'Statement of Marks'!BP185,IF($L$3=$AJ$13,'Statement of Marks'!CE185,IF($L$3=$AJ$14,'Statement of Marks'!CT185,IF($L$3=$AJ$15,'Statement of Marks'!DZ185,IF($L$3=$AJ$16,'Statement of Marks'!EL185,IF($L$3=$AJ$17,('Statement of Marks'!FB185+'Statement of Marks'!FC185),"")))))))))),"")</f>
        <v/>
      </c>
      <c r="K186" s="809" t="str">
        <f>IFERROR(IF($L$3=$AJ$8,'Statement of Marks'!L185,IF($L$3=$AJ$9,'Statement of Marks'!Z185,IF($L$3=$AJ$10,'Statement of Marks'!AO185,IF($L$3=$AJ$11,'Statement of Marks'!BC185,IF($L$3=$AJ$12,'Statement of Marks'!BQ185,IF($L$3=$AJ$13,'Statement of Marks'!CF185,IF($L$3=$AJ$14,'Statement of Marks'!CU185,IF($L$3=$AJ$15,'Statement of Marks'!EA185,IF($L$3=$AJ$16,'Statement of Marks'!EM185,IF($L$3=$AJ$17,('Statement of Marks'!FD185+'Statement of Marks'!FE185),"")))))))))),"")</f>
        <v/>
      </c>
      <c r="L186" s="809" t="str">
        <f>IFERROR(IF($L$3=$AJ$8,'Statement of Marks'!M185,IF($L$3=$AJ$9,'Statement of Marks'!AA185,IF($L$3=$AJ$10,'Statement of Marks'!AP185,IF($L$3=$AJ$11,'Statement of Marks'!BD185,IF($L$3=$AJ$12,'Statement of Marks'!BR185,IF($L$3=$AJ$13,'Statement of Marks'!CG185,IF($L$3=$AJ$14,'Statement of Marks'!CV185,IF($L$3=$AJ$15,'Statement of Marks'!EB185,IF($L$3=$AJ$16,'Statement of Marks'!EN185,IF($L$3=$AJ$17,('Statement of Marks'!FF185+'Statement of Marks'!FG185),"")))))))))),"")</f>
        <v/>
      </c>
      <c r="M186" s="810">
        <f t="shared" si="20"/>
        <v>0</v>
      </c>
      <c r="N186" s="809" t="str">
        <f>IFERROR(IF($L$3=$AJ$8,'Statement of Marks'!O185,IF($L$3=$AJ$9,'Statement of Marks'!AC185,IF($L$3=$AJ$10,'Statement of Marks'!AR185,IF($L$3=$AJ$11,'Statement of Marks'!BF185,IF($L$3=$AJ$12,'Statement of Marks'!BT185,IF($L$3=$AJ$13,'Statement of Marks'!CI185,IF($L$3=$AJ$14,('Statement of Marks'!CX185+'Statement of Marks'!CY185),IF($L$3=$AJ$15,'Statement of Marks'!ED185,IF($L$3=$AJ$16,('Statement of Marks'!EP185+'Statement of Marks'!EQ185),IF($L$3=$AJ$17,('Statement of Marks'!FI185+'Statement of Marks'!FJ185),IF($L$3=$AJ$18,'Statement of Marks'!FU185,IF($L$3=$AJ$19,'Statement of Marks'!GC185,"")))))))))))),"")</f>
        <v/>
      </c>
      <c r="O186" s="811">
        <f>IF($L$3=$AJ$18,'Statement of Marks'!FV185,IF($L$3=$AJ$19,'Statement of Marks'!GD185,IF(AND(M186="NA",N186="NA"),"NA",IF(AND(M186="",N186=""),"",SUM(M186,N186)))))</f>
        <v>0</v>
      </c>
      <c r="P186" s="809" t="str">
        <f>IFERROR(IF($L$3=$AJ$8,'Statement of Marks'!Q185,IF($L$3=$AJ$9,'Statement of Marks'!AE185,IF($L$3=$AJ$10,'Statement of Marks'!AT185,IF($L$3=$AJ$11,'Statement of Marks'!BH185,IF($L$3=$AJ$12,'Statement of Marks'!BV185,IF($L$3=$AJ$13,'Statement of Marks'!CK185,IF($L$3=$AJ$14,('Statement of Marks'!DB185+'Statement of Marks'!DC185),IF($L$3=$AJ$15,'Statement of Marks'!EF185,IF($L$3=$AJ$16,('Statement of Marks'!ET185+'Statement of Marks'!EU185),IF($L$3=$AJ$17,('Statement of Marks'!FM185+'Statement of Marks'!FN185),IF($L$3=$AJ$18,'Statement of Marks'!FW185,IF($L$3=$AJ$19,'Statement of Marks'!GE185,"")))))))))))),"")</f>
        <v/>
      </c>
      <c r="Q186" s="812" t="str">
        <f t="shared" si="23"/>
        <v/>
      </c>
      <c r="R186" s="813">
        <f t="shared" si="28"/>
        <v>0</v>
      </c>
      <c r="S186" s="813" t="str">
        <f t="shared" si="24"/>
        <v/>
      </c>
      <c r="T186" s="813" t="str">
        <f t="shared" si="25"/>
        <v/>
      </c>
      <c r="U186" s="814" t="str">
        <f t="shared" si="26"/>
        <v/>
      </c>
      <c r="V186" s="815" t="str">
        <f t="shared" si="27"/>
        <v/>
      </c>
      <c r="W186" s="816" t="str">
        <f t="shared" si="29"/>
        <v/>
      </c>
    </row>
    <row r="187" spans="1:23">
      <c r="A187" s="803">
        <f>IF('Statement of Marks'!A186="","",'Statement of Marks'!A186)</f>
        <v>180</v>
      </c>
      <c r="B187" s="804" t="str">
        <f>IF(OR($D$3="",$L$3=""),"",IF('Statement of Marks'!B186="","",'Statement of Marks'!B186))</f>
        <v/>
      </c>
      <c r="C187" s="805" t="str">
        <f>IF(OR($D$3="",$L$3=""),"",IF('Statement of Marks'!D186="","",'Statement of Marks'!D186))</f>
        <v/>
      </c>
      <c r="D187" s="806" t="str">
        <f>IF(OR($D$3="",$L$3=""),"",IF('Statement of Marks'!E186="","",'Statement of Marks'!E186))</f>
        <v/>
      </c>
      <c r="E187" s="807" t="str">
        <f>IF(OR($D$3="",$L$3=""),"",IF('Statement of Marks'!F186="","",'Statement of Marks'!F186))</f>
        <v/>
      </c>
      <c r="F187" s="807" t="str">
        <f>IF(OR($D$3="",$L$3=""),"",IF('Statement of Marks'!G186="","",'Statement of Marks'!G186))</f>
        <v/>
      </c>
      <c r="G187" s="807" t="str">
        <f>IF(OR($D$3="",$L$3=""),"",IF('Statement of Marks'!H186="","",'Statement of Marks'!H186))</f>
        <v/>
      </c>
      <c r="H187" s="808" t="str">
        <f>IF(OR($D$3="",$L$3=""),"",IF('Statement of Marks'!I186="","",'Statement of Marks'!I186))</f>
        <v/>
      </c>
      <c r="I187" s="808" t="str">
        <f>IF(OR($D$3="",$L$3=""),"",IF('Statement of Marks'!J186="","",'Statement of Marks'!J186))</f>
        <v/>
      </c>
      <c r="J187" s="809" t="str">
        <f>IFERROR(IF($L$3=$AJ$8,'Statement of Marks'!K186,IF($L$3=$AJ$9,'Statement of Marks'!Y186,IF($L$3=$AJ$10,'Statement of Marks'!AN186,IF($L$3=$AJ$11,'Statement of Marks'!BB186,IF($L$3=$AJ$12,'Statement of Marks'!BP186,IF($L$3=$AJ$13,'Statement of Marks'!CE186,IF($L$3=$AJ$14,'Statement of Marks'!CT186,IF($L$3=$AJ$15,'Statement of Marks'!DZ186,IF($L$3=$AJ$16,'Statement of Marks'!EL186,IF($L$3=$AJ$17,('Statement of Marks'!FB186+'Statement of Marks'!FC186),"")))))))))),"")</f>
        <v/>
      </c>
      <c r="K187" s="809" t="str">
        <f>IFERROR(IF($L$3=$AJ$8,'Statement of Marks'!L186,IF($L$3=$AJ$9,'Statement of Marks'!Z186,IF($L$3=$AJ$10,'Statement of Marks'!AO186,IF($L$3=$AJ$11,'Statement of Marks'!BC186,IF($L$3=$AJ$12,'Statement of Marks'!BQ186,IF($L$3=$AJ$13,'Statement of Marks'!CF186,IF($L$3=$AJ$14,'Statement of Marks'!CU186,IF($L$3=$AJ$15,'Statement of Marks'!EA186,IF($L$3=$AJ$16,'Statement of Marks'!EM186,IF($L$3=$AJ$17,('Statement of Marks'!FD186+'Statement of Marks'!FE186),"")))))))))),"")</f>
        <v/>
      </c>
      <c r="L187" s="809" t="str">
        <f>IFERROR(IF($L$3=$AJ$8,'Statement of Marks'!M186,IF($L$3=$AJ$9,'Statement of Marks'!AA186,IF($L$3=$AJ$10,'Statement of Marks'!AP186,IF($L$3=$AJ$11,'Statement of Marks'!BD186,IF($L$3=$AJ$12,'Statement of Marks'!BR186,IF($L$3=$AJ$13,'Statement of Marks'!CG186,IF($L$3=$AJ$14,'Statement of Marks'!CV186,IF($L$3=$AJ$15,'Statement of Marks'!EB186,IF($L$3=$AJ$16,'Statement of Marks'!EN186,IF($L$3=$AJ$17,('Statement of Marks'!FF186+'Statement of Marks'!FG186),"")))))))))),"")</f>
        <v/>
      </c>
      <c r="M187" s="810">
        <f t="shared" si="20"/>
        <v>0</v>
      </c>
      <c r="N187" s="809" t="str">
        <f>IFERROR(IF($L$3=$AJ$8,'Statement of Marks'!O186,IF($L$3=$AJ$9,'Statement of Marks'!AC186,IF($L$3=$AJ$10,'Statement of Marks'!AR186,IF($L$3=$AJ$11,'Statement of Marks'!BF186,IF($L$3=$AJ$12,'Statement of Marks'!BT186,IF($L$3=$AJ$13,'Statement of Marks'!CI186,IF($L$3=$AJ$14,('Statement of Marks'!CX186+'Statement of Marks'!CY186),IF($L$3=$AJ$15,'Statement of Marks'!ED186,IF($L$3=$AJ$16,('Statement of Marks'!EP186+'Statement of Marks'!EQ186),IF($L$3=$AJ$17,('Statement of Marks'!FI186+'Statement of Marks'!FJ186),IF($L$3=$AJ$18,'Statement of Marks'!FU186,IF($L$3=$AJ$19,'Statement of Marks'!GC186,"")))))))))))),"")</f>
        <v/>
      </c>
      <c r="O187" s="811">
        <f>IF($L$3=$AJ$18,'Statement of Marks'!FV186,IF($L$3=$AJ$19,'Statement of Marks'!GD186,IF(AND(M187="NA",N187="NA"),"NA",IF(AND(M187="",N187=""),"",SUM(M187,N187)))))</f>
        <v>0</v>
      </c>
      <c r="P187" s="809" t="str">
        <f>IFERROR(IF($L$3=$AJ$8,'Statement of Marks'!Q186,IF($L$3=$AJ$9,'Statement of Marks'!AE186,IF($L$3=$AJ$10,'Statement of Marks'!AT186,IF($L$3=$AJ$11,'Statement of Marks'!BH186,IF($L$3=$AJ$12,'Statement of Marks'!BV186,IF($L$3=$AJ$13,'Statement of Marks'!CK186,IF($L$3=$AJ$14,('Statement of Marks'!DB186+'Statement of Marks'!DC186),IF($L$3=$AJ$15,'Statement of Marks'!EF186,IF($L$3=$AJ$16,('Statement of Marks'!ET186+'Statement of Marks'!EU186),IF($L$3=$AJ$17,('Statement of Marks'!FM186+'Statement of Marks'!FN186),IF($L$3=$AJ$18,'Statement of Marks'!FW186,IF($L$3=$AJ$19,'Statement of Marks'!GE186,"")))))))))))),"")</f>
        <v/>
      </c>
      <c r="Q187" s="812" t="str">
        <f t="shared" si="23"/>
        <v/>
      </c>
      <c r="R187" s="813">
        <f t="shared" si="28"/>
        <v>0</v>
      </c>
      <c r="S187" s="813" t="str">
        <f t="shared" si="24"/>
        <v/>
      </c>
      <c r="T187" s="813" t="str">
        <f t="shared" si="25"/>
        <v/>
      </c>
      <c r="U187" s="814" t="str">
        <f t="shared" si="26"/>
        <v/>
      </c>
      <c r="V187" s="815" t="str">
        <f t="shared" si="27"/>
        <v/>
      </c>
      <c r="W187" s="816" t="str">
        <f t="shared" si="29"/>
        <v/>
      </c>
    </row>
    <row r="188" spans="1:23">
      <c r="A188" s="803">
        <f>IF('Statement of Marks'!A187="","",'Statement of Marks'!A187)</f>
        <v>181</v>
      </c>
      <c r="B188" s="804" t="str">
        <f>IF(OR($D$3="",$L$3=""),"",IF('Statement of Marks'!B187="","",'Statement of Marks'!B187))</f>
        <v/>
      </c>
      <c r="C188" s="805" t="str">
        <f>IF(OR($D$3="",$L$3=""),"",IF('Statement of Marks'!D187="","",'Statement of Marks'!D187))</f>
        <v/>
      </c>
      <c r="D188" s="806" t="str">
        <f>IF(OR($D$3="",$L$3=""),"",IF('Statement of Marks'!E187="","",'Statement of Marks'!E187))</f>
        <v/>
      </c>
      <c r="E188" s="807" t="str">
        <f>IF(OR($D$3="",$L$3=""),"",IF('Statement of Marks'!F187="","",'Statement of Marks'!F187))</f>
        <v/>
      </c>
      <c r="F188" s="807" t="str">
        <f>IF(OR($D$3="",$L$3=""),"",IF('Statement of Marks'!G187="","",'Statement of Marks'!G187))</f>
        <v/>
      </c>
      <c r="G188" s="807" t="str">
        <f>IF(OR($D$3="",$L$3=""),"",IF('Statement of Marks'!H187="","",'Statement of Marks'!H187))</f>
        <v/>
      </c>
      <c r="H188" s="808" t="str">
        <f>IF(OR($D$3="",$L$3=""),"",IF('Statement of Marks'!I187="","",'Statement of Marks'!I187))</f>
        <v/>
      </c>
      <c r="I188" s="808" t="str">
        <f>IF(OR($D$3="",$L$3=""),"",IF('Statement of Marks'!J187="","",'Statement of Marks'!J187))</f>
        <v/>
      </c>
      <c r="J188" s="809" t="str">
        <f>IFERROR(IF($L$3=$AJ$8,'Statement of Marks'!K187,IF($L$3=$AJ$9,'Statement of Marks'!Y187,IF($L$3=$AJ$10,'Statement of Marks'!AN187,IF($L$3=$AJ$11,'Statement of Marks'!BB187,IF($L$3=$AJ$12,'Statement of Marks'!BP187,IF($L$3=$AJ$13,'Statement of Marks'!CE187,IF($L$3=$AJ$14,'Statement of Marks'!CT187,IF($L$3=$AJ$15,'Statement of Marks'!DZ187,IF($L$3=$AJ$16,'Statement of Marks'!EL187,IF($L$3=$AJ$17,('Statement of Marks'!FB187+'Statement of Marks'!FC187),"")))))))))),"")</f>
        <v/>
      </c>
      <c r="K188" s="809" t="str">
        <f>IFERROR(IF($L$3=$AJ$8,'Statement of Marks'!L187,IF($L$3=$AJ$9,'Statement of Marks'!Z187,IF($L$3=$AJ$10,'Statement of Marks'!AO187,IF($L$3=$AJ$11,'Statement of Marks'!BC187,IF($L$3=$AJ$12,'Statement of Marks'!BQ187,IF($L$3=$AJ$13,'Statement of Marks'!CF187,IF($L$3=$AJ$14,'Statement of Marks'!CU187,IF($L$3=$AJ$15,'Statement of Marks'!EA187,IF($L$3=$AJ$16,'Statement of Marks'!EM187,IF($L$3=$AJ$17,('Statement of Marks'!FD187+'Statement of Marks'!FE187),"")))))))))),"")</f>
        <v/>
      </c>
      <c r="L188" s="809" t="str">
        <f>IFERROR(IF($L$3=$AJ$8,'Statement of Marks'!M187,IF($L$3=$AJ$9,'Statement of Marks'!AA187,IF($L$3=$AJ$10,'Statement of Marks'!AP187,IF($L$3=$AJ$11,'Statement of Marks'!BD187,IF($L$3=$AJ$12,'Statement of Marks'!BR187,IF($L$3=$AJ$13,'Statement of Marks'!CG187,IF($L$3=$AJ$14,'Statement of Marks'!CV187,IF($L$3=$AJ$15,'Statement of Marks'!EB187,IF($L$3=$AJ$16,'Statement of Marks'!EN187,IF($L$3=$AJ$17,('Statement of Marks'!FF187+'Statement of Marks'!FG187),"")))))))))),"")</f>
        <v/>
      </c>
      <c r="M188" s="810">
        <f t="shared" si="20"/>
        <v>0</v>
      </c>
      <c r="N188" s="809" t="str">
        <f>IFERROR(IF($L$3=$AJ$8,'Statement of Marks'!O187,IF($L$3=$AJ$9,'Statement of Marks'!AC187,IF($L$3=$AJ$10,'Statement of Marks'!AR187,IF($L$3=$AJ$11,'Statement of Marks'!BF187,IF($L$3=$AJ$12,'Statement of Marks'!BT187,IF($L$3=$AJ$13,'Statement of Marks'!CI187,IF($L$3=$AJ$14,('Statement of Marks'!CX187+'Statement of Marks'!CY187),IF($L$3=$AJ$15,'Statement of Marks'!ED187,IF($L$3=$AJ$16,('Statement of Marks'!EP187+'Statement of Marks'!EQ187),IF($L$3=$AJ$17,('Statement of Marks'!FI187+'Statement of Marks'!FJ187),IF($L$3=$AJ$18,'Statement of Marks'!FU187,IF($L$3=$AJ$19,'Statement of Marks'!GC187,"")))))))))))),"")</f>
        <v/>
      </c>
      <c r="O188" s="811">
        <f>IF($L$3=$AJ$18,'Statement of Marks'!FV187,IF($L$3=$AJ$19,'Statement of Marks'!GD187,IF(AND(M188="NA",N188="NA"),"NA",IF(AND(M188="",N188=""),"",SUM(M188,N188)))))</f>
        <v>0</v>
      </c>
      <c r="P188" s="809" t="str">
        <f>IFERROR(IF($L$3=$AJ$8,'Statement of Marks'!Q187,IF($L$3=$AJ$9,'Statement of Marks'!AE187,IF($L$3=$AJ$10,'Statement of Marks'!AT187,IF($L$3=$AJ$11,'Statement of Marks'!BH187,IF($L$3=$AJ$12,'Statement of Marks'!BV187,IF($L$3=$AJ$13,'Statement of Marks'!CK187,IF($L$3=$AJ$14,('Statement of Marks'!DB187+'Statement of Marks'!DC187),IF($L$3=$AJ$15,'Statement of Marks'!EF187,IF($L$3=$AJ$16,('Statement of Marks'!ET187+'Statement of Marks'!EU187),IF($L$3=$AJ$17,('Statement of Marks'!FM187+'Statement of Marks'!FN187),IF($L$3=$AJ$18,'Statement of Marks'!FW187,IF($L$3=$AJ$19,'Statement of Marks'!GE187,"")))))))))))),"")</f>
        <v/>
      </c>
      <c r="Q188" s="812" t="str">
        <f t="shared" si="23"/>
        <v/>
      </c>
      <c r="R188" s="813">
        <f t="shared" si="28"/>
        <v>0</v>
      </c>
      <c r="S188" s="813" t="str">
        <f t="shared" si="24"/>
        <v/>
      </c>
      <c r="T188" s="813" t="str">
        <f t="shared" si="25"/>
        <v/>
      </c>
      <c r="U188" s="814" t="str">
        <f t="shared" si="26"/>
        <v/>
      </c>
      <c r="V188" s="815" t="str">
        <f t="shared" si="27"/>
        <v/>
      </c>
      <c r="W188" s="816" t="str">
        <f t="shared" si="29"/>
        <v/>
      </c>
    </row>
    <row r="189" spans="1:23">
      <c r="A189" s="803">
        <f>IF('Statement of Marks'!A188="","",'Statement of Marks'!A188)</f>
        <v>182</v>
      </c>
      <c r="B189" s="804" t="str">
        <f>IF(OR($D$3="",$L$3=""),"",IF('Statement of Marks'!B188="","",'Statement of Marks'!B188))</f>
        <v/>
      </c>
      <c r="C189" s="805" t="str">
        <f>IF(OR($D$3="",$L$3=""),"",IF('Statement of Marks'!D188="","",'Statement of Marks'!D188))</f>
        <v/>
      </c>
      <c r="D189" s="806" t="str">
        <f>IF(OR($D$3="",$L$3=""),"",IF('Statement of Marks'!E188="","",'Statement of Marks'!E188))</f>
        <v/>
      </c>
      <c r="E189" s="807" t="str">
        <f>IF(OR($D$3="",$L$3=""),"",IF('Statement of Marks'!F188="","",'Statement of Marks'!F188))</f>
        <v/>
      </c>
      <c r="F189" s="807" t="str">
        <f>IF(OR($D$3="",$L$3=""),"",IF('Statement of Marks'!G188="","",'Statement of Marks'!G188))</f>
        <v/>
      </c>
      <c r="G189" s="807" t="str">
        <f>IF(OR($D$3="",$L$3=""),"",IF('Statement of Marks'!H188="","",'Statement of Marks'!H188))</f>
        <v/>
      </c>
      <c r="H189" s="808" t="str">
        <f>IF(OR($D$3="",$L$3=""),"",IF('Statement of Marks'!I188="","",'Statement of Marks'!I188))</f>
        <v/>
      </c>
      <c r="I189" s="808" t="str">
        <f>IF(OR($D$3="",$L$3=""),"",IF('Statement of Marks'!J188="","",'Statement of Marks'!J188))</f>
        <v/>
      </c>
      <c r="J189" s="809" t="str">
        <f>IFERROR(IF($L$3=$AJ$8,'Statement of Marks'!K188,IF($L$3=$AJ$9,'Statement of Marks'!Y188,IF($L$3=$AJ$10,'Statement of Marks'!AN188,IF($L$3=$AJ$11,'Statement of Marks'!BB188,IF($L$3=$AJ$12,'Statement of Marks'!BP188,IF($L$3=$AJ$13,'Statement of Marks'!CE188,IF($L$3=$AJ$14,'Statement of Marks'!CT188,IF($L$3=$AJ$15,'Statement of Marks'!DZ188,IF($L$3=$AJ$16,'Statement of Marks'!EL188,IF($L$3=$AJ$17,('Statement of Marks'!FB188+'Statement of Marks'!FC188),"")))))))))),"")</f>
        <v/>
      </c>
      <c r="K189" s="809" t="str">
        <f>IFERROR(IF($L$3=$AJ$8,'Statement of Marks'!L188,IF($L$3=$AJ$9,'Statement of Marks'!Z188,IF($L$3=$AJ$10,'Statement of Marks'!AO188,IF($L$3=$AJ$11,'Statement of Marks'!BC188,IF($L$3=$AJ$12,'Statement of Marks'!BQ188,IF($L$3=$AJ$13,'Statement of Marks'!CF188,IF($L$3=$AJ$14,'Statement of Marks'!CU188,IF($L$3=$AJ$15,'Statement of Marks'!EA188,IF($L$3=$AJ$16,'Statement of Marks'!EM188,IF($L$3=$AJ$17,('Statement of Marks'!FD188+'Statement of Marks'!FE188),"")))))))))),"")</f>
        <v/>
      </c>
      <c r="L189" s="809" t="str">
        <f>IFERROR(IF($L$3=$AJ$8,'Statement of Marks'!M188,IF($L$3=$AJ$9,'Statement of Marks'!AA188,IF($L$3=$AJ$10,'Statement of Marks'!AP188,IF($L$3=$AJ$11,'Statement of Marks'!BD188,IF($L$3=$AJ$12,'Statement of Marks'!BR188,IF($L$3=$AJ$13,'Statement of Marks'!CG188,IF($L$3=$AJ$14,'Statement of Marks'!CV188,IF($L$3=$AJ$15,'Statement of Marks'!EB188,IF($L$3=$AJ$16,'Statement of Marks'!EN188,IF($L$3=$AJ$17,('Statement of Marks'!FF188+'Statement of Marks'!FG188),"")))))))))),"")</f>
        <v/>
      </c>
      <c r="M189" s="810">
        <f t="shared" si="20"/>
        <v>0</v>
      </c>
      <c r="N189" s="809" t="str">
        <f>IFERROR(IF($L$3=$AJ$8,'Statement of Marks'!O188,IF($L$3=$AJ$9,'Statement of Marks'!AC188,IF($L$3=$AJ$10,'Statement of Marks'!AR188,IF($L$3=$AJ$11,'Statement of Marks'!BF188,IF($L$3=$AJ$12,'Statement of Marks'!BT188,IF($L$3=$AJ$13,'Statement of Marks'!CI188,IF($L$3=$AJ$14,('Statement of Marks'!CX188+'Statement of Marks'!CY188),IF($L$3=$AJ$15,'Statement of Marks'!ED188,IF($L$3=$AJ$16,('Statement of Marks'!EP188+'Statement of Marks'!EQ188),IF($L$3=$AJ$17,('Statement of Marks'!FI188+'Statement of Marks'!FJ188),IF($L$3=$AJ$18,'Statement of Marks'!FU188,IF($L$3=$AJ$19,'Statement of Marks'!GC188,"")))))))))))),"")</f>
        <v/>
      </c>
      <c r="O189" s="811">
        <f>IF($L$3=$AJ$18,'Statement of Marks'!FV188,IF($L$3=$AJ$19,'Statement of Marks'!GD188,IF(AND(M189="NA",N189="NA"),"NA",IF(AND(M189="",N189=""),"",SUM(M189,N189)))))</f>
        <v>0</v>
      </c>
      <c r="P189" s="809" t="str">
        <f>IFERROR(IF($L$3=$AJ$8,'Statement of Marks'!Q188,IF($L$3=$AJ$9,'Statement of Marks'!AE188,IF($L$3=$AJ$10,'Statement of Marks'!AT188,IF($L$3=$AJ$11,'Statement of Marks'!BH188,IF($L$3=$AJ$12,'Statement of Marks'!BV188,IF($L$3=$AJ$13,'Statement of Marks'!CK188,IF($L$3=$AJ$14,('Statement of Marks'!DB188+'Statement of Marks'!DC188),IF($L$3=$AJ$15,'Statement of Marks'!EF188,IF($L$3=$AJ$16,('Statement of Marks'!ET188+'Statement of Marks'!EU188),IF($L$3=$AJ$17,('Statement of Marks'!FM188+'Statement of Marks'!FN188),IF($L$3=$AJ$18,'Statement of Marks'!FW188,IF($L$3=$AJ$19,'Statement of Marks'!GE188,"")))))))))))),"")</f>
        <v/>
      </c>
      <c r="Q189" s="812" t="str">
        <f t="shared" si="23"/>
        <v/>
      </c>
      <c r="R189" s="813">
        <f t="shared" si="28"/>
        <v>0</v>
      </c>
      <c r="S189" s="813" t="str">
        <f t="shared" si="24"/>
        <v/>
      </c>
      <c r="T189" s="813" t="str">
        <f t="shared" si="25"/>
        <v/>
      </c>
      <c r="U189" s="814" t="str">
        <f t="shared" si="26"/>
        <v/>
      </c>
      <c r="V189" s="815" t="str">
        <f t="shared" si="27"/>
        <v/>
      </c>
      <c r="W189" s="816" t="str">
        <f t="shared" si="29"/>
        <v/>
      </c>
    </row>
    <row r="190" spans="1:23">
      <c r="A190" s="803">
        <f>IF('Statement of Marks'!A189="","",'Statement of Marks'!A189)</f>
        <v>183</v>
      </c>
      <c r="B190" s="804" t="str">
        <f>IF(OR($D$3="",$L$3=""),"",IF('Statement of Marks'!B189="","",'Statement of Marks'!B189))</f>
        <v/>
      </c>
      <c r="C190" s="805" t="str">
        <f>IF(OR($D$3="",$L$3=""),"",IF('Statement of Marks'!D189="","",'Statement of Marks'!D189))</f>
        <v/>
      </c>
      <c r="D190" s="806" t="str">
        <f>IF(OR($D$3="",$L$3=""),"",IF('Statement of Marks'!E189="","",'Statement of Marks'!E189))</f>
        <v/>
      </c>
      <c r="E190" s="807" t="str">
        <f>IF(OR($D$3="",$L$3=""),"",IF('Statement of Marks'!F189="","",'Statement of Marks'!F189))</f>
        <v/>
      </c>
      <c r="F190" s="807" t="str">
        <f>IF(OR($D$3="",$L$3=""),"",IF('Statement of Marks'!G189="","",'Statement of Marks'!G189))</f>
        <v/>
      </c>
      <c r="G190" s="807" t="str">
        <f>IF(OR($D$3="",$L$3=""),"",IF('Statement of Marks'!H189="","",'Statement of Marks'!H189))</f>
        <v/>
      </c>
      <c r="H190" s="808" t="str">
        <f>IF(OR($D$3="",$L$3=""),"",IF('Statement of Marks'!I189="","",'Statement of Marks'!I189))</f>
        <v/>
      </c>
      <c r="I190" s="808" t="str">
        <f>IF(OR($D$3="",$L$3=""),"",IF('Statement of Marks'!J189="","",'Statement of Marks'!J189))</f>
        <v/>
      </c>
      <c r="J190" s="809" t="str">
        <f>IFERROR(IF($L$3=$AJ$8,'Statement of Marks'!K189,IF($L$3=$AJ$9,'Statement of Marks'!Y189,IF($L$3=$AJ$10,'Statement of Marks'!AN189,IF($L$3=$AJ$11,'Statement of Marks'!BB189,IF($L$3=$AJ$12,'Statement of Marks'!BP189,IF($L$3=$AJ$13,'Statement of Marks'!CE189,IF($L$3=$AJ$14,'Statement of Marks'!CT189,IF($L$3=$AJ$15,'Statement of Marks'!DZ189,IF($L$3=$AJ$16,'Statement of Marks'!EL189,IF($L$3=$AJ$17,('Statement of Marks'!FB189+'Statement of Marks'!FC189),"")))))))))),"")</f>
        <v/>
      </c>
      <c r="K190" s="809" t="str">
        <f>IFERROR(IF($L$3=$AJ$8,'Statement of Marks'!L189,IF($L$3=$AJ$9,'Statement of Marks'!Z189,IF($L$3=$AJ$10,'Statement of Marks'!AO189,IF($L$3=$AJ$11,'Statement of Marks'!BC189,IF($L$3=$AJ$12,'Statement of Marks'!BQ189,IF($L$3=$AJ$13,'Statement of Marks'!CF189,IF($L$3=$AJ$14,'Statement of Marks'!CU189,IF($L$3=$AJ$15,'Statement of Marks'!EA189,IF($L$3=$AJ$16,'Statement of Marks'!EM189,IF($L$3=$AJ$17,('Statement of Marks'!FD189+'Statement of Marks'!FE189),"")))))))))),"")</f>
        <v/>
      </c>
      <c r="L190" s="809" t="str">
        <f>IFERROR(IF($L$3=$AJ$8,'Statement of Marks'!M189,IF($L$3=$AJ$9,'Statement of Marks'!AA189,IF($L$3=$AJ$10,'Statement of Marks'!AP189,IF($L$3=$AJ$11,'Statement of Marks'!BD189,IF($L$3=$AJ$12,'Statement of Marks'!BR189,IF($L$3=$AJ$13,'Statement of Marks'!CG189,IF($L$3=$AJ$14,'Statement of Marks'!CV189,IF($L$3=$AJ$15,'Statement of Marks'!EB189,IF($L$3=$AJ$16,'Statement of Marks'!EN189,IF($L$3=$AJ$17,('Statement of Marks'!FF189+'Statement of Marks'!FG189),"")))))))))),"")</f>
        <v/>
      </c>
      <c r="M190" s="810">
        <f t="shared" si="20"/>
        <v>0</v>
      </c>
      <c r="N190" s="809" t="str">
        <f>IFERROR(IF($L$3=$AJ$8,'Statement of Marks'!O189,IF($L$3=$AJ$9,'Statement of Marks'!AC189,IF($L$3=$AJ$10,'Statement of Marks'!AR189,IF($L$3=$AJ$11,'Statement of Marks'!BF189,IF($L$3=$AJ$12,'Statement of Marks'!BT189,IF($L$3=$AJ$13,'Statement of Marks'!CI189,IF($L$3=$AJ$14,('Statement of Marks'!CX189+'Statement of Marks'!CY189),IF($L$3=$AJ$15,'Statement of Marks'!ED189,IF($L$3=$AJ$16,('Statement of Marks'!EP189+'Statement of Marks'!EQ189),IF($L$3=$AJ$17,('Statement of Marks'!FI189+'Statement of Marks'!FJ189),IF($L$3=$AJ$18,'Statement of Marks'!FU189,IF($L$3=$AJ$19,'Statement of Marks'!GC189,"")))))))))))),"")</f>
        <v/>
      </c>
      <c r="O190" s="811">
        <f>IF($L$3=$AJ$18,'Statement of Marks'!FV189,IF($L$3=$AJ$19,'Statement of Marks'!GD189,IF(AND(M190="NA",N190="NA"),"NA",IF(AND(M190="",N190=""),"",SUM(M190,N190)))))</f>
        <v>0</v>
      </c>
      <c r="P190" s="809" t="str">
        <f>IFERROR(IF($L$3=$AJ$8,'Statement of Marks'!Q189,IF($L$3=$AJ$9,'Statement of Marks'!AE189,IF($L$3=$AJ$10,'Statement of Marks'!AT189,IF($L$3=$AJ$11,'Statement of Marks'!BH189,IF($L$3=$AJ$12,'Statement of Marks'!BV189,IF($L$3=$AJ$13,'Statement of Marks'!CK189,IF($L$3=$AJ$14,('Statement of Marks'!DB189+'Statement of Marks'!DC189),IF($L$3=$AJ$15,'Statement of Marks'!EF189,IF($L$3=$AJ$16,('Statement of Marks'!ET189+'Statement of Marks'!EU189),IF($L$3=$AJ$17,('Statement of Marks'!FM189+'Statement of Marks'!FN189),IF($L$3=$AJ$18,'Statement of Marks'!FW189,IF($L$3=$AJ$19,'Statement of Marks'!GE189,"")))))))))))),"")</f>
        <v/>
      </c>
      <c r="Q190" s="812" t="str">
        <f t="shared" si="23"/>
        <v/>
      </c>
      <c r="R190" s="813">
        <f t="shared" si="28"/>
        <v>0</v>
      </c>
      <c r="S190" s="813" t="str">
        <f t="shared" si="24"/>
        <v/>
      </c>
      <c r="T190" s="813" t="str">
        <f t="shared" si="25"/>
        <v/>
      </c>
      <c r="U190" s="814" t="str">
        <f t="shared" si="26"/>
        <v/>
      </c>
      <c r="V190" s="815" t="str">
        <f t="shared" si="27"/>
        <v/>
      </c>
      <c r="W190" s="816" t="str">
        <f t="shared" si="29"/>
        <v/>
      </c>
    </row>
    <row r="191" spans="1:23">
      <c r="A191" s="803">
        <f>IF('Statement of Marks'!A190="","",'Statement of Marks'!A190)</f>
        <v>184</v>
      </c>
      <c r="B191" s="804" t="str">
        <f>IF(OR($D$3="",$L$3=""),"",IF('Statement of Marks'!B190="","",'Statement of Marks'!B190))</f>
        <v/>
      </c>
      <c r="C191" s="805" t="str">
        <f>IF(OR($D$3="",$L$3=""),"",IF('Statement of Marks'!D190="","",'Statement of Marks'!D190))</f>
        <v/>
      </c>
      <c r="D191" s="806" t="str">
        <f>IF(OR($D$3="",$L$3=""),"",IF('Statement of Marks'!E190="","",'Statement of Marks'!E190))</f>
        <v/>
      </c>
      <c r="E191" s="807" t="str">
        <f>IF(OR($D$3="",$L$3=""),"",IF('Statement of Marks'!F190="","",'Statement of Marks'!F190))</f>
        <v/>
      </c>
      <c r="F191" s="807" t="str">
        <f>IF(OR($D$3="",$L$3=""),"",IF('Statement of Marks'!G190="","",'Statement of Marks'!G190))</f>
        <v/>
      </c>
      <c r="G191" s="807" t="str">
        <f>IF(OR($D$3="",$L$3=""),"",IF('Statement of Marks'!H190="","",'Statement of Marks'!H190))</f>
        <v/>
      </c>
      <c r="H191" s="808" t="str">
        <f>IF(OR($D$3="",$L$3=""),"",IF('Statement of Marks'!I190="","",'Statement of Marks'!I190))</f>
        <v/>
      </c>
      <c r="I191" s="808" t="str">
        <f>IF(OR($D$3="",$L$3=""),"",IF('Statement of Marks'!J190="","",'Statement of Marks'!J190))</f>
        <v/>
      </c>
      <c r="J191" s="809" t="str">
        <f>IFERROR(IF($L$3=$AJ$8,'Statement of Marks'!K190,IF($L$3=$AJ$9,'Statement of Marks'!Y190,IF($L$3=$AJ$10,'Statement of Marks'!AN190,IF($L$3=$AJ$11,'Statement of Marks'!BB190,IF($L$3=$AJ$12,'Statement of Marks'!BP190,IF($L$3=$AJ$13,'Statement of Marks'!CE190,IF($L$3=$AJ$14,'Statement of Marks'!CT190,IF($L$3=$AJ$15,'Statement of Marks'!DZ190,IF($L$3=$AJ$16,'Statement of Marks'!EL190,IF($L$3=$AJ$17,('Statement of Marks'!FB190+'Statement of Marks'!FC190),"")))))))))),"")</f>
        <v/>
      </c>
      <c r="K191" s="809" t="str">
        <f>IFERROR(IF($L$3=$AJ$8,'Statement of Marks'!L190,IF($L$3=$AJ$9,'Statement of Marks'!Z190,IF($L$3=$AJ$10,'Statement of Marks'!AO190,IF($L$3=$AJ$11,'Statement of Marks'!BC190,IF($L$3=$AJ$12,'Statement of Marks'!BQ190,IF($L$3=$AJ$13,'Statement of Marks'!CF190,IF($L$3=$AJ$14,'Statement of Marks'!CU190,IF($L$3=$AJ$15,'Statement of Marks'!EA190,IF($L$3=$AJ$16,'Statement of Marks'!EM190,IF($L$3=$AJ$17,('Statement of Marks'!FD190+'Statement of Marks'!FE190),"")))))))))),"")</f>
        <v/>
      </c>
      <c r="L191" s="809" t="str">
        <f>IFERROR(IF($L$3=$AJ$8,'Statement of Marks'!M190,IF($L$3=$AJ$9,'Statement of Marks'!AA190,IF($L$3=$AJ$10,'Statement of Marks'!AP190,IF($L$3=$AJ$11,'Statement of Marks'!BD190,IF($L$3=$AJ$12,'Statement of Marks'!BR190,IF($L$3=$AJ$13,'Statement of Marks'!CG190,IF($L$3=$AJ$14,'Statement of Marks'!CV190,IF($L$3=$AJ$15,'Statement of Marks'!EB190,IF($L$3=$AJ$16,'Statement of Marks'!EN190,IF($L$3=$AJ$17,('Statement of Marks'!FF190+'Statement of Marks'!FG190),"")))))))))),"")</f>
        <v/>
      </c>
      <c r="M191" s="810">
        <f t="shared" si="20"/>
        <v>0</v>
      </c>
      <c r="N191" s="809" t="str">
        <f>IFERROR(IF($L$3=$AJ$8,'Statement of Marks'!O190,IF($L$3=$AJ$9,'Statement of Marks'!AC190,IF($L$3=$AJ$10,'Statement of Marks'!AR190,IF($L$3=$AJ$11,'Statement of Marks'!BF190,IF($L$3=$AJ$12,'Statement of Marks'!BT190,IF($L$3=$AJ$13,'Statement of Marks'!CI190,IF($L$3=$AJ$14,('Statement of Marks'!CX190+'Statement of Marks'!CY190),IF($L$3=$AJ$15,'Statement of Marks'!ED190,IF($L$3=$AJ$16,('Statement of Marks'!EP190+'Statement of Marks'!EQ190),IF($L$3=$AJ$17,('Statement of Marks'!FI190+'Statement of Marks'!FJ190),IF($L$3=$AJ$18,'Statement of Marks'!FU190,IF($L$3=$AJ$19,'Statement of Marks'!GC190,"")))))))))))),"")</f>
        <v/>
      </c>
      <c r="O191" s="811">
        <f>IF($L$3=$AJ$18,'Statement of Marks'!FV190,IF($L$3=$AJ$19,'Statement of Marks'!GD190,IF(AND(M191="NA",N191="NA"),"NA",IF(AND(M191="",N191=""),"",SUM(M191,N191)))))</f>
        <v>0</v>
      </c>
      <c r="P191" s="809" t="str">
        <f>IFERROR(IF($L$3=$AJ$8,'Statement of Marks'!Q190,IF($L$3=$AJ$9,'Statement of Marks'!AE190,IF($L$3=$AJ$10,'Statement of Marks'!AT190,IF($L$3=$AJ$11,'Statement of Marks'!BH190,IF($L$3=$AJ$12,'Statement of Marks'!BV190,IF($L$3=$AJ$13,'Statement of Marks'!CK190,IF($L$3=$AJ$14,('Statement of Marks'!DB190+'Statement of Marks'!DC190),IF($L$3=$AJ$15,'Statement of Marks'!EF190,IF($L$3=$AJ$16,('Statement of Marks'!ET190+'Statement of Marks'!EU190),IF($L$3=$AJ$17,('Statement of Marks'!FM190+'Statement of Marks'!FN190),IF($L$3=$AJ$18,'Statement of Marks'!FW190,IF($L$3=$AJ$19,'Statement of Marks'!GE190,"")))))))))))),"")</f>
        <v/>
      </c>
      <c r="Q191" s="812" t="str">
        <f t="shared" si="23"/>
        <v/>
      </c>
      <c r="R191" s="813">
        <f t="shared" si="28"/>
        <v>0</v>
      </c>
      <c r="S191" s="813" t="str">
        <f t="shared" si="24"/>
        <v/>
      </c>
      <c r="T191" s="813" t="str">
        <f t="shared" si="25"/>
        <v/>
      </c>
      <c r="U191" s="814" t="str">
        <f t="shared" si="26"/>
        <v/>
      </c>
      <c r="V191" s="815" t="str">
        <f t="shared" si="27"/>
        <v/>
      </c>
      <c r="W191" s="816" t="str">
        <f t="shared" si="29"/>
        <v/>
      </c>
    </row>
    <row r="192" spans="1:23">
      <c r="A192" s="803">
        <f>IF('Statement of Marks'!A191="","",'Statement of Marks'!A191)</f>
        <v>185</v>
      </c>
      <c r="B192" s="804" t="str">
        <f>IF(OR($D$3="",$L$3=""),"",IF('Statement of Marks'!B191="","",'Statement of Marks'!B191))</f>
        <v/>
      </c>
      <c r="C192" s="805" t="str">
        <f>IF(OR($D$3="",$L$3=""),"",IF('Statement of Marks'!D191="","",'Statement of Marks'!D191))</f>
        <v/>
      </c>
      <c r="D192" s="806" t="str">
        <f>IF(OR($D$3="",$L$3=""),"",IF('Statement of Marks'!E191="","",'Statement of Marks'!E191))</f>
        <v/>
      </c>
      <c r="E192" s="807" t="str">
        <f>IF(OR($D$3="",$L$3=""),"",IF('Statement of Marks'!F191="","",'Statement of Marks'!F191))</f>
        <v/>
      </c>
      <c r="F192" s="807" t="str">
        <f>IF(OR($D$3="",$L$3=""),"",IF('Statement of Marks'!G191="","",'Statement of Marks'!G191))</f>
        <v/>
      </c>
      <c r="G192" s="807" t="str">
        <f>IF(OR($D$3="",$L$3=""),"",IF('Statement of Marks'!H191="","",'Statement of Marks'!H191))</f>
        <v/>
      </c>
      <c r="H192" s="808" t="str">
        <f>IF(OR($D$3="",$L$3=""),"",IF('Statement of Marks'!I191="","",'Statement of Marks'!I191))</f>
        <v/>
      </c>
      <c r="I192" s="808" t="str">
        <f>IF(OR($D$3="",$L$3=""),"",IF('Statement of Marks'!J191="","",'Statement of Marks'!J191))</f>
        <v/>
      </c>
      <c r="J192" s="809" t="str">
        <f>IFERROR(IF($L$3=$AJ$8,'Statement of Marks'!K191,IF($L$3=$AJ$9,'Statement of Marks'!Y191,IF($L$3=$AJ$10,'Statement of Marks'!AN191,IF($L$3=$AJ$11,'Statement of Marks'!BB191,IF($L$3=$AJ$12,'Statement of Marks'!BP191,IF($L$3=$AJ$13,'Statement of Marks'!CE191,IF($L$3=$AJ$14,'Statement of Marks'!CT191,IF($L$3=$AJ$15,'Statement of Marks'!DZ191,IF($L$3=$AJ$16,'Statement of Marks'!EL191,IF($L$3=$AJ$17,('Statement of Marks'!FB191+'Statement of Marks'!FC191),"")))))))))),"")</f>
        <v/>
      </c>
      <c r="K192" s="809" t="str">
        <f>IFERROR(IF($L$3=$AJ$8,'Statement of Marks'!L191,IF($L$3=$AJ$9,'Statement of Marks'!Z191,IF($L$3=$AJ$10,'Statement of Marks'!AO191,IF($L$3=$AJ$11,'Statement of Marks'!BC191,IF($L$3=$AJ$12,'Statement of Marks'!BQ191,IF($L$3=$AJ$13,'Statement of Marks'!CF191,IF($L$3=$AJ$14,'Statement of Marks'!CU191,IF($L$3=$AJ$15,'Statement of Marks'!EA191,IF($L$3=$AJ$16,'Statement of Marks'!EM191,IF($L$3=$AJ$17,('Statement of Marks'!FD191+'Statement of Marks'!FE191),"")))))))))),"")</f>
        <v/>
      </c>
      <c r="L192" s="809" t="str">
        <f>IFERROR(IF($L$3=$AJ$8,'Statement of Marks'!M191,IF($L$3=$AJ$9,'Statement of Marks'!AA191,IF($L$3=$AJ$10,'Statement of Marks'!AP191,IF($L$3=$AJ$11,'Statement of Marks'!BD191,IF($L$3=$AJ$12,'Statement of Marks'!BR191,IF($L$3=$AJ$13,'Statement of Marks'!CG191,IF($L$3=$AJ$14,'Statement of Marks'!CV191,IF($L$3=$AJ$15,'Statement of Marks'!EB191,IF($L$3=$AJ$16,'Statement of Marks'!EN191,IF($L$3=$AJ$17,('Statement of Marks'!FF191+'Statement of Marks'!FG191),"")))))))))),"")</f>
        <v/>
      </c>
      <c r="M192" s="810">
        <f t="shared" si="20"/>
        <v>0</v>
      </c>
      <c r="N192" s="809" t="str">
        <f>IFERROR(IF($L$3=$AJ$8,'Statement of Marks'!O191,IF($L$3=$AJ$9,'Statement of Marks'!AC191,IF($L$3=$AJ$10,'Statement of Marks'!AR191,IF($L$3=$AJ$11,'Statement of Marks'!BF191,IF($L$3=$AJ$12,'Statement of Marks'!BT191,IF($L$3=$AJ$13,'Statement of Marks'!CI191,IF($L$3=$AJ$14,('Statement of Marks'!CX191+'Statement of Marks'!CY191),IF($L$3=$AJ$15,'Statement of Marks'!ED191,IF($L$3=$AJ$16,('Statement of Marks'!EP191+'Statement of Marks'!EQ191),IF($L$3=$AJ$17,('Statement of Marks'!FI191+'Statement of Marks'!FJ191),IF($L$3=$AJ$18,'Statement of Marks'!FU191,IF($L$3=$AJ$19,'Statement of Marks'!GC191,"")))))))))))),"")</f>
        <v/>
      </c>
      <c r="O192" s="811">
        <f>IF($L$3=$AJ$18,'Statement of Marks'!FV191,IF($L$3=$AJ$19,'Statement of Marks'!GD191,IF(AND(M192="NA",N192="NA"),"NA",IF(AND(M192="",N192=""),"",SUM(M192,N192)))))</f>
        <v>0</v>
      </c>
      <c r="P192" s="809" t="str">
        <f>IFERROR(IF($L$3=$AJ$8,'Statement of Marks'!Q191,IF($L$3=$AJ$9,'Statement of Marks'!AE191,IF($L$3=$AJ$10,'Statement of Marks'!AT191,IF($L$3=$AJ$11,'Statement of Marks'!BH191,IF($L$3=$AJ$12,'Statement of Marks'!BV191,IF($L$3=$AJ$13,'Statement of Marks'!CK191,IF($L$3=$AJ$14,('Statement of Marks'!DB191+'Statement of Marks'!DC191),IF($L$3=$AJ$15,'Statement of Marks'!EF191,IF($L$3=$AJ$16,('Statement of Marks'!ET191+'Statement of Marks'!EU191),IF($L$3=$AJ$17,('Statement of Marks'!FM191+'Statement of Marks'!FN191),IF($L$3=$AJ$18,'Statement of Marks'!FW191,IF($L$3=$AJ$19,'Statement of Marks'!GE191,"")))))))))))),"")</f>
        <v/>
      </c>
      <c r="Q192" s="812" t="str">
        <f t="shared" si="23"/>
        <v/>
      </c>
      <c r="R192" s="813">
        <f t="shared" si="28"/>
        <v>0</v>
      </c>
      <c r="S192" s="813" t="str">
        <f t="shared" si="24"/>
        <v/>
      </c>
      <c r="T192" s="813" t="str">
        <f t="shared" si="25"/>
        <v/>
      </c>
      <c r="U192" s="814" t="str">
        <f t="shared" si="26"/>
        <v/>
      </c>
      <c r="V192" s="815" t="str">
        <f t="shared" si="27"/>
        <v/>
      </c>
      <c r="W192" s="816" t="str">
        <f t="shared" si="29"/>
        <v/>
      </c>
    </row>
    <row r="193" spans="1:23">
      <c r="A193" s="803">
        <f>IF('Statement of Marks'!A192="","",'Statement of Marks'!A192)</f>
        <v>186</v>
      </c>
      <c r="B193" s="804" t="str">
        <f>IF(OR($D$3="",$L$3=""),"",IF('Statement of Marks'!B192="","",'Statement of Marks'!B192))</f>
        <v/>
      </c>
      <c r="C193" s="805" t="str">
        <f>IF(OR($D$3="",$L$3=""),"",IF('Statement of Marks'!D192="","",'Statement of Marks'!D192))</f>
        <v/>
      </c>
      <c r="D193" s="806" t="str">
        <f>IF(OR($D$3="",$L$3=""),"",IF('Statement of Marks'!E192="","",'Statement of Marks'!E192))</f>
        <v/>
      </c>
      <c r="E193" s="807" t="str">
        <f>IF(OR($D$3="",$L$3=""),"",IF('Statement of Marks'!F192="","",'Statement of Marks'!F192))</f>
        <v/>
      </c>
      <c r="F193" s="807" t="str">
        <f>IF(OR($D$3="",$L$3=""),"",IF('Statement of Marks'!G192="","",'Statement of Marks'!G192))</f>
        <v/>
      </c>
      <c r="G193" s="807" t="str">
        <f>IF(OR($D$3="",$L$3=""),"",IF('Statement of Marks'!H192="","",'Statement of Marks'!H192))</f>
        <v/>
      </c>
      <c r="H193" s="808" t="str">
        <f>IF(OR($D$3="",$L$3=""),"",IF('Statement of Marks'!I192="","",'Statement of Marks'!I192))</f>
        <v/>
      </c>
      <c r="I193" s="808" t="str">
        <f>IF(OR($D$3="",$L$3=""),"",IF('Statement of Marks'!J192="","",'Statement of Marks'!J192))</f>
        <v/>
      </c>
      <c r="J193" s="809" t="str">
        <f>IFERROR(IF($L$3=$AJ$8,'Statement of Marks'!K192,IF($L$3=$AJ$9,'Statement of Marks'!Y192,IF($L$3=$AJ$10,'Statement of Marks'!AN192,IF($L$3=$AJ$11,'Statement of Marks'!BB192,IF($L$3=$AJ$12,'Statement of Marks'!BP192,IF($L$3=$AJ$13,'Statement of Marks'!CE192,IF($L$3=$AJ$14,'Statement of Marks'!CT192,IF($L$3=$AJ$15,'Statement of Marks'!DZ192,IF($L$3=$AJ$16,'Statement of Marks'!EL192,IF($L$3=$AJ$17,('Statement of Marks'!FB192+'Statement of Marks'!FC192),"")))))))))),"")</f>
        <v/>
      </c>
      <c r="K193" s="809" t="str">
        <f>IFERROR(IF($L$3=$AJ$8,'Statement of Marks'!L192,IF($L$3=$AJ$9,'Statement of Marks'!Z192,IF($L$3=$AJ$10,'Statement of Marks'!AO192,IF($L$3=$AJ$11,'Statement of Marks'!BC192,IF($L$3=$AJ$12,'Statement of Marks'!BQ192,IF($L$3=$AJ$13,'Statement of Marks'!CF192,IF($L$3=$AJ$14,'Statement of Marks'!CU192,IF($L$3=$AJ$15,'Statement of Marks'!EA192,IF($L$3=$AJ$16,'Statement of Marks'!EM192,IF($L$3=$AJ$17,('Statement of Marks'!FD192+'Statement of Marks'!FE192),"")))))))))),"")</f>
        <v/>
      </c>
      <c r="L193" s="809" t="str">
        <f>IFERROR(IF($L$3=$AJ$8,'Statement of Marks'!M192,IF($L$3=$AJ$9,'Statement of Marks'!AA192,IF($L$3=$AJ$10,'Statement of Marks'!AP192,IF($L$3=$AJ$11,'Statement of Marks'!BD192,IF($L$3=$AJ$12,'Statement of Marks'!BR192,IF($L$3=$AJ$13,'Statement of Marks'!CG192,IF($L$3=$AJ$14,'Statement of Marks'!CV192,IF($L$3=$AJ$15,'Statement of Marks'!EB192,IF($L$3=$AJ$16,'Statement of Marks'!EN192,IF($L$3=$AJ$17,('Statement of Marks'!FF192+'Statement of Marks'!FG192),"")))))))))),"")</f>
        <v/>
      </c>
      <c r="M193" s="810">
        <f t="shared" si="20"/>
        <v>0</v>
      </c>
      <c r="N193" s="809" t="str">
        <f>IFERROR(IF($L$3=$AJ$8,'Statement of Marks'!O192,IF($L$3=$AJ$9,'Statement of Marks'!AC192,IF($L$3=$AJ$10,'Statement of Marks'!AR192,IF($L$3=$AJ$11,'Statement of Marks'!BF192,IF($L$3=$AJ$12,'Statement of Marks'!BT192,IF($L$3=$AJ$13,'Statement of Marks'!CI192,IF($L$3=$AJ$14,('Statement of Marks'!CX192+'Statement of Marks'!CY192),IF($L$3=$AJ$15,'Statement of Marks'!ED192,IF($L$3=$AJ$16,('Statement of Marks'!EP192+'Statement of Marks'!EQ192),IF($L$3=$AJ$17,('Statement of Marks'!FI192+'Statement of Marks'!FJ192),IF($L$3=$AJ$18,'Statement of Marks'!FU192,IF($L$3=$AJ$19,'Statement of Marks'!GC192,"")))))))))))),"")</f>
        <v/>
      </c>
      <c r="O193" s="811">
        <f>IF($L$3=$AJ$18,'Statement of Marks'!FV192,IF($L$3=$AJ$19,'Statement of Marks'!GD192,IF(AND(M193="NA",N193="NA"),"NA",IF(AND(M193="",N193=""),"",SUM(M193,N193)))))</f>
        <v>0</v>
      </c>
      <c r="P193" s="809" t="str">
        <f>IFERROR(IF($L$3=$AJ$8,'Statement of Marks'!Q192,IF($L$3=$AJ$9,'Statement of Marks'!AE192,IF($L$3=$AJ$10,'Statement of Marks'!AT192,IF($L$3=$AJ$11,'Statement of Marks'!BH192,IF($L$3=$AJ$12,'Statement of Marks'!BV192,IF($L$3=$AJ$13,'Statement of Marks'!CK192,IF($L$3=$AJ$14,('Statement of Marks'!DB192+'Statement of Marks'!DC192),IF($L$3=$AJ$15,'Statement of Marks'!EF192,IF($L$3=$AJ$16,('Statement of Marks'!ET192+'Statement of Marks'!EU192),IF($L$3=$AJ$17,('Statement of Marks'!FM192+'Statement of Marks'!FN192),IF($L$3=$AJ$18,'Statement of Marks'!FW192,IF($L$3=$AJ$19,'Statement of Marks'!GE192,"")))))))))))),"")</f>
        <v/>
      </c>
      <c r="Q193" s="812" t="str">
        <f t="shared" si="23"/>
        <v/>
      </c>
      <c r="R193" s="813">
        <f t="shared" si="28"/>
        <v>0</v>
      </c>
      <c r="S193" s="813" t="str">
        <f t="shared" si="24"/>
        <v/>
      </c>
      <c r="T193" s="813" t="str">
        <f t="shared" si="25"/>
        <v/>
      </c>
      <c r="U193" s="814" t="str">
        <f t="shared" si="26"/>
        <v/>
      </c>
      <c r="V193" s="815" t="str">
        <f t="shared" si="27"/>
        <v/>
      </c>
      <c r="W193" s="816" t="str">
        <f t="shared" si="29"/>
        <v/>
      </c>
    </row>
    <row r="194" spans="1:23">
      <c r="A194" s="803">
        <f>IF('Statement of Marks'!A193="","",'Statement of Marks'!A193)</f>
        <v>187</v>
      </c>
      <c r="B194" s="804" t="str">
        <f>IF(OR($D$3="",$L$3=""),"",IF('Statement of Marks'!B193="","",'Statement of Marks'!B193))</f>
        <v/>
      </c>
      <c r="C194" s="805" t="str">
        <f>IF(OR($D$3="",$L$3=""),"",IF('Statement of Marks'!D193="","",'Statement of Marks'!D193))</f>
        <v/>
      </c>
      <c r="D194" s="806" t="str">
        <f>IF(OR($D$3="",$L$3=""),"",IF('Statement of Marks'!E193="","",'Statement of Marks'!E193))</f>
        <v/>
      </c>
      <c r="E194" s="807" t="str">
        <f>IF(OR($D$3="",$L$3=""),"",IF('Statement of Marks'!F193="","",'Statement of Marks'!F193))</f>
        <v/>
      </c>
      <c r="F194" s="807" t="str">
        <f>IF(OR($D$3="",$L$3=""),"",IF('Statement of Marks'!G193="","",'Statement of Marks'!G193))</f>
        <v/>
      </c>
      <c r="G194" s="807" t="str">
        <f>IF(OR($D$3="",$L$3=""),"",IF('Statement of Marks'!H193="","",'Statement of Marks'!H193))</f>
        <v/>
      </c>
      <c r="H194" s="808" t="str">
        <f>IF(OR($D$3="",$L$3=""),"",IF('Statement of Marks'!I193="","",'Statement of Marks'!I193))</f>
        <v/>
      </c>
      <c r="I194" s="808" t="str">
        <f>IF(OR($D$3="",$L$3=""),"",IF('Statement of Marks'!J193="","",'Statement of Marks'!J193))</f>
        <v/>
      </c>
      <c r="J194" s="809" t="str">
        <f>IFERROR(IF($L$3=$AJ$8,'Statement of Marks'!K193,IF($L$3=$AJ$9,'Statement of Marks'!Y193,IF($L$3=$AJ$10,'Statement of Marks'!AN193,IF($L$3=$AJ$11,'Statement of Marks'!BB193,IF($L$3=$AJ$12,'Statement of Marks'!BP193,IF($L$3=$AJ$13,'Statement of Marks'!CE193,IF($L$3=$AJ$14,'Statement of Marks'!CT193,IF($L$3=$AJ$15,'Statement of Marks'!DZ193,IF($L$3=$AJ$16,'Statement of Marks'!EL193,IF($L$3=$AJ$17,('Statement of Marks'!FB193+'Statement of Marks'!FC193),"")))))))))),"")</f>
        <v/>
      </c>
      <c r="K194" s="809" t="str">
        <f>IFERROR(IF($L$3=$AJ$8,'Statement of Marks'!L193,IF($L$3=$AJ$9,'Statement of Marks'!Z193,IF($L$3=$AJ$10,'Statement of Marks'!AO193,IF($L$3=$AJ$11,'Statement of Marks'!BC193,IF($L$3=$AJ$12,'Statement of Marks'!BQ193,IF($L$3=$AJ$13,'Statement of Marks'!CF193,IF($L$3=$AJ$14,'Statement of Marks'!CU193,IF($L$3=$AJ$15,'Statement of Marks'!EA193,IF($L$3=$AJ$16,'Statement of Marks'!EM193,IF($L$3=$AJ$17,('Statement of Marks'!FD193+'Statement of Marks'!FE193),"")))))))))),"")</f>
        <v/>
      </c>
      <c r="L194" s="809" t="str">
        <f>IFERROR(IF($L$3=$AJ$8,'Statement of Marks'!M193,IF($L$3=$AJ$9,'Statement of Marks'!AA193,IF($L$3=$AJ$10,'Statement of Marks'!AP193,IF($L$3=$AJ$11,'Statement of Marks'!BD193,IF($L$3=$AJ$12,'Statement of Marks'!BR193,IF($L$3=$AJ$13,'Statement of Marks'!CG193,IF($L$3=$AJ$14,'Statement of Marks'!CV193,IF($L$3=$AJ$15,'Statement of Marks'!EB193,IF($L$3=$AJ$16,'Statement of Marks'!EN193,IF($L$3=$AJ$17,('Statement of Marks'!FF193+'Statement of Marks'!FG193),"")))))))))),"")</f>
        <v/>
      </c>
      <c r="M194" s="810">
        <f t="shared" si="20"/>
        <v>0</v>
      </c>
      <c r="N194" s="809" t="str">
        <f>IFERROR(IF($L$3=$AJ$8,'Statement of Marks'!O193,IF($L$3=$AJ$9,'Statement of Marks'!AC193,IF($L$3=$AJ$10,'Statement of Marks'!AR193,IF($L$3=$AJ$11,'Statement of Marks'!BF193,IF($L$3=$AJ$12,'Statement of Marks'!BT193,IF($L$3=$AJ$13,'Statement of Marks'!CI193,IF($L$3=$AJ$14,('Statement of Marks'!CX193+'Statement of Marks'!CY193),IF($L$3=$AJ$15,'Statement of Marks'!ED193,IF($L$3=$AJ$16,('Statement of Marks'!EP193+'Statement of Marks'!EQ193),IF($L$3=$AJ$17,('Statement of Marks'!FI193+'Statement of Marks'!FJ193),IF($L$3=$AJ$18,'Statement of Marks'!FU193,IF($L$3=$AJ$19,'Statement of Marks'!GC193,"")))))))))))),"")</f>
        <v/>
      </c>
      <c r="O194" s="811">
        <f>IF($L$3=$AJ$18,'Statement of Marks'!FV193,IF($L$3=$AJ$19,'Statement of Marks'!GD193,IF(AND(M194="NA",N194="NA"),"NA",IF(AND(M194="",N194=""),"",SUM(M194,N194)))))</f>
        <v>0</v>
      </c>
      <c r="P194" s="809" t="str">
        <f>IFERROR(IF($L$3=$AJ$8,'Statement of Marks'!Q193,IF($L$3=$AJ$9,'Statement of Marks'!AE193,IF($L$3=$AJ$10,'Statement of Marks'!AT193,IF($L$3=$AJ$11,'Statement of Marks'!BH193,IF($L$3=$AJ$12,'Statement of Marks'!BV193,IF($L$3=$AJ$13,'Statement of Marks'!CK193,IF($L$3=$AJ$14,('Statement of Marks'!DB193+'Statement of Marks'!DC193),IF($L$3=$AJ$15,'Statement of Marks'!EF193,IF($L$3=$AJ$16,('Statement of Marks'!ET193+'Statement of Marks'!EU193),IF($L$3=$AJ$17,('Statement of Marks'!FM193+'Statement of Marks'!FN193),IF($L$3=$AJ$18,'Statement of Marks'!FW193,IF($L$3=$AJ$19,'Statement of Marks'!GE193,"")))))))))))),"")</f>
        <v/>
      </c>
      <c r="Q194" s="812" t="str">
        <f t="shared" si="23"/>
        <v/>
      </c>
      <c r="R194" s="813">
        <f t="shared" si="28"/>
        <v>0</v>
      </c>
      <c r="S194" s="813" t="str">
        <f t="shared" si="24"/>
        <v/>
      </c>
      <c r="T194" s="813" t="str">
        <f t="shared" si="25"/>
        <v/>
      </c>
      <c r="U194" s="814" t="str">
        <f t="shared" si="26"/>
        <v/>
      </c>
      <c r="V194" s="815" t="str">
        <f t="shared" si="27"/>
        <v/>
      </c>
      <c r="W194" s="816" t="str">
        <f t="shared" si="29"/>
        <v/>
      </c>
    </row>
    <row r="195" spans="1:23">
      <c r="A195" s="803">
        <f>IF('Statement of Marks'!A194="","",'Statement of Marks'!A194)</f>
        <v>188</v>
      </c>
      <c r="B195" s="804" t="str">
        <f>IF(OR($D$3="",$L$3=""),"",IF('Statement of Marks'!B194="","",'Statement of Marks'!B194))</f>
        <v/>
      </c>
      <c r="C195" s="805" t="str">
        <f>IF(OR($D$3="",$L$3=""),"",IF('Statement of Marks'!D194="","",'Statement of Marks'!D194))</f>
        <v/>
      </c>
      <c r="D195" s="806" t="str">
        <f>IF(OR($D$3="",$L$3=""),"",IF('Statement of Marks'!E194="","",'Statement of Marks'!E194))</f>
        <v/>
      </c>
      <c r="E195" s="807" t="str">
        <f>IF(OR($D$3="",$L$3=""),"",IF('Statement of Marks'!F194="","",'Statement of Marks'!F194))</f>
        <v/>
      </c>
      <c r="F195" s="807" t="str">
        <f>IF(OR($D$3="",$L$3=""),"",IF('Statement of Marks'!G194="","",'Statement of Marks'!G194))</f>
        <v/>
      </c>
      <c r="G195" s="807" t="str">
        <f>IF(OR($D$3="",$L$3=""),"",IF('Statement of Marks'!H194="","",'Statement of Marks'!H194))</f>
        <v/>
      </c>
      <c r="H195" s="808" t="str">
        <f>IF(OR($D$3="",$L$3=""),"",IF('Statement of Marks'!I194="","",'Statement of Marks'!I194))</f>
        <v/>
      </c>
      <c r="I195" s="808" t="str">
        <f>IF(OR($D$3="",$L$3=""),"",IF('Statement of Marks'!J194="","",'Statement of Marks'!J194))</f>
        <v/>
      </c>
      <c r="J195" s="809" t="str">
        <f>IFERROR(IF($L$3=$AJ$8,'Statement of Marks'!K194,IF($L$3=$AJ$9,'Statement of Marks'!Y194,IF($L$3=$AJ$10,'Statement of Marks'!AN194,IF($L$3=$AJ$11,'Statement of Marks'!BB194,IF($L$3=$AJ$12,'Statement of Marks'!BP194,IF($L$3=$AJ$13,'Statement of Marks'!CE194,IF($L$3=$AJ$14,'Statement of Marks'!CT194,IF($L$3=$AJ$15,'Statement of Marks'!DZ194,IF($L$3=$AJ$16,'Statement of Marks'!EL194,IF($L$3=$AJ$17,('Statement of Marks'!FB194+'Statement of Marks'!FC194),"")))))))))),"")</f>
        <v/>
      </c>
      <c r="K195" s="809" t="str">
        <f>IFERROR(IF($L$3=$AJ$8,'Statement of Marks'!L194,IF($L$3=$AJ$9,'Statement of Marks'!Z194,IF($L$3=$AJ$10,'Statement of Marks'!AO194,IF($L$3=$AJ$11,'Statement of Marks'!BC194,IF($L$3=$AJ$12,'Statement of Marks'!BQ194,IF($L$3=$AJ$13,'Statement of Marks'!CF194,IF($L$3=$AJ$14,'Statement of Marks'!CU194,IF($L$3=$AJ$15,'Statement of Marks'!EA194,IF($L$3=$AJ$16,'Statement of Marks'!EM194,IF($L$3=$AJ$17,('Statement of Marks'!FD194+'Statement of Marks'!FE194),"")))))))))),"")</f>
        <v/>
      </c>
      <c r="L195" s="809" t="str">
        <f>IFERROR(IF($L$3=$AJ$8,'Statement of Marks'!M194,IF($L$3=$AJ$9,'Statement of Marks'!AA194,IF($L$3=$AJ$10,'Statement of Marks'!AP194,IF($L$3=$AJ$11,'Statement of Marks'!BD194,IF($L$3=$AJ$12,'Statement of Marks'!BR194,IF($L$3=$AJ$13,'Statement of Marks'!CG194,IF($L$3=$AJ$14,'Statement of Marks'!CV194,IF($L$3=$AJ$15,'Statement of Marks'!EB194,IF($L$3=$AJ$16,'Statement of Marks'!EN194,IF($L$3=$AJ$17,('Statement of Marks'!FF194+'Statement of Marks'!FG194),"")))))))))),"")</f>
        <v/>
      </c>
      <c r="M195" s="810">
        <f t="shared" si="20"/>
        <v>0</v>
      </c>
      <c r="N195" s="809" t="str">
        <f>IFERROR(IF($L$3=$AJ$8,'Statement of Marks'!O194,IF($L$3=$AJ$9,'Statement of Marks'!AC194,IF($L$3=$AJ$10,'Statement of Marks'!AR194,IF($L$3=$AJ$11,'Statement of Marks'!BF194,IF($L$3=$AJ$12,'Statement of Marks'!BT194,IF($L$3=$AJ$13,'Statement of Marks'!CI194,IF($L$3=$AJ$14,('Statement of Marks'!CX194+'Statement of Marks'!CY194),IF($L$3=$AJ$15,'Statement of Marks'!ED194,IF($L$3=$AJ$16,('Statement of Marks'!EP194+'Statement of Marks'!EQ194),IF($L$3=$AJ$17,('Statement of Marks'!FI194+'Statement of Marks'!FJ194),IF($L$3=$AJ$18,'Statement of Marks'!FU194,IF($L$3=$AJ$19,'Statement of Marks'!GC194,"")))))))))))),"")</f>
        <v/>
      </c>
      <c r="O195" s="811">
        <f>IF($L$3=$AJ$18,'Statement of Marks'!FV194,IF($L$3=$AJ$19,'Statement of Marks'!GD194,IF(AND(M195="NA",N195="NA"),"NA",IF(AND(M195="",N195=""),"",SUM(M195,N195)))))</f>
        <v>0</v>
      </c>
      <c r="P195" s="809" t="str">
        <f>IFERROR(IF($L$3=$AJ$8,'Statement of Marks'!Q194,IF($L$3=$AJ$9,'Statement of Marks'!AE194,IF($L$3=$AJ$10,'Statement of Marks'!AT194,IF($L$3=$AJ$11,'Statement of Marks'!BH194,IF($L$3=$AJ$12,'Statement of Marks'!BV194,IF($L$3=$AJ$13,'Statement of Marks'!CK194,IF($L$3=$AJ$14,('Statement of Marks'!DB194+'Statement of Marks'!DC194),IF($L$3=$AJ$15,'Statement of Marks'!EF194,IF($L$3=$AJ$16,('Statement of Marks'!ET194+'Statement of Marks'!EU194),IF($L$3=$AJ$17,('Statement of Marks'!FM194+'Statement of Marks'!FN194),IF($L$3=$AJ$18,'Statement of Marks'!FW194,IF($L$3=$AJ$19,'Statement of Marks'!GE194,"")))))))))))),"")</f>
        <v/>
      </c>
      <c r="Q195" s="812" t="str">
        <f t="shared" si="23"/>
        <v/>
      </c>
      <c r="R195" s="813">
        <f t="shared" si="28"/>
        <v>0</v>
      </c>
      <c r="S195" s="813" t="str">
        <f t="shared" si="24"/>
        <v/>
      </c>
      <c r="T195" s="813" t="str">
        <f t="shared" si="25"/>
        <v/>
      </c>
      <c r="U195" s="814" t="str">
        <f t="shared" si="26"/>
        <v/>
      </c>
      <c r="V195" s="815" t="str">
        <f t="shared" si="27"/>
        <v/>
      </c>
      <c r="W195" s="816" t="str">
        <f t="shared" si="29"/>
        <v/>
      </c>
    </row>
    <row r="196" spans="1:23">
      <c r="A196" s="803">
        <f>IF('Statement of Marks'!A195="","",'Statement of Marks'!A195)</f>
        <v>189</v>
      </c>
      <c r="B196" s="804" t="str">
        <f>IF(OR($D$3="",$L$3=""),"",IF('Statement of Marks'!B195="","",'Statement of Marks'!B195))</f>
        <v/>
      </c>
      <c r="C196" s="805" t="str">
        <f>IF(OR($D$3="",$L$3=""),"",IF('Statement of Marks'!D195="","",'Statement of Marks'!D195))</f>
        <v/>
      </c>
      <c r="D196" s="806" t="str">
        <f>IF(OR($D$3="",$L$3=""),"",IF('Statement of Marks'!E195="","",'Statement of Marks'!E195))</f>
        <v/>
      </c>
      <c r="E196" s="807" t="str">
        <f>IF(OR($D$3="",$L$3=""),"",IF('Statement of Marks'!F195="","",'Statement of Marks'!F195))</f>
        <v/>
      </c>
      <c r="F196" s="807" t="str">
        <f>IF(OR($D$3="",$L$3=""),"",IF('Statement of Marks'!G195="","",'Statement of Marks'!G195))</f>
        <v/>
      </c>
      <c r="G196" s="807" t="str">
        <f>IF(OR($D$3="",$L$3=""),"",IF('Statement of Marks'!H195="","",'Statement of Marks'!H195))</f>
        <v/>
      </c>
      <c r="H196" s="808" t="str">
        <f>IF(OR($D$3="",$L$3=""),"",IF('Statement of Marks'!I195="","",'Statement of Marks'!I195))</f>
        <v/>
      </c>
      <c r="I196" s="808" t="str">
        <f>IF(OR($D$3="",$L$3=""),"",IF('Statement of Marks'!J195="","",'Statement of Marks'!J195))</f>
        <v/>
      </c>
      <c r="J196" s="809" t="str">
        <f>IFERROR(IF($L$3=$AJ$8,'Statement of Marks'!K195,IF($L$3=$AJ$9,'Statement of Marks'!Y195,IF($L$3=$AJ$10,'Statement of Marks'!AN195,IF($L$3=$AJ$11,'Statement of Marks'!BB195,IF($L$3=$AJ$12,'Statement of Marks'!BP195,IF($L$3=$AJ$13,'Statement of Marks'!CE195,IF($L$3=$AJ$14,'Statement of Marks'!CT195,IF($L$3=$AJ$15,'Statement of Marks'!DZ195,IF($L$3=$AJ$16,'Statement of Marks'!EL195,IF($L$3=$AJ$17,('Statement of Marks'!FB195+'Statement of Marks'!FC195),"")))))))))),"")</f>
        <v/>
      </c>
      <c r="K196" s="809" t="str">
        <f>IFERROR(IF($L$3=$AJ$8,'Statement of Marks'!L195,IF($L$3=$AJ$9,'Statement of Marks'!Z195,IF($L$3=$AJ$10,'Statement of Marks'!AO195,IF($L$3=$AJ$11,'Statement of Marks'!BC195,IF($L$3=$AJ$12,'Statement of Marks'!BQ195,IF($L$3=$AJ$13,'Statement of Marks'!CF195,IF($L$3=$AJ$14,'Statement of Marks'!CU195,IF($L$3=$AJ$15,'Statement of Marks'!EA195,IF($L$3=$AJ$16,'Statement of Marks'!EM195,IF($L$3=$AJ$17,('Statement of Marks'!FD195+'Statement of Marks'!FE195),"")))))))))),"")</f>
        <v/>
      </c>
      <c r="L196" s="809" t="str">
        <f>IFERROR(IF($L$3=$AJ$8,'Statement of Marks'!M195,IF($L$3=$AJ$9,'Statement of Marks'!AA195,IF($L$3=$AJ$10,'Statement of Marks'!AP195,IF($L$3=$AJ$11,'Statement of Marks'!BD195,IF($L$3=$AJ$12,'Statement of Marks'!BR195,IF($L$3=$AJ$13,'Statement of Marks'!CG195,IF($L$3=$AJ$14,'Statement of Marks'!CV195,IF($L$3=$AJ$15,'Statement of Marks'!EB195,IF($L$3=$AJ$16,'Statement of Marks'!EN195,IF($L$3=$AJ$17,('Statement of Marks'!FF195+'Statement of Marks'!FG195),"")))))))))),"")</f>
        <v/>
      </c>
      <c r="M196" s="810">
        <f t="shared" si="20"/>
        <v>0</v>
      </c>
      <c r="N196" s="809" t="str">
        <f>IFERROR(IF($L$3=$AJ$8,'Statement of Marks'!O195,IF($L$3=$AJ$9,'Statement of Marks'!AC195,IF($L$3=$AJ$10,'Statement of Marks'!AR195,IF($L$3=$AJ$11,'Statement of Marks'!BF195,IF($L$3=$AJ$12,'Statement of Marks'!BT195,IF($L$3=$AJ$13,'Statement of Marks'!CI195,IF($L$3=$AJ$14,('Statement of Marks'!CX195+'Statement of Marks'!CY195),IF($L$3=$AJ$15,'Statement of Marks'!ED195,IF($L$3=$AJ$16,('Statement of Marks'!EP195+'Statement of Marks'!EQ195),IF($L$3=$AJ$17,('Statement of Marks'!FI195+'Statement of Marks'!FJ195),IF($L$3=$AJ$18,'Statement of Marks'!FU195,IF($L$3=$AJ$19,'Statement of Marks'!GC195,"")))))))))))),"")</f>
        <v/>
      </c>
      <c r="O196" s="811">
        <f>IF($L$3=$AJ$18,'Statement of Marks'!FV195,IF($L$3=$AJ$19,'Statement of Marks'!GD195,IF(AND(M196="NA",N196="NA"),"NA",IF(AND(M196="",N196=""),"",SUM(M196,N196)))))</f>
        <v>0</v>
      </c>
      <c r="P196" s="809" t="str">
        <f>IFERROR(IF($L$3=$AJ$8,'Statement of Marks'!Q195,IF($L$3=$AJ$9,'Statement of Marks'!AE195,IF($L$3=$AJ$10,'Statement of Marks'!AT195,IF($L$3=$AJ$11,'Statement of Marks'!BH195,IF($L$3=$AJ$12,'Statement of Marks'!BV195,IF($L$3=$AJ$13,'Statement of Marks'!CK195,IF($L$3=$AJ$14,('Statement of Marks'!DB195+'Statement of Marks'!DC195),IF($L$3=$AJ$15,'Statement of Marks'!EF195,IF($L$3=$AJ$16,('Statement of Marks'!ET195+'Statement of Marks'!EU195),IF($L$3=$AJ$17,('Statement of Marks'!FM195+'Statement of Marks'!FN195),IF($L$3=$AJ$18,'Statement of Marks'!FW195,IF($L$3=$AJ$19,'Statement of Marks'!GE195,"")))))))))))),"")</f>
        <v/>
      </c>
      <c r="Q196" s="812" t="str">
        <f t="shared" si="23"/>
        <v/>
      </c>
      <c r="R196" s="813">
        <f t="shared" si="28"/>
        <v>0</v>
      </c>
      <c r="S196" s="813" t="str">
        <f t="shared" si="24"/>
        <v/>
      </c>
      <c r="T196" s="813" t="str">
        <f t="shared" si="25"/>
        <v/>
      </c>
      <c r="U196" s="814" t="str">
        <f t="shared" si="26"/>
        <v/>
      </c>
      <c r="V196" s="815" t="str">
        <f t="shared" si="27"/>
        <v/>
      </c>
      <c r="W196" s="816" t="str">
        <f t="shared" si="29"/>
        <v/>
      </c>
    </row>
    <row r="197" spans="1:23">
      <c r="A197" s="803">
        <f>IF('Statement of Marks'!A196="","",'Statement of Marks'!A196)</f>
        <v>190</v>
      </c>
      <c r="B197" s="804" t="str">
        <f>IF(OR($D$3="",$L$3=""),"",IF('Statement of Marks'!B196="","",'Statement of Marks'!B196))</f>
        <v/>
      </c>
      <c r="C197" s="805" t="str">
        <f>IF(OR($D$3="",$L$3=""),"",IF('Statement of Marks'!D196="","",'Statement of Marks'!D196))</f>
        <v/>
      </c>
      <c r="D197" s="806" t="str">
        <f>IF(OR($D$3="",$L$3=""),"",IF('Statement of Marks'!E196="","",'Statement of Marks'!E196))</f>
        <v/>
      </c>
      <c r="E197" s="807" t="str">
        <f>IF(OR($D$3="",$L$3=""),"",IF('Statement of Marks'!F196="","",'Statement of Marks'!F196))</f>
        <v/>
      </c>
      <c r="F197" s="807" t="str">
        <f>IF(OR($D$3="",$L$3=""),"",IF('Statement of Marks'!G196="","",'Statement of Marks'!G196))</f>
        <v/>
      </c>
      <c r="G197" s="807" t="str">
        <f>IF(OR($D$3="",$L$3=""),"",IF('Statement of Marks'!H196="","",'Statement of Marks'!H196))</f>
        <v/>
      </c>
      <c r="H197" s="808" t="str">
        <f>IF(OR($D$3="",$L$3=""),"",IF('Statement of Marks'!I196="","",'Statement of Marks'!I196))</f>
        <v/>
      </c>
      <c r="I197" s="808" t="str">
        <f>IF(OR($D$3="",$L$3=""),"",IF('Statement of Marks'!J196="","",'Statement of Marks'!J196))</f>
        <v/>
      </c>
      <c r="J197" s="809" t="str">
        <f>IFERROR(IF($L$3=$AJ$8,'Statement of Marks'!K196,IF($L$3=$AJ$9,'Statement of Marks'!Y196,IF($L$3=$AJ$10,'Statement of Marks'!AN196,IF($L$3=$AJ$11,'Statement of Marks'!BB196,IF($L$3=$AJ$12,'Statement of Marks'!BP196,IF($L$3=$AJ$13,'Statement of Marks'!CE196,IF($L$3=$AJ$14,'Statement of Marks'!CT196,IF($L$3=$AJ$15,'Statement of Marks'!DZ196,IF($L$3=$AJ$16,'Statement of Marks'!EL196,IF($L$3=$AJ$17,('Statement of Marks'!FB196+'Statement of Marks'!FC196),"")))))))))),"")</f>
        <v/>
      </c>
      <c r="K197" s="809" t="str">
        <f>IFERROR(IF($L$3=$AJ$8,'Statement of Marks'!L196,IF($L$3=$AJ$9,'Statement of Marks'!Z196,IF($L$3=$AJ$10,'Statement of Marks'!AO196,IF($L$3=$AJ$11,'Statement of Marks'!BC196,IF($L$3=$AJ$12,'Statement of Marks'!BQ196,IF($L$3=$AJ$13,'Statement of Marks'!CF196,IF($L$3=$AJ$14,'Statement of Marks'!CU196,IF($L$3=$AJ$15,'Statement of Marks'!EA196,IF($L$3=$AJ$16,'Statement of Marks'!EM196,IF($L$3=$AJ$17,('Statement of Marks'!FD196+'Statement of Marks'!FE196),"")))))))))),"")</f>
        <v/>
      </c>
      <c r="L197" s="809" t="str">
        <f>IFERROR(IF($L$3=$AJ$8,'Statement of Marks'!M196,IF($L$3=$AJ$9,'Statement of Marks'!AA196,IF($L$3=$AJ$10,'Statement of Marks'!AP196,IF($L$3=$AJ$11,'Statement of Marks'!BD196,IF($L$3=$AJ$12,'Statement of Marks'!BR196,IF($L$3=$AJ$13,'Statement of Marks'!CG196,IF($L$3=$AJ$14,'Statement of Marks'!CV196,IF($L$3=$AJ$15,'Statement of Marks'!EB196,IF($L$3=$AJ$16,'Statement of Marks'!EN196,IF($L$3=$AJ$17,('Statement of Marks'!FF196+'Statement of Marks'!FG196),"")))))))))),"")</f>
        <v/>
      </c>
      <c r="M197" s="810">
        <f t="shared" si="20"/>
        <v>0</v>
      </c>
      <c r="N197" s="809" t="str">
        <f>IFERROR(IF($L$3=$AJ$8,'Statement of Marks'!O196,IF($L$3=$AJ$9,'Statement of Marks'!AC196,IF($L$3=$AJ$10,'Statement of Marks'!AR196,IF($L$3=$AJ$11,'Statement of Marks'!BF196,IF($L$3=$AJ$12,'Statement of Marks'!BT196,IF($L$3=$AJ$13,'Statement of Marks'!CI196,IF($L$3=$AJ$14,('Statement of Marks'!CX196+'Statement of Marks'!CY196),IF($L$3=$AJ$15,'Statement of Marks'!ED196,IF($L$3=$AJ$16,('Statement of Marks'!EP196+'Statement of Marks'!EQ196),IF($L$3=$AJ$17,('Statement of Marks'!FI196+'Statement of Marks'!FJ196),IF($L$3=$AJ$18,'Statement of Marks'!FU196,IF($L$3=$AJ$19,'Statement of Marks'!GC196,"")))))))))))),"")</f>
        <v/>
      </c>
      <c r="O197" s="811">
        <f>IF($L$3=$AJ$18,'Statement of Marks'!FV196,IF($L$3=$AJ$19,'Statement of Marks'!GD196,IF(AND(M197="NA",N197="NA"),"NA",IF(AND(M197="",N197=""),"",SUM(M197,N197)))))</f>
        <v>0</v>
      </c>
      <c r="P197" s="809" t="str">
        <f>IFERROR(IF($L$3=$AJ$8,'Statement of Marks'!Q196,IF($L$3=$AJ$9,'Statement of Marks'!AE196,IF($L$3=$AJ$10,'Statement of Marks'!AT196,IF($L$3=$AJ$11,'Statement of Marks'!BH196,IF($L$3=$AJ$12,'Statement of Marks'!BV196,IF($L$3=$AJ$13,'Statement of Marks'!CK196,IF($L$3=$AJ$14,('Statement of Marks'!DB196+'Statement of Marks'!DC196),IF($L$3=$AJ$15,'Statement of Marks'!EF196,IF($L$3=$AJ$16,('Statement of Marks'!ET196+'Statement of Marks'!EU196),IF($L$3=$AJ$17,('Statement of Marks'!FM196+'Statement of Marks'!FN196),IF($L$3=$AJ$18,'Statement of Marks'!FW196,IF($L$3=$AJ$19,'Statement of Marks'!GE196,"")))))))))))),"")</f>
        <v/>
      </c>
      <c r="Q197" s="812" t="str">
        <f t="shared" si="23"/>
        <v/>
      </c>
      <c r="R197" s="813">
        <f t="shared" si="28"/>
        <v>0</v>
      </c>
      <c r="S197" s="813" t="str">
        <f t="shared" si="24"/>
        <v/>
      </c>
      <c r="T197" s="813" t="str">
        <f t="shared" si="25"/>
        <v/>
      </c>
      <c r="U197" s="814" t="str">
        <f t="shared" si="26"/>
        <v/>
      </c>
      <c r="V197" s="815" t="str">
        <f t="shared" si="27"/>
        <v/>
      </c>
      <c r="W197" s="816" t="str">
        <f t="shared" si="29"/>
        <v/>
      </c>
    </row>
    <row r="198" spans="1:23">
      <c r="A198" s="803">
        <f>IF('Statement of Marks'!A197="","",'Statement of Marks'!A197)</f>
        <v>191</v>
      </c>
      <c r="B198" s="804" t="str">
        <f>IF(OR($D$3="",$L$3=""),"",IF('Statement of Marks'!B197="","",'Statement of Marks'!B197))</f>
        <v/>
      </c>
      <c r="C198" s="805" t="str">
        <f>IF(OR($D$3="",$L$3=""),"",IF('Statement of Marks'!D197="","",'Statement of Marks'!D197))</f>
        <v/>
      </c>
      <c r="D198" s="806" t="str">
        <f>IF(OR($D$3="",$L$3=""),"",IF('Statement of Marks'!E197="","",'Statement of Marks'!E197))</f>
        <v/>
      </c>
      <c r="E198" s="807" t="str">
        <f>IF(OR($D$3="",$L$3=""),"",IF('Statement of Marks'!F197="","",'Statement of Marks'!F197))</f>
        <v/>
      </c>
      <c r="F198" s="807" t="str">
        <f>IF(OR($D$3="",$L$3=""),"",IF('Statement of Marks'!G197="","",'Statement of Marks'!G197))</f>
        <v/>
      </c>
      <c r="G198" s="807" t="str">
        <f>IF(OR($D$3="",$L$3=""),"",IF('Statement of Marks'!H197="","",'Statement of Marks'!H197))</f>
        <v/>
      </c>
      <c r="H198" s="808" t="str">
        <f>IF(OR($D$3="",$L$3=""),"",IF('Statement of Marks'!I197="","",'Statement of Marks'!I197))</f>
        <v/>
      </c>
      <c r="I198" s="808" t="str">
        <f>IF(OR($D$3="",$L$3=""),"",IF('Statement of Marks'!J197="","",'Statement of Marks'!J197))</f>
        <v/>
      </c>
      <c r="J198" s="809" t="str">
        <f>IFERROR(IF($L$3=$AJ$8,'Statement of Marks'!K197,IF($L$3=$AJ$9,'Statement of Marks'!Y197,IF($L$3=$AJ$10,'Statement of Marks'!AN197,IF($L$3=$AJ$11,'Statement of Marks'!BB197,IF($L$3=$AJ$12,'Statement of Marks'!BP197,IF($L$3=$AJ$13,'Statement of Marks'!CE197,IF($L$3=$AJ$14,'Statement of Marks'!CT197,IF($L$3=$AJ$15,'Statement of Marks'!DZ197,IF($L$3=$AJ$16,'Statement of Marks'!EL197,IF($L$3=$AJ$17,('Statement of Marks'!FB197+'Statement of Marks'!FC197),"")))))))))),"")</f>
        <v/>
      </c>
      <c r="K198" s="809" t="str">
        <f>IFERROR(IF($L$3=$AJ$8,'Statement of Marks'!L197,IF($L$3=$AJ$9,'Statement of Marks'!Z197,IF($L$3=$AJ$10,'Statement of Marks'!AO197,IF($L$3=$AJ$11,'Statement of Marks'!BC197,IF($L$3=$AJ$12,'Statement of Marks'!BQ197,IF($L$3=$AJ$13,'Statement of Marks'!CF197,IF($L$3=$AJ$14,'Statement of Marks'!CU197,IF($L$3=$AJ$15,'Statement of Marks'!EA197,IF($L$3=$AJ$16,'Statement of Marks'!EM197,IF($L$3=$AJ$17,('Statement of Marks'!FD197+'Statement of Marks'!FE197),"")))))))))),"")</f>
        <v/>
      </c>
      <c r="L198" s="809" t="str">
        <f>IFERROR(IF($L$3=$AJ$8,'Statement of Marks'!M197,IF($L$3=$AJ$9,'Statement of Marks'!AA197,IF($L$3=$AJ$10,'Statement of Marks'!AP197,IF($L$3=$AJ$11,'Statement of Marks'!BD197,IF($L$3=$AJ$12,'Statement of Marks'!BR197,IF($L$3=$AJ$13,'Statement of Marks'!CG197,IF($L$3=$AJ$14,'Statement of Marks'!CV197,IF($L$3=$AJ$15,'Statement of Marks'!EB197,IF($L$3=$AJ$16,'Statement of Marks'!EN197,IF($L$3=$AJ$17,('Statement of Marks'!FF197+'Statement of Marks'!FG197),"")))))))))),"")</f>
        <v/>
      </c>
      <c r="M198" s="810">
        <f t="shared" si="20"/>
        <v>0</v>
      </c>
      <c r="N198" s="809" t="str">
        <f>IFERROR(IF($L$3=$AJ$8,'Statement of Marks'!O197,IF($L$3=$AJ$9,'Statement of Marks'!AC197,IF($L$3=$AJ$10,'Statement of Marks'!AR197,IF($L$3=$AJ$11,'Statement of Marks'!BF197,IF($L$3=$AJ$12,'Statement of Marks'!BT197,IF($L$3=$AJ$13,'Statement of Marks'!CI197,IF($L$3=$AJ$14,('Statement of Marks'!CX197+'Statement of Marks'!CY197),IF($L$3=$AJ$15,'Statement of Marks'!ED197,IF($L$3=$AJ$16,('Statement of Marks'!EP197+'Statement of Marks'!EQ197),IF($L$3=$AJ$17,('Statement of Marks'!FI197+'Statement of Marks'!FJ197),IF($L$3=$AJ$18,'Statement of Marks'!FU197,IF($L$3=$AJ$19,'Statement of Marks'!GC197,"")))))))))))),"")</f>
        <v/>
      </c>
      <c r="O198" s="811">
        <f>IF($L$3=$AJ$18,'Statement of Marks'!FV197,IF($L$3=$AJ$19,'Statement of Marks'!GD197,IF(AND(M198="NA",N198="NA"),"NA",IF(AND(M198="",N198=""),"",SUM(M198,N198)))))</f>
        <v>0</v>
      </c>
      <c r="P198" s="809" t="str">
        <f>IFERROR(IF($L$3=$AJ$8,'Statement of Marks'!Q197,IF($L$3=$AJ$9,'Statement of Marks'!AE197,IF($L$3=$AJ$10,'Statement of Marks'!AT197,IF($L$3=$AJ$11,'Statement of Marks'!BH197,IF($L$3=$AJ$12,'Statement of Marks'!BV197,IF($L$3=$AJ$13,'Statement of Marks'!CK197,IF($L$3=$AJ$14,('Statement of Marks'!DB197+'Statement of Marks'!DC197),IF($L$3=$AJ$15,'Statement of Marks'!EF197,IF($L$3=$AJ$16,('Statement of Marks'!ET197+'Statement of Marks'!EU197),IF($L$3=$AJ$17,('Statement of Marks'!FM197+'Statement of Marks'!FN197),IF($L$3=$AJ$18,'Statement of Marks'!FW197,IF($L$3=$AJ$19,'Statement of Marks'!GE197,"")))))))))))),"")</f>
        <v/>
      </c>
      <c r="Q198" s="812" t="str">
        <f t="shared" si="23"/>
        <v/>
      </c>
      <c r="R198" s="813">
        <f t="shared" si="28"/>
        <v>0</v>
      </c>
      <c r="S198" s="813" t="str">
        <f t="shared" si="24"/>
        <v/>
      </c>
      <c r="T198" s="813" t="str">
        <f t="shared" si="25"/>
        <v/>
      </c>
      <c r="U198" s="814" t="str">
        <f t="shared" si="26"/>
        <v/>
      </c>
      <c r="V198" s="815" t="str">
        <f t="shared" si="27"/>
        <v/>
      </c>
      <c r="W198" s="816" t="str">
        <f t="shared" si="29"/>
        <v/>
      </c>
    </row>
    <row r="199" spans="1:23">
      <c r="A199" s="803">
        <f>IF('Statement of Marks'!A198="","",'Statement of Marks'!A198)</f>
        <v>192</v>
      </c>
      <c r="B199" s="804" t="str">
        <f>IF(OR($D$3="",$L$3=""),"",IF('Statement of Marks'!B198="","",'Statement of Marks'!B198))</f>
        <v/>
      </c>
      <c r="C199" s="805" t="str">
        <f>IF(OR($D$3="",$L$3=""),"",IF('Statement of Marks'!D198="","",'Statement of Marks'!D198))</f>
        <v/>
      </c>
      <c r="D199" s="806" t="str">
        <f>IF(OR($D$3="",$L$3=""),"",IF('Statement of Marks'!E198="","",'Statement of Marks'!E198))</f>
        <v/>
      </c>
      <c r="E199" s="807" t="str">
        <f>IF(OR($D$3="",$L$3=""),"",IF('Statement of Marks'!F198="","",'Statement of Marks'!F198))</f>
        <v/>
      </c>
      <c r="F199" s="807" t="str">
        <f>IF(OR($D$3="",$L$3=""),"",IF('Statement of Marks'!G198="","",'Statement of Marks'!G198))</f>
        <v/>
      </c>
      <c r="G199" s="807" t="str">
        <f>IF(OR($D$3="",$L$3=""),"",IF('Statement of Marks'!H198="","",'Statement of Marks'!H198))</f>
        <v/>
      </c>
      <c r="H199" s="808" t="str">
        <f>IF(OR($D$3="",$L$3=""),"",IF('Statement of Marks'!I198="","",'Statement of Marks'!I198))</f>
        <v/>
      </c>
      <c r="I199" s="808" t="str">
        <f>IF(OR($D$3="",$L$3=""),"",IF('Statement of Marks'!J198="","",'Statement of Marks'!J198))</f>
        <v/>
      </c>
      <c r="J199" s="809" t="str">
        <f>IFERROR(IF($L$3=$AJ$8,'Statement of Marks'!K198,IF($L$3=$AJ$9,'Statement of Marks'!Y198,IF($L$3=$AJ$10,'Statement of Marks'!AN198,IF($L$3=$AJ$11,'Statement of Marks'!BB198,IF($L$3=$AJ$12,'Statement of Marks'!BP198,IF($L$3=$AJ$13,'Statement of Marks'!CE198,IF($L$3=$AJ$14,'Statement of Marks'!CT198,IF($L$3=$AJ$15,'Statement of Marks'!DZ198,IF($L$3=$AJ$16,'Statement of Marks'!EL198,IF($L$3=$AJ$17,('Statement of Marks'!FB198+'Statement of Marks'!FC198),"")))))))))),"")</f>
        <v/>
      </c>
      <c r="K199" s="809" t="str">
        <f>IFERROR(IF($L$3=$AJ$8,'Statement of Marks'!L198,IF($L$3=$AJ$9,'Statement of Marks'!Z198,IF($L$3=$AJ$10,'Statement of Marks'!AO198,IF($L$3=$AJ$11,'Statement of Marks'!BC198,IF($L$3=$AJ$12,'Statement of Marks'!BQ198,IF($L$3=$AJ$13,'Statement of Marks'!CF198,IF($L$3=$AJ$14,'Statement of Marks'!CU198,IF($L$3=$AJ$15,'Statement of Marks'!EA198,IF($L$3=$AJ$16,'Statement of Marks'!EM198,IF($L$3=$AJ$17,('Statement of Marks'!FD198+'Statement of Marks'!FE198),"")))))))))),"")</f>
        <v/>
      </c>
      <c r="L199" s="809" t="str">
        <f>IFERROR(IF($L$3=$AJ$8,'Statement of Marks'!M198,IF($L$3=$AJ$9,'Statement of Marks'!AA198,IF($L$3=$AJ$10,'Statement of Marks'!AP198,IF($L$3=$AJ$11,'Statement of Marks'!BD198,IF($L$3=$AJ$12,'Statement of Marks'!BR198,IF($L$3=$AJ$13,'Statement of Marks'!CG198,IF($L$3=$AJ$14,'Statement of Marks'!CV198,IF($L$3=$AJ$15,'Statement of Marks'!EB198,IF($L$3=$AJ$16,'Statement of Marks'!EN198,IF($L$3=$AJ$17,('Statement of Marks'!FF198+'Statement of Marks'!FG198),"")))))))))),"")</f>
        <v/>
      </c>
      <c r="M199" s="810">
        <f t="shared" ref="M199:M207" si="30">IF(AND(J199="",K199="",L199="",$L$3=""),"",IF(OR($L$3=$AJ$18,$L$3=$AJ$19),"",SUM(J199:L199)))</f>
        <v>0</v>
      </c>
      <c r="N199" s="809" t="str">
        <f>IFERROR(IF($L$3=$AJ$8,'Statement of Marks'!O198,IF($L$3=$AJ$9,'Statement of Marks'!AC198,IF($L$3=$AJ$10,'Statement of Marks'!AR198,IF($L$3=$AJ$11,'Statement of Marks'!BF198,IF($L$3=$AJ$12,'Statement of Marks'!BT198,IF($L$3=$AJ$13,'Statement of Marks'!CI198,IF($L$3=$AJ$14,('Statement of Marks'!CX198+'Statement of Marks'!CY198),IF($L$3=$AJ$15,'Statement of Marks'!ED198,IF($L$3=$AJ$16,('Statement of Marks'!EP198+'Statement of Marks'!EQ198),IF($L$3=$AJ$17,('Statement of Marks'!FI198+'Statement of Marks'!FJ198),IF($L$3=$AJ$18,'Statement of Marks'!FU198,IF($L$3=$AJ$19,'Statement of Marks'!GC198,"")))))))))))),"")</f>
        <v/>
      </c>
      <c r="O199" s="811">
        <f>IF($L$3=$AJ$18,'Statement of Marks'!FV198,IF($L$3=$AJ$19,'Statement of Marks'!GD198,IF(AND(M199="NA",N199="NA"),"NA",IF(AND(M199="",N199=""),"",SUM(M199,N199)))))</f>
        <v>0</v>
      </c>
      <c r="P199" s="809" t="str">
        <f>IFERROR(IF($L$3=$AJ$8,'Statement of Marks'!Q198,IF($L$3=$AJ$9,'Statement of Marks'!AE198,IF($L$3=$AJ$10,'Statement of Marks'!AT198,IF($L$3=$AJ$11,'Statement of Marks'!BH198,IF($L$3=$AJ$12,'Statement of Marks'!BV198,IF($L$3=$AJ$13,'Statement of Marks'!CK198,IF($L$3=$AJ$14,('Statement of Marks'!DB198+'Statement of Marks'!DC198),IF($L$3=$AJ$15,'Statement of Marks'!EF198,IF($L$3=$AJ$16,('Statement of Marks'!ET198+'Statement of Marks'!EU198),IF($L$3=$AJ$17,('Statement of Marks'!FM198+'Statement of Marks'!FN198),IF($L$3=$AJ$18,'Statement of Marks'!FW198,IF($L$3=$AJ$19,'Statement of Marks'!GE198,"")))))))))))),"")</f>
        <v/>
      </c>
      <c r="Q199" s="812" t="str">
        <f t="shared" si="23"/>
        <v/>
      </c>
      <c r="R199" s="813">
        <f t="shared" si="28"/>
        <v>0</v>
      </c>
      <c r="S199" s="813" t="str">
        <f t="shared" si="24"/>
        <v/>
      </c>
      <c r="T199" s="813" t="str">
        <f t="shared" si="25"/>
        <v/>
      </c>
      <c r="U199" s="814" t="str">
        <f t="shared" si="26"/>
        <v/>
      </c>
      <c r="V199" s="815" t="str">
        <f t="shared" si="27"/>
        <v/>
      </c>
      <c r="W199" s="816" t="str">
        <f t="shared" si="29"/>
        <v/>
      </c>
    </row>
    <row r="200" spans="1:23">
      <c r="A200" s="803">
        <f>IF('Statement of Marks'!A199="","",'Statement of Marks'!A199)</f>
        <v>193</v>
      </c>
      <c r="B200" s="804" t="str">
        <f>IF(OR($D$3="",$L$3=""),"",IF('Statement of Marks'!B199="","",'Statement of Marks'!B199))</f>
        <v/>
      </c>
      <c r="C200" s="805" t="str">
        <f>IF(OR($D$3="",$L$3=""),"",IF('Statement of Marks'!D199="","",'Statement of Marks'!D199))</f>
        <v/>
      </c>
      <c r="D200" s="806" t="str">
        <f>IF(OR($D$3="",$L$3=""),"",IF('Statement of Marks'!E199="","",'Statement of Marks'!E199))</f>
        <v/>
      </c>
      <c r="E200" s="807" t="str">
        <f>IF(OR($D$3="",$L$3=""),"",IF('Statement of Marks'!F199="","",'Statement of Marks'!F199))</f>
        <v/>
      </c>
      <c r="F200" s="807" t="str">
        <f>IF(OR($D$3="",$L$3=""),"",IF('Statement of Marks'!G199="","",'Statement of Marks'!G199))</f>
        <v/>
      </c>
      <c r="G200" s="807" t="str">
        <f>IF(OR($D$3="",$L$3=""),"",IF('Statement of Marks'!H199="","",'Statement of Marks'!H199))</f>
        <v/>
      </c>
      <c r="H200" s="808" t="str">
        <f>IF(OR($D$3="",$L$3=""),"",IF('Statement of Marks'!I199="","",'Statement of Marks'!I199))</f>
        <v/>
      </c>
      <c r="I200" s="808" t="str">
        <f>IF(OR($D$3="",$L$3=""),"",IF('Statement of Marks'!J199="","",'Statement of Marks'!J199))</f>
        <v/>
      </c>
      <c r="J200" s="809" t="str">
        <f>IFERROR(IF($L$3=$AJ$8,'Statement of Marks'!K199,IF($L$3=$AJ$9,'Statement of Marks'!Y199,IF($L$3=$AJ$10,'Statement of Marks'!AN199,IF($L$3=$AJ$11,'Statement of Marks'!BB199,IF($L$3=$AJ$12,'Statement of Marks'!BP199,IF($L$3=$AJ$13,'Statement of Marks'!CE199,IF($L$3=$AJ$14,'Statement of Marks'!CT199,IF($L$3=$AJ$15,'Statement of Marks'!DZ199,IF($L$3=$AJ$16,'Statement of Marks'!EL199,IF($L$3=$AJ$17,('Statement of Marks'!FB199+'Statement of Marks'!FC199),"")))))))))),"")</f>
        <v/>
      </c>
      <c r="K200" s="809" t="str">
        <f>IFERROR(IF($L$3=$AJ$8,'Statement of Marks'!L199,IF($L$3=$AJ$9,'Statement of Marks'!Z199,IF($L$3=$AJ$10,'Statement of Marks'!AO199,IF($L$3=$AJ$11,'Statement of Marks'!BC199,IF($L$3=$AJ$12,'Statement of Marks'!BQ199,IF($L$3=$AJ$13,'Statement of Marks'!CF199,IF($L$3=$AJ$14,'Statement of Marks'!CU199,IF($L$3=$AJ$15,'Statement of Marks'!EA199,IF($L$3=$AJ$16,'Statement of Marks'!EM199,IF($L$3=$AJ$17,('Statement of Marks'!FD199+'Statement of Marks'!FE199),"")))))))))),"")</f>
        <v/>
      </c>
      <c r="L200" s="809" t="str">
        <f>IFERROR(IF($L$3=$AJ$8,'Statement of Marks'!M199,IF($L$3=$AJ$9,'Statement of Marks'!AA199,IF($L$3=$AJ$10,'Statement of Marks'!AP199,IF($L$3=$AJ$11,'Statement of Marks'!BD199,IF($L$3=$AJ$12,'Statement of Marks'!BR199,IF($L$3=$AJ$13,'Statement of Marks'!CG199,IF($L$3=$AJ$14,'Statement of Marks'!CV199,IF($L$3=$AJ$15,'Statement of Marks'!EB199,IF($L$3=$AJ$16,'Statement of Marks'!EN199,IF($L$3=$AJ$17,('Statement of Marks'!FF199+'Statement of Marks'!FG199),"")))))))))),"")</f>
        <v/>
      </c>
      <c r="M200" s="810">
        <f t="shared" si="30"/>
        <v>0</v>
      </c>
      <c r="N200" s="809" t="str">
        <f>IFERROR(IF($L$3=$AJ$8,'Statement of Marks'!O199,IF($L$3=$AJ$9,'Statement of Marks'!AC199,IF($L$3=$AJ$10,'Statement of Marks'!AR199,IF($L$3=$AJ$11,'Statement of Marks'!BF199,IF($L$3=$AJ$12,'Statement of Marks'!BT199,IF($L$3=$AJ$13,'Statement of Marks'!CI199,IF($L$3=$AJ$14,('Statement of Marks'!CX199+'Statement of Marks'!CY199),IF($L$3=$AJ$15,'Statement of Marks'!ED199,IF($L$3=$AJ$16,('Statement of Marks'!EP199+'Statement of Marks'!EQ199),IF($L$3=$AJ$17,('Statement of Marks'!FI199+'Statement of Marks'!FJ199),IF($L$3=$AJ$18,'Statement of Marks'!FU199,IF($L$3=$AJ$19,'Statement of Marks'!GC199,"")))))))))))),"")</f>
        <v/>
      </c>
      <c r="O200" s="811">
        <f>IF($L$3=$AJ$18,'Statement of Marks'!FV199,IF($L$3=$AJ$19,'Statement of Marks'!GD199,IF(AND(M200="NA",N200="NA"),"NA",IF(AND(M200="",N200=""),"",SUM(M200,N200)))))</f>
        <v>0</v>
      </c>
      <c r="P200" s="809" t="str">
        <f>IFERROR(IF($L$3=$AJ$8,'Statement of Marks'!Q199,IF($L$3=$AJ$9,'Statement of Marks'!AE199,IF($L$3=$AJ$10,'Statement of Marks'!AT199,IF($L$3=$AJ$11,'Statement of Marks'!BH199,IF($L$3=$AJ$12,'Statement of Marks'!BV199,IF($L$3=$AJ$13,'Statement of Marks'!CK199,IF($L$3=$AJ$14,('Statement of Marks'!DB199+'Statement of Marks'!DC199),IF($L$3=$AJ$15,'Statement of Marks'!EF199,IF($L$3=$AJ$16,('Statement of Marks'!ET199+'Statement of Marks'!EU199),IF($L$3=$AJ$17,('Statement of Marks'!FM199+'Statement of Marks'!FN199),IF($L$3=$AJ$18,'Statement of Marks'!FW199,IF($L$3=$AJ$19,'Statement of Marks'!GE199,"")))))))))))),"")</f>
        <v/>
      </c>
      <c r="Q200" s="812" t="str">
        <f t="shared" si="23"/>
        <v/>
      </c>
      <c r="R200" s="813">
        <f t="shared" ref="R200:R207" si="31">IFERROR(IF($L$3="","",IF(OR($L$3=$AJ$18,$L$3=$AJ$19),COUNTIF(J200:L200,"NA")*$J$7+(COUNTIF(J200:L200,"ML")*$J$7)+(COUNTIF(O200,"ML")*$O$7)+(COUNTIF(N200,"ML")*$N$8)+(COUNTIF(P200,"ML")*$P$7),COUNTIF(N200,"NA")*$N$7+(COUNTIF(J200:L200,"ML")*$J$7)+(COUNTIF(N200,"ML")*$N$7)+(COUNTIF(P200,"ML")*$P$7))),0)</f>
        <v>0</v>
      </c>
      <c r="S200" s="813" t="str">
        <f t="shared" si="24"/>
        <v/>
      </c>
      <c r="T200" s="813" t="str">
        <f t="shared" si="25"/>
        <v/>
      </c>
      <c r="U200" s="814" t="str">
        <f t="shared" si="26"/>
        <v/>
      </c>
      <c r="V200" s="815" t="str">
        <f t="shared" si="27"/>
        <v/>
      </c>
      <c r="W200" s="816" t="str">
        <f t="shared" ref="W200:W207" si="32">IF(Q200="","",IF(OR(U200="",U200=0,U200="RE",U200="AB",B200="NSO"),"",IF(Q200&gt;85%*S200,"A",IF(Q200&gt;70%*S200,"B",IF(Q200&gt;=50%*S200,"C",IF(Q200&gt;=30%*S200,"D","E"))))))</f>
        <v/>
      </c>
    </row>
    <row r="201" spans="1:23">
      <c r="A201" s="803">
        <f>IF('Statement of Marks'!A200="","",'Statement of Marks'!A200)</f>
        <v>194</v>
      </c>
      <c r="B201" s="804" t="str">
        <f>IF(OR($D$3="",$L$3=""),"",IF('Statement of Marks'!B200="","",'Statement of Marks'!B200))</f>
        <v/>
      </c>
      <c r="C201" s="805" t="str">
        <f>IF(OR($D$3="",$L$3=""),"",IF('Statement of Marks'!D200="","",'Statement of Marks'!D200))</f>
        <v/>
      </c>
      <c r="D201" s="806" t="str">
        <f>IF(OR($D$3="",$L$3=""),"",IF('Statement of Marks'!E200="","",'Statement of Marks'!E200))</f>
        <v/>
      </c>
      <c r="E201" s="807" t="str">
        <f>IF(OR($D$3="",$L$3=""),"",IF('Statement of Marks'!F200="","",'Statement of Marks'!F200))</f>
        <v/>
      </c>
      <c r="F201" s="807" t="str">
        <f>IF(OR($D$3="",$L$3=""),"",IF('Statement of Marks'!G200="","",'Statement of Marks'!G200))</f>
        <v/>
      </c>
      <c r="G201" s="807" t="str">
        <f>IF(OR($D$3="",$L$3=""),"",IF('Statement of Marks'!H200="","",'Statement of Marks'!H200))</f>
        <v/>
      </c>
      <c r="H201" s="808" t="str">
        <f>IF(OR($D$3="",$L$3=""),"",IF('Statement of Marks'!I200="","",'Statement of Marks'!I200))</f>
        <v/>
      </c>
      <c r="I201" s="808" t="str">
        <f>IF(OR($D$3="",$L$3=""),"",IF('Statement of Marks'!J200="","",'Statement of Marks'!J200))</f>
        <v/>
      </c>
      <c r="J201" s="809" t="str">
        <f>IFERROR(IF($L$3=$AJ$8,'Statement of Marks'!K200,IF($L$3=$AJ$9,'Statement of Marks'!Y200,IF($L$3=$AJ$10,'Statement of Marks'!AN200,IF($L$3=$AJ$11,'Statement of Marks'!BB200,IF($L$3=$AJ$12,'Statement of Marks'!BP200,IF($L$3=$AJ$13,'Statement of Marks'!CE200,IF($L$3=$AJ$14,'Statement of Marks'!CT200,IF($L$3=$AJ$15,'Statement of Marks'!DZ200,IF($L$3=$AJ$16,'Statement of Marks'!EL200,IF($L$3=$AJ$17,('Statement of Marks'!FB200+'Statement of Marks'!FC200),"")))))))))),"")</f>
        <v/>
      </c>
      <c r="K201" s="809" t="str">
        <f>IFERROR(IF($L$3=$AJ$8,'Statement of Marks'!L200,IF($L$3=$AJ$9,'Statement of Marks'!Z200,IF($L$3=$AJ$10,'Statement of Marks'!AO200,IF($L$3=$AJ$11,'Statement of Marks'!BC200,IF($L$3=$AJ$12,'Statement of Marks'!BQ200,IF($L$3=$AJ$13,'Statement of Marks'!CF200,IF($L$3=$AJ$14,'Statement of Marks'!CU200,IF($L$3=$AJ$15,'Statement of Marks'!EA200,IF($L$3=$AJ$16,'Statement of Marks'!EM200,IF($L$3=$AJ$17,('Statement of Marks'!FD200+'Statement of Marks'!FE200),"")))))))))),"")</f>
        <v/>
      </c>
      <c r="L201" s="809" t="str">
        <f>IFERROR(IF($L$3=$AJ$8,'Statement of Marks'!M200,IF($L$3=$AJ$9,'Statement of Marks'!AA200,IF($L$3=$AJ$10,'Statement of Marks'!AP200,IF($L$3=$AJ$11,'Statement of Marks'!BD200,IF($L$3=$AJ$12,'Statement of Marks'!BR200,IF($L$3=$AJ$13,'Statement of Marks'!CG200,IF($L$3=$AJ$14,'Statement of Marks'!CV200,IF($L$3=$AJ$15,'Statement of Marks'!EB200,IF($L$3=$AJ$16,'Statement of Marks'!EN200,IF($L$3=$AJ$17,('Statement of Marks'!FF200+'Statement of Marks'!FG200),"")))))))))),"")</f>
        <v/>
      </c>
      <c r="M201" s="810">
        <f t="shared" si="30"/>
        <v>0</v>
      </c>
      <c r="N201" s="809" t="str">
        <f>IFERROR(IF($L$3=$AJ$8,'Statement of Marks'!O200,IF($L$3=$AJ$9,'Statement of Marks'!AC200,IF($L$3=$AJ$10,'Statement of Marks'!AR200,IF($L$3=$AJ$11,'Statement of Marks'!BF200,IF($L$3=$AJ$12,'Statement of Marks'!BT200,IF($L$3=$AJ$13,'Statement of Marks'!CI200,IF($L$3=$AJ$14,('Statement of Marks'!CX200+'Statement of Marks'!CY200),IF($L$3=$AJ$15,'Statement of Marks'!ED200,IF($L$3=$AJ$16,('Statement of Marks'!EP200+'Statement of Marks'!EQ200),IF($L$3=$AJ$17,('Statement of Marks'!FI200+'Statement of Marks'!FJ200),IF($L$3=$AJ$18,'Statement of Marks'!FU200,IF($L$3=$AJ$19,'Statement of Marks'!GC200,"")))))))))))),"")</f>
        <v/>
      </c>
      <c r="O201" s="811">
        <f>IF($L$3=$AJ$18,'Statement of Marks'!FV200,IF($L$3=$AJ$19,'Statement of Marks'!GD200,IF(AND(M201="NA",N201="NA"),"NA",IF(AND(M201="",N201=""),"",SUM(M201,N201)))))</f>
        <v>0</v>
      </c>
      <c r="P201" s="809" t="str">
        <f>IFERROR(IF($L$3=$AJ$8,'Statement of Marks'!Q200,IF($L$3=$AJ$9,'Statement of Marks'!AE200,IF($L$3=$AJ$10,'Statement of Marks'!AT200,IF($L$3=$AJ$11,'Statement of Marks'!BH200,IF($L$3=$AJ$12,'Statement of Marks'!BV200,IF($L$3=$AJ$13,'Statement of Marks'!CK200,IF($L$3=$AJ$14,('Statement of Marks'!DB200+'Statement of Marks'!DC200),IF($L$3=$AJ$15,'Statement of Marks'!EF200,IF($L$3=$AJ$16,('Statement of Marks'!ET200+'Statement of Marks'!EU200),IF($L$3=$AJ$17,('Statement of Marks'!FM200+'Statement of Marks'!FN200),IF($L$3=$AJ$18,'Statement of Marks'!FW200,IF($L$3=$AJ$19,'Statement of Marks'!GE200,"")))))))))))),"")</f>
        <v/>
      </c>
      <c r="Q201" s="812" t="str">
        <f t="shared" ref="Q201:Q207" si="33">IF(O201="","",IF(B201="","",IF(OR($L$3=$AJ$18,$L$3=$AJ$19),SUM(N201,O201,P201),SUM(O201,P201))))</f>
        <v/>
      </c>
      <c r="R201" s="813">
        <f t="shared" si="31"/>
        <v>0</v>
      </c>
      <c r="S201" s="813" t="str">
        <f t="shared" ref="S201:S207" si="34">IF(OR(B201="NSO",B201=0,B201=""),"",IF(OR(B201="NSO",B201=0,B201="",Q201=""),"",IF(OR($L$3=$AJ$8,$L$3=$AJ$9,$L$3=$AJ$10,$L$3=$AJ$11,$L$3=$AJ$12,$L$3=$AJ$13,$L$3=$AJ$14,$L$3=$AJ$15,$L$3=$AJ$16,$L$3=$AJ$17),IF(AND(J201="NA",L201="NA",K201="NA"),$M$7-R201,IF(AND(N201="ML"),$N$7-R201,IF(AND(P201="ML"),$P$7-R201,$Q$7-R201))),IF(AND(N201="NA"),$N$7-R201,IF(AND(O201="ML"),$O$7-R201,IF(AND(P201="ML"),$P$7-R201,$Q$7-R201))))))</f>
        <v/>
      </c>
      <c r="T201" s="813" t="str">
        <f t="shared" ref="T201:T207" si="35">IF(AND(OR(J201="ab",J201="ml"),OR(K201="ab",K201="ml"),OR(N201="ab",N201="ml"),OR(M201="ab",M201="ml"),OR(O201="ab",O201="ml")),"AB",IF(AND(OR(K201="ab",K201="ml"),OR(L201="ab",L201="ml"),OR(M201="ab",M201="ml"),OR(N201="ab",N201="ml")),"AB",IF(AND(OR(L201="ab",L201="ml"),OR(J201="ab",J201="ml"),OR(N201="ab",N201="ml"),OR(M201="ab",N201="ml")),"AB",IF(AND(OR(N201="ab",N201="ml"),OR(L201="ab",L201="ml"),OR(P201="ab",P201="ml"),OR(O201="ab",O201="ml"),OR(P201="ab",P201="ml")),"AB",IF(AND(OR(N201="ab",N201="ml"),OR(K201="ab",K201="ml"),OR(P201="ab",P201="ml"),OR(O201="ab",O201="ml"),OR(P201="ab",P201="ml")),"AB","")))))</f>
        <v/>
      </c>
      <c r="U201" s="814" t="str">
        <f t="shared" ref="U201:U207" si="36">IF(OR(B201="",$L$3=""),"",IF(Q201=0,"",IF(Q201="","",IF(B201="NSO","NSO",IF(OR(T201="AB",P201="ab"),"AB",IF(P201="ML","RE",IF(Q201="ML","RE",IF(AND(Q201&gt;=36%*S201,P201&gt;=$P$7*20%),"P",IF(AND(Q201&gt;=34%*S201,P201&gt;=$P$7*20%),"G",IF(AND(Q201&gt;=31%*S201,P201&gt;=$P$7*20%),"G",IF(AND(Q201&gt;=25%*S201,P201&gt;=$P$7*20%),"S","F")))))))))))</f>
        <v/>
      </c>
      <c r="V201" s="815" t="str">
        <f t="shared" ref="V201:V207" si="37">IF(OR(U201="",U201=0,U201="S",U201="RE",U201="F",U201="AB",B201="NSO"),"",IF(U201="G","G",IF(Q201&gt;=75%*S201,"I",IF(Q201&gt;=60%*S201,"I",IF(Q201&gt;=48%*S201,"II",IF(Q201&gt;=36%*S201,"III",""))))))</f>
        <v/>
      </c>
      <c r="W201" s="816" t="str">
        <f t="shared" si="32"/>
        <v/>
      </c>
    </row>
    <row r="202" spans="1:23">
      <c r="A202" s="803">
        <f>IF('Statement of Marks'!A201="","",'Statement of Marks'!A201)</f>
        <v>195</v>
      </c>
      <c r="B202" s="804" t="str">
        <f>IF(OR($D$3="",$L$3=""),"",IF('Statement of Marks'!B201="","",'Statement of Marks'!B201))</f>
        <v/>
      </c>
      <c r="C202" s="805" t="str">
        <f>IF(OR($D$3="",$L$3=""),"",IF('Statement of Marks'!D201="","",'Statement of Marks'!D201))</f>
        <v/>
      </c>
      <c r="D202" s="806" t="str">
        <f>IF(OR($D$3="",$L$3=""),"",IF('Statement of Marks'!E201="","",'Statement of Marks'!E201))</f>
        <v/>
      </c>
      <c r="E202" s="807" t="str">
        <f>IF(OR($D$3="",$L$3=""),"",IF('Statement of Marks'!F201="","",'Statement of Marks'!F201))</f>
        <v/>
      </c>
      <c r="F202" s="807" t="str">
        <f>IF(OR($D$3="",$L$3=""),"",IF('Statement of Marks'!G201="","",'Statement of Marks'!G201))</f>
        <v/>
      </c>
      <c r="G202" s="807" t="str">
        <f>IF(OR($D$3="",$L$3=""),"",IF('Statement of Marks'!H201="","",'Statement of Marks'!H201))</f>
        <v/>
      </c>
      <c r="H202" s="808" t="str">
        <f>IF(OR($D$3="",$L$3=""),"",IF('Statement of Marks'!I201="","",'Statement of Marks'!I201))</f>
        <v/>
      </c>
      <c r="I202" s="808" t="str">
        <f>IF(OR($D$3="",$L$3=""),"",IF('Statement of Marks'!J201="","",'Statement of Marks'!J201))</f>
        <v/>
      </c>
      <c r="J202" s="809" t="str">
        <f>IFERROR(IF($L$3=$AJ$8,'Statement of Marks'!K201,IF($L$3=$AJ$9,'Statement of Marks'!Y201,IF($L$3=$AJ$10,'Statement of Marks'!AN201,IF($L$3=$AJ$11,'Statement of Marks'!BB201,IF($L$3=$AJ$12,'Statement of Marks'!BP201,IF($L$3=$AJ$13,'Statement of Marks'!CE201,IF($L$3=$AJ$14,'Statement of Marks'!CT201,IF($L$3=$AJ$15,'Statement of Marks'!DZ201,IF($L$3=$AJ$16,'Statement of Marks'!EL201,IF($L$3=$AJ$17,('Statement of Marks'!FB201+'Statement of Marks'!FC201),"")))))))))),"")</f>
        <v/>
      </c>
      <c r="K202" s="809" t="str">
        <f>IFERROR(IF($L$3=$AJ$8,'Statement of Marks'!L201,IF($L$3=$AJ$9,'Statement of Marks'!Z201,IF($L$3=$AJ$10,'Statement of Marks'!AO201,IF($L$3=$AJ$11,'Statement of Marks'!BC201,IF($L$3=$AJ$12,'Statement of Marks'!BQ201,IF($L$3=$AJ$13,'Statement of Marks'!CF201,IF($L$3=$AJ$14,'Statement of Marks'!CU201,IF($L$3=$AJ$15,'Statement of Marks'!EA201,IF($L$3=$AJ$16,'Statement of Marks'!EM201,IF($L$3=$AJ$17,('Statement of Marks'!FD201+'Statement of Marks'!FE201),"")))))))))),"")</f>
        <v/>
      </c>
      <c r="L202" s="809" t="str">
        <f>IFERROR(IF($L$3=$AJ$8,'Statement of Marks'!M201,IF($L$3=$AJ$9,'Statement of Marks'!AA201,IF($L$3=$AJ$10,'Statement of Marks'!AP201,IF($L$3=$AJ$11,'Statement of Marks'!BD201,IF($L$3=$AJ$12,'Statement of Marks'!BR201,IF($L$3=$AJ$13,'Statement of Marks'!CG201,IF($L$3=$AJ$14,'Statement of Marks'!CV201,IF($L$3=$AJ$15,'Statement of Marks'!EB201,IF($L$3=$AJ$16,'Statement of Marks'!EN201,IF($L$3=$AJ$17,('Statement of Marks'!FF201+'Statement of Marks'!FG201),"")))))))))),"")</f>
        <v/>
      </c>
      <c r="M202" s="810">
        <f t="shared" si="30"/>
        <v>0</v>
      </c>
      <c r="N202" s="809" t="str">
        <f>IFERROR(IF($L$3=$AJ$8,'Statement of Marks'!O201,IF($L$3=$AJ$9,'Statement of Marks'!AC201,IF($L$3=$AJ$10,'Statement of Marks'!AR201,IF($L$3=$AJ$11,'Statement of Marks'!BF201,IF($L$3=$AJ$12,'Statement of Marks'!BT201,IF($L$3=$AJ$13,'Statement of Marks'!CI201,IF($L$3=$AJ$14,('Statement of Marks'!CX201+'Statement of Marks'!CY201),IF($L$3=$AJ$15,'Statement of Marks'!ED201,IF($L$3=$AJ$16,('Statement of Marks'!EP201+'Statement of Marks'!EQ201),IF($L$3=$AJ$17,('Statement of Marks'!FI201+'Statement of Marks'!FJ201),IF($L$3=$AJ$18,'Statement of Marks'!FU201,IF($L$3=$AJ$19,'Statement of Marks'!GC201,"")))))))))))),"")</f>
        <v/>
      </c>
      <c r="O202" s="811">
        <f>IF($L$3=$AJ$18,'Statement of Marks'!FV201,IF($L$3=$AJ$19,'Statement of Marks'!GD201,IF(AND(M202="NA",N202="NA"),"NA",IF(AND(M202="",N202=""),"",SUM(M202,N202)))))</f>
        <v>0</v>
      </c>
      <c r="P202" s="809" t="str">
        <f>IFERROR(IF($L$3=$AJ$8,'Statement of Marks'!Q201,IF($L$3=$AJ$9,'Statement of Marks'!AE201,IF($L$3=$AJ$10,'Statement of Marks'!AT201,IF($L$3=$AJ$11,'Statement of Marks'!BH201,IF($L$3=$AJ$12,'Statement of Marks'!BV201,IF($L$3=$AJ$13,'Statement of Marks'!CK201,IF($L$3=$AJ$14,('Statement of Marks'!DB201+'Statement of Marks'!DC201),IF($L$3=$AJ$15,'Statement of Marks'!EF201,IF($L$3=$AJ$16,('Statement of Marks'!ET201+'Statement of Marks'!EU201),IF($L$3=$AJ$17,('Statement of Marks'!FM201+'Statement of Marks'!FN201),IF($L$3=$AJ$18,'Statement of Marks'!FW201,IF($L$3=$AJ$19,'Statement of Marks'!GE201,"")))))))))))),"")</f>
        <v/>
      </c>
      <c r="Q202" s="812" t="str">
        <f t="shared" si="33"/>
        <v/>
      </c>
      <c r="R202" s="813">
        <f t="shared" si="31"/>
        <v>0</v>
      </c>
      <c r="S202" s="813" t="str">
        <f t="shared" si="34"/>
        <v/>
      </c>
      <c r="T202" s="813" t="str">
        <f t="shared" si="35"/>
        <v/>
      </c>
      <c r="U202" s="814" t="str">
        <f t="shared" si="36"/>
        <v/>
      </c>
      <c r="V202" s="815" t="str">
        <f t="shared" si="37"/>
        <v/>
      </c>
      <c r="W202" s="816" t="str">
        <f t="shared" si="32"/>
        <v/>
      </c>
    </row>
    <row r="203" spans="1:23">
      <c r="A203" s="803">
        <f>IF('Statement of Marks'!A202="","",'Statement of Marks'!A202)</f>
        <v>196</v>
      </c>
      <c r="B203" s="804" t="str">
        <f>IF(OR($D$3="",$L$3=""),"",IF('Statement of Marks'!B202="","",'Statement of Marks'!B202))</f>
        <v/>
      </c>
      <c r="C203" s="805" t="str">
        <f>IF(OR($D$3="",$L$3=""),"",IF('Statement of Marks'!D202="","",'Statement of Marks'!D202))</f>
        <v/>
      </c>
      <c r="D203" s="806" t="str">
        <f>IF(OR($D$3="",$L$3=""),"",IF('Statement of Marks'!E202="","",'Statement of Marks'!E202))</f>
        <v/>
      </c>
      <c r="E203" s="807" t="str">
        <f>IF(OR($D$3="",$L$3=""),"",IF('Statement of Marks'!F202="","",'Statement of Marks'!F202))</f>
        <v/>
      </c>
      <c r="F203" s="807" t="str">
        <f>IF(OR($D$3="",$L$3=""),"",IF('Statement of Marks'!G202="","",'Statement of Marks'!G202))</f>
        <v/>
      </c>
      <c r="G203" s="807" t="str">
        <f>IF(OR($D$3="",$L$3=""),"",IF('Statement of Marks'!H202="","",'Statement of Marks'!H202))</f>
        <v/>
      </c>
      <c r="H203" s="808" t="str">
        <f>IF(OR($D$3="",$L$3=""),"",IF('Statement of Marks'!I202="","",'Statement of Marks'!I202))</f>
        <v/>
      </c>
      <c r="I203" s="808" t="str">
        <f>IF(OR($D$3="",$L$3=""),"",IF('Statement of Marks'!J202="","",'Statement of Marks'!J202))</f>
        <v/>
      </c>
      <c r="J203" s="809" t="str">
        <f>IFERROR(IF($L$3=$AJ$8,'Statement of Marks'!K202,IF($L$3=$AJ$9,'Statement of Marks'!Y202,IF($L$3=$AJ$10,'Statement of Marks'!AN202,IF($L$3=$AJ$11,'Statement of Marks'!BB202,IF($L$3=$AJ$12,'Statement of Marks'!BP202,IF($L$3=$AJ$13,'Statement of Marks'!CE202,IF($L$3=$AJ$14,'Statement of Marks'!CT202,IF($L$3=$AJ$15,'Statement of Marks'!DZ202,IF($L$3=$AJ$16,'Statement of Marks'!EL202,IF($L$3=$AJ$17,('Statement of Marks'!FB202+'Statement of Marks'!FC202),"")))))))))),"")</f>
        <v/>
      </c>
      <c r="K203" s="809" t="str">
        <f>IFERROR(IF($L$3=$AJ$8,'Statement of Marks'!L202,IF($L$3=$AJ$9,'Statement of Marks'!Z202,IF($L$3=$AJ$10,'Statement of Marks'!AO202,IF($L$3=$AJ$11,'Statement of Marks'!BC202,IF($L$3=$AJ$12,'Statement of Marks'!BQ202,IF($L$3=$AJ$13,'Statement of Marks'!CF202,IF($L$3=$AJ$14,'Statement of Marks'!CU202,IF($L$3=$AJ$15,'Statement of Marks'!EA202,IF($L$3=$AJ$16,'Statement of Marks'!EM202,IF($L$3=$AJ$17,('Statement of Marks'!FD202+'Statement of Marks'!FE202),"")))))))))),"")</f>
        <v/>
      </c>
      <c r="L203" s="809" t="str">
        <f>IFERROR(IF($L$3=$AJ$8,'Statement of Marks'!M202,IF($L$3=$AJ$9,'Statement of Marks'!AA202,IF($L$3=$AJ$10,'Statement of Marks'!AP202,IF($L$3=$AJ$11,'Statement of Marks'!BD202,IF($L$3=$AJ$12,'Statement of Marks'!BR202,IF($L$3=$AJ$13,'Statement of Marks'!CG202,IF($L$3=$AJ$14,'Statement of Marks'!CV202,IF($L$3=$AJ$15,'Statement of Marks'!EB202,IF($L$3=$AJ$16,'Statement of Marks'!EN202,IF($L$3=$AJ$17,('Statement of Marks'!FF202+'Statement of Marks'!FG202),"")))))))))),"")</f>
        <v/>
      </c>
      <c r="M203" s="810">
        <f t="shared" si="30"/>
        <v>0</v>
      </c>
      <c r="N203" s="809" t="str">
        <f>IFERROR(IF($L$3=$AJ$8,'Statement of Marks'!O202,IF($L$3=$AJ$9,'Statement of Marks'!AC202,IF($L$3=$AJ$10,'Statement of Marks'!AR202,IF($L$3=$AJ$11,'Statement of Marks'!BF202,IF($L$3=$AJ$12,'Statement of Marks'!BT202,IF($L$3=$AJ$13,'Statement of Marks'!CI202,IF($L$3=$AJ$14,('Statement of Marks'!CX202+'Statement of Marks'!CY202),IF($L$3=$AJ$15,'Statement of Marks'!ED202,IF($L$3=$AJ$16,('Statement of Marks'!EP202+'Statement of Marks'!EQ202),IF($L$3=$AJ$17,('Statement of Marks'!FI202+'Statement of Marks'!FJ202),IF($L$3=$AJ$18,'Statement of Marks'!FU202,IF($L$3=$AJ$19,'Statement of Marks'!GC202,"")))))))))))),"")</f>
        <v/>
      </c>
      <c r="O203" s="811">
        <f>IF($L$3=$AJ$18,'Statement of Marks'!FV202,IF($L$3=$AJ$19,'Statement of Marks'!GD202,IF(AND(M203="NA",N203="NA"),"NA",IF(AND(M203="",N203=""),"",SUM(M203,N203)))))</f>
        <v>0</v>
      </c>
      <c r="P203" s="809" t="str">
        <f>IFERROR(IF($L$3=$AJ$8,'Statement of Marks'!Q202,IF($L$3=$AJ$9,'Statement of Marks'!AE202,IF($L$3=$AJ$10,'Statement of Marks'!AT202,IF($L$3=$AJ$11,'Statement of Marks'!BH202,IF($L$3=$AJ$12,'Statement of Marks'!BV202,IF($L$3=$AJ$13,'Statement of Marks'!CK202,IF($L$3=$AJ$14,('Statement of Marks'!DB202+'Statement of Marks'!DC202),IF($L$3=$AJ$15,'Statement of Marks'!EF202,IF($L$3=$AJ$16,('Statement of Marks'!ET202+'Statement of Marks'!EU202),IF($L$3=$AJ$17,('Statement of Marks'!FM202+'Statement of Marks'!FN202),IF($L$3=$AJ$18,'Statement of Marks'!FW202,IF($L$3=$AJ$19,'Statement of Marks'!GE202,"")))))))))))),"")</f>
        <v/>
      </c>
      <c r="Q203" s="812" t="str">
        <f t="shared" si="33"/>
        <v/>
      </c>
      <c r="R203" s="813">
        <f t="shared" si="31"/>
        <v>0</v>
      </c>
      <c r="S203" s="813" t="str">
        <f t="shared" si="34"/>
        <v/>
      </c>
      <c r="T203" s="813" t="str">
        <f t="shared" si="35"/>
        <v/>
      </c>
      <c r="U203" s="814" t="str">
        <f t="shared" si="36"/>
        <v/>
      </c>
      <c r="V203" s="815" t="str">
        <f t="shared" si="37"/>
        <v/>
      </c>
      <c r="W203" s="816" t="str">
        <f t="shared" si="32"/>
        <v/>
      </c>
    </row>
    <row r="204" spans="1:23">
      <c r="A204" s="803">
        <f>IF('Statement of Marks'!A203="","",'Statement of Marks'!A203)</f>
        <v>197</v>
      </c>
      <c r="B204" s="804" t="str">
        <f>IF(OR($D$3="",$L$3=""),"",IF('Statement of Marks'!B203="","",'Statement of Marks'!B203))</f>
        <v/>
      </c>
      <c r="C204" s="805" t="str">
        <f>IF(OR($D$3="",$L$3=""),"",IF('Statement of Marks'!D203="","",'Statement of Marks'!D203))</f>
        <v/>
      </c>
      <c r="D204" s="806" t="str">
        <f>IF(OR($D$3="",$L$3=""),"",IF('Statement of Marks'!E203="","",'Statement of Marks'!E203))</f>
        <v/>
      </c>
      <c r="E204" s="807" t="str">
        <f>IF(OR($D$3="",$L$3=""),"",IF('Statement of Marks'!F203="","",'Statement of Marks'!F203))</f>
        <v/>
      </c>
      <c r="F204" s="807" t="str">
        <f>IF(OR($D$3="",$L$3=""),"",IF('Statement of Marks'!G203="","",'Statement of Marks'!G203))</f>
        <v/>
      </c>
      <c r="G204" s="807" t="str">
        <f>IF(OR($D$3="",$L$3=""),"",IF('Statement of Marks'!H203="","",'Statement of Marks'!H203))</f>
        <v/>
      </c>
      <c r="H204" s="808" t="str">
        <f>IF(OR($D$3="",$L$3=""),"",IF('Statement of Marks'!I203="","",'Statement of Marks'!I203))</f>
        <v/>
      </c>
      <c r="I204" s="808" t="str">
        <f>IF(OR($D$3="",$L$3=""),"",IF('Statement of Marks'!J203="","",'Statement of Marks'!J203))</f>
        <v/>
      </c>
      <c r="J204" s="809" t="str">
        <f>IFERROR(IF($L$3=$AJ$8,'Statement of Marks'!K203,IF($L$3=$AJ$9,'Statement of Marks'!Y203,IF($L$3=$AJ$10,'Statement of Marks'!AN203,IF($L$3=$AJ$11,'Statement of Marks'!BB203,IF($L$3=$AJ$12,'Statement of Marks'!BP203,IF($L$3=$AJ$13,'Statement of Marks'!CE203,IF($L$3=$AJ$14,'Statement of Marks'!CT203,IF($L$3=$AJ$15,'Statement of Marks'!DZ203,IF($L$3=$AJ$16,'Statement of Marks'!EL203,IF($L$3=$AJ$17,('Statement of Marks'!FB203+'Statement of Marks'!FC203),"")))))))))),"")</f>
        <v/>
      </c>
      <c r="K204" s="809" t="str">
        <f>IFERROR(IF($L$3=$AJ$8,'Statement of Marks'!L203,IF($L$3=$AJ$9,'Statement of Marks'!Z203,IF($L$3=$AJ$10,'Statement of Marks'!AO203,IF($L$3=$AJ$11,'Statement of Marks'!BC203,IF($L$3=$AJ$12,'Statement of Marks'!BQ203,IF($L$3=$AJ$13,'Statement of Marks'!CF203,IF($L$3=$AJ$14,'Statement of Marks'!CU203,IF($L$3=$AJ$15,'Statement of Marks'!EA203,IF($L$3=$AJ$16,'Statement of Marks'!EM203,IF($L$3=$AJ$17,('Statement of Marks'!FD203+'Statement of Marks'!FE203),"")))))))))),"")</f>
        <v/>
      </c>
      <c r="L204" s="809" t="str">
        <f>IFERROR(IF($L$3=$AJ$8,'Statement of Marks'!M203,IF($L$3=$AJ$9,'Statement of Marks'!AA203,IF($L$3=$AJ$10,'Statement of Marks'!AP203,IF($L$3=$AJ$11,'Statement of Marks'!BD203,IF($L$3=$AJ$12,'Statement of Marks'!BR203,IF($L$3=$AJ$13,'Statement of Marks'!CG203,IF($L$3=$AJ$14,'Statement of Marks'!CV203,IF($L$3=$AJ$15,'Statement of Marks'!EB203,IF($L$3=$AJ$16,'Statement of Marks'!EN203,IF($L$3=$AJ$17,('Statement of Marks'!FF203+'Statement of Marks'!FG203),"")))))))))),"")</f>
        <v/>
      </c>
      <c r="M204" s="810">
        <f t="shared" si="30"/>
        <v>0</v>
      </c>
      <c r="N204" s="809" t="str">
        <f>IFERROR(IF($L$3=$AJ$8,'Statement of Marks'!O203,IF($L$3=$AJ$9,'Statement of Marks'!AC203,IF($L$3=$AJ$10,'Statement of Marks'!AR203,IF($L$3=$AJ$11,'Statement of Marks'!BF203,IF($L$3=$AJ$12,'Statement of Marks'!BT203,IF($L$3=$AJ$13,'Statement of Marks'!CI203,IF($L$3=$AJ$14,('Statement of Marks'!CX203+'Statement of Marks'!CY203),IF($L$3=$AJ$15,'Statement of Marks'!ED203,IF($L$3=$AJ$16,('Statement of Marks'!EP203+'Statement of Marks'!EQ203),IF($L$3=$AJ$17,('Statement of Marks'!FI203+'Statement of Marks'!FJ203),IF($L$3=$AJ$18,'Statement of Marks'!FU203,IF($L$3=$AJ$19,'Statement of Marks'!GC203,"")))))))))))),"")</f>
        <v/>
      </c>
      <c r="O204" s="811">
        <f>IF($L$3=$AJ$18,'Statement of Marks'!FV203,IF($L$3=$AJ$19,'Statement of Marks'!GD203,IF(AND(M204="NA",N204="NA"),"NA",IF(AND(M204="",N204=""),"",SUM(M204,N204)))))</f>
        <v>0</v>
      </c>
      <c r="P204" s="809" t="str">
        <f>IFERROR(IF($L$3=$AJ$8,'Statement of Marks'!Q203,IF($L$3=$AJ$9,'Statement of Marks'!AE203,IF($L$3=$AJ$10,'Statement of Marks'!AT203,IF($L$3=$AJ$11,'Statement of Marks'!BH203,IF($L$3=$AJ$12,'Statement of Marks'!BV203,IF($L$3=$AJ$13,'Statement of Marks'!CK203,IF($L$3=$AJ$14,('Statement of Marks'!DB203+'Statement of Marks'!DC203),IF($L$3=$AJ$15,'Statement of Marks'!EF203,IF($L$3=$AJ$16,('Statement of Marks'!ET203+'Statement of Marks'!EU203),IF($L$3=$AJ$17,('Statement of Marks'!FM203+'Statement of Marks'!FN203),IF($L$3=$AJ$18,'Statement of Marks'!FW203,IF($L$3=$AJ$19,'Statement of Marks'!GE203,"")))))))))))),"")</f>
        <v/>
      </c>
      <c r="Q204" s="812" t="str">
        <f t="shared" si="33"/>
        <v/>
      </c>
      <c r="R204" s="813">
        <f t="shared" si="31"/>
        <v>0</v>
      </c>
      <c r="S204" s="813" t="str">
        <f t="shared" si="34"/>
        <v/>
      </c>
      <c r="T204" s="813" t="str">
        <f t="shared" si="35"/>
        <v/>
      </c>
      <c r="U204" s="814" t="str">
        <f t="shared" si="36"/>
        <v/>
      </c>
      <c r="V204" s="815" t="str">
        <f t="shared" si="37"/>
        <v/>
      </c>
      <c r="W204" s="816" t="str">
        <f t="shared" si="32"/>
        <v/>
      </c>
    </row>
    <row r="205" spans="1:23">
      <c r="A205" s="803">
        <f>IF('Statement of Marks'!A204="","",'Statement of Marks'!A204)</f>
        <v>198</v>
      </c>
      <c r="B205" s="804" t="str">
        <f>IF(OR($D$3="",$L$3=""),"",IF('Statement of Marks'!B204="","",'Statement of Marks'!B204))</f>
        <v/>
      </c>
      <c r="C205" s="805" t="str">
        <f>IF(OR($D$3="",$L$3=""),"",IF('Statement of Marks'!D204="","",'Statement of Marks'!D204))</f>
        <v/>
      </c>
      <c r="D205" s="806" t="str">
        <f>IF(OR($D$3="",$L$3=""),"",IF('Statement of Marks'!E204="","",'Statement of Marks'!E204))</f>
        <v/>
      </c>
      <c r="E205" s="807" t="str">
        <f>IF(OR($D$3="",$L$3=""),"",IF('Statement of Marks'!F204="","",'Statement of Marks'!F204))</f>
        <v/>
      </c>
      <c r="F205" s="807" t="str">
        <f>IF(OR($D$3="",$L$3=""),"",IF('Statement of Marks'!G204="","",'Statement of Marks'!G204))</f>
        <v/>
      </c>
      <c r="G205" s="807" t="str">
        <f>IF(OR($D$3="",$L$3=""),"",IF('Statement of Marks'!H204="","",'Statement of Marks'!H204))</f>
        <v/>
      </c>
      <c r="H205" s="808" t="str">
        <f>IF(OR($D$3="",$L$3=""),"",IF('Statement of Marks'!I204="","",'Statement of Marks'!I204))</f>
        <v/>
      </c>
      <c r="I205" s="808" t="str">
        <f>IF(OR($D$3="",$L$3=""),"",IF('Statement of Marks'!J204="","",'Statement of Marks'!J204))</f>
        <v/>
      </c>
      <c r="J205" s="809" t="str">
        <f>IFERROR(IF($L$3=$AJ$8,'Statement of Marks'!K204,IF($L$3=$AJ$9,'Statement of Marks'!Y204,IF($L$3=$AJ$10,'Statement of Marks'!AN204,IF($L$3=$AJ$11,'Statement of Marks'!BB204,IF($L$3=$AJ$12,'Statement of Marks'!BP204,IF($L$3=$AJ$13,'Statement of Marks'!CE204,IF($L$3=$AJ$14,'Statement of Marks'!CT204,IF($L$3=$AJ$15,'Statement of Marks'!DZ204,IF($L$3=$AJ$16,'Statement of Marks'!EL204,IF($L$3=$AJ$17,('Statement of Marks'!FB204+'Statement of Marks'!FC204),"")))))))))),"")</f>
        <v/>
      </c>
      <c r="K205" s="809" t="str">
        <f>IFERROR(IF($L$3=$AJ$8,'Statement of Marks'!L204,IF($L$3=$AJ$9,'Statement of Marks'!Z204,IF($L$3=$AJ$10,'Statement of Marks'!AO204,IF($L$3=$AJ$11,'Statement of Marks'!BC204,IF($L$3=$AJ$12,'Statement of Marks'!BQ204,IF($L$3=$AJ$13,'Statement of Marks'!CF204,IF($L$3=$AJ$14,'Statement of Marks'!CU204,IF($L$3=$AJ$15,'Statement of Marks'!EA204,IF($L$3=$AJ$16,'Statement of Marks'!EM204,IF($L$3=$AJ$17,('Statement of Marks'!FD204+'Statement of Marks'!FE204),"")))))))))),"")</f>
        <v/>
      </c>
      <c r="L205" s="809" t="str">
        <f>IFERROR(IF($L$3=$AJ$8,'Statement of Marks'!M204,IF($L$3=$AJ$9,'Statement of Marks'!AA204,IF($L$3=$AJ$10,'Statement of Marks'!AP204,IF($L$3=$AJ$11,'Statement of Marks'!BD204,IF($L$3=$AJ$12,'Statement of Marks'!BR204,IF($L$3=$AJ$13,'Statement of Marks'!CG204,IF($L$3=$AJ$14,'Statement of Marks'!CV204,IF($L$3=$AJ$15,'Statement of Marks'!EB204,IF($L$3=$AJ$16,'Statement of Marks'!EN204,IF($L$3=$AJ$17,('Statement of Marks'!FF204+'Statement of Marks'!FG204),"")))))))))),"")</f>
        <v/>
      </c>
      <c r="M205" s="810">
        <f t="shared" si="30"/>
        <v>0</v>
      </c>
      <c r="N205" s="809" t="str">
        <f>IFERROR(IF($L$3=$AJ$8,'Statement of Marks'!O204,IF($L$3=$AJ$9,'Statement of Marks'!AC204,IF($L$3=$AJ$10,'Statement of Marks'!AR204,IF($L$3=$AJ$11,'Statement of Marks'!BF204,IF($L$3=$AJ$12,'Statement of Marks'!BT204,IF($L$3=$AJ$13,'Statement of Marks'!CI204,IF($L$3=$AJ$14,('Statement of Marks'!CX204+'Statement of Marks'!CY204),IF($L$3=$AJ$15,'Statement of Marks'!ED204,IF($L$3=$AJ$16,('Statement of Marks'!EP204+'Statement of Marks'!EQ204),IF($L$3=$AJ$17,('Statement of Marks'!FI204+'Statement of Marks'!FJ204),IF($L$3=$AJ$18,'Statement of Marks'!FU204,IF($L$3=$AJ$19,'Statement of Marks'!GC204,"")))))))))))),"")</f>
        <v/>
      </c>
      <c r="O205" s="811">
        <f>IF($L$3=$AJ$18,'Statement of Marks'!FV204,IF($L$3=$AJ$19,'Statement of Marks'!GD204,IF(AND(M205="NA",N205="NA"),"NA",IF(AND(M205="",N205=""),"",SUM(M205,N205)))))</f>
        <v>0</v>
      </c>
      <c r="P205" s="809" t="str">
        <f>IFERROR(IF($L$3=$AJ$8,'Statement of Marks'!Q204,IF($L$3=$AJ$9,'Statement of Marks'!AE204,IF($L$3=$AJ$10,'Statement of Marks'!AT204,IF($L$3=$AJ$11,'Statement of Marks'!BH204,IF($L$3=$AJ$12,'Statement of Marks'!BV204,IF($L$3=$AJ$13,'Statement of Marks'!CK204,IF($L$3=$AJ$14,('Statement of Marks'!DB204+'Statement of Marks'!DC204),IF($L$3=$AJ$15,'Statement of Marks'!EF204,IF($L$3=$AJ$16,('Statement of Marks'!ET204+'Statement of Marks'!EU204),IF($L$3=$AJ$17,('Statement of Marks'!FM204+'Statement of Marks'!FN204),IF($L$3=$AJ$18,'Statement of Marks'!FW204,IF($L$3=$AJ$19,'Statement of Marks'!GE204,"")))))))))))),"")</f>
        <v/>
      </c>
      <c r="Q205" s="812" t="str">
        <f t="shared" si="33"/>
        <v/>
      </c>
      <c r="R205" s="813">
        <f t="shared" si="31"/>
        <v>0</v>
      </c>
      <c r="S205" s="813" t="str">
        <f t="shared" si="34"/>
        <v/>
      </c>
      <c r="T205" s="813" t="str">
        <f t="shared" si="35"/>
        <v/>
      </c>
      <c r="U205" s="814" t="str">
        <f t="shared" si="36"/>
        <v/>
      </c>
      <c r="V205" s="815" t="str">
        <f t="shared" si="37"/>
        <v/>
      </c>
      <c r="W205" s="816" t="str">
        <f t="shared" si="32"/>
        <v/>
      </c>
    </row>
    <row r="206" spans="1:23">
      <c r="A206" s="803">
        <f>IF('Statement of Marks'!A205="","",'Statement of Marks'!A205)</f>
        <v>199</v>
      </c>
      <c r="B206" s="804" t="str">
        <f>IF(OR($D$3="",$L$3=""),"",IF('Statement of Marks'!B205="","",'Statement of Marks'!B205))</f>
        <v/>
      </c>
      <c r="C206" s="805" t="str">
        <f>IF(OR($D$3="",$L$3=""),"",IF('Statement of Marks'!D205="","",'Statement of Marks'!D205))</f>
        <v/>
      </c>
      <c r="D206" s="806" t="str">
        <f>IF(OR($D$3="",$L$3=""),"",IF('Statement of Marks'!E205="","",'Statement of Marks'!E205))</f>
        <v/>
      </c>
      <c r="E206" s="807" t="str">
        <f>IF(OR($D$3="",$L$3=""),"",IF('Statement of Marks'!F205="","",'Statement of Marks'!F205))</f>
        <v/>
      </c>
      <c r="F206" s="807" t="str">
        <f>IF(OR($D$3="",$L$3=""),"",IF('Statement of Marks'!G205="","",'Statement of Marks'!G205))</f>
        <v/>
      </c>
      <c r="G206" s="807" t="str">
        <f>IF(OR($D$3="",$L$3=""),"",IF('Statement of Marks'!H205="","",'Statement of Marks'!H205))</f>
        <v/>
      </c>
      <c r="H206" s="808" t="str">
        <f>IF(OR($D$3="",$L$3=""),"",IF('Statement of Marks'!I205="","",'Statement of Marks'!I205))</f>
        <v/>
      </c>
      <c r="I206" s="808" t="str">
        <f>IF(OR($D$3="",$L$3=""),"",IF('Statement of Marks'!J205="","",'Statement of Marks'!J205))</f>
        <v/>
      </c>
      <c r="J206" s="809" t="str">
        <f>IFERROR(IF($L$3=$AJ$8,'Statement of Marks'!K205,IF($L$3=$AJ$9,'Statement of Marks'!Y205,IF($L$3=$AJ$10,'Statement of Marks'!AN205,IF($L$3=$AJ$11,'Statement of Marks'!BB205,IF($L$3=$AJ$12,'Statement of Marks'!BP205,IF($L$3=$AJ$13,'Statement of Marks'!CE205,IF($L$3=$AJ$14,'Statement of Marks'!CT205,IF($L$3=$AJ$15,'Statement of Marks'!DZ205,IF($L$3=$AJ$16,'Statement of Marks'!EL205,IF($L$3=$AJ$17,('Statement of Marks'!FB205+'Statement of Marks'!FC205),"")))))))))),"")</f>
        <v/>
      </c>
      <c r="K206" s="809" t="str">
        <f>IFERROR(IF($L$3=$AJ$8,'Statement of Marks'!L205,IF($L$3=$AJ$9,'Statement of Marks'!Z205,IF($L$3=$AJ$10,'Statement of Marks'!AO205,IF($L$3=$AJ$11,'Statement of Marks'!BC205,IF($L$3=$AJ$12,'Statement of Marks'!BQ205,IF($L$3=$AJ$13,'Statement of Marks'!CF205,IF($L$3=$AJ$14,'Statement of Marks'!CU205,IF($L$3=$AJ$15,'Statement of Marks'!EA205,IF($L$3=$AJ$16,'Statement of Marks'!EM205,IF($L$3=$AJ$17,('Statement of Marks'!FD205+'Statement of Marks'!FE205),"")))))))))),"")</f>
        <v/>
      </c>
      <c r="L206" s="809" t="str">
        <f>IFERROR(IF($L$3=$AJ$8,'Statement of Marks'!M205,IF($L$3=$AJ$9,'Statement of Marks'!AA205,IF($L$3=$AJ$10,'Statement of Marks'!AP205,IF($L$3=$AJ$11,'Statement of Marks'!BD205,IF($L$3=$AJ$12,'Statement of Marks'!BR205,IF($L$3=$AJ$13,'Statement of Marks'!CG205,IF($L$3=$AJ$14,'Statement of Marks'!CV205,IF($L$3=$AJ$15,'Statement of Marks'!EB205,IF($L$3=$AJ$16,'Statement of Marks'!EN205,IF($L$3=$AJ$17,('Statement of Marks'!FF205+'Statement of Marks'!FG205),"")))))))))),"")</f>
        <v/>
      </c>
      <c r="M206" s="810">
        <f t="shared" si="30"/>
        <v>0</v>
      </c>
      <c r="N206" s="809" t="str">
        <f>IFERROR(IF($L$3=$AJ$8,'Statement of Marks'!O205,IF($L$3=$AJ$9,'Statement of Marks'!AC205,IF($L$3=$AJ$10,'Statement of Marks'!AR205,IF($L$3=$AJ$11,'Statement of Marks'!BF205,IF($L$3=$AJ$12,'Statement of Marks'!BT205,IF($L$3=$AJ$13,'Statement of Marks'!CI205,IF($L$3=$AJ$14,('Statement of Marks'!CX205+'Statement of Marks'!CY205),IF($L$3=$AJ$15,'Statement of Marks'!ED205,IF($L$3=$AJ$16,('Statement of Marks'!EP205+'Statement of Marks'!EQ205),IF($L$3=$AJ$17,('Statement of Marks'!FI205+'Statement of Marks'!FJ205),IF($L$3=$AJ$18,'Statement of Marks'!FU205,IF($L$3=$AJ$19,'Statement of Marks'!GC205,"")))))))))))),"")</f>
        <v/>
      </c>
      <c r="O206" s="811">
        <f>IF($L$3=$AJ$18,'Statement of Marks'!FV205,IF($L$3=$AJ$19,'Statement of Marks'!GD205,IF(AND(M206="NA",N206="NA"),"NA",IF(AND(M206="",N206=""),"",SUM(M206,N206)))))</f>
        <v>0</v>
      </c>
      <c r="P206" s="809" t="str">
        <f>IFERROR(IF($L$3=$AJ$8,'Statement of Marks'!Q205,IF($L$3=$AJ$9,'Statement of Marks'!AE205,IF($L$3=$AJ$10,'Statement of Marks'!AT205,IF($L$3=$AJ$11,'Statement of Marks'!BH205,IF($L$3=$AJ$12,'Statement of Marks'!BV205,IF($L$3=$AJ$13,'Statement of Marks'!CK205,IF($L$3=$AJ$14,('Statement of Marks'!DB205+'Statement of Marks'!DC205),IF($L$3=$AJ$15,'Statement of Marks'!EF205,IF($L$3=$AJ$16,('Statement of Marks'!ET205+'Statement of Marks'!EU205),IF($L$3=$AJ$17,('Statement of Marks'!FM205+'Statement of Marks'!FN205),IF($L$3=$AJ$18,'Statement of Marks'!FW205,IF($L$3=$AJ$19,'Statement of Marks'!GE205,"")))))))))))),"")</f>
        <v/>
      </c>
      <c r="Q206" s="812" t="str">
        <f t="shared" si="33"/>
        <v/>
      </c>
      <c r="R206" s="813">
        <f t="shared" si="31"/>
        <v>0</v>
      </c>
      <c r="S206" s="813" t="str">
        <f t="shared" si="34"/>
        <v/>
      </c>
      <c r="T206" s="813" t="str">
        <f t="shared" si="35"/>
        <v/>
      </c>
      <c r="U206" s="814" t="str">
        <f t="shared" si="36"/>
        <v/>
      </c>
      <c r="V206" s="815" t="str">
        <f t="shared" si="37"/>
        <v/>
      </c>
      <c r="W206" s="816" t="str">
        <f t="shared" si="32"/>
        <v/>
      </c>
    </row>
    <row r="207" spans="1:23">
      <c r="A207" s="803">
        <f>IF('Statement of Marks'!A206="","",'Statement of Marks'!A206)</f>
        <v>200</v>
      </c>
      <c r="B207" s="804" t="str">
        <f>IF(OR($D$3="",$L$3=""),"",IF('Statement of Marks'!B206="","",'Statement of Marks'!B206))</f>
        <v/>
      </c>
      <c r="C207" s="805" t="str">
        <f>IF(OR($D$3="",$L$3=""),"",IF('Statement of Marks'!D206="","",'Statement of Marks'!D206))</f>
        <v/>
      </c>
      <c r="D207" s="806" t="str">
        <f>IF(OR($D$3="",$L$3=""),"",IF('Statement of Marks'!E206="","",'Statement of Marks'!E206))</f>
        <v/>
      </c>
      <c r="E207" s="807" t="str">
        <f>IF(OR($D$3="",$L$3=""),"",IF('Statement of Marks'!F206="","",'Statement of Marks'!F206))</f>
        <v/>
      </c>
      <c r="F207" s="807" t="str">
        <f>IF(OR($D$3="",$L$3=""),"",IF('Statement of Marks'!G206="","",'Statement of Marks'!G206))</f>
        <v/>
      </c>
      <c r="G207" s="807" t="str">
        <f>IF(OR($D$3="",$L$3=""),"",IF('Statement of Marks'!H206="","",'Statement of Marks'!H206))</f>
        <v/>
      </c>
      <c r="H207" s="808" t="str">
        <f>IF(OR($D$3="",$L$3=""),"",IF('Statement of Marks'!I206="","",'Statement of Marks'!I206))</f>
        <v/>
      </c>
      <c r="I207" s="808" t="str">
        <f>IF(OR($D$3="",$L$3=""),"",IF('Statement of Marks'!J206="","",'Statement of Marks'!J206))</f>
        <v/>
      </c>
      <c r="J207" s="809" t="str">
        <f>IFERROR(IF($L$3=$AJ$8,'Statement of Marks'!K206,IF($L$3=$AJ$9,'Statement of Marks'!Y206,IF($L$3=$AJ$10,'Statement of Marks'!AN206,IF($L$3=$AJ$11,'Statement of Marks'!BB206,IF($L$3=$AJ$12,'Statement of Marks'!BP206,IF($L$3=$AJ$13,'Statement of Marks'!CE206,IF($L$3=$AJ$14,'Statement of Marks'!CT206,IF($L$3=$AJ$15,'Statement of Marks'!DZ206,IF($L$3=$AJ$16,'Statement of Marks'!EL206,IF($L$3=$AJ$17,('Statement of Marks'!FB206+'Statement of Marks'!FC206),"")))))))))),"")</f>
        <v/>
      </c>
      <c r="K207" s="809" t="str">
        <f>IFERROR(IF($L$3=$AJ$8,'Statement of Marks'!L206,IF($L$3=$AJ$9,'Statement of Marks'!Z206,IF($L$3=$AJ$10,'Statement of Marks'!AO206,IF($L$3=$AJ$11,'Statement of Marks'!BC206,IF($L$3=$AJ$12,'Statement of Marks'!BQ206,IF($L$3=$AJ$13,'Statement of Marks'!CF206,IF($L$3=$AJ$14,'Statement of Marks'!CU206,IF($L$3=$AJ$15,'Statement of Marks'!EA206,IF($L$3=$AJ$16,'Statement of Marks'!EM206,IF($L$3=$AJ$17,('Statement of Marks'!FD206+'Statement of Marks'!FE206),"")))))))))),"")</f>
        <v/>
      </c>
      <c r="L207" s="809" t="str">
        <f>IFERROR(IF($L$3=$AJ$8,'Statement of Marks'!M206,IF($L$3=$AJ$9,'Statement of Marks'!AA206,IF($L$3=$AJ$10,'Statement of Marks'!AP206,IF($L$3=$AJ$11,'Statement of Marks'!BD206,IF($L$3=$AJ$12,'Statement of Marks'!BR206,IF($L$3=$AJ$13,'Statement of Marks'!CG206,IF($L$3=$AJ$14,'Statement of Marks'!CV206,IF($L$3=$AJ$15,'Statement of Marks'!EB206,IF($L$3=$AJ$16,'Statement of Marks'!EN206,IF($L$3=$AJ$17,('Statement of Marks'!FF206+'Statement of Marks'!FG206),"")))))))))),"")</f>
        <v/>
      </c>
      <c r="M207" s="810">
        <f t="shared" si="30"/>
        <v>0</v>
      </c>
      <c r="N207" s="809" t="str">
        <f>IFERROR(IF($L$3=$AJ$8,'Statement of Marks'!O206,IF($L$3=$AJ$9,'Statement of Marks'!AC206,IF($L$3=$AJ$10,'Statement of Marks'!AR206,IF($L$3=$AJ$11,'Statement of Marks'!BF206,IF($L$3=$AJ$12,'Statement of Marks'!BT206,IF($L$3=$AJ$13,'Statement of Marks'!CI206,IF($L$3=$AJ$14,('Statement of Marks'!CX206+'Statement of Marks'!CY206),IF($L$3=$AJ$15,'Statement of Marks'!ED206,IF($L$3=$AJ$16,('Statement of Marks'!EP206+'Statement of Marks'!EQ206),IF($L$3=$AJ$17,('Statement of Marks'!FI206+'Statement of Marks'!FJ206),IF($L$3=$AJ$18,'Statement of Marks'!FU206,IF($L$3=$AJ$19,'Statement of Marks'!GC206,"")))))))))))),"")</f>
        <v/>
      </c>
      <c r="O207" s="811">
        <f>IF($L$3=$AJ$18,'Statement of Marks'!FV206,IF($L$3=$AJ$19,'Statement of Marks'!GD206,IF(AND(M207="NA",N207="NA"),"NA",IF(AND(M207="",N207=""),"",SUM(M207,N207)))))</f>
        <v>0</v>
      </c>
      <c r="P207" s="809" t="str">
        <f>IFERROR(IF($L$3=$AJ$8,'Statement of Marks'!Q206,IF($L$3=$AJ$9,'Statement of Marks'!AE206,IF($L$3=$AJ$10,'Statement of Marks'!AT206,IF($L$3=$AJ$11,'Statement of Marks'!BH206,IF($L$3=$AJ$12,'Statement of Marks'!BV206,IF($L$3=$AJ$13,'Statement of Marks'!CK206,IF($L$3=$AJ$14,('Statement of Marks'!DB206+'Statement of Marks'!DC206),IF($L$3=$AJ$15,'Statement of Marks'!EF206,IF($L$3=$AJ$16,('Statement of Marks'!ET206+'Statement of Marks'!EU206),IF($L$3=$AJ$17,('Statement of Marks'!FM206+'Statement of Marks'!FN206),IF($L$3=$AJ$18,'Statement of Marks'!FW206,IF($L$3=$AJ$19,'Statement of Marks'!GE206,"")))))))))))),"")</f>
        <v/>
      </c>
      <c r="Q207" s="812" t="str">
        <f t="shared" si="33"/>
        <v/>
      </c>
      <c r="R207" s="813">
        <f t="shared" si="31"/>
        <v>0</v>
      </c>
      <c r="S207" s="813" t="str">
        <f t="shared" si="34"/>
        <v/>
      </c>
      <c r="T207" s="813" t="str">
        <f t="shared" si="35"/>
        <v/>
      </c>
      <c r="U207" s="814" t="str">
        <f t="shared" si="36"/>
        <v/>
      </c>
      <c r="V207" s="815" t="str">
        <f t="shared" si="37"/>
        <v/>
      </c>
      <c r="W207" s="816" t="str">
        <f t="shared" si="32"/>
        <v/>
      </c>
    </row>
    <row r="208" spans="1:23">
      <c r="A208" s="1325"/>
      <c r="B208" s="1325"/>
      <c r="C208" s="1325"/>
      <c r="D208" s="1325"/>
      <c r="E208" s="1325"/>
      <c r="F208" s="1325"/>
      <c r="G208" s="1325"/>
      <c r="H208" s="1325"/>
      <c r="I208" s="1325"/>
      <c r="J208" s="1325"/>
      <c r="K208" s="1325"/>
      <c r="L208" s="1325"/>
      <c r="M208" s="1325"/>
      <c r="N208" s="1325"/>
      <c r="O208" s="1325"/>
      <c r="P208" s="1325"/>
      <c r="Q208" s="1325"/>
      <c r="R208" s="1325"/>
      <c r="S208" s="1325"/>
      <c r="T208" s="1325"/>
      <c r="U208" s="1325"/>
      <c r="V208" s="1325"/>
      <c r="W208" s="1325"/>
    </row>
    <row r="209" spans="1:23">
      <c r="A209" s="1326" t="s">
        <v>266</v>
      </c>
      <c r="B209" s="1327"/>
      <c r="C209" s="1327"/>
      <c r="D209" s="1327"/>
      <c r="E209" s="1328"/>
      <c r="F209" s="1334" t="str">
        <f>IF('School Profile'!$D$12="Hindi","विषय का नाम :","Subject Name :")</f>
        <v>विषय का नाम :</v>
      </c>
      <c r="G209" s="1334"/>
      <c r="H209" s="1347" t="str">
        <f>IF(OR($D$3="",$L$3=""),"",IF($L$3="","",$L$3))</f>
        <v>अंग्रेजी</v>
      </c>
      <c r="I209" s="1347"/>
      <c r="J209" s="1347"/>
      <c r="K209" s="1347"/>
      <c r="L209" s="1347"/>
      <c r="M209" s="1347"/>
      <c r="N209" s="1347"/>
      <c r="O209" s="1347"/>
      <c r="P209" s="1347"/>
      <c r="Q209" s="1347"/>
      <c r="R209" s="818"/>
      <c r="S209" s="818"/>
      <c r="T209" s="818"/>
      <c r="U209" s="818"/>
      <c r="V209" s="818"/>
      <c r="W209" s="1335"/>
    </row>
    <row r="210" spans="1:23" ht="15" customHeight="1">
      <c r="A210" s="1329"/>
      <c r="B210" s="1330"/>
      <c r="C210" s="1330"/>
      <c r="D210" s="1330"/>
      <c r="E210" s="1331"/>
      <c r="F210" s="1334" t="str">
        <f>IF('School Profile'!$D$12="Hindi","विषयाध्यापक का नाम :","Name Of Subject Teacher :")</f>
        <v>विषयाध्यापक का नाम :</v>
      </c>
      <c r="G210" s="1334"/>
      <c r="H210" s="1347" t="str">
        <f>IF($L$3=$AJ$8,'Statement of Marks'!K209,IF($L$3=$AJ$9,'Statement of Marks'!Y209,IF($L$3=$AJ$10,'Statement of Marks'!AM209,IF($L$3=$AJ$11,'Statement of Marks'!CE209,IF($L$3=$AJ$12,'Statement of Marks'!CJ209,IF($L$3=$AJ$13,'Statement of Marks'!CU209,IF($L$3=$AJ$14,'Statement of Marks'!CZ209,IF($L$3=$AJ$15,'Statement of Marks'!DZ209,IF($L$3=$AJ$16,'Statement of Marks'!EL209,IF($L$3=$AJ$17,'Statement of Marks'!FB209,IF($L$3=$AJ$18,'Statement of Marks'!FJ209,IF($L$3=$AJ$19,'Statement of Marks'!FU209,""))))))))))))</f>
        <v>HEERALAL JAT</v>
      </c>
      <c r="I210" s="1347"/>
      <c r="J210" s="1347"/>
      <c r="K210" s="1347"/>
      <c r="L210" s="1347"/>
      <c r="M210" s="1347"/>
      <c r="N210" s="1347"/>
      <c r="O210" s="1347"/>
      <c r="P210" s="1347"/>
      <c r="Q210" s="1347"/>
      <c r="R210" s="788"/>
      <c r="S210" s="788"/>
      <c r="T210" s="788"/>
      <c r="U210" s="788"/>
      <c r="V210" s="788"/>
      <c r="W210" s="1336"/>
    </row>
    <row r="211" spans="1:23" ht="15" customHeight="1">
      <c r="A211" s="1329"/>
      <c r="B211" s="1330"/>
      <c r="C211" s="1330"/>
      <c r="D211" s="1330"/>
      <c r="E211" s="1331"/>
      <c r="F211" s="1334" t="str">
        <f>IF('School Profile'!$D$12="Hindi","परीक्षा में बैठने वाले विद्यार्थियों की संख्या :","No. of students appeared :")</f>
        <v>परीक्षा में बैठने वाले विद्यार्थियों की संख्या :</v>
      </c>
      <c r="G211" s="1334"/>
      <c r="H211" s="1348">
        <f>IF(AND(H209="",H210=""),"",COUNTA(U8:U207)-COUNTIF(B8:B207,"NSO")-COUNTIF(U8:U207,"AB")-COUNTIF(U8:U207,""))</f>
        <v>31</v>
      </c>
      <c r="I211" s="1348"/>
      <c r="J211" s="1348"/>
      <c r="K211" s="1348"/>
      <c r="L211" s="1348"/>
      <c r="M211" s="1348"/>
      <c r="N211" s="1348"/>
      <c r="O211" s="1348"/>
      <c r="P211" s="1348"/>
      <c r="Q211" s="1348"/>
      <c r="R211" s="789"/>
      <c r="S211" s="789"/>
      <c r="T211" s="789"/>
      <c r="U211" s="789"/>
      <c r="V211" s="789"/>
      <c r="W211" s="1336"/>
    </row>
    <row r="212" spans="1:23" ht="15" customHeight="1">
      <c r="A212" s="1329"/>
      <c r="B212" s="1330"/>
      <c r="C212" s="1330"/>
      <c r="D212" s="1330"/>
      <c r="E212" s="1331"/>
      <c r="F212" s="1334" t="str">
        <f>IF('School Profile'!$D$12="Hindi","ग्रेड :","Grade :")</f>
        <v>ग्रेड :</v>
      </c>
      <c r="G212" s="1334"/>
      <c r="H212" s="1341" t="s">
        <v>37</v>
      </c>
      <c r="I212" s="1342"/>
      <c r="J212" s="1341" t="s">
        <v>38</v>
      </c>
      <c r="K212" s="1342"/>
      <c r="L212" s="1341" t="s">
        <v>39</v>
      </c>
      <c r="M212" s="1342"/>
      <c r="N212" s="1341" t="s">
        <v>74</v>
      </c>
      <c r="O212" s="1342"/>
      <c r="P212" s="1341" t="s">
        <v>55</v>
      </c>
      <c r="Q212" s="1342"/>
      <c r="R212" s="791"/>
      <c r="S212" s="791"/>
      <c r="T212" s="791"/>
      <c r="U212" s="792"/>
      <c r="V212" s="792"/>
      <c r="W212" s="1336"/>
    </row>
    <row r="213" spans="1:23" ht="15.75">
      <c r="A213" s="1329"/>
      <c r="B213" s="1330"/>
      <c r="C213" s="1330"/>
      <c r="D213" s="1330"/>
      <c r="E213" s="1331"/>
      <c r="F213" s="1334" t="str">
        <f>IF('School Profile'!$D$12="Hindi","ग्रेडवार उत्तीर्ण विद्यार्थी :","Total Passed Grade wise :")</f>
        <v>ग्रेडवार उत्तीर्ण विद्यार्थी :</v>
      </c>
      <c r="G213" s="1334"/>
      <c r="H213" s="1338">
        <f>IF(AND(H209="",H210=""),"",COUNTIF(V8:V207,"I"))</f>
        <v>30</v>
      </c>
      <c r="I213" s="1339"/>
      <c r="J213" s="1340">
        <f>IF(AND(H209="",H210=""),"",COUNTIF(V8:V207,"II"))</f>
        <v>0</v>
      </c>
      <c r="K213" s="1338"/>
      <c r="L213" s="1340">
        <f>IF(AND(H209="",H210=""),"",COUNTIF(V8:V207,"III"))</f>
        <v>1</v>
      </c>
      <c r="M213" s="1338"/>
      <c r="N213" s="1340">
        <f>IF(AND(H209="",H210=""),"",COUNTIF(V8:V207,"G"))</f>
        <v>0</v>
      </c>
      <c r="O213" s="1338"/>
      <c r="P213" s="1349">
        <f>SUM(H213,J213,L213,N213)</f>
        <v>31</v>
      </c>
      <c r="Q213" s="1350"/>
      <c r="R213" s="793"/>
      <c r="S213" s="793"/>
      <c r="T213" s="793"/>
      <c r="U213" s="794"/>
      <c r="V213" s="794"/>
      <c r="W213" s="1336"/>
    </row>
    <row r="214" spans="1:23">
      <c r="A214" s="1329"/>
      <c r="B214" s="1330"/>
      <c r="C214" s="1330"/>
      <c r="D214" s="1330"/>
      <c r="E214" s="1331"/>
      <c r="F214" s="1334" t="str">
        <f>IF('School Profile'!$D$12="Hindi","कुल उत्तीर्ण प्रतिशत में  :","Total Pass  %  :")</f>
        <v>कुल उत्तीर्ण प्रतिशत में  :</v>
      </c>
      <c r="G214" s="1334"/>
      <c r="H214" s="1344">
        <f>IF(AND(H209="",H210=""),"",IF(H211=0,0,P213/H211*100))</f>
        <v>100</v>
      </c>
      <c r="I214" s="1344"/>
      <c r="J214" s="1344"/>
      <c r="K214" s="1344"/>
      <c r="L214" s="1344"/>
      <c r="M214" s="1344"/>
      <c r="N214" s="1344"/>
      <c r="O214" s="1344"/>
      <c r="P214" s="1344"/>
      <c r="Q214" s="1344"/>
      <c r="R214" s="795"/>
      <c r="S214" s="795"/>
      <c r="T214" s="795"/>
      <c r="U214" s="795"/>
      <c r="V214" s="795"/>
      <c r="W214" s="1336"/>
    </row>
    <row r="215" spans="1:23">
      <c r="A215" s="1329"/>
      <c r="B215" s="1330"/>
      <c r="C215" s="1330"/>
      <c r="D215" s="1330"/>
      <c r="E215" s="1331"/>
      <c r="F215" s="1334" t="str">
        <f>IF('School Profile'!$D$12="Hindi","पूरक परीक्षा  :","Supplementary  :")</f>
        <v>पूरक परीक्षा  :</v>
      </c>
      <c r="G215" s="1334"/>
      <c r="H215" s="1345">
        <f>IF(AND(H209="",H210=""),"",COUNTIF(U8:U207,"S"))</f>
        <v>0</v>
      </c>
      <c r="I215" s="1345"/>
      <c r="J215" s="1345"/>
      <c r="K215" s="1345"/>
      <c r="L215" s="1345"/>
      <c r="M215" s="1345"/>
      <c r="N215" s="1345"/>
      <c r="O215" s="1345"/>
      <c r="P215" s="1345"/>
      <c r="Q215" s="1345"/>
      <c r="R215" s="790"/>
      <c r="S215" s="790"/>
      <c r="T215" s="790"/>
      <c r="U215" s="790"/>
      <c r="V215" s="790"/>
      <c r="W215" s="1336"/>
    </row>
    <row r="216" spans="1:23">
      <c r="A216" s="1329"/>
      <c r="B216" s="1330"/>
      <c r="C216" s="1330"/>
      <c r="D216" s="1330"/>
      <c r="E216" s="1331"/>
      <c r="F216" s="1346" t="str">
        <f>IF('School Profile'!$D$12="Hindi","अनुतीर्ण  :","Failed  :")</f>
        <v>अनुतीर्ण  :</v>
      </c>
      <c r="G216" s="1346"/>
      <c r="H216" s="1345">
        <f>IF(AND(H209="",H210=""),"",COUNTIF(U8:U207,"F"))</f>
        <v>0</v>
      </c>
      <c r="I216" s="1345"/>
      <c r="J216" s="1345"/>
      <c r="K216" s="1345"/>
      <c r="L216" s="1345"/>
      <c r="M216" s="1345"/>
      <c r="N216" s="1345"/>
      <c r="O216" s="1345"/>
      <c r="P216" s="1345"/>
      <c r="Q216" s="1345"/>
      <c r="R216" s="790"/>
      <c r="S216" s="790"/>
      <c r="T216" s="790"/>
      <c r="U216" s="790"/>
      <c r="V216" s="790"/>
      <c r="W216" s="1336"/>
    </row>
    <row r="217" spans="1:23" ht="15" customHeight="1">
      <c r="A217" s="1329"/>
      <c r="B217" s="1330"/>
      <c r="C217" s="1330"/>
      <c r="D217" s="1330"/>
      <c r="E217" s="1331"/>
      <c r="F217" s="1346" t="str">
        <f>IF('School Profile'!$D$12="Hindi","पुनः परीक्षा तक परिणाम रोका गया  :","Result with held until re-exam  :")</f>
        <v>पुनः परीक्षा तक परिणाम रोका गया  :</v>
      </c>
      <c r="G217" s="1346"/>
      <c r="H217" s="1345">
        <f>IF(AND(H209="",H210=""),"",COUNTIF(U8:U207,"RW"))</f>
        <v>0</v>
      </c>
      <c r="I217" s="1345"/>
      <c r="J217" s="1345"/>
      <c r="K217" s="1345"/>
      <c r="L217" s="1345"/>
      <c r="M217" s="1345"/>
      <c r="N217" s="1345"/>
      <c r="O217" s="1345"/>
      <c r="P217" s="1345"/>
      <c r="Q217" s="1345"/>
      <c r="R217" s="790"/>
      <c r="S217" s="790"/>
      <c r="T217" s="790"/>
      <c r="U217" s="790"/>
      <c r="V217" s="790"/>
      <c r="W217" s="1336"/>
    </row>
    <row r="218" spans="1:23">
      <c r="A218" s="1329"/>
      <c r="B218" s="1330"/>
      <c r="C218" s="1330"/>
      <c r="D218" s="1330"/>
      <c r="E218" s="1331"/>
      <c r="F218" s="1334" t="str">
        <f>IF('School Profile'!$D$12="Hindi","अनुपस्थिति  :","Absence  :")</f>
        <v>अनुपस्थिति  :</v>
      </c>
      <c r="G218" s="1334"/>
      <c r="H218" s="1345">
        <f>IF(AND(H209="",H210=""),"",COUNTIF(U8:U207,"AB"))</f>
        <v>0</v>
      </c>
      <c r="I218" s="1345"/>
      <c r="J218" s="1345"/>
      <c r="K218" s="1345"/>
      <c r="L218" s="1345"/>
      <c r="M218" s="1345"/>
      <c r="N218" s="1345"/>
      <c r="O218" s="1345"/>
      <c r="P218" s="1345"/>
      <c r="Q218" s="1345"/>
      <c r="R218" s="790"/>
      <c r="S218" s="790"/>
      <c r="T218" s="790"/>
      <c r="U218" s="790"/>
      <c r="V218" s="790"/>
      <c r="W218" s="1336"/>
    </row>
    <row r="219" spans="1:23" ht="15" customHeight="1">
      <c r="A219" s="1329"/>
      <c r="B219" s="1330"/>
      <c r="C219" s="1330"/>
      <c r="D219" s="1330"/>
      <c r="E219" s="1331"/>
      <c r="F219" s="1334" t="str">
        <f>IF('School Profile'!$D$12="Hindi","नाम पृथक विद्यार्थियों की संख्या  :","N.S.O. Students :")</f>
        <v>नाम पृथक विद्यार्थियों की संख्या  :</v>
      </c>
      <c r="G219" s="1334"/>
      <c r="H219" s="1345">
        <f>IF(AND(H209="",H210=""),"",COUNTIF(U8:U207,"NSO"))</f>
        <v>0</v>
      </c>
      <c r="I219" s="1345"/>
      <c r="J219" s="1345"/>
      <c r="K219" s="1345"/>
      <c r="L219" s="1345"/>
      <c r="M219" s="1345"/>
      <c r="N219" s="1345"/>
      <c r="O219" s="1345"/>
      <c r="P219" s="1345"/>
      <c r="Q219" s="1345"/>
      <c r="R219" s="790"/>
      <c r="S219" s="790"/>
      <c r="T219" s="790"/>
      <c r="U219" s="790"/>
      <c r="V219" s="790"/>
      <c r="W219" s="1336"/>
    </row>
    <row r="220" spans="1:23" ht="15" customHeight="1">
      <c r="A220" s="1332"/>
      <c r="B220" s="1333"/>
      <c r="C220" s="1333"/>
      <c r="D220" s="1333"/>
      <c r="E220" s="1333"/>
      <c r="F220" s="1334" t="str">
        <f>IF('School Profile'!$D$12="Hindi","पुनः परीक्षा वाले विद्यार्थियों की संख्या  :","No. of students for re-exam. :")</f>
        <v>पुनः परीक्षा वाले विद्यार्थियों की संख्या  :</v>
      </c>
      <c r="G220" s="1334"/>
      <c r="H220" s="1345">
        <f>IF(AND(H209="",H210=""),"",COUNTIF(U8:U207,"RE"))</f>
        <v>0</v>
      </c>
      <c r="I220" s="1345"/>
      <c r="J220" s="1345"/>
      <c r="K220" s="1345"/>
      <c r="L220" s="1345"/>
      <c r="M220" s="1345"/>
      <c r="N220" s="1345"/>
      <c r="O220" s="1345"/>
      <c r="P220" s="1345"/>
      <c r="Q220" s="1345"/>
      <c r="R220" s="819"/>
      <c r="S220" s="819"/>
      <c r="T220" s="819"/>
      <c r="U220" s="819"/>
      <c r="V220" s="819"/>
      <c r="W220" s="1337"/>
    </row>
  </sheetData>
  <sheetProtection password="D5A2" sheet="1" objects="1" scenarios="1"/>
  <protectedRanges>
    <protectedRange password="EA02" sqref="N6 M5:N5 O5:P6 J5:L7 M7:P7 O8:O207 M8:M207" name="mark sheet"/>
  </protectedRanges>
  <mergeCells count="63">
    <mergeCell ref="H220:Q220"/>
    <mergeCell ref="P212:Q212"/>
    <mergeCell ref="H209:Q209"/>
    <mergeCell ref="H210:Q210"/>
    <mergeCell ref="H211:Q211"/>
    <mergeCell ref="N213:O213"/>
    <mergeCell ref="P213:Q213"/>
    <mergeCell ref="F220:G220"/>
    <mergeCell ref="N5:N6"/>
    <mergeCell ref="J5:M5"/>
    <mergeCell ref="N212:O212"/>
    <mergeCell ref="H214:Q214"/>
    <mergeCell ref="H215:Q215"/>
    <mergeCell ref="H216:Q216"/>
    <mergeCell ref="F217:G217"/>
    <mergeCell ref="F218:G218"/>
    <mergeCell ref="F219:G219"/>
    <mergeCell ref="H217:Q217"/>
    <mergeCell ref="H218:Q218"/>
    <mergeCell ref="H219:Q219"/>
    <mergeCell ref="F214:G214"/>
    <mergeCell ref="F215:G215"/>
    <mergeCell ref="F216:G216"/>
    <mergeCell ref="Z8:AE9"/>
    <mergeCell ref="Z10:AE10"/>
    <mergeCell ref="A208:W208"/>
    <mergeCell ref="A209:E220"/>
    <mergeCell ref="F209:G209"/>
    <mergeCell ref="W209:W220"/>
    <mergeCell ref="F210:G210"/>
    <mergeCell ref="F211:G211"/>
    <mergeCell ref="F213:G213"/>
    <mergeCell ref="H213:I213"/>
    <mergeCell ref="J213:K213"/>
    <mergeCell ref="L213:M213"/>
    <mergeCell ref="F212:G212"/>
    <mergeCell ref="H212:I212"/>
    <mergeCell ref="J212:K212"/>
    <mergeCell ref="L212:M212"/>
    <mergeCell ref="Z5:AD6"/>
    <mergeCell ref="O5:O6"/>
    <mergeCell ref="Q5:Q6"/>
    <mergeCell ref="R5:R6"/>
    <mergeCell ref="P5:P6"/>
    <mergeCell ref="S5:S6"/>
    <mergeCell ref="T5:T6"/>
    <mergeCell ref="U5:U6"/>
    <mergeCell ref="V5:V6"/>
    <mergeCell ref="W5:W6"/>
    <mergeCell ref="G5:G7"/>
    <mergeCell ref="H5:H7"/>
    <mergeCell ref="I5:I7"/>
    <mergeCell ref="A5:A7"/>
    <mergeCell ref="B5:B7"/>
    <mergeCell ref="C5:C7"/>
    <mergeCell ref="D5:D7"/>
    <mergeCell ref="E5:E7"/>
    <mergeCell ref="F5:F7"/>
    <mergeCell ref="A1:W1"/>
    <mergeCell ref="A2:W2"/>
    <mergeCell ref="B3:C3"/>
    <mergeCell ref="I3:K3"/>
    <mergeCell ref="L3:W3"/>
  </mergeCells>
  <conditionalFormatting sqref="H209:H214 J212:M213 N212:Q212 L213:Q213 H8:L207 N8:N207 P8:P207">
    <cfRule type="containsText" dxfId="203" priority="18" stopIfTrue="1" operator="containsText" text="OBC">
      <formula>NOT(ISERROR(SEARCH("OBC",H8)))</formula>
    </cfRule>
    <cfRule type="containsText" dxfId="202" priority="19" stopIfTrue="1" operator="containsText" text="ST">
      <formula>NOT(ISERROR(SEARCH("ST",H8)))</formula>
    </cfRule>
    <cfRule type="containsText" dxfId="201" priority="20" stopIfTrue="1" operator="containsText" text="SC">
      <formula>NOT(ISERROR(SEARCH("SC",H8)))</formula>
    </cfRule>
  </conditionalFormatting>
  <conditionalFormatting sqref="I8:L207 N8:N207 P8:P207">
    <cfRule type="expression" dxfId="200" priority="16">
      <formula>I8="F"</formula>
    </cfRule>
    <cfRule type="expression" dxfId="199" priority="17">
      <formula>I8="M"</formula>
    </cfRule>
  </conditionalFormatting>
  <conditionalFormatting sqref="O7:O207 M7:M207">
    <cfRule type="cellIs" dxfId="198" priority="15" operator="equal">
      <formula>0</formula>
    </cfRule>
  </conditionalFormatting>
  <conditionalFormatting sqref="U8:U207">
    <cfRule type="containsText" dxfId="197" priority="4" stopIfTrue="1" operator="containsText" text="F">
      <formula>NOT(ISERROR(SEARCH("F",U8)))</formula>
    </cfRule>
  </conditionalFormatting>
  <conditionalFormatting sqref="U8:U207">
    <cfRule type="containsText" dxfId="196" priority="1" stopIfTrue="1" operator="containsText" text="G">
      <formula>NOT(ISERROR(SEARCH("G",U8)))</formula>
    </cfRule>
    <cfRule type="containsText" dxfId="195" priority="2" stopIfTrue="1" operator="containsText" text="S">
      <formula>NOT(ISERROR(SEARCH("S",U8)))</formula>
    </cfRule>
    <cfRule type="containsText" dxfId="194" priority="3" stopIfTrue="1" operator="containsText" text="D">
      <formula>NOT(ISERROR(SEARCH("D",U8)))</formula>
    </cfRule>
  </conditionalFormatting>
  <dataValidations count="1">
    <dataValidation type="list" allowBlank="1" showInputMessage="1" showErrorMessage="1" sqref="L3">
      <formula1>subject5</formula1>
    </dataValidation>
  </dataValidations>
  <pageMargins left="0.45" right="0.2" top="0.25" bottom="0.25" header="0.3" footer="0.3"/>
  <pageSetup paperSize="9" scale="65" fitToHeight="4"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AV220"/>
  <sheetViews>
    <sheetView showGridLines="0" topLeftCell="B1" workbookViewId="0">
      <selection activeCell="K1" sqref="K1:R1"/>
    </sheetView>
  </sheetViews>
  <sheetFormatPr defaultColWidth="0" defaultRowHeight="15" zeroHeight="1"/>
  <cols>
    <col min="1" max="1" width="4" style="6" customWidth="1"/>
    <col min="2" max="2" width="6.625" style="6" customWidth="1"/>
    <col min="3" max="3" width="6.375" style="6" customWidth="1"/>
    <col min="4" max="4" width="10.125" style="6" customWidth="1"/>
    <col min="5" max="5" width="16.5" style="6" customWidth="1"/>
    <col min="6" max="6" width="16" style="6" customWidth="1"/>
    <col min="7" max="7" width="15.625" style="6" customWidth="1"/>
    <col min="8" max="8" width="12" style="6" customWidth="1"/>
    <col min="9" max="9" width="5.25" style="6" customWidth="1"/>
    <col min="10" max="10" width="8.875" style="6" customWidth="1"/>
    <col min="11" max="11" width="4.25" style="6" customWidth="1"/>
    <col min="12" max="16" width="4.75" style="6" customWidth="1"/>
    <col min="17" max="17" width="5.25" style="6" customWidth="1"/>
    <col min="18" max="18" width="20.375" style="6" customWidth="1"/>
    <col min="19" max="19" width="5.25" style="6" customWidth="1"/>
    <col min="20" max="20" width="4.75" style="6" customWidth="1"/>
    <col min="21" max="21" width="4.625" style="6" customWidth="1"/>
    <col min="22" max="26" width="4.75" style="6" customWidth="1"/>
    <col min="27" max="27" width="5.375" style="6" customWidth="1"/>
    <col min="28" max="29" width="4.75" style="6" customWidth="1"/>
    <col min="30" max="30" width="5.25" style="6" customWidth="1"/>
    <col min="31" max="31" width="5" style="6" customWidth="1"/>
    <col min="32" max="32" width="4.75" style="6" customWidth="1"/>
    <col min="33" max="37" width="5.25" style="6" customWidth="1"/>
    <col min="38" max="38" width="5.125" style="6" customWidth="1"/>
    <col min="39" max="41" width="4.75" style="6" customWidth="1"/>
    <col min="42" max="42" width="5.375" style="6" customWidth="1"/>
    <col min="43" max="43" width="11.75" style="6" customWidth="1"/>
    <col min="44" max="44" width="7.25" style="6" customWidth="1"/>
    <col min="45" max="45" width="5.625" style="6" customWidth="1"/>
    <col min="46" max="46" width="8.75" style="6" customWidth="1"/>
    <col min="47" max="48" width="0" style="6" hidden="1" customWidth="1"/>
    <col min="49" max="16384" width="9.125" style="6" hidden="1"/>
  </cols>
  <sheetData>
    <row r="1" spans="1:46" ht="25.5" customHeight="1">
      <c r="A1" s="1351" t="str">
        <f>IF('School Profile'!D12="Hindi",CONCATENATE("विद्यालय का नाम :-","  ",'School Profile'!D9),CONCATENATE("School Name :-","  ",'School Profile'!D8))</f>
        <v xml:space="preserve">विद्यालय का नाम :-  महात्मा गाँधी राजकीय विद्यालय (अंग्रेजी माध्यम) बर, पाली </v>
      </c>
      <c r="B1" s="1351"/>
      <c r="C1" s="1351"/>
      <c r="D1" s="1351"/>
      <c r="E1" s="1351"/>
      <c r="F1" s="1351"/>
      <c r="G1" s="1351"/>
      <c r="H1" s="1351"/>
      <c r="I1" s="1351"/>
      <c r="J1" s="1351"/>
      <c r="K1" s="1352"/>
      <c r="L1" s="1352"/>
      <c r="M1" s="1352"/>
      <c r="N1" s="1352"/>
      <c r="O1" s="1352"/>
      <c r="P1" s="1352"/>
      <c r="Q1" s="1352"/>
      <c r="R1" s="1352"/>
      <c r="S1" s="1355" t="str">
        <f>IF('School Profile'!$D$12="Hindi","पूरक परीक्षा के अंको की एंट्री","Supplementary Exam Marks Entry")</f>
        <v>पूरक परीक्षा के अंको की एंट्री</v>
      </c>
      <c r="T1" s="1355"/>
      <c r="U1" s="1355"/>
      <c r="V1" s="1355"/>
      <c r="W1" s="1355"/>
      <c r="X1" s="1355"/>
      <c r="Y1" s="1355"/>
      <c r="Z1" s="1355"/>
      <c r="AA1" s="1355"/>
      <c r="AB1" s="1355"/>
      <c r="AC1" s="1355"/>
      <c r="AD1" s="1355"/>
      <c r="AE1" s="1355"/>
      <c r="AF1" s="1355"/>
      <c r="AG1" s="1355"/>
      <c r="AH1" s="1355"/>
      <c r="AI1" s="1355"/>
      <c r="AJ1" s="1355"/>
      <c r="AK1" s="1355"/>
      <c r="AL1" s="1355"/>
      <c r="AM1" s="1355"/>
      <c r="AN1" s="1355"/>
      <c r="AO1" s="1355"/>
      <c r="AP1" s="1355"/>
      <c r="AQ1" s="1355"/>
      <c r="AR1" s="1355"/>
      <c r="AS1" s="1355"/>
    </row>
    <row r="2" spans="1:46" ht="33.75" customHeight="1">
      <c r="A2" s="1356" t="str">
        <f>IF('School Profile'!D12="Hindi","कक्षा :-","CLASS :-")</f>
        <v>कक्षा :-</v>
      </c>
      <c r="B2" s="1356"/>
      <c r="C2" s="1354" t="str">
        <f>'Statement of Marks'!E3</f>
        <v>9th</v>
      </c>
      <c r="D2" s="1354"/>
      <c r="E2" s="1354"/>
      <c r="F2" s="610" t="str">
        <f>IF('School Profile'!D12="Hindi","सत्र  :-","Session :-")</f>
        <v>सत्र  :-</v>
      </c>
      <c r="G2" s="1354" t="str">
        <f>'Marks Entry'!I3</f>
        <v>2025-2026</v>
      </c>
      <c r="H2" s="1354"/>
      <c r="I2" s="1354"/>
      <c r="J2" s="1354"/>
      <c r="K2" s="1371" t="str">
        <f>IF('School Profile'!$D$12="Hindi","मुख्य परीक्षा विषयवार परिणाम ","Main Exam Subject wise Result")</f>
        <v xml:space="preserve">मुख्य परीक्षा विषयवार परिणाम </v>
      </c>
      <c r="L2" s="1371"/>
      <c r="M2" s="1371"/>
      <c r="N2" s="1371"/>
      <c r="O2" s="1371"/>
      <c r="P2" s="1371"/>
      <c r="Q2" s="1371"/>
      <c r="R2" s="1357" t="str">
        <f>IF('School Profile'!$D$12="Hindi","पूरक परीक्षा के विषय","Supplementary Exam Subject")</f>
        <v>पूरक परीक्षा के विषय</v>
      </c>
      <c r="S2" s="1358" t="str">
        <f>IF('School Profile'!$D$12="Hindi","पूरक परीक्षा के विषयों की संख्या","Total No. of Supplementary Subjects")</f>
        <v>पूरक परीक्षा के विषयों की संख्या</v>
      </c>
      <c r="T2" s="1359" t="str">
        <f>'Statement of Marks'!K3</f>
        <v>हिंदी</v>
      </c>
      <c r="U2" s="1359"/>
      <c r="V2" s="1359"/>
      <c r="W2" s="1359" t="str">
        <f>'Statement of Marks'!Y3</f>
        <v>अंग्रेजी</v>
      </c>
      <c r="X2" s="1359"/>
      <c r="Y2" s="1359"/>
      <c r="Z2" s="1360" t="str">
        <f>IF('School Profile'!$D$12="Hindi","तृतीय भाषा","Third Language")</f>
        <v>तृतीय भाषा</v>
      </c>
      <c r="AA2" s="1360"/>
      <c r="AB2" s="1360"/>
      <c r="AC2" s="1360" t="str">
        <f>'Statement of Marks'!BB3</f>
        <v>गणित</v>
      </c>
      <c r="AD2" s="1360"/>
      <c r="AE2" s="1360"/>
      <c r="AF2" s="1360" t="str">
        <f>'Statement of Marks'!BP3</f>
        <v>विज्ञान</v>
      </c>
      <c r="AG2" s="1360"/>
      <c r="AH2" s="1360"/>
      <c r="AI2" s="1360" t="str">
        <f>'Statement of Marks'!CE3</f>
        <v>सामाजिक विज्ञान</v>
      </c>
      <c r="AJ2" s="1360"/>
      <c r="AK2" s="1360"/>
      <c r="AL2" s="1360" t="str">
        <f>Q3</f>
        <v>व्यावसायिक शिक्षा</v>
      </c>
      <c r="AM2" s="1360"/>
      <c r="AN2" s="1360"/>
      <c r="AO2" s="1353" t="str">
        <f>IF('School Profile'!$D$12="Hindi","पूरक/पुनः परीक्षा के कुल विषय","Supp. / Re-exam Marks Number of Subjects Entered")</f>
        <v>पूरक/पुनः परीक्षा के कुल विषय</v>
      </c>
      <c r="AP2" s="1353" t="str">
        <f>IF('School Profile'!$D$12="Hindi","पूरक/पुनः परीक्षा में उतीर्ण कुल विषय","No. of Subjects Passed in Supp. / Re-exam")</f>
        <v>पूरक/पुनः परीक्षा में उतीर्ण कुल विषय</v>
      </c>
      <c r="AQ2" s="1370" t="str">
        <f>IF('School Profile'!$D$12="Hindi","पूरक/पुनः परीक्षा का परिणाम","Supp. / Re-exam Result")</f>
        <v>पूरक/पुनः परीक्षा का परिणाम</v>
      </c>
      <c r="AR2" s="1370"/>
      <c r="AS2" s="1370"/>
    </row>
    <row r="3" spans="1:46" s="177" customFormat="1" ht="93" customHeight="1">
      <c r="A3" s="1369" t="str">
        <f>IF('Statement of Marks'!A4="","",'Statement of Marks'!A4)</f>
        <v xml:space="preserve">क्र. स. </v>
      </c>
      <c r="B3" s="1369" t="str">
        <f>IF('Statement of Marks'!B4="","",'Statement of Marks'!B4)</f>
        <v>रोल न.</v>
      </c>
      <c r="C3" s="1369" t="str">
        <f>IF('Statement of Marks'!D4="","",'Statement of Marks'!D4)</f>
        <v>प्रवेशांक</v>
      </c>
      <c r="D3" s="1369" t="str">
        <f>IF('Statement of Marks'!E4="","",'Statement of Marks'!E4)</f>
        <v xml:space="preserve">जन्मतिथि </v>
      </c>
      <c r="E3" s="1361" t="str">
        <f>IF('Statement of Marks'!F4="","",'Statement of Marks'!F4)</f>
        <v xml:space="preserve">विद्यार्थी का नाम </v>
      </c>
      <c r="F3" s="1361" t="str">
        <f>IF('Statement of Marks'!G4="","",'Statement of Marks'!G4)</f>
        <v xml:space="preserve">पिता का नाम </v>
      </c>
      <c r="G3" s="1361" t="str">
        <f>IF('Statement of Marks'!H4="","",'Statement of Marks'!H4)</f>
        <v xml:space="preserve">माता का नाम </v>
      </c>
      <c r="H3" s="1361" t="str">
        <f>IF('School Profile'!$D$12="Hindi","मुख्य परीक्षा परिणाम ","Main Exam Result")</f>
        <v xml:space="preserve">मुख्य परीक्षा परिणाम </v>
      </c>
      <c r="I3" s="1368" t="str">
        <f>IF('School Profile'!$D$12="Hindi","श्रेणी","Division")</f>
        <v>श्रेणी</v>
      </c>
      <c r="J3" s="1359" t="str">
        <f>IF('School Profile'!$D$12="Hindi","प्राप्तांक प्रतिशत","Optained Percentage %")</f>
        <v>प्राप्तांक प्रतिशत</v>
      </c>
      <c r="K3" s="1362" t="str">
        <f>'Statement of Marks'!K3</f>
        <v>हिंदी</v>
      </c>
      <c r="L3" s="1362" t="str">
        <f>'Statement of Marks'!Y3</f>
        <v>अंग्रेजी</v>
      </c>
      <c r="M3" s="1362" t="str">
        <f>IF('School Profile'!$D$12="Hindi","तृतीय भाषा","Third Language")</f>
        <v>तृतीय भाषा</v>
      </c>
      <c r="N3" s="1362" t="str">
        <f>'Statement of Marks'!BB3</f>
        <v>गणित</v>
      </c>
      <c r="O3" s="1362" t="str">
        <f>'Statement of Marks'!BP3</f>
        <v>विज्ञान</v>
      </c>
      <c r="P3" s="1362" t="str">
        <f>'Statement of Marks'!CE3</f>
        <v>सामाजिक विज्ञान</v>
      </c>
      <c r="Q3" s="1362" t="str">
        <f>IF('School Profile'!$D$12="Hindi","व्यावसायिक शिक्षा","Vocational Education")</f>
        <v>व्यावसायिक शिक्षा</v>
      </c>
      <c r="R3" s="1357"/>
      <c r="S3" s="1358"/>
      <c r="T3" s="600" t="str">
        <f>IF('School Profile'!$D$12="Hindi","प्राप्तांक","Marks Obtained")</f>
        <v>प्राप्तांक</v>
      </c>
      <c r="U3" s="722" t="str">
        <f>IF('School Profile'!$D$12="Hindi","जोड़े जाने वाले अंक","Marks to be Added")</f>
        <v>जोड़े जाने वाले अंक</v>
      </c>
      <c r="V3" s="722" t="str">
        <f>IF('School Profile'!$D$12="Hindi","विषय परिणाम","Subject Result")</f>
        <v>विषय परिणाम</v>
      </c>
      <c r="W3" s="600" t="str">
        <f>IF('School Profile'!$D$12="Hindi","प्राप्तांक","Marks Obtained")</f>
        <v>प्राप्तांक</v>
      </c>
      <c r="X3" s="722" t="str">
        <f>IF('School Profile'!$D$12="Hindi","जोड़े जाने वाले अंक","Marks to be Added")</f>
        <v>जोड़े जाने वाले अंक</v>
      </c>
      <c r="Y3" s="722" t="str">
        <f>IF('School Profile'!$D$12="Hindi","विषय परिणाम","Subject Result")</f>
        <v>विषय परिणाम</v>
      </c>
      <c r="Z3" s="600" t="str">
        <f>IF('School Profile'!$D$12="Hindi","प्राप्तांक","Marks Obtained")</f>
        <v>प्राप्तांक</v>
      </c>
      <c r="AA3" s="722" t="str">
        <f>IF('School Profile'!$D$12="Hindi","जोड़े जाने वाले अंक","Marks to be Added")</f>
        <v>जोड़े जाने वाले अंक</v>
      </c>
      <c r="AB3" s="722" t="str">
        <f>IF('School Profile'!$D$12="Hindi","विषय परिणाम","Subject Result")</f>
        <v>विषय परिणाम</v>
      </c>
      <c r="AC3" s="600" t="str">
        <f>IF('School Profile'!$D$12="Hindi","प्राप्तांक","Marks Obtained")</f>
        <v>प्राप्तांक</v>
      </c>
      <c r="AD3" s="722" t="str">
        <f>IF('School Profile'!$D$12="Hindi","जोड़े जाने वाले अंक","Marks to be Added")</f>
        <v>जोड़े जाने वाले अंक</v>
      </c>
      <c r="AE3" s="722" t="str">
        <f>IF('School Profile'!$D$12="Hindi","विषय परिणाम","Subject Result")</f>
        <v>विषय परिणाम</v>
      </c>
      <c r="AF3" s="600" t="str">
        <f>IF('School Profile'!$D$12="Hindi","प्राप्तांक","Marks Obtained")</f>
        <v>प्राप्तांक</v>
      </c>
      <c r="AG3" s="722" t="str">
        <f>IF('School Profile'!$D$12="Hindi","जोड़े जाने वाले अंक","Marks to be Added")</f>
        <v>जोड़े जाने वाले अंक</v>
      </c>
      <c r="AH3" s="722" t="str">
        <f>IF('School Profile'!$D$12="Hindi","विषय परिणाम","Subject Result")</f>
        <v>विषय परिणाम</v>
      </c>
      <c r="AI3" s="600" t="str">
        <f>IF('School Profile'!$D$12="Hindi","प्राप्तांक","Marks Obtained")</f>
        <v>प्राप्तांक</v>
      </c>
      <c r="AJ3" s="722" t="str">
        <f>IF('School Profile'!$D$12="Hindi","जोड़े जाने वाले अंक","Marks to be Added")</f>
        <v>जोड़े जाने वाले अंक</v>
      </c>
      <c r="AK3" s="722" t="str">
        <f>IF('School Profile'!$D$12="Hindi","विषय परिणाम","Subject Result")</f>
        <v>विषय परिणाम</v>
      </c>
      <c r="AL3" s="600" t="str">
        <f>IF('School Profile'!$D$12="Hindi","प्राप्तांक","Marks Obtained")</f>
        <v>प्राप्तांक</v>
      </c>
      <c r="AM3" s="600" t="str">
        <f>IF('School Profile'!$D$12="Hindi","जोड़े जाने वाले अंक","Marks to be Added")</f>
        <v>जोड़े जाने वाले अंक</v>
      </c>
      <c r="AN3" s="600" t="str">
        <f>IF('School Profile'!$D$12="Hindi","विषय परिणाम","Subject Result")</f>
        <v>विषय परिणाम</v>
      </c>
      <c r="AO3" s="1353"/>
      <c r="AP3" s="1353"/>
      <c r="AQ3" s="599" t="str">
        <f>IF('School Profile'!$D$12="Hindi","परिणाम ","Result")</f>
        <v xml:space="preserve">परिणाम </v>
      </c>
      <c r="AR3" s="609" t="str">
        <f>IF('School Profile'!D12="Hindi","प्रतिशत","Percentage")</f>
        <v>प्रतिशत</v>
      </c>
      <c r="AS3" s="609" t="str">
        <f>IF('School Profile'!$D$12="Hindi","श्रेणी","Division")</f>
        <v>श्रेणी</v>
      </c>
    </row>
    <row r="4" spans="1:46" s="177" customFormat="1" ht="21" customHeight="1">
      <c r="A4" s="1369"/>
      <c r="B4" s="1369"/>
      <c r="C4" s="1369"/>
      <c r="D4" s="1369"/>
      <c r="E4" s="1361"/>
      <c r="F4" s="1361"/>
      <c r="G4" s="1361"/>
      <c r="H4" s="1361"/>
      <c r="I4" s="1368"/>
      <c r="J4" s="1359"/>
      <c r="K4" s="1362"/>
      <c r="L4" s="1362"/>
      <c r="M4" s="1362"/>
      <c r="N4" s="1362"/>
      <c r="O4" s="1362"/>
      <c r="P4" s="1362"/>
      <c r="Q4" s="1362"/>
      <c r="R4" s="1361" t="str">
        <f>IF('School Profile'!$D$12="Hindi","पूरक परीक्षा के अंक","Supplementary Exam Marks")</f>
        <v>पूरक परीक्षा के अंक</v>
      </c>
      <c r="S4" s="1361"/>
      <c r="T4" s="175">
        <v>100</v>
      </c>
      <c r="U4" s="178"/>
      <c r="V4" s="178"/>
      <c r="W4" s="175">
        <v>100</v>
      </c>
      <c r="X4" s="178"/>
      <c r="Y4" s="178"/>
      <c r="Z4" s="176">
        <v>100</v>
      </c>
      <c r="AA4" s="178"/>
      <c r="AB4" s="178"/>
      <c r="AC4" s="176">
        <v>100</v>
      </c>
      <c r="AD4" s="178"/>
      <c r="AE4" s="178"/>
      <c r="AF4" s="176">
        <v>100</v>
      </c>
      <c r="AG4" s="178"/>
      <c r="AH4" s="178"/>
      <c r="AI4" s="176">
        <v>100</v>
      </c>
      <c r="AJ4" s="178"/>
      <c r="AK4" s="178"/>
      <c r="AL4" s="176">
        <v>100</v>
      </c>
      <c r="AM4" s="179"/>
      <c r="AN4" s="179"/>
      <c r="AO4" s="179"/>
      <c r="AP4" s="179"/>
      <c r="AQ4" s="180"/>
      <c r="AR4" s="180"/>
      <c r="AS4" s="180"/>
    </row>
    <row r="5" spans="1:46">
      <c r="A5" s="169">
        <f>IF('Statement of Marks'!A7="","",'Statement of Marks'!A7)</f>
        <v>1</v>
      </c>
      <c r="B5" s="169">
        <f>IF('Statement of Marks'!B7="","",'Statement of Marks'!B7)</f>
        <v>901</v>
      </c>
      <c r="C5" s="169">
        <f>IF('Statement of Marks'!D7="","",'Statement of Marks'!D7)</f>
        <v>521</v>
      </c>
      <c r="D5" s="170">
        <f>IF('Statement of Marks'!E7="","",'Statement of Marks'!E7)</f>
        <v>40461</v>
      </c>
      <c r="E5" s="171" t="str">
        <f>IF('Statement of Marks'!F7="","",'Statement of Marks'!F7)</f>
        <v>RAHUL JAT</v>
      </c>
      <c r="F5" s="171" t="str">
        <f>IF('Statement of Marks'!G7="","",'Statement of Marks'!G7)</f>
        <v>HL JAT</v>
      </c>
      <c r="G5" s="171" t="str">
        <f>IF('Statement of Marks'!H7="","",'Statement of Marks'!H7)</f>
        <v>LALI</v>
      </c>
      <c r="H5" s="172" t="str">
        <f>IF('Statement of Marks'!HS7="","",'Statement of Marks'!HS7)</f>
        <v>PASS</v>
      </c>
      <c r="I5" s="172" t="str">
        <f>IF('Statement of Marks'!HV7="","",'Statement of Marks'!HV7)</f>
        <v>1st</v>
      </c>
      <c r="J5" s="173">
        <f>IF('Statement of Marks'!HU7="","",'Statement of Marks'!HU7)</f>
        <v>73.833333333333329</v>
      </c>
      <c r="K5" s="181" t="str">
        <f>'Statement of Marks'!GN7</f>
        <v>I</v>
      </c>
      <c r="L5" s="181" t="str">
        <f>'Statement of Marks'!GQ7</f>
        <v>I</v>
      </c>
      <c r="M5" s="181" t="str">
        <f>'Statement of Marks'!GT7</f>
        <v>I</v>
      </c>
      <c r="N5" s="181" t="str">
        <f>'Statement of Marks'!HB7</f>
        <v>I</v>
      </c>
      <c r="O5" s="181" t="str">
        <f>'Statement of Marks'!HE7</f>
        <v>I</v>
      </c>
      <c r="P5" s="181" t="str">
        <f>'Statement of Marks'!HH7</f>
        <v>I</v>
      </c>
      <c r="Q5" s="181" t="str">
        <f>'Statement of Marks'!HK7</f>
        <v>D</v>
      </c>
      <c r="R5" s="173" t="str">
        <f>IF(COUNTIF(K5:Q5,"F")&gt;0,"",CONCATENATE('Statement of Marks'!HO7,'Statement of Marks'!HQ7))</f>
        <v xml:space="preserve">            </v>
      </c>
      <c r="S5" s="174">
        <f>IF(COUNTIF(K5:Q5,"F")&gt;0,"",COUNTIF(K5:Q5,"S")+COUNTIF(K5:Q5,"RE")+COUNTIF(K5:Q5,"REP"))</f>
        <v>0</v>
      </c>
      <c r="T5" s="5"/>
      <c r="U5" s="182" t="str">
        <f>IF(T5="","",IF(OR(T5="AB",K5="RE"),T5,IF(AND(K5="S"),ROUNDUP(T5,0),)))</f>
        <v/>
      </c>
      <c r="V5" s="182" t="str">
        <f>IF(T5="","",IF(OR(T5="AB",T5&lt;36%*$T$4),"F","P"))</f>
        <v/>
      </c>
      <c r="W5" s="5"/>
      <c r="X5" s="182" t="str">
        <f>IF(W5="","",IF(OR(W5="AB",L5="RE"),W5,IF(AND(L5="S"),ROUNDUP(W5,0),)))</f>
        <v/>
      </c>
      <c r="Y5" s="182" t="str">
        <f>IF(W5="","",IF(OR(W5="AB",W5&lt;36%*$W$4),"F","P"))</f>
        <v/>
      </c>
      <c r="Z5" s="5"/>
      <c r="AA5" s="182" t="str">
        <f>IF(Z5="","",IF(OR(Z5="AB",M5="RE"),Z5,IF(AND(M5="S"),ROUNDUP(Z5,0),)))</f>
        <v/>
      </c>
      <c r="AB5" s="183" t="str">
        <f>IF(Z5="","",IF(OR(Z5="AB",Z5&lt;36%*$Z$4),"F","P"))</f>
        <v/>
      </c>
      <c r="AC5" s="5"/>
      <c r="AD5" s="182" t="str">
        <f>IF(AC5="","",IF(OR(AC5="AB",N5="RE"),AC5,IF(AND(N5="S"),ROUNDUP(AC5,0),)))</f>
        <v/>
      </c>
      <c r="AE5" s="183" t="str">
        <f>IF(AC5="","",IF(OR(AC5="AB",AC5&lt;36%*$AC$4),"F","P"))</f>
        <v/>
      </c>
      <c r="AF5" s="5"/>
      <c r="AG5" s="182" t="str">
        <f>IF(AF5="","",IF(OR(AF5="AB",O5="RE"),AF5,IF(AND(O5="S"),ROUNDUP(AF5,0),)))</f>
        <v/>
      </c>
      <c r="AH5" s="183" t="str">
        <f>IF(AF5="","",IF(OR(AF5="AB",AF5&lt;36%*$AF$4),"F","P"))</f>
        <v/>
      </c>
      <c r="AI5" s="5"/>
      <c r="AJ5" s="183" t="str">
        <f>IF(AI5="","",IF(OR(AI5="AB",P5="RE"),AI5,IF(AND(P5="S"),ROUNDUP(AI5,0),)))</f>
        <v/>
      </c>
      <c r="AK5" s="183" t="str">
        <f>IF(AI5="","",IF(OR(AI5="AB",AI5&lt;36%*$AI$4),"F","P"))</f>
        <v/>
      </c>
      <c r="AL5" s="5"/>
      <c r="AM5" s="183" t="str">
        <f>IF(AL5="","",IF(OR(AL5="AB",Q5="RE"),AL5,IF(AND(Q5="S"),ROUNDUP(AL5,0),)))</f>
        <v/>
      </c>
      <c r="AN5" s="183" t="str">
        <f>IF(AL5="","",IF(OR(AL5="AB",AL5&lt;36%*$AL$4),"F","P"))</f>
        <v/>
      </c>
      <c r="AO5" s="184">
        <f>IF(COUNTIF(K5:Q5,"F")&gt;0,"",COUNTA(T5,W5,Z5,AC5,AF5,AI5,AL5))</f>
        <v>0</v>
      </c>
      <c r="AP5" s="184">
        <f>IF(COUNTIF(K5:Q5,"F")&gt;0,"",COUNTIF(T5:AN5,"P"))</f>
        <v>0</v>
      </c>
      <c r="AQ5" s="608" t="str">
        <f>IF(AND(T5="",W5="",Z5="",AC5="",AF5="",AI5="",AL5=""),"",IF(COUNTIF(K5:Q5,"F")&gt;0,"",IF(S5=0,"",IF(S5&gt;AO5,H5,IF(S5&gt;AP5,"FAIL","PASS")))))</f>
        <v/>
      </c>
      <c r="AR5" s="185" t="str">
        <f>IF(COUNTIF(K5:Q5,"F")&gt;0,"",IF(AQ5="PASS",'Statement of Marks'!HZ7,""))</f>
        <v/>
      </c>
      <c r="AS5" s="185" t="str">
        <f>IF(AQ5="PASS",'Statement of Marks'!IA7,"")</f>
        <v/>
      </c>
    </row>
    <row r="6" spans="1:46" ht="15.95" customHeight="1">
      <c r="A6" s="169">
        <f>IF('Statement of Marks'!A8="","",'Statement of Marks'!A8)</f>
        <v>2</v>
      </c>
      <c r="B6" s="169">
        <f>IF('Statement of Marks'!B8="","",'Statement of Marks'!B8)</f>
        <v>902</v>
      </c>
      <c r="C6" s="169">
        <f>IF('Statement of Marks'!D8="","",'Statement of Marks'!D8)</f>
        <v>501</v>
      </c>
      <c r="D6" s="170">
        <f>IF('Statement of Marks'!E8="","",'Statement of Marks'!E8)</f>
        <v>40065</v>
      </c>
      <c r="E6" s="171" t="str">
        <f>IF('Statement of Marks'!F8="","",'Statement of Marks'!F8)</f>
        <v>RAM</v>
      </c>
      <c r="F6" s="171" t="str">
        <f>IF('Statement of Marks'!G8="","",'Statement of Marks'!G8)</f>
        <v>SHYAM</v>
      </c>
      <c r="G6" s="171" t="str">
        <f>IF('Statement of Marks'!H8="","",'Statement of Marks'!H8)</f>
        <v>SITA</v>
      </c>
      <c r="H6" s="172" t="str">
        <f>IF('Statement of Marks'!HS8="","",'Statement of Marks'!HS8)</f>
        <v>PASS</v>
      </c>
      <c r="I6" s="172" t="str">
        <f>IF('Statement of Marks'!HV8="","",'Statement of Marks'!HV8)</f>
        <v>1st</v>
      </c>
      <c r="J6" s="173">
        <f>IF('Statement of Marks'!HU8="","",'Statement of Marks'!HU8)</f>
        <v>71.583333333333329</v>
      </c>
      <c r="K6" s="181" t="str">
        <f>'Statement of Marks'!GN8</f>
        <v>I</v>
      </c>
      <c r="L6" s="181" t="str">
        <f>'Statement of Marks'!GQ8</f>
        <v>D</v>
      </c>
      <c r="M6" s="181" t="str">
        <f>'Statement of Marks'!GT8</f>
        <v>D</v>
      </c>
      <c r="N6" s="181" t="str">
        <f>'Statement of Marks'!HB8</f>
        <v>II</v>
      </c>
      <c r="O6" s="181" t="str">
        <f>'Statement of Marks'!HE8</f>
        <v>II</v>
      </c>
      <c r="P6" s="181" t="str">
        <f>'Statement of Marks'!HH8</f>
        <v>I</v>
      </c>
      <c r="Q6" s="181" t="str">
        <f>'Statement of Marks'!HK8</f>
        <v>II</v>
      </c>
      <c r="R6" s="173" t="str">
        <f>IF(COUNTIF(K6:Q6,"F")&gt;0,"",CONCATENATE('Statement of Marks'!HO8,'Statement of Marks'!HQ8))</f>
        <v xml:space="preserve">            </v>
      </c>
      <c r="S6" s="174">
        <f t="shared" ref="S6:S69" si="0">IF(COUNTIF(K6:Q6,"F")&gt;0,"",COUNTIF(K6:Q6,"S")+COUNTIF(K6:Q6,"RE")+COUNTIF(K6:Q6,"REP"))</f>
        <v>0</v>
      </c>
      <c r="T6" s="5"/>
      <c r="U6" s="182" t="str">
        <f t="shared" ref="U6:U69" si="1">IF(T6="","",IF(OR(T6="AB",K6="RE"),T6,IF(AND(K6="S"),ROUNDUP(T6,0),)))</f>
        <v/>
      </c>
      <c r="V6" s="182" t="str">
        <f t="shared" ref="V6:V69" si="2">IF(T6="","",IF(OR(T6="AB",T6&lt;36%*$T$4),"F","P"))</f>
        <v/>
      </c>
      <c r="W6" s="5"/>
      <c r="X6" s="182" t="str">
        <f t="shared" ref="X6:X69" si="3">IF(W6="","",IF(OR(W6="AB",L6="RE"),W6,IF(AND(L6="S"),ROUNDUP(W6,0),)))</f>
        <v/>
      </c>
      <c r="Y6" s="182" t="str">
        <f t="shared" ref="Y6:Y69" si="4">IF(W6="","",IF(OR(W6="AB",W6&lt;36%*$W$4),"F","P"))</f>
        <v/>
      </c>
      <c r="Z6" s="5"/>
      <c r="AA6" s="182" t="str">
        <f t="shared" ref="AA6:AA69" si="5">IF(Z6="","",IF(OR(Z6="AB",M6="RE"),Z6,IF(AND(M6="S"),ROUNDUP(Z6,0),)))</f>
        <v/>
      </c>
      <c r="AB6" s="183" t="str">
        <f t="shared" ref="AB6:AB69" si="6">IF(Z6="","",IF(OR(Z6="AB",Z6&lt;36%*$Z$4),"F","P"))</f>
        <v/>
      </c>
      <c r="AC6" s="5"/>
      <c r="AD6" s="182" t="str">
        <f t="shared" ref="AD6:AD69" si="7">IF(AC6="","",IF(OR(AC6="AB",N6="RE"),AC6,IF(AND(N6="S"),ROUNDUP(AC6,0),)))</f>
        <v/>
      </c>
      <c r="AE6" s="183" t="str">
        <f t="shared" ref="AE6:AE69" si="8">IF(AC6="","",IF(OR(AC6="AB",AC6&lt;36%*$AC$4),"F","P"))</f>
        <v/>
      </c>
      <c r="AF6" s="5"/>
      <c r="AG6" s="182" t="str">
        <f t="shared" ref="AG6:AG69" si="9">IF(AF6="","",IF(OR(AF6="AB",O6="RE"),AF6,IF(AND(O6="S"),ROUNDUP(AF6,0),)))</f>
        <v/>
      </c>
      <c r="AH6" s="183" t="str">
        <f t="shared" ref="AH6:AH69" si="10">IF(AF6="","",IF(OR(AF6="AB",AF6&lt;36%*$AF$4),"F","P"))</f>
        <v/>
      </c>
      <c r="AI6" s="5"/>
      <c r="AJ6" s="183" t="str">
        <f t="shared" ref="AJ6:AJ69" si="11">IF(AI6="","",IF(OR(AI6="AB",P6="RE"),AI6,IF(AND(P6="S"),ROUNDUP(AI6,0),)))</f>
        <v/>
      </c>
      <c r="AK6" s="183" t="str">
        <f t="shared" ref="AK6:AK69" si="12">IF(AI6="","",IF(OR(AI6="AB",AI6&lt;36%*$AI$4),"F","P"))</f>
        <v/>
      </c>
      <c r="AL6" s="5"/>
      <c r="AM6" s="183" t="str">
        <f t="shared" ref="AM6:AM69" si="13">IF(AL6="","",IF(OR(AL6="AB",Q6="RE"),AL6,IF(AND(Q6="S"),ROUNDUP(AL6,0),)))</f>
        <v/>
      </c>
      <c r="AN6" s="183" t="str">
        <f t="shared" ref="AN6:AN69" si="14">IF(AL6="","",IF(OR(AL6="AB",AL6&lt;36%*$AL$4),"F","P"))</f>
        <v/>
      </c>
      <c r="AO6" s="184">
        <f t="shared" ref="AO6:AO69" si="15">IF(COUNTIF(K6:Q6,"F")&gt;0,"",COUNTA(T6,W6,Z6,AC6,AF6,AI6,AL6))</f>
        <v>0</v>
      </c>
      <c r="AP6" s="184">
        <f t="shared" ref="AP6:AP69" si="16">IF(COUNTIF(K6:Q6,"F")&gt;0,"",COUNTIF(T6:AN6,"P"))</f>
        <v>0</v>
      </c>
      <c r="AQ6" s="608" t="str">
        <f t="shared" ref="AQ6:AQ69" si="17">IF(AND(T6="",W6="",Z6="",AC6="",AF6="",AI6="",AL6=""),"",IF(COUNTIF(K6:Q6,"F")&gt;0,"",IF(S6=0,"",IF(S6&gt;AO6,H6,IF(S6&gt;AP6,"FAIL","PASS")))))</f>
        <v/>
      </c>
      <c r="AR6" s="185" t="str">
        <f>IF(COUNTIF(K6:Q6,"F")&gt;0,"",IF(AQ6="PASS",'Statement of Marks'!HZ8,""))</f>
        <v/>
      </c>
      <c r="AS6" s="185" t="str">
        <f>IF(AQ6="PASS",'Statement of Marks'!IA8,"")</f>
        <v/>
      </c>
    </row>
    <row r="7" spans="1:46">
      <c r="A7" s="169">
        <f>IF('Statement of Marks'!A9="","",'Statement of Marks'!A9)</f>
        <v>3</v>
      </c>
      <c r="B7" s="169">
        <f>IF('Statement of Marks'!B9="","",'Statement of Marks'!B9)</f>
        <v>903</v>
      </c>
      <c r="C7" s="169" t="str">
        <f>IF('Statement of Marks'!D9="","",'Statement of Marks'!D9)</f>
        <v/>
      </c>
      <c r="D7" s="170">
        <f>IF('Statement of Marks'!E9="","",'Statement of Marks'!E9)</f>
        <v>41192</v>
      </c>
      <c r="E7" s="171" t="str">
        <f>IF('Statement of Marks'!F9="","",'Statement of Marks'!F9)</f>
        <v>DINESH</v>
      </c>
      <c r="F7" s="171" t="str">
        <f>IF('Statement of Marks'!G9="","",'Statement of Marks'!G9)</f>
        <v/>
      </c>
      <c r="G7" s="171" t="str">
        <f>IF('Statement of Marks'!H9="","",'Statement of Marks'!H9)</f>
        <v/>
      </c>
      <c r="H7" s="172" t="str">
        <f>IF('Statement of Marks'!HS9="","",'Statement of Marks'!HS9)</f>
        <v>FAIL</v>
      </c>
      <c r="I7" s="172" t="str">
        <f>IF('Statement of Marks'!HV9="","",'Statement of Marks'!HV9)</f>
        <v/>
      </c>
      <c r="J7" s="173">
        <f>IF('Statement of Marks'!HU9="","",'Statement of Marks'!HU9)</f>
        <v>73.416666666666671</v>
      </c>
      <c r="K7" s="181" t="str">
        <f>'Statement of Marks'!GN9</f>
        <v>F</v>
      </c>
      <c r="L7" s="181" t="str">
        <f>'Statement of Marks'!GQ9</f>
        <v>D</v>
      </c>
      <c r="M7" s="181" t="str">
        <f>'Statement of Marks'!GT9</f>
        <v>II</v>
      </c>
      <c r="N7" s="181" t="str">
        <f>'Statement of Marks'!HB9</f>
        <v>D</v>
      </c>
      <c r="O7" s="181" t="str">
        <f>'Statement of Marks'!HE9</f>
        <v>II</v>
      </c>
      <c r="P7" s="181" t="str">
        <f>'Statement of Marks'!HH9</f>
        <v>II</v>
      </c>
      <c r="Q7" s="181" t="str">
        <f>'Statement of Marks'!HK9</f>
        <v>D</v>
      </c>
      <c r="R7" s="173" t="str">
        <f>IF(COUNTIF(K7:Q7,"F")&gt;0,"",CONCATENATE('Statement of Marks'!HO9,'Statement of Marks'!HQ9))</f>
        <v/>
      </c>
      <c r="S7" s="174" t="str">
        <f t="shared" si="0"/>
        <v/>
      </c>
      <c r="T7" s="5"/>
      <c r="U7" s="182" t="str">
        <f t="shared" si="1"/>
        <v/>
      </c>
      <c r="V7" s="182" t="str">
        <f t="shared" si="2"/>
        <v/>
      </c>
      <c r="W7" s="5"/>
      <c r="X7" s="182" t="str">
        <f t="shared" si="3"/>
        <v/>
      </c>
      <c r="Y7" s="182" t="str">
        <f t="shared" si="4"/>
        <v/>
      </c>
      <c r="Z7" s="5"/>
      <c r="AA7" s="182" t="str">
        <f t="shared" si="5"/>
        <v/>
      </c>
      <c r="AB7" s="183" t="str">
        <f t="shared" si="6"/>
        <v/>
      </c>
      <c r="AC7" s="5"/>
      <c r="AD7" s="182" t="str">
        <f t="shared" si="7"/>
        <v/>
      </c>
      <c r="AE7" s="183" t="str">
        <f t="shared" si="8"/>
        <v/>
      </c>
      <c r="AF7" s="5"/>
      <c r="AG7" s="182" t="str">
        <f t="shared" si="9"/>
        <v/>
      </c>
      <c r="AH7" s="183" t="str">
        <f t="shared" si="10"/>
        <v/>
      </c>
      <c r="AI7" s="5"/>
      <c r="AJ7" s="183" t="str">
        <f t="shared" si="11"/>
        <v/>
      </c>
      <c r="AK7" s="183" t="str">
        <f t="shared" si="12"/>
        <v/>
      </c>
      <c r="AL7" s="5"/>
      <c r="AM7" s="183" t="str">
        <f t="shared" si="13"/>
        <v/>
      </c>
      <c r="AN7" s="183" t="str">
        <f t="shared" si="14"/>
        <v/>
      </c>
      <c r="AO7" s="184" t="str">
        <f t="shared" si="15"/>
        <v/>
      </c>
      <c r="AP7" s="184" t="str">
        <f t="shared" si="16"/>
        <v/>
      </c>
      <c r="AQ7" s="608" t="str">
        <f t="shared" si="17"/>
        <v/>
      </c>
      <c r="AR7" s="185" t="str">
        <f>IF(COUNTIF(K7:Q7,"F")&gt;0,"",IF(AQ7="PASS",'Statement of Marks'!HZ9,""))</f>
        <v/>
      </c>
      <c r="AS7" s="185" t="str">
        <f>IF(AQ7="PASS",'Statement of Marks'!IA9,"")</f>
        <v/>
      </c>
    </row>
    <row r="8" spans="1:46">
      <c r="A8" s="169">
        <f>IF('Statement of Marks'!A10="","",'Statement of Marks'!A10)</f>
        <v>4</v>
      </c>
      <c r="B8" s="169">
        <f>IF('Statement of Marks'!B10="","",'Statement of Marks'!B10)</f>
        <v>904</v>
      </c>
      <c r="C8" s="169" t="str">
        <f>IF('Statement of Marks'!D10="","",'Statement of Marks'!D10)</f>
        <v/>
      </c>
      <c r="D8" s="170">
        <f>IF('Statement of Marks'!E10="","",'Statement of Marks'!E10)</f>
        <v>40670</v>
      </c>
      <c r="E8" s="171" t="str">
        <f>IF('Statement of Marks'!F10="","",'Statement of Marks'!F10)</f>
        <v>RAMESH</v>
      </c>
      <c r="F8" s="171" t="str">
        <f>IF('Statement of Marks'!G10="","",'Statement of Marks'!G10)</f>
        <v/>
      </c>
      <c r="G8" s="171" t="str">
        <f>IF('Statement of Marks'!H10="","",'Statement of Marks'!H10)</f>
        <v/>
      </c>
      <c r="H8" s="172" t="str">
        <f>IF('Statement of Marks'!HS10="","",'Statement of Marks'!HS10)</f>
        <v>BY GRACE PASS</v>
      </c>
      <c r="I8" s="172" t="str">
        <f>IF('Statement of Marks'!HV10="","",'Statement of Marks'!HV10)</f>
        <v>2nd</v>
      </c>
      <c r="J8" s="173">
        <f>IF('Statement of Marks'!HU10="","",'Statement of Marks'!HU10)</f>
        <v>57.75</v>
      </c>
      <c r="K8" s="181" t="str">
        <f>'Statement of Marks'!GN10</f>
        <v>I</v>
      </c>
      <c r="L8" s="181" t="str">
        <f>'Statement of Marks'!GQ10</f>
        <v>D</v>
      </c>
      <c r="M8" s="181" t="str">
        <f>'Statement of Marks'!GT10</f>
        <v>II</v>
      </c>
      <c r="N8" s="181" t="str">
        <f>'Statement of Marks'!HB10</f>
        <v>G</v>
      </c>
      <c r="O8" s="181" t="str">
        <f>'Statement of Marks'!HE10</f>
        <v>II</v>
      </c>
      <c r="P8" s="181" t="str">
        <f>'Statement of Marks'!HH10</f>
        <v>II</v>
      </c>
      <c r="Q8" s="181" t="str">
        <f>'Statement of Marks'!HK10</f>
        <v/>
      </c>
      <c r="R8" s="173" t="str">
        <f>IF(COUNTIF(K8:Q8,"F")&gt;0,"",CONCATENATE('Statement of Marks'!HO10,'Statement of Marks'!HQ10))</f>
        <v xml:space="preserve">            </v>
      </c>
      <c r="S8" s="174">
        <f t="shared" si="0"/>
        <v>0</v>
      </c>
      <c r="T8" s="5"/>
      <c r="U8" s="182" t="str">
        <f t="shared" si="1"/>
        <v/>
      </c>
      <c r="V8" s="182" t="str">
        <f t="shared" si="2"/>
        <v/>
      </c>
      <c r="W8" s="5"/>
      <c r="X8" s="182" t="str">
        <f t="shared" si="3"/>
        <v/>
      </c>
      <c r="Y8" s="182" t="str">
        <f t="shared" si="4"/>
        <v/>
      </c>
      <c r="Z8" s="5"/>
      <c r="AA8" s="182" t="str">
        <f t="shared" si="5"/>
        <v/>
      </c>
      <c r="AB8" s="183" t="str">
        <f t="shared" si="6"/>
        <v/>
      </c>
      <c r="AC8" s="5"/>
      <c r="AD8" s="182" t="str">
        <f t="shared" si="7"/>
        <v/>
      </c>
      <c r="AE8" s="183" t="str">
        <f t="shared" si="8"/>
        <v/>
      </c>
      <c r="AF8" s="5"/>
      <c r="AG8" s="182" t="str">
        <f t="shared" si="9"/>
        <v/>
      </c>
      <c r="AH8" s="183" t="str">
        <f t="shared" si="10"/>
        <v/>
      </c>
      <c r="AI8" s="5"/>
      <c r="AJ8" s="183" t="str">
        <f t="shared" si="11"/>
        <v/>
      </c>
      <c r="AK8" s="183" t="str">
        <f t="shared" si="12"/>
        <v/>
      </c>
      <c r="AL8" s="5"/>
      <c r="AM8" s="183" t="str">
        <f t="shared" si="13"/>
        <v/>
      </c>
      <c r="AN8" s="183" t="str">
        <f t="shared" si="14"/>
        <v/>
      </c>
      <c r="AO8" s="184">
        <f t="shared" si="15"/>
        <v>0</v>
      </c>
      <c r="AP8" s="184">
        <f t="shared" si="16"/>
        <v>0</v>
      </c>
      <c r="AQ8" s="608" t="str">
        <f t="shared" si="17"/>
        <v/>
      </c>
      <c r="AR8" s="185" t="str">
        <f>IF(COUNTIF(K8:Q8,"F")&gt;0,"",IF(AQ8="PASS",'Statement of Marks'!HZ10,""))</f>
        <v/>
      </c>
      <c r="AS8" s="185" t="str">
        <f>IF(AQ8="PASS",'Statement of Marks'!IA10,"")</f>
        <v/>
      </c>
    </row>
    <row r="9" spans="1:46" ht="15.95" customHeight="1">
      <c r="A9" s="169">
        <f>IF('Statement of Marks'!A11="","",'Statement of Marks'!A11)</f>
        <v>5</v>
      </c>
      <c r="B9" s="169">
        <f>IF('Statement of Marks'!B11="","",'Statement of Marks'!B11)</f>
        <v>905</v>
      </c>
      <c r="C9" s="169" t="str">
        <f>IF('Statement of Marks'!D11="","",'Statement of Marks'!D11)</f>
        <v/>
      </c>
      <c r="D9" s="170">
        <f>IF('Statement of Marks'!E11="","",'Statement of Marks'!E11)</f>
        <v>41525</v>
      </c>
      <c r="E9" s="171" t="str">
        <f>IF('Statement of Marks'!F11="","",'Statement of Marks'!F11)</f>
        <v>SHYAM</v>
      </c>
      <c r="F9" s="171" t="str">
        <f>IF('Statement of Marks'!G11="","",'Statement of Marks'!G11)</f>
        <v/>
      </c>
      <c r="G9" s="171" t="str">
        <f>IF('Statement of Marks'!H11="","",'Statement of Marks'!H11)</f>
        <v/>
      </c>
      <c r="H9" s="172" t="str">
        <f>IF('Statement of Marks'!HS11="","",'Statement of Marks'!HS11)</f>
        <v>PASS</v>
      </c>
      <c r="I9" s="172" t="str">
        <f>IF('Statement of Marks'!HV11="","",'Statement of Marks'!HV11)</f>
        <v>1st</v>
      </c>
      <c r="J9" s="173">
        <f>IF('Statement of Marks'!HU11="","",'Statement of Marks'!HU11)</f>
        <v>60.75</v>
      </c>
      <c r="K9" s="181" t="str">
        <f>'Statement of Marks'!GN11</f>
        <v>I</v>
      </c>
      <c r="L9" s="181" t="str">
        <f>'Statement of Marks'!GQ11</f>
        <v>I</v>
      </c>
      <c r="M9" s="181" t="str">
        <f>'Statement of Marks'!GT11</f>
        <v>II</v>
      </c>
      <c r="N9" s="181" t="str">
        <f>'Statement of Marks'!HB11</f>
        <v>II</v>
      </c>
      <c r="O9" s="181" t="str">
        <f>'Statement of Marks'!HE11</f>
        <v>II</v>
      </c>
      <c r="P9" s="181" t="str">
        <f>'Statement of Marks'!HH11</f>
        <v>II</v>
      </c>
      <c r="Q9" s="181" t="str">
        <f>'Statement of Marks'!HK11</f>
        <v/>
      </c>
      <c r="R9" s="173" t="str">
        <f>IF(COUNTIF(K9:Q9,"F")&gt;0,"",CONCATENATE('Statement of Marks'!HO11,'Statement of Marks'!HQ11))</f>
        <v xml:space="preserve">            </v>
      </c>
      <c r="S9" s="174">
        <f t="shared" si="0"/>
        <v>0</v>
      </c>
      <c r="T9" s="5"/>
      <c r="U9" s="182" t="str">
        <f t="shared" si="1"/>
        <v/>
      </c>
      <c r="V9" s="182" t="str">
        <f t="shared" si="2"/>
        <v/>
      </c>
      <c r="W9" s="5"/>
      <c r="X9" s="182" t="str">
        <f t="shared" si="3"/>
        <v/>
      </c>
      <c r="Y9" s="182" t="str">
        <f t="shared" si="4"/>
        <v/>
      </c>
      <c r="Z9" s="5"/>
      <c r="AA9" s="182" t="str">
        <f t="shared" si="5"/>
        <v/>
      </c>
      <c r="AB9" s="183" t="str">
        <f t="shared" si="6"/>
        <v/>
      </c>
      <c r="AC9" s="5"/>
      <c r="AD9" s="182" t="str">
        <f t="shared" si="7"/>
        <v/>
      </c>
      <c r="AE9" s="183" t="str">
        <f t="shared" si="8"/>
        <v/>
      </c>
      <c r="AF9" s="5"/>
      <c r="AG9" s="182" t="str">
        <f t="shared" si="9"/>
        <v/>
      </c>
      <c r="AH9" s="183" t="str">
        <f t="shared" si="10"/>
        <v/>
      </c>
      <c r="AI9" s="5"/>
      <c r="AJ9" s="183" t="str">
        <f t="shared" si="11"/>
        <v/>
      </c>
      <c r="AK9" s="183" t="str">
        <f t="shared" si="12"/>
        <v/>
      </c>
      <c r="AL9" s="5"/>
      <c r="AM9" s="183" t="str">
        <f t="shared" si="13"/>
        <v/>
      </c>
      <c r="AN9" s="183" t="str">
        <f t="shared" si="14"/>
        <v/>
      </c>
      <c r="AO9" s="184">
        <f t="shared" si="15"/>
        <v>0</v>
      </c>
      <c r="AP9" s="184">
        <f t="shared" si="16"/>
        <v>0</v>
      </c>
      <c r="AQ9" s="608" t="str">
        <f t="shared" si="17"/>
        <v/>
      </c>
      <c r="AR9" s="185" t="str">
        <f>IF(COUNTIF(K9:Q9,"F")&gt;0,"",IF(AQ9="PASS",'Statement of Marks'!HZ11,""))</f>
        <v/>
      </c>
      <c r="AS9" s="185" t="str">
        <f>IF(AQ9="PASS",'Statement of Marks'!IA11,"")</f>
        <v/>
      </c>
    </row>
    <row r="10" spans="1:46" ht="15.95" customHeight="1">
      <c r="A10" s="169">
        <f>IF('Statement of Marks'!A12="","",'Statement of Marks'!A12)</f>
        <v>6</v>
      </c>
      <c r="B10" s="169">
        <f>IF('Statement of Marks'!B12="","",'Statement of Marks'!B12)</f>
        <v>906</v>
      </c>
      <c r="C10" s="169" t="str">
        <f>IF('Statement of Marks'!D12="","",'Statement of Marks'!D12)</f>
        <v/>
      </c>
      <c r="D10" s="170">
        <f>IF('Statement of Marks'!E12="","",'Statement of Marks'!E12)</f>
        <v>40933</v>
      </c>
      <c r="E10" s="171" t="str">
        <f>IF('Statement of Marks'!F12="","",'Statement of Marks'!F12)</f>
        <v>GITA</v>
      </c>
      <c r="F10" s="171" t="str">
        <f>IF('Statement of Marks'!G12="","",'Statement of Marks'!G12)</f>
        <v/>
      </c>
      <c r="G10" s="171" t="str">
        <f>IF('Statement of Marks'!H12="","",'Statement of Marks'!H12)</f>
        <v/>
      </c>
      <c r="H10" s="172" t="str">
        <f>IF('Statement of Marks'!HS12="","",'Statement of Marks'!HS12)</f>
        <v>PASS</v>
      </c>
      <c r="I10" s="172" t="str">
        <f>IF('Statement of Marks'!HV12="","",'Statement of Marks'!HV12)</f>
        <v>1st</v>
      </c>
      <c r="J10" s="173">
        <f>IF('Statement of Marks'!HU12="","",'Statement of Marks'!HU12)</f>
        <v>65.294117647058826</v>
      </c>
      <c r="K10" s="181" t="str">
        <f>'Statement of Marks'!GN12</f>
        <v>I</v>
      </c>
      <c r="L10" s="181" t="str">
        <f>'Statement of Marks'!GQ12</f>
        <v>D</v>
      </c>
      <c r="M10" s="181" t="str">
        <f>'Statement of Marks'!GT12</f>
        <v>II</v>
      </c>
      <c r="N10" s="181" t="str">
        <f>'Statement of Marks'!HB12</f>
        <v>II</v>
      </c>
      <c r="O10" s="181" t="str">
        <f>'Statement of Marks'!HE12</f>
        <v>II</v>
      </c>
      <c r="P10" s="181" t="str">
        <f>'Statement of Marks'!HH12</f>
        <v>II</v>
      </c>
      <c r="Q10" s="181" t="str">
        <f>'Statement of Marks'!HK12</f>
        <v/>
      </c>
      <c r="R10" s="173" t="str">
        <f>IF(COUNTIF(K10:Q10,"F")&gt;0,"",CONCATENATE('Statement of Marks'!HO12,'Statement of Marks'!HQ12))</f>
        <v xml:space="preserve">            </v>
      </c>
      <c r="S10" s="174">
        <f t="shared" si="0"/>
        <v>0</v>
      </c>
      <c r="T10" s="5"/>
      <c r="U10" s="182" t="str">
        <f t="shared" si="1"/>
        <v/>
      </c>
      <c r="V10" s="182" t="str">
        <f t="shared" si="2"/>
        <v/>
      </c>
      <c r="W10" s="5"/>
      <c r="X10" s="182" t="str">
        <f t="shared" si="3"/>
        <v/>
      </c>
      <c r="Y10" s="182" t="str">
        <f t="shared" si="4"/>
        <v/>
      </c>
      <c r="Z10" s="5"/>
      <c r="AA10" s="182" t="str">
        <f t="shared" si="5"/>
        <v/>
      </c>
      <c r="AB10" s="183" t="str">
        <f t="shared" si="6"/>
        <v/>
      </c>
      <c r="AC10" s="5"/>
      <c r="AD10" s="182" t="str">
        <f t="shared" si="7"/>
        <v/>
      </c>
      <c r="AE10" s="183" t="str">
        <f t="shared" si="8"/>
        <v/>
      </c>
      <c r="AF10" s="5"/>
      <c r="AG10" s="182" t="str">
        <f t="shared" si="9"/>
        <v/>
      </c>
      <c r="AH10" s="183" t="str">
        <f t="shared" si="10"/>
        <v/>
      </c>
      <c r="AI10" s="5"/>
      <c r="AJ10" s="183" t="str">
        <f t="shared" si="11"/>
        <v/>
      </c>
      <c r="AK10" s="183" t="str">
        <f t="shared" si="12"/>
        <v/>
      </c>
      <c r="AL10" s="5"/>
      <c r="AM10" s="183" t="str">
        <f t="shared" si="13"/>
        <v/>
      </c>
      <c r="AN10" s="183" t="str">
        <f t="shared" si="14"/>
        <v/>
      </c>
      <c r="AO10" s="184">
        <f t="shared" si="15"/>
        <v>0</v>
      </c>
      <c r="AP10" s="184">
        <f t="shared" si="16"/>
        <v>0</v>
      </c>
      <c r="AQ10" s="608" t="str">
        <f t="shared" si="17"/>
        <v/>
      </c>
      <c r="AR10" s="185" t="str">
        <f>IF(COUNTIF(K10:Q10,"F")&gt;0,"",IF(AQ10="PASS",'Statement of Marks'!HZ12,""))</f>
        <v/>
      </c>
      <c r="AS10" s="185" t="str">
        <f>IF(AQ10="PASS",'Statement of Marks'!IA12,"")</f>
        <v/>
      </c>
      <c r="AT10" s="186"/>
    </row>
    <row r="11" spans="1:46" ht="15.95" customHeight="1">
      <c r="A11" s="169">
        <f>IF('Statement of Marks'!A13="","",'Statement of Marks'!A13)</f>
        <v>7</v>
      </c>
      <c r="B11" s="169">
        <f>IF('Statement of Marks'!B13="","",'Statement of Marks'!B13)</f>
        <v>907</v>
      </c>
      <c r="C11" s="169" t="str">
        <f>IF('Statement of Marks'!D13="","",'Statement of Marks'!D13)</f>
        <v/>
      </c>
      <c r="D11" s="170">
        <f>IF('Statement of Marks'!E13="","",'Statement of Marks'!E13)</f>
        <v>41317</v>
      </c>
      <c r="E11" s="171" t="str">
        <f>IF('Statement of Marks'!F13="","",'Statement of Marks'!F13)</f>
        <v>MITA</v>
      </c>
      <c r="F11" s="171" t="str">
        <f>IF('Statement of Marks'!G13="","",'Statement of Marks'!G13)</f>
        <v/>
      </c>
      <c r="G11" s="171" t="str">
        <f>IF('Statement of Marks'!H13="","",'Statement of Marks'!H13)</f>
        <v/>
      </c>
      <c r="H11" s="172" t="str">
        <f>IF('Statement of Marks'!HS13="","",'Statement of Marks'!HS13)</f>
        <v>SUPPLEMENTARY</v>
      </c>
      <c r="I11" s="172" t="str">
        <f>IF('Statement of Marks'!HV13="","",'Statement of Marks'!HV13)</f>
        <v/>
      </c>
      <c r="J11" s="173">
        <f>IF('Statement of Marks'!HU13="","",'Statement of Marks'!HU13)</f>
        <v>57.815126050420169</v>
      </c>
      <c r="K11" s="181" t="str">
        <f>'Statement of Marks'!GN13</f>
        <v>I</v>
      </c>
      <c r="L11" s="181" t="str">
        <f>'Statement of Marks'!GQ13</f>
        <v>I</v>
      </c>
      <c r="M11" s="181" t="str">
        <f>'Statement of Marks'!GT13</f>
        <v>II</v>
      </c>
      <c r="N11" s="181" t="str">
        <f>'Statement of Marks'!HB13</f>
        <v>S</v>
      </c>
      <c r="O11" s="181" t="str">
        <f>'Statement of Marks'!HE13</f>
        <v>II</v>
      </c>
      <c r="P11" s="181" t="str">
        <f>'Statement of Marks'!HH13</f>
        <v>I</v>
      </c>
      <c r="Q11" s="181" t="str">
        <f>'Statement of Marks'!HK13</f>
        <v/>
      </c>
      <c r="R11" s="173" t="str">
        <f>IF(COUNTIF(K11:Q11,"F")&gt;0,"",CONCATENATE('Statement of Marks'!HO13,'Statement of Marks'!HQ13))</f>
        <v xml:space="preserve">   गणित         </v>
      </c>
      <c r="S11" s="174">
        <f t="shared" si="0"/>
        <v>1</v>
      </c>
      <c r="T11" s="5"/>
      <c r="U11" s="182" t="str">
        <f t="shared" si="1"/>
        <v/>
      </c>
      <c r="V11" s="182" t="str">
        <f t="shared" si="2"/>
        <v/>
      </c>
      <c r="W11" s="5"/>
      <c r="X11" s="182" t="str">
        <f t="shared" si="3"/>
        <v/>
      </c>
      <c r="Y11" s="182" t="str">
        <f t="shared" si="4"/>
        <v/>
      </c>
      <c r="Z11" s="5"/>
      <c r="AA11" s="182" t="str">
        <f t="shared" si="5"/>
        <v/>
      </c>
      <c r="AB11" s="183" t="str">
        <f t="shared" si="6"/>
        <v/>
      </c>
      <c r="AC11" s="5">
        <v>36</v>
      </c>
      <c r="AD11" s="182">
        <f>IF(AC11="","",IF(OR(AC11="AB",N11="RE"),AC11,IF(AND(N11="S"),ROUNDUP(AC11,0),)))</f>
        <v>36</v>
      </c>
      <c r="AE11" s="183" t="str">
        <f t="shared" si="8"/>
        <v>P</v>
      </c>
      <c r="AF11" s="5"/>
      <c r="AG11" s="182" t="str">
        <f t="shared" si="9"/>
        <v/>
      </c>
      <c r="AH11" s="183" t="str">
        <f t="shared" si="10"/>
        <v/>
      </c>
      <c r="AI11" s="5"/>
      <c r="AJ11" s="183" t="str">
        <f>IF(AI11="","",IF(OR(AI11="AB",P11="RE"),AI11,IF(AND(P11="S"),ROUNDUP(AI11,0),)))</f>
        <v/>
      </c>
      <c r="AK11" s="183" t="str">
        <f t="shared" si="12"/>
        <v/>
      </c>
      <c r="AL11" s="5"/>
      <c r="AM11" s="183" t="str">
        <f t="shared" si="13"/>
        <v/>
      </c>
      <c r="AN11" s="183" t="str">
        <f t="shared" si="14"/>
        <v/>
      </c>
      <c r="AO11" s="184">
        <f t="shared" si="15"/>
        <v>1</v>
      </c>
      <c r="AP11" s="184">
        <f t="shared" si="16"/>
        <v>1</v>
      </c>
      <c r="AQ11" s="608" t="str">
        <f t="shared" si="17"/>
        <v>PASS</v>
      </c>
      <c r="AR11" s="185">
        <f>IF(COUNTIF(K11:Q11,"F")&gt;0,"",IF(AQ11="PASS",'Statement of Marks'!HZ13,""))</f>
        <v>60.363636363636367</v>
      </c>
      <c r="AS11" s="185" t="str">
        <f>IF(AQ11="PASS",'Statement of Marks'!IA13,"")</f>
        <v>I</v>
      </c>
    </row>
    <row r="12" spans="1:46" ht="15.95" customHeight="1">
      <c r="A12" s="169">
        <f>IF('Statement of Marks'!A14="","",'Statement of Marks'!A14)</f>
        <v>8</v>
      </c>
      <c r="B12" s="169">
        <f>IF('Statement of Marks'!B14="","",'Statement of Marks'!B14)</f>
        <v>908</v>
      </c>
      <c r="C12" s="169" t="str">
        <f>IF('Statement of Marks'!D14="","",'Statement of Marks'!D14)</f>
        <v/>
      </c>
      <c r="D12" s="170">
        <f>IF('Statement of Marks'!E14="","",'Statement of Marks'!E14)</f>
        <v>40282</v>
      </c>
      <c r="E12" s="171" t="str">
        <f>IF('Statement of Marks'!F14="","",'Statement of Marks'!F14)</f>
        <v>SITA</v>
      </c>
      <c r="F12" s="171" t="str">
        <f>IF('Statement of Marks'!G14="","",'Statement of Marks'!G14)</f>
        <v/>
      </c>
      <c r="G12" s="171" t="str">
        <f>IF('Statement of Marks'!H14="","",'Statement of Marks'!H14)</f>
        <v/>
      </c>
      <c r="H12" s="172" t="str">
        <f>IF('Statement of Marks'!HS14="","",'Statement of Marks'!HS14)</f>
        <v>PASS</v>
      </c>
      <c r="I12" s="172" t="str">
        <f>IF('Statement of Marks'!HV14="","",'Statement of Marks'!HV14)</f>
        <v>1st</v>
      </c>
      <c r="J12" s="173">
        <f>IF('Statement of Marks'!HU14="","",'Statement of Marks'!HU14)</f>
        <v>70.5</v>
      </c>
      <c r="K12" s="181" t="str">
        <f>'Statement of Marks'!GN14</f>
        <v>I</v>
      </c>
      <c r="L12" s="181" t="str">
        <f>'Statement of Marks'!GQ14</f>
        <v>D</v>
      </c>
      <c r="M12" s="181" t="str">
        <f>'Statement of Marks'!GT14</f>
        <v>D</v>
      </c>
      <c r="N12" s="181" t="str">
        <f>'Statement of Marks'!HB14</f>
        <v>II</v>
      </c>
      <c r="O12" s="181" t="str">
        <f>'Statement of Marks'!HE14</f>
        <v>II</v>
      </c>
      <c r="P12" s="181" t="str">
        <f>'Statement of Marks'!HH14</f>
        <v>II</v>
      </c>
      <c r="Q12" s="181" t="str">
        <f>'Statement of Marks'!HK14</f>
        <v/>
      </c>
      <c r="R12" s="173" t="str">
        <f>IF(COUNTIF(K12:Q12,"F")&gt;0,"",CONCATENATE('Statement of Marks'!HO14,'Statement of Marks'!HQ14))</f>
        <v xml:space="preserve">            </v>
      </c>
      <c r="S12" s="174">
        <f t="shared" si="0"/>
        <v>0</v>
      </c>
      <c r="T12" s="5"/>
      <c r="U12" s="182" t="str">
        <f t="shared" si="1"/>
        <v/>
      </c>
      <c r="V12" s="182" t="str">
        <f t="shared" si="2"/>
        <v/>
      </c>
      <c r="W12" s="5"/>
      <c r="X12" s="182" t="str">
        <f t="shared" si="3"/>
        <v/>
      </c>
      <c r="Y12" s="182" t="str">
        <f t="shared" si="4"/>
        <v/>
      </c>
      <c r="Z12" s="5"/>
      <c r="AA12" s="182" t="str">
        <f t="shared" si="5"/>
        <v/>
      </c>
      <c r="AB12" s="183" t="str">
        <f t="shared" si="6"/>
        <v/>
      </c>
      <c r="AC12" s="5"/>
      <c r="AD12" s="182" t="str">
        <f t="shared" si="7"/>
        <v/>
      </c>
      <c r="AE12" s="183" t="str">
        <f t="shared" si="8"/>
        <v/>
      </c>
      <c r="AF12" s="5"/>
      <c r="AG12" s="182" t="str">
        <f t="shared" si="9"/>
        <v/>
      </c>
      <c r="AH12" s="183" t="str">
        <f t="shared" si="10"/>
        <v/>
      </c>
      <c r="AI12" s="5"/>
      <c r="AJ12" s="183" t="str">
        <f t="shared" si="11"/>
        <v/>
      </c>
      <c r="AK12" s="183" t="str">
        <f t="shared" si="12"/>
        <v/>
      </c>
      <c r="AL12" s="5"/>
      <c r="AM12" s="183" t="str">
        <f t="shared" si="13"/>
        <v/>
      </c>
      <c r="AN12" s="183" t="str">
        <f t="shared" si="14"/>
        <v/>
      </c>
      <c r="AO12" s="184">
        <f t="shared" si="15"/>
        <v>0</v>
      </c>
      <c r="AP12" s="184">
        <f t="shared" si="16"/>
        <v>0</v>
      </c>
      <c r="AQ12" s="608" t="str">
        <f t="shared" si="17"/>
        <v/>
      </c>
      <c r="AR12" s="185" t="str">
        <f>IF(COUNTIF(K12:Q12,"F")&gt;0,"",IF(AQ12="PASS",'Statement of Marks'!HZ14,""))</f>
        <v/>
      </c>
      <c r="AS12" s="185" t="str">
        <f>IF(AQ12="PASS",'Statement of Marks'!IA14,"")</f>
        <v/>
      </c>
    </row>
    <row r="13" spans="1:46" ht="15.95" customHeight="1">
      <c r="A13" s="169">
        <f>IF('Statement of Marks'!A15="","",'Statement of Marks'!A15)</f>
        <v>9</v>
      </c>
      <c r="B13" s="169">
        <f>IF('Statement of Marks'!B15="","",'Statement of Marks'!B15)</f>
        <v>909</v>
      </c>
      <c r="C13" s="169" t="str">
        <f>IF('Statement of Marks'!D15="","",'Statement of Marks'!D15)</f>
        <v/>
      </c>
      <c r="D13" s="170">
        <f>IF('Statement of Marks'!E15="","",'Statement of Marks'!E15)</f>
        <v>40065</v>
      </c>
      <c r="E13" s="171" t="str">
        <f>IF('Statement of Marks'!F15="","",'Statement of Marks'!F15)</f>
        <v>RITA</v>
      </c>
      <c r="F13" s="171" t="str">
        <f>IF('Statement of Marks'!G15="","",'Statement of Marks'!G15)</f>
        <v/>
      </c>
      <c r="G13" s="171" t="str">
        <f>IF('Statement of Marks'!H15="","",'Statement of Marks'!H15)</f>
        <v/>
      </c>
      <c r="H13" s="172" t="str">
        <f>IF('Statement of Marks'!HS15="","",'Statement of Marks'!HS15)</f>
        <v>PASS</v>
      </c>
      <c r="I13" s="172" t="str">
        <f>IF('Statement of Marks'!HV15="","",'Statement of Marks'!HV15)</f>
        <v>1st</v>
      </c>
      <c r="J13" s="173">
        <f>IF('Statement of Marks'!HU15="","",'Statement of Marks'!HU15)</f>
        <v>60.333333333333336</v>
      </c>
      <c r="K13" s="181" t="str">
        <f>'Statement of Marks'!GN15</f>
        <v>II</v>
      </c>
      <c r="L13" s="181" t="str">
        <f>'Statement of Marks'!GQ15</f>
        <v>D</v>
      </c>
      <c r="M13" s="181" t="str">
        <f>'Statement of Marks'!GT15</f>
        <v>II</v>
      </c>
      <c r="N13" s="181" t="str">
        <f>'Statement of Marks'!HB15</f>
        <v>III</v>
      </c>
      <c r="O13" s="181" t="str">
        <f>'Statement of Marks'!HE15</f>
        <v>II</v>
      </c>
      <c r="P13" s="181" t="str">
        <f>'Statement of Marks'!HH15</f>
        <v>II</v>
      </c>
      <c r="Q13" s="181" t="str">
        <f>'Statement of Marks'!HK15</f>
        <v/>
      </c>
      <c r="R13" s="173" t="str">
        <f>IF(COUNTIF(K13:Q13,"F")&gt;0,"",CONCATENATE('Statement of Marks'!HO15,'Statement of Marks'!HQ15))</f>
        <v xml:space="preserve">            </v>
      </c>
      <c r="S13" s="174">
        <f t="shared" si="0"/>
        <v>0</v>
      </c>
      <c r="T13" s="5"/>
      <c r="U13" s="182" t="str">
        <f t="shared" si="1"/>
        <v/>
      </c>
      <c r="V13" s="182" t="str">
        <f t="shared" si="2"/>
        <v/>
      </c>
      <c r="W13" s="5"/>
      <c r="X13" s="182" t="str">
        <f t="shared" si="3"/>
        <v/>
      </c>
      <c r="Y13" s="182" t="str">
        <f t="shared" si="4"/>
        <v/>
      </c>
      <c r="Z13" s="5"/>
      <c r="AA13" s="182" t="str">
        <f t="shared" si="5"/>
        <v/>
      </c>
      <c r="AB13" s="183" t="str">
        <f t="shared" si="6"/>
        <v/>
      </c>
      <c r="AC13" s="5"/>
      <c r="AD13" s="182" t="str">
        <f t="shared" si="7"/>
        <v/>
      </c>
      <c r="AE13" s="183" t="str">
        <f t="shared" si="8"/>
        <v/>
      </c>
      <c r="AF13" s="5"/>
      <c r="AG13" s="182" t="str">
        <f t="shared" si="9"/>
        <v/>
      </c>
      <c r="AH13" s="183" t="str">
        <f t="shared" si="10"/>
        <v/>
      </c>
      <c r="AI13" s="5"/>
      <c r="AJ13" s="183" t="str">
        <f t="shared" si="11"/>
        <v/>
      </c>
      <c r="AK13" s="183" t="str">
        <f t="shared" si="12"/>
        <v/>
      </c>
      <c r="AL13" s="5"/>
      <c r="AM13" s="183" t="str">
        <f t="shared" si="13"/>
        <v/>
      </c>
      <c r="AN13" s="183" t="str">
        <f t="shared" si="14"/>
        <v/>
      </c>
      <c r="AO13" s="184">
        <f t="shared" si="15"/>
        <v>0</v>
      </c>
      <c r="AP13" s="184">
        <f t="shared" si="16"/>
        <v>0</v>
      </c>
      <c r="AQ13" s="608" t="str">
        <f t="shared" si="17"/>
        <v/>
      </c>
      <c r="AR13" s="185" t="str">
        <f>IF(COUNTIF(K13:Q13,"F")&gt;0,"",IF(AQ13="PASS",'Statement of Marks'!HZ15,""))</f>
        <v/>
      </c>
      <c r="AS13" s="185" t="str">
        <f>IF(AQ13="PASS",'Statement of Marks'!IA15,"")</f>
        <v/>
      </c>
    </row>
    <row r="14" spans="1:46" ht="15.95" customHeight="1">
      <c r="A14" s="169">
        <f>IF('Statement of Marks'!A16="","",'Statement of Marks'!A16)</f>
        <v>10</v>
      </c>
      <c r="B14" s="169">
        <f>IF('Statement of Marks'!B16="","",'Statement of Marks'!B16)</f>
        <v>910</v>
      </c>
      <c r="C14" s="169" t="str">
        <f>IF('Statement of Marks'!D16="","",'Statement of Marks'!D16)</f>
        <v/>
      </c>
      <c r="D14" s="170">
        <f>IF('Statement of Marks'!E16="","",'Statement of Marks'!E16)</f>
        <v>40737</v>
      </c>
      <c r="E14" s="171" t="str">
        <f>IF('Statement of Marks'!F16="","",'Statement of Marks'!F16)</f>
        <v>SONU</v>
      </c>
      <c r="F14" s="171" t="str">
        <f>IF('Statement of Marks'!G16="","",'Statement of Marks'!G16)</f>
        <v/>
      </c>
      <c r="G14" s="171" t="str">
        <f>IF('Statement of Marks'!H16="","",'Statement of Marks'!H16)</f>
        <v/>
      </c>
      <c r="H14" s="172" t="str">
        <f>IF('Statement of Marks'!HS16="","",'Statement of Marks'!HS16)</f>
        <v>BY GRACE PASS</v>
      </c>
      <c r="I14" s="172" t="str">
        <f>IF('Statement of Marks'!HV16="","",'Statement of Marks'!HV16)</f>
        <v>2nd</v>
      </c>
      <c r="J14" s="173">
        <f>IF('Statement of Marks'!HU16="","",'Statement of Marks'!HU16)</f>
        <v>52.75</v>
      </c>
      <c r="K14" s="181" t="str">
        <f>'Statement of Marks'!GN16</f>
        <v>I</v>
      </c>
      <c r="L14" s="181" t="str">
        <f>'Statement of Marks'!GQ16</f>
        <v>III</v>
      </c>
      <c r="M14" s="181" t="str">
        <f>'Statement of Marks'!GT16</f>
        <v>II</v>
      </c>
      <c r="N14" s="181" t="str">
        <f>'Statement of Marks'!HB16</f>
        <v>G</v>
      </c>
      <c r="O14" s="181" t="str">
        <f>'Statement of Marks'!HE16</f>
        <v>II</v>
      </c>
      <c r="P14" s="181" t="str">
        <f>'Statement of Marks'!HH16</f>
        <v>II</v>
      </c>
      <c r="Q14" s="181" t="str">
        <f>'Statement of Marks'!HK16</f>
        <v/>
      </c>
      <c r="R14" s="173" t="str">
        <f>IF(COUNTIF(K14:Q14,"F")&gt;0,"",CONCATENATE('Statement of Marks'!HO16,'Statement of Marks'!HQ16))</f>
        <v xml:space="preserve">            </v>
      </c>
      <c r="S14" s="174">
        <f t="shared" si="0"/>
        <v>0</v>
      </c>
      <c r="T14" s="5"/>
      <c r="U14" s="182" t="str">
        <f t="shared" si="1"/>
        <v/>
      </c>
      <c r="V14" s="182" t="str">
        <f t="shared" si="2"/>
        <v/>
      </c>
      <c r="W14" s="5"/>
      <c r="X14" s="182" t="str">
        <f t="shared" si="3"/>
        <v/>
      </c>
      <c r="Y14" s="182" t="str">
        <f t="shared" si="4"/>
        <v/>
      </c>
      <c r="Z14" s="5"/>
      <c r="AA14" s="182" t="str">
        <f t="shared" si="5"/>
        <v/>
      </c>
      <c r="AB14" s="183" t="str">
        <f t="shared" si="6"/>
        <v/>
      </c>
      <c r="AC14" s="5"/>
      <c r="AD14" s="182" t="str">
        <f t="shared" si="7"/>
        <v/>
      </c>
      <c r="AE14" s="183" t="str">
        <f t="shared" si="8"/>
        <v/>
      </c>
      <c r="AF14" s="5"/>
      <c r="AG14" s="182" t="str">
        <f t="shared" si="9"/>
        <v/>
      </c>
      <c r="AH14" s="183" t="str">
        <f t="shared" si="10"/>
        <v/>
      </c>
      <c r="AI14" s="5"/>
      <c r="AJ14" s="183" t="str">
        <f t="shared" si="11"/>
        <v/>
      </c>
      <c r="AK14" s="183" t="str">
        <f t="shared" si="12"/>
        <v/>
      </c>
      <c r="AL14" s="5"/>
      <c r="AM14" s="183" t="str">
        <f t="shared" si="13"/>
        <v/>
      </c>
      <c r="AN14" s="183" t="str">
        <f t="shared" si="14"/>
        <v/>
      </c>
      <c r="AO14" s="184">
        <f t="shared" si="15"/>
        <v>0</v>
      </c>
      <c r="AP14" s="184">
        <f t="shared" si="16"/>
        <v>0</v>
      </c>
      <c r="AQ14" s="608" t="str">
        <f t="shared" si="17"/>
        <v/>
      </c>
      <c r="AR14" s="185" t="str">
        <f>IF(COUNTIF(K14:Q14,"F")&gt;0,"",IF(AQ14="PASS",'Statement of Marks'!HZ16,""))</f>
        <v/>
      </c>
      <c r="AS14" s="185" t="str">
        <f>IF(AQ14="PASS",'Statement of Marks'!IA16,"")</f>
        <v/>
      </c>
    </row>
    <row r="15" spans="1:46" ht="15.95" customHeight="1">
      <c r="A15" s="169">
        <f>IF('Statement of Marks'!A17="","",'Statement of Marks'!A17)</f>
        <v>11</v>
      </c>
      <c r="B15" s="169">
        <f>IF('Statement of Marks'!B17="","",'Statement of Marks'!B17)</f>
        <v>911</v>
      </c>
      <c r="C15" s="169" t="str">
        <f>IF('Statement of Marks'!D17="","",'Statement of Marks'!D17)</f>
        <v/>
      </c>
      <c r="D15" s="170">
        <f>IF('Statement of Marks'!E17="","",'Statement of Marks'!E17)</f>
        <v>41878</v>
      </c>
      <c r="E15" s="171" t="str">
        <f>IF('Statement of Marks'!F17="","",'Statement of Marks'!F17)</f>
        <v>MONU</v>
      </c>
      <c r="F15" s="171" t="str">
        <f>IF('Statement of Marks'!G17="","",'Statement of Marks'!G17)</f>
        <v/>
      </c>
      <c r="G15" s="171" t="str">
        <f>IF('Statement of Marks'!H17="","",'Statement of Marks'!H17)</f>
        <v/>
      </c>
      <c r="H15" s="172" t="str">
        <f>IF('Statement of Marks'!HS17="","",'Statement of Marks'!HS17)</f>
        <v>FAIL</v>
      </c>
      <c r="I15" s="172" t="str">
        <f>IF('Statement of Marks'!HV17="","",'Statement of Marks'!HV17)</f>
        <v/>
      </c>
      <c r="J15" s="173">
        <f>IF('Statement of Marks'!HU17="","",'Statement of Marks'!HU17)</f>
        <v>62.083333333333336</v>
      </c>
      <c r="K15" s="181" t="str">
        <f>'Statement of Marks'!GN17</f>
        <v>AB</v>
      </c>
      <c r="L15" s="181" t="str">
        <f>'Statement of Marks'!GQ17</f>
        <v>D</v>
      </c>
      <c r="M15" s="181" t="str">
        <f>'Statement of Marks'!GT17</f>
        <v>II</v>
      </c>
      <c r="N15" s="181" t="str">
        <f>'Statement of Marks'!HB17</f>
        <v>II</v>
      </c>
      <c r="O15" s="181" t="str">
        <f>'Statement of Marks'!HE17</f>
        <v>II</v>
      </c>
      <c r="P15" s="181" t="str">
        <f>'Statement of Marks'!HH17</f>
        <v>II</v>
      </c>
      <c r="Q15" s="181" t="str">
        <f>'Statement of Marks'!HK17</f>
        <v/>
      </c>
      <c r="R15" s="173" t="str">
        <f>IF(COUNTIF(K15:Q15,"F")&gt;0,"",CONCATENATE('Statement of Marks'!HO17,'Statement of Marks'!HQ17))</f>
        <v xml:space="preserve">            </v>
      </c>
      <c r="S15" s="174">
        <f t="shared" si="0"/>
        <v>0</v>
      </c>
      <c r="T15" s="5"/>
      <c r="U15" s="182" t="str">
        <f t="shared" si="1"/>
        <v/>
      </c>
      <c r="V15" s="182" t="str">
        <f t="shared" si="2"/>
        <v/>
      </c>
      <c r="W15" s="5"/>
      <c r="X15" s="182" t="str">
        <f t="shared" si="3"/>
        <v/>
      </c>
      <c r="Y15" s="182" t="str">
        <f t="shared" si="4"/>
        <v/>
      </c>
      <c r="Z15" s="5"/>
      <c r="AA15" s="182" t="str">
        <f t="shared" si="5"/>
        <v/>
      </c>
      <c r="AB15" s="183" t="str">
        <f t="shared" si="6"/>
        <v/>
      </c>
      <c r="AC15" s="5"/>
      <c r="AD15" s="182" t="str">
        <f t="shared" si="7"/>
        <v/>
      </c>
      <c r="AE15" s="183" t="str">
        <f t="shared" si="8"/>
        <v/>
      </c>
      <c r="AF15" s="5"/>
      <c r="AG15" s="182" t="str">
        <f t="shared" si="9"/>
        <v/>
      </c>
      <c r="AH15" s="183" t="str">
        <f t="shared" si="10"/>
        <v/>
      </c>
      <c r="AI15" s="5"/>
      <c r="AJ15" s="183" t="str">
        <f t="shared" si="11"/>
        <v/>
      </c>
      <c r="AK15" s="183" t="str">
        <f t="shared" si="12"/>
        <v/>
      </c>
      <c r="AL15" s="5"/>
      <c r="AM15" s="183" t="str">
        <f t="shared" si="13"/>
        <v/>
      </c>
      <c r="AN15" s="183" t="str">
        <f t="shared" si="14"/>
        <v/>
      </c>
      <c r="AO15" s="184">
        <f t="shared" si="15"/>
        <v>0</v>
      </c>
      <c r="AP15" s="184">
        <f t="shared" si="16"/>
        <v>0</v>
      </c>
      <c r="AQ15" s="608" t="str">
        <f t="shared" si="17"/>
        <v/>
      </c>
      <c r="AR15" s="185" t="str">
        <f>IF(COUNTIF(K15:Q15,"F")&gt;0,"",IF(AQ15="PASS",'Statement of Marks'!HZ17,""))</f>
        <v/>
      </c>
      <c r="AS15" s="185" t="str">
        <f>IF(AQ15="PASS",'Statement of Marks'!IA17,"")</f>
        <v/>
      </c>
    </row>
    <row r="16" spans="1:46">
      <c r="A16" s="169">
        <f>IF('Statement of Marks'!A18="","",'Statement of Marks'!A18)</f>
        <v>12</v>
      </c>
      <c r="B16" s="169">
        <f>IF('Statement of Marks'!B18="","",'Statement of Marks'!B18)</f>
        <v>912</v>
      </c>
      <c r="C16" s="169" t="str">
        <f>IF('Statement of Marks'!D18="","",'Statement of Marks'!D18)</f>
        <v/>
      </c>
      <c r="D16" s="170" t="str">
        <f>IF('Statement of Marks'!E18="","",'Statement of Marks'!E18)</f>
        <v/>
      </c>
      <c r="E16" s="171" t="str">
        <f>IF('Statement of Marks'!F18="","",'Statement of Marks'!F18)</f>
        <v>JAY</v>
      </c>
      <c r="F16" s="171" t="str">
        <f>IF('Statement of Marks'!G18="","",'Statement of Marks'!G18)</f>
        <v/>
      </c>
      <c r="G16" s="171" t="str">
        <f>IF('Statement of Marks'!H18="","",'Statement of Marks'!H18)</f>
        <v/>
      </c>
      <c r="H16" s="172" t="str">
        <f>IF('Statement of Marks'!HS18="","",'Statement of Marks'!HS18)</f>
        <v>BY GRACE PASS</v>
      </c>
      <c r="I16" s="172" t="str">
        <f>IF('Statement of Marks'!HV18="","",'Statement of Marks'!HV18)</f>
        <v>2nd</v>
      </c>
      <c r="J16" s="173">
        <f>IF('Statement of Marks'!HU18="","",'Statement of Marks'!HU18)</f>
        <v>59.833333333333336</v>
      </c>
      <c r="K16" s="181" t="str">
        <f>'Statement of Marks'!GN18</f>
        <v>I</v>
      </c>
      <c r="L16" s="181" t="str">
        <f>'Statement of Marks'!GQ18</f>
        <v>D</v>
      </c>
      <c r="M16" s="181" t="str">
        <f>'Statement of Marks'!GT18</f>
        <v>II</v>
      </c>
      <c r="N16" s="181" t="str">
        <f>'Statement of Marks'!HB18</f>
        <v>G</v>
      </c>
      <c r="O16" s="181" t="str">
        <f>'Statement of Marks'!HE18</f>
        <v>II</v>
      </c>
      <c r="P16" s="181" t="str">
        <f>'Statement of Marks'!HH18</f>
        <v>II</v>
      </c>
      <c r="Q16" s="181" t="str">
        <f>'Statement of Marks'!HK18</f>
        <v/>
      </c>
      <c r="R16" s="173" t="str">
        <f>IF(COUNTIF(K16:Q16,"F")&gt;0,"",CONCATENATE('Statement of Marks'!HO18,'Statement of Marks'!HQ18))</f>
        <v xml:space="preserve">            </v>
      </c>
      <c r="S16" s="174">
        <f t="shared" si="0"/>
        <v>0</v>
      </c>
      <c r="T16" s="5"/>
      <c r="U16" s="182" t="str">
        <f t="shared" si="1"/>
        <v/>
      </c>
      <c r="V16" s="182" t="str">
        <f t="shared" si="2"/>
        <v/>
      </c>
      <c r="W16" s="5"/>
      <c r="X16" s="182" t="str">
        <f t="shared" si="3"/>
        <v/>
      </c>
      <c r="Y16" s="182" t="str">
        <f t="shared" si="4"/>
        <v/>
      </c>
      <c r="Z16" s="5"/>
      <c r="AA16" s="182" t="str">
        <f t="shared" si="5"/>
        <v/>
      </c>
      <c r="AB16" s="183" t="str">
        <f t="shared" si="6"/>
        <v/>
      </c>
      <c r="AC16" s="5"/>
      <c r="AD16" s="182" t="str">
        <f t="shared" si="7"/>
        <v/>
      </c>
      <c r="AE16" s="183" t="str">
        <f t="shared" si="8"/>
        <v/>
      </c>
      <c r="AF16" s="5"/>
      <c r="AG16" s="182" t="str">
        <f t="shared" si="9"/>
        <v/>
      </c>
      <c r="AH16" s="183" t="str">
        <f t="shared" si="10"/>
        <v/>
      </c>
      <c r="AI16" s="5"/>
      <c r="AJ16" s="183" t="str">
        <f t="shared" si="11"/>
        <v/>
      </c>
      <c r="AK16" s="183" t="str">
        <f t="shared" si="12"/>
        <v/>
      </c>
      <c r="AL16" s="5"/>
      <c r="AM16" s="183" t="str">
        <f t="shared" si="13"/>
        <v/>
      </c>
      <c r="AN16" s="183" t="str">
        <f t="shared" si="14"/>
        <v/>
      </c>
      <c r="AO16" s="184">
        <f t="shared" si="15"/>
        <v>0</v>
      </c>
      <c r="AP16" s="184">
        <f t="shared" si="16"/>
        <v>0</v>
      </c>
      <c r="AQ16" s="608" t="str">
        <f t="shared" si="17"/>
        <v/>
      </c>
      <c r="AR16" s="185" t="str">
        <f>IF(COUNTIF(K16:Q16,"F")&gt;0,"",IF(AQ16="PASS",'Statement of Marks'!HZ18,""))</f>
        <v/>
      </c>
      <c r="AS16" s="185" t="str">
        <f>IF(AQ16="PASS",'Statement of Marks'!IA18,"")</f>
        <v/>
      </c>
    </row>
    <row r="17" spans="1:45">
      <c r="A17" s="169">
        <f>IF('Statement of Marks'!A19="","",'Statement of Marks'!A19)</f>
        <v>13</v>
      </c>
      <c r="B17" s="169">
        <f>IF('Statement of Marks'!B19="","",'Statement of Marks'!B19)</f>
        <v>913</v>
      </c>
      <c r="C17" s="169" t="str">
        <f>IF('Statement of Marks'!D19="","",'Statement of Marks'!D19)</f>
        <v/>
      </c>
      <c r="D17" s="170" t="str">
        <f>IF('Statement of Marks'!E19="","",'Statement of Marks'!E19)</f>
        <v/>
      </c>
      <c r="E17" s="171" t="str">
        <f>IF('Statement of Marks'!F19="","",'Statement of Marks'!F19)</f>
        <v>VIRU</v>
      </c>
      <c r="F17" s="171" t="str">
        <f>IF('Statement of Marks'!G19="","",'Statement of Marks'!G19)</f>
        <v/>
      </c>
      <c r="G17" s="171" t="str">
        <f>IF('Statement of Marks'!H19="","",'Statement of Marks'!H19)</f>
        <v/>
      </c>
      <c r="H17" s="172" t="str">
        <f>IF('Statement of Marks'!HS19="","",'Statement of Marks'!HS19)</f>
        <v>PASS</v>
      </c>
      <c r="I17" s="172" t="str">
        <f>IF('Statement of Marks'!HV19="","",'Statement of Marks'!HV19)</f>
        <v>1st</v>
      </c>
      <c r="J17" s="173">
        <f>IF('Statement of Marks'!HU19="","",'Statement of Marks'!HU19)</f>
        <v>60.083333333333336</v>
      </c>
      <c r="K17" s="181" t="str">
        <f>'Statement of Marks'!GN19</f>
        <v>I</v>
      </c>
      <c r="L17" s="181" t="str">
        <f>'Statement of Marks'!GQ19</f>
        <v>D</v>
      </c>
      <c r="M17" s="181" t="str">
        <f>'Statement of Marks'!GT19</f>
        <v>II</v>
      </c>
      <c r="N17" s="181" t="str">
        <f>'Statement of Marks'!HB19</f>
        <v>II</v>
      </c>
      <c r="O17" s="181" t="str">
        <f>'Statement of Marks'!HE19</f>
        <v>II</v>
      </c>
      <c r="P17" s="181" t="str">
        <f>'Statement of Marks'!HH19</f>
        <v>II</v>
      </c>
      <c r="Q17" s="181" t="str">
        <f>'Statement of Marks'!HK19</f>
        <v/>
      </c>
      <c r="R17" s="173" t="str">
        <f>IF(COUNTIF(K17:Q17,"F")&gt;0,"",CONCATENATE('Statement of Marks'!HO19,'Statement of Marks'!HQ19))</f>
        <v xml:space="preserve">            </v>
      </c>
      <c r="S17" s="174">
        <f t="shared" si="0"/>
        <v>0</v>
      </c>
      <c r="T17" s="5"/>
      <c r="U17" s="182" t="str">
        <f t="shared" si="1"/>
        <v/>
      </c>
      <c r="V17" s="182" t="str">
        <f t="shared" si="2"/>
        <v/>
      </c>
      <c r="W17" s="5"/>
      <c r="X17" s="182" t="str">
        <f t="shared" si="3"/>
        <v/>
      </c>
      <c r="Y17" s="182" t="str">
        <f t="shared" si="4"/>
        <v/>
      </c>
      <c r="Z17" s="5"/>
      <c r="AA17" s="182" t="str">
        <f t="shared" si="5"/>
        <v/>
      </c>
      <c r="AB17" s="183" t="str">
        <f t="shared" si="6"/>
        <v/>
      </c>
      <c r="AC17" s="5"/>
      <c r="AD17" s="182" t="str">
        <f t="shared" si="7"/>
        <v/>
      </c>
      <c r="AE17" s="183" t="str">
        <f t="shared" si="8"/>
        <v/>
      </c>
      <c r="AF17" s="5"/>
      <c r="AG17" s="182" t="str">
        <f t="shared" si="9"/>
        <v/>
      </c>
      <c r="AH17" s="183" t="str">
        <f t="shared" si="10"/>
        <v/>
      </c>
      <c r="AI17" s="5"/>
      <c r="AJ17" s="183" t="str">
        <f t="shared" si="11"/>
        <v/>
      </c>
      <c r="AK17" s="183" t="str">
        <f t="shared" si="12"/>
        <v/>
      </c>
      <c r="AL17" s="5"/>
      <c r="AM17" s="183" t="str">
        <f t="shared" si="13"/>
        <v/>
      </c>
      <c r="AN17" s="183" t="str">
        <f t="shared" si="14"/>
        <v/>
      </c>
      <c r="AO17" s="184">
        <f t="shared" si="15"/>
        <v>0</v>
      </c>
      <c r="AP17" s="184">
        <f t="shared" si="16"/>
        <v>0</v>
      </c>
      <c r="AQ17" s="608" t="str">
        <f t="shared" si="17"/>
        <v/>
      </c>
      <c r="AR17" s="185" t="str">
        <f>IF(COUNTIF(K17:Q17,"F")&gt;0,"",IF(AQ17="PASS",'Statement of Marks'!HZ19,""))</f>
        <v/>
      </c>
      <c r="AS17" s="185" t="str">
        <f>IF(AQ17="PASS",'Statement of Marks'!IA19,"")</f>
        <v/>
      </c>
    </row>
    <row r="18" spans="1:45">
      <c r="A18" s="169">
        <f>IF('Statement of Marks'!A20="","",'Statement of Marks'!A20)</f>
        <v>14</v>
      </c>
      <c r="B18" s="169">
        <f>IF('Statement of Marks'!B20="","",'Statement of Marks'!B20)</f>
        <v>914</v>
      </c>
      <c r="C18" s="169" t="str">
        <f>IF('Statement of Marks'!D20="","",'Statement of Marks'!D20)</f>
        <v/>
      </c>
      <c r="D18" s="170" t="str">
        <f>IF('Statement of Marks'!E20="","",'Statement of Marks'!E20)</f>
        <v/>
      </c>
      <c r="E18" s="171" t="str">
        <f>IF('Statement of Marks'!F20="","",'Statement of Marks'!F20)</f>
        <v>ANIL</v>
      </c>
      <c r="F18" s="171" t="str">
        <f>IF('Statement of Marks'!G20="","",'Statement of Marks'!G20)</f>
        <v/>
      </c>
      <c r="G18" s="171" t="str">
        <f>IF('Statement of Marks'!H20="","",'Statement of Marks'!H20)</f>
        <v/>
      </c>
      <c r="H18" s="172" t="str">
        <f>IF('Statement of Marks'!HS20="","",'Statement of Marks'!HS20)</f>
        <v>BY GRACE PASS</v>
      </c>
      <c r="I18" s="172" t="str">
        <f>IF('Statement of Marks'!HV20="","",'Statement of Marks'!HV20)</f>
        <v>2nd</v>
      </c>
      <c r="J18" s="173">
        <f>IF('Statement of Marks'!HU20="","",'Statement of Marks'!HU20)</f>
        <v>56.5</v>
      </c>
      <c r="K18" s="181" t="str">
        <f>'Statement of Marks'!GN20</f>
        <v>I</v>
      </c>
      <c r="L18" s="181" t="str">
        <f>'Statement of Marks'!GQ20</f>
        <v>D</v>
      </c>
      <c r="M18" s="181" t="str">
        <f>'Statement of Marks'!GT20</f>
        <v>II</v>
      </c>
      <c r="N18" s="181" t="str">
        <f>'Statement of Marks'!HB20</f>
        <v>G</v>
      </c>
      <c r="O18" s="181" t="str">
        <f>'Statement of Marks'!HE20</f>
        <v>G</v>
      </c>
      <c r="P18" s="181" t="str">
        <f>'Statement of Marks'!HH20</f>
        <v>II</v>
      </c>
      <c r="Q18" s="181" t="str">
        <f>'Statement of Marks'!HK20</f>
        <v/>
      </c>
      <c r="R18" s="173" t="str">
        <f>IF(COUNTIF(K18:Q18,"F")&gt;0,"",CONCATENATE('Statement of Marks'!HO20,'Statement of Marks'!HQ20))</f>
        <v xml:space="preserve">            </v>
      </c>
      <c r="S18" s="174">
        <f t="shared" si="0"/>
        <v>0</v>
      </c>
      <c r="T18" s="5"/>
      <c r="U18" s="182" t="str">
        <f t="shared" si="1"/>
        <v/>
      </c>
      <c r="V18" s="182" t="str">
        <f t="shared" si="2"/>
        <v/>
      </c>
      <c r="W18" s="5"/>
      <c r="X18" s="182" t="str">
        <f t="shared" si="3"/>
        <v/>
      </c>
      <c r="Y18" s="182" t="str">
        <f t="shared" si="4"/>
        <v/>
      </c>
      <c r="Z18" s="5"/>
      <c r="AA18" s="182" t="str">
        <f t="shared" si="5"/>
        <v/>
      </c>
      <c r="AB18" s="183" t="str">
        <f t="shared" si="6"/>
        <v/>
      </c>
      <c r="AC18" s="5"/>
      <c r="AD18" s="182" t="str">
        <f t="shared" si="7"/>
        <v/>
      </c>
      <c r="AE18" s="183" t="str">
        <f t="shared" si="8"/>
        <v/>
      </c>
      <c r="AF18" s="5"/>
      <c r="AG18" s="182" t="str">
        <f t="shared" si="9"/>
        <v/>
      </c>
      <c r="AH18" s="183" t="str">
        <f t="shared" si="10"/>
        <v/>
      </c>
      <c r="AI18" s="5"/>
      <c r="AJ18" s="183" t="str">
        <f t="shared" si="11"/>
        <v/>
      </c>
      <c r="AK18" s="183" t="str">
        <f t="shared" si="12"/>
        <v/>
      </c>
      <c r="AL18" s="5"/>
      <c r="AM18" s="183" t="str">
        <f t="shared" si="13"/>
        <v/>
      </c>
      <c r="AN18" s="183" t="str">
        <f t="shared" si="14"/>
        <v/>
      </c>
      <c r="AO18" s="184">
        <f t="shared" si="15"/>
        <v>0</v>
      </c>
      <c r="AP18" s="184">
        <f t="shared" si="16"/>
        <v>0</v>
      </c>
      <c r="AQ18" s="608" t="str">
        <f t="shared" si="17"/>
        <v/>
      </c>
      <c r="AR18" s="185" t="str">
        <f>IF(COUNTIF(K18:Q18,"F")&gt;0,"",IF(AQ18="PASS",'Statement of Marks'!HZ20,""))</f>
        <v/>
      </c>
      <c r="AS18" s="185" t="str">
        <f>IF(AQ18="PASS",'Statement of Marks'!IA20,"")</f>
        <v/>
      </c>
    </row>
    <row r="19" spans="1:45">
      <c r="A19" s="169">
        <f>IF('Statement of Marks'!A21="","",'Statement of Marks'!A21)</f>
        <v>15</v>
      </c>
      <c r="B19" s="169">
        <f>IF('Statement of Marks'!B21="","",'Statement of Marks'!B21)</f>
        <v>915</v>
      </c>
      <c r="C19" s="169" t="str">
        <f>IF('Statement of Marks'!D21="","",'Statement of Marks'!D21)</f>
        <v/>
      </c>
      <c r="D19" s="170" t="str">
        <f>IF('Statement of Marks'!E21="","",'Statement of Marks'!E21)</f>
        <v/>
      </c>
      <c r="E19" s="171" t="str">
        <f>IF('Statement of Marks'!F21="","",'Statement of Marks'!F21)</f>
        <v>RAHIM</v>
      </c>
      <c r="F19" s="171" t="str">
        <f>IF('Statement of Marks'!G21="","",'Statement of Marks'!G21)</f>
        <v/>
      </c>
      <c r="G19" s="171" t="str">
        <f>IF('Statement of Marks'!H21="","",'Statement of Marks'!H21)</f>
        <v/>
      </c>
      <c r="H19" s="172" t="str">
        <f>IF('Statement of Marks'!HS21="","",'Statement of Marks'!HS21)</f>
        <v>PASS</v>
      </c>
      <c r="I19" s="172" t="str">
        <f>IF('Statement of Marks'!HV21="","",'Statement of Marks'!HV21)</f>
        <v>2nd</v>
      </c>
      <c r="J19" s="173">
        <f>IF('Statement of Marks'!HU21="","",'Statement of Marks'!HU21)</f>
        <v>57.25</v>
      </c>
      <c r="K19" s="181" t="str">
        <f>'Statement of Marks'!GN21</f>
        <v>II</v>
      </c>
      <c r="L19" s="181" t="str">
        <f>'Statement of Marks'!GQ21</f>
        <v>D</v>
      </c>
      <c r="M19" s="181" t="str">
        <f>'Statement of Marks'!GT21</f>
        <v>II</v>
      </c>
      <c r="N19" s="181" t="str">
        <f>'Statement of Marks'!HB21</f>
        <v>III</v>
      </c>
      <c r="O19" s="181" t="str">
        <f>'Statement of Marks'!HE21</f>
        <v>II</v>
      </c>
      <c r="P19" s="181" t="str">
        <f>'Statement of Marks'!HH21</f>
        <v>II</v>
      </c>
      <c r="Q19" s="181" t="str">
        <f>'Statement of Marks'!HK21</f>
        <v/>
      </c>
      <c r="R19" s="173" t="str">
        <f>IF(COUNTIF(K19:Q19,"F")&gt;0,"",CONCATENATE('Statement of Marks'!HO21,'Statement of Marks'!HQ21))</f>
        <v xml:space="preserve">            </v>
      </c>
      <c r="S19" s="174">
        <f t="shared" si="0"/>
        <v>0</v>
      </c>
      <c r="T19" s="5"/>
      <c r="U19" s="182" t="str">
        <f t="shared" si="1"/>
        <v/>
      </c>
      <c r="V19" s="182" t="str">
        <f t="shared" si="2"/>
        <v/>
      </c>
      <c r="W19" s="5"/>
      <c r="X19" s="182" t="str">
        <f t="shared" si="3"/>
        <v/>
      </c>
      <c r="Y19" s="182" t="str">
        <f t="shared" si="4"/>
        <v/>
      </c>
      <c r="Z19" s="5"/>
      <c r="AA19" s="182" t="str">
        <f t="shared" si="5"/>
        <v/>
      </c>
      <c r="AB19" s="183" t="str">
        <f t="shared" si="6"/>
        <v/>
      </c>
      <c r="AC19" s="5"/>
      <c r="AD19" s="182" t="str">
        <f t="shared" si="7"/>
        <v/>
      </c>
      <c r="AE19" s="183" t="str">
        <f t="shared" si="8"/>
        <v/>
      </c>
      <c r="AF19" s="5"/>
      <c r="AG19" s="182" t="str">
        <f t="shared" si="9"/>
        <v/>
      </c>
      <c r="AH19" s="183" t="str">
        <f t="shared" si="10"/>
        <v/>
      </c>
      <c r="AI19" s="5"/>
      <c r="AJ19" s="183" t="str">
        <f t="shared" si="11"/>
        <v/>
      </c>
      <c r="AK19" s="183" t="str">
        <f t="shared" si="12"/>
        <v/>
      </c>
      <c r="AL19" s="5"/>
      <c r="AM19" s="183" t="str">
        <f t="shared" si="13"/>
        <v/>
      </c>
      <c r="AN19" s="183" t="str">
        <f t="shared" si="14"/>
        <v/>
      </c>
      <c r="AO19" s="184">
        <f t="shared" si="15"/>
        <v>0</v>
      </c>
      <c r="AP19" s="184">
        <f t="shared" si="16"/>
        <v>0</v>
      </c>
      <c r="AQ19" s="608" t="str">
        <f t="shared" si="17"/>
        <v/>
      </c>
      <c r="AR19" s="185" t="str">
        <f>IF(COUNTIF(K19:Q19,"F")&gt;0,"",IF(AQ19="PASS",'Statement of Marks'!HZ21,""))</f>
        <v/>
      </c>
      <c r="AS19" s="185" t="str">
        <f>IF(AQ19="PASS",'Statement of Marks'!IA21,"")</f>
        <v/>
      </c>
    </row>
    <row r="20" spans="1:45">
      <c r="A20" s="169">
        <f>IF('Statement of Marks'!A22="","",'Statement of Marks'!A22)</f>
        <v>16</v>
      </c>
      <c r="B20" s="169">
        <f>IF('Statement of Marks'!B22="","",'Statement of Marks'!B22)</f>
        <v>916</v>
      </c>
      <c r="C20" s="169" t="str">
        <f>IF('Statement of Marks'!D22="","",'Statement of Marks'!D22)</f>
        <v/>
      </c>
      <c r="D20" s="170" t="str">
        <f>IF('Statement of Marks'!E22="","",'Statement of Marks'!E22)</f>
        <v/>
      </c>
      <c r="E20" s="171" t="str">
        <f>IF('Statement of Marks'!F22="","",'Statement of Marks'!F22)</f>
        <v>KARIM</v>
      </c>
      <c r="F20" s="171" t="str">
        <f>IF('Statement of Marks'!G22="","",'Statement of Marks'!G22)</f>
        <v/>
      </c>
      <c r="G20" s="171" t="str">
        <f>IF('Statement of Marks'!H22="","",'Statement of Marks'!H22)</f>
        <v/>
      </c>
      <c r="H20" s="172" t="str">
        <f>IF('Statement of Marks'!HS22="","",'Statement of Marks'!HS22)</f>
        <v>PASS</v>
      </c>
      <c r="I20" s="172" t="str">
        <f>IF('Statement of Marks'!HV22="","",'Statement of Marks'!HV22)</f>
        <v>1st</v>
      </c>
      <c r="J20" s="173">
        <f>IF('Statement of Marks'!HU22="","",'Statement of Marks'!HU22)</f>
        <v>64</v>
      </c>
      <c r="K20" s="181" t="str">
        <f>'Statement of Marks'!GN22</f>
        <v>I</v>
      </c>
      <c r="L20" s="181" t="str">
        <f>'Statement of Marks'!GQ22</f>
        <v>D</v>
      </c>
      <c r="M20" s="181" t="str">
        <f>'Statement of Marks'!GT22</f>
        <v>II</v>
      </c>
      <c r="N20" s="181" t="str">
        <f>'Statement of Marks'!HB22</f>
        <v>II</v>
      </c>
      <c r="O20" s="181" t="str">
        <f>'Statement of Marks'!HE22</f>
        <v>II</v>
      </c>
      <c r="P20" s="181" t="str">
        <f>'Statement of Marks'!HH22</f>
        <v>II</v>
      </c>
      <c r="Q20" s="181" t="str">
        <f>'Statement of Marks'!HK22</f>
        <v/>
      </c>
      <c r="R20" s="173" t="str">
        <f>IF(COUNTIF(K20:Q20,"F")&gt;0,"",CONCATENATE('Statement of Marks'!HO22,'Statement of Marks'!HQ22))</f>
        <v xml:space="preserve">            </v>
      </c>
      <c r="S20" s="174">
        <f t="shared" si="0"/>
        <v>0</v>
      </c>
      <c r="T20" s="5"/>
      <c r="U20" s="182" t="str">
        <f t="shared" si="1"/>
        <v/>
      </c>
      <c r="V20" s="182" t="str">
        <f t="shared" si="2"/>
        <v/>
      </c>
      <c r="W20" s="5"/>
      <c r="X20" s="182" t="str">
        <f t="shared" si="3"/>
        <v/>
      </c>
      <c r="Y20" s="182" t="str">
        <f t="shared" si="4"/>
        <v/>
      </c>
      <c r="Z20" s="5"/>
      <c r="AA20" s="182" t="str">
        <f t="shared" si="5"/>
        <v/>
      </c>
      <c r="AB20" s="183" t="str">
        <f t="shared" si="6"/>
        <v/>
      </c>
      <c r="AC20" s="5"/>
      <c r="AD20" s="182" t="str">
        <f t="shared" si="7"/>
        <v/>
      </c>
      <c r="AE20" s="183" t="str">
        <f t="shared" si="8"/>
        <v/>
      </c>
      <c r="AF20" s="5"/>
      <c r="AG20" s="182" t="str">
        <f t="shared" si="9"/>
        <v/>
      </c>
      <c r="AH20" s="183" t="str">
        <f t="shared" si="10"/>
        <v/>
      </c>
      <c r="AI20" s="5"/>
      <c r="AJ20" s="183" t="str">
        <f t="shared" si="11"/>
        <v/>
      </c>
      <c r="AK20" s="183" t="str">
        <f t="shared" si="12"/>
        <v/>
      </c>
      <c r="AL20" s="5"/>
      <c r="AM20" s="183" t="str">
        <f t="shared" si="13"/>
        <v/>
      </c>
      <c r="AN20" s="183" t="str">
        <f t="shared" si="14"/>
        <v/>
      </c>
      <c r="AO20" s="184">
        <f t="shared" si="15"/>
        <v>0</v>
      </c>
      <c r="AP20" s="184">
        <f t="shared" si="16"/>
        <v>0</v>
      </c>
      <c r="AQ20" s="608" t="str">
        <f t="shared" si="17"/>
        <v/>
      </c>
      <c r="AR20" s="185" t="str">
        <f>IF(COUNTIF(K20:Q20,"F")&gt;0,"",IF(AQ20="PASS",'Statement of Marks'!HZ22,""))</f>
        <v/>
      </c>
      <c r="AS20" s="185" t="str">
        <f>IF(AQ20="PASS",'Statement of Marks'!IA22,"")</f>
        <v/>
      </c>
    </row>
    <row r="21" spans="1:45">
      <c r="A21" s="169">
        <f>IF('Statement of Marks'!A23="","",'Statement of Marks'!A23)</f>
        <v>17</v>
      </c>
      <c r="B21" s="169">
        <f>IF('Statement of Marks'!B23="","",'Statement of Marks'!B23)</f>
        <v>917</v>
      </c>
      <c r="C21" s="169" t="str">
        <f>IF('Statement of Marks'!D23="","",'Statement of Marks'!D23)</f>
        <v/>
      </c>
      <c r="D21" s="170" t="str">
        <f>IF('Statement of Marks'!E23="","",'Statement of Marks'!E23)</f>
        <v/>
      </c>
      <c r="E21" s="171" t="str">
        <f>IF('Statement of Marks'!F23="","",'Statement of Marks'!F23)</f>
        <v>FATIMA</v>
      </c>
      <c r="F21" s="171" t="str">
        <f>IF('Statement of Marks'!G23="","",'Statement of Marks'!G23)</f>
        <v/>
      </c>
      <c r="G21" s="171" t="str">
        <f>IF('Statement of Marks'!H23="","",'Statement of Marks'!H23)</f>
        <v/>
      </c>
      <c r="H21" s="172" t="str">
        <f>IF('Statement of Marks'!HS23="","",'Statement of Marks'!HS23)</f>
        <v>PASS</v>
      </c>
      <c r="I21" s="172" t="str">
        <f>IF('Statement of Marks'!HV23="","",'Statement of Marks'!HV23)</f>
        <v>1st</v>
      </c>
      <c r="J21" s="173">
        <f>IF('Statement of Marks'!HU23="","",'Statement of Marks'!HU23)</f>
        <v>64.083333333333329</v>
      </c>
      <c r="K21" s="181" t="str">
        <f>'Statement of Marks'!GN23</f>
        <v>I</v>
      </c>
      <c r="L21" s="181" t="str">
        <f>'Statement of Marks'!GQ23</f>
        <v>D</v>
      </c>
      <c r="M21" s="181" t="str">
        <f>'Statement of Marks'!GT23</f>
        <v>II</v>
      </c>
      <c r="N21" s="181" t="str">
        <f>'Statement of Marks'!HB23</f>
        <v>II</v>
      </c>
      <c r="O21" s="181" t="str">
        <f>'Statement of Marks'!HE23</f>
        <v>II</v>
      </c>
      <c r="P21" s="181" t="str">
        <f>'Statement of Marks'!HH23</f>
        <v>II</v>
      </c>
      <c r="Q21" s="181" t="str">
        <f>'Statement of Marks'!HK23</f>
        <v/>
      </c>
      <c r="R21" s="173" t="str">
        <f>IF(COUNTIF(K21:Q21,"F")&gt;0,"",CONCATENATE('Statement of Marks'!HO23,'Statement of Marks'!HQ23))</f>
        <v xml:space="preserve">            </v>
      </c>
      <c r="S21" s="174">
        <f t="shared" si="0"/>
        <v>0</v>
      </c>
      <c r="T21" s="5"/>
      <c r="U21" s="182" t="str">
        <f t="shared" si="1"/>
        <v/>
      </c>
      <c r="V21" s="182" t="str">
        <f t="shared" si="2"/>
        <v/>
      </c>
      <c r="W21" s="5"/>
      <c r="X21" s="182" t="str">
        <f t="shared" si="3"/>
        <v/>
      </c>
      <c r="Y21" s="182" t="str">
        <f t="shared" si="4"/>
        <v/>
      </c>
      <c r="Z21" s="5"/>
      <c r="AA21" s="182" t="str">
        <f t="shared" si="5"/>
        <v/>
      </c>
      <c r="AB21" s="183" t="str">
        <f t="shared" si="6"/>
        <v/>
      </c>
      <c r="AC21" s="5"/>
      <c r="AD21" s="182" t="str">
        <f t="shared" si="7"/>
        <v/>
      </c>
      <c r="AE21" s="183" t="str">
        <f t="shared" si="8"/>
        <v/>
      </c>
      <c r="AF21" s="5"/>
      <c r="AG21" s="182" t="str">
        <f t="shared" si="9"/>
        <v/>
      </c>
      <c r="AH21" s="183" t="str">
        <f t="shared" si="10"/>
        <v/>
      </c>
      <c r="AI21" s="5"/>
      <c r="AJ21" s="183" t="str">
        <f t="shared" si="11"/>
        <v/>
      </c>
      <c r="AK21" s="183" t="str">
        <f t="shared" si="12"/>
        <v/>
      </c>
      <c r="AL21" s="5"/>
      <c r="AM21" s="183" t="str">
        <f t="shared" si="13"/>
        <v/>
      </c>
      <c r="AN21" s="183" t="str">
        <f t="shared" si="14"/>
        <v/>
      </c>
      <c r="AO21" s="184">
        <f t="shared" si="15"/>
        <v>0</v>
      </c>
      <c r="AP21" s="184">
        <f t="shared" si="16"/>
        <v>0</v>
      </c>
      <c r="AQ21" s="608" t="str">
        <f t="shared" si="17"/>
        <v/>
      </c>
      <c r="AR21" s="185" t="str">
        <f>IF(COUNTIF(K21:Q21,"F")&gt;0,"",IF(AQ21="PASS",'Statement of Marks'!HZ23,""))</f>
        <v/>
      </c>
      <c r="AS21" s="185" t="str">
        <f>IF(AQ21="PASS",'Statement of Marks'!IA23,"")</f>
        <v/>
      </c>
    </row>
    <row r="22" spans="1:45">
      <c r="A22" s="169">
        <f>IF('Statement of Marks'!A24="","",'Statement of Marks'!A24)</f>
        <v>18</v>
      </c>
      <c r="B22" s="169">
        <f>IF('Statement of Marks'!B24="","",'Statement of Marks'!B24)</f>
        <v>918</v>
      </c>
      <c r="C22" s="169" t="str">
        <f>IF('Statement of Marks'!D24="","",'Statement of Marks'!D24)</f>
        <v/>
      </c>
      <c r="D22" s="170" t="str">
        <f>IF('Statement of Marks'!E24="","",'Statement of Marks'!E24)</f>
        <v/>
      </c>
      <c r="E22" s="171" t="str">
        <f>IF('Statement of Marks'!F24="","",'Statement of Marks'!F24)</f>
        <v>LAXMI</v>
      </c>
      <c r="F22" s="171" t="str">
        <f>IF('Statement of Marks'!G24="","",'Statement of Marks'!G24)</f>
        <v/>
      </c>
      <c r="G22" s="171" t="str">
        <f>IF('Statement of Marks'!H24="","",'Statement of Marks'!H24)</f>
        <v/>
      </c>
      <c r="H22" s="172" t="str">
        <f>IF('Statement of Marks'!HS24="","",'Statement of Marks'!HS24)</f>
        <v>PASS</v>
      </c>
      <c r="I22" s="172" t="str">
        <f>IF('Statement of Marks'!HV24="","",'Statement of Marks'!HV24)</f>
        <v>1st</v>
      </c>
      <c r="J22" s="173">
        <f>IF('Statement of Marks'!HU24="","",'Statement of Marks'!HU24)</f>
        <v>64</v>
      </c>
      <c r="K22" s="181" t="str">
        <f>'Statement of Marks'!GN24</f>
        <v>I</v>
      </c>
      <c r="L22" s="181" t="str">
        <f>'Statement of Marks'!GQ24</f>
        <v>D</v>
      </c>
      <c r="M22" s="181" t="str">
        <f>'Statement of Marks'!GT24</f>
        <v>II</v>
      </c>
      <c r="N22" s="181" t="str">
        <f>'Statement of Marks'!HB24</f>
        <v>II</v>
      </c>
      <c r="O22" s="181" t="str">
        <f>'Statement of Marks'!HE24</f>
        <v>II</v>
      </c>
      <c r="P22" s="181" t="str">
        <f>'Statement of Marks'!HH24</f>
        <v>II</v>
      </c>
      <c r="Q22" s="181" t="str">
        <f>'Statement of Marks'!HK24</f>
        <v/>
      </c>
      <c r="R22" s="173" t="str">
        <f>IF(COUNTIF(K22:Q22,"F")&gt;0,"",CONCATENATE('Statement of Marks'!HO24,'Statement of Marks'!HQ24))</f>
        <v xml:space="preserve">            </v>
      </c>
      <c r="S22" s="174">
        <f t="shared" si="0"/>
        <v>0</v>
      </c>
      <c r="T22" s="5"/>
      <c r="U22" s="182" t="str">
        <f t="shared" si="1"/>
        <v/>
      </c>
      <c r="V22" s="182" t="str">
        <f t="shared" si="2"/>
        <v/>
      </c>
      <c r="W22" s="5"/>
      <c r="X22" s="182" t="str">
        <f t="shared" si="3"/>
        <v/>
      </c>
      <c r="Y22" s="182" t="str">
        <f t="shared" si="4"/>
        <v/>
      </c>
      <c r="Z22" s="5"/>
      <c r="AA22" s="182" t="str">
        <f t="shared" si="5"/>
        <v/>
      </c>
      <c r="AB22" s="183" t="str">
        <f t="shared" si="6"/>
        <v/>
      </c>
      <c r="AC22" s="5"/>
      <c r="AD22" s="182" t="str">
        <f t="shared" si="7"/>
        <v/>
      </c>
      <c r="AE22" s="183" t="str">
        <f t="shared" si="8"/>
        <v/>
      </c>
      <c r="AF22" s="5"/>
      <c r="AG22" s="182" t="str">
        <f t="shared" si="9"/>
        <v/>
      </c>
      <c r="AH22" s="183" t="str">
        <f t="shared" si="10"/>
        <v/>
      </c>
      <c r="AI22" s="5"/>
      <c r="AJ22" s="183" t="str">
        <f t="shared" si="11"/>
        <v/>
      </c>
      <c r="AK22" s="183" t="str">
        <f t="shared" si="12"/>
        <v/>
      </c>
      <c r="AL22" s="5"/>
      <c r="AM22" s="183" t="str">
        <f t="shared" si="13"/>
        <v/>
      </c>
      <c r="AN22" s="183" t="str">
        <f t="shared" si="14"/>
        <v/>
      </c>
      <c r="AO22" s="184">
        <f t="shared" si="15"/>
        <v>0</v>
      </c>
      <c r="AP22" s="184">
        <f t="shared" si="16"/>
        <v>0</v>
      </c>
      <c r="AQ22" s="608" t="str">
        <f t="shared" si="17"/>
        <v/>
      </c>
      <c r="AR22" s="185" t="str">
        <f>IF(COUNTIF(K22:Q22,"F")&gt;0,"",IF(AQ22="PASS",'Statement of Marks'!HZ24,""))</f>
        <v/>
      </c>
      <c r="AS22" s="185" t="str">
        <f>IF(AQ22="PASS",'Statement of Marks'!IA24,"")</f>
        <v/>
      </c>
    </row>
    <row r="23" spans="1:45" ht="15.75" customHeight="1">
      <c r="A23" s="169">
        <f>IF('Statement of Marks'!A25="","",'Statement of Marks'!A25)</f>
        <v>19</v>
      </c>
      <c r="B23" s="169">
        <f>IF('Statement of Marks'!B25="","",'Statement of Marks'!B25)</f>
        <v>919</v>
      </c>
      <c r="C23" s="169" t="str">
        <f>IF('Statement of Marks'!D25="","",'Statement of Marks'!D25)</f>
        <v/>
      </c>
      <c r="D23" s="170" t="str">
        <f>IF('Statement of Marks'!E25="","",'Statement of Marks'!E25)</f>
        <v/>
      </c>
      <c r="E23" s="171" t="str">
        <f>IF('Statement of Marks'!F25="","",'Statement of Marks'!F25)</f>
        <v>RAZA</v>
      </c>
      <c r="F23" s="171" t="str">
        <f>IF('Statement of Marks'!G25="","",'Statement of Marks'!G25)</f>
        <v/>
      </c>
      <c r="G23" s="171" t="str">
        <f>IF('Statement of Marks'!H25="","",'Statement of Marks'!H25)</f>
        <v/>
      </c>
      <c r="H23" s="172" t="str">
        <f>IF('Statement of Marks'!HS25="","",'Statement of Marks'!HS25)</f>
        <v>PASS</v>
      </c>
      <c r="I23" s="172" t="str">
        <f>IF('Statement of Marks'!HV25="","",'Statement of Marks'!HV25)</f>
        <v>1st</v>
      </c>
      <c r="J23" s="173">
        <f>IF('Statement of Marks'!HU25="","",'Statement of Marks'!HU25)</f>
        <v>64</v>
      </c>
      <c r="K23" s="181" t="str">
        <f>'Statement of Marks'!GN25</f>
        <v>I</v>
      </c>
      <c r="L23" s="181" t="str">
        <f>'Statement of Marks'!GQ25</f>
        <v>D</v>
      </c>
      <c r="M23" s="181" t="str">
        <f>'Statement of Marks'!GT25</f>
        <v>II</v>
      </c>
      <c r="N23" s="181" t="str">
        <f>'Statement of Marks'!HB25</f>
        <v>II</v>
      </c>
      <c r="O23" s="181" t="str">
        <f>'Statement of Marks'!HE25</f>
        <v>II</v>
      </c>
      <c r="P23" s="181" t="str">
        <f>'Statement of Marks'!HH25</f>
        <v>II</v>
      </c>
      <c r="Q23" s="181" t="str">
        <f>'Statement of Marks'!HK25</f>
        <v/>
      </c>
      <c r="R23" s="173" t="str">
        <f>IF(COUNTIF(K23:Q23,"F")&gt;0,"",CONCATENATE('Statement of Marks'!HO25,'Statement of Marks'!HQ25))</f>
        <v xml:space="preserve">            </v>
      </c>
      <c r="S23" s="174">
        <f t="shared" si="0"/>
        <v>0</v>
      </c>
      <c r="T23" s="5"/>
      <c r="U23" s="182" t="str">
        <f t="shared" si="1"/>
        <v/>
      </c>
      <c r="V23" s="182" t="str">
        <f t="shared" si="2"/>
        <v/>
      </c>
      <c r="W23" s="5"/>
      <c r="X23" s="182" t="str">
        <f t="shared" si="3"/>
        <v/>
      </c>
      <c r="Y23" s="182" t="str">
        <f t="shared" si="4"/>
        <v/>
      </c>
      <c r="Z23" s="5"/>
      <c r="AA23" s="182" t="str">
        <f t="shared" si="5"/>
        <v/>
      </c>
      <c r="AB23" s="183" t="str">
        <f t="shared" si="6"/>
        <v/>
      </c>
      <c r="AC23" s="5"/>
      <c r="AD23" s="182" t="str">
        <f t="shared" si="7"/>
        <v/>
      </c>
      <c r="AE23" s="183" t="str">
        <f t="shared" si="8"/>
        <v/>
      </c>
      <c r="AF23" s="5"/>
      <c r="AG23" s="182" t="str">
        <f t="shared" si="9"/>
        <v/>
      </c>
      <c r="AH23" s="183" t="str">
        <f t="shared" si="10"/>
        <v/>
      </c>
      <c r="AI23" s="5"/>
      <c r="AJ23" s="183" t="str">
        <f t="shared" si="11"/>
        <v/>
      </c>
      <c r="AK23" s="183" t="str">
        <f t="shared" si="12"/>
        <v/>
      </c>
      <c r="AL23" s="5"/>
      <c r="AM23" s="183" t="str">
        <f t="shared" si="13"/>
        <v/>
      </c>
      <c r="AN23" s="183" t="str">
        <f t="shared" si="14"/>
        <v/>
      </c>
      <c r="AO23" s="184">
        <f t="shared" si="15"/>
        <v>0</v>
      </c>
      <c r="AP23" s="184">
        <f t="shared" si="16"/>
        <v>0</v>
      </c>
      <c r="AQ23" s="608" t="str">
        <f t="shared" si="17"/>
        <v/>
      </c>
      <c r="AR23" s="185" t="str">
        <f>IF(COUNTIF(K23:Q23,"F")&gt;0,"",IF(AQ23="PASS",'Statement of Marks'!HZ25,""))</f>
        <v/>
      </c>
      <c r="AS23" s="185" t="str">
        <f>IF(AQ23="PASS",'Statement of Marks'!IA25,"")</f>
        <v/>
      </c>
    </row>
    <row r="24" spans="1:45">
      <c r="A24" s="169">
        <f>IF('Statement of Marks'!A26="","",'Statement of Marks'!A26)</f>
        <v>20</v>
      </c>
      <c r="B24" s="169">
        <f>IF('Statement of Marks'!B26="","",'Statement of Marks'!B26)</f>
        <v>920</v>
      </c>
      <c r="C24" s="169" t="str">
        <f>IF('Statement of Marks'!D26="","",'Statement of Marks'!D26)</f>
        <v/>
      </c>
      <c r="D24" s="170" t="str">
        <f>IF('Statement of Marks'!E26="","",'Statement of Marks'!E26)</f>
        <v/>
      </c>
      <c r="E24" s="171" t="str">
        <f>IF('Statement of Marks'!F26="","",'Statement of Marks'!F26)</f>
        <v>ROZA</v>
      </c>
      <c r="F24" s="171" t="str">
        <f>IF('Statement of Marks'!G26="","",'Statement of Marks'!G26)</f>
        <v/>
      </c>
      <c r="G24" s="171" t="str">
        <f>IF('Statement of Marks'!H26="","",'Statement of Marks'!H26)</f>
        <v/>
      </c>
      <c r="H24" s="172" t="str">
        <f>IF('Statement of Marks'!HS26="","",'Statement of Marks'!HS26)</f>
        <v>PASS</v>
      </c>
      <c r="I24" s="172" t="str">
        <f>IF('Statement of Marks'!HV26="","",'Statement of Marks'!HV26)</f>
        <v>1st</v>
      </c>
      <c r="J24" s="173">
        <f>IF('Statement of Marks'!HU26="","",'Statement of Marks'!HU26)</f>
        <v>64</v>
      </c>
      <c r="K24" s="181" t="str">
        <f>'Statement of Marks'!GN26</f>
        <v>I</v>
      </c>
      <c r="L24" s="181" t="str">
        <f>'Statement of Marks'!GQ26</f>
        <v>D</v>
      </c>
      <c r="M24" s="181" t="str">
        <f>'Statement of Marks'!GT26</f>
        <v>II</v>
      </c>
      <c r="N24" s="181" t="str">
        <f>'Statement of Marks'!HB26</f>
        <v>II</v>
      </c>
      <c r="O24" s="181" t="str">
        <f>'Statement of Marks'!HE26</f>
        <v>II</v>
      </c>
      <c r="P24" s="181" t="str">
        <f>'Statement of Marks'!HH26</f>
        <v>II</v>
      </c>
      <c r="Q24" s="181" t="str">
        <f>'Statement of Marks'!HK26</f>
        <v/>
      </c>
      <c r="R24" s="173" t="str">
        <f>IF(COUNTIF(K24:Q24,"F")&gt;0,"",CONCATENATE('Statement of Marks'!HO26,'Statement of Marks'!HQ26))</f>
        <v xml:space="preserve">            </v>
      </c>
      <c r="S24" s="174">
        <f t="shared" si="0"/>
        <v>0</v>
      </c>
      <c r="T24" s="5"/>
      <c r="U24" s="182" t="str">
        <f t="shared" si="1"/>
        <v/>
      </c>
      <c r="V24" s="182" t="str">
        <f t="shared" si="2"/>
        <v/>
      </c>
      <c r="W24" s="5"/>
      <c r="X24" s="182" t="str">
        <f t="shared" si="3"/>
        <v/>
      </c>
      <c r="Y24" s="182" t="str">
        <f t="shared" si="4"/>
        <v/>
      </c>
      <c r="Z24" s="5"/>
      <c r="AA24" s="182" t="str">
        <f t="shared" si="5"/>
        <v/>
      </c>
      <c r="AB24" s="183" t="str">
        <f t="shared" si="6"/>
        <v/>
      </c>
      <c r="AC24" s="5"/>
      <c r="AD24" s="182" t="str">
        <f t="shared" si="7"/>
        <v/>
      </c>
      <c r="AE24" s="183" t="str">
        <f t="shared" si="8"/>
        <v/>
      </c>
      <c r="AF24" s="5"/>
      <c r="AG24" s="182" t="str">
        <f t="shared" si="9"/>
        <v/>
      </c>
      <c r="AH24" s="183" t="str">
        <f t="shared" si="10"/>
        <v/>
      </c>
      <c r="AI24" s="5"/>
      <c r="AJ24" s="183" t="str">
        <f t="shared" si="11"/>
        <v/>
      </c>
      <c r="AK24" s="183" t="str">
        <f t="shared" si="12"/>
        <v/>
      </c>
      <c r="AL24" s="5"/>
      <c r="AM24" s="183" t="str">
        <f t="shared" si="13"/>
        <v/>
      </c>
      <c r="AN24" s="183" t="str">
        <f t="shared" si="14"/>
        <v/>
      </c>
      <c r="AO24" s="184">
        <f t="shared" si="15"/>
        <v>0</v>
      </c>
      <c r="AP24" s="184">
        <f t="shared" si="16"/>
        <v>0</v>
      </c>
      <c r="AQ24" s="608" t="str">
        <f t="shared" si="17"/>
        <v/>
      </c>
      <c r="AR24" s="185" t="str">
        <f>IF(COUNTIF(K24:Q24,"F")&gt;0,"",IF(AQ24="PASS",'Statement of Marks'!HZ26,""))</f>
        <v/>
      </c>
      <c r="AS24" s="185" t="str">
        <f>IF(AQ24="PASS",'Statement of Marks'!IA26,"")</f>
        <v/>
      </c>
    </row>
    <row r="25" spans="1:45">
      <c r="A25" s="169">
        <f>IF('Statement of Marks'!A27="","",'Statement of Marks'!A27)</f>
        <v>21</v>
      </c>
      <c r="B25" s="169">
        <f>IF('Statement of Marks'!B27="","",'Statement of Marks'!B27)</f>
        <v>921</v>
      </c>
      <c r="C25" s="169" t="str">
        <f>IF('Statement of Marks'!D27="","",'Statement of Marks'!D27)</f>
        <v/>
      </c>
      <c r="D25" s="170" t="str">
        <f>IF('Statement of Marks'!E27="","",'Statement of Marks'!E27)</f>
        <v/>
      </c>
      <c r="E25" s="171" t="str">
        <f>IF('Statement of Marks'!F27="","",'Statement of Marks'!F27)</f>
        <v>VILIAM</v>
      </c>
      <c r="F25" s="171" t="str">
        <f>IF('Statement of Marks'!G27="","",'Statement of Marks'!G27)</f>
        <v/>
      </c>
      <c r="G25" s="171" t="str">
        <f>IF('Statement of Marks'!H27="","",'Statement of Marks'!H27)</f>
        <v/>
      </c>
      <c r="H25" s="172" t="str">
        <f>IF('Statement of Marks'!HS27="","",'Statement of Marks'!HS27)</f>
        <v>PASS</v>
      </c>
      <c r="I25" s="172" t="str">
        <f>IF('Statement of Marks'!HV27="","",'Statement of Marks'!HV27)</f>
        <v>1st</v>
      </c>
      <c r="J25" s="173">
        <f>IF('Statement of Marks'!HU27="","",'Statement of Marks'!HU27)</f>
        <v>64</v>
      </c>
      <c r="K25" s="181" t="str">
        <f>'Statement of Marks'!GN27</f>
        <v>I</v>
      </c>
      <c r="L25" s="181" t="str">
        <f>'Statement of Marks'!GQ27</f>
        <v>D</v>
      </c>
      <c r="M25" s="181" t="str">
        <f>'Statement of Marks'!GT27</f>
        <v>II</v>
      </c>
      <c r="N25" s="181" t="str">
        <f>'Statement of Marks'!HB27</f>
        <v>II</v>
      </c>
      <c r="O25" s="181" t="str">
        <f>'Statement of Marks'!HE27</f>
        <v>II</v>
      </c>
      <c r="P25" s="181" t="str">
        <f>'Statement of Marks'!HH27</f>
        <v>II</v>
      </c>
      <c r="Q25" s="181" t="str">
        <f>'Statement of Marks'!HK27</f>
        <v/>
      </c>
      <c r="R25" s="173" t="str">
        <f>IF(COUNTIF(K25:Q25,"F")&gt;0,"",CONCATENATE('Statement of Marks'!HO27,'Statement of Marks'!HQ27))</f>
        <v xml:space="preserve">            </v>
      </c>
      <c r="S25" s="174">
        <f t="shared" si="0"/>
        <v>0</v>
      </c>
      <c r="T25" s="5"/>
      <c r="U25" s="182" t="str">
        <f t="shared" si="1"/>
        <v/>
      </c>
      <c r="V25" s="182" t="str">
        <f t="shared" si="2"/>
        <v/>
      </c>
      <c r="W25" s="5"/>
      <c r="X25" s="182" t="str">
        <f t="shared" si="3"/>
        <v/>
      </c>
      <c r="Y25" s="182" t="str">
        <f t="shared" si="4"/>
        <v/>
      </c>
      <c r="Z25" s="5"/>
      <c r="AA25" s="182" t="str">
        <f t="shared" si="5"/>
        <v/>
      </c>
      <c r="AB25" s="183" t="str">
        <f t="shared" si="6"/>
        <v/>
      </c>
      <c r="AC25" s="5"/>
      <c r="AD25" s="182" t="str">
        <f t="shared" si="7"/>
        <v/>
      </c>
      <c r="AE25" s="183" t="str">
        <f t="shared" si="8"/>
        <v/>
      </c>
      <c r="AF25" s="5"/>
      <c r="AG25" s="182" t="str">
        <f t="shared" si="9"/>
        <v/>
      </c>
      <c r="AH25" s="183" t="str">
        <f t="shared" si="10"/>
        <v/>
      </c>
      <c r="AI25" s="5"/>
      <c r="AJ25" s="183" t="str">
        <f t="shared" si="11"/>
        <v/>
      </c>
      <c r="AK25" s="183" t="str">
        <f t="shared" si="12"/>
        <v/>
      </c>
      <c r="AL25" s="5"/>
      <c r="AM25" s="183" t="str">
        <f t="shared" si="13"/>
        <v/>
      </c>
      <c r="AN25" s="183" t="str">
        <f t="shared" si="14"/>
        <v/>
      </c>
      <c r="AO25" s="184">
        <f t="shared" si="15"/>
        <v>0</v>
      </c>
      <c r="AP25" s="184">
        <f t="shared" si="16"/>
        <v>0</v>
      </c>
      <c r="AQ25" s="608" t="str">
        <f t="shared" si="17"/>
        <v/>
      </c>
      <c r="AR25" s="185" t="str">
        <f>IF(COUNTIF(K25:Q25,"F")&gt;0,"",IF(AQ25="PASS",'Statement of Marks'!HZ27,""))</f>
        <v/>
      </c>
      <c r="AS25" s="185" t="str">
        <f>IF(AQ25="PASS",'Statement of Marks'!IA27,"")</f>
        <v/>
      </c>
    </row>
    <row r="26" spans="1:45">
      <c r="A26" s="169">
        <f>IF('Statement of Marks'!A28="","",'Statement of Marks'!A28)</f>
        <v>22</v>
      </c>
      <c r="B26" s="169">
        <f>IF('Statement of Marks'!B28="","",'Statement of Marks'!B28)</f>
        <v>922</v>
      </c>
      <c r="C26" s="169" t="str">
        <f>IF('Statement of Marks'!D28="","",'Statement of Marks'!D28)</f>
        <v/>
      </c>
      <c r="D26" s="170" t="str">
        <f>IF('Statement of Marks'!E28="","",'Statement of Marks'!E28)</f>
        <v/>
      </c>
      <c r="E26" s="171" t="str">
        <f>IF('Statement of Marks'!F28="","",'Statement of Marks'!F28)</f>
        <v>ROZER</v>
      </c>
      <c r="F26" s="171" t="str">
        <f>IF('Statement of Marks'!G28="","",'Statement of Marks'!G28)</f>
        <v/>
      </c>
      <c r="G26" s="171" t="str">
        <f>IF('Statement of Marks'!H28="","",'Statement of Marks'!H28)</f>
        <v/>
      </c>
      <c r="H26" s="172" t="str">
        <f>IF('Statement of Marks'!HS28="","",'Statement of Marks'!HS28)</f>
        <v>PASS</v>
      </c>
      <c r="I26" s="172" t="str">
        <f>IF('Statement of Marks'!HV28="","",'Statement of Marks'!HV28)</f>
        <v>1st</v>
      </c>
      <c r="J26" s="173">
        <f>IF('Statement of Marks'!HU28="","",'Statement of Marks'!HU28)</f>
        <v>64.25</v>
      </c>
      <c r="K26" s="181" t="str">
        <f>'Statement of Marks'!GN28</f>
        <v>I</v>
      </c>
      <c r="L26" s="181" t="str">
        <f>'Statement of Marks'!GQ28</f>
        <v>D</v>
      </c>
      <c r="M26" s="181" t="str">
        <f>'Statement of Marks'!GT28</f>
        <v>II</v>
      </c>
      <c r="N26" s="181" t="str">
        <f>'Statement of Marks'!HB28</f>
        <v>II</v>
      </c>
      <c r="O26" s="181" t="str">
        <f>'Statement of Marks'!HE28</f>
        <v>II</v>
      </c>
      <c r="P26" s="181" t="str">
        <f>'Statement of Marks'!HH28</f>
        <v>II</v>
      </c>
      <c r="Q26" s="181" t="str">
        <f>'Statement of Marks'!HK28</f>
        <v/>
      </c>
      <c r="R26" s="173" t="str">
        <f>IF(COUNTIF(K26:Q26,"F")&gt;0,"",CONCATENATE('Statement of Marks'!HO28,'Statement of Marks'!HQ28))</f>
        <v xml:space="preserve">            </v>
      </c>
      <c r="S26" s="174">
        <f t="shared" si="0"/>
        <v>0</v>
      </c>
      <c r="T26" s="5"/>
      <c r="U26" s="182" t="str">
        <f t="shared" si="1"/>
        <v/>
      </c>
      <c r="V26" s="182" t="str">
        <f t="shared" si="2"/>
        <v/>
      </c>
      <c r="W26" s="5"/>
      <c r="X26" s="182" t="str">
        <f t="shared" si="3"/>
        <v/>
      </c>
      <c r="Y26" s="182" t="str">
        <f t="shared" si="4"/>
        <v/>
      </c>
      <c r="Z26" s="5"/>
      <c r="AA26" s="182" t="str">
        <f t="shared" si="5"/>
        <v/>
      </c>
      <c r="AB26" s="183" t="str">
        <f t="shared" si="6"/>
        <v/>
      </c>
      <c r="AC26" s="5"/>
      <c r="AD26" s="182" t="str">
        <f t="shared" si="7"/>
        <v/>
      </c>
      <c r="AE26" s="183" t="str">
        <f t="shared" si="8"/>
        <v/>
      </c>
      <c r="AF26" s="5"/>
      <c r="AG26" s="182" t="str">
        <f t="shared" si="9"/>
        <v/>
      </c>
      <c r="AH26" s="183" t="str">
        <f t="shared" si="10"/>
        <v/>
      </c>
      <c r="AI26" s="5"/>
      <c r="AJ26" s="183" t="str">
        <f t="shared" si="11"/>
        <v/>
      </c>
      <c r="AK26" s="183" t="str">
        <f t="shared" si="12"/>
        <v/>
      </c>
      <c r="AL26" s="5"/>
      <c r="AM26" s="183" t="str">
        <f t="shared" si="13"/>
        <v/>
      </c>
      <c r="AN26" s="183" t="str">
        <f t="shared" si="14"/>
        <v/>
      </c>
      <c r="AO26" s="184">
        <f t="shared" si="15"/>
        <v>0</v>
      </c>
      <c r="AP26" s="184">
        <f t="shared" si="16"/>
        <v>0</v>
      </c>
      <c r="AQ26" s="608" t="str">
        <f t="shared" si="17"/>
        <v/>
      </c>
      <c r="AR26" s="185" t="str">
        <f>IF(COUNTIF(K26:Q26,"F")&gt;0,"",IF(AQ26="PASS",'Statement of Marks'!HZ28,""))</f>
        <v/>
      </c>
      <c r="AS26" s="185" t="str">
        <f>IF(AQ26="PASS",'Statement of Marks'!IA28,"")</f>
        <v/>
      </c>
    </row>
    <row r="27" spans="1:45">
      <c r="A27" s="169">
        <f>IF('Statement of Marks'!A29="","",'Statement of Marks'!A29)</f>
        <v>23</v>
      </c>
      <c r="B27" s="169">
        <f>IF('Statement of Marks'!B29="","",'Statement of Marks'!B29)</f>
        <v>923</v>
      </c>
      <c r="C27" s="169" t="str">
        <f>IF('Statement of Marks'!D29="","",'Statement of Marks'!D29)</f>
        <v/>
      </c>
      <c r="D27" s="170" t="str">
        <f>IF('Statement of Marks'!E29="","",'Statement of Marks'!E29)</f>
        <v/>
      </c>
      <c r="E27" s="171" t="str">
        <f>IF('Statement of Marks'!F29="","",'Statement of Marks'!F29)</f>
        <v>DINESH</v>
      </c>
      <c r="F27" s="171" t="str">
        <f>IF('Statement of Marks'!G29="","",'Statement of Marks'!G29)</f>
        <v/>
      </c>
      <c r="G27" s="171" t="str">
        <f>IF('Statement of Marks'!H29="","",'Statement of Marks'!H29)</f>
        <v/>
      </c>
      <c r="H27" s="172" t="str">
        <f>IF('Statement of Marks'!HS29="","",'Statement of Marks'!HS29)</f>
        <v>PASS</v>
      </c>
      <c r="I27" s="172" t="str">
        <f>IF('Statement of Marks'!HV29="","",'Statement of Marks'!HV29)</f>
        <v>1st</v>
      </c>
      <c r="J27" s="173">
        <f>IF('Statement of Marks'!HU29="","",'Statement of Marks'!HU29)</f>
        <v>64.083333333333329</v>
      </c>
      <c r="K27" s="181" t="str">
        <f>'Statement of Marks'!GN29</f>
        <v>I</v>
      </c>
      <c r="L27" s="181" t="str">
        <f>'Statement of Marks'!GQ29</f>
        <v>D</v>
      </c>
      <c r="M27" s="181" t="str">
        <f>'Statement of Marks'!GT29</f>
        <v>II</v>
      </c>
      <c r="N27" s="181" t="str">
        <f>'Statement of Marks'!HB29</f>
        <v>II</v>
      </c>
      <c r="O27" s="181" t="str">
        <f>'Statement of Marks'!HE29</f>
        <v>II</v>
      </c>
      <c r="P27" s="181" t="str">
        <f>'Statement of Marks'!HH29</f>
        <v>II</v>
      </c>
      <c r="Q27" s="181" t="str">
        <f>'Statement of Marks'!HK29</f>
        <v/>
      </c>
      <c r="R27" s="173" t="str">
        <f>IF(COUNTIF(K27:Q27,"F")&gt;0,"",CONCATENATE('Statement of Marks'!HO29,'Statement of Marks'!HQ29))</f>
        <v xml:space="preserve">            </v>
      </c>
      <c r="S27" s="174">
        <f t="shared" si="0"/>
        <v>0</v>
      </c>
      <c r="T27" s="5"/>
      <c r="U27" s="182" t="str">
        <f t="shared" si="1"/>
        <v/>
      </c>
      <c r="V27" s="182" t="str">
        <f t="shared" si="2"/>
        <v/>
      </c>
      <c r="W27" s="5"/>
      <c r="X27" s="182" t="str">
        <f t="shared" si="3"/>
        <v/>
      </c>
      <c r="Y27" s="182" t="str">
        <f t="shared" si="4"/>
        <v/>
      </c>
      <c r="Z27" s="5"/>
      <c r="AA27" s="182" t="str">
        <f t="shared" si="5"/>
        <v/>
      </c>
      <c r="AB27" s="183" t="str">
        <f t="shared" si="6"/>
        <v/>
      </c>
      <c r="AC27" s="5"/>
      <c r="AD27" s="182" t="str">
        <f t="shared" si="7"/>
        <v/>
      </c>
      <c r="AE27" s="183" t="str">
        <f t="shared" si="8"/>
        <v/>
      </c>
      <c r="AF27" s="5"/>
      <c r="AG27" s="182" t="str">
        <f t="shared" si="9"/>
        <v/>
      </c>
      <c r="AH27" s="183" t="str">
        <f t="shared" si="10"/>
        <v/>
      </c>
      <c r="AI27" s="5"/>
      <c r="AJ27" s="183" t="str">
        <f t="shared" si="11"/>
        <v/>
      </c>
      <c r="AK27" s="183" t="str">
        <f t="shared" si="12"/>
        <v/>
      </c>
      <c r="AL27" s="5"/>
      <c r="AM27" s="183" t="str">
        <f t="shared" si="13"/>
        <v/>
      </c>
      <c r="AN27" s="183" t="str">
        <f t="shared" si="14"/>
        <v/>
      </c>
      <c r="AO27" s="184">
        <f t="shared" si="15"/>
        <v>0</v>
      </c>
      <c r="AP27" s="184">
        <f t="shared" si="16"/>
        <v>0</v>
      </c>
      <c r="AQ27" s="608" t="str">
        <f t="shared" si="17"/>
        <v/>
      </c>
      <c r="AR27" s="185" t="str">
        <f>IF(COUNTIF(K27:Q27,"F")&gt;0,"",IF(AQ27="PASS",'Statement of Marks'!HZ29,""))</f>
        <v/>
      </c>
      <c r="AS27" s="185" t="str">
        <f>IF(AQ27="PASS",'Statement of Marks'!IA29,"")</f>
        <v/>
      </c>
    </row>
    <row r="28" spans="1:45">
      <c r="A28" s="169">
        <f>IF('Statement of Marks'!A30="","",'Statement of Marks'!A30)</f>
        <v>24</v>
      </c>
      <c r="B28" s="169">
        <f>IF('Statement of Marks'!B30="","",'Statement of Marks'!B30)</f>
        <v>924</v>
      </c>
      <c r="C28" s="169" t="str">
        <f>IF('Statement of Marks'!D30="","",'Statement of Marks'!D30)</f>
        <v/>
      </c>
      <c r="D28" s="170" t="str">
        <f>IF('Statement of Marks'!E30="","",'Statement of Marks'!E30)</f>
        <v/>
      </c>
      <c r="E28" s="171" t="str">
        <f>IF('Statement of Marks'!F30="","",'Statement of Marks'!F30)</f>
        <v>MAHESH</v>
      </c>
      <c r="F28" s="171" t="str">
        <f>IF('Statement of Marks'!G30="","",'Statement of Marks'!G30)</f>
        <v/>
      </c>
      <c r="G28" s="171" t="str">
        <f>IF('Statement of Marks'!H30="","",'Statement of Marks'!H30)</f>
        <v/>
      </c>
      <c r="H28" s="172" t="str">
        <f>IF('Statement of Marks'!HS30="","",'Statement of Marks'!HS30)</f>
        <v>PASS</v>
      </c>
      <c r="I28" s="172" t="str">
        <f>IF('Statement of Marks'!HV30="","",'Statement of Marks'!HV30)</f>
        <v>1st</v>
      </c>
      <c r="J28" s="173">
        <f>IF('Statement of Marks'!HU30="","",'Statement of Marks'!HU30)</f>
        <v>64</v>
      </c>
      <c r="K28" s="181" t="str">
        <f>'Statement of Marks'!GN30</f>
        <v>I</v>
      </c>
      <c r="L28" s="181" t="str">
        <f>'Statement of Marks'!GQ30</f>
        <v>D</v>
      </c>
      <c r="M28" s="181" t="str">
        <f>'Statement of Marks'!GT30</f>
        <v>II</v>
      </c>
      <c r="N28" s="181" t="str">
        <f>'Statement of Marks'!HB30</f>
        <v>II</v>
      </c>
      <c r="O28" s="181" t="str">
        <f>'Statement of Marks'!HE30</f>
        <v>II</v>
      </c>
      <c r="P28" s="181" t="str">
        <f>'Statement of Marks'!HH30</f>
        <v>II</v>
      </c>
      <c r="Q28" s="181" t="str">
        <f>'Statement of Marks'!HK30</f>
        <v/>
      </c>
      <c r="R28" s="173" t="str">
        <f>IF(COUNTIF(K28:Q28,"F")&gt;0,"",CONCATENATE('Statement of Marks'!HO30,'Statement of Marks'!HQ30))</f>
        <v xml:space="preserve">            </v>
      </c>
      <c r="S28" s="174">
        <f t="shared" si="0"/>
        <v>0</v>
      </c>
      <c r="T28" s="5"/>
      <c r="U28" s="182" t="str">
        <f t="shared" si="1"/>
        <v/>
      </c>
      <c r="V28" s="182" t="str">
        <f t="shared" si="2"/>
        <v/>
      </c>
      <c r="W28" s="5"/>
      <c r="X28" s="182" t="str">
        <f t="shared" si="3"/>
        <v/>
      </c>
      <c r="Y28" s="182" t="str">
        <f t="shared" si="4"/>
        <v/>
      </c>
      <c r="Z28" s="5"/>
      <c r="AA28" s="182" t="str">
        <f t="shared" si="5"/>
        <v/>
      </c>
      <c r="AB28" s="183" t="str">
        <f t="shared" si="6"/>
        <v/>
      </c>
      <c r="AC28" s="5"/>
      <c r="AD28" s="182" t="str">
        <f t="shared" si="7"/>
        <v/>
      </c>
      <c r="AE28" s="183" t="str">
        <f t="shared" si="8"/>
        <v/>
      </c>
      <c r="AF28" s="5"/>
      <c r="AG28" s="182" t="str">
        <f t="shared" si="9"/>
        <v/>
      </c>
      <c r="AH28" s="183" t="str">
        <f t="shared" si="10"/>
        <v/>
      </c>
      <c r="AI28" s="5"/>
      <c r="AJ28" s="183" t="str">
        <f t="shared" si="11"/>
        <v/>
      </c>
      <c r="AK28" s="183" t="str">
        <f t="shared" si="12"/>
        <v/>
      </c>
      <c r="AL28" s="5"/>
      <c r="AM28" s="183" t="str">
        <f t="shared" si="13"/>
        <v/>
      </c>
      <c r="AN28" s="183" t="str">
        <f t="shared" si="14"/>
        <v/>
      </c>
      <c r="AO28" s="184">
        <f t="shared" si="15"/>
        <v>0</v>
      </c>
      <c r="AP28" s="184">
        <f t="shared" si="16"/>
        <v>0</v>
      </c>
      <c r="AQ28" s="608" t="str">
        <f t="shared" si="17"/>
        <v/>
      </c>
      <c r="AR28" s="185" t="str">
        <f>IF(COUNTIF(K28:Q28,"F")&gt;0,"",IF(AQ28="PASS",'Statement of Marks'!HZ30,""))</f>
        <v/>
      </c>
      <c r="AS28" s="185" t="str">
        <f>IF(AQ28="PASS",'Statement of Marks'!IA30,"")</f>
        <v/>
      </c>
    </row>
    <row r="29" spans="1:45">
      <c r="A29" s="169">
        <f>IF('Statement of Marks'!A31="","",'Statement of Marks'!A31)</f>
        <v>25</v>
      </c>
      <c r="B29" s="169">
        <f>IF('Statement of Marks'!B31="","",'Statement of Marks'!B31)</f>
        <v>925</v>
      </c>
      <c r="C29" s="169" t="str">
        <f>IF('Statement of Marks'!D31="","",'Statement of Marks'!D31)</f>
        <v/>
      </c>
      <c r="D29" s="170" t="str">
        <f>IF('Statement of Marks'!E31="","",'Statement of Marks'!E31)</f>
        <v/>
      </c>
      <c r="E29" s="171" t="str">
        <f>IF('Statement of Marks'!F31="","",'Statement of Marks'!F31)</f>
        <v>RINA</v>
      </c>
      <c r="F29" s="171" t="str">
        <f>IF('Statement of Marks'!G31="","",'Statement of Marks'!G31)</f>
        <v/>
      </c>
      <c r="G29" s="171" t="str">
        <f>IF('Statement of Marks'!H31="","",'Statement of Marks'!H31)</f>
        <v/>
      </c>
      <c r="H29" s="172" t="str">
        <f>IF('Statement of Marks'!HS31="","",'Statement of Marks'!HS31)</f>
        <v>PASS</v>
      </c>
      <c r="I29" s="172" t="str">
        <f>IF('Statement of Marks'!HV31="","",'Statement of Marks'!HV31)</f>
        <v>1st</v>
      </c>
      <c r="J29" s="173">
        <f>IF('Statement of Marks'!HU31="","",'Statement of Marks'!HU31)</f>
        <v>64</v>
      </c>
      <c r="K29" s="181" t="str">
        <f>'Statement of Marks'!GN31</f>
        <v>I</v>
      </c>
      <c r="L29" s="181" t="str">
        <f>'Statement of Marks'!GQ31</f>
        <v>D</v>
      </c>
      <c r="M29" s="181" t="str">
        <f>'Statement of Marks'!GT31</f>
        <v>II</v>
      </c>
      <c r="N29" s="181" t="str">
        <f>'Statement of Marks'!HB31</f>
        <v>II</v>
      </c>
      <c r="O29" s="181" t="str">
        <f>'Statement of Marks'!HE31</f>
        <v>II</v>
      </c>
      <c r="P29" s="181" t="str">
        <f>'Statement of Marks'!HH31</f>
        <v>II</v>
      </c>
      <c r="Q29" s="181" t="str">
        <f>'Statement of Marks'!HK31</f>
        <v/>
      </c>
      <c r="R29" s="173" t="str">
        <f>IF(COUNTIF(K29:Q29,"F")&gt;0,"",CONCATENATE('Statement of Marks'!HO31,'Statement of Marks'!HQ31))</f>
        <v xml:space="preserve">            </v>
      </c>
      <c r="S29" s="174">
        <f t="shared" si="0"/>
        <v>0</v>
      </c>
      <c r="T29" s="5"/>
      <c r="U29" s="182" t="str">
        <f t="shared" si="1"/>
        <v/>
      </c>
      <c r="V29" s="182" t="str">
        <f t="shared" si="2"/>
        <v/>
      </c>
      <c r="W29" s="5"/>
      <c r="X29" s="182" t="str">
        <f t="shared" si="3"/>
        <v/>
      </c>
      <c r="Y29" s="182" t="str">
        <f t="shared" si="4"/>
        <v/>
      </c>
      <c r="Z29" s="5"/>
      <c r="AA29" s="182" t="str">
        <f t="shared" si="5"/>
        <v/>
      </c>
      <c r="AB29" s="183" t="str">
        <f t="shared" si="6"/>
        <v/>
      </c>
      <c r="AC29" s="5"/>
      <c r="AD29" s="182" t="str">
        <f t="shared" si="7"/>
        <v/>
      </c>
      <c r="AE29" s="183" t="str">
        <f t="shared" si="8"/>
        <v/>
      </c>
      <c r="AF29" s="5"/>
      <c r="AG29" s="182" t="str">
        <f t="shared" si="9"/>
        <v/>
      </c>
      <c r="AH29" s="183" t="str">
        <f t="shared" si="10"/>
        <v/>
      </c>
      <c r="AI29" s="5"/>
      <c r="AJ29" s="183" t="str">
        <f t="shared" si="11"/>
        <v/>
      </c>
      <c r="AK29" s="183" t="str">
        <f t="shared" si="12"/>
        <v/>
      </c>
      <c r="AL29" s="5"/>
      <c r="AM29" s="183" t="str">
        <f t="shared" si="13"/>
        <v/>
      </c>
      <c r="AN29" s="183" t="str">
        <f t="shared" si="14"/>
        <v/>
      </c>
      <c r="AO29" s="184">
        <f t="shared" si="15"/>
        <v>0</v>
      </c>
      <c r="AP29" s="184">
        <f t="shared" si="16"/>
        <v>0</v>
      </c>
      <c r="AQ29" s="608" t="str">
        <f t="shared" si="17"/>
        <v/>
      </c>
      <c r="AR29" s="185" t="str">
        <f>IF(COUNTIF(K29:Q29,"F")&gt;0,"",IF(AQ29="PASS",'Statement of Marks'!HZ31,""))</f>
        <v/>
      </c>
      <c r="AS29" s="185" t="str">
        <f>IF(AQ29="PASS",'Statement of Marks'!IA31,"")</f>
        <v/>
      </c>
    </row>
    <row r="30" spans="1:45">
      <c r="A30" s="169">
        <f>IF('Statement of Marks'!A32="","",'Statement of Marks'!A32)</f>
        <v>26</v>
      </c>
      <c r="B30" s="169">
        <f>IF('Statement of Marks'!B32="","",'Statement of Marks'!B32)</f>
        <v>926</v>
      </c>
      <c r="C30" s="169" t="str">
        <f>IF('Statement of Marks'!D32="","",'Statement of Marks'!D32)</f>
        <v/>
      </c>
      <c r="D30" s="170" t="str">
        <f>IF('Statement of Marks'!E32="","",'Statement of Marks'!E32)</f>
        <v/>
      </c>
      <c r="E30" s="171" t="str">
        <f>IF('Statement of Marks'!F32="","",'Statement of Marks'!F32)</f>
        <v>DIZA</v>
      </c>
      <c r="F30" s="171" t="str">
        <f>IF('Statement of Marks'!G32="","",'Statement of Marks'!G32)</f>
        <v/>
      </c>
      <c r="G30" s="171" t="str">
        <f>IF('Statement of Marks'!H32="","",'Statement of Marks'!H32)</f>
        <v/>
      </c>
      <c r="H30" s="172" t="str">
        <f>IF('Statement of Marks'!HS32="","",'Statement of Marks'!HS32)</f>
        <v>PASS</v>
      </c>
      <c r="I30" s="172" t="str">
        <f>IF('Statement of Marks'!HV32="","",'Statement of Marks'!HV32)</f>
        <v>1st</v>
      </c>
      <c r="J30" s="173">
        <f>IF('Statement of Marks'!HU32="","",'Statement of Marks'!HU32)</f>
        <v>63.25</v>
      </c>
      <c r="K30" s="181" t="str">
        <f>'Statement of Marks'!GN32</f>
        <v>I</v>
      </c>
      <c r="L30" s="181" t="str">
        <f>'Statement of Marks'!GQ32</f>
        <v>D</v>
      </c>
      <c r="M30" s="181" t="str">
        <f>'Statement of Marks'!GT32</f>
        <v>II</v>
      </c>
      <c r="N30" s="181" t="str">
        <f>'Statement of Marks'!HB32</f>
        <v>II</v>
      </c>
      <c r="O30" s="181" t="str">
        <f>'Statement of Marks'!HE32</f>
        <v>II</v>
      </c>
      <c r="P30" s="181" t="str">
        <f>'Statement of Marks'!HH32</f>
        <v>II</v>
      </c>
      <c r="Q30" s="181" t="str">
        <f>'Statement of Marks'!HK32</f>
        <v/>
      </c>
      <c r="R30" s="173" t="str">
        <f>IF(COUNTIF(K30:Q30,"F")&gt;0,"",CONCATENATE('Statement of Marks'!HO32,'Statement of Marks'!HQ32))</f>
        <v xml:space="preserve">            </v>
      </c>
      <c r="S30" s="174">
        <f t="shared" si="0"/>
        <v>0</v>
      </c>
      <c r="T30" s="5"/>
      <c r="U30" s="182" t="str">
        <f t="shared" si="1"/>
        <v/>
      </c>
      <c r="V30" s="182" t="str">
        <f t="shared" si="2"/>
        <v/>
      </c>
      <c r="W30" s="5"/>
      <c r="X30" s="182" t="str">
        <f t="shared" si="3"/>
        <v/>
      </c>
      <c r="Y30" s="182" t="str">
        <f t="shared" si="4"/>
        <v/>
      </c>
      <c r="Z30" s="5"/>
      <c r="AA30" s="182" t="str">
        <f t="shared" si="5"/>
        <v/>
      </c>
      <c r="AB30" s="183" t="str">
        <f t="shared" si="6"/>
        <v/>
      </c>
      <c r="AC30" s="5"/>
      <c r="AD30" s="182" t="str">
        <f t="shared" si="7"/>
        <v/>
      </c>
      <c r="AE30" s="183" t="str">
        <f t="shared" si="8"/>
        <v/>
      </c>
      <c r="AF30" s="5"/>
      <c r="AG30" s="182" t="str">
        <f t="shared" si="9"/>
        <v/>
      </c>
      <c r="AH30" s="183" t="str">
        <f t="shared" si="10"/>
        <v/>
      </c>
      <c r="AI30" s="5"/>
      <c r="AJ30" s="183" t="str">
        <f t="shared" si="11"/>
        <v/>
      </c>
      <c r="AK30" s="183" t="str">
        <f t="shared" si="12"/>
        <v/>
      </c>
      <c r="AL30" s="5"/>
      <c r="AM30" s="183" t="str">
        <f t="shared" si="13"/>
        <v/>
      </c>
      <c r="AN30" s="183" t="str">
        <f t="shared" si="14"/>
        <v/>
      </c>
      <c r="AO30" s="184">
        <f t="shared" si="15"/>
        <v>0</v>
      </c>
      <c r="AP30" s="184">
        <f t="shared" si="16"/>
        <v>0</v>
      </c>
      <c r="AQ30" s="608" t="str">
        <f t="shared" si="17"/>
        <v/>
      </c>
      <c r="AR30" s="185" t="str">
        <f>IF(COUNTIF(K30:Q30,"F")&gt;0,"",IF(AQ30="PASS",'Statement of Marks'!HZ32,""))</f>
        <v/>
      </c>
      <c r="AS30" s="185" t="str">
        <f>IF(AQ30="PASS",'Statement of Marks'!IA32,"")</f>
        <v/>
      </c>
    </row>
    <row r="31" spans="1:45">
      <c r="A31" s="169">
        <f>IF('Statement of Marks'!A33="","",'Statement of Marks'!A33)</f>
        <v>27</v>
      </c>
      <c r="B31" s="169">
        <f>IF('Statement of Marks'!B33="","",'Statement of Marks'!B33)</f>
        <v>927</v>
      </c>
      <c r="C31" s="169" t="str">
        <f>IF('Statement of Marks'!D33="","",'Statement of Marks'!D33)</f>
        <v/>
      </c>
      <c r="D31" s="170" t="str">
        <f>IF('Statement of Marks'!E33="","",'Statement of Marks'!E33)</f>
        <v/>
      </c>
      <c r="E31" s="171" t="str">
        <f>IF('Statement of Marks'!F33="","",'Statement of Marks'!F33)</f>
        <v>BIPASA</v>
      </c>
      <c r="F31" s="171" t="str">
        <f>IF('Statement of Marks'!G33="","",'Statement of Marks'!G33)</f>
        <v/>
      </c>
      <c r="G31" s="171" t="str">
        <f>IF('Statement of Marks'!H33="","",'Statement of Marks'!H33)</f>
        <v/>
      </c>
      <c r="H31" s="172" t="str">
        <f>IF('Statement of Marks'!HS33="","",'Statement of Marks'!HS33)</f>
        <v>PASS</v>
      </c>
      <c r="I31" s="172" t="str">
        <f>IF('Statement of Marks'!HV33="","",'Statement of Marks'!HV33)</f>
        <v>1st</v>
      </c>
      <c r="J31" s="173">
        <f>IF('Statement of Marks'!HU33="","",'Statement of Marks'!HU33)</f>
        <v>61.583333333333336</v>
      </c>
      <c r="K31" s="181" t="str">
        <f>'Statement of Marks'!GN33</f>
        <v>II</v>
      </c>
      <c r="L31" s="181" t="str">
        <f>'Statement of Marks'!GQ33</f>
        <v>D</v>
      </c>
      <c r="M31" s="181" t="str">
        <f>'Statement of Marks'!GT33</f>
        <v>II</v>
      </c>
      <c r="N31" s="181" t="str">
        <f>'Statement of Marks'!HB33</f>
        <v>II</v>
      </c>
      <c r="O31" s="181" t="str">
        <f>'Statement of Marks'!HE33</f>
        <v>II</v>
      </c>
      <c r="P31" s="181" t="str">
        <f>'Statement of Marks'!HH33</f>
        <v>II</v>
      </c>
      <c r="Q31" s="181" t="str">
        <f>'Statement of Marks'!HK33</f>
        <v/>
      </c>
      <c r="R31" s="173" t="str">
        <f>IF(COUNTIF(K31:Q31,"F")&gt;0,"",CONCATENATE('Statement of Marks'!HO33,'Statement of Marks'!HQ33))</f>
        <v xml:space="preserve">            </v>
      </c>
      <c r="S31" s="174">
        <f t="shared" si="0"/>
        <v>0</v>
      </c>
      <c r="T31" s="5"/>
      <c r="U31" s="182" t="str">
        <f t="shared" si="1"/>
        <v/>
      </c>
      <c r="V31" s="182" t="str">
        <f t="shared" si="2"/>
        <v/>
      </c>
      <c r="W31" s="5"/>
      <c r="X31" s="182" t="str">
        <f t="shared" si="3"/>
        <v/>
      </c>
      <c r="Y31" s="182" t="str">
        <f t="shared" si="4"/>
        <v/>
      </c>
      <c r="Z31" s="5"/>
      <c r="AA31" s="182" t="str">
        <f t="shared" si="5"/>
        <v/>
      </c>
      <c r="AB31" s="183" t="str">
        <f t="shared" si="6"/>
        <v/>
      </c>
      <c r="AC31" s="5"/>
      <c r="AD31" s="182" t="str">
        <f t="shared" si="7"/>
        <v/>
      </c>
      <c r="AE31" s="183" t="str">
        <f t="shared" si="8"/>
        <v/>
      </c>
      <c r="AF31" s="5"/>
      <c r="AG31" s="182" t="str">
        <f t="shared" si="9"/>
        <v/>
      </c>
      <c r="AH31" s="183" t="str">
        <f t="shared" si="10"/>
        <v/>
      </c>
      <c r="AI31" s="5"/>
      <c r="AJ31" s="183" t="str">
        <f t="shared" si="11"/>
        <v/>
      </c>
      <c r="AK31" s="183" t="str">
        <f t="shared" si="12"/>
        <v/>
      </c>
      <c r="AL31" s="5"/>
      <c r="AM31" s="183" t="str">
        <f t="shared" si="13"/>
        <v/>
      </c>
      <c r="AN31" s="183" t="str">
        <f t="shared" si="14"/>
        <v/>
      </c>
      <c r="AO31" s="184">
        <f t="shared" si="15"/>
        <v>0</v>
      </c>
      <c r="AP31" s="184">
        <f t="shared" si="16"/>
        <v>0</v>
      </c>
      <c r="AQ31" s="608" t="str">
        <f t="shared" si="17"/>
        <v/>
      </c>
      <c r="AR31" s="185" t="str">
        <f>IF(COUNTIF(K31:Q31,"F")&gt;0,"",IF(AQ31="PASS",'Statement of Marks'!HZ33,""))</f>
        <v/>
      </c>
      <c r="AS31" s="185" t="str">
        <f>IF(AQ31="PASS",'Statement of Marks'!IA33,"")</f>
        <v/>
      </c>
    </row>
    <row r="32" spans="1:45">
      <c r="A32" s="169">
        <f>IF('Statement of Marks'!A34="","",'Statement of Marks'!A34)</f>
        <v>28</v>
      </c>
      <c r="B32" s="169">
        <f>IF('Statement of Marks'!B34="","",'Statement of Marks'!B34)</f>
        <v>928</v>
      </c>
      <c r="C32" s="169" t="str">
        <f>IF('Statement of Marks'!D34="","",'Statement of Marks'!D34)</f>
        <v/>
      </c>
      <c r="D32" s="170" t="str">
        <f>IF('Statement of Marks'!E34="","",'Statement of Marks'!E34)</f>
        <v/>
      </c>
      <c r="E32" s="171" t="str">
        <f>IF('Statement of Marks'!F34="","",'Statement of Marks'!F34)</f>
        <v>DIMPLE</v>
      </c>
      <c r="F32" s="171" t="str">
        <f>IF('Statement of Marks'!G34="","",'Statement of Marks'!G34)</f>
        <v/>
      </c>
      <c r="G32" s="171" t="str">
        <f>IF('Statement of Marks'!H34="","",'Statement of Marks'!H34)</f>
        <v/>
      </c>
      <c r="H32" s="172" t="str">
        <f>IF('Statement of Marks'!HS34="","",'Statement of Marks'!HS34)</f>
        <v>PASS</v>
      </c>
      <c r="I32" s="172" t="str">
        <f>IF('Statement of Marks'!HV34="","",'Statement of Marks'!HV34)</f>
        <v>1st</v>
      </c>
      <c r="J32" s="173">
        <f>IF('Statement of Marks'!HU34="","",'Statement of Marks'!HU34)</f>
        <v>61.5</v>
      </c>
      <c r="K32" s="181" t="str">
        <f>'Statement of Marks'!GN34</f>
        <v>II</v>
      </c>
      <c r="L32" s="181" t="str">
        <f>'Statement of Marks'!GQ34</f>
        <v>D</v>
      </c>
      <c r="M32" s="181" t="str">
        <f>'Statement of Marks'!GT34</f>
        <v>II</v>
      </c>
      <c r="N32" s="181" t="str">
        <f>'Statement of Marks'!HB34</f>
        <v>II</v>
      </c>
      <c r="O32" s="181" t="str">
        <f>'Statement of Marks'!HE34</f>
        <v>II</v>
      </c>
      <c r="P32" s="181" t="str">
        <f>'Statement of Marks'!HH34</f>
        <v>II</v>
      </c>
      <c r="Q32" s="181" t="str">
        <f>'Statement of Marks'!HK34</f>
        <v/>
      </c>
      <c r="R32" s="173" t="str">
        <f>IF(COUNTIF(K32:Q32,"F")&gt;0,"",CONCATENATE('Statement of Marks'!HO34,'Statement of Marks'!HQ34))</f>
        <v xml:space="preserve">            </v>
      </c>
      <c r="S32" s="174">
        <f t="shared" si="0"/>
        <v>0</v>
      </c>
      <c r="T32" s="5"/>
      <c r="U32" s="182" t="str">
        <f t="shared" si="1"/>
        <v/>
      </c>
      <c r="V32" s="182" t="str">
        <f t="shared" si="2"/>
        <v/>
      </c>
      <c r="W32" s="5"/>
      <c r="X32" s="182" t="str">
        <f t="shared" si="3"/>
        <v/>
      </c>
      <c r="Y32" s="182" t="str">
        <f t="shared" si="4"/>
        <v/>
      </c>
      <c r="Z32" s="5"/>
      <c r="AA32" s="182" t="str">
        <f t="shared" si="5"/>
        <v/>
      </c>
      <c r="AB32" s="183" t="str">
        <f t="shared" si="6"/>
        <v/>
      </c>
      <c r="AC32" s="5"/>
      <c r="AD32" s="182" t="str">
        <f t="shared" si="7"/>
        <v/>
      </c>
      <c r="AE32" s="183" t="str">
        <f t="shared" si="8"/>
        <v/>
      </c>
      <c r="AF32" s="5"/>
      <c r="AG32" s="182" t="str">
        <f t="shared" si="9"/>
        <v/>
      </c>
      <c r="AH32" s="183" t="str">
        <f t="shared" si="10"/>
        <v/>
      </c>
      <c r="AI32" s="5"/>
      <c r="AJ32" s="183" t="str">
        <f t="shared" si="11"/>
        <v/>
      </c>
      <c r="AK32" s="183" t="str">
        <f t="shared" si="12"/>
        <v/>
      </c>
      <c r="AL32" s="5"/>
      <c r="AM32" s="183" t="str">
        <f t="shared" si="13"/>
        <v/>
      </c>
      <c r="AN32" s="183" t="str">
        <f t="shared" si="14"/>
        <v/>
      </c>
      <c r="AO32" s="184">
        <f t="shared" si="15"/>
        <v>0</v>
      </c>
      <c r="AP32" s="184">
        <f t="shared" si="16"/>
        <v>0</v>
      </c>
      <c r="AQ32" s="608" t="str">
        <f t="shared" si="17"/>
        <v/>
      </c>
      <c r="AR32" s="185" t="str">
        <f>IF(COUNTIF(K32:Q32,"F")&gt;0,"",IF(AQ32="PASS",'Statement of Marks'!HZ34,""))</f>
        <v/>
      </c>
      <c r="AS32" s="185" t="str">
        <f>IF(AQ32="PASS",'Statement of Marks'!IA34,"")</f>
        <v/>
      </c>
    </row>
    <row r="33" spans="1:45">
      <c r="A33" s="169">
        <f>IF('Statement of Marks'!A35="","",'Statement of Marks'!A35)</f>
        <v>29</v>
      </c>
      <c r="B33" s="169">
        <f>IF('Statement of Marks'!B35="","",'Statement of Marks'!B35)</f>
        <v>929</v>
      </c>
      <c r="C33" s="169" t="str">
        <f>IF('Statement of Marks'!D35="","",'Statement of Marks'!D35)</f>
        <v/>
      </c>
      <c r="D33" s="170" t="str">
        <f>IF('Statement of Marks'!E35="","",'Statement of Marks'!E35)</f>
        <v/>
      </c>
      <c r="E33" s="171" t="str">
        <f>IF('Statement of Marks'!F35="","",'Statement of Marks'!F35)</f>
        <v>DIPIKA</v>
      </c>
      <c r="F33" s="171" t="str">
        <f>IF('Statement of Marks'!G35="","",'Statement of Marks'!G35)</f>
        <v/>
      </c>
      <c r="G33" s="171" t="str">
        <f>IF('Statement of Marks'!H35="","",'Statement of Marks'!H35)</f>
        <v/>
      </c>
      <c r="H33" s="172" t="str">
        <f>IF('Statement of Marks'!HS35="","",'Statement of Marks'!HS35)</f>
        <v>PASS</v>
      </c>
      <c r="I33" s="172" t="str">
        <f>IF('Statement of Marks'!HV35="","",'Statement of Marks'!HV35)</f>
        <v>1st</v>
      </c>
      <c r="J33" s="173">
        <f>IF('Statement of Marks'!HU35="","",'Statement of Marks'!HU35)</f>
        <v>61.5</v>
      </c>
      <c r="K33" s="181" t="str">
        <f>'Statement of Marks'!GN35</f>
        <v>II</v>
      </c>
      <c r="L33" s="181" t="str">
        <f>'Statement of Marks'!GQ35</f>
        <v>D</v>
      </c>
      <c r="M33" s="181" t="str">
        <f>'Statement of Marks'!GT35</f>
        <v>II</v>
      </c>
      <c r="N33" s="181" t="str">
        <f>'Statement of Marks'!HB35</f>
        <v>II</v>
      </c>
      <c r="O33" s="181" t="str">
        <f>'Statement of Marks'!HE35</f>
        <v>II</v>
      </c>
      <c r="P33" s="181" t="str">
        <f>'Statement of Marks'!HH35</f>
        <v>II</v>
      </c>
      <c r="Q33" s="181" t="str">
        <f>'Statement of Marks'!HK35</f>
        <v/>
      </c>
      <c r="R33" s="173" t="str">
        <f>IF(COUNTIF(K33:Q33,"F")&gt;0,"",CONCATENATE('Statement of Marks'!HO35,'Statement of Marks'!HQ35))</f>
        <v xml:space="preserve">            </v>
      </c>
      <c r="S33" s="174">
        <f t="shared" si="0"/>
        <v>0</v>
      </c>
      <c r="T33" s="5"/>
      <c r="U33" s="182" t="str">
        <f t="shared" si="1"/>
        <v/>
      </c>
      <c r="V33" s="182" t="str">
        <f t="shared" si="2"/>
        <v/>
      </c>
      <c r="W33" s="5"/>
      <c r="X33" s="182" t="str">
        <f t="shared" si="3"/>
        <v/>
      </c>
      <c r="Y33" s="182" t="str">
        <f t="shared" si="4"/>
        <v/>
      </c>
      <c r="Z33" s="5"/>
      <c r="AA33" s="182" t="str">
        <f t="shared" si="5"/>
        <v/>
      </c>
      <c r="AB33" s="183" t="str">
        <f t="shared" si="6"/>
        <v/>
      </c>
      <c r="AC33" s="5"/>
      <c r="AD33" s="182" t="str">
        <f t="shared" si="7"/>
        <v/>
      </c>
      <c r="AE33" s="183" t="str">
        <f t="shared" si="8"/>
        <v/>
      </c>
      <c r="AF33" s="5"/>
      <c r="AG33" s="182" t="str">
        <f t="shared" si="9"/>
        <v/>
      </c>
      <c r="AH33" s="183" t="str">
        <f t="shared" si="10"/>
        <v/>
      </c>
      <c r="AI33" s="5"/>
      <c r="AJ33" s="183" t="str">
        <f t="shared" si="11"/>
        <v/>
      </c>
      <c r="AK33" s="183" t="str">
        <f t="shared" si="12"/>
        <v/>
      </c>
      <c r="AL33" s="5"/>
      <c r="AM33" s="183" t="str">
        <f t="shared" si="13"/>
        <v/>
      </c>
      <c r="AN33" s="183" t="str">
        <f t="shared" si="14"/>
        <v/>
      </c>
      <c r="AO33" s="184">
        <f t="shared" si="15"/>
        <v>0</v>
      </c>
      <c r="AP33" s="184">
        <f t="shared" si="16"/>
        <v>0</v>
      </c>
      <c r="AQ33" s="608" t="str">
        <f t="shared" si="17"/>
        <v/>
      </c>
      <c r="AR33" s="185" t="str">
        <f>IF(COUNTIF(K33:Q33,"F")&gt;0,"",IF(AQ33="PASS",'Statement of Marks'!HZ35,""))</f>
        <v/>
      </c>
      <c r="AS33" s="185" t="str">
        <f>IF(AQ33="PASS",'Statement of Marks'!IA35,"")</f>
        <v/>
      </c>
    </row>
    <row r="34" spans="1:45">
      <c r="A34" s="169">
        <f>IF('Statement of Marks'!A36="","",'Statement of Marks'!A36)</f>
        <v>30</v>
      </c>
      <c r="B34" s="169">
        <f>IF('Statement of Marks'!B36="","",'Statement of Marks'!B36)</f>
        <v>930</v>
      </c>
      <c r="C34" s="169" t="str">
        <f>IF('Statement of Marks'!D36="","",'Statement of Marks'!D36)</f>
        <v/>
      </c>
      <c r="D34" s="170" t="str">
        <f>IF('Statement of Marks'!E36="","",'Statement of Marks'!E36)</f>
        <v/>
      </c>
      <c r="E34" s="171" t="str">
        <f>IF('Statement of Marks'!F36="","",'Statement of Marks'!F36)</f>
        <v>DEVENDRA</v>
      </c>
      <c r="F34" s="171" t="str">
        <f>IF('Statement of Marks'!G36="","",'Statement of Marks'!G36)</f>
        <v/>
      </c>
      <c r="G34" s="171" t="str">
        <f>IF('Statement of Marks'!H36="","",'Statement of Marks'!H36)</f>
        <v/>
      </c>
      <c r="H34" s="172" t="str">
        <f>IF('Statement of Marks'!HS36="","",'Statement of Marks'!HS36)</f>
        <v>PASS</v>
      </c>
      <c r="I34" s="172" t="str">
        <f>IF('Statement of Marks'!HV36="","",'Statement of Marks'!HV36)</f>
        <v>1st</v>
      </c>
      <c r="J34" s="173">
        <f>IF('Statement of Marks'!HU36="","",'Statement of Marks'!HU36)</f>
        <v>61.5</v>
      </c>
      <c r="K34" s="181" t="str">
        <f>'Statement of Marks'!GN36</f>
        <v>II</v>
      </c>
      <c r="L34" s="181" t="str">
        <f>'Statement of Marks'!GQ36</f>
        <v>D</v>
      </c>
      <c r="M34" s="181" t="str">
        <f>'Statement of Marks'!GT36</f>
        <v>II</v>
      </c>
      <c r="N34" s="181" t="str">
        <f>'Statement of Marks'!HB36</f>
        <v>II</v>
      </c>
      <c r="O34" s="181" t="str">
        <f>'Statement of Marks'!HE36</f>
        <v>II</v>
      </c>
      <c r="P34" s="181" t="str">
        <f>'Statement of Marks'!HH36</f>
        <v>II</v>
      </c>
      <c r="Q34" s="181" t="str">
        <f>'Statement of Marks'!HK36</f>
        <v/>
      </c>
      <c r="R34" s="173" t="str">
        <f>IF(COUNTIF(K34:Q34,"F")&gt;0,"",CONCATENATE('Statement of Marks'!HO36,'Statement of Marks'!HQ36))</f>
        <v xml:space="preserve">            </v>
      </c>
      <c r="S34" s="174">
        <f t="shared" si="0"/>
        <v>0</v>
      </c>
      <c r="T34" s="5"/>
      <c r="U34" s="182" t="str">
        <f t="shared" si="1"/>
        <v/>
      </c>
      <c r="V34" s="182" t="str">
        <f t="shared" si="2"/>
        <v/>
      </c>
      <c r="W34" s="5"/>
      <c r="X34" s="182" t="str">
        <f t="shared" si="3"/>
        <v/>
      </c>
      <c r="Y34" s="182" t="str">
        <f t="shared" si="4"/>
        <v/>
      </c>
      <c r="Z34" s="5"/>
      <c r="AA34" s="182" t="str">
        <f t="shared" si="5"/>
        <v/>
      </c>
      <c r="AB34" s="183" t="str">
        <f t="shared" si="6"/>
        <v/>
      </c>
      <c r="AC34" s="5"/>
      <c r="AD34" s="182" t="str">
        <f t="shared" si="7"/>
        <v/>
      </c>
      <c r="AE34" s="183" t="str">
        <f t="shared" si="8"/>
        <v/>
      </c>
      <c r="AF34" s="5"/>
      <c r="AG34" s="182" t="str">
        <f t="shared" si="9"/>
        <v/>
      </c>
      <c r="AH34" s="183" t="str">
        <f t="shared" si="10"/>
        <v/>
      </c>
      <c r="AI34" s="5"/>
      <c r="AJ34" s="183" t="str">
        <f t="shared" si="11"/>
        <v/>
      </c>
      <c r="AK34" s="183" t="str">
        <f t="shared" si="12"/>
        <v/>
      </c>
      <c r="AL34" s="5"/>
      <c r="AM34" s="183" t="str">
        <f t="shared" si="13"/>
        <v/>
      </c>
      <c r="AN34" s="183" t="str">
        <f t="shared" si="14"/>
        <v/>
      </c>
      <c r="AO34" s="184">
        <f t="shared" si="15"/>
        <v>0</v>
      </c>
      <c r="AP34" s="184">
        <f t="shared" si="16"/>
        <v>0</v>
      </c>
      <c r="AQ34" s="608" t="str">
        <f t="shared" si="17"/>
        <v/>
      </c>
      <c r="AR34" s="185" t="str">
        <f>IF(COUNTIF(K34:Q34,"F")&gt;0,"",IF(AQ34="PASS",'Statement of Marks'!HZ36,""))</f>
        <v/>
      </c>
      <c r="AS34" s="185" t="str">
        <f>IF(AQ34="PASS",'Statement of Marks'!IA36,"")</f>
        <v/>
      </c>
    </row>
    <row r="35" spans="1:45">
      <c r="A35" s="169">
        <f>IF('Statement of Marks'!A37="","",'Statement of Marks'!A37)</f>
        <v>31</v>
      </c>
      <c r="B35" s="169">
        <f>IF('Statement of Marks'!B37="","",'Statement of Marks'!B37)</f>
        <v>931</v>
      </c>
      <c r="C35" s="169" t="str">
        <f>IF('Statement of Marks'!D37="","",'Statement of Marks'!D37)</f>
        <v/>
      </c>
      <c r="D35" s="170" t="str">
        <f>IF('Statement of Marks'!E37="","",'Statement of Marks'!E37)</f>
        <v/>
      </c>
      <c r="E35" s="171" t="str">
        <f>IF('Statement of Marks'!F37="","",'Statement of Marks'!F37)</f>
        <v>RAVINDRA</v>
      </c>
      <c r="F35" s="171" t="str">
        <f>IF('Statement of Marks'!G37="","",'Statement of Marks'!G37)</f>
        <v/>
      </c>
      <c r="G35" s="171" t="str">
        <f>IF('Statement of Marks'!H37="","",'Statement of Marks'!H37)</f>
        <v/>
      </c>
      <c r="H35" s="172" t="str">
        <f>IF('Statement of Marks'!HS37="","",'Statement of Marks'!HS37)</f>
        <v>PASS</v>
      </c>
      <c r="I35" s="172" t="str">
        <f>IF('Statement of Marks'!HV37="","",'Statement of Marks'!HV37)</f>
        <v>1st</v>
      </c>
      <c r="J35" s="173">
        <f>IF('Statement of Marks'!HU37="","",'Statement of Marks'!HU37)</f>
        <v>61.583333333333336</v>
      </c>
      <c r="K35" s="181" t="str">
        <f>'Statement of Marks'!GN37</f>
        <v>II</v>
      </c>
      <c r="L35" s="181" t="str">
        <f>'Statement of Marks'!GQ37</f>
        <v>D</v>
      </c>
      <c r="M35" s="181" t="str">
        <f>'Statement of Marks'!GT37</f>
        <v>II</v>
      </c>
      <c r="N35" s="181" t="str">
        <f>'Statement of Marks'!HB37</f>
        <v>II</v>
      </c>
      <c r="O35" s="181" t="str">
        <f>'Statement of Marks'!HE37</f>
        <v>II</v>
      </c>
      <c r="P35" s="181" t="str">
        <f>'Statement of Marks'!HH37</f>
        <v>II</v>
      </c>
      <c r="Q35" s="181" t="str">
        <f>'Statement of Marks'!HK37</f>
        <v/>
      </c>
      <c r="R35" s="173" t="str">
        <f>IF(COUNTIF(K35:Q35,"F")&gt;0,"",CONCATENATE('Statement of Marks'!HO37,'Statement of Marks'!HQ37))</f>
        <v xml:space="preserve">            </v>
      </c>
      <c r="S35" s="174">
        <f t="shared" si="0"/>
        <v>0</v>
      </c>
      <c r="T35" s="5"/>
      <c r="U35" s="182" t="str">
        <f t="shared" si="1"/>
        <v/>
      </c>
      <c r="V35" s="182" t="str">
        <f t="shared" si="2"/>
        <v/>
      </c>
      <c r="W35" s="5"/>
      <c r="X35" s="182" t="str">
        <f t="shared" si="3"/>
        <v/>
      </c>
      <c r="Y35" s="182" t="str">
        <f t="shared" si="4"/>
        <v/>
      </c>
      <c r="Z35" s="5"/>
      <c r="AA35" s="182" t="str">
        <f t="shared" si="5"/>
        <v/>
      </c>
      <c r="AB35" s="183" t="str">
        <f t="shared" si="6"/>
        <v/>
      </c>
      <c r="AC35" s="5"/>
      <c r="AD35" s="182" t="str">
        <f t="shared" si="7"/>
        <v/>
      </c>
      <c r="AE35" s="183" t="str">
        <f t="shared" si="8"/>
        <v/>
      </c>
      <c r="AF35" s="5"/>
      <c r="AG35" s="182" t="str">
        <f t="shared" si="9"/>
        <v/>
      </c>
      <c r="AH35" s="183" t="str">
        <f t="shared" si="10"/>
        <v/>
      </c>
      <c r="AI35" s="5"/>
      <c r="AJ35" s="183" t="str">
        <f t="shared" si="11"/>
        <v/>
      </c>
      <c r="AK35" s="183" t="str">
        <f t="shared" si="12"/>
        <v/>
      </c>
      <c r="AL35" s="5"/>
      <c r="AM35" s="183" t="str">
        <f t="shared" si="13"/>
        <v/>
      </c>
      <c r="AN35" s="183" t="str">
        <f t="shared" si="14"/>
        <v/>
      </c>
      <c r="AO35" s="184">
        <f t="shared" si="15"/>
        <v>0</v>
      </c>
      <c r="AP35" s="184">
        <f t="shared" si="16"/>
        <v>0</v>
      </c>
      <c r="AQ35" s="608" t="str">
        <f t="shared" si="17"/>
        <v/>
      </c>
      <c r="AR35" s="185" t="str">
        <f>IF(COUNTIF(K35:Q35,"F")&gt;0,"",IF(AQ35="PASS",'Statement of Marks'!HZ37,""))</f>
        <v/>
      </c>
      <c r="AS35" s="185" t="str">
        <f>IF(AQ35="PASS",'Statement of Marks'!IA37,"")</f>
        <v/>
      </c>
    </row>
    <row r="36" spans="1:45">
      <c r="A36" s="169">
        <f>IF('Statement of Marks'!A38="","",'Statement of Marks'!A38)</f>
        <v>32</v>
      </c>
      <c r="B36" s="169" t="str">
        <f>IF('Statement of Marks'!B38="","",'Statement of Marks'!B38)</f>
        <v/>
      </c>
      <c r="C36" s="169" t="str">
        <f>IF('Statement of Marks'!D38="","",'Statement of Marks'!D38)</f>
        <v/>
      </c>
      <c r="D36" s="170" t="str">
        <f>IF('Statement of Marks'!E38="","",'Statement of Marks'!E38)</f>
        <v/>
      </c>
      <c r="E36" s="171" t="str">
        <f>IF('Statement of Marks'!F38="","",'Statement of Marks'!F38)</f>
        <v/>
      </c>
      <c r="F36" s="171" t="str">
        <f>IF('Statement of Marks'!G38="","",'Statement of Marks'!G38)</f>
        <v/>
      </c>
      <c r="G36" s="171" t="str">
        <f>IF('Statement of Marks'!H38="","",'Statement of Marks'!H38)</f>
        <v/>
      </c>
      <c r="H36" s="172" t="str">
        <f>IF('Statement of Marks'!HS38="","",'Statement of Marks'!HS38)</f>
        <v/>
      </c>
      <c r="I36" s="172" t="str">
        <f>IF('Statement of Marks'!HV38="","",'Statement of Marks'!HV38)</f>
        <v/>
      </c>
      <c r="J36" s="173" t="str">
        <f>IF('Statement of Marks'!HU38="","",'Statement of Marks'!HU38)</f>
        <v/>
      </c>
      <c r="K36" s="181" t="str">
        <f>'Statement of Marks'!GN38</f>
        <v/>
      </c>
      <c r="L36" s="181" t="str">
        <f>'Statement of Marks'!GQ38</f>
        <v/>
      </c>
      <c r="M36" s="181" t="str">
        <f>'Statement of Marks'!GT38</f>
        <v/>
      </c>
      <c r="N36" s="181" t="str">
        <f>'Statement of Marks'!HB38</f>
        <v/>
      </c>
      <c r="O36" s="181" t="str">
        <f>'Statement of Marks'!HE38</f>
        <v/>
      </c>
      <c r="P36" s="181" t="str">
        <f>'Statement of Marks'!HH38</f>
        <v/>
      </c>
      <c r="Q36" s="181" t="str">
        <f>'Statement of Marks'!HK38</f>
        <v/>
      </c>
      <c r="R36" s="173" t="str">
        <f>IF(COUNTIF(K36:Q36,"F")&gt;0,"",CONCATENATE('Statement of Marks'!HO38,'Statement of Marks'!HQ38))</f>
        <v xml:space="preserve">            </v>
      </c>
      <c r="S36" s="174">
        <f t="shared" si="0"/>
        <v>0</v>
      </c>
      <c r="T36" s="5"/>
      <c r="U36" s="182" t="str">
        <f t="shared" si="1"/>
        <v/>
      </c>
      <c r="V36" s="182" t="str">
        <f t="shared" si="2"/>
        <v/>
      </c>
      <c r="W36" s="5"/>
      <c r="X36" s="182" t="str">
        <f t="shared" si="3"/>
        <v/>
      </c>
      <c r="Y36" s="182" t="str">
        <f t="shared" si="4"/>
        <v/>
      </c>
      <c r="Z36" s="5"/>
      <c r="AA36" s="182" t="str">
        <f t="shared" si="5"/>
        <v/>
      </c>
      <c r="AB36" s="183" t="str">
        <f t="shared" si="6"/>
        <v/>
      </c>
      <c r="AC36" s="5"/>
      <c r="AD36" s="182" t="str">
        <f t="shared" si="7"/>
        <v/>
      </c>
      <c r="AE36" s="183" t="str">
        <f t="shared" si="8"/>
        <v/>
      </c>
      <c r="AF36" s="5"/>
      <c r="AG36" s="182" t="str">
        <f t="shared" si="9"/>
        <v/>
      </c>
      <c r="AH36" s="183" t="str">
        <f t="shared" si="10"/>
        <v/>
      </c>
      <c r="AI36" s="5"/>
      <c r="AJ36" s="183" t="str">
        <f t="shared" si="11"/>
        <v/>
      </c>
      <c r="AK36" s="183" t="str">
        <f t="shared" si="12"/>
        <v/>
      </c>
      <c r="AL36" s="5"/>
      <c r="AM36" s="183" t="str">
        <f t="shared" si="13"/>
        <v/>
      </c>
      <c r="AN36" s="183" t="str">
        <f t="shared" si="14"/>
        <v/>
      </c>
      <c r="AO36" s="184">
        <f t="shared" si="15"/>
        <v>0</v>
      </c>
      <c r="AP36" s="184">
        <f t="shared" si="16"/>
        <v>0</v>
      </c>
      <c r="AQ36" s="608" t="str">
        <f t="shared" si="17"/>
        <v/>
      </c>
      <c r="AR36" s="185" t="str">
        <f>IF(COUNTIF(K36:Q36,"F")&gt;0,"",IF(AQ36="PASS",'Statement of Marks'!HZ38,""))</f>
        <v/>
      </c>
      <c r="AS36" s="185" t="str">
        <f>IF(AQ36="PASS",'Statement of Marks'!IA38,"")</f>
        <v/>
      </c>
    </row>
    <row r="37" spans="1:45">
      <c r="A37" s="169">
        <f>IF('Statement of Marks'!A39="","",'Statement of Marks'!A39)</f>
        <v>33</v>
      </c>
      <c r="B37" s="169" t="str">
        <f>IF('Statement of Marks'!B39="","",'Statement of Marks'!B39)</f>
        <v/>
      </c>
      <c r="C37" s="169" t="str">
        <f>IF('Statement of Marks'!D39="","",'Statement of Marks'!D39)</f>
        <v/>
      </c>
      <c r="D37" s="170" t="str">
        <f>IF('Statement of Marks'!E39="","",'Statement of Marks'!E39)</f>
        <v/>
      </c>
      <c r="E37" s="171" t="str">
        <f>IF('Statement of Marks'!F39="","",'Statement of Marks'!F39)</f>
        <v/>
      </c>
      <c r="F37" s="171" t="str">
        <f>IF('Statement of Marks'!G39="","",'Statement of Marks'!G39)</f>
        <v/>
      </c>
      <c r="G37" s="171" t="str">
        <f>IF('Statement of Marks'!H39="","",'Statement of Marks'!H39)</f>
        <v/>
      </c>
      <c r="H37" s="172" t="str">
        <f>IF('Statement of Marks'!HS39="","",'Statement of Marks'!HS39)</f>
        <v/>
      </c>
      <c r="I37" s="172" t="str">
        <f>IF('Statement of Marks'!HV39="","",'Statement of Marks'!HV39)</f>
        <v/>
      </c>
      <c r="J37" s="173" t="str">
        <f>IF('Statement of Marks'!HU39="","",'Statement of Marks'!HU39)</f>
        <v/>
      </c>
      <c r="K37" s="181" t="str">
        <f>'Statement of Marks'!GN39</f>
        <v/>
      </c>
      <c r="L37" s="181" t="str">
        <f>'Statement of Marks'!GQ39</f>
        <v/>
      </c>
      <c r="M37" s="181" t="str">
        <f>'Statement of Marks'!GT39</f>
        <v/>
      </c>
      <c r="N37" s="181" t="str">
        <f>'Statement of Marks'!HB39</f>
        <v/>
      </c>
      <c r="O37" s="181" t="str">
        <f>'Statement of Marks'!HE39</f>
        <v/>
      </c>
      <c r="P37" s="181" t="str">
        <f>'Statement of Marks'!HH39</f>
        <v/>
      </c>
      <c r="Q37" s="181" t="str">
        <f>'Statement of Marks'!HK39</f>
        <v/>
      </c>
      <c r="R37" s="173" t="str">
        <f>IF(COUNTIF(K37:Q37,"F")&gt;0,"",CONCATENATE('Statement of Marks'!HO39,'Statement of Marks'!HQ39))</f>
        <v xml:space="preserve">            </v>
      </c>
      <c r="S37" s="174">
        <f t="shared" si="0"/>
        <v>0</v>
      </c>
      <c r="T37" s="5"/>
      <c r="U37" s="182" t="str">
        <f t="shared" si="1"/>
        <v/>
      </c>
      <c r="V37" s="182" t="str">
        <f t="shared" si="2"/>
        <v/>
      </c>
      <c r="W37" s="5"/>
      <c r="X37" s="182" t="str">
        <f t="shared" si="3"/>
        <v/>
      </c>
      <c r="Y37" s="182" t="str">
        <f t="shared" si="4"/>
        <v/>
      </c>
      <c r="Z37" s="5"/>
      <c r="AA37" s="182" t="str">
        <f t="shared" si="5"/>
        <v/>
      </c>
      <c r="AB37" s="183" t="str">
        <f t="shared" si="6"/>
        <v/>
      </c>
      <c r="AC37" s="5"/>
      <c r="AD37" s="182" t="str">
        <f t="shared" si="7"/>
        <v/>
      </c>
      <c r="AE37" s="183" t="str">
        <f t="shared" si="8"/>
        <v/>
      </c>
      <c r="AF37" s="5"/>
      <c r="AG37" s="182" t="str">
        <f t="shared" si="9"/>
        <v/>
      </c>
      <c r="AH37" s="183" t="str">
        <f t="shared" si="10"/>
        <v/>
      </c>
      <c r="AI37" s="5"/>
      <c r="AJ37" s="183" t="str">
        <f t="shared" si="11"/>
        <v/>
      </c>
      <c r="AK37" s="183" t="str">
        <f t="shared" si="12"/>
        <v/>
      </c>
      <c r="AL37" s="5"/>
      <c r="AM37" s="183" t="str">
        <f t="shared" si="13"/>
        <v/>
      </c>
      <c r="AN37" s="183" t="str">
        <f t="shared" si="14"/>
        <v/>
      </c>
      <c r="AO37" s="184">
        <f t="shared" si="15"/>
        <v>0</v>
      </c>
      <c r="AP37" s="184">
        <f t="shared" si="16"/>
        <v>0</v>
      </c>
      <c r="AQ37" s="608" t="str">
        <f t="shared" si="17"/>
        <v/>
      </c>
      <c r="AR37" s="185" t="str">
        <f>IF(COUNTIF(K37:Q37,"F")&gt;0,"",IF(AQ37="PASS",'Statement of Marks'!HZ39,""))</f>
        <v/>
      </c>
      <c r="AS37" s="185" t="str">
        <f>IF(AQ37="PASS",'Statement of Marks'!IA39,"")</f>
        <v/>
      </c>
    </row>
    <row r="38" spans="1:45">
      <c r="A38" s="169">
        <f>IF('Statement of Marks'!A40="","",'Statement of Marks'!A40)</f>
        <v>34</v>
      </c>
      <c r="B38" s="169" t="str">
        <f>IF('Statement of Marks'!B40="","",'Statement of Marks'!B40)</f>
        <v/>
      </c>
      <c r="C38" s="169" t="str">
        <f>IF('Statement of Marks'!D40="","",'Statement of Marks'!D40)</f>
        <v/>
      </c>
      <c r="D38" s="170" t="str">
        <f>IF('Statement of Marks'!E40="","",'Statement of Marks'!E40)</f>
        <v/>
      </c>
      <c r="E38" s="171" t="str">
        <f>IF('Statement of Marks'!F40="","",'Statement of Marks'!F40)</f>
        <v/>
      </c>
      <c r="F38" s="171" t="str">
        <f>IF('Statement of Marks'!G40="","",'Statement of Marks'!G40)</f>
        <v/>
      </c>
      <c r="G38" s="171" t="str">
        <f>IF('Statement of Marks'!H40="","",'Statement of Marks'!H40)</f>
        <v/>
      </c>
      <c r="H38" s="172" t="str">
        <f>IF('Statement of Marks'!HS40="","",'Statement of Marks'!HS40)</f>
        <v/>
      </c>
      <c r="I38" s="172" t="str">
        <f>IF('Statement of Marks'!HV40="","",'Statement of Marks'!HV40)</f>
        <v/>
      </c>
      <c r="J38" s="173" t="str">
        <f>IF('Statement of Marks'!HU40="","",'Statement of Marks'!HU40)</f>
        <v/>
      </c>
      <c r="K38" s="181" t="str">
        <f>'Statement of Marks'!GN40</f>
        <v/>
      </c>
      <c r="L38" s="181" t="str">
        <f>'Statement of Marks'!GQ40</f>
        <v/>
      </c>
      <c r="M38" s="181" t="str">
        <f>'Statement of Marks'!GT40</f>
        <v/>
      </c>
      <c r="N38" s="181" t="str">
        <f>'Statement of Marks'!HB40</f>
        <v/>
      </c>
      <c r="O38" s="181" t="str">
        <f>'Statement of Marks'!HE40</f>
        <v/>
      </c>
      <c r="P38" s="181" t="str">
        <f>'Statement of Marks'!HH40</f>
        <v/>
      </c>
      <c r="Q38" s="181" t="str">
        <f>'Statement of Marks'!HK40</f>
        <v/>
      </c>
      <c r="R38" s="173" t="str">
        <f>IF(COUNTIF(K38:Q38,"F")&gt;0,"",CONCATENATE('Statement of Marks'!HO40,'Statement of Marks'!HQ40))</f>
        <v xml:space="preserve">            </v>
      </c>
      <c r="S38" s="174">
        <f t="shared" si="0"/>
        <v>0</v>
      </c>
      <c r="T38" s="5"/>
      <c r="U38" s="182" t="str">
        <f t="shared" si="1"/>
        <v/>
      </c>
      <c r="V38" s="182" t="str">
        <f t="shared" si="2"/>
        <v/>
      </c>
      <c r="W38" s="5"/>
      <c r="X38" s="182" t="str">
        <f t="shared" si="3"/>
        <v/>
      </c>
      <c r="Y38" s="182" t="str">
        <f t="shared" si="4"/>
        <v/>
      </c>
      <c r="Z38" s="5"/>
      <c r="AA38" s="182" t="str">
        <f t="shared" si="5"/>
        <v/>
      </c>
      <c r="AB38" s="183" t="str">
        <f t="shared" si="6"/>
        <v/>
      </c>
      <c r="AC38" s="5"/>
      <c r="AD38" s="182" t="str">
        <f t="shared" si="7"/>
        <v/>
      </c>
      <c r="AE38" s="183" t="str">
        <f t="shared" si="8"/>
        <v/>
      </c>
      <c r="AF38" s="5"/>
      <c r="AG38" s="182" t="str">
        <f t="shared" si="9"/>
        <v/>
      </c>
      <c r="AH38" s="183" t="str">
        <f t="shared" si="10"/>
        <v/>
      </c>
      <c r="AI38" s="5"/>
      <c r="AJ38" s="183" t="str">
        <f t="shared" si="11"/>
        <v/>
      </c>
      <c r="AK38" s="183" t="str">
        <f t="shared" si="12"/>
        <v/>
      </c>
      <c r="AL38" s="5"/>
      <c r="AM38" s="183" t="str">
        <f t="shared" si="13"/>
        <v/>
      </c>
      <c r="AN38" s="183" t="str">
        <f t="shared" si="14"/>
        <v/>
      </c>
      <c r="AO38" s="184">
        <f t="shared" si="15"/>
        <v>0</v>
      </c>
      <c r="AP38" s="184">
        <f t="shared" si="16"/>
        <v>0</v>
      </c>
      <c r="AQ38" s="608" t="str">
        <f t="shared" si="17"/>
        <v/>
      </c>
      <c r="AR38" s="185" t="str">
        <f>IF(COUNTIF(K38:Q38,"F")&gt;0,"",IF(AQ38="PASS",'Statement of Marks'!HZ40,""))</f>
        <v/>
      </c>
      <c r="AS38" s="185" t="str">
        <f>IF(AQ38="PASS",'Statement of Marks'!IA40,"")</f>
        <v/>
      </c>
    </row>
    <row r="39" spans="1:45">
      <c r="A39" s="169">
        <f>IF('Statement of Marks'!A41="","",'Statement of Marks'!A41)</f>
        <v>35</v>
      </c>
      <c r="B39" s="169" t="str">
        <f>IF('Statement of Marks'!B41="","",'Statement of Marks'!B41)</f>
        <v/>
      </c>
      <c r="C39" s="169" t="str">
        <f>IF('Statement of Marks'!D41="","",'Statement of Marks'!D41)</f>
        <v/>
      </c>
      <c r="D39" s="170" t="str">
        <f>IF('Statement of Marks'!E41="","",'Statement of Marks'!E41)</f>
        <v/>
      </c>
      <c r="E39" s="171" t="str">
        <f>IF('Statement of Marks'!F41="","",'Statement of Marks'!F41)</f>
        <v/>
      </c>
      <c r="F39" s="171" t="str">
        <f>IF('Statement of Marks'!G41="","",'Statement of Marks'!G41)</f>
        <v/>
      </c>
      <c r="G39" s="171" t="str">
        <f>IF('Statement of Marks'!H41="","",'Statement of Marks'!H41)</f>
        <v/>
      </c>
      <c r="H39" s="172" t="str">
        <f>IF('Statement of Marks'!HS41="","",'Statement of Marks'!HS41)</f>
        <v/>
      </c>
      <c r="I39" s="172" t="str">
        <f>IF('Statement of Marks'!HV41="","",'Statement of Marks'!HV41)</f>
        <v/>
      </c>
      <c r="J39" s="173" t="str">
        <f>IF('Statement of Marks'!HU41="","",'Statement of Marks'!HU41)</f>
        <v/>
      </c>
      <c r="K39" s="181" t="str">
        <f>'Statement of Marks'!GN41</f>
        <v/>
      </c>
      <c r="L39" s="181" t="str">
        <f>'Statement of Marks'!GQ41</f>
        <v/>
      </c>
      <c r="M39" s="181" t="str">
        <f>'Statement of Marks'!GT41</f>
        <v/>
      </c>
      <c r="N39" s="181" t="str">
        <f>'Statement of Marks'!HB41</f>
        <v/>
      </c>
      <c r="O39" s="181" t="str">
        <f>'Statement of Marks'!HE41</f>
        <v/>
      </c>
      <c r="P39" s="181" t="str">
        <f>'Statement of Marks'!HH41</f>
        <v/>
      </c>
      <c r="Q39" s="181" t="str">
        <f>'Statement of Marks'!HK41</f>
        <v/>
      </c>
      <c r="R39" s="173" t="str">
        <f>IF(COUNTIF(K39:Q39,"F")&gt;0,"",CONCATENATE('Statement of Marks'!HO41,'Statement of Marks'!HQ41))</f>
        <v xml:space="preserve">            </v>
      </c>
      <c r="S39" s="174">
        <f t="shared" si="0"/>
        <v>0</v>
      </c>
      <c r="T39" s="5"/>
      <c r="U39" s="182" t="str">
        <f t="shared" si="1"/>
        <v/>
      </c>
      <c r="V39" s="182" t="str">
        <f t="shared" si="2"/>
        <v/>
      </c>
      <c r="W39" s="5"/>
      <c r="X39" s="182" t="str">
        <f t="shared" si="3"/>
        <v/>
      </c>
      <c r="Y39" s="182" t="str">
        <f t="shared" si="4"/>
        <v/>
      </c>
      <c r="Z39" s="5"/>
      <c r="AA39" s="182" t="str">
        <f t="shared" si="5"/>
        <v/>
      </c>
      <c r="AB39" s="183" t="str">
        <f t="shared" si="6"/>
        <v/>
      </c>
      <c r="AC39" s="5"/>
      <c r="AD39" s="182" t="str">
        <f t="shared" si="7"/>
        <v/>
      </c>
      <c r="AE39" s="183" t="str">
        <f t="shared" si="8"/>
        <v/>
      </c>
      <c r="AF39" s="5"/>
      <c r="AG39" s="182" t="str">
        <f t="shared" si="9"/>
        <v/>
      </c>
      <c r="AH39" s="183" t="str">
        <f t="shared" si="10"/>
        <v/>
      </c>
      <c r="AI39" s="5"/>
      <c r="AJ39" s="183" t="str">
        <f t="shared" si="11"/>
        <v/>
      </c>
      <c r="AK39" s="183" t="str">
        <f t="shared" si="12"/>
        <v/>
      </c>
      <c r="AL39" s="5"/>
      <c r="AM39" s="183" t="str">
        <f t="shared" si="13"/>
        <v/>
      </c>
      <c r="AN39" s="183" t="str">
        <f t="shared" si="14"/>
        <v/>
      </c>
      <c r="AO39" s="184">
        <f t="shared" si="15"/>
        <v>0</v>
      </c>
      <c r="AP39" s="184">
        <f t="shared" si="16"/>
        <v>0</v>
      </c>
      <c r="AQ39" s="608" t="str">
        <f t="shared" si="17"/>
        <v/>
      </c>
      <c r="AR39" s="185" t="str">
        <f>IF(COUNTIF(K39:Q39,"F")&gt;0,"",IF(AQ39="PASS",'Statement of Marks'!HZ41,""))</f>
        <v/>
      </c>
      <c r="AS39" s="185" t="str">
        <f>IF(AQ39="PASS",'Statement of Marks'!IA41,"")</f>
        <v/>
      </c>
    </row>
    <row r="40" spans="1:45">
      <c r="A40" s="169">
        <f>IF('Statement of Marks'!A42="","",'Statement of Marks'!A42)</f>
        <v>36</v>
      </c>
      <c r="B40" s="169" t="str">
        <f>IF('Statement of Marks'!B42="","",'Statement of Marks'!B42)</f>
        <v/>
      </c>
      <c r="C40" s="169" t="str">
        <f>IF('Statement of Marks'!D42="","",'Statement of Marks'!D42)</f>
        <v/>
      </c>
      <c r="D40" s="170" t="str">
        <f>IF('Statement of Marks'!E42="","",'Statement of Marks'!E42)</f>
        <v/>
      </c>
      <c r="E40" s="171" t="str">
        <f>IF('Statement of Marks'!F42="","",'Statement of Marks'!F42)</f>
        <v/>
      </c>
      <c r="F40" s="171" t="str">
        <f>IF('Statement of Marks'!G42="","",'Statement of Marks'!G42)</f>
        <v/>
      </c>
      <c r="G40" s="171" t="str">
        <f>IF('Statement of Marks'!H42="","",'Statement of Marks'!H42)</f>
        <v/>
      </c>
      <c r="H40" s="172" t="str">
        <f>IF('Statement of Marks'!HS42="","",'Statement of Marks'!HS42)</f>
        <v/>
      </c>
      <c r="I40" s="172" t="str">
        <f>IF('Statement of Marks'!HV42="","",'Statement of Marks'!HV42)</f>
        <v/>
      </c>
      <c r="J40" s="173" t="str">
        <f>IF('Statement of Marks'!HU42="","",'Statement of Marks'!HU42)</f>
        <v/>
      </c>
      <c r="K40" s="181" t="str">
        <f>'Statement of Marks'!GN42</f>
        <v/>
      </c>
      <c r="L40" s="181" t="str">
        <f>'Statement of Marks'!GQ42</f>
        <v/>
      </c>
      <c r="M40" s="181" t="str">
        <f>'Statement of Marks'!GT42</f>
        <v/>
      </c>
      <c r="N40" s="181" t="str">
        <f>'Statement of Marks'!HB42</f>
        <v/>
      </c>
      <c r="O40" s="181" t="str">
        <f>'Statement of Marks'!HE42</f>
        <v/>
      </c>
      <c r="P40" s="181" t="str">
        <f>'Statement of Marks'!HH42</f>
        <v/>
      </c>
      <c r="Q40" s="181" t="str">
        <f>'Statement of Marks'!HK42</f>
        <v/>
      </c>
      <c r="R40" s="173" t="str">
        <f>IF(COUNTIF(K40:Q40,"F")&gt;0,"",CONCATENATE('Statement of Marks'!HO42,'Statement of Marks'!HQ42))</f>
        <v xml:space="preserve">            </v>
      </c>
      <c r="S40" s="174">
        <f t="shared" si="0"/>
        <v>0</v>
      </c>
      <c r="T40" s="5"/>
      <c r="U40" s="182" t="str">
        <f t="shared" si="1"/>
        <v/>
      </c>
      <c r="V40" s="182" t="str">
        <f t="shared" si="2"/>
        <v/>
      </c>
      <c r="W40" s="5"/>
      <c r="X40" s="182" t="str">
        <f t="shared" si="3"/>
        <v/>
      </c>
      <c r="Y40" s="182" t="str">
        <f t="shared" si="4"/>
        <v/>
      </c>
      <c r="Z40" s="5"/>
      <c r="AA40" s="182" t="str">
        <f t="shared" si="5"/>
        <v/>
      </c>
      <c r="AB40" s="183" t="str">
        <f t="shared" si="6"/>
        <v/>
      </c>
      <c r="AC40" s="5"/>
      <c r="AD40" s="182" t="str">
        <f t="shared" si="7"/>
        <v/>
      </c>
      <c r="AE40" s="183" t="str">
        <f t="shared" si="8"/>
        <v/>
      </c>
      <c r="AF40" s="5"/>
      <c r="AG40" s="182" t="str">
        <f t="shared" si="9"/>
        <v/>
      </c>
      <c r="AH40" s="183" t="str">
        <f t="shared" si="10"/>
        <v/>
      </c>
      <c r="AI40" s="5"/>
      <c r="AJ40" s="183" t="str">
        <f t="shared" si="11"/>
        <v/>
      </c>
      <c r="AK40" s="183" t="str">
        <f t="shared" si="12"/>
        <v/>
      </c>
      <c r="AL40" s="5"/>
      <c r="AM40" s="183" t="str">
        <f t="shared" si="13"/>
        <v/>
      </c>
      <c r="AN40" s="183" t="str">
        <f t="shared" si="14"/>
        <v/>
      </c>
      <c r="AO40" s="184">
        <f t="shared" si="15"/>
        <v>0</v>
      </c>
      <c r="AP40" s="184">
        <f t="shared" si="16"/>
        <v>0</v>
      </c>
      <c r="AQ40" s="608" t="str">
        <f t="shared" si="17"/>
        <v/>
      </c>
      <c r="AR40" s="185" t="str">
        <f>IF(COUNTIF(K40:Q40,"F")&gt;0,"",IF(AQ40="PASS",'Statement of Marks'!HZ42,""))</f>
        <v/>
      </c>
      <c r="AS40" s="185" t="str">
        <f>IF(AQ40="PASS",'Statement of Marks'!IA42,"")</f>
        <v/>
      </c>
    </row>
    <row r="41" spans="1:45">
      <c r="A41" s="169">
        <f>IF('Statement of Marks'!A43="","",'Statement of Marks'!A43)</f>
        <v>37</v>
      </c>
      <c r="B41" s="169" t="str">
        <f>IF('Statement of Marks'!B43="","",'Statement of Marks'!B43)</f>
        <v/>
      </c>
      <c r="C41" s="169" t="str">
        <f>IF('Statement of Marks'!D43="","",'Statement of Marks'!D43)</f>
        <v/>
      </c>
      <c r="D41" s="170" t="str">
        <f>IF('Statement of Marks'!E43="","",'Statement of Marks'!E43)</f>
        <v/>
      </c>
      <c r="E41" s="171" t="str">
        <f>IF('Statement of Marks'!F43="","",'Statement of Marks'!F43)</f>
        <v/>
      </c>
      <c r="F41" s="171" t="str">
        <f>IF('Statement of Marks'!G43="","",'Statement of Marks'!G43)</f>
        <v/>
      </c>
      <c r="G41" s="171" t="str">
        <f>IF('Statement of Marks'!H43="","",'Statement of Marks'!H43)</f>
        <v/>
      </c>
      <c r="H41" s="172" t="str">
        <f>IF('Statement of Marks'!HS43="","",'Statement of Marks'!HS43)</f>
        <v/>
      </c>
      <c r="I41" s="172" t="str">
        <f>IF('Statement of Marks'!HV43="","",'Statement of Marks'!HV43)</f>
        <v/>
      </c>
      <c r="J41" s="173" t="str">
        <f>IF('Statement of Marks'!HU43="","",'Statement of Marks'!HU43)</f>
        <v/>
      </c>
      <c r="K41" s="181" t="str">
        <f>'Statement of Marks'!GN43</f>
        <v/>
      </c>
      <c r="L41" s="181" t="str">
        <f>'Statement of Marks'!GQ43</f>
        <v/>
      </c>
      <c r="M41" s="181" t="str">
        <f>'Statement of Marks'!GT43</f>
        <v/>
      </c>
      <c r="N41" s="181" t="str">
        <f>'Statement of Marks'!HB43</f>
        <v/>
      </c>
      <c r="O41" s="181" t="str">
        <f>'Statement of Marks'!HE43</f>
        <v/>
      </c>
      <c r="P41" s="181" t="str">
        <f>'Statement of Marks'!HH43</f>
        <v/>
      </c>
      <c r="Q41" s="181" t="str">
        <f>'Statement of Marks'!HK43</f>
        <v/>
      </c>
      <c r="R41" s="173" t="str">
        <f>IF(COUNTIF(K41:Q41,"F")&gt;0,"",CONCATENATE('Statement of Marks'!HO43,'Statement of Marks'!HQ43))</f>
        <v xml:space="preserve">            </v>
      </c>
      <c r="S41" s="174">
        <f t="shared" si="0"/>
        <v>0</v>
      </c>
      <c r="T41" s="5"/>
      <c r="U41" s="182" t="str">
        <f t="shared" si="1"/>
        <v/>
      </c>
      <c r="V41" s="182" t="str">
        <f t="shared" si="2"/>
        <v/>
      </c>
      <c r="W41" s="5"/>
      <c r="X41" s="182" t="str">
        <f t="shared" si="3"/>
        <v/>
      </c>
      <c r="Y41" s="182" t="str">
        <f t="shared" si="4"/>
        <v/>
      </c>
      <c r="Z41" s="5"/>
      <c r="AA41" s="182" t="str">
        <f t="shared" si="5"/>
        <v/>
      </c>
      <c r="AB41" s="183" t="str">
        <f t="shared" si="6"/>
        <v/>
      </c>
      <c r="AC41" s="5"/>
      <c r="AD41" s="182" t="str">
        <f t="shared" si="7"/>
        <v/>
      </c>
      <c r="AE41" s="183" t="str">
        <f t="shared" si="8"/>
        <v/>
      </c>
      <c r="AF41" s="5"/>
      <c r="AG41" s="182" t="str">
        <f t="shared" si="9"/>
        <v/>
      </c>
      <c r="AH41" s="183" t="str">
        <f t="shared" si="10"/>
        <v/>
      </c>
      <c r="AI41" s="5"/>
      <c r="AJ41" s="183" t="str">
        <f t="shared" si="11"/>
        <v/>
      </c>
      <c r="AK41" s="183" t="str">
        <f t="shared" si="12"/>
        <v/>
      </c>
      <c r="AL41" s="5"/>
      <c r="AM41" s="183" t="str">
        <f t="shared" si="13"/>
        <v/>
      </c>
      <c r="AN41" s="183" t="str">
        <f t="shared" si="14"/>
        <v/>
      </c>
      <c r="AO41" s="184">
        <f t="shared" si="15"/>
        <v>0</v>
      </c>
      <c r="AP41" s="184">
        <f t="shared" si="16"/>
        <v>0</v>
      </c>
      <c r="AQ41" s="608" t="str">
        <f t="shared" si="17"/>
        <v/>
      </c>
      <c r="AR41" s="185" t="str">
        <f>IF(COUNTIF(K41:Q41,"F")&gt;0,"",IF(AQ41="PASS",'Statement of Marks'!HZ43,""))</f>
        <v/>
      </c>
      <c r="AS41" s="185" t="str">
        <f>IF(AQ41="PASS",'Statement of Marks'!IA43,"")</f>
        <v/>
      </c>
    </row>
    <row r="42" spans="1:45">
      <c r="A42" s="169">
        <f>IF('Statement of Marks'!A44="","",'Statement of Marks'!A44)</f>
        <v>38</v>
      </c>
      <c r="B42" s="169" t="str">
        <f>IF('Statement of Marks'!B44="","",'Statement of Marks'!B44)</f>
        <v/>
      </c>
      <c r="C42" s="169" t="str">
        <f>IF('Statement of Marks'!D44="","",'Statement of Marks'!D44)</f>
        <v/>
      </c>
      <c r="D42" s="170" t="str">
        <f>IF('Statement of Marks'!E44="","",'Statement of Marks'!E44)</f>
        <v/>
      </c>
      <c r="E42" s="171" t="str">
        <f>IF('Statement of Marks'!F44="","",'Statement of Marks'!F44)</f>
        <v/>
      </c>
      <c r="F42" s="171" t="str">
        <f>IF('Statement of Marks'!G44="","",'Statement of Marks'!G44)</f>
        <v/>
      </c>
      <c r="G42" s="171" t="str">
        <f>IF('Statement of Marks'!H44="","",'Statement of Marks'!H44)</f>
        <v/>
      </c>
      <c r="H42" s="172" t="str">
        <f>IF('Statement of Marks'!HS44="","",'Statement of Marks'!HS44)</f>
        <v/>
      </c>
      <c r="I42" s="172" t="str">
        <f>IF('Statement of Marks'!HV44="","",'Statement of Marks'!HV44)</f>
        <v/>
      </c>
      <c r="J42" s="173" t="str">
        <f>IF('Statement of Marks'!HU44="","",'Statement of Marks'!HU44)</f>
        <v/>
      </c>
      <c r="K42" s="181" t="str">
        <f>'Statement of Marks'!GN44</f>
        <v/>
      </c>
      <c r="L42" s="181" t="str">
        <f>'Statement of Marks'!GQ44</f>
        <v/>
      </c>
      <c r="M42" s="181" t="str">
        <f>'Statement of Marks'!GT44</f>
        <v/>
      </c>
      <c r="N42" s="181" t="str">
        <f>'Statement of Marks'!HB44</f>
        <v/>
      </c>
      <c r="O42" s="181" t="str">
        <f>'Statement of Marks'!HE44</f>
        <v/>
      </c>
      <c r="P42" s="181" t="str">
        <f>'Statement of Marks'!HH44</f>
        <v/>
      </c>
      <c r="Q42" s="181" t="str">
        <f>'Statement of Marks'!HK44</f>
        <v/>
      </c>
      <c r="R42" s="173" t="str">
        <f>IF(COUNTIF(K42:Q42,"F")&gt;0,"",CONCATENATE('Statement of Marks'!HO44,'Statement of Marks'!HQ44))</f>
        <v xml:space="preserve">            </v>
      </c>
      <c r="S42" s="174">
        <f t="shared" si="0"/>
        <v>0</v>
      </c>
      <c r="T42" s="5"/>
      <c r="U42" s="182" t="str">
        <f t="shared" si="1"/>
        <v/>
      </c>
      <c r="V42" s="182" t="str">
        <f t="shared" si="2"/>
        <v/>
      </c>
      <c r="W42" s="5"/>
      <c r="X42" s="182" t="str">
        <f t="shared" si="3"/>
        <v/>
      </c>
      <c r="Y42" s="182" t="str">
        <f t="shared" si="4"/>
        <v/>
      </c>
      <c r="Z42" s="5"/>
      <c r="AA42" s="182" t="str">
        <f t="shared" si="5"/>
        <v/>
      </c>
      <c r="AB42" s="183" t="str">
        <f t="shared" si="6"/>
        <v/>
      </c>
      <c r="AC42" s="5"/>
      <c r="AD42" s="182" t="str">
        <f t="shared" si="7"/>
        <v/>
      </c>
      <c r="AE42" s="183" t="str">
        <f t="shared" si="8"/>
        <v/>
      </c>
      <c r="AF42" s="5"/>
      <c r="AG42" s="182" t="str">
        <f t="shared" si="9"/>
        <v/>
      </c>
      <c r="AH42" s="183" t="str">
        <f t="shared" si="10"/>
        <v/>
      </c>
      <c r="AI42" s="5"/>
      <c r="AJ42" s="183" t="str">
        <f t="shared" si="11"/>
        <v/>
      </c>
      <c r="AK42" s="183" t="str">
        <f t="shared" si="12"/>
        <v/>
      </c>
      <c r="AL42" s="5"/>
      <c r="AM42" s="183" t="str">
        <f t="shared" si="13"/>
        <v/>
      </c>
      <c r="AN42" s="183" t="str">
        <f t="shared" si="14"/>
        <v/>
      </c>
      <c r="AO42" s="184">
        <f t="shared" si="15"/>
        <v>0</v>
      </c>
      <c r="AP42" s="184">
        <f t="shared" si="16"/>
        <v>0</v>
      </c>
      <c r="AQ42" s="608" t="str">
        <f t="shared" si="17"/>
        <v/>
      </c>
      <c r="AR42" s="185" t="str">
        <f>IF(COUNTIF(K42:Q42,"F")&gt;0,"",IF(AQ42="PASS",'Statement of Marks'!HZ44,""))</f>
        <v/>
      </c>
      <c r="AS42" s="185" t="str">
        <f>IF(AQ42="PASS",'Statement of Marks'!IA44,"")</f>
        <v/>
      </c>
    </row>
    <row r="43" spans="1:45">
      <c r="A43" s="169">
        <f>IF('Statement of Marks'!A45="","",'Statement of Marks'!A45)</f>
        <v>39</v>
      </c>
      <c r="B43" s="169" t="str">
        <f>IF('Statement of Marks'!B45="","",'Statement of Marks'!B45)</f>
        <v/>
      </c>
      <c r="C43" s="169" t="str">
        <f>IF('Statement of Marks'!D45="","",'Statement of Marks'!D45)</f>
        <v/>
      </c>
      <c r="D43" s="170" t="str">
        <f>IF('Statement of Marks'!E45="","",'Statement of Marks'!E45)</f>
        <v/>
      </c>
      <c r="E43" s="171" t="str">
        <f>IF('Statement of Marks'!F45="","",'Statement of Marks'!F45)</f>
        <v/>
      </c>
      <c r="F43" s="171" t="str">
        <f>IF('Statement of Marks'!G45="","",'Statement of Marks'!G45)</f>
        <v/>
      </c>
      <c r="G43" s="171" t="str">
        <f>IF('Statement of Marks'!H45="","",'Statement of Marks'!H45)</f>
        <v/>
      </c>
      <c r="H43" s="172" t="str">
        <f>IF('Statement of Marks'!HS45="","",'Statement of Marks'!HS45)</f>
        <v/>
      </c>
      <c r="I43" s="172" t="str">
        <f>IF('Statement of Marks'!HV45="","",'Statement of Marks'!HV45)</f>
        <v/>
      </c>
      <c r="J43" s="173" t="str">
        <f>IF('Statement of Marks'!HU45="","",'Statement of Marks'!HU45)</f>
        <v/>
      </c>
      <c r="K43" s="181" t="str">
        <f>'Statement of Marks'!GN45</f>
        <v/>
      </c>
      <c r="L43" s="181" t="str">
        <f>'Statement of Marks'!GQ45</f>
        <v/>
      </c>
      <c r="M43" s="181" t="str">
        <f>'Statement of Marks'!GT45</f>
        <v/>
      </c>
      <c r="N43" s="181" t="str">
        <f>'Statement of Marks'!HB45</f>
        <v/>
      </c>
      <c r="O43" s="181" t="str">
        <f>'Statement of Marks'!HE45</f>
        <v/>
      </c>
      <c r="P43" s="181" t="str">
        <f>'Statement of Marks'!HH45</f>
        <v/>
      </c>
      <c r="Q43" s="181" t="str">
        <f>'Statement of Marks'!HK45</f>
        <v/>
      </c>
      <c r="R43" s="173" t="str">
        <f>IF(COUNTIF(K43:Q43,"F")&gt;0,"",CONCATENATE('Statement of Marks'!HO45,'Statement of Marks'!HQ45))</f>
        <v xml:space="preserve">            </v>
      </c>
      <c r="S43" s="174">
        <f t="shared" si="0"/>
        <v>0</v>
      </c>
      <c r="T43" s="5"/>
      <c r="U43" s="182" t="str">
        <f t="shared" si="1"/>
        <v/>
      </c>
      <c r="V43" s="182" t="str">
        <f t="shared" si="2"/>
        <v/>
      </c>
      <c r="W43" s="5"/>
      <c r="X43" s="182" t="str">
        <f t="shared" si="3"/>
        <v/>
      </c>
      <c r="Y43" s="182" t="str">
        <f t="shared" si="4"/>
        <v/>
      </c>
      <c r="Z43" s="5"/>
      <c r="AA43" s="182" t="str">
        <f t="shared" si="5"/>
        <v/>
      </c>
      <c r="AB43" s="183" t="str">
        <f t="shared" si="6"/>
        <v/>
      </c>
      <c r="AC43" s="5"/>
      <c r="AD43" s="182" t="str">
        <f t="shared" si="7"/>
        <v/>
      </c>
      <c r="AE43" s="183" t="str">
        <f t="shared" si="8"/>
        <v/>
      </c>
      <c r="AF43" s="5"/>
      <c r="AG43" s="182" t="str">
        <f t="shared" si="9"/>
        <v/>
      </c>
      <c r="AH43" s="183" t="str">
        <f t="shared" si="10"/>
        <v/>
      </c>
      <c r="AI43" s="5"/>
      <c r="AJ43" s="183" t="str">
        <f t="shared" si="11"/>
        <v/>
      </c>
      <c r="AK43" s="183" t="str">
        <f t="shared" si="12"/>
        <v/>
      </c>
      <c r="AL43" s="5"/>
      <c r="AM43" s="183" t="str">
        <f t="shared" si="13"/>
        <v/>
      </c>
      <c r="AN43" s="183" t="str">
        <f t="shared" si="14"/>
        <v/>
      </c>
      <c r="AO43" s="184">
        <f t="shared" si="15"/>
        <v>0</v>
      </c>
      <c r="AP43" s="184">
        <f t="shared" si="16"/>
        <v>0</v>
      </c>
      <c r="AQ43" s="608" t="str">
        <f t="shared" si="17"/>
        <v/>
      </c>
      <c r="AR43" s="185" t="str">
        <f>IF(COUNTIF(K43:Q43,"F")&gt;0,"",IF(AQ43="PASS",'Statement of Marks'!HZ45,""))</f>
        <v/>
      </c>
      <c r="AS43" s="185" t="str">
        <f>IF(AQ43="PASS",'Statement of Marks'!IA45,"")</f>
        <v/>
      </c>
    </row>
    <row r="44" spans="1:45">
      <c r="A44" s="169">
        <f>IF('Statement of Marks'!A46="","",'Statement of Marks'!A46)</f>
        <v>40</v>
      </c>
      <c r="B44" s="169" t="str">
        <f>IF('Statement of Marks'!B46="","",'Statement of Marks'!B46)</f>
        <v/>
      </c>
      <c r="C44" s="169" t="str">
        <f>IF('Statement of Marks'!D46="","",'Statement of Marks'!D46)</f>
        <v/>
      </c>
      <c r="D44" s="170" t="str">
        <f>IF('Statement of Marks'!E46="","",'Statement of Marks'!E46)</f>
        <v/>
      </c>
      <c r="E44" s="171" t="str">
        <f>IF('Statement of Marks'!F46="","",'Statement of Marks'!F46)</f>
        <v/>
      </c>
      <c r="F44" s="171" t="str">
        <f>IF('Statement of Marks'!G46="","",'Statement of Marks'!G46)</f>
        <v/>
      </c>
      <c r="G44" s="171" t="str">
        <f>IF('Statement of Marks'!H46="","",'Statement of Marks'!H46)</f>
        <v/>
      </c>
      <c r="H44" s="172" t="str">
        <f>IF('Statement of Marks'!HS46="","",'Statement of Marks'!HS46)</f>
        <v/>
      </c>
      <c r="I44" s="172" t="str">
        <f>IF('Statement of Marks'!HV46="","",'Statement of Marks'!HV46)</f>
        <v/>
      </c>
      <c r="J44" s="173" t="str">
        <f>IF('Statement of Marks'!HU46="","",'Statement of Marks'!HU46)</f>
        <v/>
      </c>
      <c r="K44" s="181" t="str">
        <f>'Statement of Marks'!GN46</f>
        <v/>
      </c>
      <c r="L44" s="181" t="str">
        <f>'Statement of Marks'!GQ46</f>
        <v/>
      </c>
      <c r="M44" s="181" t="str">
        <f>'Statement of Marks'!GT46</f>
        <v/>
      </c>
      <c r="N44" s="181" t="str">
        <f>'Statement of Marks'!HB46</f>
        <v/>
      </c>
      <c r="O44" s="181" t="str">
        <f>'Statement of Marks'!HE46</f>
        <v/>
      </c>
      <c r="P44" s="181" t="str">
        <f>'Statement of Marks'!HH46</f>
        <v/>
      </c>
      <c r="Q44" s="181" t="str">
        <f>'Statement of Marks'!HK46</f>
        <v/>
      </c>
      <c r="R44" s="173" t="str">
        <f>IF(COUNTIF(K44:Q44,"F")&gt;0,"",CONCATENATE('Statement of Marks'!HO46,'Statement of Marks'!HQ46))</f>
        <v xml:space="preserve">            </v>
      </c>
      <c r="S44" s="174">
        <f t="shared" si="0"/>
        <v>0</v>
      </c>
      <c r="T44" s="5"/>
      <c r="U44" s="182" t="str">
        <f t="shared" si="1"/>
        <v/>
      </c>
      <c r="V44" s="182" t="str">
        <f t="shared" si="2"/>
        <v/>
      </c>
      <c r="W44" s="5"/>
      <c r="X44" s="182" t="str">
        <f t="shared" si="3"/>
        <v/>
      </c>
      <c r="Y44" s="182" t="str">
        <f t="shared" si="4"/>
        <v/>
      </c>
      <c r="Z44" s="5"/>
      <c r="AA44" s="182" t="str">
        <f t="shared" si="5"/>
        <v/>
      </c>
      <c r="AB44" s="183" t="str">
        <f t="shared" si="6"/>
        <v/>
      </c>
      <c r="AC44" s="5"/>
      <c r="AD44" s="182" t="str">
        <f t="shared" si="7"/>
        <v/>
      </c>
      <c r="AE44" s="183" t="str">
        <f t="shared" si="8"/>
        <v/>
      </c>
      <c r="AF44" s="5"/>
      <c r="AG44" s="182" t="str">
        <f t="shared" si="9"/>
        <v/>
      </c>
      <c r="AH44" s="183" t="str">
        <f t="shared" si="10"/>
        <v/>
      </c>
      <c r="AI44" s="5"/>
      <c r="AJ44" s="183" t="str">
        <f t="shared" si="11"/>
        <v/>
      </c>
      <c r="AK44" s="183" t="str">
        <f t="shared" si="12"/>
        <v/>
      </c>
      <c r="AL44" s="5"/>
      <c r="AM44" s="183" t="str">
        <f t="shared" si="13"/>
        <v/>
      </c>
      <c r="AN44" s="183" t="str">
        <f t="shared" si="14"/>
        <v/>
      </c>
      <c r="AO44" s="184">
        <f t="shared" si="15"/>
        <v>0</v>
      </c>
      <c r="AP44" s="184">
        <f t="shared" si="16"/>
        <v>0</v>
      </c>
      <c r="AQ44" s="608" t="str">
        <f t="shared" si="17"/>
        <v/>
      </c>
      <c r="AR44" s="185" t="str">
        <f>IF(COUNTIF(K44:Q44,"F")&gt;0,"",IF(AQ44="PASS",'Statement of Marks'!HZ46,""))</f>
        <v/>
      </c>
      <c r="AS44" s="185" t="str">
        <f>IF(AQ44="PASS",'Statement of Marks'!IA46,"")</f>
        <v/>
      </c>
    </row>
    <row r="45" spans="1:45">
      <c r="A45" s="169">
        <f>IF('Statement of Marks'!A47="","",'Statement of Marks'!A47)</f>
        <v>41</v>
      </c>
      <c r="B45" s="169" t="str">
        <f>IF('Statement of Marks'!B47="","",'Statement of Marks'!B47)</f>
        <v/>
      </c>
      <c r="C45" s="169" t="str">
        <f>IF('Statement of Marks'!D47="","",'Statement of Marks'!D47)</f>
        <v/>
      </c>
      <c r="D45" s="170" t="str">
        <f>IF('Statement of Marks'!E47="","",'Statement of Marks'!E47)</f>
        <v/>
      </c>
      <c r="E45" s="171" t="str">
        <f>IF('Statement of Marks'!F47="","",'Statement of Marks'!F47)</f>
        <v/>
      </c>
      <c r="F45" s="171" t="str">
        <f>IF('Statement of Marks'!G47="","",'Statement of Marks'!G47)</f>
        <v/>
      </c>
      <c r="G45" s="171" t="str">
        <f>IF('Statement of Marks'!H47="","",'Statement of Marks'!H47)</f>
        <v/>
      </c>
      <c r="H45" s="172" t="str">
        <f>IF('Statement of Marks'!HS47="","",'Statement of Marks'!HS47)</f>
        <v/>
      </c>
      <c r="I45" s="172" t="str">
        <f>IF('Statement of Marks'!HV47="","",'Statement of Marks'!HV47)</f>
        <v/>
      </c>
      <c r="J45" s="173" t="str">
        <f>IF('Statement of Marks'!HU47="","",'Statement of Marks'!HU47)</f>
        <v/>
      </c>
      <c r="K45" s="181" t="str">
        <f>'Statement of Marks'!GN47</f>
        <v/>
      </c>
      <c r="L45" s="181" t="str">
        <f>'Statement of Marks'!GQ47</f>
        <v/>
      </c>
      <c r="M45" s="181" t="str">
        <f>'Statement of Marks'!GT47</f>
        <v/>
      </c>
      <c r="N45" s="181" t="str">
        <f>'Statement of Marks'!HB47</f>
        <v/>
      </c>
      <c r="O45" s="181" t="str">
        <f>'Statement of Marks'!HE47</f>
        <v/>
      </c>
      <c r="P45" s="181" t="str">
        <f>'Statement of Marks'!HH47</f>
        <v/>
      </c>
      <c r="Q45" s="181" t="str">
        <f>'Statement of Marks'!HK47</f>
        <v/>
      </c>
      <c r="R45" s="173" t="str">
        <f>IF(COUNTIF(K45:Q45,"F")&gt;0,"",CONCATENATE('Statement of Marks'!HO47,'Statement of Marks'!HQ47))</f>
        <v xml:space="preserve">            </v>
      </c>
      <c r="S45" s="174">
        <f t="shared" si="0"/>
        <v>0</v>
      </c>
      <c r="T45" s="5"/>
      <c r="U45" s="182" t="str">
        <f t="shared" si="1"/>
        <v/>
      </c>
      <c r="V45" s="182" t="str">
        <f t="shared" si="2"/>
        <v/>
      </c>
      <c r="W45" s="5"/>
      <c r="X45" s="182" t="str">
        <f t="shared" si="3"/>
        <v/>
      </c>
      <c r="Y45" s="182" t="str">
        <f t="shared" si="4"/>
        <v/>
      </c>
      <c r="Z45" s="5"/>
      <c r="AA45" s="182" t="str">
        <f t="shared" si="5"/>
        <v/>
      </c>
      <c r="AB45" s="183" t="str">
        <f t="shared" si="6"/>
        <v/>
      </c>
      <c r="AC45" s="5"/>
      <c r="AD45" s="182" t="str">
        <f t="shared" si="7"/>
        <v/>
      </c>
      <c r="AE45" s="183" t="str">
        <f t="shared" si="8"/>
        <v/>
      </c>
      <c r="AF45" s="5"/>
      <c r="AG45" s="182" t="str">
        <f t="shared" si="9"/>
        <v/>
      </c>
      <c r="AH45" s="183" t="str">
        <f t="shared" si="10"/>
        <v/>
      </c>
      <c r="AI45" s="5"/>
      <c r="AJ45" s="183" t="str">
        <f t="shared" si="11"/>
        <v/>
      </c>
      <c r="AK45" s="183" t="str">
        <f t="shared" si="12"/>
        <v/>
      </c>
      <c r="AL45" s="5"/>
      <c r="AM45" s="183" t="str">
        <f t="shared" si="13"/>
        <v/>
      </c>
      <c r="AN45" s="183" t="str">
        <f t="shared" si="14"/>
        <v/>
      </c>
      <c r="AO45" s="184">
        <f t="shared" si="15"/>
        <v>0</v>
      </c>
      <c r="AP45" s="184">
        <f t="shared" si="16"/>
        <v>0</v>
      </c>
      <c r="AQ45" s="608" t="str">
        <f t="shared" si="17"/>
        <v/>
      </c>
      <c r="AR45" s="185" t="str">
        <f>IF(COUNTIF(K45:Q45,"F")&gt;0,"",IF(AQ45="PASS",'Statement of Marks'!HZ47,""))</f>
        <v/>
      </c>
      <c r="AS45" s="185" t="str">
        <f>IF(AQ45="PASS",'Statement of Marks'!IA47,"")</f>
        <v/>
      </c>
    </row>
    <row r="46" spans="1:45">
      <c r="A46" s="169">
        <f>IF('Statement of Marks'!A48="","",'Statement of Marks'!A48)</f>
        <v>42</v>
      </c>
      <c r="B46" s="169" t="str">
        <f>IF('Statement of Marks'!B48="","",'Statement of Marks'!B48)</f>
        <v/>
      </c>
      <c r="C46" s="169" t="str">
        <f>IF('Statement of Marks'!D48="","",'Statement of Marks'!D48)</f>
        <v/>
      </c>
      <c r="D46" s="170" t="str">
        <f>IF('Statement of Marks'!E48="","",'Statement of Marks'!E48)</f>
        <v/>
      </c>
      <c r="E46" s="171" t="str">
        <f>IF('Statement of Marks'!F48="","",'Statement of Marks'!F48)</f>
        <v/>
      </c>
      <c r="F46" s="171" t="str">
        <f>IF('Statement of Marks'!G48="","",'Statement of Marks'!G48)</f>
        <v/>
      </c>
      <c r="G46" s="171" t="str">
        <f>IF('Statement of Marks'!H48="","",'Statement of Marks'!H48)</f>
        <v/>
      </c>
      <c r="H46" s="172" t="str">
        <f>IF('Statement of Marks'!HS48="","",'Statement of Marks'!HS48)</f>
        <v/>
      </c>
      <c r="I46" s="172" t="str">
        <f>IF('Statement of Marks'!HV48="","",'Statement of Marks'!HV48)</f>
        <v/>
      </c>
      <c r="J46" s="173" t="str">
        <f>IF('Statement of Marks'!HU48="","",'Statement of Marks'!HU48)</f>
        <v/>
      </c>
      <c r="K46" s="181" t="str">
        <f>'Statement of Marks'!GN48</f>
        <v/>
      </c>
      <c r="L46" s="181" t="str">
        <f>'Statement of Marks'!GQ48</f>
        <v/>
      </c>
      <c r="M46" s="181" t="str">
        <f>'Statement of Marks'!GT48</f>
        <v/>
      </c>
      <c r="N46" s="181" t="str">
        <f>'Statement of Marks'!HB48</f>
        <v/>
      </c>
      <c r="O46" s="181" t="str">
        <f>'Statement of Marks'!HE48</f>
        <v/>
      </c>
      <c r="P46" s="181" t="str">
        <f>'Statement of Marks'!HH48</f>
        <v/>
      </c>
      <c r="Q46" s="181" t="str">
        <f>'Statement of Marks'!HK48</f>
        <v/>
      </c>
      <c r="R46" s="173" t="str">
        <f>IF(COUNTIF(K46:Q46,"F")&gt;0,"",CONCATENATE('Statement of Marks'!HO48,'Statement of Marks'!HQ48))</f>
        <v xml:space="preserve">            </v>
      </c>
      <c r="S46" s="174">
        <f t="shared" si="0"/>
        <v>0</v>
      </c>
      <c r="T46" s="5"/>
      <c r="U46" s="182" t="str">
        <f t="shared" si="1"/>
        <v/>
      </c>
      <c r="V46" s="182" t="str">
        <f t="shared" si="2"/>
        <v/>
      </c>
      <c r="W46" s="5"/>
      <c r="X46" s="182" t="str">
        <f t="shared" si="3"/>
        <v/>
      </c>
      <c r="Y46" s="182" t="str">
        <f t="shared" si="4"/>
        <v/>
      </c>
      <c r="Z46" s="5"/>
      <c r="AA46" s="182" t="str">
        <f t="shared" si="5"/>
        <v/>
      </c>
      <c r="AB46" s="183" t="str">
        <f t="shared" si="6"/>
        <v/>
      </c>
      <c r="AC46" s="5"/>
      <c r="AD46" s="182" t="str">
        <f t="shared" si="7"/>
        <v/>
      </c>
      <c r="AE46" s="183" t="str">
        <f t="shared" si="8"/>
        <v/>
      </c>
      <c r="AF46" s="5"/>
      <c r="AG46" s="182" t="str">
        <f t="shared" si="9"/>
        <v/>
      </c>
      <c r="AH46" s="183" t="str">
        <f t="shared" si="10"/>
        <v/>
      </c>
      <c r="AI46" s="5"/>
      <c r="AJ46" s="183" t="str">
        <f t="shared" si="11"/>
        <v/>
      </c>
      <c r="AK46" s="183" t="str">
        <f t="shared" si="12"/>
        <v/>
      </c>
      <c r="AL46" s="5"/>
      <c r="AM46" s="183" t="str">
        <f t="shared" si="13"/>
        <v/>
      </c>
      <c r="AN46" s="183" t="str">
        <f t="shared" si="14"/>
        <v/>
      </c>
      <c r="AO46" s="184">
        <f t="shared" si="15"/>
        <v>0</v>
      </c>
      <c r="AP46" s="184">
        <f t="shared" si="16"/>
        <v>0</v>
      </c>
      <c r="AQ46" s="608" t="str">
        <f t="shared" si="17"/>
        <v/>
      </c>
      <c r="AR46" s="185" t="str">
        <f>IF(COUNTIF(K46:Q46,"F")&gt;0,"",IF(AQ46="PASS",'Statement of Marks'!HZ48,""))</f>
        <v/>
      </c>
      <c r="AS46" s="185" t="str">
        <f>IF(AQ46="PASS",'Statement of Marks'!IA48,"")</f>
        <v/>
      </c>
    </row>
    <row r="47" spans="1:45">
      <c r="A47" s="169">
        <f>IF('Statement of Marks'!A49="","",'Statement of Marks'!A49)</f>
        <v>43</v>
      </c>
      <c r="B47" s="169" t="str">
        <f>IF('Statement of Marks'!B49="","",'Statement of Marks'!B49)</f>
        <v/>
      </c>
      <c r="C47" s="169" t="str">
        <f>IF('Statement of Marks'!D49="","",'Statement of Marks'!D49)</f>
        <v/>
      </c>
      <c r="D47" s="170" t="str">
        <f>IF('Statement of Marks'!E49="","",'Statement of Marks'!E49)</f>
        <v/>
      </c>
      <c r="E47" s="171" t="str">
        <f>IF('Statement of Marks'!F49="","",'Statement of Marks'!F49)</f>
        <v/>
      </c>
      <c r="F47" s="171" t="str">
        <f>IF('Statement of Marks'!G49="","",'Statement of Marks'!G49)</f>
        <v/>
      </c>
      <c r="G47" s="171" t="str">
        <f>IF('Statement of Marks'!H49="","",'Statement of Marks'!H49)</f>
        <v/>
      </c>
      <c r="H47" s="172" t="str">
        <f>IF('Statement of Marks'!HS49="","",'Statement of Marks'!HS49)</f>
        <v/>
      </c>
      <c r="I47" s="172" t="str">
        <f>IF('Statement of Marks'!HV49="","",'Statement of Marks'!HV49)</f>
        <v/>
      </c>
      <c r="J47" s="173" t="str">
        <f>IF('Statement of Marks'!HU49="","",'Statement of Marks'!HU49)</f>
        <v/>
      </c>
      <c r="K47" s="181" t="str">
        <f>'Statement of Marks'!GN49</f>
        <v/>
      </c>
      <c r="L47" s="181" t="str">
        <f>'Statement of Marks'!GQ49</f>
        <v/>
      </c>
      <c r="M47" s="181" t="str">
        <f>'Statement of Marks'!GT49</f>
        <v/>
      </c>
      <c r="N47" s="181" t="str">
        <f>'Statement of Marks'!HB49</f>
        <v/>
      </c>
      <c r="O47" s="181" t="str">
        <f>'Statement of Marks'!HE49</f>
        <v/>
      </c>
      <c r="P47" s="181" t="str">
        <f>'Statement of Marks'!HH49</f>
        <v/>
      </c>
      <c r="Q47" s="181" t="str">
        <f>'Statement of Marks'!HK49</f>
        <v/>
      </c>
      <c r="R47" s="173" t="str">
        <f>IF(COUNTIF(K47:Q47,"F")&gt;0,"",CONCATENATE('Statement of Marks'!HO49,'Statement of Marks'!HQ49))</f>
        <v xml:space="preserve">            </v>
      </c>
      <c r="S47" s="174">
        <f t="shared" si="0"/>
        <v>0</v>
      </c>
      <c r="T47" s="5"/>
      <c r="U47" s="182" t="str">
        <f t="shared" si="1"/>
        <v/>
      </c>
      <c r="V47" s="182" t="str">
        <f t="shared" si="2"/>
        <v/>
      </c>
      <c r="W47" s="5"/>
      <c r="X47" s="182" t="str">
        <f t="shared" si="3"/>
        <v/>
      </c>
      <c r="Y47" s="182" t="str">
        <f t="shared" si="4"/>
        <v/>
      </c>
      <c r="Z47" s="5"/>
      <c r="AA47" s="182" t="str">
        <f t="shared" si="5"/>
        <v/>
      </c>
      <c r="AB47" s="183" t="str">
        <f t="shared" si="6"/>
        <v/>
      </c>
      <c r="AC47" s="5"/>
      <c r="AD47" s="182" t="str">
        <f t="shared" si="7"/>
        <v/>
      </c>
      <c r="AE47" s="183" t="str">
        <f t="shared" si="8"/>
        <v/>
      </c>
      <c r="AF47" s="5"/>
      <c r="AG47" s="182" t="str">
        <f t="shared" si="9"/>
        <v/>
      </c>
      <c r="AH47" s="183" t="str">
        <f t="shared" si="10"/>
        <v/>
      </c>
      <c r="AI47" s="5"/>
      <c r="AJ47" s="183" t="str">
        <f t="shared" si="11"/>
        <v/>
      </c>
      <c r="AK47" s="183" t="str">
        <f t="shared" si="12"/>
        <v/>
      </c>
      <c r="AL47" s="5"/>
      <c r="AM47" s="183" t="str">
        <f t="shared" si="13"/>
        <v/>
      </c>
      <c r="AN47" s="183" t="str">
        <f t="shared" si="14"/>
        <v/>
      </c>
      <c r="AO47" s="184">
        <f t="shared" si="15"/>
        <v>0</v>
      </c>
      <c r="AP47" s="184">
        <f t="shared" si="16"/>
        <v>0</v>
      </c>
      <c r="AQ47" s="608" t="str">
        <f t="shared" si="17"/>
        <v/>
      </c>
      <c r="AR47" s="185" t="str">
        <f>IF(COUNTIF(K47:Q47,"F")&gt;0,"",IF(AQ47="PASS",'Statement of Marks'!HZ49,""))</f>
        <v/>
      </c>
      <c r="AS47" s="185" t="str">
        <f>IF(AQ47="PASS",'Statement of Marks'!IA49,"")</f>
        <v/>
      </c>
    </row>
    <row r="48" spans="1:45">
      <c r="A48" s="169">
        <f>IF('Statement of Marks'!A50="","",'Statement of Marks'!A50)</f>
        <v>44</v>
      </c>
      <c r="B48" s="169" t="str">
        <f>IF('Statement of Marks'!B50="","",'Statement of Marks'!B50)</f>
        <v/>
      </c>
      <c r="C48" s="169" t="str">
        <f>IF('Statement of Marks'!D50="","",'Statement of Marks'!D50)</f>
        <v/>
      </c>
      <c r="D48" s="170" t="str">
        <f>IF('Statement of Marks'!E50="","",'Statement of Marks'!E50)</f>
        <v/>
      </c>
      <c r="E48" s="171" t="str">
        <f>IF('Statement of Marks'!F50="","",'Statement of Marks'!F50)</f>
        <v/>
      </c>
      <c r="F48" s="171" t="str">
        <f>IF('Statement of Marks'!G50="","",'Statement of Marks'!G50)</f>
        <v/>
      </c>
      <c r="G48" s="171" t="str">
        <f>IF('Statement of Marks'!H50="","",'Statement of Marks'!H50)</f>
        <v/>
      </c>
      <c r="H48" s="172" t="str">
        <f>IF('Statement of Marks'!HS50="","",'Statement of Marks'!HS50)</f>
        <v/>
      </c>
      <c r="I48" s="172" t="str">
        <f>IF('Statement of Marks'!HV50="","",'Statement of Marks'!HV50)</f>
        <v/>
      </c>
      <c r="J48" s="173" t="str">
        <f>IF('Statement of Marks'!HU50="","",'Statement of Marks'!HU50)</f>
        <v/>
      </c>
      <c r="K48" s="181" t="str">
        <f>'Statement of Marks'!GN50</f>
        <v/>
      </c>
      <c r="L48" s="181" t="str">
        <f>'Statement of Marks'!GQ50</f>
        <v/>
      </c>
      <c r="M48" s="181" t="str">
        <f>'Statement of Marks'!GT50</f>
        <v/>
      </c>
      <c r="N48" s="181" t="str">
        <f>'Statement of Marks'!HB50</f>
        <v/>
      </c>
      <c r="O48" s="181" t="str">
        <f>'Statement of Marks'!HE50</f>
        <v/>
      </c>
      <c r="P48" s="181" t="str">
        <f>'Statement of Marks'!HH50</f>
        <v/>
      </c>
      <c r="Q48" s="181" t="str">
        <f>'Statement of Marks'!HK50</f>
        <v/>
      </c>
      <c r="R48" s="173" t="str">
        <f>IF(COUNTIF(K48:Q48,"F")&gt;0,"",CONCATENATE('Statement of Marks'!HO50,'Statement of Marks'!HQ50))</f>
        <v xml:space="preserve">            </v>
      </c>
      <c r="S48" s="174">
        <f t="shared" si="0"/>
        <v>0</v>
      </c>
      <c r="T48" s="5"/>
      <c r="U48" s="182" t="str">
        <f t="shared" si="1"/>
        <v/>
      </c>
      <c r="V48" s="182" t="str">
        <f t="shared" si="2"/>
        <v/>
      </c>
      <c r="W48" s="5"/>
      <c r="X48" s="182" t="str">
        <f t="shared" si="3"/>
        <v/>
      </c>
      <c r="Y48" s="182" t="str">
        <f t="shared" si="4"/>
        <v/>
      </c>
      <c r="Z48" s="5"/>
      <c r="AA48" s="182" t="str">
        <f t="shared" si="5"/>
        <v/>
      </c>
      <c r="AB48" s="183" t="str">
        <f t="shared" si="6"/>
        <v/>
      </c>
      <c r="AC48" s="5"/>
      <c r="AD48" s="182" t="str">
        <f t="shared" si="7"/>
        <v/>
      </c>
      <c r="AE48" s="183" t="str">
        <f t="shared" si="8"/>
        <v/>
      </c>
      <c r="AF48" s="5"/>
      <c r="AG48" s="182" t="str">
        <f t="shared" si="9"/>
        <v/>
      </c>
      <c r="AH48" s="183" t="str">
        <f t="shared" si="10"/>
        <v/>
      </c>
      <c r="AI48" s="5"/>
      <c r="AJ48" s="183" t="str">
        <f t="shared" si="11"/>
        <v/>
      </c>
      <c r="AK48" s="183" t="str">
        <f t="shared" si="12"/>
        <v/>
      </c>
      <c r="AL48" s="5"/>
      <c r="AM48" s="183" t="str">
        <f t="shared" si="13"/>
        <v/>
      </c>
      <c r="AN48" s="183" t="str">
        <f t="shared" si="14"/>
        <v/>
      </c>
      <c r="AO48" s="184">
        <f t="shared" si="15"/>
        <v>0</v>
      </c>
      <c r="AP48" s="184">
        <f t="shared" si="16"/>
        <v>0</v>
      </c>
      <c r="AQ48" s="608" t="str">
        <f t="shared" si="17"/>
        <v/>
      </c>
      <c r="AR48" s="185" t="str">
        <f>IF(COUNTIF(K48:Q48,"F")&gt;0,"",IF(AQ48="PASS",'Statement of Marks'!HZ50,""))</f>
        <v/>
      </c>
      <c r="AS48" s="185" t="str">
        <f>IF(AQ48="PASS",'Statement of Marks'!IA50,"")</f>
        <v/>
      </c>
    </row>
    <row r="49" spans="1:45">
      <c r="A49" s="169">
        <f>IF('Statement of Marks'!A51="","",'Statement of Marks'!A51)</f>
        <v>45</v>
      </c>
      <c r="B49" s="169" t="str">
        <f>IF('Statement of Marks'!B51="","",'Statement of Marks'!B51)</f>
        <v/>
      </c>
      <c r="C49" s="169" t="str">
        <f>IF('Statement of Marks'!D51="","",'Statement of Marks'!D51)</f>
        <v/>
      </c>
      <c r="D49" s="170" t="str">
        <f>IF('Statement of Marks'!E51="","",'Statement of Marks'!E51)</f>
        <v/>
      </c>
      <c r="E49" s="171" t="str">
        <f>IF('Statement of Marks'!F51="","",'Statement of Marks'!F51)</f>
        <v/>
      </c>
      <c r="F49" s="171" t="str">
        <f>IF('Statement of Marks'!G51="","",'Statement of Marks'!G51)</f>
        <v/>
      </c>
      <c r="G49" s="171" t="str">
        <f>IF('Statement of Marks'!H51="","",'Statement of Marks'!H51)</f>
        <v/>
      </c>
      <c r="H49" s="172" t="str">
        <f>IF('Statement of Marks'!HS51="","",'Statement of Marks'!HS51)</f>
        <v/>
      </c>
      <c r="I49" s="172" t="str">
        <f>IF('Statement of Marks'!HV51="","",'Statement of Marks'!HV51)</f>
        <v/>
      </c>
      <c r="J49" s="173" t="str">
        <f>IF('Statement of Marks'!HU51="","",'Statement of Marks'!HU51)</f>
        <v/>
      </c>
      <c r="K49" s="181" t="str">
        <f>'Statement of Marks'!GN51</f>
        <v/>
      </c>
      <c r="L49" s="181" t="str">
        <f>'Statement of Marks'!GQ51</f>
        <v/>
      </c>
      <c r="M49" s="181" t="str">
        <f>'Statement of Marks'!GT51</f>
        <v/>
      </c>
      <c r="N49" s="181" t="str">
        <f>'Statement of Marks'!HB51</f>
        <v/>
      </c>
      <c r="O49" s="181" t="str">
        <f>'Statement of Marks'!HE51</f>
        <v/>
      </c>
      <c r="P49" s="181" t="str">
        <f>'Statement of Marks'!HH51</f>
        <v/>
      </c>
      <c r="Q49" s="181" t="str">
        <f>'Statement of Marks'!HK51</f>
        <v/>
      </c>
      <c r="R49" s="173" t="str">
        <f>IF(COUNTIF(K49:Q49,"F")&gt;0,"",CONCATENATE('Statement of Marks'!HO51,'Statement of Marks'!HQ51))</f>
        <v xml:space="preserve">            </v>
      </c>
      <c r="S49" s="174">
        <f t="shared" si="0"/>
        <v>0</v>
      </c>
      <c r="T49" s="5"/>
      <c r="U49" s="182" t="str">
        <f t="shared" si="1"/>
        <v/>
      </c>
      <c r="V49" s="182" t="str">
        <f t="shared" si="2"/>
        <v/>
      </c>
      <c r="W49" s="5"/>
      <c r="X49" s="182" t="str">
        <f t="shared" si="3"/>
        <v/>
      </c>
      <c r="Y49" s="182" t="str">
        <f t="shared" si="4"/>
        <v/>
      </c>
      <c r="Z49" s="5"/>
      <c r="AA49" s="182" t="str">
        <f t="shared" si="5"/>
        <v/>
      </c>
      <c r="AB49" s="183" t="str">
        <f t="shared" si="6"/>
        <v/>
      </c>
      <c r="AC49" s="5"/>
      <c r="AD49" s="182" t="str">
        <f t="shared" si="7"/>
        <v/>
      </c>
      <c r="AE49" s="183" t="str">
        <f t="shared" si="8"/>
        <v/>
      </c>
      <c r="AF49" s="5"/>
      <c r="AG49" s="182" t="str">
        <f t="shared" si="9"/>
        <v/>
      </c>
      <c r="AH49" s="183" t="str">
        <f t="shared" si="10"/>
        <v/>
      </c>
      <c r="AI49" s="5"/>
      <c r="AJ49" s="183" t="str">
        <f t="shared" si="11"/>
        <v/>
      </c>
      <c r="AK49" s="183" t="str">
        <f t="shared" si="12"/>
        <v/>
      </c>
      <c r="AL49" s="5"/>
      <c r="AM49" s="183" t="str">
        <f t="shared" si="13"/>
        <v/>
      </c>
      <c r="AN49" s="183" t="str">
        <f t="shared" si="14"/>
        <v/>
      </c>
      <c r="AO49" s="184">
        <f t="shared" si="15"/>
        <v>0</v>
      </c>
      <c r="AP49" s="184">
        <f t="shared" si="16"/>
        <v>0</v>
      </c>
      <c r="AQ49" s="608" t="str">
        <f t="shared" si="17"/>
        <v/>
      </c>
      <c r="AR49" s="185" t="str">
        <f>IF(COUNTIF(K49:Q49,"F")&gt;0,"",IF(AQ49="PASS",'Statement of Marks'!HZ51,""))</f>
        <v/>
      </c>
      <c r="AS49" s="185" t="str">
        <f>IF(AQ49="PASS",'Statement of Marks'!IA51,"")</f>
        <v/>
      </c>
    </row>
    <row r="50" spans="1:45">
      <c r="A50" s="169">
        <f>IF('Statement of Marks'!A52="","",'Statement of Marks'!A52)</f>
        <v>46</v>
      </c>
      <c r="B50" s="169" t="str">
        <f>IF('Statement of Marks'!B52="","",'Statement of Marks'!B52)</f>
        <v/>
      </c>
      <c r="C50" s="169" t="str">
        <f>IF('Statement of Marks'!D52="","",'Statement of Marks'!D52)</f>
        <v/>
      </c>
      <c r="D50" s="170" t="str">
        <f>IF('Statement of Marks'!E52="","",'Statement of Marks'!E52)</f>
        <v/>
      </c>
      <c r="E50" s="171" t="str">
        <f>IF('Statement of Marks'!F52="","",'Statement of Marks'!F52)</f>
        <v/>
      </c>
      <c r="F50" s="171" t="str">
        <f>IF('Statement of Marks'!G52="","",'Statement of Marks'!G52)</f>
        <v/>
      </c>
      <c r="G50" s="171" t="str">
        <f>IF('Statement of Marks'!H52="","",'Statement of Marks'!H52)</f>
        <v/>
      </c>
      <c r="H50" s="172" t="str">
        <f>IF('Statement of Marks'!HS52="","",'Statement of Marks'!HS52)</f>
        <v/>
      </c>
      <c r="I50" s="172" t="str">
        <f>IF('Statement of Marks'!HV52="","",'Statement of Marks'!HV52)</f>
        <v/>
      </c>
      <c r="J50" s="173" t="str">
        <f>IF('Statement of Marks'!HU52="","",'Statement of Marks'!HU52)</f>
        <v/>
      </c>
      <c r="K50" s="181" t="str">
        <f>'Statement of Marks'!GN52</f>
        <v/>
      </c>
      <c r="L50" s="181" t="str">
        <f>'Statement of Marks'!GQ52</f>
        <v/>
      </c>
      <c r="M50" s="181" t="str">
        <f>'Statement of Marks'!GT52</f>
        <v/>
      </c>
      <c r="N50" s="181" t="str">
        <f>'Statement of Marks'!HB52</f>
        <v/>
      </c>
      <c r="O50" s="181" t="str">
        <f>'Statement of Marks'!HE52</f>
        <v/>
      </c>
      <c r="P50" s="181" t="str">
        <f>'Statement of Marks'!HH52</f>
        <v/>
      </c>
      <c r="Q50" s="181" t="str">
        <f>'Statement of Marks'!HK52</f>
        <v/>
      </c>
      <c r="R50" s="173" t="str">
        <f>IF(COUNTIF(K50:Q50,"F")&gt;0,"",CONCATENATE('Statement of Marks'!HO52,'Statement of Marks'!HQ52))</f>
        <v xml:space="preserve">            </v>
      </c>
      <c r="S50" s="174">
        <f t="shared" si="0"/>
        <v>0</v>
      </c>
      <c r="T50" s="5"/>
      <c r="U50" s="182" t="str">
        <f t="shared" si="1"/>
        <v/>
      </c>
      <c r="V50" s="182" t="str">
        <f t="shared" si="2"/>
        <v/>
      </c>
      <c r="W50" s="5"/>
      <c r="X50" s="182" t="str">
        <f t="shared" si="3"/>
        <v/>
      </c>
      <c r="Y50" s="182" t="str">
        <f t="shared" si="4"/>
        <v/>
      </c>
      <c r="Z50" s="5"/>
      <c r="AA50" s="182" t="str">
        <f t="shared" si="5"/>
        <v/>
      </c>
      <c r="AB50" s="183" t="str">
        <f t="shared" si="6"/>
        <v/>
      </c>
      <c r="AC50" s="5"/>
      <c r="AD50" s="182" t="str">
        <f t="shared" si="7"/>
        <v/>
      </c>
      <c r="AE50" s="183" t="str">
        <f t="shared" si="8"/>
        <v/>
      </c>
      <c r="AF50" s="5"/>
      <c r="AG50" s="182" t="str">
        <f t="shared" si="9"/>
        <v/>
      </c>
      <c r="AH50" s="183" t="str">
        <f t="shared" si="10"/>
        <v/>
      </c>
      <c r="AI50" s="5"/>
      <c r="AJ50" s="183" t="str">
        <f t="shared" si="11"/>
        <v/>
      </c>
      <c r="AK50" s="183" t="str">
        <f t="shared" si="12"/>
        <v/>
      </c>
      <c r="AL50" s="5"/>
      <c r="AM50" s="183" t="str">
        <f t="shared" si="13"/>
        <v/>
      </c>
      <c r="AN50" s="183" t="str">
        <f t="shared" si="14"/>
        <v/>
      </c>
      <c r="AO50" s="184">
        <f t="shared" si="15"/>
        <v>0</v>
      </c>
      <c r="AP50" s="184">
        <f t="shared" si="16"/>
        <v>0</v>
      </c>
      <c r="AQ50" s="608" t="str">
        <f t="shared" si="17"/>
        <v/>
      </c>
      <c r="AR50" s="185" t="str">
        <f>IF(COUNTIF(K50:Q50,"F")&gt;0,"",IF(AQ50="PASS",'Statement of Marks'!HZ52,""))</f>
        <v/>
      </c>
      <c r="AS50" s="185" t="str">
        <f>IF(AQ50="PASS",'Statement of Marks'!IA52,"")</f>
        <v/>
      </c>
    </row>
    <row r="51" spans="1:45">
      <c r="A51" s="169">
        <f>IF('Statement of Marks'!A53="","",'Statement of Marks'!A53)</f>
        <v>47</v>
      </c>
      <c r="B51" s="169" t="str">
        <f>IF('Statement of Marks'!B53="","",'Statement of Marks'!B53)</f>
        <v/>
      </c>
      <c r="C51" s="169" t="str">
        <f>IF('Statement of Marks'!D53="","",'Statement of Marks'!D53)</f>
        <v/>
      </c>
      <c r="D51" s="170" t="str">
        <f>IF('Statement of Marks'!E53="","",'Statement of Marks'!E53)</f>
        <v/>
      </c>
      <c r="E51" s="171" t="str">
        <f>IF('Statement of Marks'!F53="","",'Statement of Marks'!F53)</f>
        <v/>
      </c>
      <c r="F51" s="171" t="str">
        <f>IF('Statement of Marks'!G53="","",'Statement of Marks'!G53)</f>
        <v/>
      </c>
      <c r="G51" s="171" t="str">
        <f>IF('Statement of Marks'!H53="","",'Statement of Marks'!H53)</f>
        <v/>
      </c>
      <c r="H51" s="172" t="str">
        <f>IF('Statement of Marks'!HS53="","",'Statement of Marks'!HS53)</f>
        <v/>
      </c>
      <c r="I51" s="172" t="str">
        <f>IF('Statement of Marks'!HV53="","",'Statement of Marks'!HV53)</f>
        <v/>
      </c>
      <c r="J51" s="173" t="str">
        <f>IF('Statement of Marks'!HU53="","",'Statement of Marks'!HU53)</f>
        <v/>
      </c>
      <c r="K51" s="181" t="str">
        <f>'Statement of Marks'!GN53</f>
        <v/>
      </c>
      <c r="L51" s="181" t="str">
        <f>'Statement of Marks'!GQ53</f>
        <v/>
      </c>
      <c r="M51" s="181" t="str">
        <f>'Statement of Marks'!GT53</f>
        <v/>
      </c>
      <c r="N51" s="181" t="str">
        <f>'Statement of Marks'!HB53</f>
        <v/>
      </c>
      <c r="O51" s="181" t="str">
        <f>'Statement of Marks'!HE53</f>
        <v/>
      </c>
      <c r="P51" s="181" t="str">
        <f>'Statement of Marks'!HH53</f>
        <v/>
      </c>
      <c r="Q51" s="181" t="str">
        <f>'Statement of Marks'!HK53</f>
        <v/>
      </c>
      <c r="R51" s="173" t="str">
        <f>IF(COUNTIF(K51:Q51,"F")&gt;0,"",CONCATENATE('Statement of Marks'!HO53,'Statement of Marks'!HQ53))</f>
        <v xml:space="preserve">            </v>
      </c>
      <c r="S51" s="174">
        <f t="shared" si="0"/>
        <v>0</v>
      </c>
      <c r="T51" s="5"/>
      <c r="U51" s="182" t="str">
        <f t="shared" si="1"/>
        <v/>
      </c>
      <c r="V51" s="182" t="str">
        <f t="shared" si="2"/>
        <v/>
      </c>
      <c r="W51" s="5"/>
      <c r="X51" s="182" t="str">
        <f t="shared" si="3"/>
        <v/>
      </c>
      <c r="Y51" s="182" t="str">
        <f t="shared" si="4"/>
        <v/>
      </c>
      <c r="Z51" s="5"/>
      <c r="AA51" s="182" t="str">
        <f t="shared" si="5"/>
        <v/>
      </c>
      <c r="AB51" s="183" t="str">
        <f t="shared" si="6"/>
        <v/>
      </c>
      <c r="AC51" s="5"/>
      <c r="AD51" s="182" t="str">
        <f t="shared" si="7"/>
        <v/>
      </c>
      <c r="AE51" s="183" t="str">
        <f t="shared" si="8"/>
        <v/>
      </c>
      <c r="AF51" s="5"/>
      <c r="AG51" s="182" t="str">
        <f t="shared" si="9"/>
        <v/>
      </c>
      <c r="AH51" s="183" t="str">
        <f t="shared" si="10"/>
        <v/>
      </c>
      <c r="AI51" s="5"/>
      <c r="AJ51" s="183" t="str">
        <f t="shared" si="11"/>
        <v/>
      </c>
      <c r="AK51" s="183" t="str">
        <f t="shared" si="12"/>
        <v/>
      </c>
      <c r="AL51" s="5"/>
      <c r="AM51" s="183" t="str">
        <f t="shared" si="13"/>
        <v/>
      </c>
      <c r="AN51" s="183" t="str">
        <f t="shared" si="14"/>
        <v/>
      </c>
      <c r="AO51" s="184">
        <f t="shared" si="15"/>
        <v>0</v>
      </c>
      <c r="AP51" s="184">
        <f t="shared" si="16"/>
        <v>0</v>
      </c>
      <c r="AQ51" s="608" t="str">
        <f t="shared" si="17"/>
        <v/>
      </c>
      <c r="AR51" s="185" t="str">
        <f>IF(COUNTIF(K51:Q51,"F")&gt;0,"",IF(AQ51="PASS",'Statement of Marks'!HZ53,""))</f>
        <v/>
      </c>
      <c r="AS51" s="185" t="str">
        <f>IF(AQ51="PASS",'Statement of Marks'!IA53,"")</f>
        <v/>
      </c>
    </row>
    <row r="52" spans="1:45">
      <c r="A52" s="169">
        <f>IF('Statement of Marks'!A54="","",'Statement of Marks'!A54)</f>
        <v>48</v>
      </c>
      <c r="B52" s="169" t="str">
        <f>IF('Statement of Marks'!B54="","",'Statement of Marks'!B54)</f>
        <v/>
      </c>
      <c r="C52" s="169" t="str">
        <f>IF('Statement of Marks'!D54="","",'Statement of Marks'!D54)</f>
        <v/>
      </c>
      <c r="D52" s="170" t="str">
        <f>IF('Statement of Marks'!E54="","",'Statement of Marks'!E54)</f>
        <v/>
      </c>
      <c r="E52" s="171" t="str">
        <f>IF('Statement of Marks'!F54="","",'Statement of Marks'!F54)</f>
        <v/>
      </c>
      <c r="F52" s="171" t="str">
        <f>IF('Statement of Marks'!G54="","",'Statement of Marks'!G54)</f>
        <v/>
      </c>
      <c r="G52" s="171" t="str">
        <f>IF('Statement of Marks'!H54="","",'Statement of Marks'!H54)</f>
        <v/>
      </c>
      <c r="H52" s="172" t="str">
        <f>IF('Statement of Marks'!HS54="","",'Statement of Marks'!HS54)</f>
        <v/>
      </c>
      <c r="I52" s="172" t="str">
        <f>IF('Statement of Marks'!HV54="","",'Statement of Marks'!HV54)</f>
        <v/>
      </c>
      <c r="J52" s="173" t="str">
        <f>IF('Statement of Marks'!HU54="","",'Statement of Marks'!HU54)</f>
        <v/>
      </c>
      <c r="K52" s="181" t="str">
        <f>'Statement of Marks'!GN54</f>
        <v/>
      </c>
      <c r="L52" s="181" t="str">
        <f>'Statement of Marks'!GQ54</f>
        <v/>
      </c>
      <c r="M52" s="181" t="str">
        <f>'Statement of Marks'!GT54</f>
        <v/>
      </c>
      <c r="N52" s="181" t="str">
        <f>'Statement of Marks'!HB54</f>
        <v/>
      </c>
      <c r="O52" s="181" t="str">
        <f>'Statement of Marks'!HE54</f>
        <v/>
      </c>
      <c r="P52" s="181" t="str">
        <f>'Statement of Marks'!HH54</f>
        <v/>
      </c>
      <c r="Q52" s="181" t="str">
        <f>'Statement of Marks'!HK54</f>
        <v/>
      </c>
      <c r="R52" s="173" t="str">
        <f>IF(COUNTIF(K52:Q52,"F")&gt;0,"",CONCATENATE('Statement of Marks'!HO54,'Statement of Marks'!HQ54))</f>
        <v xml:space="preserve">            </v>
      </c>
      <c r="S52" s="174">
        <f t="shared" si="0"/>
        <v>0</v>
      </c>
      <c r="T52" s="5"/>
      <c r="U52" s="182" t="str">
        <f t="shared" si="1"/>
        <v/>
      </c>
      <c r="V52" s="182" t="str">
        <f t="shared" si="2"/>
        <v/>
      </c>
      <c r="W52" s="5"/>
      <c r="X52" s="182" t="str">
        <f t="shared" si="3"/>
        <v/>
      </c>
      <c r="Y52" s="182" t="str">
        <f t="shared" si="4"/>
        <v/>
      </c>
      <c r="Z52" s="5"/>
      <c r="AA52" s="182" t="str">
        <f t="shared" si="5"/>
        <v/>
      </c>
      <c r="AB52" s="183" t="str">
        <f t="shared" si="6"/>
        <v/>
      </c>
      <c r="AC52" s="5"/>
      <c r="AD52" s="182" t="str">
        <f t="shared" si="7"/>
        <v/>
      </c>
      <c r="AE52" s="183" t="str">
        <f t="shared" si="8"/>
        <v/>
      </c>
      <c r="AF52" s="5"/>
      <c r="AG52" s="182" t="str">
        <f t="shared" si="9"/>
        <v/>
      </c>
      <c r="AH52" s="183" t="str">
        <f t="shared" si="10"/>
        <v/>
      </c>
      <c r="AI52" s="5"/>
      <c r="AJ52" s="183" t="str">
        <f t="shared" si="11"/>
        <v/>
      </c>
      <c r="AK52" s="183" t="str">
        <f t="shared" si="12"/>
        <v/>
      </c>
      <c r="AL52" s="5"/>
      <c r="AM52" s="183" t="str">
        <f t="shared" si="13"/>
        <v/>
      </c>
      <c r="AN52" s="183" t="str">
        <f t="shared" si="14"/>
        <v/>
      </c>
      <c r="AO52" s="184">
        <f t="shared" si="15"/>
        <v>0</v>
      </c>
      <c r="AP52" s="184">
        <f t="shared" si="16"/>
        <v>0</v>
      </c>
      <c r="AQ52" s="608" t="str">
        <f t="shared" si="17"/>
        <v/>
      </c>
      <c r="AR52" s="185" t="str">
        <f>IF(COUNTIF(K52:Q52,"F")&gt;0,"",IF(AQ52="PASS",'Statement of Marks'!HZ54,""))</f>
        <v/>
      </c>
      <c r="AS52" s="185" t="str">
        <f>IF(AQ52="PASS",'Statement of Marks'!IA54,"")</f>
        <v/>
      </c>
    </row>
    <row r="53" spans="1:45">
      <c r="A53" s="169">
        <f>IF('Statement of Marks'!A55="","",'Statement of Marks'!A55)</f>
        <v>49</v>
      </c>
      <c r="B53" s="169" t="str">
        <f>IF('Statement of Marks'!B55="","",'Statement of Marks'!B55)</f>
        <v/>
      </c>
      <c r="C53" s="169" t="str">
        <f>IF('Statement of Marks'!D55="","",'Statement of Marks'!D55)</f>
        <v/>
      </c>
      <c r="D53" s="170" t="str">
        <f>IF('Statement of Marks'!E55="","",'Statement of Marks'!E55)</f>
        <v/>
      </c>
      <c r="E53" s="171" t="str">
        <f>IF('Statement of Marks'!F55="","",'Statement of Marks'!F55)</f>
        <v/>
      </c>
      <c r="F53" s="171" t="str">
        <f>IF('Statement of Marks'!G55="","",'Statement of Marks'!G55)</f>
        <v/>
      </c>
      <c r="G53" s="171" t="str">
        <f>IF('Statement of Marks'!H55="","",'Statement of Marks'!H55)</f>
        <v/>
      </c>
      <c r="H53" s="172" t="str">
        <f>IF('Statement of Marks'!HS55="","",'Statement of Marks'!HS55)</f>
        <v/>
      </c>
      <c r="I53" s="172" t="str">
        <f>IF('Statement of Marks'!HV55="","",'Statement of Marks'!HV55)</f>
        <v/>
      </c>
      <c r="J53" s="173" t="str">
        <f>IF('Statement of Marks'!HU55="","",'Statement of Marks'!HU55)</f>
        <v/>
      </c>
      <c r="K53" s="181" t="str">
        <f>'Statement of Marks'!GN55</f>
        <v/>
      </c>
      <c r="L53" s="181" t="str">
        <f>'Statement of Marks'!GQ55</f>
        <v/>
      </c>
      <c r="M53" s="181" t="str">
        <f>'Statement of Marks'!GT55</f>
        <v/>
      </c>
      <c r="N53" s="181" t="str">
        <f>'Statement of Marks'!HB55</f>
        <v/>
      </c>
      <c r="O53" s="181" t="str">
        <f>'Statement of Marks'!HE55</f>
        <v/>
      </c>
      <c r="P53" s="181" t="str">
        <f>'Statement of Marks'!HH55</f>
        <v/>
      </c>
      <c r="Q53" s="181" t="str">
        <f>'Statement of Marks'!HK55</f>
        <v/>
      </c>
      <c r="R53" s="173" t="str">
        <f>IF(COUNTIF(K53:Q53,"F")&gt;0,"",CONCATENATE('Statement of Marks'!HO55,'Statement of Marks'!HQ55))</f>
        <v xml:space="preserve">            </v>
      </c>
      <c r="S53" s="174">
        <f t="shared" si="0"/>
        <v>0</v>
      </c>
      <c r="T53" s="5"/>
      <c r="U53" s="182" t="str">
        <f t="shared" si="1"/>
        <v/>
      </c>
      <c r="V53" s="182" t="str">
        <f t="shared" si="2"/>
        <v/>
      </c>
      <c r="W53" s="5"/>
      <c r="X53" s="182" t="str">
        <f t="shared" si="3"/>
        <v/>
      </c>
      <c r="Y53" s="182" t="str">
        <f t="shared" si="4"/>
        <v/>
      </c>
      <c r="Z53" s="5"/>
      <c r="AA53" s="182" t="str">
        <f t="shared" si="5"/>
        <v/>
      </c>
      <c r="AB53" s="183" t="str">
        <f t="shared" si="6"/>
        <v/>
      </c>
      <c r="AC53" s="5"/>
      <c r="AD53" s="182" t="str">
        <f t="shared" si="7"/>
        <v/>
      </c>
      <c r="AE53" s="183" t="str">
        <f t="shared" si="8"/>
        <v/>
      </c>
      <c r="AF53" s="5"/>
      <c r="AG53" s="182" t="str">
        <f t="shared" si="9"/>
        <v/>
      </c>
      <c r="AH53" s="183" t="str">
        <f t="shared" si="10"/>
        <v/>
      </c>
      <c r="AI53" s="5"/>
      <c r="AJ53" s="183" t="str">
        <f t="shared" si="11"/>
        <v/>
      </c>
      <c r="AK53" s="183" t="str">
        <f t="shared" si="12"/>
        <v/>
      </c>
      <c r="AL53" s="5"/>
      <c r="AM53" s="183" t="str">
        <f t="shared" si="13"/>
        <v/>
      </c>
      <c r="AN53" s="183" t="str">
        <f t="shared" si="14"/>
        <v/>
      </c>
      <c r="AO53" s="184">
        <f t="shared" si="15"/>
        <v>0</v>
      </c>
      <c r="AP53" s="184">
        <f t="shared" si="16"/>
        <v>0</v>
      </c>
      <c r="AQ53" s="608" t="str">
        <f t="shared" si="17"/>
        <v/>
      </c>
      <c r="AR53" s="185" t="str">
        <f>IF(COUNTIF(K53:Q53,"F")&gt;0,"",IF(AQ53="PASS",'Statement of Marks'!HZ55,""))</f>
        <v/>
      </c>
      <c r="AS53" s="185" t="str">
        <f>IF(AQ53="PASS",'Statement of Marks'!IA55,"")</f>
        <v/>
      </c>
    </row>
    <row r="54" spans="1:45">
      <c r="A54" s="169">
        <f>IF('Statement of Marks'!A56="","",'Statement of Marks'!A56)</f>
        <v>50</v>
      </c>
      <c r="B54" s="169" t="str">
        <f>IF('Statement of Marks'!B56="","",'Statement of Marks'!B56)</f>
        <v/>
      </c>
      <c r="C54" s="169" t="str">
        <f>IF('Statement of Marks'!D56="","",'Statement of Marks'!D56)</f>
        <v/>
      </c>
      <c r="D54" s="170" t="str">
        <f>IF('Statement of Marks'!E56="","",'Statement of Marks'!E56)</f>
        <v/>
      </c>
      <c r="E54" s="171" t="str">
        <f>IF('Statement of Marks'!F56="","",'Statement of Marks'!F56)</f>
        <v/>
      </c>
      <c r="F54" s="171" t="str">
        <f>IF('Statement of Marks'!G56="","",'Statement of Marks'!G56)</f>
        <v/>
      </c>
      <c r="G54" s="171" t="str">
        <f>IF('Statement of Marks'!H56="","",'Statement of Marks'!H56)</f>
        <v/>
      </c>
      <c r="H54" s="172" t="str">
        <f>IF('Statement of Marks'!HS56="","",'Statement of Marks'!HS56)</f>
        <v/>
      </c>
      <c r="I54" s="172" t="str">
        <f>IF('Statement of Marks'!HV56="","",'Statement of Marks'!HV56)</f>
        <v/>
      </c>
      <c r="J54" s="173" t="str">
        <f>IF('Statement of Marks'!HU56="","",'Statement of Marks'!HU56)</f>
        <v/>
      </c>
      <c r="K54" s="181" t="str">
        <f>'Statement of Marks'!GN56</f>
        <v/>
      </c>
      <c r="L54" s="181" t="str">
        <f>'Statement of Marks'!GQ56</f>
        <v/>
      </c>
      <c r="M54" s="181" t="str">
        <f>'Statement of Marks'!GT56</f>
        <v/>
      </c>
      <c r="N54" s="181" t="str">
        <f>'Statement of Marks'!HB56</f>
        <v/>
      </c>
      <c r="O54" s="181" t="str">
        <f>'Statement of Marks'!HE56</f>
        <v/>
      </c>
      <c r="P54" s="181" t="str">
        <f>'Statement of Marks'!HH56</f>
        <v/>
      </c>
      <c r="Q54" s="181" t="str">
        <f>'Statement of Marks'!HK56</f>
        <v/>
      </c>
      <c r="R54" s="173" t="str">
        <f>IF(COUNTIF(K54:Q54,"F")&gt;0,"",CONCATENATE('Statement of Marks'!HO56,'Statement of Marks'!HQ56))</f>
        <v xml:space="preserve">            </v>
      </c>
      <c r="S54" s="174">
        <f t="shared" si="0"/>
        <v>0</v>
      </c>
      <c r="T54" s="5"/>
      <c r="U54" s="182" t="str">
        <f t="shared" si="1"/>
        <v/>
      </c>
      <c r="V54" s="182" t="str">
        <f t="shared" si="2"/>
        <v/>
      </c>
      <c r="W54" s="5"/>
      <c r="X54" s="182" t="str">
        <f t="shared" si="3"/>
        <v/>
      </c>
      <c r="Y54" s="182" t="str">
        <f t="shared" si="4"/>
        <v/>
      </c>
      <c r="Z54" s="5"/>
      <c r="AA54" s="182" t="str">
        <f t="shared" si="5"/>
        <v/>
      </c>
      <c r="AB54" s="183" t="str">
        <f t="shared" si="6"/>
        <v/>
      </c>
      <c r="AC54" s="5"/>
      <c r="AD54" s="182" t="str">
        <f t="shared" si="7"/>
        <v/>
      </c>
      <c r="AE54" s="183" t="str">
        <f t="shared" si="8"/>
        <v/>
      </c>
      <c r="AF54" s="5"/>
      <c r="AG54" s="182" t="str">
        <f t="shared" si="9"/>
        <v/>
      </c>
      <c r="AH54" s="183" t="str">
        <f t="shared" si="10"/>
        <v/>
      </c>
      <c r="AI54" s="5"/>
      <c r="AJ54" s="183" t="str">
        <f t="shared" si="11"/>
        <v/>
      </c>
      <c r="AK54" s="183" t="str">
        <f t="shared" si="12"/>
        <v/>
      </c>
      <c r="AL54" s="5"/>
      <c r="AM54" s="183" t="str">
        <f t="shared" si="13"/>
        <v/>
      </c>
      <c r="AN54" s="183" t="str">
        <f t="shared" si="14"/>
        <v/>
      </c>
      <c r="AO54" s="184">
        <f t="shared" si="15"/>
        <v>0</v>
      </c>
      <c r="AP54" s="184">
        <f t="shared" si="16"/>
        <v>0</v>
      </c>
      <c r="AQ54" s="608" t="str">
        <f t="shared" si="17"/>
        <v/>
      </c>
      <c r="AR54" s="185" t="str">
        <f>IF(COUNTIF(K54:Q54,"F")&gt;0,"",IF(AQ54="PASS",'Statement of Marks'!HZ56,""))</f>
        <v/>
      </c>
      <c r="AS54" s="185" t="str">
        <f>IF(AQ54="PASS",'Statement of Marks'!IA56,"")</f>
        <v/>
      </c>
    </row>
    <row r="55" spans="1:45">
      <c r="A55" s="169">
        <f>IF('Statement of Marks'!A57="","",'Statement of Marks'!A57)</f>
        <v>51</v>
      </c>
      <c r="B55" s="169" t="str">
        <f>IF('Statement of Marks'!B57="","",'Statement of Marks'!B57)</f>
        <v/>
      </c>
      <c r="C55" s="169" t="str">
        <f>IF('Statement of Marks'!D57="","",'Statement of Marks'!D57)</f>
        <v/>
      </c>
      <c r="D55" s="170" t="str">
        <f>IF('Statement of Marks'!E57="","",'Statement of Marks'!E57)</f>
        <v/>
      </c>
      <c r="E55" s="171" t="str">
        <f>IF('Statement of Marks'!F57="","",'Statement of Marks'!F57)</f>
        <v/>
      </c>
      <c r="F55" s="171" t="str">
        <f>IF('Statement of Marks'!G57="","",'Statement of Marks'!G57)</f>
        <v/>
      </c>
      <c r="G55" s="171" t="str">
        <f>IF('Statement of Marks'!H57="","",'Statement of Marks'!H57)</f>
        <v/>
      </c>
      <c r="H55" s="172" t="str">
        <f>IF('Statement of Marks'!HS57="","",'Statement of Marks'!HS57)</f>
        <v/>
      </c>
      <c r="I55" s="172" t="str">
        <f>IF('Statement of Marks'!HV57="","",'Statement of Marks'!HV57)</f>
        <v/>
      </c>
      <c r="J55" s="173" t="str">
        <f>IF('Statement of Marks'!HU57="","",'Statement of Marks'!HU57)</f>
        <v/>
      </c>
      <c r="K55" s="181" t="str">
        <f>'Statement of Marks'!GN57</f>
        <v/>
      </c>
      <c r="L55" s="181" t="str">
        <f>'Statement of Marks'!GQ57</f>
        <v/>
      </c>
      <c r="M55" s="181" t="str">
        <f>'Statement of Marks'!GT57</f>
        <v/>
      </c>
      <c r="N55" s="181" t="str">
        <f>'Statement of Marks'!HB57</f>
        <v/>
      </c>
      <c r="O55" s="181" t="str">
        <f>'Statement of Marks'!HE57</f>
        <v/>
      </c>
      <c r="P55" s="181" t="str">
        <f>'Statement of Marks'!HH57</f>
        <v/>
      </c>
      <c r="Q55" s="181" t="str">
        <f>'Statement of Marks'!HK57</f>
        <v/>
      </c>
      <c r="R55" s="173" t="str">
        <f>IF(COUNTIF(K55:Q55,"F")&gt;0,"",CONCATENATE('Statement of Marks'!HO57,'Statement of Marks'!HQ57))</f>
        <v xml:space="preserve">            </v>
      </c>
      <c r="S55" s="174">
        <f t="shared" si="0"/>
        <v>0</v>
      </c>
      <c r="T55" s="5"/>
      <c r="U55" s="182" t="str">
        <f t="shared" si="1"/>
        <v/>
      </c>
      <c r="V55" s="182" t="str">
        <f t="shared" si="2"/>
        <v/>
      </c>
      <c r="W55" s="5"/>
      <c r="X55" s="182" t="str">
        <f t="shared" si="3"/>
        <v/>
      </c>
      <c r="Y55" s="182" t="str">
        <f t="shared" si="4"/>
        <v/>
      </c>
      <c r="Z55" s="5"/>
      <c r="AA55" s="182" t="str">
        <f t="shared" si="5"/>
        <v/>
      </c>
      <c r="AB55" s="183" t="str">
        <f t="shared" si="6"/>
        <v/>
      </c>
      <c r="AC55" s="5"/>
      <c r="AD55" s="182" t="str">
        <f t="shared" si="7"/>
        <v/>
      </c>
      <c r="AE55" s="183" t="str">
        <f t="shared" si="8"/>
        <v/>
      </c>
      <c r="AF55" s="5"/>
      <c r="AG55" s="182" t="str">
        <f t="shared" si="9"/>
        <v/>
      </c>
      <c r="AH55" s="183" t="str">
        <f t="shared" si="10"/>
        <v/>
      </c>
      <c r="AI55" s="5"/>
      <c r="AJ55" s="183" t="str">
        <f t="shared" si="11"/>
        <v/>
      </c>
      <c r="AK55" s="183" t="str">
        <f t="shared" si="12"/>
        <v/>
      </c>
      <c r="AL55" s="5"/>
      <c r="AM55" s="183" t="str">
        <f t="shared" si="13"/>
        <v/>
      </c>
      <c r="AN55" s="183" t="str">
        <f t="shared" si="14"/>
        <v/>
      </c>
      <c r="AO55" s="184">
        <f t="shared" si="15"/>
        <v>0</v>
      </c>
      <c r="AP55" s="184">
        <f t="shared" si="16"/>
        <v>0</v>
      </c>
      <c r="AQ55" s="608" t="str">
        <f t="shared" si="17"/>
        <v/>
      </c>
      <c r="AR55" s="185" t="str">
        <f>IF(COUNTIF(K55:Q55,"F")&gt;0,"",IF(AQ55="PASS",'Statement of Marks'!HZ57,""))</f>
        <v/>
      </c>
      <c r="AS55" s="185" t="str">
        <f>IF(AQ55="PASS",'Statement of Marks'!IA57,"")</f>
        <v/>
      </c>
    </row>
    <row r="56" spans="1:45">
      <c r="A56" s="169">
        <f>IF('Statement of Marks'!A58="","",'Statement of Marks'!A58)</f>
        <v>52</v>
      </c>
      <c r="B56" s="169" t="str">
        <f>IF('Statement of Marks'!B58="","",'Statement of Marks'!B58)</f>
        <v/>
      </c>
      <c r="C56" s="169" t="str">
        <f>IF('Statement of Marks'!D58="","",'Statement of Marks'!D58)</f>
        <v/>
      </c>
      <c r="D56" s="170" t="str">
        <f>IF('Statement of Marks'!E58="","",'Statement of Marks'!E58)</f>
        <v/>
      </c>
      <c r="E56" s="171" t="str">
        <f>IF('Statement of Marks'!F58="","",'Statement of Marks'!F58)</f>
        <v/>
      </c>
      <c r="F56" s="171" t="str">
        <f>IF('Statement of Marks'!G58="","",'Statement of Marks'!G58)</f>
        <v/>
      </c>
      <c r="G56" s="171" t="str">
        <f>IF('Statement of Marks'!H58="","",'Statement of Marks'!H58)</f>
        <v/>
      </c>
      <c r="H56" s="172" t="str">
        <f>IF('Statement of Marks'!HS58="","",'Statement of Marks'!HS58)</f>
        <v/>
      </c>
      <c r="I56" s="172" t="str">
        <f>IF('Statement of Marks'!HV58="","",'Statement of Marks'!HV58)</f>
        <v/>
      </c>
      <c r="J56" s="173" t="str">
        <f>IF('Statement of Marks'!HU58="","",'Statement of Marks'!HU58)</f>
        <v/>
      </c>
      <c r="K56" s="181" t="str">
        <f>'Statement of Marks'!GN58</f>
        <v/>
      </c>
      <c r="L56" s="181" t="str">
        <f>'Statement of Marks'!GQ58</f>
        <v/>
      </c>
      <c r="M56" s="181" t="str">
        <f>'Statement of Marks'!GT58</f>
        <v/>
      </c>
      <c r="N56" s="181" t="str">
        <f>'Statement of Marks'!HB58</f>
        <v/>
      </c>
      <c r="O56" s="181" t="str">
        <f>'Statement of Marks'!HE58</f>
        <v/>
      </c>
      <c r="P56" s="181" t="str">
        <f>'Statement of Marks'!HH58</f>
        <v/>
      </c>
      <c r="Q56" s="181" t="str">
        <f>'Statement of Marks'!HK58</f>
        <v/>
      </c>
      <c r="R56" s="173" t="str">
        <f>IF(COUNTIF(K56:Q56,"F")&gt;0,"",CONCATENATE('Statement of Marks'!HO58,'Statement of Marks'!HQ58))</f>
        <v xml:space="preserve">            </v>
      </c>
      <c r="S56" s="174">
        <f t="shared" si="0"/>
        <v>0</v>
      </c>
      <c r="T56" s="5"/>
      <c r="U56" s="182" t="str">
        <f t="shared" si="1"/>
        <v/>
      </c>
      <c r="V56" s="182" t="str">
        <f t="shared" si="2"/>
        <v/>
      </c>
      <c r="W56" s="5"/>
      <c r="X56" s="182" t="str">
        <f t="shared" si="3"/>
        <v/>
      </c>
      <c r="Y56" s="182" t="str">
        <f t="shared" si="4"/>
        <v/>
      </c>
      <c r="Z56" s="5"/>
      <c r="AA56" s="182" t="str">
        <f t="shared" si="5"/>
        <v/>
      </c>
      <c r="AB56" s="183" t="str">
        <f t="shared" si="6"/>
        <v/>
      </c>
      <c r="AC56" s="5"/>
      <c r="AD56" s="182" t="str">
        <f t="shared" si="7"/>
        <v/>
      </c>
      <c r="AE56" s="183" t="str">
        <f t="shared" si="8"/>
        <v/>
      </c>
      <c r="AF56" s="5"/>
      <c r="AG56" s="182" t="str">
        <f t="shared" si="9"/>
        <v/>
      </c>
      <c r="AH56" s="183" t="str">
        <f t="shared" si="10"/>
        <v/>
      </c>
      <c r="AI56" s="5"/>
      <c r="AJ56" s="183" t="str">
        <f t="shared" si="11"/>
        <v/>
      </c>
      <c r="AK56" s="183" t="str">
        <f t="shared" si="12"/>
        <v/>
      </c>
      <c r="AL56" s="5"/>
      <c r="AM56" s="183" t="str">
        <f t="shared" si="13"/>
        <v/>
      </c>
      <c r="AN56" s="183" t="str">
        <f t="shared" si="14"/>
        <v/>
      </c>
      <c r="AO56" s="184">
        <f t="shared" si="15"/>
        <v>0</v>
      </c>
      <c r="AP56" s="184">
        <f t="shared" si="16"/>
        <v>0</v>
      </c>
      <c r="AQ56" s="608" t="str">
        <f t="shared" si="17"/>
        <v/>
      </c>
      <c r="AR56" s="185" t="str">
        <f>IF(COUNTIF(K56:Q56,"F")&gt;0,"",IF(AQ56="PASS",'Statement of Marks'!HZ58,""))</f>
        <v/>
      </c>
      <c r="AS56" s="185" t="str">
        <f>IF(AQ56="PASS",'Statement of Marks'!IA58,"")</f>
        <v/>
      </c>
    </row>
    <row r="57" spans="1:45">
      <c r="A57" s="169">
        <f>IF('Statement of Marks'!A59="","",'Statement of Marks'!A59)</f>
        <v>53</v>
      </c>
      <c r="B57" s="169" t="str">
        <f>IF('Statement of Marks'!B59="","",'Statement of Marks'!B59)</f>
        <v/>
      </c>
      <c r="C57" s="169" t="str">
        <f>IF('Statement of Marks'!D59="","",'Statement of Marks'!D59)</f>
        <v/>
      </c>
      <c r="D57" s="170" t="str">
        <f>IF('Statement of Marks'!E59="","",'Statement of Marks'!E59)</f>
        <v/>
      </c>
      <c r="E57" s="171" t="str">
        <f>IF('Statement of Marks'!F59="","",'Statement of Marks'!F59)</f>
        <v/>
      </c>
      <c r="F57" s="171" t="str">
        <f>IF('Statement of Marks'!G59="","",'Statement of Marks'!G59)</f>
        <v/>
      </c>
      <c r="G57" s="171" t="str">
        <f>IF('Statement of Marks'!H59="","",'Statement of Marks'!H59)</f>
        <v/>
      </c>
      <c r="H57" s="172" t="str">
        <f>IF('Statement of Marks'!HS59="","",'Statement of Marks'!HS59)</f>
        <v/>
      </c>
      <c r="I57" s="172" t="str">
        <f>IF('Statement of Marks'!HV59="","",'Statement of Marks'!HV59)</f>
        <v/>
      </c>
      <c r="J57" s="173" t="str">
        <f>IF('Statement of Marks'!HU59="","",'Statement of Marks'!HU59)</f>
        <v/>
      </c>
      <c r="K57" s="181" t="str">
        <f>'Statement of Marks'!GN59</f>
        <v/>
      </c>
      <c r="L57" s="181" t="str">
        <f>'Statement of Marks'!GQ59</f>
        <v/>
      </c>
      <c r="M57" s="181" t="str">
        <f>'Statement of Marks'!GT59</f>
        <v/>
      </c>
      <c r="N57" s="181" t="str">
        <f>'Statement of Marks'!HB59</f>
        <v/>
      </c>
      <c r="O57" s="181" t="str">
        <f>'Statement of Marks'!HE59</f>
        <v/>
      </c>
      <c r="P57" s="181" t="str">
        <f>'Statement of Marks'!HH59</f>
        <v/>
      </c>
      <c r="Q57" s="181" t="str">
        <f>'Statement of Marks'!HK59</f>
        <v/>
      </c>
      <c r="R57" s="173" t="str">
        <f>IF(COUNTIF(K57:Q57,"F")&gt;0,"",CONCATENATE('Statement of Marks'!HO59,'Statement of Marks'!HQ59))</f>
        <v xml:space="preserve">            </v>
      </c>
      <c r="S57" s="174">
        <f t="shared" si="0"/>
        <v>0</v>
      </c>
      <c r="T57" s="5"/>
      <c r="U57" s="182" t="str">
        <f t="shared" si="1"/>
        <v/>
      </c>
      <c r="V57" s="182" t="str">
        <f t="shared" si="2"/>
        <v/>
      </c>
      <c r="W57" s="5"/>
      <c r="X57" s="182" t="str">
        <f t="shared" si="3"/>
        <v/>
      </c>
      <c r="Y57" s="182" t="str">
        <f t="shared" si="4"/>
        <v/>
      </c>
      <c r="Z57" s="5"/>
      <c r="AA57" s="182" t="str">
        <f t="shared" si="5"/>
        <v/>
      </c>
      <c r="AB57" s="183" t="str">
        <f t="shared" si="6"/>
        <v/>
      </c>
      <c r="AC57" s="5"/>
      <c r="AD57" s="182" t="str">
        <f t="shared" si="7"/>
        <v/>
      </c>
      <c r="AE57" s="183" t="str">
        <f t="shared" si="8"/>
        <v/>
      </c>
      <c r="AF57" s="5"/>
      <c r="AG57" s="182" t="str">
        <f t="shared" si="9"/>
        <v/>
      </c>
      <c r="AH57" s="183" t="str">
        <f t="shared" si="10"/>
        <v/>
      </c>
      <c r="AI57" s="5"/>
      <c r="AJ57" s="183" t="str">
        <f t="shared" si="11"/>
        <v/>
      </c>
      <c r="AK57" s="183" t="str">
        <f t="shared" si="12"/>
        <v/>
      </c>
      <c r="AL57" s="5"/>
      <c r="AM57" s="183" t="str">
        <f t="shared" si="13"/>
        <v/>
      </c>
      <c r="AN57" s="183" t="str">
        <f t="shared" si="14"/>
        <v/>
      </c>
      <c r="AO57" s="184">
        <f t="shared" si="15"/>
        <v>0</v>
      </c>
      <c r="AP57" s="184">
        <f t="shared" si="16"/>
        <v>0</v>
      </c>
      <c r="AQ57" s="608" t="str">
        <f t="shared" si="17"/>
        <v/>
      </c>
      <c r="AR57" s="185" t="str">
        <f>IF(COUNTIF(K57:Q57,"F")&gt;0,"",IF(AQ57="PASS",'Statement of Marks'!HZ59,""))</f>
        <v/>
      </c>
      <c r="AS57" s="185" t="str">
        <f>IF(AQ57="PASS",'Statement of Marks'!IA59,"")</f>
        <v/>
      </c>
    </row>
    <row r="58" spans="1:45">
      <c r="A58" s="169">
        <f>IF('Statement of Marks'!A60="","",'Statement of Marks'!A60)</f>
        <v>54</v>
      </c>
      <c r="B58" s="169" t="str">
        <f>IF('Statement of Marks'!B60="","",'Statement of Marks'!B60)</f>
        <v/>
      </c>
      <c r="C58" s="169" t="str">
        <f>IF('Statement of Marks'!D60="","",'Statement of Marks'!D60)</f>
        <v/>
      </c>
      <c r="D58" s="170" t="str">
        <f>IF('Statement of Marks'!E60="","",'Statement of Marks'!E60)</f>
        <v/>
      </c>
      <c r="E58" s="171" t="str">
        <f>IF('Statement of Marks'!F60="","",'Statement of Marks'!F60)</f>
        <v/>
      </c>
      <c r="F58" s="171" t="str">
        <f>IF('Statement of Marks'!G60="","",'Statement of Marks'!G60)</f>
        <v/>
      </c>
      <c r="G58" s="171" t="str">
        <f>IF('Statement of Marks'!H60="","",'Statement of Marks'!H60)</f>
        <v/>
      </c>
      <c r="H58" s="172" t="str">
        <f>IF('Statement of Marks'!HS60="","",'Statement of Marks'!HS60)</f>
        <v/>
      </c>
      <c r="I58" s="172" t="str">
        <f>IF('Statement of Marks'!HV60="","",'Statement of Marks'!HV60)</f>
        <v/>
      </c>
      <c r="J58" s="173" t="str">
        <f>IF('Statement of Marks'!HU60="","",'Statement of Marks'!HU60)</f>
        <v/>
      </c>
      <c r="K58" s="181" t="str">
        <f>'Statement of Marks'!GN60</f>
        <v/>
      </c>
      <c r="L58" s="181" t="str">
        <f>'Statement of Marks'!GQ60</f>
        <v/>
      </c>
      <c r="M58" s="181" t="str">
        <f>'Statement of Marks'!GT60</f>
        <v/>
      </c>
      <c r="N58" s="181" t="str">
        <f>'Statement of Marks'!HB60</f>
        <v/>
      </c>
      <c r="O58" s="181" t="str">
        <f>'Statement of Marks'!HE60</f>
        <v/>
      </c>
      <c r="P58" s="181" t="str">
        <f>'Statement of Marks'!HH60</f>
        <v/>
      </c>
      <c r="Q58" s="181" t="str">
        <f>'Statement of Marks'!HK60</f>
        <v/>
      </c>
      <c r="R58" s="173" t="str">
        <f>IF(COUNTIF(K58:Q58,"F")&gt;0,"",CONCATENATE('Statement of Marks'!HO60,'Statement of Marks'!HQ60))</f>
        <v xml:space="preserve">            </v>
      </c>
      <c r="S58" s="174">
        <f t="shared" si="0"/>
        <v>0</v>
      </c>
      <c r="T58" s="5"/>
      <c r="U58" s="182" t="str">
        <f t="shared" si="1"/>
        <v/>
      </c>
      <c r="V58" s="182" t="str">
        <f t="shared" si="2"/>
        <v/>
      </c>
      <c r="W58" s="5"/>
      <c r="X58" s="182" t="str">
        <f t="shared" si="3"/>
        <v/>
      </c>
      <c r="Y58" s="182" t="str">
        <f t="shared" si="4"/>
        <v/>
      </c>
      <c r="Z58" s="5"/>
      <c r="AA58" s="182" t="str">
        <f t="shared" si="5"/>
        <v/>
      </c>
      <c r="AB58" s="183" t="str">
        <f t="shared" si="6"/>
        <v/>
      </c>
      <c r="AC58" s="5"/>
      <c r="AD58" s="182" t="str">
        <f t="shared" si="7"/>
        <v/>
      </c>
      <c r="AE58" s="183" t="str">
        <f t="shared" si="8"/>
        <v/>
      </c>
      <c r="AF58" s="5"/>
      <c r="AG58" s="182" t="str">
        <f t="shared" si="9"/>
        <v/>
      </c>
      <c r="AH58" s="183" t="str">
        <f t="shared" si="10"/>
        <v/>
      </c>
      <c r="AI58" s="5"/>
      <c r="AJ58" s="183" t="str">
        <f t="shared" si="11"/>
        <v/>
      </c>
      <c r="AK58" s="183" t="str">
        <f t="shared" si="12"/>
        <v/>
      </c>
      <c r="AL58" s="5"/>
      <c r="AM58" s="183" t="str">
        <f t="shared" si="13"/>
        <v/>
      </c>
      <c r="AN58" s="183" t="str">
        <f t="shared" si="14"/>
        <v/>
      </c>
      <c r="AO58" s="184">
        <f t="shared" si="15"/>
        <v>0</v>
      </c>
      <c r="AP58" s="184">
        <f t="shared" si="16"/>
        <v>0</v>
      </c>
      <c r="AQ58" s="608" t="str">
        <f t="shared" si="17"/>
        <v/>
      </c>
      <c r="AR58" s="185" t="str">
        <f>IF(COUNTIF(K58:Q58,"F")&gt;0,"",IF(AQ58="PASS",'Statement of Marks'!HZ60,""))</f>
        <v/>
      </c>
      <c r="AS58" s="185" t="str">
        <f>IF(AQ58="PASS",'Statement of Marks'!IA60,"")</f>
        <v/>
      </c>
    </row>
    <row r="59" spans="1:45">
      <c r="A59" s="169">
        <f>IF('Statement of Marks'!A61="","",'Statement of Marks'!A61)</f>
        <v>55</v>
      </c>
      <c r="B59" s="169" t="str">
        <f>IF('Statement of Marks'!B61="","",'Statement of Marks'!B61)</f>
        <v/>
      </c>
      <c r="C59" s="169" t="str">
        <f>IF('Statement of Marks'!D61="","",'Statement of Marks'!D61)</f>
        <v/>
      </c>
      <c r="D59" s="170" t="str">
        <f>IF('Statement of Marks'!E61="","",'Statement of Marks'!E61)</f>
        <v/>
      </c>
      <c r="E59" s="171" t="str">
        <f>IF('Statement of Marks'!F61="","",'Statement of Marks'!F61)</f>
        <v/>
      </c>
      <c r="F59" s="171" t="str">
        <f>IF('Statement of Marks'!G61="","",'Statement of Marks'!G61)</f>
        <v/>
      </c>
      <c r="G59" s="171" t="str">
        <f>IF('Statement of Marks'!H61="","",'Statement of Marks'!H61)</f>
        <v/>
      </c>
      <c r="H59" s="172" t="str">
        <f>IF('Statement of Marks'!HS61="","",'Statement of Marks'!HS61)</f>
        <v/>
      </c>
      <c r="I59" s="172" t="str">
        <f>IF('Statement of Marks'!HV61="","",'Statement of Marks'!HV61)</f>
        <v/>
      </c>
      <c r="J59" s="173" t="str">
        <f>IF('Statement of Marks'!HU61="","",'Statement of Marks'!HU61)</f>
        <v/>
      </c>
      <c r="K59" s="181" t="str">
        <f>'Statement of Marks'!GN61</f>
        <v/>
      </c>
      <c r="L59" s="181" t="str">
        <f>'Statement of Marks'!GQ61</f>
        <v/>
      </c>
      <c r="M59" s="181" t="str">
        <f>'Statement of Marks'!GT61</f>
        <v/>
      </c>
      <c r="N59" s="181" t="str">
        <f>'Statement of Marks'!HB61</f>
        <v/>
      </c>
      <c r="O59" s="181" t="str">
        <f>'Statement of Marks'!HE61</f>
        <v/>
      </c>
      <c r="P59" s="181" t="str">
        <f>'Statement of Marks'!HH61</f>
        <v/>
      </c>
      <c r="Q59" s="181" t="str">
        <f>'Statement of Marks'!HK61</f>
        <v/>
      </c>
      <c r="R59" s="173" t="str">
        <f>IF(COUNTIF(K59:Q59,"F")&gt;0,"",CONCATENATE('Statement of Marks'!HO61,'Statement of Marks'!HQ61))</f>
        <v xml:space="preserve">            </v>
      </c>
      <c r="S59" s="174">
        <f t="shared" si="0"/>
        <v>0</v>
      </c>
      <c r="T59" s="5"/>
      <c r="U59" s="182" t="str">
        <f t="shared" si="1"/>
        <v/>
      </c>
      <c r="V59" s="182" t="str">
        <f t="shared" si="2"/>
        <v/>
      </c>
      <c r="W59" s="5"/>
      <c r="X59" s="182" t="str">
        <f t="shared" si="3"/>
        <v/>
      </c>
      <c r="Y59" s="182" t="str">
        <f t="shared" si="4"/>
        <v/>
      </c>
      <c r="Z59" s="5"/>
      <c r="AA59" s="182" t="str">
        <f t="shared" si="5"/>
        <v/>
      </c>
      <c r="AB59" s="183" t="str">
        <f t="shared" si="6"/>
        <v/>
      </c>
      <c r="AC59" s="5"/>
      <c r="AD59" s="182" t="str">
        <f t="shared" si="7"/>
        <v/>
      </c>
      <c r="AE59" s="183" t="str">
        <f t="shared" si="8"/>
        <v/>
      </c>
      <c r="AF59" s="5"/>
      <c r="AG59" s="182" t="str">
        <f t="shared" si="9"/>
        <v/>
      </c>
      <c r="AH59" s="183" t="str">
        <f t="shared" si="10"/>
        <v/>
      </c>
      <c r="AI59" s="5"/>
      <c r="AJ59" s="183" t="str">
        <f t="shared" si="11"/>
        <v/>
      </c>
      <c r="AK59" s="183" t="str">
        <f t="shared" si="12"/>
        <v/>
      </c>
      <c r="AL59" s="5"/>
      <c r="AM59" s="183" t="str">
        <f t="shared" si="13"/>
        <v/>
      </c>
      <c r="AN59" s="183" t="str">
        <f t="shared" si="14"/>
        <v/>
      </c>
      <c r="AO59" s="184">
        <f t="shared" si="15"/>
        <v>0</v>
      </c>
      <c r="AP59" s="184">
        <f t="shared" si="16"/>
        <v>0</v>
      </c>
      <c r="AQ59" s="608" t="str">
        <f t="shared" si="17"/>
        <v/>
      </c>
      <c r="AR59" s="185" t="str">
        <f>IF(COUNTIF(K59:Q59,"F")&gt;0,"",IF(AQ59="PASS",'Statement of Marks'!HZ61,""))</f>
        <v/>
      </c>
      <c r="AS59" s="185" t="str">
        <f>IF(AQ59="PASS",'Statement of Marks'!IA61,"")</f>
        <v/>
      </c>
    </row>
    <row r="60" spans="1:45">
      <c r="A60" s="169">
        <f>IF('Statement of Marks'!A62="","",'Statement of Marks'!A62)</f>
        <v>56</v>
      </c>
      <c r="B60" s="169" t="str">
        <f>IF('Statement of Marks'!B62="","",'Statement of Marks'!B62)</f>
        <v/>
      </c>
      <c r="C60" s="169" t="str">
        <f>IF('Statement of Marks'!D62="","",'Statement of Marks'!D62)</f>
        <v/>
      </c>
      <c r="D60" s="170" t="str">
        <f>IF('Statement of Marks'!E62="","",'Statement of Marks'!E62)</f>
        <v/>
      </c>
      <c r="E60" s="171" t="str">
        <f>IF('Statement of Marks'!F62="","",'Statement of Marks'!F62)</f>
        <v/>
      </c>
      <c r="F60" s="171" t="str">
        <f>IF('Statement of Marks'!G62="","",'Statement of Marks'!G62)</f>
        <v/>
      </c>
      <c r="G60" s="171" t="str">
        <f>IF('Statement of Marks'!H62="","",'Statement of Marks'!H62)</f>
        <v/>
      </c>
      <c r="H60" s="172" t="str">
        <f>IF('Statement of Marks'!HS62="","",'Statement of Marks'!HS62)</f>
        <v/>
      </c>
      <c r="I60" s="172" t="str">
        <f>IF('Statement of Marks'!HV62="","",'Statement of Marks'!HV62)</f>
        <v/>
      </c>
      <c r="J60" s="173" t="str">
        <f>IF('Statement of Marks'!HU62="","",'Statement of Marks'!HU62)</f>
        <v/>
      </c>
      <c r="K60" s="181" t="str">
        <f>'Statement of Marks'!GN62</f>
        <v/>
      </c>
      <c r="L60" s="181" t="str">
        <f>'Statement of Marks'!GQ62</f>
        <v/>
      </c>
      <c r="M60" s="181" t="str">
        <f>'Statement of Marks'!GT62</f>
        <v/>
      </c>
      <c r="N60" s="181" t="str">
        <f>'Statement of Marks'!HB62</f>
        <v/>
      </c>
      <c r="O60" s="181" t="str">
        <f>'Statement of Marks'!HE62</f>
        <v/>
      </c>
      <c r="P60" s="181" t="str">
        <f>'Statement of Marks'!HH62</f>
        <v/>
      </c>
      <c r="Q60" s="181" t="str">
        <f>'Statement of Marks'!HK62</f>
        <v/>
      </c>
      <c r="R60" s="173" t="str">
        <f>IF(COUNTIF(K60:Q60,"F")&gt;0,"",CONCATENATE('Statement of Marks'!HO62,'Statement of Marks'!HQ62))</f>
        <v xml:space="preserve">            </v>
      </c>
      <c r="S60" s="174">
        <f t="shared" si="0"/>
        <v>0</v>
      </c>
      <c r="T60" s="5"/>
      <c r="U60" s="182" t="str">
        <f t="shared" si="1"/>
        <v/>
      </c>
      <c r="V60" s="182" t="str">
        <f t="shared" si="2"/>
        <v/>
      </c>
      <c r="W60" s="5"/>
      <c r="X60" s="182" t="str">
        <f t="shared" si="3"/>
        <v/>
      </c>
      <c r="Y60" s="182" t="str">
        <f t="shared" si="4"/>
        <v/>
      </c>
      <c r="Z60" s="5"/>
      <c r="AA60" s="182" t="str">
        <f t="shared" si="5"/>
        <v/>
      </c>
      <c r="AB60" s="183" t="str">
        <f t="shared" si="6"/>
        <v/>
      </c>
      <c r="AC60" s="5"/>
      <c r="AD60" s="182" t="str">
        <f t="shared" si="7"/>
        <v/>
      </c>
      <c r="AE60" s="183" t="str">
        <f t="shared" si="8"/>
        <v/>
      </c>
      <c r="AF60" s="5"/>
      <c r="AG60" s="182" t="str">
        <f t="shared" si="9"/>
        <v/>
      </c>
      <c r="AH60" s="183" t="str">
        <f t="shared" si="10"/>
        <v/>
      </c>
      <c r="AI60" s="5"/>
      <c r="AJ60" s="183" t="str">
        <f t="shared" si="11"/>
        <v/>
      </c>
      <c r="AK60" s="183" t="str">
        <f t="shared" si="12"/>
        <v/>
      </c>
      <c r="AL60" s="5"/>
      <c r="AM60" s="183" t="str">
        <f t="shared" si="13"/>
        <v/>
      </c>
      <c r="AN60" s="183" t="str">
        <f t="shared" si="14"/>
        <v/>
      </c>
      <c r="AO60" s="184">
        <f t="shared" si="15"/>
        <v>0</v>
      </c>
      <c r="AP60" s="184">
        <f t="shared" si="16"/>
        <v>0</v>
      </c>
      <c r="AQ60" s="608" t="str">
        <f t="shared" si="17"/>
        <v/>
      </c>
      <c r="AR60" s="185" t="str">
        <f>IF(COUNTIF(K60:Q60,"F")&gt;0,"",IF(AQ60="PASS",'Statement of Marks'!HZ62,""))</f>
        <v/>
      </c>
      <c r="AS60" s="185" t="str">
        <f>IF(AQ60="PASS",'Statement of Marks'!IA62,"")</f>
        <v/>
      </c>
    </row>
    <row r="61" spans="1:45">
      <c r="A61" s="169">
        <f>IF('Statement of Marks'!A63="","",'Statement of Marks'!A63)</f>
        <v>57</v>
      </c>
      <c r="B61" s="169" t="str">
        <f>IF('Statement of Marks'!B63="","",'Statement of Marks'!B63)</f>
        <v/>
      </c>
      <c r="C61" s="169" t="str">
        <f>IF('Statement of Marks'!D63="","",'Statement of Marks'!D63)</f>
        <v/>
      </c>
      <c r="D61" s="170" t="str">
        <f>IF('Statement of Marks'!E63="","",'Statement of Marks'!E63)</f>
        <v/>
      </c>
      <c r="E61" s="171" t="str">
        <f>IF('Statement of Marks'!F63="","",'Statement of Marks'!F63)</f>
        <v/>
      </c>
      <c r="F61" s="171" t="str">
        <f>IF('Statement of Marks'!G63="","",'Statement of Marks'!G63)</f>
        <v/>
      </c>
      <c r="G61" s="171" t="str">
        <f>IF('Statement of Marks'!H63="","",'Statement of Marks'!H63)</f>
        <v/>
      </c>
      <c r="H61" s="172" t="str">
        <f>IF('Statement of Marks'!HS63="","",'Statement of Marks'!HS63)</f>
        <v/>
      </c>
      <c r="I61" s="172" t="str">
        <f>IF('Statement of Marks'!HV63="","",'Statement of Marks'!HV63)</f>
        <v/>
      </c>
      <c r="J61" s="173" t="str">
        <f>IF('Statement of Marks'!HU63="","",'Statement of Marks'!HU63)</f>
        <v/>
      </c>
      <c r="K61" s="181" t="str">
        <f>'Statement of Marks'!GN63</f>
        <v/>
      </c>
      <c r="L61" s="181" t="str">
        <f>'Statement of Marks'!GQ63</f>
        <v/>
      </c>
      <c r="M61" s="181" t="str">
        <f>'Statement of Marks'!GT63</f>
        <v/>
      </c>
      <c r="N61" s="181" t="str">
        <f>'Statement of Marks'!HB63</f>
        <v/>
      </c>
      <c r="O61" s="181" t="str">
        <f>'Statement of Marks'!HE63</f>
        <v/>
      </c>
      <c r="P61" s="181" t="str">
        <f>'Statement of Marks'!HH63</f>
        <v/>
      </c>
      <c r="Q61" s="181" t="str">
        <f>'Statement of Marks'!HK63</f>
        <v/>
      </c>
      <c r="R61" s="173" t="str">
        <f>IF(COUNTIF(K61:Q61,"F")&gt;0,"",CONCATENATE('Statement of Marks'!HO63,'Statement of Marks'!HQ63))</f>
        <v xml:space="preserve">            </v>
      </c>
      <c r="S61" s="174">
        <f t="shared" si="0"/>
        <v>0</v>
      </c>
      <c r="T61" s="5"/>
      <c r="U61" s="182" t="str">
        <f t="shared" si="1"/>
        <v/>
      </c>
      <c r="V61" s="182" t="str">
        <f t="shared" si="2"/>
        <v/>
      </c>
      <c r="W61" s="5"/>
      <c r="X61" s="182" t="str">
        <f t="shared" si="3"/>
        <v/>
      </c>
      <c r="Y61" s="182" t="str">
        <f t="shared" si="4"/>
        <v/>
      </c>
      <c r="Z61" s="5"/>
      <c r="AA61" s="182" t="str">
        <f t="shared" si="5"/>
        <v/>
      </c>
      <c r="AB61" s="183" t="str">
        <f t="shared" si="6"/>
        <v/>
      </c>
      <c r="AC61" s="5"/>
      <c r="AD61" s="182" t="str">
        <f t="shared" si="7"/>
        <v/>
      </c>
      <c r="AE61" s="183" t="str">
        <f t="shared" si="8"/>
        <v/>
      </c>
      <c r="AF61" s="5"/>
      <c r="AG61" s="182" t="str">
        <f t="shared" si="9"/>
        <v/>
      </c>
      <c r="AH61" s="183" t="str">
        <f t="shared" si="10"/>
        <v/>
      </c>
      <c r="AI61" s="5"/>
      <c r="AJ61" s="183" t="str">
        <f t="shared" si="11"/>
        <v/>
      </c>
      <c r="AK61" s="183" t="str">
        <f t="shared" si="12"/>
        <v/>
      </c>
      <c r="AL61" s="5"/>
      <c r="AM61" s="183" t="str">
        <f t="shared" si="13"/>
        <v/>
      </c>
      <c r="AN61" s="183" t="str">
        <f t="shared" si="14"/>
        <v/>
      </c>
      <c r="AO61" s="184">
        <f t="shared" si="15"/>
        <v>0</v>
      </c>
      <c r="AP61" s="184">
        <f t="shared" si="16"/>
        <v>0</v>
      </c>
      <c r="AQ61" s="608" t="str">
        <f t="shared" si="17"/>
        <v/>
      </c>
      <c r="AR61" s="185" t="str">
        <f>IF(COUNTIF(K61:Q61,"F")&gt;0,"",IF(AQ61="PASS",'Statement of Marks'!HZ63,""))</f>
        <v/>
      </c>
      <c r="AS61" s="185" t="str">
        <f>IF(AQ61="PASS",'Statement of Marks'!IA63,"")</f>
        <v/>
      </c>
    </row>
    <row r="62" spans="1:45">
      <c r="A62" s="169">
        <f>IF('Statement of Marks'!A64="","",'Statement of Marks'!A64)</f>
        <v>58</v>
      </c>
      <c r="B62" s="169" t="str">
        <f>IF('Statement of Marks'!B64="","",'Statement of Marks'!B64)</f>
        <v/>
      </c>
      <c r="C62" s="169" t="str">
        <f>IF('Statement of Marks'!D64="","",'Statement of Marks'!D64)</f>
        <v/>
      </c>
      <c r="D62" s="170" t="str">
        <f>IF('Statement of Marks'!E64="","",'Statement of Marks'!E64)</f>
        <v/>
      </c>
      <c r="E62" s="171" t="str">
        <f>IF('Statement of Marks'!F64="","",'Statement of Marks'!F64)</f>
        <v/>
      </c>
      <c r="F62" s="171" t="str">
        <f>IF('Statement of Marks'!G64="","",'Statement of Marks'!G64)</f>
        <v/>
      </c>
      <c r="G62" s="171" t="str">
        <f>IF('Statement of Marks'!H64="","",'Statement of Marks'!H64)</f>
        <v/>
      </c>
      <c r="H62" s="172" t="str">
        <f>IF('Statement of Marks'!HS64="","",'Statement of Marks'!HS64)</f>
        <v/>
      </c>
      <c r="I62" s="172" t="str">
        <f>IF('Statement of Marks'!HV64="","",'Statement of Marks'!HV64)</f>
        <v/>
      </c>
      <c r="J62" s="173" t="str">
        <f>IF('Statement of Marks'!HU64="","",'Statement of Marks'!HU64)</f>
        <v/>
      </c>
      <c r="K62" s="181" t="str">
        <f>'Statement of Marks'!GN64</f>
        <v/>
      </c>
      <c r="L62" s="181" t="str">
        <f>'Statement of Marks'!GQ64</f>
        <v/>
      </c>
      <c r="M62" s="181" t="str">
        <f>'Statement of Marks'!GT64</f>
        <v/>
      </c>
      <c r="N62" s="181" t="str">
        <f>'Statement of Marks'!HB64</f>
        <v/>
      </c>
      <c r="O62" s="181" t="str">
        <f>'Statement of Marks'!HE64</f>
        <v/>
      </c>
      <c r="P62" s="181" t="str">
        <f>'Statement of Marks'!HH64</f>
        <v/>
      </c>
      <c r="Q62" s="181" t="str">
        <f>'Statement of Marks'!HK64</f>
        <v/>
      </c>
      <c r="R62" s="173" t="str">
        <f>IF(COUNTIF(K62:Q62,"F")&gt;0,"",CONCATENATE('Statement of Marks'!HO64,'Statement of Marks'!HQ64))</f>
        <v xml:space="preserve">            </v>
      </c>
      <c r="S62" s="174">
        <f t="shared" si="0"/>
        <v>0</v>
      </c>
      <c r="T62" s="5"/>
      <c r="U62" s="182" t="str">
        <f t="shared" si="1"/>
        <v/>
      </c>
      <c r="V62" s="182" t="str">
        <f t="shared" si="2"/>
        <v/>
      </c>
      <c r="W62" s="5"/>
      <c r="X62" s="182" t="str">
        <f t="shared" si="3"/>
        <v/>
      </c>
      <c r="Y62" s="182" t="str">
        <f t="shared" si="4"/>
        <v/>
      </c>
      <c r="Z62" s="5"/>
      <c r="AA62" s="182" t="str">
        <f t="shared" si="5"/>
        <v/>
      </c>
      <c r="AB62" s="183" t="str">
        <f t="shared" si="6"/>
        <v/>
      </c>
      <c r="AC62" s="5"/>
      <c r="AD62" s="182" t="str">
        <f t="shared" si="7"/>
        <v/>
      </c>
      <c r="AE62" s="183" t="str">
        <f t="shared" si="8"/>
        <v/>
      </c>
      <c r="AF62" s="5"/>
      <c r="AG62" s="182" t="str">
        <f t="shared" si="9"/>
        <v/>
      </c>
      <c r="AH62" s="183" t="str">
        <f t="shared" si="10"/>
        <v/>
      </c>
      <c r="AI62" s="5"/>
      <c r="AJ62" s="183" t="str">
        <f t="shared" si="11"/>
        <v/>
      </c>
      <c r="AK62" s="183" t="str">
        <f t="shared" si="12"/>
        <v/>
      </c>
      <c r="AL62" s="5"/>
      <c r="AM62" s="183" t="str">
        <f t="shared" si="13"/>
        <v/>
      </c>
      <c r="AN62" s="183" t="str">
        <f t="shared" si="14"/>
        <v/>
      </c>
      <c r="AO62" s="184">
        <f t="shared" si="15"/>
        <v>0</v>
      </c>
      <c r="AP62" s="184">
        <f t="shared" si="16"/>
        <v>0</v>
      </c>
      <c r="AQ62" s="608" t="str">
        <f t="shared" si="17"/>
        <v/>
      </c>
      <c r="AR62" s="185" t="str">
        <f>IF(COUNTIF(K62:Q62,"F")&gt;0,"",IF(AQ62="PASS",'Statement of Marks'!HZ64,""))</f>
        <v/>
      </c>
      <c r="AS62" s="185" t="str">
        <f>IF(AQ62="PASS",'Statement of Marks'!IA64,"")</f>
        <v/>
      </c>
    </row>
    <row r="63" spans="1:45">
      <c r="A63" s="169">
        <f>IF('Statement of Marks'!A65="","",'Statement of Marks'!A65)</f>
        <v>59</v>
      </c>
      <c r="B63" s="169" t="str">
        <f>IF('Statement of Marks'!B65="","",'Statement of Marks'!B65)</f>
        <v/>
      </c>
      <c r="C63" s="169" t="str">
        <f>IF('Statement of Marks'!D65="","",'Statement of Marks'!D65)</f>
        <v/>
      </c>
      <c r="D63" s="170" t="str">
        <f>IF('Statement of Marks'!E65="","",'Statement of Marks'!E65)</f>
        <v/>
      </c>
      <c r="E63" s="171" t="str">
        <f>IF('Statement of Marks'!F65="","",'Statement of Marks'!F65)</f>
        <v/>
      </c>
      <c r="F63" s="171" t="str">
        <f>IF('Statement of Marks'!G65="","",'Statement of Marks'!G65)</f>
        <v/>
      </c>
      <c r="G63" s="171" t="str">
        <f>IF('Statement of Marks'!H65="","",'Statement of Marks'!H65)</f>
        <v/>
      </c>
      <c r="H63" s="172" t="str">
        <f>IF('Statement of Marks'!HS65="","",'Statement of Marks'!HS65)</f>
        <v/>
      </c>
      <c r="I63" s="172" t="str">
        <f>IF('Statement of Marks'!HV65="","",'Statement of Marks'!HV65)</f>
        <v/>
      </c>
      <c r="J63" s="173" t="str">
        <f>IF('Statement of Marks'!HU65="","",'Statement of Marks'!HU65)</f>
        <v/>
      </c>
      <c r="K63" s="181" t="str">
        <f>'Statement of Marks'!GN65</f>
        <v/>
      </c>
      <c r="L63" s="181" t="str">
        <f>'Statement of Marks'!GQ65</f>
        <v/>
      </c>
      <c r="M63" s="181" t="str">
        <f>'Statement of Marks'!GT65</f>
        <v/>
      </c>
      <c r="N63" s="181" t="str">
        <f>'Statement of Marks'!HB65</f>
        <v/>
      </c>
      <c r="O63" s="181" t="str">
        <f>'Statement of Marks'!HE65</f>
        <v/>
      </c>
      <c r="P63" s="181" t="str">
        <f>'Statement of Marks'!HH65</f>
        <v/>
      </c>
      <c r="Q63" s="181" t="str">
        <f>'Statement of Marks'!HK65</f>
        <v/>
      </c>
      <c r="R63" s="173" t="str">
        <f>IF(COUNTIF(K63:Q63,"F")&gt;0,"",CONCATENATE('Statement of Marks'!HO65,'Statement of Marks'!HQ65))</f>
        <v xml:space="preserve">            </v>
      </c>
      <c r="S63" s="174">
        <f t="shared" si="0"/>
        <v>0</v>
      </c>
      <c r="T63" s="5"/>
      <c r="U63" s="182" t="str">
        <f t="shared" si="1"/>
        <v/>
      </c>
      <c r="V63" s="182" t="str">
        <f t="shared" si="2"/>
        <v/>
      </c>
      <c r="W63" s="5"/>
      <c r="X63" s="182" t="str">
        <f t="shared" si="3"/>
        <v/>
      </c>
      <c r="Y63" s="182" t="str">
        <f t="shared" si="4"/>
        <v/>
      </c>
      <c r="Z63" s="5"/>
      <c r="AA63" s="182" t="str">
        <f t="shared" si="5"/>
        <v/>
      </c>
      <c r="AB63" s="183" t="str">
        <f t="shared" si="6"/>
        <v/>
      </c>
      <c r="AC63" s="5"/>
      <c r="AD63" s="182" t="str">
        <f t="shared" si="7"/>
        <v/>
      </c>
      <c r="AE63" s="183" t="str">
        <f t="shared" si="8"/>
        <v/>
      </c>
      <c r="AF63" s="5"/>
      <c r="AG63" s="182" t="str">
        <f t="shared" si="9"/>
        <v/>
      </c>
      <c r="AH63" s="183" t="str">
        <f t="shared" si="10"/>
        <v/>
      </c>
      <c r="AI63" s="5"/>
      <c r="AJ63" s="183" t="str">
        <f t="shared" si="11"/>
        <v/>
      </c>
      <c r="AK63" s="183" t="str">
        <f t="shared" si="12"/>
        <v/>
      </c>
      <c r="AL63" s="5"/>
      <c r="AM63" s="183" t="str">
        <f t="shared" si="13"/>
        <v/>
      </c>
      <c r="AN63" s="183" t="str">
        <f t="shared" si="14"/>
        <v/>
      </c>
      <c r="AO63" s="184">
        <f t="shared" si="15"/>
        <v>0</v>
      </c>
      <c r="AP63" s="184">
        <f t="shared" si="16"/>
        <v>0</v>
      </c>
      <c r="AQ63" s="608" t="str">
        <f t="shared" si="17"/>
        <v/>
      </c>
      <c r="AR63" s="185" t="str">
        <f>IF(COUNTIF(K63:Q63,"F")&gt;0,"",IF(AQ63="PASS",'Statement of Marks'!HZ65,""))</f>
        <v/>
      </c>
      <c r="AS63" s="185" t="str">
        <f>IF(AQ63="PASS",'Statement of Marks'!IA65,"")</f>
        <v/>
      </c>
    </row>
    <row r="64" spans="1:45">
      <c r="A64" s="169">
        <f>IF('Statement of Marks'!A66="","",'Statement of Marks'!A66)</f>
        <v>60</v>
      </c>
      <c r="B64" s="169" t="str">
        <f>IF('Statement of Marks'!B66="","",'Statement of Marks'!B66)</f>
        <v/>
      </c>
      <c r="C64" s="169" t="str">
        <f>IF('Statement of Marks'!D66="","",'Statement of Marks'!D66)</f>
        <v/>
      </c>
      <c r="D64" s="170" t="str">
        <f>IF('Statement of Marks'!E66="","",'Statement of Marks'!E66)</f>
        <v/>
      </c>
      <c r="E64" s="171" t="str">
        <f>IF('Statement of Marks'!F66="","",'Statement of Marks'!F66)</f>
        <v/>
      </c>
      <c r="F64" s="171" t="str">
        <f>IF('Statement of Marks'!G66="","",'Statement of Marks'!G66)</f>
        <v/>
      </c>
      <c r="G64" s="171" t="str">
        <f>IF('Statement of Marks'!H66="","",'Statement of Marks'!H66)</f>
        <v/>
      </c>
      <c r="H64" s="172" t="str">
        <f>IF('Statement of Marks'!HS66="","",'Statement of Marks'!HS66)</f>
        <v/>
      </c>
      <c r="I64" s="172" t="str">
        <f>IF('Statement of Marks'!HV66="","",'Statement of Marks'!HV66)</f>
        <v/>
      </c>
      <c r="J64" s="173" t="str">
        <f>IF('Statement of Marks'!HU66="","",'Statement of Marks'!HU66)</f>
        <v/>
      </c>
      <c r="K64" s="181" t="str">
        <f>'Statement of Marks'!GN66</f>
        <v/>
      </c>
      <c r="L64" s="181" t="str">
        <f>'Statement of Marks'!GQ66</f>
        <v/>
      </c>
      <c r="M64" s="181" t="str">
        <f>'Statement of Marks'!GT66</f>
        <v/>
      </c>
      <c r="N64" s="181" t="str">
        <f>'Statement of Marks'!HB66</f>
        <v/>
      </c>
      <c r="O64" s="181" t="str">
        <f>'Statement of Marks'!HE66</f>
        <v/>
      </c>
      <c r="P64" s="181" t="str">
        <f>'Statement of Marks'!HH66</f>
        <v/>
      </c>
      <c r="Q64" s="181" t="str">
        <f>'Statement of Marks'!HK66</f>
        <v/>
      </c>
      <c r="R64" s="173" t="str">
        <f>IF(COUNTIF(K64:Q64,"F")&gt;0,"",CONCATENATE('Statement of Marks'!HO66,'Statement of Marks'!HQ66))</f>
        <v xml:space="preserve">            </v>
      </c>
      <c r="S64" s="174">
        <f t="shared" si="0"/>
        <v>0</v>
      </c>
      <c r="T64" s="5"/>
      <c r="U64" s="182" t="str">
        <f t="shared" si="1"/>
        <v/>
      </c>
      <c r="V64" s="182" t="str">
        <f t="shared" si="2"/>
        <v/>
      </c>
      <c r="W64" s="5"/>
      <c r="X64" s="182" t="str">
        <f t="shared" si="3"/>
        <v/>
      </c>
      <c r="Y64" s="182" t="str">
        <f t="shared" si="4"/>
        <v/>
      </c>
      <c r="Z64" s="5"/>
      <c r="AA64" s="182" t="str">
        <f t="shared" si="5"/>
        <v/>
      </c>
      <c r="AB64" s="183" t="str">
        <f t="shared" si="6"/>
        <v/>
      </c>
      <c r="AC64" s="5"/>
      <c r="AD64" s="182" t="str">
        <f t="shared" si="7"/>
        <v/>
      </c>
      <c r="AE64" s="183" t="str">
        <f t="shared" si="8"/>
        <v/>
      </c>
      <c r="AF64" s="5"/>
      <c r="AG64" s="182" t="str">
        <f t="shared" si="9"/>
        <v/>
      </c>
      <c r="AH64" s="183" t="str">
        <f t="shared" si="10"/>
        <v/>
      </c>
      <c r="AI64" s="5"/>
      <c r="AJ64" s="183" t="str">
        <f t="shared" si="11"/>
        <v/>
      </c>
      <c r="AK64" s="183" t="str">
        <f t="shared" si="12"/>
        <v/>
      </c>
      <c r="AL64" s="5"/>
      <c r="AM64" s="183" t="str">
        <f t="shared" si="13"/>
        <v/>
      </c>
      <c r="AN64" s="183" t="str">
        <f t="shared" si="14"/>
        <v/>
      </c>
      <c r="AO64" s="184">
        <f t="shared" si="15"/>
        <v>0</v>
      </c>
      <c r="AP64" s="184">
        <f t="shared" si="16"/>
        <v>0</v>
      </c>
      <c r="AQ64" s="608" t="str">
        <f t="shared" si="17"/>
        <v/>
      </c>
      <c r="AR64" s="185" t="str">
        <f>IF(COUNTIF(K64:Q64,"F")&gt;0,"",IF(AQ64="PASS",'Statement of Marks'!HZ66,""))</f>
        <v/>
      </c>
      <c r="AS64" s="185" t="str">
        <f>IF(AQ64="PASS",'Statement of Marks'!IA66,"")</f>
        <v/>
      </c>
    </row>
    <row r="65" spans="1:45">
      <c r="A65" s="169">
        <f>IF('Statement of Marks'!A67="","",'Statement of Marks'!A67)</f>
        <v>61</v>
      </c>
      <c r="B65" s="169" t="str">
        <f>IF('Statement of Marks'!B67="","",'Statement of Marks'!B67)</f>
        <v/>
      </c>
      <c r="C65" s="169" t="str">
        <f>IF('Statement of Marks'!D67="","",'Statement of Marks'!D67)</f>
        <v/>
      </c>
      <c r="D65" s="170" t="str">
        <f>IF('Statement of Marks'!E67="","",'Statement of Marks'!E67)</f>
        <v/>
      </c>
      <c r="E65" s="171" t="str">
        <f>IF('Statement of Marks'!F67="","",'Statement of Marks'!F67)</f>
        <v/>
      </c>
      <c r="F65" s="171" t="str">
        <f>IF('Statement of Marks'!G67="","",'Statement of Marks'!G67)</f>
        <v/>
      </c>
      <c r="G65" s="171" t="str">
        <f>IF('Statement of Marks'!H67="","",'Statement of Marks'!H67)</f>
        <v/>
      </c>
      <c r="H65" s="172" t="str">
        <f>IF('Statement of Marks'!HS67="","",'Statement of Marks'!HS67)</f>
        <v/>
      </c>
      <c r="I65" s="172" t="str">
        <f>IF('Statement of Marks'!HV67="","",'Statement of Marks'!HV67)</f>
        <v/>
      </c>
      <c r="J65" s="173" t="str">
        <f>IF('Statement of Marks'!HU67="","",'Statement of Marks'!HU67)</f>
        <v/>
      </c>
      <c r="K65" s="181" t="str">
        <f>'Statement of Marks'!GN67</f>
        <v/>
      </c>
      <c r="L65" s="181" t="str">
        <f>'Statement of Marks'!GQ67</f>
        <v/>
      </c>
      <c r="M65" s="181" t="str">
        <f>'Statement of Marks'!GT67</f>
        <v/>
      </c>
      <c r="N65" s="181" t="str">
        <f>'Statement of Marks'!HB67</f>
        <v/>
      </c>
      <c r="O65" s="181" t="str">
        <f>'Statement of Marks'!HE67</f>
        <v/>
      </c>
      <c r="P65" s="181" t="str">
        <f>'Statement of Marks'!HH67</f>
        <v/>
      </c>
      <c r="Q65" s="181" t="str">
        <f>'Statement of Marks'!HK67</f>
        <v/>
      </c>
      <c r="R65" s="173" t="str">
        <f>IF(COUNTIF(K65:Q65,"F")&gt;0,"",CONCATENATE('Statement of Marks'!HO67,'Statement of Marks'!HQ67))</f>
        <v xml:space="preserve">            </v>
      </c>
      <c r="S65" s="174">
        <f t="shared" si="0"/>
        <v>0</v>
      </c>
      <c r="T65" s="5"/>
      <c r="U65" s="182" t="str">
        <f t="shared" si="1"/>
        <v/>
      </c>
      <c r="V65" s="182" t="str">
        <f t="shared" si="2"/>
        <v/>
      </c>
      <c r="W65" s="5"/>
      <c r="X65" s="182" t="str">
        <f t="shared" si="3"/>
        <v/>
      </c>
      <c r="Y65" s="182" t="str">
        <f t="shared" si="4"/>
        <v/>
      </c>
      <c r="Z65" s="5"/>
      <c r="AA65" s="182" t="str">
        <f t="shared" si="5"/>
        <v/>
      </c>
      <c r="AB65" s="183" t="str">
        <f t="shared" si="6"/>
        <v/>
      </c>
      <c r="AC65" s="5"/>
      <c r="AD65" s="182" t="str">
        <f t="shared" si="7"/>
        <v/>
      </c>
      <c r="AE65" s="183" t="str">
        <f t="shared" si="8"/>
        <v/>
      </c>
      <c r="AF65" s="5"/>
      <c r="AG65" s="182" t="str">
        <f t="shared" si="9"/>
        <v/>
      </c>
      <c r="AH65" s="183" t="str">
        <f t="shared" si="10"/>
        <v/>
      </c>
      <c r="AI65" s="5"/>
      <c r="AJ65" s="183" t="str">
        <f t="shared" si="11"/>
        <v/>
      </c>
      <c r="AK65" s="183" t="str">
        <f t="shared" si="12"/>
        <v/>
      </c>
      <c r="AL65" s="5"/>
      <c r="AM65" s="183" t="str">
        <f t="shared" si="13"/>
        <v/>
      </c>
      <c r="AN65" s="183" t="str">
        <f t="shared" si="14"/>
        <v/>
      </c>
      <c r="AO65" s="184">
        <f t="shared" si="15"/>
        <v>0</v>
      </c>
      <c r="AP65" s="184">
        <f t="shared" si="16"/>
        <v>0</v>
      </c>
      <c r="AQ65" s="608" t="str">
        <f t="shared" si="17"/>
        <v/>
      </c>
      <c r="AR65" s="185" t="str">
        <f>IF(COUNTIF(K65:Q65,"F")&gt;0,"",IF(AQ65="PASS",'Statement of Marks'!HZ67,""))</f>
        <v/>
      </c>
      <c r="AS65" s="185" t="str">
        <f>IF(AQ65="PASS",'Statement of Marks'!IA67,"")</f>
        <v/>
      </c>
    </row>
    <row r="66" spans="1:45">
      <c r="A66" s="169">
        <f>IF('Statement of Marks'!A68="","",'Statement of Marks'!A68)</f>
        <v>62</v>
      </c>
      <c r="B66" s="169" t="str">
        <f>IF('Statement of Marks'!B68="","",'Statement of Marks'!B68)</f>
        <v/>
      </c>
      <c r="C66" s="169" t="str">
        <f>IF('Statement of Marks'!D68="","",'Statement of Marks'!D68)</f>
        <v/>
      </c>
      <c r="D66" s="170" t="str">
        <f>IF('Statement of Marks'!E68="","",'Statement of Marks'!E68)</f>
        <v/>
      </c>
      <c r="E66" s="171" t="str">
        <f>IF('Statement of Marks'!F68="","",'Statement of Marks'!F68)</f>
        <v/>
      </c>
      <c r="F66" s="171" t="str">
        <f>IF('Statement of Marks'!G68="","",'Statement of Marks'!G68)</f>
        <v/>
      </c>
      <c r="G66" s="171" t="str">
        <f>IF('Statement of Marks'!H68="","",'Statement of Marks'!H68)</f>
        <v/>
      </c>
      <c r="H66" s="172" t="str">
        <f>IF('Statement of Marks'!HS68="","",'Statement of Marks'!HS68)</f>
        <v/>
      </c>
      <c r="I66" s="172" t="str">
        <f>IF('Statement of Marks'!HV68="","",'Statement of Marks'!HV68)</f>
        <v/>
      </c>
      <c r="J66" s="173" t="str">
        <f>IF('Statement of Marks'!HU68="","",'Statement of Marks'!HU68)</f>
        <v/>
      </c>
      <c r="K66" s="181" t="str">
        <f>'Statement of Marks'!GN68</f>
        <v/>
      </c>
      <c r="L66" s="181" t="str">
        <f>'Statement of Marks'!GQ68</f>
        <v/>
      </c>
      <c r="M66" s="181" t="str">
        <f>'Statement of Marks'!GT68</f>
        <v/>
      </c>
      <c r="N66" s="181" t="str">
        <f>'Statement of Marks'!HB68</f>
        <v/>
      </c>
      <c r="O66" s="181" t="str">
        <f>'Statement of Marks'!HE68</f>
        <v/>
      </c>
      <c r="P66" s="181" t="str">
        <f>'Statement of Marks'!HH68</f>
        <v/>
      </c>
      <c r="Q66" s="181" t="str">
        <f>'Statement of Marks'!HK68</f>
        <v/>
      </c>
      <c r="R66" s="173" t="str">
        <f>IF(COUNTIF(K66:Q66,"F")&gt;0,"",CONCATENATE('Statement of Marks'!HO68,'Statement of Marks'!HQ68))</f>
        <v xml:space="preserve">            </v>
      </c>
      <c r="S66" s="174">
        <f t="shared" si="0"/>
        <v>0</v>
      </c>
      <c r="T66" s="5"/>
      <c r="U66" s="182" t="str">
        <f t="shared" si="1"/>
        <v/>
      </c>
      <c r="V66" s="182" t="str">
        <f t="shared" si="2"/>
        <v/>
      </c>
      <c r="W66" s="5"/>
      <c r="X66" s="182" t="str">
        <f t="shared" si="3"/>
        <v/>
      </c>
      <c r="Y66" s="182" t="str">
        <f t="shared" si="4"/>
        <v/>
      </c>
      <c r="Z66" s="5"/>
      <c r="AA66" s="182" t="str">
        <f t="shared" si="5"/>
        <v/>
      </c>
      <c r="AB66" s="183" t="str">
        <f t="shared" si="6"/>
        <v/>
      </c>
      <c r="AC66" s="5"/>
      <c r="AD66" s="182" t="str">
        <f t="shared" si="7"/>
        <v/>
      </c>
      <c r="AE66" s="183" t="str">
        <f t="shared" si="8"/>
        <v/>
      </c>
      <c r="AF66" s="5"/>
      <c r="AG66" s="182" t="str">
        <f t="shared" si="9"/>
        <v/>
      </c>
      <c r="AH66" s="183" t="str">
        <f t="shared" si="10"/>
        <v/>
      </c>
      <c r="AI66" s="5"/>
      <c r="AJ66" s="183" t="str">
        <f t="shared" si="11"/>
        <v/>
      </c>
      <c r="AK66" s="183" t="str">
        <f t="shared" si="12"/>
        <v/>
      </c>
      <c r="AL66" s="5"/>
      <c r="AM66" s="183" t="str">
        <f t="shared" si="13"/>
        <v/>
      </c>
      <c r="AN66" s="183" t="str">
        <f t="shared" si="14"/>
        <v/>
      </c>
      <c r="AO66" s="184">
        <f t="shared" si="15"/>
        <v>0</v>
      </c>
      <c r="AP66" s="184">
        <f t="shared" si="16"/>
        <v>0</v>
      </c>
      <c r="AQ66" s="608" t="str">
        <f t="shared" si="17"/>
        <v/>
      </c>
      <c r="AR66" s="185" t="str">
        <f>IF(COUNTIF(K66:Q66,"F")&gt;0,"",IF(AQ66="PASS",'Statement of Marks'!HZ68,""))</f>
        <v/>
      </c>
      <c r="AS66" s="185" t="str">
        <f>IF(AQ66="PASS",'Statement of Marks'!IA68,"")</f>
        <v/>
      </c>
    </row>
    <row r="67" spans="1:45">
      <c r="A67" s="169">
        <f>IF('Statement of Marks'!A69="","",'Statement of Marks'!A69)</f>
        <v>63</v>
      </c>
      <c r="B67" s="169" t="str">
        <f>IF('Statement of Marks'!B69="","",'Statement of Marks'!B69)</f>
        <v/>
      </c>
      <c r="C67" s="169" t="str">
        <f>IF('Statement of Marks'!D69="","",'Statement of Marks'!D69)</f>
        <v/>
      </c>
      <c r="D67" s="170" t="str">
        <f>IF('Statement of Marks'!E69="","",'Statement of Marks'!E69)</f>
        <v/>
      </c>
      <c r="E67" s="171" t="str">
        <f>IF('Statement of Marks'!F69="","",'Statement of Marks'!F69)</f>
        <v/>
      </c>
      <c r="F67" s="171" t="str">
        <f>IF('Statement of Marks'!G69="","",'Statement of Marks'!G69)</f>
        <v/>
      </c>
      <c r="G67" s="171" t="str">
        <f>IF('Statement of Marks'!H69="","",'Statement of Marks'!H69)</f>
        <v/>
      </c>
      <c r="H67" s="172" t="str">
        <f>IF('Statement of Marks'!HS69="","",'Statement of Marks'!HS69)</f>
        <v/>
      </c>
      <c r="I67" s="172" t="str">
        <f>IF('Statement of Marks'!HV69="","",'Statement of Marks'!HV69)</f>
        <v/>
      </c>
      <c r="J67" s="173" t="str">
        <f>IF('Statement of Marks'!HU69="","",'Statement of Marks'!HU69)</f>
        <v/>
      </c>
      <c r="K67" s="181" t="str">
        <f>'Statement of Marks'!GN69</f>
        <v/>
      </c>
      <c r="L67" s="181" t="str">
        <f>'Statement of Marks'!GQ69</f>
        <v/>
      </c>
      <c r="M67" s="181" t="str">
        <f>'Statement of Marks'!GT69</f>
        <v/>
      </c>
      <c r="N67" s="181" t="str">
        <f>'Statement of Marks'!HB69</f>
        <v/>
      </c>
      <c r="O67" s="181" t="str">
        <f>'Statement of Marks'!HE69</f>
        <v/>
      </c>
      <c r="P67" s="181" t="str">
        <f>'Statement of Marks'!HH69</f>
        <v/>
      </c>
      <c r="Q67" s="181" t="str">
        <f>'Statement of Marks'!HK69</f>
        <v/>
      </c>
      <c r="R67" s="173" t="str">
        <f>IF(COUNTIF(K67:Q67,"F")&gt;0,"",CONCATENATE('Statement of Marks'!HO69,'Statement of Marks'!HQ69))</f>
        <v xml:space="preserve">            </v>
      </c>
      <c r="S67" s="174">
        <f t="shared" si="0"/>
        <v>0</v>
      </c>
      <c r="T67" s="5"/>
      <c r="U67" s="182" t="str">
        <f t="shared" si="1"/>
        <v/>
      </c>
      <c r="V67" s="182" t="str">
        <f t="shared" si="2"/>
        <v/>
      </c>
      <c r="W67" s="5"/>
      <c r="X67" s="182" t="str">
        <f t="shared" si="3"/>
        <v/>
      </c>
      <c r="Y67" s="182" t="str">
        <f t="shared" si="4"/>
        <v/>
      </c>
      <c r="Z67" s="5"/>
      <c r="AA67" s="182" t="str">
        <f t="shared" si="5"/>
        <v/>
      </c>
      <c r="AB67" s="183" t="str">
        <f t="shared" si="6"/>
        <v/>
      </c>
      <c r="AC67" s="5"/>
      <c r="AD67" s="182" t="str">
        <f t="shared" si="7"/>
        <v/>
      </c>
      <c r="AE67" s="183" t="str">
        <f t="shared" si="8"/>
        <v/>
      </c>
      <c r="AF67" s="5"/>
      <c r="AG67" s="182" t="str">
        <f t="shared" si="9"/>
        <v/>
      </c>
      <c r="AH67" s="183" t="str">
        <f t="shared" si="10"/>
        <v/>
      </c>
      <c r="AI67" s="5"/>
      <c r="AJ67" s="183" t="str">
        <f t="shared" si="11"/>
        <v/>
      </c>
      <c r="AK67" s="183" t="str">
        <f t="shared" si="12"/>
        <v/>
      </c>
      <c r="AL67" s="5"/>
      <c r="AM67" s="183" t="str">
        <f t="shared" si="13"/>
        <v/>
      </c>
      <c r="AN67" s="183" t="str">
        <f t="shared" si="14"/>
        <v/>
      </c>
      <c r="AO67" s="184">
        <f t="shared" si="15"/>
        <v>0</v>
      </c>
      <c r="AP67" s="184">
        <f t="shared" si="16"/>
        <v>0</v>
      </c>
      <c r="AQ67" s="608" t="str">
        <f t="shared" si="17"/>
        <v/>
      </c>
      <c r="AR67" s="185" t="str">
        <f>IF(COUNTIF(K67:Q67,"F")&gt;0,"",IF(AQ67="PASS",'Statement of Marks'!HZ69,""))</f>
        <v/>
      </c>
      <c r="AS67" s="185" t="str">
        <f>IF(AQ67="PASS",'Statement of Marks'!IA69,"")</f>
        <v/>
      </c>
    </row>
    <row r="68" spans="1:45">
      <c r="A68" s="169">
        <f>IF('Statement of Marks'!A70="","",'Statement of Marks'!A70)</f>
        <v>64</v>
      </c>
      <c r="B68" s="169" t="str">
        <f>IF('Statement of Marks'!B70="","",'Statement of Marks'!B70)</f>
        <v/>
      </c>
      <c r="C68" s="169" t="str">
        <f>IF('Statement of Marks'!D70="","",'Statement of Marks'!D70)</f>
        <v/>
      </c>
      <c r="D68" s="170" t="str">
        <f>IF('Statement of Marks'!E70="","",'Statement of Marks'!E70)</f>
        <v/>
      </c>
      <c r="E68" s="171" t="str">
        <f>IF('Statement of Marks'!F70="","",'Statement of Marks'!F70)</f>
        <v/>
      </c>
      <c r="F68" s="171" t="str">
        <f>IF('Statement of Marks'!G70="","",'Statement of Marks'!G70)</f>
        <v/>
      </c>
      <c r="G68" s="171" t="str">
        <f>IF('Statement of Marks'!H70="","",'Statement of Marks'!H70)</f>
        <v/>
      </c>
      <c r="H68" s="172" t="str">
        <f>IF('Statement of Marks'!HS70="","",'Statement of Marks'!HS70)</f>
        <v/>
      </c>
      <c r="I68" s="172" t="str">
        <f>IF('Statement of Marks'!HV70="","",'Statement of Marks'!HV70)</f>
        <v/>
      </c>
      <c r="J68" s="173" t="str">
        <f>IF('Statement of Marks'!HU70="","",'Statement of Marks'!HU70)</f>
        <v/>
      </c>
      <c r="K68" s="181" t="str">
        <f>'Statement of Marks'!GN70</f>
        <v/>
      </c>
      <c r="L68" s="181" t="str">
        <f>'Statement of Marks'!GQ70</f>
        <v/>
      </c>
      <c r="M68" s="181" t="str">
        <f>'Statement of Marks'!GT70</f>
        <v/>
      </c>
      <c r="N68" s="181" t="str">
        <f>'Statement of Marks'!HB70</f>
        <v/>
      </c>
      <c r="O68" s="181" t="str">
        <f>'Statement of Marks'!HE70</f>
        <v/>
      </c>
      <c r="P68" s="181" t="str">
        <f>'Statement of Marks'!HH70</f>
        <v/>
      </c>
      <c r="Q68" s="181" t="str">
        <f>'Statement of Marks'!HK70</f>
        <v/>
      </c>
      <c r="R68" s="173" t="str">
        <f>IF(COUNTIF(K68:Q68,"F")&gt;0,"",CONCATENATE('Statement of Marks'!HO70,'Statement of Marks'!HQ70))</f>
        <v xml:space="preserve">            </v>
      </c>
      <c r="S68" s="174">
        <f t="shared" si="0"/>
        <v>0</v>
      </c>
      <c r="T68" s="5"/>
      <c r="U68" s="182" t="str">
        <f t="shared" si="1"/>
        <v/>
      </c>
      <c r="V68" s="182" t="str">
        <f t="shared" si="2"/>
        <v/>
      </c>
      <c r="W68" s="5"/>
      <c r="X68" s="182" t="str">
        <f t="shared" si="3"/>
        <v/>
      </c>
      <c r="Y68" s="182" t="str">
        <f t="shared" si="4"/>
        <v/>
      </c>
      <c r="Z68" s="5"/>
      <c r="AA68" s="182" t="str">
        <f t="shared" si="5"/>
        <v/>
      </c>
      <c r="AB68" s="183" t="str">
        <f t="shared" si="6"/>
        <v/>
      </c>
      <c r="AC68" s="5"/>
      <c r="AD68" s="182" t="str">
        <f t="shared" si="7"/>
        <v/>
      </c>
      <c r="AE68" s="183" t="str">
        <f t="shared" si="8"/>
        <v/>
      </c>
      <c r="AF68" s="5"/>
      <c r="AG68" s="182" t="str">
        <f t="shared" si="9"/>
        <v/>
      </c>
      <c r="AH68" s="183" t="str">
        <f t="shared" si="10"/>
        <v/>
      </c>
      <c r="AI68" s="5"/>
      <c r="AJ68" s="183" t="str">
        <f t="shared" si="11"/>
        <v/>
      </c>
      <c r="AK68" s="183" t="str">
        <f t="shared" si="12"/>
        <v/>
      </c>
      <c r="AL68" s="5"/>
      <c r="AM68" s="183" t="str">
        <f t="shared" si="13"/>
        <v/>
      </c>
      <c r="AN68" s="183" t="str">
        <f t="shared" si="14"/>
        <v/>
      </c>
      <c r="AO68" s="184">
        <f t="shared" si="15"/>
        <v>0</v>
      </c>
      <c r="AP68" s="184">
        <f t="shared" si="16"/>
        <v>0</v>
      </c>
      <c r="AQ68" s="608" t="str">
        <f t="shared" si="17"/>
        <v/>
      </c>
      <c r="AR68" s="185" t="str">
        <f>IF(COUNTIF(K68:Q68,"F")&gt;0,"",IF(AQ68="PASS",'Statement of Marks'!HZ70,""))</f>
        <v/>
      </c>
      <c r="AS68" s="185" t="str">
        <f>IF(AQ68="PASS",'Statement of Marks'!IA70,"")</f>
        <v/>
      </c>
    </row>
    <row r="69" spans="1:45">
      <c r="A69" s="169">
        <f>IF('Statement of Marks'!A71="","",'Statement of Marks'!A71)</f>
        <v>65</v>
      </c>
      <c r="B69" s="169" t="str">
        <f>IF('Statement of Marks'!B71="","",'Statement of Marks'!B71)</f>
        <v/>
      </c>
      <c r="C69" s="169" t="str">
        <f>IF('Statement of Marks'!D71="","",'Statement of Marks'!D71)</f>
        <v/>
      </c>
      <c r="D69" s="170" t="str">
        <f>IF('Statement of Marks'!E71="","",'Statement of Marks'!E71)</f>
        <v/>
      </c>
      <c r="E69" s="171" t="str">
        <f>IF('Statement of Marks'!F71="","",'Statement of Marks'!F71)</f>
        <v/>
      </c>
      <c r="F69" s="171" t="str">
        <f>IF('Statement of Marks'!G71="","",'Statement of Marks'!G71)</f>
        <v/>
      </c>
      <c r="G69" s="171" t="str">
        <f>IF('Statement of Marks'!H71="","",'Statement of Marks'!H71)</f>
        <v/>
      </c>
      <c r="H69" s="172" t="str">
        <f>IF('Statement of Marks'!HS71="","",'Statement of Marks'!HS71)</f>
        <v/>
      </c>
      <c r="I69" s="172" t="str">
        <f>IF('Statement of Marks'!HV71="","",'Statement of Marks'!HV71)</f>
        <v/>
      </c>
      <c r="J69" s="173" t="str">
        <f>IF('Statement of Marks'!HU71="","",'Statement of Marks'!HU71)</f>
        <v/>
      </c>
      <c r="K69" s="181" t="str">
        <f>'Statement of Marks'!GN71</f>
        <v/>
      </c>
      <c r="L69" s="181" t="str">
        <f>'Statement of Marks'!GQ71</f>
        <v/>
      </c>
      <c r="M69" s="181" t="str">
        <f>'Statement of Marks'!GT71</f>
        <v/>
      </c>
      <c r="N69" s="181" t="str">
        <f>'Statement of Marks'!HB71</f>
        <v/>
      </c>
      <c r="O69" s="181" t="str">
        <f>'Statement of Marks'!HE71</f>
        <v/>
      </c>
      <c r="P69" s="181" t="str">
        <f>'Statement of Marks'!HH71</f>
        <v/>
      </c>
      <c r="Q69" s="181" t="str">
        <f>'Statement of Marks'!HK71</f>
        <v/>
      </c>
      <c r="R69" s="173" t="str">
        <f>IF(COUNTIF(K69:Q69,"F")&gt;0,"",CONCATENATE('Statement of Marks'!HO71,'Statement of Marks'!HQ71))</f>
        <v xml:space="preserve">            </v>
      </c>
      <c r="S69" s="174">
        <f t="shared" si="0"/>
        <v>0</v>
      </c>
      <c r="T69" s="5"/>
      <c r="U69" s="182" t="str">
        <f t="shared" si="1"/>
        <v/>
      </c>
      <c r="V69" s="182" t="str">
        <f t="shared" si="2"/>
        <v/>
      </c>
      <c r="W69" s="5"/>
      <c r="X69" s="182" t="str">
        <f t="shared" si="3"/>
        <v/>
      </c>
      <c r="Y69" s="182" t="str">
        <f t="shared" si="4"/>
        <v/>
      </c>
      <c r="Z69" s="5"/>
      <c r="AA69" s="182" t="str">
        <f t="shared" si="5"/>
        <v/>
      </c>
      <c r="AB69" s="183" t="str">
        <f t="shared" si="6"/>
        <v/>
      </c>
      <c r="AC69" s="5"/>
      <c r="AD69" s="182" t="str">
        <f t="shared" si="7"/>
        <v/>
      </c>
      <c r="AE69" s="183" t="str">
        <f t="shared" si="8"/>
        <v/>
      </c>
      <c r="AF69" s="5"/>
      <c r="AG69" s="182" t="str">
        <f t="shared" si="9"/>
        <v/>
      </c>
      <c r="AH69" s="183" t="str">
        <f t="shared" si="10"/>
        <v/>
      </c>
      <c r="AI69" s="5"/>
      <c r="AJ69" s="183" t="str">
        <f t="shared" si="11"/>
        <v/>
      </c>
      <c r="AK69" s="183" t="str">
        <f t="shared" si="12"/>
        <v/>
      </c>
      <c r="AL69" s="5"/>
      <c r="AM69" s="183" t="str">
        <f t="shared" si="13"/>
        <v/>
      </c>
      <c r="AN69" s="183" t="str">
        <f t="shared" si="14"/>
        <v/>
      </c>
      <c r="AO69" s="184">
        <f t="shared" si="15"/>
        <v>0</v>
      </c>
      <c r="AP69" s="184">
        <f t="shared" si="16"/>
        <v>0</v>
      </c>
      <c r="AQ69" s="608" t="str">
        <f t="shared" si="17"/>
        <v/>
      </c>
      <c r="AR69" s="185" t="str">
        <f>IF(COUNTIF(K69:Q69,"F")&gt;0,"",IF(AQ69="PASS",'Statement of Marks'!HZ71,""))</f>
        <v/>
      </c>
      <c r="AS69" s="185" t="str">
        <f>IF(AQ69="PASS",'Statement of Marks'!IA71,"")</f>
        <v/>
      </c>
    </row>
    <row r="70" spans="1:45">
      <c r="A70" s="169">
        <f>IF('Statement of Marks'!A72="","",'Statement of Marks'!A72)</f>
        <v>66</v>
      </c>
      <c r="B70" s="169" t="str">
        <f>IF('Statement of Marks'!B72="","",'Statement of Marks'!B72)</f>
        <v/>
      </c>
      <c r="C70" s="169" t="str">
        <f>IF('Statement of Marks'!D72="","",'Statement of Marks'!D72)</f>
        <v/>
      </c>
      <c r="D70" s="170" t="str">
        <f>IF('Statement of Marks'!E72="","",'Statement of Marks'!E72)</f>
        <v/>
      </c>
      <c r="E70" s="171" t="str">
        <f>IF('Statement of Marks'!F72="","",'Statement of Marks'!F72)</f>
        <v/>
      </c>
      <c r="F70" s="171" t="str">
        <f>IF('Statement of Marks'!G72="","",'Statement of Marks'!G72)</f>
        <v/>
      </c>
      <c r="G70" s="171" t="str">
        <f>IF('Statement of Marks'!H72="","",'Statement of Marks'!H72)</f>
        <v/>
      </c>
      <c r="H70" s="172" t="str">
        <f>IF('Statement of Marks'!HS72="","",'Statement of Marks'!HS72)</f>
        <v/>
      </c>
      <c r="I70" s="172" t="str">
        <f>IF('Statement of Marks'!HV72="","",'Statement of Marks'!HV72)</f>
        <v/>
      </c>
      <c r="J70" s="173" t="str">
        <f>IF('Statement of Marks'!HU72="","",'Statement of Marks'!HU72)</f>
        <v/>
      </c>
      <c r="K70" s="181" t="str">
        <f>'Statement of Marks'!GN72</f>
        <v/>
      </c>
      <c r="L70" s="181" t="str">
        <f>'Statement of Marks'!GQ72</f>
        <v/>
      </c>
      <c r="M70" s="181" t="str">
        <f>'Statement of Marks'!GT72</f>
        <v/>
      </c>
      <c r="N70" s="181" t="str">
        <f>'Statement of Marks'!HB72</f>
        <v/>
      </c>
      <c r="O70" s="181" t="str">
        <f>'Statement of Marks'!HE72</f>
        <v/>
      </c>
      <c r="P70" s="181" t="str">
        <f>'Statement of Marks'!HH72</f>
        <v/>
      </c>
      <c r="Q70" s="181" t="str">
        <f>'Statement of Marks'!HK72</f>
        <v/>
      </c>
      <c r="R70" s="173" t="str">
        <f>IF(COUNTIF(K70:Q70,"F")&gt;0,"",CONCATENATE('Statement of Marks'!HO72,'Statement of Marks'!HQ72))</f>
        <v xml:space="preserve">            </v>
      </c>
      <c r="S70" s="174">
        <f t="shared" ref="S70:S133" si="18">IF(COUNTIF(K70:Q70,"F")&gt;0,"",COUNTIF(K70:Q70,"S")+COUNTIF(K70:Q70,"RE")+COUNTIF(K70:Q70,"REP"))</f>
        <v>0</v>
      </c>
      <c r="T70" s="5"/>
      <c r="U70" s="182" t="str">
        <f t="shared" ref="U70:U133" si="19">IF(T70="","",IF(OR(T70="AB",K70="RE"),T70,IF(AND(K70="S"),ROUNDUP(T70,0),)))</f>
        <v/>
      </c>
      <c r="V70" s="182" t="str">
        <f t="shared" ref="V70:V133" si="20">IF(T70="","",IF(OR(T70="AB",T70&lt;36%*$T$4),"F","P"))</f>
        <v/>
      </c>
      <c r="W70" s="5"/>
      <c r="X70" s="182" t="str">
        <f t="shared" ref="X70:X133" si="21">IF(W70="","",IF(OR(W70="AB",L70="RE"),W70,IF(AND(L70="S"),ROUNDUP(W70,0),)))</f>
        <v/>
      </c>
      <c r="Y70" s="182" t="str">
        <f t="shared" ref="Y70:Y133" si="22">IF(W70="","",IF(OR(W70="AB",W70&lt;36%*$W$4),"F","P"))</f>
        <v/>
      </c>
      <c r="Z70" s="5"/>
      <c r="AA70" s="182" t="str">
        <f t="shared" ref="AA70:AA133" si="23">IF(Z70="","",IF(OR(Z70="AB",M70="RE"),Z70,IF(AND(M70="S"),ROUNDUP(Z70,0),)))</f>
        <v/>
      </c>
      <c r="AB70" s="183" t="str">
        <f t="shared" ref="AB70:AB133" si="24">IF(Z70="","",IF(OR(Z70="AB",Z70&lt;36%*$Z$4),"F","P"))</f>
        <v/>
      </c>
      <c r="AC70" s="5"/>
      <c r="AD70" s="182" t="str">
        <f t="shared" ref="AD70:AD133" si="25">IF(AC70="","",IF(OR(AC70="AB",N70="RE"),AC70,IF(AND(N70="S"),ROUNDUP(AC70,0),)))</f>
        <v/>
      </c>
      <c r="AE70" s="183" t="str">
        <f t="shared" ref="AE70:AE133" si="26">IF(AC70="","",IF(OR(AC70="AB",AC70&lt;36%*$AC$4),"F","P"))</f>
        <v/>
      </c>
      <c r="AF70" s="5"/>
      <c r="AG70" s="182" t="str">
        <f t="shared" ref="AG70:AG133" si="27">IF(AF70="","",IF(OR(AF70="AB",O70="RE"),AF70,IF(AND(O70="S"),ROUNDUP(AF70,0),)))</f>
        <v/>
      </c>
      <c r="AH70" s="183" t="str">
        <f t="shared" ref="AH70:AH133" si="28">IF(AF70="","",IF(OR(AF70="AB",AF70&lt;36%*$AF$4),"F","P"))</f>
        <v/>
      </c>
      <c r="AI70" s="5"/>
      <c r="AJ70" s="183" t="str">
        <f t="shared" ref="AJ70:AJ133" si="29">IF(AI70="","",IF(OR(AI70="AB",P70="RE"),AI70,IF(AND(P70="S"),ROUNDUP(AI70,0),)))</f>
        <v/>
      </c>
      <c r="AK70" s="183" t="str">
        <f t="shared" ref="AK70:AK133" si="30">IF(AI70="","",IF(OR(AI70="AB",AI70&lt;36%*$AI$4),"F","P"))</f>
        <v/>
      </c>
      <c r="AL70" s="5"/>
      <c r="AM70" s="183" t="str">
        <f t="shared" ref="AM70:AM133" si="31">IF(AL70="","",IF(OR(AL70="AB",Q70="RE"),AL70,IF(AND(Q70="S"),ROUNDUP(AL70,0),)))</f>
        <v/>
      </c>
      <c r="AN70" s="183" t="str">
        <f t="shared" ref="AN70:AN133" si="32">IF(AL70="","",IF(OR(AL70="AB",AL70&lt;36%*$AL$4),"F","P"))</f>
        <v/>
      </c>
      <c r="AO70" s="184">
        <f t="shared" ref="AO70:AO133" si="33">IF(COUNTIF(K70:Q70,"F")&gt;0,"",COUNTA(T70,W70,Z70,AC70,AF70,AI70,AL70))</f>
        <v>0</v>
      </c>
      <c r="AP70" s="184">
        <f t="shared" ref="AP70:AP133" si="34">IF(COUNTIF(K70:Q70,"F")&gt;0,"",COUNTIF(T70:AN70,"P"))</f>
        <v>0</v>
      </c>
      <c r="AQ70" s="608" t="str">
        <f t="shared" ref="AQ70:AQ133" si="35">IF(AND(T70="",W70="",Z70="",AC70="",AF70="",AI70="",AL70=""),"",IF(COUNTIF(K70:Q70,"F")&gt;0,"",IF(S70=0,"",IF(S70&gt;AO70,H70,IF(S70&gt;AP70,"FAIL","PASS")))))</f>
        <v/>
      </c>
      <c r="AR70" s="185" t="str">
        <f>IF(COUNTIF(K70:Q70,"F")&gt;0,"",IF(AQ70="PASS",'Statement of Marks'!HZ72,""))</f>
        <v/>
      </c>
      <c r="AS70" s="185" t="str">
        <f>IF(AQ70="PASS",'Statement of Marks'!IA72,"")</f>
        <v/>
      </c>
    </row>
    <row r="71" spans="1:45">
      <c r="A71" s="169">
        <f>IF('Statement of Marks'!A73="","",'Statement of Marks'!A73)</f>
        <v>67</v>
      </c>
      <c r="B71" s="169" t="str">
        <f>IF('Statement of Marks'!B73="","",'Statement of Marks'!B73)</f>
        <v/>
      </c>
      <c r="C71" s="169" t="str">
        <f>IF('Statement of Marks'!D73="","",'Statement of Marks'!D73)</f>
        <v/>
      </c>
      <c r="D71" s="170" t="str">
        <f>IF('Statement of Marks'!E73="","",'Statement of Marks'!E73)</f>
        <v/>
      </c>
      <c r="E71" s="171" t="str">
        <f>IF('Statement of Marks'!F73="","",'Statement of Marks'!F73)</f>
        <v/>
      </c>
      <c r="F71" s="171" t="str">
        <f>IF('Statement of Marks'!G73="","",'Statement of Marks'!G73)</f>
        <v/>
      </c>
      <c r="G71" s="171" t="str">
        <f>IF('Statement of Marks'!H73="","",'Statement of Marks'!H73)</f>
        <v/>
      </c>
      <c r="H71" s="172" t="str">
        <f>IF('Statement of Marks'!HS73="","",'Statement of Marks'!HS73)</f>
        <v/>
      </c>
      <c r="I71" s="172" t="str">
        <f>IF('Statement of Marks'!HV73="","",'Statement of Marks'!HV73)</f>
        <v/>
      </c>
      <c r="J71" s="173" t="str">
        <f>IF('Statement of Marks'!HU73="","",'Statement of Marks'!HU73)</f>
        <v/>
      </c>
      <c r="K71" s="181" t="str">
        <f>'Statement of Marks'!GN73</f>
        <v/>
      </c>
      <c r="L71" s="181" t="str">
        <f>'Statement of Marks'!GQ73</f>
        <v/>
      </c>
      <c r="M71" s="181" t="str">
        <f>'Statement of Marks'!GT73</f>
        <v/>
      </c>
      <c r="N71" s="181" t="str">
        <f>'Statement of Marks'!HB73</f>
        <v/>
      </c>
      <c r="O71" s="181" t="str">
        <f>'Statement of Marks'!HE73</f>
        <v/>
      </c>
      <c r="P71" s="181" t="str">
        <f>'Statement of Marks'!HH73</f>
        <v/>
      </c>
      <c r="Q71" s="181" t="str">
        <f>'Statement of Marks'!HK73</f>
        <v/>
      </c>
      <c r="R71" s="173" t="str">
        <f>IF(COUNTIF(K71:Q71,"F")&gt;0,"",CONCATENATE('Statement of Marks'!HO73,'Statement of Marks'!HQ73))</f>
        <v xml:space="preserve">            </v>
      </c>
      <c r="S71" s="174">
        <f t="shared" si="18"/>
        <v>0</v>
      </c>
      <c r="T71" s="5"/>
      <c r="U71" s="182" t="str">
        <f t="shared" si="19"/>
        <v/>
      </c>
      <c r="V71" s="182" t="str">
        <f t="shared" si="20"/>
        <v/>
      </c>
      <c r="W71" s="5"/>
      <c r="X71" s="182" t="str">
        <f t="shared" si="21"/>
        <v/>
      </c>
      <c r="Y71" s="182" t="str">
        <f t="shared" si="22"/>
        <v/>
      </c>
      <c r="Z71" s="5"/>
      <c r="AA71" s="182" t="str">
        <f t="shared" si="23"/>
        <v/>
      </c>
      <c r="AB71" s="183" t="str">
        <f t="shared" si="24"/>
        <v/>
      </c>
      <c r="AC71" s="5"/>
      <c r="AD71" s="182" t="str">
        <f t="shared" si="25"/>
        <v/>
      </c>
      <c r="AE71" s="183" t="str">
        <f t="shared" si="26"/>
        <v/>
      </c>
      <c r="AF71" s="5"/>
      <c r="AG71" s="182" t="str">
        <f t="shared" si="27"/>
        <v/>
      </c>
      <c r="AH71" s="183" t="str">
        <f t="shared" si="28"/>
        <v/>
      </c>
      <c r="AI71" s="5"/>
      <c r="AJ71" s="183" t="str">
        <f t="shared" si="29"/>
        <v/>
      </c>
      <c r="AK71" s="183" t="str">
        <f t="shared" si="30"/>
        <v/>
      </c>
      <c r="AL71" s="5"/>
      <c r="AM71" s="183" t="str">
        <f t="shared" si="31"/>
        <v/>
      </c>
      <c r="AN71" s="183" t="str">
        <f t="shared" si="32"/>
        <v/>
      </c>
      <c r="AO71" s="184">
        <f t="shared" si="33"/>
        <v>0</v>
      </c>
      <c r="AP71" s="184">
        <f t="shared" si="34"/>
        <v>0</v>
      </c>
      <c r="AQ71" s="608" t="str">
        <f t="shared" si="35"/>
        <v/>
      </c>
      <c r="AR71" s="185" t="str">
        <f>IF(COUNTIF(K71:Q71,"F")&gt;0,"",IF(AQ71="PASS",'Statement of Marks'!HZ73,""))</f>
        <v/>
      </c>
      <c r="AS71" s="185" t="str">
        <f>IF(AQ71="PASS",'Statement of Marks'!IA73,"")</f>
        <v/>
      </c>
    </row>
    <row r="72" spans="1:45">
      <c r="A72" s="169">
        <f>IF('Statement of Marks'!A74="","",'Statement of Marks'!A74)</f>
        <v>68</v>
      </c>
      <c r="B72" s="169" t="str">
        <f>IF('Statement of Marks'!B74="","",'Statement of Marks'!B74)</f>
        <v/>
      </c>
      <c r="C72" s="169" t="str">
        <f>IF('Statement of Marks'!D74="","",'Statement of Marks'!D74)</f>
        <v/>
      </c>
      <c r="D72" s="170" t="str">
        <f>IF('Statement of Marks'!E74="","",'Statement of Marks'!E74)</f>
        <v/>
      </c>
      <c r="E72" s="171" t="str">
        <f>IF('Statement of Marks'!F74="","",'Statement of Marks'!F74)</f>
        <v/>
      </c>
      <c r="F72" s="171" t="str">
        <f>IF('Statement of Marks'!G74="","",'Statement of Marks'!G74)</f>
        <v/>
      </c>
      <c r="G72" s="171" t="str">
        <f>IF('Statement of Marks'!H74="","",'Statement of Marks'!H74)</f>
        <v/>
      </c>
      <c r="H72" s="172" t="str">
        <f>IF('Statement of Marks'!HS74="","",'Statement of Marks'!HS74)</f>
        <v/>
      </c>
      <c r="I72" s="172" t="str">
        <f>IF('Statement of Marks'!HV74="","",'Statement of Marks'!HV74)</f>
        <v/>
      </c>
      <c r="J72" s="173" t="str">
        <f>IF('Statement of Marks'!HU74="","",'Statement of Marks'!HU74)</f>
        <v/>
      </c>
      <c r="K72" s="181" t="str">
        <f>'Statement of Marks'!GN74</f>
        <v/>
      </c>
      <c r="L72" s="181" t="str">
        <f>'Statement of Marks'!GQ74</f>
        <v/>
      </c>
      <c r="M72" s="181" t="str">
        <f>'Statement of Marks'!GT74</f>
        <v/>
      </c>
      <c r="N72" s="181" t="str">
        <f>'Statement of Marks'!HB74</f>
        <v/>
      </c>
      <c r="O72" s="181" t="str">
        <f>'Statement of Marks'!HE74</f>
        <v/>
      </c>
      <c r="P72" s="181" t="str">
        <f>'Statement of Marks'!HH74</f>
        <v/>
      </c>
      <c r="Q72" s="181" t="str">
        <f>'Statement of Marks'!HK74</f>
        <v/>
      </c>
      <c r="R72" s="173" t="str">
        <f>IF(COUNTIF(K72:Q72,"F")&gt;0,"",CONCATENATE('Statement of Marks'!HO74,'Statement of Marks'!HQ74))</f>
        <v xml:space="preserve">            </v>
      </c>
      <c r="S72" s="174">
        <f t="shared" si="18"/>
        <v>0</v>
      </c>
      <c r="T72" s="5"/>
      <c r="U72" s="182" t="str">
        <f t="shared" si="19"/>
        <v/>
      </c>
      <c r="V72" s="182" t="str">
        <f t="shared" si="20"/>
        <v/>
      </c>
      <c r="W72" s="5"/>
      <c r="X72" s="182" t="str">
        <f t="shared" si="21"/>
        <v/>
      </c>
      <c r="Y72" s="182" t="str">
        <f t="shared" si="22"/>
        <v/>
      </c>
      <c r="Z72" s="5"/>
      <c r="AA72" s="182" t="str">
        <f t="shared" si="23"/>
        <v/>
      </c>
      <c r="AB72" s="183" t="str">
        <f t="shared" si="24"/>
        <v/>
      </c>
      <c r="AC72" s="5"/>
      <c r="AD72" s="182" t="str">
        <f t="shared" si="25"/>
        <v/>
      </c>
      <c r="AE72" s="183" t="str">
        <f t="shared" si="26"/>
        <v/>
      </c>
      <c r="AF72" s="5"/>
      <c r="AG72" s="182" t="str">
        <f t="shared" si="27"/>
        <v/>
      </c>
      <c r="AH72" s="183" t="str">
        <f t="shared" si="28"/>
        <v/>
      </c>
      <c r="AI72" s="5"/>
      <c r="AJ72" s="183" t="str">
        <f t="shared" si="29"/>
        <v/>
      </c>
      <c r="AK72" s="183" t="str">
        <f t="shared" si="30"/>
        <v/>
      </c>
      <c r="AL72" s="5"/>
      <c r="AM72" s="183" t="str">
        <f t="shared" si="31"/>
        <v/>
      </c>
      <c r="AN72" s="183" t="str">
        <f t="shared" si="32"/>
        <v/>
      </c>
      <c r="AO72" s="184">
        <f t="shared" si="33"/>
        <v>0</v>
      </c>
      <c r="AP72" s="184">
        <f t="shared" si="34"/>
        <v>0</v>
      </c>
      <c r="AQ72" s="608" t="str">
        <f t="shared" si="35"/>
        <v/>
      </c>
      <c r="AR72" s="185" t="str">
        <f>IF(COUNTIF(K72:Q72,"F")&gt;0,"",IF(AQ72="PASS",'Statement of Marks'!HZ74,""))</f>
        <v/>
      </c>
      <c r="AS72" s="185" t="str">
        <f>IF(AQ72="PASS",'Statement of Marks'!IA74,"")</f>
        <v/>
      </c>
    </row>
    <row r="73" spans="1:45">
      <c r="A73" s="169">
        <f>IF('Statement of Marks'!A75="","",'Statement of Marks'!A75)</f>
        <v>69</v>
      </c>
      <c r="B73" s="169" t="str">
        <f>IF('Statement of Marks'!B75="","",'Statement of Marks'!B75)</f>
        <v/>
      </c>
      <c r="C73" s="169" t="str">
        <f>IF('Statement of Marks'!D75="","",'Statement of Marks'!D75)</f>
        <v/>
      </c>
      <c r="D73" s="170" t="str">
        <f>IF('Statement of Marks'!E75="","",'Statement of Marks'!E75)</f>
        <v/>
      </c>
      <c r="E73" s="171" t="str">
        <f>IF('Statement of Marks'!F75="","",'Statement of Marks'!F75)</f>
        <v/>
      </c>
      <c r="F73" s="171" t="str">
        <f>IF('Statement of Marks'!G75="","",'Statement of Marks'!G75)</f>
        <v/>
      </c>
      <c r="G73" s="171" t="str">
        <f>IF('Statement of Marks'!H75="","",'Statement of Marks'!H75)</f>
        <v/>
      </c>
      <c r="H73" s="172" t="str">
        <f>IF('Statement of Marks'!HS75="","",'Statement of Marks'!HS75)</f>
        <v/>
      </c>
      <c r="I73" s="172" t="str">
        <f>IF('Statement of Marks'!HV75="","",'Statement of Marks'!HV75)</f>
        <v/>
      </c>
      <c r="J73" s="173" t="str">
        <f>IF('Statement of Marks'!HU75="","",'Statement of Marks'!HU75)</f>
        <v/>
      </c>
      <c r="K73" s="181" t="str">
        <f>'Statement of Marks'!GN75</f>
        <v/>
      </c>
      <c r="L73" s="181" t="str">
        <f>'Statement of Marks'!GQ75</f>
        <v/>
      </c>
      <c r="M73" s="181" t="str">
        <f>'Statement of Marks'!GT75</f>
        <v/>
      </c>
      <c r="N73" s="181" t="str">
        <f>'Statement of Marks'!HB75</f>
        <v/>
      </c>
      <c r="O73" s="181" t="str">
        <f>'Statement of Marks'!HE75</f>
        <v/>
      </c>
      <c r="P73" s="181" t="str">
        <f>'Statement of Marks'!HH75</f>
        <v/>
      </c>
      <c r="Q73" s="181" t="str">
        <f>'Statement of Marks'!HK75</f>
        <v/>
      </c>
      <c r="R73" s="173" t="str">
        <f>IF(COUNTIF(K73:Q73,"F")&gt;0,"",CONCATENATE('Statement of Marks'!HO75,'Statement of Marks'!HQ75))</f>
        <v xml:space="preserve">            </v>
      </c>
      <c r="S73" s="174">
        <f t="shared" si="18"/>
        <v>0</v>
      </c>
      <c r="T73" s="5"/>
      <c r="U73" s="182" t="str">
        <f t="shared" si="19"/>
        <v/>
      </c>
      <c r="V73" s="182" t="str">
        <f t="shared" si="20"/>
        <v/>
      </c>
      <c r="W73" s="5"/>
      <c r="X73" s="182" t="str">
        <f t="shared" si="21"/>
        <v/>
      </c>
      <c r="Y73" s="182" t="str">
        <f t="shared" si="22"/>
        <v/>
      </c>
      <c r="Z73" s="5"/>
      <c r="AA73" s="182" t="str">
        <f t="shared" si="23"/>
        <v/>
      </c>
      <c r="AB73" s="183" t="str">
        <f t="shared" si="24"/>
        <v/>
      </c>
      <c r="AC73" s="5"/>
      <c r="AD73" s="182" t="str">
        <f t="shared" si="25"/>
        <v/>
      </c>
      <c r="AE73" s="183" t="str">
        <f t="shared" si="26"/>
        <v/>
      </c>
      <c r="AF73" s="5"/>
      <c r="AG73" s="182" t="str">
        <f t="shared" si="27"/>
        <v/>
      </c>
      <c r="AH73" s="183" t="str">
        <f t="shared" si="28"/>
        <v/>
      </c>
      <c r="AI73" s="5"/>
      <c r="AJ73" s="183" t="str">
        <f t="shared" si="29"/>
        <v/>
      </c>
      <c r="AK73" s="183" t="str">
        <f t="shared" si="30"/>
        <v/>
      </c>
      <c r="AL73" s="5"/>
      <c r="AM73" s="183" t="str">
        <f t="shared" si="31"/>
        <v/>
      </c>
      <c r="AN73" s="183" t="str">
        <f t="shared" si="32"/>
        <v/>
      </c>
      <c r="AO73" s="184">
        <f t="shared" si="33"/>
        <v>0</v>
      </c>
      <c r="AP73" s="184">
        <f t="shared" si="34"/>
        <v>0</v>
      </c>
      <c r="AQ73" s="608" t="str">
        <f t="shared" si="35"/>
        <v/>
      </c>
      <c r="AR73" s="185" t="str">
        <f>IF(COUNTIF(K73:Q73,"F")&gt;0,"",IF(AQ73="PASS",'Statement of Marks'!HZ75,""))</f>
        <v/>
      </c>
      <c r="AS73" s="185" t="str">
        <f>IF(AQ73="PASS",'Statement of Marks'!IA75,"")</f>
        <v/>
      </c>
    </row>
    <row r="74" spans="1:45">
      <c r="A74" s="169">
        <f>IF('Statement of Marks'!A76="","",'Statement of Marks'!A76)</f>
        <v>70</v>
      </c>
      <c r="B74" s="169" t="str">
        <f>IF('Statement of Marks'!B76="","",'Statement of Marks'!B76)</f>
        <v/>
      </c>
      <c r="C74" s="169" t="str">
        <f>IF('Statement of Marks'!D76="","",'Statement of Marks'!D76)</f>
        <v/>
      </c>
      <c r="D74" s="170" t="str">
        <f>IF('Statement of Marks'!E76="","",'Statement of Marks'!E76)</f>
        <v/>
      </c>
      <c r="E74" s="171" t="str">
        <f>IF('Statement of Marks'!F76="","",'Statement of Marks'!F76)</f>
        <v/>
      </c>
      <c r="F74" s="171" t="str">
        <f>IF('Statement of Marks'!G76="","",'Statement of Marks'!G76)</f>
        <v/>
      </c>
      <c r="G74" s="171" t="str">
        <f>IF('Statement of Marks'!H76="","",'Statement of Marks'!H76)</f>
        <v/>
      </c>
      <c r="H74" s="172" t="str">
        <f>IF('Statement of Marks'!HS76="","",'Statement of Marks'!HS76)</f>
        <v/>
      </c>
      <c r="I74" s="172" t="str">
        <f>IF('Statement of Marks'!HV76="","",'Statement of Marks'!HV76)</f>
        <v/>
      </c>
      <c r="J74" s="173" t="str">
        <f>IF('Statement of Marks'!HU76="","",'Statement of Marks'!HU76)</f>
        <v/>
      </c>
      <c r="K74" s="181" t="str">
        <f>'Statement of Marks'!GN76</f>
        <v/>
      </c>
      <c r="L74" s="181" t="str">
        <f>'Statement of Marks'!GQ76</f>
        <v/>
      </c>
      <c r="M74" s="181" t="str">
        <f>'Statement of Marks'!GT76</f>
        <v/>
      </c>
      <c r="N74" s="181" t="str">
        <f>'Statement of Marks'!HB76</f>
        <v/>
      </c>
      <c r="O74" s="181" t="str">
        <f>'Statement of Marks'!HE76</f>
        <v/>
      </c>
      <c r="P74" s="181" t="str">
        <f>'Statement of Marks'!HH76</f>
        <v/>
      </c>
      <c r="Q74" s="181" t="str">
        <f>'Statement of Marks'!HK76</f>
        <v/>
      </c>
      <c r="R74" s="173" t="str">
        <f>IF(COUNTIF(K74:Q74,"F")&gt;0,"",CONCATENATE('Statement of Marks'!HO76,'Statement of Marks'!HQ76))</f>
        <v xml:space="preserve">            </v>
      </c>
      <c r="S74" s="174">
        <f t="shared" si="18"/>
        <v>0</v>
      </c>
      <c r="T74" s="5"/>
      <c r="U74" s="182" t="str">
        <f t="shared" si="19"/>
        <v/>
      </c>
      <c r="V74" s="182" t="str">
        <f t="shared" si="20"/>
        <v/>
      </c>
      <c r="W74" s="5"/>
      <c r="X74" s="182" t="str">
        <f t="shared" si="21"/>
        <v/>
      </c>
      <c r="Y74" s="182" t="str">
        <f t="shared" si="22"/>
        <v/>
      </c>
      <c r="Z74" s="5"/>
      <c r="AA74" s="182" t="str">
        <f t="shared" si="23"/>
        <v/>
      </c>
      <c r="AB74" s="183" t="str">
        <f t="shared" si="24"/>
        <v/>
      </c>
      <c r="AC74" s="5"/>
      <c r="AD74" s="182" t="str">
        <f t="shared" si="25"/>
        <v/>
      </c>
      <c r="AE74" s="183" t="str">
        <f t="shared" si="26"/>
        <v/>
      </c>
      <c r="AF74" s="5"/>
      <c r="AG74" s="182" t="str">
        <f t="shared" si="27"/>
        <v/>
      </c>
      <c r="AH74" s="183" t="str">
        <f t="shared" si="28"/>
        <v/>
      </c>
      <c r="AI74" s="5"/>
      <c r="AJ74" s="183" t="str">
        <f t="shared" si="29"/>
        <v/>
      </c>
      <c r="AK74" s="183" t="str">
        <f t="shared" si="30"/>
        <v/>
      </c>
      <c r="AL74" s="5"/>
      <c r="AM74" s="183" t="str">
        <f t="shared" si="31"/>
        <v/>
      </c>
      <c r="AN74" s="183" t="str">
        <f t="shared" si="32"/>
        <v/>
      </c>
      <c r="AO74" s="184">
        <f t="shared" si="33"/>
        <v>0</v>
      </c>
      <c r="AP74" s="184">
        <f t="shared" si="34"/>
        <v>0</v>
      </c>
      <c r="AQ74" s="608" t="str">
        <f t="shared" si="35"/>
        <v/>
      </c>
      <c r="AR74" s="185" t="str">
        <f>IF(COUNTIF(K74:Q74,"F")&gt;0,"",IF(AQ74="PASS",'Statement of Marks'!HZ76,""))</f>
        <v/>
      </c>
      <c r="AS74" s="185" t="str">
        <f>IF(AQ74="PASS",'Statement of Marks'!IA76,"")</f>
        <v/>
      </c>
    </row>
    <row r="75" spans="1:45">
      <c r="A75" s="169">
        <f>IF('Statement of Marks'!A77="","",'Statement of Marks'!A77)</f>
        <v>71</v>
      </c>
      <c r="B75" s="169" t="str">
        <f>IF('Statement of Marks'!B77="","",'Statement of Marks'!B77)</f>
        <v/>
      </c>
      <c r="C75" s="169" t="str">
        <f>IF('Statement of Marks'!D77="","",'Statement of Marks'!D77)</f>
        <v/>
      </c>
      <c r="D75" s="170" t="str">
        <f>IF('Statement of Marks'!E77="","",'Statement of Marks'!E77)</f>
        <v/>
      </c>
      <c r="E75" s="171" t="str">
        <f>IF('Statement of Marks'!F77="","",'Statement of Marks'!F77)</f>
        <v/>
      </c>
      <c r="F75" s="171" t="str">
        <f>IF('Statement of Marks'!G77="","",'Statement of Marks'!G77)</f>
        <v/>
      </c>
      <c r="G75" s="171" t="str">
        <f>IF('Statement of Marks'!H77="","",'Statement of Marks'!H77)</f>
        <v/>
      </c>
      <c r="H75" s="172" t="str">
        <f>IF('Statement of Marks'!HS77="","",'Statement of Marks'!HS77)</f>
        <v/>
      </c>
      <c r="I75" s="172" t="str">
        <f>IF('Statement of Marks'!HV77="","",'Statement of Marks'!HV77)</f>
        <v/>
      </c>
      <c r="J75" s="173" t="str">
        <f>IF('Statement of Marks'!HU77="","",'Statement of Marks'!HU77)</f>
        <v/>
      </c>
      <c r="K75" s="181" t="str">
        <f>'Statement of Marks'!GN77</f>
        <v/>
      </c>
      <c r="L75" s="181" t="str">
        <f>'Statement of Marks'!GQ77</f>
        <v/>
      </c>
      <c r="M75" s="181" t="str">
        <f>'Statement of Marks'!GT77</f>
        <v/>
      </c>
      <c r="N75" s="181" t="str">
        <f>'Statement of Marks'!HB77</f>
        <v/>
      </c>
      <c r="O75" s="181" t="str">
        <f>'Statement of Marks'!HE77</f>
        <v/>
      </c>
      <c r="P75" s="181" t="str">
        <f>'Statement of Marks'!HH77</f>
        <v/>
      </c>
      <c r="Q75" s="181" t="str">
        <f>'Statement of Marks'!HK77</f>
        <v/>
      </c>
      <c r="R75" s="173" t="str">
        <f>IF(COUNTIF(K75:Q75,"F")&gt;0,"",CONCATENATE('Statement of Marks'!HO77,'Statement of Marks'!HQ77))</f>
        <v xml:space="preserve">            </v>
      </c>
      <c r="S75" s="174">
        <f t="shared" si="18"/>
        <v>0</v>
      </c>
      <c r="T75" s="5"/>
      <c r="U75" s="182" t="str">
        <f t="shared" si="19"/>
        <v/>
      </c>
      <c r="V75" s="182" t="str">
        <f t="shared" si="20"/>
        <v/>
      </c>
      <c r="W75" s="5"/>
      <c r="X75" s="182" t="str">
        <f t="shared" si="21"/>
        <v/>
      </c>
      <c r="Y75" s="182" t="str">
        <f t="shared" si="22"/>
        <v/>
      </c>
      <c r="Z75" s="5"/>
      <c r="AA75" s="182" t="str">
        <f t="shared" si="23"/>
        <v/>
      </c>
      <c r="AB75" s="183" t="str">
        <f t="shared" si="24"/>
        <v/>
      </c>
      <c r="AC75" s="5"/>
      <c r="AD75" s="182" t="str">
        <f t="shared" si="25"/>
        <v/>
      </c>
      <c r="AE75" s="183" t="str">
        <f t="shared" si="26"/>
        <v/>
      </c>
      <c r="AF75" s="5"/>
      <c r="AG75" s="182" t="str">
        <f t="shared" si="27"/>
        <v/>
      </c>
      <c r="AH75" s="183" t="str">
        <f t="shared" si="28"/>
        <v/>
      </c>
      <c r="AI75" s="5"/>
      <c r="AJ75" s="183" t="str">
        <f t="shared" si="29"/>
        <v/>
      </c>
      <c r="AK75" s="183" t="str">
        <f t="shared" si="30"/>
        <v/>
      </c>
      <c r="AL75" s="5"/>
      <c r="AM75" s="183" t="str">
        <f t="shared" si="31"/>
        <v/>
      </c>
      <c r="AN75" s="183" t="str">
        <f t="shared" si="32"/>
        <v/>
      </c>
      <c r="AO75" s="184">
        <f t="shared" si="33"/>
        <v>0</v>
      </c>
      <c r="AP75" s="184">
        <f t="shared" si="34"/>
        <v>0</v>
      </c>
      <c r="AQ75" s="608" t="str">
        <f t="shared" si="35"/>
        <v/>
      </c>
      <c r="AR75" s="185" t="str">
        <f>IF(COUNTIF(K75:Q75,"F")&gt;0,"",IF(AQ75="PASS",'Statement of Marks'!HZ77,""))</f>
        <v/>
      </c>
      <c r="AS75" s="185" t="str">
        <f>IF(AQ75="PASS",'Statement of Marks'!IA77,"")</f>
        <v/>
      </c>
    </row>
    <row r="76" spans="1:45">
      <c r="A76" s="169">
        <f>IF('Statement of Marks'!A78="","",'Statement of Marks'!A78)</f>
        <v>72</v>
      </c>
      <c r="B76" s="169" t="str">
        <f>IF('Statement of Marks'!B78="","",'Statement of Marks'!B78)</f>
        <v/>
      </c>
      <c r="C76" s="169" t="str">
        <f>IF('Statement of Marks'!D78="","",'Statement of Marks'!D78)</f>
        <v/>
      </c>
      <c r="D76" s="170" t="str">
        <f>IF('Statement of Marks'!E78="","",'Statement of Marks'!E78)</f>
        <v/>
      </c>
      <c r="E76" s="171" t="str">
        <f>IF('Statement of Marks'!F78="","",'Statement of Marks'!F78)</f>
        <v/>
      </c>
      <c r="F76" s="171" t="str">
        <f>IF('Statement of Marks'!G78="","",'Statement of Marks'!G78)</f>
        <v/>
      </c>
      <c r="G76" s="171" t="str">
        <f>IF('Statement of Marks'!H78="","",'Statement of Marks'!H78)</f>
        <v/>
      </c>
      <c r="H76" s="172" t="str">
        <f>IF('Statement of Marks'!HS78="","",'Statement of Marks'!HS78)</f>
        <v/>
      </c>
      <c r="I76" s="172" t="str">
        <f>IF('Statement of Marks'!HV78="","",'Statement of Marks'!HV78)</f>
        <v/>
      </c>
      <c r="J76" s="173" t="str">
        <f>IF('Statement of Marks'!HU78="","",'Statement of Marks'!HU78)</f>
        <v/>
      </c>
      <c r="K76" s="181" t="str">
        <f>'Statement of Marks'!GN78</f>
        <v/>
      </c>
      <c r="L76" s="181" t="str">
        <f>'Statement of Marks'!GQ78</f>
        <v/>
      </c>
      <c r="M76" s="181" t="str">
        <f>'Statement of Marks'!GT78</f>
        <v/>
      </c>
      <c r="N76" s="181" t="str">
        <f>'Statement of Marks'!HB78</f>
        <v/>
      </c>
      <c r="O76" s="181" t="str">
        <f>'Statement of Marks'!HE78</f>
        <v/>
      </c>
      <c r="P76" s="181" t="str">
        <f>'Statement of Marks'!HH78</f>
        <v/>
      </c>
      <c r="Q76" s="181" t="str">
        <f>'Statement of Marks'!HK78</f>
        <v/>
      </c>
      <c r="R76" s="173" t="str">
        <f>IF(COUNTIF(K76:Q76,"F")&gt;0,"",CONCATENATE('Statement of Marks'!HO78,'Statement of Marks'!HQ78))</f>
        <v xml:space="preserve">            </v>
      </c>
      <c r="S76" s="174">
        <f t="shared" si="18"/>
        <v>0</v>
      </c>
      <c r="T76" s="5"/>
      <c r="U76" s="182" t="str">
        <f t="shared" si="19"/>
        <v/>
      </c>
      <c r="V76" s="182" t="str">
        <f t="shared" si="20"/>
        <v/>
      </c>
      <c r="W76" s="5"/>
      <c r="X76" s="182" t="str">
        <f t="shared" si="21"/>
        <v/>
      </c>
      <c r="Y76" s="182" t="str">
        <f t="shared" si="22"/>
        <v/>
      </c>
      <c r="Z76" s="5"/>
      <c r="AA76" s="182" t="str">
        <f t="shared" si="23"/>
        <v/>
      </c>
      <c r="AB76" s="183" t="str">
        <f t="shared" si="24"/>
        <v/>
      </c>
      <c r="AC76" s="5"/>
      <c r="AD76" s="182" t="str">
        <f t="shared" si="25"/>
        <v/>
      </c>
      <c r="AE76" s="183" t="str">
        <f t="shared" si="26"/>
        <v/>
      </c>
      <c r="AF76" s="5"/>
      <c r="AG76" s="182" t="str">
        <f t="shared" si="27"/>
        <v/>
      </c>
      <c r="AH76" s="183" t="str">
        <f t="shared" si="28"/>
        <v/>
      </c>
      <c r="AI76" s="5"/>
      <c r="AJ76" s="183" t="str">
        <f t="shared" si="29"/>
        <v/>
      </c>
      <c r="AK76" s="183" t="str">
        <f t="shared" si="30"/>
        <v/>
      </c>
      <c r="AL76" s="5"/>
      <c r="AM76" s="183" t="str">
        <f t="shared" si="31"/>
        <v/>
      </c>
      <c r="AN76" s="183" t="str">
        <f t="shared" si="32"/>
        <v/>
      </c>
      <c r="AO76" s="184">
        <f t="shared" si="33"/>
        <v>0</v>
      </c>
      <c r="AP76" s="184">
        <f t="shared" si="34"/>
        <v>0</v>
      </c>
      <c r="AQ76" s="608" t="str">
        <f t="shared" si="35"/>
        <v/>
      </c>
      <c r="AR76" s="185" t="str">
        <f>IF(COUNTIF(K76:Q76,"F")&gt;0,"",IF(AQ76="PASS",'Statement of Marks'!HZ78,""))</f>
        <v/>
      </c>
      <c r="AS76" s="185" t="str">
        <f>IF(AQ76="PASS",'Statement of Marks'!IA78,"")</f>
        <v/>
      </c>
    </row>
    <row r="77" spans="1:45">
      <c r="A77" s="169">
        <f>IF('Statement of Marks'!A79="","",'Statement of Marks'!A79)</f>
        <v>73</v>
      </c>
      <c r="B77" s="169" t="str">
        <f>IF('Statement of Marks'!B79="","",'Statement of Marks'!B79)</f>
        <v/>
      </c>
      <c r="C77" s="169" t="str">
        <f>IF('Statement of Marks'!D79="","",'Statement of Marks'!D79)</f>
        <v/>
      </c>
      <c r="D77" s="170" t="str">
        <f>IF('Statement of Marks'!E79="","",'Statement of Marks'!E79)</f>
        <v/>
      </c>
      <c r="E77" s="171" t="str">
        <f>IF('Statement of Marks'!F79="","",'Statement of Marks'!F79)</f>
        <v/>
      </c>
      <c r="F77" s="171" t="str">
        <f>IF('Statement of Marks'!G79="","",'Statement of Marks'!G79)</f>
        <v/>
      </c>
      <c r="G77" s="171" t="str">
        <f>IF('Statement of Marks'!H79="","",'Statement of Marks'!H79)</f>
        <v/>
      </c>
      <c r="H77" s="172" t="str">
        <f>IF('Statement of Marks'!HS79="","",'Statement of Marks'!HS79)</f>
        <v/>
      </c>
      <c r="I77" s="172" t="str">
        <f>IF('Statement of Marks'!HV79="","",'Statement of Marks'!HV79)</f>
        <v/>
      </c>
      <c r="J77" s="173" t="str">
        <f>IF('Statement of Marks'!HU79="","",'Statement of Marks'!HU79)</f>
        <v/>
      </c>
      <c r="K77" s="181" t="str">
        <f>'Statement of Marks'!GN79</f>
        <v/>
      </c>
      <c r="L77" s="181" t="str">
        <f>'Statement of Marks'!GQ79</f>
        <v/>
      </c>
      <c r="M77" s="181" t="str">
        <f>'Statement of Marks'!GT79</f>
        <v/>
      </c>
      <c r="N77" s="181" t="str">
        <f>'Statement of Marks'!HB79</f>
        <v/>
      </c>
      <c r="O77" s="181" t="str">
        <f>'Statement of Marks'!HE79</f>
        <v/>
      </c>
      <c r="P77" s="181" t="str">
        <f>'Statement of Marks'!HH79</f>
        <v/>
      </c>
      <c r="Q77" s="181" t="str">
        <f>'Statement of Marks'!HK79</f>
        <v/>
      </c>
      <c r="R77" s="173" t="str">
        <f>IF(COUNTIF(K77:Q77,"F")&gt;0,"",CONCATENATE('Statement of Marks'!HO79,'Statement of Marks'!HQ79))</f>
        <v xml:space="preserve">            </v>
      </c>
      <c r="S77" s="174">
        <f t="shared" si="18"/>
        <v>0</v>
      </c>
      <c r="T77" s="5"/>
      <c r="U77" s="182" t="str">
        <f t="shared" si="19"/>
        <v/>
      </c>
      <c r="V77" s="182" t="str">
        <f t="shared" si="20"/>
        <v/>
      </c>
      <c r="W77" s="5"/>
      <c r="X77" s="182" t="str">
        <f t="shared" si="21"/>
        <v/>
      </c>
      <c r="Y77" s="182" t="str">
        <f t="shared" si="22"/>
        <v/>
      </c>
      <c r="Z77" s="5"/>
      <c r="AA77" s="182" t="str">
        <f t="shared" si="23"/>
        <v/>
      </c>
      <c r="AB77" s="183" t="str">
        <f t="shared" si="24"/>
        <v/>
      </c>
      <c r="AC77" s="5"/>
      <c r="AD77" s="182" t="str">
        <f t="shared" si="25"/>
        <v/>
      </c>
      <c r="AE77" s="183" t="str">
        <f t="shared" si="26"/>
        <v/>
      </c>
      <c r="AF77" s="5"/>
      <c r="AG77" s="182" t="str">
        <f t="shared" si="27"/>
        <v/>
      </c>
      <c r="AH77" s="183" t="str">
        <f t="shared" si="28"/>
        <v/>
      </c>
      <c r="AI77" s="5"/>
      <c r="AJ77" s="183" t="str">
        <f t="shared" si="29"/>
        <v/>
      </c>
      <c r="AK77" s="183" t="str">
        <f t="shared" si="30"/>
        <v/>
      </c>
      <c r="AL77" s="5"/>
      <c r="AM77" s="183" t="str">
        <f t="shared" si="31"/>
        <v/>
      </c>
      <c r="AN77" s="183" t="str">
        <f t="shared" si="32"/>
        <v/>
      </c>
      <c r="AO77" s="184">
        <f t="shared" si="33"/>
        <v>0</v>
      </c>
      <c r="AP77" s="184">
        <f t="shared" si="34"/>
        <v>0</v>
      </c>
      <c r="AQ77" s="608" t="str">
        <f t="shared" si="35"/>
        <v/>
      </c>
      <c r="AR77" s="185" t="str">
        <f>IF(COUNTIF(K77:Q77,"F")&gt;0,"",IF(AQ77="PASS",'Statement of Marks'!HZ79,""))</f>
        <v/>
      </c>
      <c r="AS77" s="185" t="str">
        <f>IF(AQ77="PASS",'Statement of Marks'!IA79,"")</f>
        <v/>
      </c>
    </row>
    <row r="78" spans="1:45">
      <c r="A78" s="169">
        <f>IF('Statement of Marks'!A80="","",'Statement of Marks'!A80)</f>
        <v>74</v>
      </c>
      <c r="B78" s="169" t="str">
        <f>IF('Statement of Marks'!B80="","",'Statement of Marks'!B80)</f>
        <v/>
      </c>
      <c r="C78" s="169" t="str">
        <f>IF('Statement of Marks'!D80="","",'Statement of Marks'!D80)</f>
        <v/>
      </c>
      <c r="D78" s="170" t="str">
        <f>IF('Statement of Marks'!E80="","",'Statement of Marks'!E80)</f>
        <v/>
      </c>
      <c r="E78" s="171" t="str">
        <f>IF('Statement of Marks'!F80="","",'Statement of Marks'!F80)</f>
        <v/>
      </c>
      <c r="F78" s="171" t="str">
        <f>IF('Statement of Marks'!G80="","",'Statement of Marks'!G80)</f>
        <v/>
      </c>
      <c r="G78" s="171" t="str">
        <f>IF('Statement of Marks'!H80="","",'Statement of Marks'!H80)</f>
        <v/>
      </c>
      <c r="H78" s="172" t="str">
        <f>IF('Statement of Marks'!HS80="","",'Statement of Marks'!HS80)</f>
        <v/>
      </c>
      <c r="I78" s="172" t="str">
        <f>IF('Statement of Marks'!HV80="","",'Statement of Marks'!HV80)</f>
        <v/>
      </c>
      <c r="J78" s="173" t="str">
        <f>IF('Statement of Marks'!HU80="","",'Statement of Marks'!HU80)</f>
        <v/>
      </c>
      <c r="K78" s="181" t="str">
        <f>'Statement of Marks'!GN80</f>
        <v/>
      </c>
      <c r="L78" s="181" t="str">
        <f>'Statement of Marks'!GQ80</f>
        <v/>
      </c>
      <c r="M78" s="181" t="str">
        <f>'Statement of Marks'!GT80</f>
        <v/>
      </c>
      <c r="N78" s="181" t="str">
        <f>'Statement of Marks'!HB80</f>
        <v/>
      </c>
      <c r="O78" s="181" t="str">
        <f>'Statement of Marks'!HE80</f>
        <v/>
      </c>
      <c r="P78" s="181" t="str">
        <f>'Statement of Marks'!HH80</f>
        <v/>
      </c>
      <c r="Q78" s="181" t="str">
        <f>'Statement of Marks'!HK80</f>
        <v/>
      </c>
      <c r="R78" s="173" t="str">
        <f>IF(COUNTIF(K78:Q78,"F")&gt;0,"",CONCATENATE('Statement of Marks'!HO80,'Statement of Marks'!HQ80))</f>
        <v xml:space="preserve">            </v>
      </c>
      <c r="S78" s="174">
        <f t="shared" si="18"/>
        <v>0</v>
      </c>
      <c r="T78" s="5"/>
      <c r="U78" s="182" t="str">
        <f t="shared" si="19"/>
        <v/>
      </c>
      <c r="V78" s="182" t="str">
        <f t="shared" si="20"/>
        <v/>
      </c>
      <c r="W78" s="5"/>
      <c r="X78" s="182" t="str">
        <f t="shared" si="21"/>
        <v/>
      </c>
      <c r="Y78" s="182" t="str">
        <f t="shared" si="22"/>
        <v/>
      </c>
      <c r="Z78" s="5"/>
      <c r="AA78" s="182" t="str">
        <f t="shared" si="23"/>
        <v/>
      </c>
      <c r="AB78" s="183" t="str">
        <f t="shared" si="24"/>
        <v/>
      </c>
      <c r="AC78" s="5"/>
      <c r="AD78" s="182" t="str">
        <f t="shared" si="25"/>
        <v/>
      </c>
      <c r="AE78" s="183" t="str">
        <f t="shared" si="26"/>
        <v/>
      </c>
      <c r="AF78" s="5"/>
      <c r="AG78" s="182" t="str">
        <f t="shared" si="27"/>
        <v/>
      </c>
      <c r="AH78" s="183" t="str">
        <f t="shared" si="28"/>
        <v/>
      </c>
      <c r="AI78" s="5"/>
      <c r="AJ78" s="183" t="str">
        <f t="shared" si="29"/>
        <v/>
      </c>
      <c r="AK78" s="183" t="str">
        <f t="shared" si="30"/>
        <v/>
      </c>
      <c r="AL78" s="5"/>
      <c r="AM78" s="183" t="str">
        <f t="shared" si="31"/>
        <v/>
      </c>
      <c r="AN78" s="183" t="str">
        <f t="shared" si="32"/>
        <v/>
      </c>
      <c r="AO78" s="184">
        <f t="shared" si="33"/>
        <v>0</v>
      </c>
      <c r="AP78" s="184">
        <f t="shared" si="34"/>
        <v>0</v>
      </c>
      <c r="AQ78" s="608" t="str">
        <f t="shared" si="35"/>
        <v/>
      </c>
      <c r="AR78" s="185" t="str">
        <f>IF(COUNTIF(K78:Q78,"F")&gt;0,"",IF(AQ78="PASS",'Statement of Marks'!HZ80,""))</f>
        <v/>
      </c>
      <c r="AS78" s="185" t="str">
        <f>IF(AQ78="PASS",'Statement of Marks'!IA80,"")</f>
        <v/>
      </c>
    </row>
    <row r="79" spans="1:45">
      <c r="A79" s="169">
        <f>IF('Statement of Marks'!A81="","",'Statement of Marks'!A81)</f>
        <v>75</v>
      </c>
      <c r="B79" s="169" t="str">
        <f>IF('Statement of Marks'!B81="","",'Statement of Marks'!B81)</f>
        <v/>
      </c>
      <c r="C79" s="169" t="str">
        <f>IF('Statement of Marks'!D81="","",'Statement of Marks'!D81)</f>
        <v/>
      </c>
      <c r="D79" s="170" t="str">
        <f>IF('Statement of Marks'!E81="","",'Statement of Marks'!E81)</f>
        <v/>
      </c>
      <c r="E79" s="171" t="str">
        <f>IF('Statement of Marks'!F81="","",'Statement of Marks'!F81)</f>
        <v/>
      </c>
      <c r="F79" s="171" t="str">
        <f>IF('Statement of Marks'!G81="","",'Statement of Marks'!G81)</f>
        <v/>
      </c>
      <c r="G79" s="171" t="str">
        <f>IF('Statement of Marks'!H81="","",'Statement of Marks'!H81)</f>
        <v/>
      </c>
      <c r="H79" s="172" t="str">
        <f>IF('Statement of Marks'!HS81="","",'Statement of Marks'!HS81)</f>
        <v/>
      </c>
      <c r="I79" s="172" t="str">
        <f>IF('Statement of Marks'!HV81="","",'Statement of Marks'!HV81)</f>
        <v/>
      </c>
      <c r="J79" s="173" t="str">
        <f>IF('Statement of Marks'!HU81="","",'Statement of Marks'!HU81)</f>
        <v/>
      </c>
      <c r="K79" s="181" t="str">
        <f>'Statement of Marks'!GN81</f>
        <v/>
      </c>
      <c r="L79" s="181" t="str">
        <f>'Statement of Marks'!GQ81</f>
        <v/>
      </c>
      <c r="M79" s="181" t="str">
        <f>'Statement of Marks'!GT81</f>
        <v/>
      </c>
      <c r="N79" s="181" t="str">
        <f>'Statement of Marks'!HB81</f>
        <v/>
      </c>
      <c r="O79" s="181" t="str">
        <f>'Statement of Marks'!HE81</f>
        <v/>
      </c>
      <c r="P79" s="181" t="str">
        <f>'Statement of Marks'!HH81</f>
        <v/>
      </c>
      <c r="Q79" s="181" t="str">
        <f>'Statement of Marks'!HK81</f>
        <v/>
      </c>
      <c r="R79" s="173" t="str">
        <f>IF(COUNTIF(K79:Q79,"F")&gt;0,"",CONCATENATE('Statement of Marks'!HO81,'Statement of Marks'!HQ81))</f>
        <v xml:space="preserve">            </v>
      </c>
      <c r="S79" s="174">
        <f t="shared" si="18"/>
        <v>0</v>
      </c>
      <c r="T79" s="5"/>
      <c r="U79" s="182" t="str">
        <f t="shared" si="19"/>
        <v/>
      </c>
      <c r="V79" s="182" t="str">
        <f t="shared" si="20"/>
        <v/>
      </c>
      <c r="W79" s="5"/>
      <c r="X79" s="182" t="str">
        <f t="shared" si="21"/>
        <v/>
      </c>
      <c r="Y79" s="182" t="str">
        <f t="shared" si="22"/>
        <v/>
      </c>
      <c r="Z79" s="5"/>
      <c r="AA79" s="182" t="str">
        <f t="shared" si="23"/>
        <v/>
      </c>
      <c r="AB79" s="183" t="str">
        <f t="shared" si="24"/>
        <v/>
      </c>
      <c r="AC79" s="5"/>
      <c r="AD79" s="182" t="str">
        <f t="shared" si="25"/>
        <v/>
      </c>
      <c r="AE79" s="183" t="str">
        <f t="shared" si="26"/>
        <v/>
      </c>
      <c r="AF79" s="5"/>
      <c r="AG79" s="182" t="str">
        <f t="shared" si="27"/>
        <v/>
      </c>
      <c r="AH79" s="183" t="str">
        <f t="shared" si="28"/>
        <v/>
      </c>
      <c r="AI79" s="5"/>
      <c r="AJ79" s="183" t="str">
        <f t="shared" si="29"/>
        <v/>
      </c>
      <c r="AK79" s="183" t="str">
        <f t="shared" si="30"/>
        <v/>
      </c>
      <c r="AL79" s="5"/>
      <c r="AM79" s="183" t="str">
        <f t="shared" si="31"/>
        <v/>
      </c>
      <c r="AN79" s="183" t="str">
        <f t="shared" si="32"/>
        <v/>
      </c>
      <c r="AO79" s="184">
        <f t="shared" si="33"/>
        <v>0</v>
      </c>
      <c r="AP79" s="184">
        <f t="shared" si="34"/>
        <v>0</v>
      </c>
      <c r="AQ79" s="608" t="str">
        <f t="shared" si="35"/>
        <v/>
      </c>
      <c r="AR79" s="185" t="str">
        <f>IF(COUNTIF(K79:Q79,"F")&gt;0,"",IF(AQ79="PASS",'Statement of Marks'!HZ81,""))</f>
        <v/>
      </c>
      <c r="AS79" s="185" t="str">
        <f>IF(AQ79="PASS",'Statement of Marks'!IA81,"")</f>
        <v/>
      </c>
    </row>
    <row r="80" spans="1:45">
      <c r="A80" s="169">
        <f>IF('Statement of Marks'!A82="","",'Statement of Marks'!A82)</f>
        <v>76</v>
      </c>
      <c r="B80" s="169" t="str">
        <f>IF('Statement of Marks'!B82="","",'Statement of Marks'!B82)</f>
        <v/>
      </c>
      <c r="C80" s="169" t="str">
        <f>IF('Statement of Marks'!D82="","",'Statement of Marks'!D82)</f>
        <v/>
      </c>
      <c r="D80" s="170" t="str">
        <f>IF('Statement of Marks'!E82="","",'Statement of Marks'!E82)</f>
        <v/>
      </c>
      <c r="E80" s="171" t="str">
        <f>IF('Statement of Marks'!F82="","",'Statement of Marks'!F82)</f>
        <v/>
      </c>
      <c r="F80" s="171" t="str">
        <f>IF('Statement of Marks'!G82="","",'Statement of Marks'!G82)</f>
        <v/>
      </c>
      <c r="G80" s="171" t="str">
        <f>IF('Statement of Marks'!H82="","",'Statement of Marks'!H82)</f>
        <v/>
      </c>
      <c r="H80" s="172" t="str">
        <f>IF('Statement of Marks'!HS82="","",'Statement of Marks'!HS82)</f>
        <v/>
      </c>
      <c r="I80" s="172" t="str">
        <f>IF('Statement of Marks'!HV82="","",'Statement of Marks'!HV82)</f>
        <v/>
      </c>
      <c r="J80" s="173" t="str">
        <f>IF('Statement of Marks'!HU82="","",'Statement of Marks'!HU82)</f>
        <v/>
      </c>
      <c r="K80" s="181" t="str">
        <f>'Statement of Marks'!GN82</f>
        <v/>
      </c>
      <c r="L80" s="181" t="str">
        <f>'Statement of Marks'!GQ82</f>
        <v/>
      </c>
      <c r="M80" s="181" t="str">
        <f>'Statement of Marks'!GT82</f>
        <v/>
      </c>
      <c r="N80" s="181" t="str">
        <f>'Statement of Marks'!HB82</f>
        <v/>
      </c>
      <c r="O80" s="181" t="str">
        <f>'Statement of Marks'!HE82</f>
        <v/>
      </c>
      <c r="P80" s="181" t="str">
        <f>'Statement of Marks'!HH82</f>
        <v/>
      </c>
      <c r="Q80" s="181" t="str">
        <f>'Statement of Marks'!HK82</f>
        <v/>
      </c>
      <c r="R80" s="173" t="str">
        <f>IF(COUNTIF(K80:Q80,"F")&gt;0,"",CONCATENATE('Statement of Marks'!HO82,'Statement of Marks'!HQ82))</f>
        <v xml:space="preserve">            </v>
      </c>
      <c r="S80" s="174">
        <f t="shared" si="18"/>
        <v>0</v>
      </c>
      <c r="T80" s="5"/>
      <c r="U80" s="182" t="str">
        <f t="shared" si="19"/>
        <v/>
      </c>
      <c r="V80" s="182" t="str">
        <f t="shared" si="20"/>
        <v/>
      </c>
      <c r="W80" s="5"/>
      <c r="X80" s="182" t="str">
        <f t="shared" si="21"/>
        <v/>
      </c>
      <c r="Y80" s="182" t="str">
        <f t="shared" si="22"/>
        <v/>
      </c>
      <c r="Z80" s="5"/>
      <c r="AA80" s="182" t="str">
        <f t="shared" si="23"/>
        <v/>
      </c>
      <c r="AB80" s="183" t="str">
        <f t="shared" si="24"/>
        <v/>
      </c>
      <c r="AC80" s="5"/>
      <c r="AD80" s="182" t="str">
        <f t="shared" si="25"/>
        <v/>
      </c>
      <c r="AE80" s="183" t="str">
        <f t="shared" si="26"/>
        <v/>
      </c>
      <c r="AF80" s="5"/>
      <c r="AG80" s="182" t="str">
        <f t="shared" si="27"/>
        <v/>
      </c>
      <c r="AH80" s="183" t="str">
        <f t="shared" si="28"/>
        <v/>
      </c>
      <c r="AI80" s="5"/>
      <c r="AJ80" s="183" t="str">
        <f t="shared" si="29"/>
        <v/>
      </c>
      <c r="AK80" s="183" t="str">
        <f t="shared" si="30"/>
        <v/>
      </c>
      <c r="AL80" s="5"/>
      <c r="AM80" s="183" t="str">
        <f t="shared" si="31"/>
        <v/>
      </c>
      <c r="AN80" s="183" t="str">
        <f t="shared" si="32"/>
        <v/>
      </c>
      <c r="AO80" s="184">
        <f t="shared" si="33"/>
        <v>0</v>
      </c>
      <c r="AP80" s="184">
        <f t="shared" si="34"/>
        <v>0</v>
      </c>
      <c r="AQ80" s="608" t="str">
        <f t="shared" si="35"/>
        <v/>
      </c>
      <c r="AR80" s="185" t="str">
        <f>IF(COUNTIF(K80:Q80,"F")&gt;0,"",IF(AQ80="PASS",'Statement of Marks'!HZ82,""))</f>
        <v/>
      </c>
      <c r="AS80" s="185" t="str">
        <f>IF(AQ80="PASS",'Statement of Marks'!IA82,"")</f>
        <v/>
      </c>
    </row>
    <row r="81" spans="1:45">
      <c r="A81" s="169">
        <f>IF('Statement of Marks'!A83="","",'Statement of Marks'!A83)</f>
        <v>77</v>
      </c>
      <c r="B81" s="169" t="str">
        <f>IF('Statement of Marks'!B83="","",'Statement of Marks'!B83)</f>
        <v/>
      </c>
      <c r="C81" s="169" t="str">
        <f>IF('Statement of Marks'!D83="","",'Statement of Marks'!D83)</f>
        <v/>
      </c>
      <c r="D81" s="170" t="str">
        <f>IF('Statement of Marks'!E83="","",'Statement of Marks'!E83)</f>
        <v/>
      </c>
      <c r="E81" s="171" t="str">
        <f>IF('Statement of Marks'!F83="","",'Statement of Marks'!F83)</f>
        <v/>
      </c>
      <c r="F81" s="171" t="str">
        <f>IF('Statement of Marks'!G83="","",'Statement of Marks'!G83)</f>
        <v/>
      </c>
      <c r="G81" s="171" t="str">
        <f>IF('Statement of Marks'!H83="","",'Statement of Marks'!H83)</f>
        <v/>
      </c>
      <c r="H81" s="172" t="str">
        <f>IF('Statement of Marks'!HS83="","",'Statement of Marks'!HS83)</f>
        <v/>
      </c>
      <c r="I81" s="172" t="str">
        <f>IF('Statement of Marks'!HV83="","",'Statement of Marks'!HV83)</f>
        <v/>
      </c>
      <c r="J81" s="173" t="str">
        <f>IF('Statement of Marks'!HU83="","",'Statement of Marks'!HU83)</f>
        <v/>
      </c>
      <c r="K81" s="181" t="str">
        <f>'Statement of Marks'!GN83</f>
        <v/>
      </c>
      <c r="L81" s="181" t="str">
        <f>'Statement of Marks'!GQ83</f>
        <v/>
      </c>
      <c r="M81" s="181" t="str">
        <f>'Statement of Marks'!GT83</f>
        <v/>
      </c>
      <c r="N81" s="181" t="str">
        <f>'Statement of Marks'!HB83</f>
        <v/>
      </c>
      <c r="O81" s="181" t="str">
        <f>'Statement of Marks'!HE83</f>
        <v/>
      </c>
      <c r="P81" s="181" t="str">
        <f>'Statement of Marks'!HH83</f>
        <v/>
      </c>
      <c r="Q81" s="181" t="str">
        <f>'Statement of Marks'!HK83</f>
        <v/>
      </c>
      <c r="R81" s="173" t="str">
        <f>IF(COUNTIF(K81:Q81,"F")&gt;0,"",CONCATENATE('Statement of Marks'!HO83,'Statement of Marks'!HQ83))</f>
        <v xml:space="preserve">            </v>
      </c>
      <c r="S81" s="174">
        <f t="shared" si="18"/>
        <v>0</v>
      </c>
      <c r="T81" s="5"/>
      <c r="U81" s="182" t="str">
        <f t="shared" si="19"/>
        <v/>
      </c>
      <c r="V81" s="182" t="str">
        <f t="shared" si="20"/>
        <v/>
      </c>
      <c r="W81" s="5"/>
      <c r="X81" s="182" t="str">
        <f t="shared" si="21"/>
        <v/>
      </c>
      <c r="Y81" s="182" t="str">
        <f t="shared" si="22"/>
        <v/>
      </c>
      <c r="Z81" s="5"/>
      <c r="AA81" s="182" t="str">
        <f t="shared" si="23"/>
        <v/>
      </c>
      <c r="AB81" s="183" t="str">
        <f t="shared" si="24"/>
        <v/>
      </c>
      <c r="AC81" s="5"/>
      <c r="AD81" s="182" t="str">
        <f t="shared" si="25"/>
        <v/>
      </c>
      <c r="AE81" s="183" t="str">
        <f t="shared" si="26"/>
        <v/>
      </c>
      <c r="AF81" s="5"/>
      <c r="AG81" s="182" t="str">
        <f t="shared" si="27"/>
        <v/>
      </c>
      <c r="AH81" s="183" t="str">
        <f t="shared" si="28"/>
        <v/>
      </c>
      <c r="AI81" s="5"/>
      <c r="AJ81" s="183" t="str">
        <f t="shared" si="29"/>
        <v/>
      </c>
      <c r="AK81" s="183" t="str">
        <f t="shared" si="30"/>
        <v/>
      </c>
      <c r="AL81" s="5"/>
      <c r="AM81" s="183" t="str">
        <f t="shared" si="31"/>
        <v/>
      </c>
      <c r="AN81" s="183" t="str">
        <f t="shared" si="32"/>
        <v/>
      </c>
      <c r="AO81" s="184">
        <f t="shared" si="33"/>
        <v>0</v>
      </c>
      <c r="AP81" s="184">
        <f t="shared" si="34"/>
        <v>0</v>
      </c>
      <c r="AQ81" s="608" t="str">
        <f t="shared" si="35"/>
        <v/>
      </c>
      <c r="AR81" s="185" t="str">
        <f>IF(COUNTIF(K81:Q81,"F")&gt;0,"",IF(AQ81="PASS",'Statement of Marks'!HZ83,""))</f>
        <v/>
      </c>
      <c r="AS81" s="185" t="str">
        <f>IF(AQ81="PASS",'Statement of Marks'!IA83,"")</f>
        <v/>
      </c>
    </row>
    <row r="82" spans="1:45">
      <c r="A82" s="169">
        <f>IF('Statement of Marks'!A84="","",'Statement of Marks'!A84)</f>
        <v>78</v>
      </c>
      <c r="B82" s="169" t="str">
        <f>IF('Statement of Marks'!B84="","",'Statement of Marks'!B84)</f>
        <v/>
      </c>
      <c r="C82" s="169" t="str">
        <f>IF('Statement of Marks'!D84="","",'Statement of Marks'!D84)</f>
        <v/>
      </c>
      <c r="D82" s="170" t="str">
        <f>IF('Statement of Marks'!E84="","",'Statement of Marks'!E84)</f>
        <v/>
      </c>
      <c r="E82" s="171" t="str">
        <f>IF('Statement of Marks'!F84="","",'Statement of Marks'!F84)</f>
        <v/>
      </c>
      <c r="F82" s="171" t="str">
        <f>IF('Statement of Marks'!G84="","",'Statement of Marks'!G84)</f>
        <v/>
      </c>
      <c r="G82" s="171" t="str">
        <f>IF('Statement of Marks'!H84="","",'Statement of Marks'!H84)</f>
        <v/>
      </c>
      <c r="H82" s="172" t="str">
        <f>IF('Statement of Marks'!HS84="","",'Statement of Marks'!HS84)</f>
        <v/>
      </c>
      <c r="I82" s="172" t="str">
        <f>IF('Statement of Marks'!HV84="","",'Statement of Marks'!HV84)</f>
        <v/>
      </c>
      <c r="J82" s="173" t="str">
        <f>IF('Statement of Marks'!HU84="","",'Statement of Marks'!HU84)</f>
        <v/>
      </c>
      <c r="K82" s="181" t="str">
        <f>'Statement of Marks'!GN84</f>
        <v/>
      </c>
      <c r="L82" s="181" t="str">
        <f>'Statement of Marks'!GQ84</f>
        <v/>
      </c>
      <c r="M82" s="181" t="str">
        <f>'Statement of Marks'!GT84</f>
        <v/>
      </c>
      <c r="N82" s="181" t="str">
        <f>'Statement of Marks'!HB84</f>
        <v/>
      </c>
      <c r="O82" s="181" t="str">
        <f>'Statement of Marks'!HE84</f>
        <v/>
      </c>
      <c r="P82" s="181" t="str">
        <f>'Statement of Marks'!HH84</f>
        <v/>
      </c>
      <c r="Q82" s="181" t="str">
        <f>'Statement of Marks'!HK84</f>
        <v/>
      </c>
      <c r="R82" s="173" t="str">
        <f>IF(COUNTIF(K82:Q82,"F")&gt;0,"",CONCATENATE('Statement of Marks'!HO84,'Statement of Marks'!HQ84))</f>
        <v xml:space="preserve">            </v>
      </c>
      <c r="S82" s="174">
        <f t="shared" si="18"/>
        <v>0</v>
      </c>
      <c r="T82" s="5"/>
      <c r="U82" s="182" t="str">
        <f t="shared" si="19"/>
        <v/>
      </c>
      <c r="V82" s="182" t="str">
        <f t="shared" si="20"/>
        <v/>
      </c>
      <c r="W82" s="5"/>
      <c r="X82" s="182" t="str">
        <f t="shared" si="21"/>
        <v/>
      </c>
      <c r="Y82" s="182" t="str">
        <f t="shared" si="22"/>
        <v/>
      </c>
      <c r="Z82" s="5"/>
      <c r="AA82" s="182" t="str">
        <f t="shared" si="23"/>
        <v/>
      </c>
      <c r="AB82" s="183" t="str">
        <f t="shared" si="24"/>
        <v/>
      </c>
      <c r="AC82" s="5"/>
      <c r="AD82" s="182" t="str">
        <f t="shared" si="25"/>
        <v/>
      </c>
      <c r="AE82" s="183" t="str">
        <f t="shared" si="26"/>
        <v/>
      </c>
      <c r="AF82" s="5"/>
      <c r="AG82" s="182" t="str">
        <f t="shared" si="27"/>
        <v/>
      </c>
      <c r="AH82" s="183" t="str">
        <f t="shared" si="28"/>
        <v/>
      </c>
      <c r="AI82" s="5"/>
      <c r="AJ82" s="183" t="str">
        <f t="shared" si="29"/>
        <v/>
      </c>
      <c r="AK82" s="183" t="str">
        <f t="shared" si="30"/>
        <v/>
      </c>
      <c r="AL82" s="5"/>
      <c r="AM82" s="183" t="str">
        <f t="shared" si="31"/>
        <v/>
      </c>
      <c r="AN82" s="183" t="str">
        <f t="shared" si="32"/>
        <v/>
      </c>
      <c r="AO82" s="184">
        <f t="shared" si="33"/>
        <v>0</v>
      </c>
      <c r="AP82" s="184">
        <f t="shared" si="34"/>
        <v>0</v>
      </c>
      <c r="AQ82" s="608" t="str">
        <f t="shared" si="35"/>
        <v/>
      </c>
      <c r="AR82" s="185" t="str">
        <f>IF(COUNTIF(K82:Q82,"F")&gt;0,"",IF(AQ82="PASS",'Statement of Marks'!HZ84,""))</f>
        <v/>
      </c>
      <c r="AS82" s="185" t="str">
        <f>IF(AQ82="PASS",'Statement of Marks'!IA84,"")</f>
        <v/>
      </c>
    </row>
    <row r="83" spans="1:45">
      <c r="A83" s="169">
        <f>IF('Statement of Marks'!A85="","",'Statement of Marks'!A85)</f>
        <v>79</v>
      </c>
      <c r="B83" s="169" t="str">
        <f>IF('Statement of Marks'!B85="","",'Statement of Marks'!B85)</f>
        <v/>
      </c>
      <c r="C83" s="169" t="str">
        <f>IF('Statement of Marks'!D85="","",'Statement of Marks'!D85)</f>
        <v/>
      </c>
      <c r="D83" s="170" t="str">
        <f>IF('Statement of Marks'!E85="","",'Statement of Marks'!E85)</f>
        <v/>
      </c>
      <c r="E83" s="171" t="str">
        <f>IF('Statement of Marks'!F85="","",'Statement of Marks'!F85)</f>
        <v/>
      </c>
      <c r="F83" s="171" t="str">
        <f>IF('Statement of Marks'!G85="","",'Statement of Marks'!G85)</f>
        <v/>
      </c>
      <c r="G83" s="171" t="str">
        <f>IF('Statement of Marks'!H85="","",'Statement of Marks'!H85)</f>
        <v/>
      </c>
      <c r="H83" s="172" t="str">
        <f>IF('Statement of Marks'!HS85="","",'Statement of Marks'!HS85)</f>
        <v/>
      </c>
      <c r="I83" s="172" t="str">
        <f>IF('Statement of Marks'!HV85="","",'Statement of Marks'!HV85)</f>
        <v/>
      </c>
      <c r="J83" s="173" t="str">
        <f>IF('Statement of Marks'!HU85="","",'Statement of Marks'!HU85)</f>
        <v/>
      </c>
      <c r="K83" s="181" t="str">
        <f>'Statement of Marks'!GN85</f>
        <v/>
      </c>
      <c r="L83" s="181" t="str">
        <f>'Statement of Marks'!GQ85</f>
        <v/>
      </c>
      <c r="M83" s="181" t="str">
        <f>'Statement of Marks'!GT85</f>
        <v/>
      </c>
      <c r="N83" s="181" t="str">
        <f>'Statement of Marks'!HB85</f>
        <v/>
      </c>
      <c r="O83" s="181" t="str">
        <f>'Statement of Marks'!HE85</f>
        <v/>
      </c>
      <c r="P83" s="181" t="str">
        <f>'Statement of Marks'!HH85</f>
        <v/>
      </c>
      <c r="Q83" s="181" t="str">
        <f>'Statement of Marks'!HK85</f>
        <v/>
      </c>
      <c r="R83" s="173" t="str">
        <f>IF(COUNTIF(K83:Q83,"F")&gt;0,"",CONCATENATE('Statement of Marks'!HO85,'Statement of Marks'!HQ85))</f>
        <v xml:space="preserve">            </v>
      </c>
      <c r="S83" s="174">
        <f t="shared" si="18"/>
        <v>0</v>
      </c>
      <c r="T83" s="5"/>
      <c r="U83" s="182" t="str">
        <f t="shared" si="19"/>
        <v/>
      </c>
      <c r="V83" s="182" t="str">
        <f t="shared" si="20"/>
        <v/>
      </c>
      <c r="W83" s="5"/>
      <c r="X83" s="182" t="str">
        <f t="shared" si="21"/>
        <v/>
      </c>
      <c r="Y83" s="182" t="str">
        <f t="shared" si="22"/>
        <v/>
      </c>
      <c r="Z83" s="5"/>
      <c r="AA83" s="182" t="str">
        <f t="shared" si="23"/>
        <v/>
      </c>
      <c r="AB83" s="183" t="str">
        <f t="shared" si="24"/>
        <v/>
      </c>
      <c r="AC83" s="5"/>
      <c r="AD83" s="182" t="str">
        <f t="shared" si="25"/>
        <v/>
      </c>
      <c r="AE83" s="183" t="str">
        <f t="shared" si="26"/>
        <v/>
      </c>
      <c r="AF83" s="5"/>
      <c r="AG83" s="182" t="str">
        <f t="shared" si="27"/>
        <v/>
      </c>
      <c r="AH83" s="183" t="str">
        <f t="shared" si="28"/>
        <v/>
      </c>
      <c r="AI83" s="5"/>
      <c r="AJ83" s="183" t="str">
        <f t="shared" si="29"/>
        <v/>
      </c>
      <c r="AK83" s="183" t="str">
        <f t="shared" si="30"/>
        <v/>
      </c>
      <c r="AL83" s="5"/>
      <c r="AM83" s="183" t="str">
        <f t="shared" si="31"/>
        <v/>
      </c>
      <c r="AN83" s="183" t="str">
        <f t="shared" si="32"/>
        <v/>
      </c>
      <c r="AO83" s="184">
        <f t="shared" si="33"/>
        <v>0</v>
      </c>
      <c r="AP83" s="184">
        <f t="shared" si="34"/>
        <v>0</v>
      </c>
      <c r="AQ83" s="608" t="str">
        <f t="shared" si="35"/>
        <v/>
      </c>
      <c r="AR83" s="185" t="str">
        <f>IF(COUNTIF(K83:Q83,"F")&gt;0,"",IF(AQ83="PASS",'Statement of Marks'!HZ85,""))</f>
        <v/>
      </c>
      <c r="AS83" s="185" t="str">
        <f>IF(AQ83="PASS",'Statement of Marks'!IA85,"")</f>
        <v/>
      </c>
    </row>
    <row r="84" spans="1:45">
      <c r="A84" s="169">
        <f>IF('Statement of Marks'!A86="","",'Statement of Marks'!A86)</f>
        <v>80</v>
      </c>
      <c r="B84" s="169" t="str">
        <f>IF('Statement of Marks'!B86="","",'Statement of Marks'!B86)</f>
        <v/>
      </c>
      <c r="C84" s="169" t="str">
        <f>IF('Statement of Marks'!D86="","",'Statement of Marks'!D86)</f>
        <v/>
      </c>
      <c r="D84" s="170" t="str">
        <f>IF('Statement of Marks'!E86="","",'Statement of Marks'!E86)</f>
        <v/>
      </c>
      <c r="E84" s="171" t="str">
        <f>IF('Statement of Marks'!F86="","",'Statement of Marks'!F86)</f>
        <v/>
      </c>
      <c r="F84" s="171" t="str">
        <f>IF('Statement of Marks'!G86="","",'Statement of Marks'!G86)</f>
        <v/>
      </c>
      <c r="G84" s="171" t="str">
        <f>IF('Statement of Marks'!H86="","",'Statement of Marks'!H86)</f>
        <v/>
      </c>
      <c r="H84" s="172" t="str">
        <f>IF('Statement of Marks'!HS86="","",'Statement of Marks'!HS86)</f>
        <v/>
      </c>
      <c r="I84" s="172" t="str">
        <f>IF('Statement of Marks'!HV86="","",'Statement of Marks'!HV86)</f>
        <v/>
      </c>
      <c r="J84" s="173" t="str">
        <f>IF('Statement of Marks'!HU86="","",'Statement of Marks'!HU86)</f>
        <v/>
      </c>
      <c r="K84" s="181" t="str">
        <f>'Statement of Marks'!GN86</f>
        <v/>
      </c>
      <c r="L84" s="181" t="str">
        <f>'Statement of Marks'!GQ86</f>
        <v/>
      </c>
      <c r="M84" s="181" t="str">
        <f>'Statement of Marks'!GT86</f>
        <v/>
      </c>
      <c r="N84" s="181" t="str">
        <f>'Statement of Marks'!HB86</f>
        <v/>
      </c>
      <c r="O84" s="181" t="str">
        <f>'Statement of Marks'!HE86</f>
        <v/>
      </c>
      <c r="P84" s="181" t="str">
        <f>'Statement of Marks'!HH86</f>
        <v/>
      </c>
      <c r="Q84" s="181" t="str">
        <f>'Statement of Marks'!HK86</f>
        <v/>
      </c>
      <c r="R84" s="173" t="str">
        <f>IF(COUNTIF(K84:Q84,"F")&gt;0,"",CONCATENATE('Statement of Marks'!HO86,'Statement of Marks'!HQ86))</f>
        <v xml:space="preserve">            </v>
      </c>
      <c r="S84" s="174">
        <f t="shared" si="18"/>
        <v>0</v>
      </c>
      <c r="T84" s="5"/>
      <c r="U84" s="182" t="str">
        <f t="shared" si="19"/>
        <v/>
      </c>
      <c r="V84" s="182" t="str">
        <f t="shared" si="20"/>
        <v/>
      </c>
      <c r="W84" s="5"/>
      <c r="X84" s="182" t="str">
        <f t="shared" si="21"/>
        <v/>
      </c>
      <c r="Y84" s="182" t="str">
        <f t="shared" si="22"/>
        <v/>
      </c>
      <c r="Z84" s="5"/>
      <c r="AA84" s="182" t="str">
        <f t="shared" si="23"/>
        <v/>
      </c>
      <c r="AB84" s="183" t="str">
        <f t="shared" si="24"/>
        <v/>
      </c>
      <c r="AC84" s="5"/>
      <c r="AD84" s="182" t="str">
        <f t="shared" si="25"/>
        <v/>
      </c>
      <c r="AE84" s="183" t="str">
        <f t="shared" si="26"/>
        <v/>
      </c>
      <c r="AF84" s="5"/>
      <c r="AG84" s="182" t="str">
        <f t="shared" si="27"/>
        <v/>
      </c>
      <c r="AH84" s="183" t="str">
        <f t="shared" si="28"/>
        <v/>
      </c>
      <c r="AI84" s="5"/>
      <c r="AJ84" s="183" t="str">
        <f t="shared" si="29"/>
        <v/>
      </c>
      <c r="AK84" s="183" t="str">
        <f t="shared" si="30"/>
        <v/>
      </c>
      <c r="AL84" s="5"/>
      <c r="AM84" s="183" t="str">
        <f t="shared" si="31"/>
        <v/>
      </c>
      <c r="AN84" s="183" t="str">
        <f t="shared" si="32"/>
        <v/>
      </c>
      <c r="AO84" s="184">
        <f t="shared" si="33"/>
        <v>0</v>
      </c>
      <c r="AP84" s="184">
        <f t="shared" si="34"/>
        <v>0</v>
      </c>
      <c r="AQ84" s="608" t="str">
        <f t="shared" si="35"/>
        <v/>
      </c>
      <c r="AR84" s="185" t="str">
        <f>IF(COUNTIF(K84:Q84,"F")&gt;0,"",IF(AQ84="PASS",'Statement of Marks'!HZ86,""))</f>
        <v/>
      </c>
      <c r="AS84" s="185" t="str">
        <f>IF(AQ84="PASS",'Statement of Marks'!IA86,"")</f>
        <v/>
      </c>
    </row>
    <row r="85" spans="1:45">
      <c r="A85" s="169">
        <f>IF('Statement of Marks'!A87="","",'Statement of Marks'!A87)</f>
        <v>81</v>
      </c>
      <c r="B85" s="169" t="str">
        <f>IF('Statement of Marks'!B87="","",'Statement of Marks'!B87)</f>
        <v/>
      </c>
      <c r="C85" s="169" t="str">
        <f>IF('Statement of Marks'!D87="","",'Statement of Marks'!D87)</f>
        <v/>
      </c>
      <c r="D85" s="170" t="str">
        <f>IF('Statement of Marks'!E87="","",'Statement of Marks'!E87)</f>
        <v/>
      </c>
      <c r="E85" s="171" t="str">
        <f>IF('Statement of Marks'!F87="","",'Statement of Marks'!F87)</f>
        <v/>
      </c>
      <c r="F85" s="171" t="str">
        <f>IF('Statement of Marks'!G87="","",'Statement of Marks'!G87)</f>
        <v/>
      </c>
      <c r="G85" s="171" t="str">
        <f>IF('Statement of Marks'!H87="","",'Statement of Marks'!H87)</f>
        <v/>
      </c>
      <c r="H85" s="172" t="str">
        <f>IF('Statement of Marks'!HS87="","",'Statement of Marks'!HS87)</f>
        <v/>
      </c>
      <c r="I85" s="172" t="str">
        <f>IF('Statement of Marks'!HV87="","",'Statement of Marks'!HV87)</f>
        <v/>
      </c>
      <c r="J85" s="173" t="str">
        <f>IF('Statement of Marks'!HU87="","",'Statement of Marks'!HU87)</f>
        <v/>
      </c>
      <c r="K85" s="181" t="str">
        <f>'Statement of Marks'!GN87</f>
        <v/>
      </c>
      <c r="L85" s="181" t="str">
        <f>'Statement of Marks'!GQ87</f>
        <v/>
      </c>
      <c r="M85" s="181" t="str">
        <f>'Statement of Marks'!GT87</f>
        <v/>
      </c>
      <c r="N85" s="181" t="str">
        <f>'Statement of Marks'!HB87</f>
        <v/>
      </c>
      <c r="O85" s="181" t="str">
        <f>'Statement of Marks'!HE87</f>
        <v/>
      </c>
      <c r="P85" s="181" t="str">
        <f>'Statement of Marks'!HH87</f>
        <v/>
      </c>
      <c r="Q85" s="181" t="str">
        <f>'Statement of Marks'!HK87</f>
        <v/>
      </c>
      <c r="R85" s="173" t="str">
        <f>IF(COUNTIF(K85:Q85,"F")&gt;0,"",CONCATENATE('Statement of Marks'!HO87,'Statement of Marks'!HQ87))</f>
        <v xml:space="preserve">            </v>
      </c>
      <c r="S85" s="174">
        <f t="shared" si="18"/>
        <v>0</v>
      </c>
      <c r="T85" s="5"/>
      <c r="U85" s="182" t="str">
        <f t="shared" si="19"/>
        <v/>
      </c>
      <c r="V85" s="182" t="str">
        <f t="shared" si="20"/>
        <v/>
      </c>
      <c r="W85" s="5"/>
      <c r="X85" s="182" t="str">
        <f t="shared" si="21"/>
        <v/>
      </c>
      <c r="Y85" s="182" t="str">
        <f t="shared" si="22"/>
        <v/>
      </c>
      <c r="Z85" s="5"/>
      <c r="AA85" s="182" t="str">
        <f t="shared" si="23"/>
        <v/>
      </c>
      <c r="AB85" s="183" t="str">
        <f t="shared" si="24"/>
        <v/>
      </c>
      <c r="AC85" s="5"/>
      <c r="AD85" s="182" t="str">
        <f t="shared" si="25"/>
        <v/>
      </c>
      <c r="AE85" s="183" t="str">
        <f t="shared" si="26"/>
        <v/>
      </c>
      <c r="AF85" s="5"/>
      <c r="AG85" s="182" t="str">
        <f t="shared" si="27"/>
        <v/>
      </c>
      <c r="AH85" s="183" t="str">
        <f t="shared" si="28"/>
        <v/>
      </c>
      <c r="AI85" s="5"/>
      <c r="AJ85" s="183" t="str">
        <f t="shared" si="29"/>
        <v/>
      </c>
      <c r="AK85" s="183" t="str">
        <f t="shared" si="30"/>
        <v/>
      </c>
      <c r="AL85" s="5"/>
      <c r="AM85" s="183" t="str">
        <f t="shared" si="31"/>
        <v/>
      </c>
      <c r="AN85" s="183" t="str">
        <f t="shared" si="32"/>
        <v/>
      </c>
      <c r="AO85" s="184">
        <f t="shared" si="33"/>
        <v>0</v>
      </c>
      <c r="AP85" s="184">
        <f t="shared" si="34"/>
        <v>0</v>
      </c>
      <c r="AQ85" s="608" t="str">
        <f t="shared" si="35"/>
        <v/>
      </c>
      <c r="AR85" s="185" t="str">
        <f>IF(COUNTIF(K85:Q85,"F")&gt;0,"",IF(AQ85="PASS",'Statement of Marks'!HZ87,""))</f>
        <v/>
      </c>
      <c r="AS85" s="185" t="str">
        <f>IF(AQ85="PASS",'Statement of Marks'!IA87,"")</f>
        <v/>
      </c>
    </row>
    <row r="86" spans="1:45">
      <c r="A86" s="169">
        <f>IF('Statement of Marks'!A88="","",'Statement of Marks'!A88)</f>
        <v>82</v>
      </c>
      <c r="B86" s="169" t="str">
        <f>IF('Statement of Marks'!B88="","",'Statement of Marks'!B88)</f>
        <v/>
      </c>
      <c r="C86" s="169" t="str">
        <f>IF('Statement of Marks'!D88="","",'Statement of Marks'!D88)</f>
        <v/>
      </c>
      <c r="D86" s="170" t="str">
        <f>IF('Statement of Marks'!E88="","",'Statement of Marks'!E88)</f>
        <v/>
      </c>
      <c r="E86" s="171" t="str">
        <f>IF('Statement of Marks'!F88="","",'Statement of Marks'!F88)</f>
        <v/>
      </c>
      <c r="F86" s="171" t="str">
        <f>IF('Statement of Marks'!G88="","",'Statement of Marks'!G88)</f>
        <v/>
      </c>
      <c r="G86" s="171" t="str">
        <f>IF('Statement of Marks'!H88="","",'Statement of Marks'!H88)</f>
        <v/>
      </c>
      <c r="H86" s="172" t="str">
        <f>IF('Statement of Marks'!HS88="","",'Statement of Marks'!HS88)</f>
        <v/>
      </c>
      <c r="I86" s="172" t="str">
        <f>IF('Statement of Marks'!HV88="","",'Statement of Marks'!HV88)</f>
        <v/>
      </c>
      <c r="J86" s="173" t="str">
        <f>IF('Statement of Marks'!HU88="","",'Statement of Marks'!HU88)</f>
        <v/>
      </c>
      <c r="K86" s="181" t="str">
        <f>'Statement of Marks'!GN88</f>
        <v/>
      </c>
      <c r="L86" s="181" t="str">
        <f>'Statement of Marks'!GQ88</f>
        <v/>
      </c>
      <c r="M86" s="181" t="str">
        <f>'Statement of Marks'!GT88</f>
        <v/>
      </c>
      <c r="N86" s="181" t="str">
        <f>'Statement of Marks'!HB88</f>
        <v/>
      </c>
      <c r="O86" s="181" t="str">
        <f>'Statement of Marks'!HE88</f>
        <v/>
      </c>
      <c r="P86" s="181" t="str">
        <f>'Statement of Marks'!HH88</f>
        <v/>
      </c>
      <c r="Q86" s="181" t="str">
        <f>'Statement of Marks'!HK88</f>
        <v/>
      </c>
      <c r="R86" s="173" t="str">
        <f>IF(COUNTIF(K86:Q86,"F")&gt;0,"",CONCATENATE('Statement of Marks'!HO88,'Statement of Marks'!HQ88))</f>
        <v xml:space="preserve">            </v>
      </c>
      <c r="S86" s="174">
        <f t="shared" si="18"/>
        <v>0</v>
      </c>
      <c r="T86" s="5"/>
      <c r="U86" s="182" t="str">
        <f t="shared" si="19"/>
        <v/>
      </c>
      <c r="V86" s="182" t="str">
        <f t="shared" si="20"/>
        <v/>
      </c>
      <c r="W86" s="5"/>
      <c r="X86" s="182" t="str">
        <f t="shared" si="21"/>
        <v/>
      </c>
      <c r="Y86" s="182" t="str">
        <f t="shared" si="22"/>
        <v/>
      </c>
      <c r="Z86" s="5"/>
      <c r="AA86" s="182" t="str">
        <f t="shared" si="23"/>
        <v/>
      </c>
      <c r="AB86" s="183" t="str">
        <f t="shared" si="24"/>
        <v/>
      </c>
      <c r="AC86" s="5"/>
      <c r="AD86" s="182" t="str">
        <f t="shared" si="25"/>
        <v/>
      </c>
      <c r="AE86" s="183" t="str">
        <f t="shared" si="26"/>
        <v/>
      </c>
      <c r="AF86" s="5"/>
      <c r="AG86" s="182" t="str">
        <f t="shared" si="27"/>
        <v/>
      </c>
      <c r="AH86" s="183" t="str">
        <f t="shared" si="28"/>
        <v/>
      </c>
      <c r="AI86" s="5"/>
      <c r="AJ86" s="183" t="str">
        <f t="shared" si="29"/>
        <v/>
      </c>
      <c r="AK86" s="183" t="str">
        <f t="shared" si="30"/>
        <v/>
      </c>
      <c r="AL86" s="5"/>
      <c r="AM86" s="183" t="str">
        <f t="shared" si="31"/>
        <v/>
      </c>
      <c r="AN86" s="183" t="str">
        <f t="shared" si="32"/>
        <v/>
      </c>
      <c r="AO86" s="184">
        <f t="shared" si="33"/>
        <v>0</v>
      </c>
      <c r="AP86" s="184">
        <f t="shared" si="34"/>
        <v>0</v>
      </c>
      <c r="AQ86" s="608" t="str">
        <f t="shared" si="35"/>
        <v/>
      </c>
      <c r="AR86" s="185" t="str">
        <f>IF(COUNTIF(K86:Q86,"F")&gt;0,"",IF(AQ86="PASS",'Statement of Marks'!HZ88,""))</f>
        <v/>
      </c>
      <c r="AS86" s="185" t="str">
        <f>IF(AQ86="PASS",'Statement of Marks'!IA88,"")</f>
        <v/>
      </c>
    </row>
    <row r="87" spans="1:45">
      <c r="A87" s="169">
        <f>IF('Statement of Marks'!A89="","",'Statement of Marks'!A89)</f>
        <v>83</v>
      </c>
      <c r="B87" s="169" t="str">
        <f>IF('Statement of Marks'!B89="","",'Statement of Marks'!B89)</f>
        <v/>
      </c>
      <c r="C87" s="169" t="str">
        <f>IF('Statement of Marks'!D89="","",'Statement of Marks'!D89)</f>
        <v/>
      </c>
      <c r="D87" s="170" t="str">
        <f>IF('Statement of Marks'!E89="","",'Statement of Marks'!E89)</f>
        <v/>
      </c>
      <c r="E87" s="171" t="str">
        <f>IF('Statement of Marks'!F89="","",'Statement of Marks'!F89)</f>
        <v/>
      </c>
      <c r="F87" s="171" t="str">
        <f>IF('Statement of Marks'!G89="","",'Statement of Marks'!G89)</f>
        <v/>
      </c>
      <c r="G87" s="171" t="str">
        <f>IF('Statement of Marks'!H89="","",'Statement of Marks'!H89)</f>
        <v/>
      </c>
      <c r="H87" s="172" t="str">
        <f>IF('Statement of Marks'!HS89="","",'Statement of Marks'!HS89)</f>
        <v/>
      </c>
      <c r="I87" s="172" t="str">
        <f>IF('Statement of Marks'!HV89="","",'Statement of Marks'!HV89)</f>
        <v/>
      </c>
      <c r="J87" s="173" t="str">
        <f>IF('Statement of Marks'!HU89="","",'Statement of Marks'!HU89)</f>
        <v/>
      </c>
      <c r="K87" s="181" t="str">
        <f>'Statement of Marks'!GN89</f>
        <v/>
      </c>
      <c r="L87" s="181" t="str">
        <f>'Statement of Marks'!GQ89</f>
        <v/>
      </c>
      <c r="M87" s="181" t="str">
        <f>'Statement of Marks'!GT89</f>
        <v/>
      </c>
      <c r="N87" s="181" t="str">
        <f>'Statement of Marks'!HB89</f>
        <v/>
      </c>
      <c r="O87" s="181" t="str">
        <f>'Statement of Marks'!HE89</f>
        <v/>
      </c>
      <c r="P87" s="181" t="str">
        <f>'Statement of Marks'!HH89</f>
        <v/>
      </c>
      <c r="Q87" s="181" t="str">
        <f>'Statement of Marks'!HK89</f>
        <v/>
      </c>
      <c r="R87" s="173" t="str">
        <f>IF(COUNTIF(K87:Q87,"F")&gt;0,"",CONCATENATE('Statement of Marks'!HO89,'Statement of Marks'!HQ89))</f>
        <v xml:space="preserve">            </v>
      </c>
      <c r="S87" s="174">
        <f t="shared" si="18"/>
        <v>0</v>
      </c>
      <c r="T87" s="5"/>
      <c r="U87" s="182" t="str">
        <f t="shared" si="19"/>
        <v/>
      </c>
      <c r="V87" s="182" t="str">
        <f t="shared" si="20"/>
        <v/>
      </c>
      <c r="W87" s="5"/>
      <c r="X87" s="182" t="str">
        <f t="shared" si="21"/>
        <v/>
      </c>
      <c r="Y87" s="182" t="str">
        <f t="shared" si="22"/>
        <v/>
      </c>
      <c r="Z87" s="5"/>
      <c r="AA87" s="182" t="str">
        <f t="shared" si="23"/>
        <v/>
      </c>
      <c r="AB87" s="183" t="str">
        <f t="shared" si="24"/>
        <v/>
      </c>
      <c r="AC87" s="5"/>
      <c r="AD87" s="182" t="str">
        <f t="shared" si="25"/>
        <v/>
      </c>
      <c r="AE87" s="183" t="str">
        <f t="shared" si="26"/>
        <v/>
      </c>
      <c r="AF87" s="5"/>
      <c r="AG87" s="182" t="str">
        <f t="shared" si="27"/>
        <v/>
      </c>
      <c r="AH87" s="183" t="str">
        <f t="shared" si="28"/>
        <v/>
      </c>
      <c r="AI87" s="5"/>
      <c r="AJ87" s="183" t="str">
        <f t="shared" si="29"/>
        <v/>
      </c>
      <c r="AK87" s="183" t="str">
        <f t="shared" si="30"/>
        <v/>
      </c>
      <c r="AL87" s="5"/>
      <c r="AM87" s="183" t="str">
        <f t="shared" si="31"/>
        <v/>
      </c>
      <c r="AN87" s="183" t="str">
        <f t="shared" si="32"/>
        <v/>
      </c>
      <c r="AO87" s="184">
        <f t="shared" si="33"/>
        <v>0</v>
      </c>
      <c r="AP87" s="184">
        <f t="shared" si="34"/>
        <v>0</v>
      </c>
      <c r="AQ87" s="608" t="str">
        <f t="shared" si="35"/>
        <v/>
      </c>
      <c r="AR87" s="185" t="str">
        <f>IF(COUNTIF(K87:Q87,"F")&gt;0,"",IF(AQ87="PASS",'Statement of Marks'!HZ89,""))</f>
        <v/>
      </c>
      <c r="AS87" s="185" t="str">
        <f>IF(AQ87="PASS",'Statement of Marks'!IA89,"")</f>
        <v/>
      </c>
    </row>
    <row r="88" spans="1:45">
      <c r="A88" s="169">
        <f>IF('Statement of Marks'!A90="","",'Statement of Marks'!A90)</f>
        <v>84</v>
      </c>
      <c r="B88" s="169" t="str">
        <f>IF('Statement of Marks'!B90="","",'Statement of Marks'!B90)</f>
        <v/>
      </c>
      <c r="C88" s="169" t="str">
        <f>IF('Statement of Marks'!D90="","",'Statement of Marks'!D90)</f>
        <v/>
      </c>
      <c r="D88" s="170" t="str">
        <f>IF('Statement of Marks'!E90="","",'Statement of Marks'!E90)</f>
        <v/>
      </c>
      <c r="E88" s="171" t="str">
        <f>IF('Statement of Marks'!F90="","",'Statement of Marks'!F90)</f>
        <v/>
      </c>
      <c r="F88" s="171" t="str">
        <f>IF('Statement of Marks'!G90="","",'Statement of Marks'!G90)</f>
        <v/>
      </c>
      <c r="G88" s="171" t="str">
        <f>IF('Statement of Marks'!H90="","",'Statement of Marks'!H90)</f>
        <v/>
      </c>
      <c r="H88" s="172" t="str">
        <f>IF('Statement of Marks'!HS90="","",'Statement of Marks'!HS90)</f>
        <v/>
      </c>
      <c r="I88" s="172" t="str">
        <f>IF('Statement of Marks'!HV90="","",'Statement of Marks'!HV90)</f>
        <v/>
      </c>
      <c r="J88" s="173" t="str">
        <f>IF('Statement of Marks'!HU90="","",'Statement of Marks'!HU90)</f>
        <v/>
      </c>
      <c r="K88" s="181" t="str">
        <f>'Statement of Marks'!GN90</f>
        <v/>
      </c>
      <c r="L88" s="181" t="str">
        <f>'Statement of Marks'!GQ90</f>
        <v/>
      </c>
      <c r="M88" s="181" t="str">
        <f>'Statement of Marks'!GT90</f>
        <v/>
      </c>
      <c r="N88" s="181" t="str">
        <f>'Statement of Marks'!HB90</f>
        <v/>
      </c>
      <c r="O88" s="181" t="str">
        <f>'Statement of Marks'!HE90</f>
        <v/>
      </c>
      <c r="P88" s="181" t="str">
        <f>'Statement of Marks'!HH90</f>
        <v/>
      </c>
      <c r="Q88" s="181" t="str">
        <f>'Statement of Marks'!HK90</f>
        <v/>
      </c>
      <c r="R88" s="173" t="str">
        <f>IF(COUNTIF(K88:Q88,"F")&gt;0,"",CONCATENATE('Statement of Marks'!HO90,'Statement of Marks'!HQ90))</f>
        <v xml:space="preserve">            </v>
      </c>
      <c r="S88" s="174">
        <f t="shared" si="18"/>
        <v>0</v>
      </c>
      <c r="T88" s="5"/>
      <c r="U88" s="182" t="str">
        <f t="shared" si="19"/>
        <v/>
      </c>
      <c r="V88" s="182" t="str">
        <f t="shared" si="20"/>
        <v/>
      </c>
      <c r="W88" s="5"/>
      <c r="X88" s="182" t="str">
        <f t="shared" si="21"/>
        <v/>
      </c>
      <c r="Y88" s="182" t="str">
        <f t="shared" si="22"/>
        <v/>
      </c>
      <c r="Z88" s="5"/>
      <c r="AA88" s="182" t="str">
        <f t="shared" si="23"/>
        <v/>
      </c>
      <c r="AB88" s="183" t="str">
        <f t="shared" si="24"/>
        <v/>
      </c>
      <c r="AC88" s="5"/>
      <c r="AD88" s="182" t="str">
        <f t="shared" si="25"/>
        <v/>
      </c>
      <c r="AE88" s="183" t="str">
        <f t="shared" si="26"/>
        <v/>
      </c>
      <c r="AF88" s="5"/>
      <c r="AG88" s="182" t="str">
        <f t="shared" si="27"/>
        <v/>
      </c>
      <c r="AH88" s="183" t="str">
        <f t="shared" si="28"/>
        <v/>
      </c>
      <c r="AI88" s="5"/>
      <c r="AJ88" s="183" t="str">
        <f t="shared" si="29"/>
        <v/>
      </c>
      <c r="AK88" s="183" t="str">
        <f t="shared" si="30"/>
        <v/>
      </c>
      <c r="AL88" s="5"/>
      <c r="AM88" s="183" t="str">
        <f t="shared" si="31"/>
        <v/>
      </c>
      <c r="AN88" s="183" t="str">
        <f t="shared" si="32"/>
        <v/>
      </c>
      <c r="AO88" s="184">
        <f t="shared" si="33"/>
        <v>0</v>
      </c>
      <c r="AP88" s="184">
        <f t="shared" si="34"/>
        <v>0</v>
      </c>
      <c r="AQ88" s="608" t="str">
        <f t="shared" si="35"/>
        <v/>
      </c>
      <c r="AR88" s="185" t="str">
        <f>IF(COUNTIF(K88:Q88,"F")&gt;0,"",IF(AQ88="PASS",'Statement of Marks'!HZ90,""))</f>
        <v/>
      </c>
      <c r="AS88" s="185" t="str">
        <f>IF(AQ88="PASS",'Statement of Marks'!IA90,"")</f>
        <v/>
      </c>
    </row>
    <row r="89" spans="1:45">
      <c r="A89" s="169">
        <f>IF('Statement of Marks'!A91="","",'Statement of Marks'!A91)</f>
        <v>85</v>
      </c>
      <c r="B89" s="169" t="str">
        <f>IF('Statement of Marks'!B91="","",'Statement of Marks'!B91)</f>
        <v/>
      </c>
      <c r="C89" s="169" t="str">
        <f>IF('Statement of Marks'!D91="","",'Statement of Marks'!D91)</f>
        <v/>
      </c>
      <c r="D89" s="170" t="str">
        <f>IF('Statement of Marks'!E91="","",'Statement of Marks'!E91)</f>
        <v/>
      </c>
      <c r="E89" s="171" t="str">
        <f>IF('Statement of Marks'!F91="","",'Statement of Marks'!F91)</f>
        <v/>
      </c>
      <c r="F89" s="171" t="str">
        <f>IF('Statement of Marks'!G91="","",'Statement of Marks'!G91)</f>
        <v/>
      </c>
      <c r="G89" s="171" t="str">
        <f>IF('Statement of Marks'!H91="","",'Statement of Marks'!H91)</f>
        <v/>
      </c>
      <c r="H89" s="172" t="str">
        <f>IF('Statement of Marks'!HS91="","",'Statement of Marks'!HS91)</f>
        <v/>
      </c>
      <c r="I89" s="172" t="str">
        <f>IF('Statement of Marks'!HV91="","",'Statement of Marks'!HV91)</f>
        <v/>
      </c>
      <c r="J89" s="173" t="str">
        <f>IF('Statement of Marks'!HU91="","",'Statement of Marks'!HU91)</f>
        <v/>
      </c>
      <c r="K89" s="181" t="str">
        <f>'Statement of Marks'!GN91</f>
        <v/>
      </c>
      <c r="L89" s="181" t="str">
        <f>'Statement of Marks'!GQ91</f>
        <v/>
      </c>
      <c r="M89" s="181" t="str">
        <f>'Statement of Marks'!GT91</f>
        <v/>
      </c>
      <c r="N89" s="181" t="str">
        <f>'Statement of Marks'!HB91</f>
        <v/>
      </c>
      <c r="O89" s="181" t="str">
        <f>'Statement of Marks'!HE91</f>
        <v/>
      </c>
      <c r="P89" s="181" t="str">
        <f>'Statement of Marks'!HH91</f>
        <v/>
      </c>
      <c r="Q89" s="181" t="str">
        <f>'Statement of Marks'!HK91</f>
        <v/>
      </c>
      <c r="R89" s="173" t="str">
        <f>IF(COUNTIF(K89:Q89,"F")&gt;0,"",CONCATENATE('Statement of Marks'!HO91,'Statement of Marks'!HQ91))</f>
        <v xml:space="preserve">            </v>
      </c>
      <c r="S89" s="174">
        <f t="shared" si="18"/>
        <v>0</v>
      </c>
      <c r="T89" s="5"/>
      <c r="U89" s="182" t="str">
        <f t="shared" si="19"/>
        <v/>
      </c>
      <c r="V89" s="182" t="str">
        <f t="shared" si="20"/>
        <v/>
      </c>
      <c r="W89" s="5"/>
      <c r="X89" s="182" t="str">
        <f t="shared" si="21"/>
        <v/>
      </c>
      <c r="Y89" s="182" t="str">
        <f t="shared" si="22"/>
        <v/>
      </c>
      <c r="Z89" s="5"/>
      <c r="AA89" s="182" t="str">
        <f t="shared" si="23"/>
        <v/>
      </c>
      <c r="AB89" s="183" t="str">
        <f t="shared" si="24"/>
        <v/>
      </c>
      <c r="AC89" s="5"/>
      <c r="AD89" s="182" t="str">
        <f t="shared" si="25"/>
        <v/>
      </c>
      <c r="AE89" s="183" t="str">
        <f t="shared" si="26"/>
        <v/>
      </c>
      <c r="AF89" s="5"/>
      <c r="AG89" s="182" t="str">
        <f t="shared" si="27"/>
        <v/>
      </c>
      <c r="AH89" s="183" t="str">
        <f t="shared" si="28"/>
        <v/>
      </c>
      <c r="AI89" s="5"/>
      <c r="AJ89" s="183" t="str">
        <f t="shared" si="29"/>
        <v/>
      </c>
      <c r="AK89" s="183" t="str">
        <f t="shared" si="30"/>
        <v/>
      </c>
      <c r="AL89" s="5"/>
      <c r="AM89" s="183" t="str">
        <f t="shared" si="31"/>
        <v/>
      </c>
      <c r="AN89" s="183" t="str">
        <f t="shared" si="32"/>
        <v/>
      </c>
      <c r="AO89" s="184">
        <f t="shared" si="33"/>
        <v>0</v>
      </c>
      <c r="AP89" s="184">
        <f t="shared" si="34"/>
        <v>0</v>
      </c>
      <c r="AQ89" s="608" t="str">
        <f t="shared" si="35"/>
        <v/>
      </c>
      <c r="AR89" s="185" t="str">
        <f>IF(COUNTIF(K89:Q89,"F")&gt;0,"",IF(AQ89="PASS",'Statement of Marks'!HZ91,""))</f>
        <v/>
      </c>
      <c r="AS89" s="185" t="str">
        <f>IF(AQ89="PASS",'Statement of Marks'!IA91,"")</f>
        <v/>
      </c>
    </row>
    <row r="90" spans="1:45">
      <c r="A90" s="169">
        <f>IF('Statement of Marks'!A92="","",'Statement of Marks'!A92)</f>
        <v>86</v>
      </c>
      <c r="B90" s="169" t="str">
        <f>IF('Statement of Marks'!B92="","",'Statement of Marks'!B92)</f>
        <v/>
      </c>
      <c r="C90" s="169" t="str">
        <f>IF('Statement of Marks'!D92="","",'Statement of Marks'!D92)</f>
        <v/>
      </c>
      <c r="D90" s="170" t="str">
        <f>IF('Statement of Marks'!E92="","",'Statement of Marks'!E92)</f>
        <v/>
      </c>
      <c r="E90" s="171" t="str">
        <f>IF('Statement of Marks'!F92="","",'Statement of Marks'!F92)</f>
        <v/>
      </c>
      <c r="F90" s="171" t="str">
        <f>IF('Statement of Marks'!G92="","",'Statement of Marks'!G92)</f>
        <v/>
      </c>
      <c r="G90" s="171" t="str">
        <f>IF('Statement of Marks'!H92="","",'Statement of Marks'!H92)</f>
        <v/>
      </c>
      <c r="H90" s="172" t="str">
        <f>IF('Statement of Marks'!HS92="","",'Statement of Marks'!HS92)</f>
        <v/>
      </c>
      <c r="I90" s="172" t="str">
        <f>IF('Statement of Marks'!HV92="","",'Statement of Marks'!HV92)</f>
        <v/>
      </c>
      <c r="J90" s="173" t="str">
        <f>IF('Statement of Marks'!HU92="","",'Statement of Marks'!HU92)</f>
        <v/>
      </c>
      <c r="K90" s="181" t="str">
        <f>'Statement of Marks'!GN92</f>
        <v/>
      </c>
      <c r="L90" s="181" t="str">
        <f>'Statement of Marks'!GQ92</f>
        <v/>
      </c>
      <c r="M90" s="181" t="str">
        <f>'Statement of Marks'!GT92</f>
        <v/>
      </c>
      <c r="N90" s="181" t="str">
        <f>'Statement of Marks'!HB92</f>
        <v/>
      </c>
      <c r="O90" s="181" t="str">
        <f>'Statement of Marks'!HE92</f>
        <v/>
      </c>
      <c r="P90" s="181" t="str">
        <f>'Statement of Marks'!HH92</f>
        <v/>
      </c>
      <c r="Q90" s="181" t="str">
        <f>'Statement of Marks'!HK92</f>
        <v/>
      </c>
      <c r="R90" s="173" t="str">
        <f>IF(COUNTIF(K90:Q90,"F")&gt;0,"",CONCATENATE('Statement of Marks'!HO92,'Statement of Marks'!HQ92))</f>
        <v xml:space="preserve">            </v>
      </c>
      <c r="S90" s="174">
        <f t="shared" si="18"/>
        <v>0</v>
      </c>
      <c r="T90" s="5"/>
      <c r="U90" s="182" t="str">
        <f t="shared" si="19"/>
        <v/>
      </c>
      <c r="V90" s="182" t="str">
        <f t="shared" si="20"/>
        <v/>
      </c>
      <c r="W90" s="5"/>
      <c r="X90" s="182" t="str">
        <f t="shared" si="21"/>
        <v/>
      </c>
      <c r="Y90" s="182" t="str">
        <f t="shared" si="22"/>
        <v/>
      </c>
      <c r="Z90" s="5"/>
      <c r="AA90" s="182" t="str">
        <f t="shared" si="23"/>
        <v/>
      </c>
      <c r="AB90" s="183" t="str">
        <f t="shared" si="24"/>
        <v/>
      </c>
      <c r="AC90" s="5"/>
      <c r="AD90" s="182" t="str">
        <f t="shared" si="25"/>
        <v/>
      </c>
      <c r="AE90" s="183" t="str">
        <f t="shared" si="26"/>
        <v/>
      </c>
      <c r="AF90" s="5"/>
      <c r="AG90" s="182" t="str">
        <f t="shared" si="27"/>
        <v/>
      </c>
      <c r="AH90" s="183" t="str">
        <f t="shared" si="28"/>
        <v/>
      </c>
      <c r="AI90" s="5"/>
      <c r="AJ90" s="183" t="str">
        <f t="shared" si="29"/>
        <v/>
      </c>
      <c r="AK90" s="183" t="str">
        <f t="shared" si="30"/>
        <v/>
      </c>
      <c r="AL90" s="5"/>
      <c r="AM90" s="183" t="str">
        <f t="shared" si="31"/>
        <v/>
      </c>
      <c r="AN90" s="183" t="str">
        <f t="shared" si="32"/>
        <v/>
      </c>
      <c r="AO90" s="184">
        <f t="shared" si="33"/>
        <v>0</v>
      </c>
      <c r="AP90" s="184">
        <f t="shared" si="34"/>
        <v>0</v>
      </c>
      <c r="AQ90" s="608" t="str">
        <f t="shared" si="35"/>
        <v/>
      </c>
      <c r="AR90" s="185" t="str">
        <f>IF(COUNTIF(K90:Q90,"F")&gt;0,"",IF(AQ90="PASS",'Statement of Marks'!HZ92,""))</f>
        <v/>
      </c>
      <c r="AS90" s="185" t="str">
        <f>IF(AQ90="PASS",'Statement of Marks'!IA92,"")</f>
        <v/>
      </c>
    </row>
    <row r="91" spans="1:45">
      <c r="A91" s="169">
        <f>IF('Statement of Marks'!A93="","",'Statement of Marks'!A93)</f>
        <v>87</v>
      </c>
      <c r="B91" s="169" t="str">
        <f>IF('Statement of Marks'!B93="","",'Statement of Marks'!B93)</f>
        <v/>
      </c>
      <c r="C91" s="169" t="str">
        <f>IF('Statement of Marks'!D93="","",'Statement of Marks'!D93)</f>
        <v/>
      </c>
      <c r="D91" s="170" t="str">
        <f>IF('Statement of Marks'!E93="","",'Statement of Marks'!E93)</f>
        <v/>
      </c>
      <c r="E91" s="171" t="str">
        <f>IF('Statement of Marks'!F93="","",'Statement of Marks'!F93)</f>
        <v/>
      </c>
      <c r="F91" s="171" t="str">
        <f>IF('Statement of Marks'!G93="","",'Statement of Marks'!G93)</f>
        <v/>
      </c>
      <c r="G91" s="171" t="str">
        <f>IF('Statement of Marks'!H93="","",'Statement of Marks'!H93)</f>
        <v/>
      </c>
      <c r="H91" s="172" t="str">
        <f>IF('Statement of Marks'!HS93="","",'Statement of Marks'!HS93)</f>
        <v/>
      </c>
      <c r="I91" s="172" t="str">
        <f>IF('Statement of Marks'!HV93="","",'Statement of Marks'!HV93)</f>
        <v/>
      </c>
      <c r="J91" s="173" t="str">
        <f>IF('Statement of Marks'!HU93="","",'Statement of Marks'!HU93)</f>
        <v/>
      </c>
      <c r="K91" s="181" t="str">
        <f>'Statement of Marks'!GN93</f>
        <v/>
      </c>
      <c r="L91" s="181" t="str">
        <f>'Statement of Marks'!GQ93</f>
        <v/>
      </c>
      <c r="M91" s="181" t="str">
        <f>'Statement of Marks'!GT93</f>
        <v/>
      </c>
      <c r="N91" s="181" t="str">
        <f>'Statement of Marks'!HB93</f>
        <v/>
      </c>
      <c r="O91" s="181" t="str">
        <f>'Statement of Marks'!HE93</f>
        <v/>
      </c>
      <c r="P91" s="181" t="str">
        <f>'Statement of Marks'!HH93</f>
        <v/>
      </c>
      <c r="Q91" s="181" t="str">
        <f>'Statement of Marks'!HK93</f>
        <v/>
      </c>
      <c r="R91" s="173" t="str">
        <f>IF(COUNTIF(K91:Q91,"F")&gt;0,"",CONCATENATE('Statement of Marks'!HO93,'Statement of Marks'!HQ93))</f>
        <v xml:space="preserve">            </v>
      </c>
      <c r="S91" s="174">
        <f t="shared" si="18"/>
        <v>0</v>
      </c>
      <c r="T91" s="5"/>
      <c r="U91" s="182" t="str">
        <f t="shared" si="19"/>
        <v/>
      </c>
      <c r="V91" s="182" t="str">
        <f t="shared" si="20"/>
        <v/>
      </c>
      <c r="W91" s="5"/>
      <c r="X91" s="182" t="str">
        <f t="shared" si="21"/>
        <v/>
      </c>
      <c r="Y91" s="182" t="str">
        <f t="shared" si="22"/>
        <v/>
      </c>
      <c r="Z91" s="5"/>
      <c r="AA91" s="182" t="str">
        <f t="shared" si="23"/>
        <v/>
      </c>
      <c r="AB91" s="183" t="str">
        <f t="shared" si="24"/>
        <v/>
      </c>
      <c r="AC91" s="5"/>
      <c r="AD91" s="182" t="str">
        <f t="shared" si="25"/>
        <v/>
      </c>
      <c r="AE91" s="183" t="str">
        <f t="shared" si="26"/>
        <v/>
      </c>
      <c r="AF91" s="5"/>
      <c r="AG91" s="182" t="str">
        <f t="shared" si="27"/>
        <v/>
      </c>
      <c r="AH91" s="183" t="str">
        <f t="shared" si="28"/>
        <v/>
      </c>
      <c r="AI91" s="5"/>
      <c r="AJ91" s="183" t="str">
        <f t="shared" si="29"/>
        <v/>
      </c>
      <c r="AK91" s="183" t="str">
        <f t="shared" si="30"/>
        <v/>
      </c>
      <c r="AL91" s="5"/>
      <c r="AM91" s="183" t="str">
        <f t="shared" si="31"/>
        <v/>
      </c>
      <c r="AN91" s="183" t="str">
        <f t="shared" si="32"/>
        <v/>
      </c>
      <c r="AO91" s="184">
        <f t="shared" si="33"/>
        <v>0</v>
      </c>
      <c r="AP91" s="184">
        <f t="shared" si="34"/>
        <v>0</v>
      </c>
      <c r="AQ91" s="608" t="str">
        <f t="shared" si="35"/>
        <v/>
      </c>
      <c r="AR91" s="185" t="str">
        <f>IF(COUNTIF(K91:Q91,"F")&gt;0,"",IF(AQ91="PASS",'Statement of Marks'!HZ93,""))</f>
        <v/>
      </c>
      <c r="AS91" s="185" t="str">
        <f>IF(AQ91="PASS",'Statement of Marks'!IA93,"")</f>
        <v/>
      </c>
    </row>
    <row r="92" spans="1:45">
      <c r="A92" s="169">
        <f>IF('Statement of Marks'!A94="","",'Statement of Marks'!A94)</f>
        <v>88</v>
      </c>
      <c r="B92" s="169" t="str">
        <f>IF('Statement of Marks'!B94="","",'Statement of Marks'!B94)</f>
        <v/>
      </c>
      <c r="C92" s="169" t="str">
        <f>IF('Statement of Marks'!D94="","",'Statement of Marks'!D94)</f>
        <v/>
      </c>
      <c r="D92" s="170" t="str">
        <f>IF('Statement of Marks'!E94="","",'Statement of Marks'!E94)</f>
        <v/>
      </c>
      <c r="E92" s="171" t="str">
        <f>IF('Statement of Marks'!F94="","",'Statement of Marks'!F94)</f>
        <v/>
      </c>
      <c r="F92" s="171" t="str">
        <f>IF('Statement of Marks'!G94="","",'Statement of Marks'!G94)</f>
        <v/>
      </c>
      <c r="G92" s="171" t="str">
        <f>IF('Statement of Marks'!H94="","",'Statement of Marks'!H94)</f>
        <v/>
      </c>
      <c r="H92" s="172" t="str">
        <f>IF('Statement of Marks'!HS94="","",'Statement of Marks'!HS94)</f>
        <v/>
      </c>
      <c r="I92" s="172" t="str">
        <f>IF('Statement of Marks'!HV94="","",'Statement of Marks'!HV94)</f>
        <v/>
      </c>
      <c r="J92" s="173" t="str">
        <f>IF('Statement of Marks'!HU94="","",'Statement of Marks'!HU94)</f>
        <v/>
      </c>
      <c r="K92" s="181" t="str">
        <f>'Statement of Marks'!GN94</f>
        <v/>
      </c>
      <c r="L92" s="181" t="str">
        <f>'Statement of Marks'!GQ94</f>
        <v/>
      </c>
      <c r="M92" s="181" t="str">
        <f>'Statement of Marks'!GT94</f>
        <v/>
      </c>
      <c r="N92" s="181" t="str">
        <f>'Statement of Marks'!HB94</f>
        <v/>
      </c>
      <c r="O92" s="181" t="str">
        <f>'Statement of Marks'!HE94</f>
        <v/>
      </c>
      <c r="P92" s="181" t="str">
        <f>'Statement of Marks'!HH94</f>
        <v/>
      </c>
      <c r="Q92" s="181" t="str">
        <f>'Statement of Marks'!HK94</f>
        <v/>
      </c>
      <c r="R92" s="173" t="str">
        <f>IF(COUNTIF(K92:Q92,"F")&gt;0,"",CONCATENATE('Statement of Marks'!HO94,'Statement of Marks'!HQ94))</f>
        <v xml:space="preserve">            </v>
      </c>
      <c r="S92" s="174">
        <f t="shared" si="18"/>
        <v>0</v>
      </c>
      <c r="T92" s="5"/>
      <c r="U92" s="182" t="str">
        <f t="shared" si="19"/>
        <v/>
      </c>
      <c r="V92" s="182" t="str">
        <f t="shared" si="20"/>
        <v/>
      </c>
      <c r="W92" s="5"/>
      <c r="X92" s="182" t="str">
        <f t="shared" si="21"/>
        <v/>
      </c>
      <c r="Y92" s="182" t="str">
        <f t="shared" si="22"/>
        <v/>
      </c>
      <c r="Z92" s="5"/>
      <c r="AA92" s="182" t="str">
        <f t="shared" si="23"/>
        <v/>
      </c>
      <c r="AB92" s="183" t="str">
        <f t="shared" si="24"/>
        <v/>
      </c>
      <c r="AC92" s="5"/>
      <c r="AD92" s="182" t="str">
        <f t="shared" si="25"/>
        <v/>
      </c>
      <c r="AE92" s="183" t="str">
        <f t="shared" si="26"/>
        <v/>
      </c>
      <c r="AF92" s="5"/>
      <c r="AG92" s="182" t="str">
        <f t="shared" si="27"/>
        <v/>
      </c>
      <c r="AH92" s="183" t="str">
        <f t="shared" si="28"/>
        <v/>
      </c>
      <c r="AI92" s="5"/>
      <c r="AJ92" s="183" t="str">
        <f t="shared" si="29"/>
        <v/>
      </c>
      <c r="AK92" s="183" t="str">
        <f t="shared" si="30"/>
        <v/>
      </c>
      <c r="AL92" s="5"/>
      <c r="AM92" s="183" t="str">
        <f t="shared" si="31"/>
        <v/>
      </c>
      <c r="AN92" s="183" t="str">
        <f t="shared" si="32"/>
        <v/>
      </c>
      <c r="AO92" s="184">
        <f t="shared" si="33"/>
        <v>0</v>
      </c>
      <c r="AP92" s="184">
        <f t="shared" si="34"/>
        <v>0</v>
      </c>
      <c r="AQ92" s="608" t="str">
        <f t="shared" si="35"/>
        <v/>
      </c>
      <c r="AR92" s="185" t="str">
        <f>IF(COUNTIF(K92:Q92,"F")&gt;0,"",IF(AQ92="PASS",'Statement of Marks'!HZ94,""))</f>
        <v/>
      </c>
      <c r="AS92" s="185" t="str">
        <f>IF(AQ92="PASS",'Statement of Marks'!IA94,"")</f>
        <v/>
      </c>
    </row>
    <row r="93" spans="1:45">
      <c r="A93" s="169">
        <f>IF('Statement of Marks'!A95="","",'Statement of Marks'!A95)</f>
        <v>89</v>
      </c>
      <c r="B93" s="169" t="str">
        <f>IF('Statement of Marks'!B95="","",'Statement of Marks'!B95)</f>
        <v/>
      </c>
      <c r="C93" s="169" t="str">
        <f>IF('Statement of Marks'!D95="","",'Statement of Marks'!D95)</f>
        <v/>
      </c>
      <c r="D93" s="170" t="str">
        <f>IF('Statement of Marks'!E95="","",'Statement of Marks'!E95)</f>
        <v/>
      </c>
      <c r="E93" s="171" t="str">
        <f>IF('Statement of Marks'!F95="","",'Statement of Marks'!F95)</f>
        <v/>
      </c>
      <c r="F93" s="171" t="str">
        <f>IF('Statement of Marks'!G95="","",'Statement of Marks'!G95)</f>
        <v/>
      </c>
      <c r="G93" s="171" t="str">
        <f>IF('Statement of Marks'!H95="","",'Statement of Marks'!H95)</f>
        <v/>
      </c>
      <c r="H93" s="172" t="str">
        <f>IF('Statement of Marks'!HS95="","",'Statement of Marks'!HS95)</f>
        <v/>
      </c>
      <c r="I93" s="172" t="str">
        <f>IF('Statement of Marks'!HV95="","",'Statement of Marks'!HV95)</f>
        <v/>
      </c>
      <c r="J93" s="173" t="str">
        <f>IF('Statement of Marks'!HU95="","",'Statement of Marks'!HU95)</f>
        <v/>
      </c>
      <c r="K93" s="181" t="str">
        <f>'Statement of Marks'!GN95</f>
        <v/>
      </c>
      <c r="L93" s="181" t="str">
        <f>'Statement of Marks'!GQ95</f>
        <v/>
      </c>
      <c r="M93" s="181" t="str">
        <f>'Statement of Marks'!GT95</f>
        <v/>
      </c>
      <c r="N93" s="181" t="str">
        <f>'Statement of Marks'!HB95</f>
        <v/>
      </c>
      <c r="O93" s="181" t="str">
        <f>'Statement of Marks'!HE95</f>
        <v/>
      </c>
      <c r="P93" s="181" t="str">
        <f>'Statement of Marks'!HH95</f>
        <v/>
      </c>
      <c r="Q93" s="181" t="str">
        <f>'Statement of Marks'!HK95</f>
        <v/>
      </c>
      <c r="R93" s="173" t="str">
        <f>IF(COUNTIF(K93:Q93,"F")&gt;0,"",CONCATENATE('Statement of Marks'!HO95,'Statement of Marks'!HQ95))</f>
        <v xml:space="preserve">            </v>
      </c>
      <c r="S93" s="174">
        <f t="shared" si="18"/>
        <v>0</v>
      </c>
      <c r="T93" s="5"/>
      <c r="U93" s="182" t="str">
        <f t="shared" si="19"/>
        <v/>
      </c>
      <c r="V93" s="182" t="str">
        <f t="shared" si="20"/>
        <v/>
      </c>
      <c r="W93" s="5"/>
      <c r="X93" s="182" t="str">
        <f t="shared" si="21"/>
        <v/>
      </c>
      <c r="Y93" s="182" t="str">
        <f t="shared" si="22"/>
        <v/>
      </c>
      <c r="Z93" s="5"/>
      <c r="AA93" s="182" t="str">
        <f t="shared" si="23"/>
        <v/>
      </c>
      <c r="AB93" s="183" t="str">
        <f t="shared" si="24"/>
        <v/>
      </c>
      <c r="AC93" s="5"/>
      <c r="AD93" s="182" t="str">
        <f t="shared" si="25"/>
        <v/>
      </c>
      <c r="AE93" s="183" t="str">
        <f t="shared" si="26"/>
        <v/>
      </c>
      <c r="AF93" s="5"/>
      <c r="AG93" s="182" t="str">
        <f t="shared" si="27"/>
        <v/>
      </c>
      <c r="AH93" s="183" t="str">
        <f t="shared" si="28"/>
        <v/>
      </c>
      <c r="AI93" s="5"/>
      <c r="AJ93" s="183" t="str">
        <f t="shared" si="29"/>
        <v/>
      </c>
      <c r="AK93" s="183" t="str">
        <f t="shared" si="30"/>
        <v/>
      </c>
      <c r="AL93" s="5"/>
      <c r="AM93" s="183" t="str">
        <f t="shared" si="31"/>
        <v/>
      </c>
      <c r="AN93" s="183" t="str">
        <f t="shared" si="32"/>
        <v/>
      </c>
      <c r="AO93" s="184">
        <f t="shared" si="33"/>
        <v>0</v>
      </c>
      <c r="AP93" s="184">
        <f t="shared" si="34"/>
        <v>0</v>
      </c>
      <c r="AQ93" s="608" t="str">
        <f t="shared" si="35"/>
        <v/>
      </c>
      <c r="AR93" s="185" t="str">
        <f>IF(COUNTIF(K93:Q93,"F")&gt;0,"",IF(AQ93="PASS",'Statement of Marks'!HZ95,""))</f>
        <v/>
      </c>
      <c r="AS93" s="185" t="str">
        <f>IF(AQ93="PASS",'Statement of Marks'!IA95,"")</f>
        <v/>
      </c>
    </row>
    <row r="94" spans="1:45">
      <c r="A94" s="169">
        <f>IF('Statement of Marks'!A96="","",'Statement of Marks'!A96)</f>
        <v>90</v>
      </c>
      <c r="B94" s="169" t="str">
        <f>IF('Statement of Marks'!B96="","",'Statement of Marks'!B96)</f>
        <v/>
      </c>
      <c r="C94" s="169" t="str">
        <f>IF('Statement of Marks'!D96="","",'Statement of Marks'!D96)</f>
        <v/>
      </c>
      <c r="D94" s="170" t="str">
        <f>IF('Statement of Marks'!E96="","",'Statement of Marks'!E96)</f>
        <v/>
      </c>
      <c r="E94" s="171" t="str">
        <f>IF('Statement of Marks'!F96="","",'Statement of Marks'!F96)</f>
        <v/>
      </c>
      <c r="F94" s="171" t="str">
        <f>IF('Statement of Marks'!G96="","",'Statement of Marks'!G96)</f>
        <v/>
      </c>
      <c r="G94" s="171" t="str">
        <f>IF('Statement of Marks'!H96="","",'Statement of Marks'!H96)</f>
        <v/>
      </c>
      <c r="H94" s="172" t="str">
        <f>IF('Statement of Marks'!HS96="","",'Statement of Marks'!HS96)</f>
        <v/>
      </c>
      <c r="I94" s="172" t="str">
        <f>IF('Statement of Marks'!HV96="","",'Statement of Marks'!HV96)</f>
        <v/>
      </c>
      <c r="J94" s="173" t="str">
        <f>IF('Statement of Marks'!HU96="","",'Statement of Marks'!HU96)</f>
        <v/>
      </c>
      <c r="K94" s="181" t="str">
        <f>'Statement of Marks'!GN96</f>
        <v/>
      </c>
      <c r="L94" s="181" t="str">
        <f>'Statement of Marks'!GQ96</f>
        <v/>
      </c>
      <c r="M94" s="181" t="str">
        <f>'Statement of Marks'!GT96</f>
        <v/>
      </c>
      <c r="N94" s="181" t="str">
        <f>'Statement of Marks'!HB96</f>
        <v/>
      </c>
      <c r="O94" s="181" t="str">
        <f>'Statement of Marks'!HE96</f>
        <v/>
      </c>
      <c r="P94" s="181" t="str">
        <f>'Statement of Marks'!HH96</f>
        <v/>
      </c>
      <c r="Q94" s="181" t="str">
        <f>'Statement of Marks'!HK96</f>
        <v/>
      </c>
      <c r="R94" s="173" t="str">
        <f>IF(COUNTIF(K94:Q94,"F")&gt;0,"",CONCATENATE('Statement of Marks'!HO96,'Statement of Marks'!HQ96))</f>
        <v xml:space="preserve">            </v>
      </c>
      <c r="S94" s="174">
        <f t="shared" si="18"/>
        <v>0</v>
      </c>
      <c r="T94" s="5"/>
      <c r="U94" s="182" t="str">
        <f t="shared" si="19"/>
        <v/>
      </c>
      <c r="V94" s="182" t="str">
        <f t="shared" si="20"/>
        <v/>
      </c>
      <c r="W94" s="5"/>
      <c r="X94" s="182" t="str">
        <f t="shared" si="21"/>
        <v/>
      </c>
      <c r="Y94" s="182" t="str">
        <f t="shared" si="22"/>
        <v/>
      </c>
      <c r="Z94" s="5"/>
      <c r="AA94" s="182" t="str">
        <f t="shared" si="23"/>
        <v/>
      </c>
      <c r="AB94" s="183" t="str">
        <f t="shared" si="24"/>
        <v/>
      </c>
      <c r="AC94" s="5"/>
      <c r="AD94" s="182" t="str">
        <f t="shared" si="25"/>
        <v/>
      </c>
      <c r="AE94" s="183" t="str">
        <f t="shared" si="26"/>
        <v/>
      </c>
      <c r="AF94" s="5"/>
      <c r="AG94" s="182" t="str">
        <f t="shared" si="27"/>
        <v/>
      </c>
      <c r="AH94" s="183" t="str">
        <f t="shared" si="28"/>
        <v/>
      </c>
      <c r="AI94" s="5"/>
      <c r="AJ94" s="183" t="str">
        <f t="shared" si="29"/>
        <v/>
      </c>
      <c r="AK94" s="183" t="str">
        <f t="shared" si="30"/>
        <v/>
      </c>
      <c r="AL94" s="5"/>
      <c r="AM94" s="183" t="str">
        <f t="shared" si="31"/>
        <v/>
      </c>
      <c r="AN94" s="183" t="str">
        <f t="shared" si="32"/>
        <v/>
      </c>
      <c r="AO94" s="184">
        <f t="shared" si="33"/>
        <v>0</v>
      </c>
      <c r="AP94" s="184">
        <f t="shared" si="34"/>
        <v>0</v>
      </c>
      <c r="AQ94" s="608" t="str">
        <f t="shared" si="35"/>
        <v/>
      </c>
      <c r="AR94" s="185" t="str">
        <f>IF(COUNTIF(K94:Q94,"F")&gt;0,"",IF(AQ94="PASS",'Statement of Marks'!HZ96,""))</f>
        <v/>
      </c>
      <c r="AS94" s="185" t="str">
        <f>IF(AQ94="PASS",'Statement of Marks'!IA96,"")</f>
        <v/>
      </c>
    </row>
    <row r="95" spans="1:45">
      <c r="A95" s="169">
        <f>IF('Statement of Marks'!A97="","",'Statement of Marks'!A97)</f>
        <v>91</v>
      </c>
      <c r="B95" s="169" t="str">
        <f>IF('Statement of Marks'!B97="","",'Statement of Marks'!B97)</f>
        <v/>
      </c>
      <c r="C95" s="169" t="str">
        <f>IF('Statement of Marks'!D97="","",'Statement of Marks'!D97)</f>
        <v/>
      </c>
      <c r="D95" s="170" t="str">
        <f>IF('Statement of Marks'!E97="","",'Statement of Marks'!E97)</f>
        <v/>
      </c>
      <c r="E95" s="171" t="str">
        <f>IF('Statement of Marks'!F97="","",'Statement of Marks'!F97)</f>
        <v/>
      </c>
      <c r="F95" s="171" t="str">
        <f>IF('Statement of Marks'!G97="","",'Statement of Marks'!G97)</f>
        <v/>
      </c>
      <c r="G95" s="171" t="str">
        <f>IF('Statement of Marks'!H97="","",'Statement of Marks'!H97)</f>
        <v/>
      </c>
      <c r="H95" s="172" t="str">
        <f>IF('Statement of Marks'!HS97="","",'Statement of Marks'!HS97)</f>
        <v/>
      </c>
      <c r="I95" s="172" t="str">
        <f>IF('Statement of Marks'!HV97="","",'Statement of Marks'!HV97)</f>
        <v/>
      </c>
      <c r="J95" s="173" t="str">
        <f>IF('Statement of Marks'!HU97="","",'Statement of Marks'!HU97)</f>
        <v/>
      </c>
      <c r="K95" s="181" t="str">
        <f>'Statement of Marks'!GN97</f>
        <v/>
      </c>
      <c r="L95" s="181" t="str">
        <f>'Statement of Marks'!GQ97</f>
        <v/>
      </c>
      <c r="M95" s="181" t="str">
        <f>'Statement of Marks'!GT97</f>
        <v/>
      </c>
      <c r="N95" s="181" t="str">
        <f>'Statement of Marks'!HB97</f>
        <v/>
      </c>
      <c r="O95" s="181" t="str">
        <f>'Statement of Marks'!HE97</f>
        <v/>
      </c>
      <c r="P95" s="181" t="str">
        <f>'Statement of Marks'!HH97</f>
        <v/>
      </c>
      <c r="Q95" s="181" t="str">
        <f>'Statement of Marks'!HK97</f>
        <v/>
      </c>
      <c r="R95" s="173" t="str">
        <f>IF(COUNTIF(K95:Q95,"F")&gt;0,"",CONCATENATE('Statement of Marks'!HO97,'Statement of Marks'!HQ97))</f>
        <v xml:space="preserve">            </v>
      </c>
      <c r="S95" s="174">
        <f t="shared" si="18"/>
        <v>0</v>
      </c>
      <c r="T95" s="5"/>
      <c r="U95" s="182" t="str">
        <f t="shared" si="19"/>
        <v/>
      </c>
      <c r="V95" s="182" t="str">
        <f t="shared" si="20"/>
        <v/>
      </c>
      <c r="W95" s="5"/>
      <c r="X95" s="182" t="str">
        <f t="shared" si="21"/>
        <v/>
      </c>
      <c r="Y95" s="182" t="str">
        <f t="shared" si="22"/>
        <v/>
      </c>
      <c r="Z95" s="5"/>
      <c r="AA95" s="182" t="str">
        <f t="shared" si="23"/>
        <v/>
      </c>
      <c r="AB95" s="183" t="str">
        <f t="shared" si="24"/>
        <v/>
      </c>
      <c r="AC95" s="5"/>
      <c r="AD95" s="182" t="str">
        <f t="shared" si="25"/>
        <v/>
      </c>
      <c r="AE95" s="183" t="str">
        <f t="shared" si="26"/>
        <v/>
      </c>
      <c r="AF95" s="5"/>
      <c r="AG95" s="182" t="str">
        <f t="shared" si="27"/>
        <v/>
      </c>
      <c r="AH95" s="183" t="str">
        <f t="shared" si="28"/>
        <v/>
      </c>
      <c r="AI95" s="5"/>
      <c r="AJ95" s="183" t="str">
        <f t="shared" si="29"/>
        <v/>
      </c>
      <c r="AK95" s="183" t="str">
        <f t="shared" si="30"/>
        <v/>
      </c>
      <c r="AL95" s="5"/>
      <c r="AM95" s="183" t="str">
        <f t="shared" si="31"/>
        <v/>
      </c>
      <c r="AN95" s="183" t="str">
        <f t="shared" si="32"/>
        <v/>
      </c>
      <c r="AO95" s="184">
        <f t="shared" si="33"/>
        <v>0</v>
      </c>
      <c r="AP95" s="184">
        <f t="shared" si="34"/>
        <v>0</v>
      </c>
      <c r="AQ95" s="608" t="str">
        <f t="shared" si="35"/>
        <v/>
      </c>
      <c r="AR95" s="185" t="str">
        <f>IF(COUNTIF(K95:Q95,"F")&gt;0,"",IF(AQ95="PASS",'Statement of Marks'!HZ97,""))</f>
        <v/>
      </c>
      <c r="AS95" s="185" t="str">
        <f>IF(AQ95="PASS",'Statement of Marks'!IA97,"")</f>
        <v/>
      </c>
    </row>
    <row r="96" spans="1:45">
      <c r="A96" s="169">
        <f>IF('Statement of Marks'!A98="","",'Statement of Marks'!A98)</f>
        <v>92</v>
      </c>
      <c r="B96" s="169" t="str">
        <f>IF('Statement of Marks'!B98="","",'Statement of Marks'!B98)</f>
        <v/>
      </c>
      <c r="C96" s="169" t="str">
        <f>IF('Statement of Marks'!D98="","",'Statement of Marks'!D98)</f>
        <v/>
      </c>
      <c r="D96" s="170" t="str">
        <f>IF('Statement of Marks'!E98="","",'Statement of Marks'!E98)</f>
        <v/>
      </c>
      <c r="E96" s="171" t="str">
        <f>IF('Statement of Marks'!F98="","",'Statement of Marks'!F98)</f>
        <v/>
      </c>
      <c r="F96" s="171" t="str">
        <f>IF('Statement of Marks'!G98="","",'Statement of Marks'!G98)</f>
        <v/>
      </c>
      <c r="G96" s="171" t="str">
        <f>IF('Statement of Marks'!H98="","",'Statement of Marks'!H98)</f>
        <v/>
      </c>
      <c r="H96" s="172" t="str">
        <f>IF('Statement of Marks'!HS98="","",'Statement of Marks'!HS98)</f>
        <v/>
      </c>
      <c r="I96" s="172" t="str">
        <f>IF('Statement of Marks'!HV98="","",'Statement of Marks'!HV98)</f>
        <v/>
      </c>
      <c r="J96" s="173" t="str">
        <f>IF('Statement of Marks'!HU98="","",'Statement of Marks'!HU98)</f>
        <v/>
      </c>
      <c r="K96" s="181" t="str">
        <f>'Statement of Marks'!GN98</f>
        <v/>
      </c>
      <c r="L96" s="181" t="str">
        <f>'Statement of Marks'!GQ98</f>
        <v/>
      </c>
      <c r="M96" s="181" t="str">
        <f>'Statement of Marks'!GT98</f>
        <v/>
      </c>
      <c r="N96" s="181" t="str">
        <f>'Statement of Marks'!HB98</f>
        <v/>
      </c>
      <c r="O96" s="181" t="str">
        <f>'Statement of Marks'!HE98</f>
        <v/>
      </c>
      <c r="P96" s="181" t="str">
        <f>'Statement of Marks'!HH98</f>
        <v/>
      </c>
      <c r="Q96" s="181" t="str">
        <f>'Statement of Marks'!HK98</f>
        <v/>
      </c>
      <c r="R96" s="173" t="str">
        <f>IF(COUNTIF(K96:Q96,"F")&gt;0,"",CONCATENATE('Statement of Marks'!HO98,'Statement of Marks'!HQ98))</f>
        <v xml:space="preserve">            </v>
      </c>
      <c r="S96" s="174">
        <f t="shared" si="18"/>
        <v>0</v>
      </c>
      <c r="T96" s="5"/>
      <c r="U96" s="182" t="str">
        <f t="shared" si="19"/>
        <v/>
      </c>
      <c r="V96" s="182" t="str">
        <f t="shared" si="20"/>
        <v/>
      </c>
      <c r="W96" s="5"/>
      <c r="X96" s="182" t="str">
        <f t="shared" si="21"/>
        <v/>
      </c>
      <c r="Y96" s="182" t="str">
        <f t="shared" si="22"/>
        <v/>
      </c>
      <c r="Z96" s="5"/>
      <c r="AA96" s="182" t="str">
        <f t="shared" si="23"/>
        <v/>
      </c>
      <c r="AB96" s="183" t="str">
        <f t="shared" si="24"/>
        <v/>
      </c>
      <c r="AC96" s="5"/>
      <c r="AD96" s="182" t="str">
        <f t="shared" si="25"/>
        <v/>
      </c>
      <c r="AE96" s="183" t="str">
        <f t="shared" si="26"/>
        <v/>
      </c>
      <c r="AF96" s="5"/>
      <c r="AG96" s="182" t="str">
        <f t="shared" si="27"/>
        <v/>
      </c>
      <c r="AH96" s="183" t="str">
        <f t="shared" si="28"/>
        <v/>
      </c>
      <c r="AI96" s="5"/>
      <c r="AJ96" s="183" t="str">
        <f t="shared" si="29"/>
        <v/>
      </c>
      <c r="AK96" s="183" t="str">
        <f t="shared" si="30"/>
        <v/>
      </c>
      <c r="AL96" s="5"/>
      <c r="AM96" s="183" t="str">
        <f t="shared" si="31"/>
        <v/>
      </c>
      <c r="AN96" s="183" t="str">
        <f t="shared" si="32"/>
        <v/>
      </c>
      <c r="AO96" s="184">
        <f t="shared" si="33"/>
        <v>0</v>
      </c>
      <c r="AP96" s="184">
        <f t="shared" si="34"/>
        <v>0</v>
      </c>
      <c r="AQ96" s="608" t="str">
        <f t="shared" si="35"/>
        <v/>
      </c>
      <c r="AR96" s="185" t="str">
        <f>IF(COUNTIF(K96:Q96,"F")&gt;0,"",IF(AQ96="PASS",'Statement of Marks'!HZ98,""))</f>
        <v/>
      </c>
      <c r="AS96" s="185" t="str">
        <f>IF(AQ96="PASS",'Statement of Marks'!IA98,"")</f>
        <v/>
      </c>
    </row>
    <row r="97" spans="1:45">
      <c r="A97" s="169">
        <f>IF('Statement of Marks'!A99="","",'Statement of Marks'!A99)</f>
        <v>93</v>
      </c>
      <c r="B97" s="169" t="str">
        <f>IF('Statement of Marks'!B99="","",'Statement of Marks'!B99)</f>
        <v/>
      </c>
      <c r="C97" s="169" t="str">
        <f>IF('Statement of Marks'!D99="","",'Statement of Marks'!D99)</f>
        <v/>
      </c>
      <c r="D97" s="170" t="str">
        <f>IF('Statement of Marks'!E99="","",'Statement of Marks'!E99)</f>
        <v/>
      </c>
      <c r="E97" s="171" t="str">
        <f>IF('Statement of Marks'!F99="","",'Statement of Marks'!F99)</f>
        <v/>
      </c>
      <c r="F97" s="171" t="str">
        <f>IF('Statement of Marks'!G99="","",'Statement of Marks'!G99)</f>
        <v/>
      </c>
      <c r="G97" s="171" t="str">
        <f>IF('Statement of Marks'!H99="","",'Statement of Marks'!H99)</f>
        <v/>
      </c>
      <c r="H97" s="172" t="str">
        <f>IF('Statement of Marks'!HS99="","",'Statement of Marks'!HS99)</f>
        <v/>
      </c>
      <c r="I97" s="172" t="str">
        <f>IF('Statement of Marks'!HV99="","",'Statement of Marks'!HV99)</f>
        <v/>
      </c>
      <c r="J97" s="173" t="str">
        <f>IF('Statement of Marks'!HU99="","",'Statement of Marks'!HU99)</f>
        <v/>
      </c>
      <c r="K97" s="181" t="str">
        <f>'Statement of Marks'!GN99</f>
        <v/>
      </c>
      <c r="L97" s="181" t="str">
        <f>'Statement of Marks'!GQ99</f>
        <v/>
      </c>
      <c r="M97" s="181" t="str">
        <f>'Statement of Marks'!GT99</f>
        <v/>
      </c>
      <c r="N97" s="181" t="str">
        <f>'Statement of Marks'!HB99</f>
        <v/>
      </c>
      <c r="O97" s="181" t="str">
        <f>'Statement of Marks'!HE99</f>
        <v/>
      </c>
      <c r="P97" s="181" t="str">
        <f>'Statement of Marks'!HH99</f>
        <v/>
      </c>
      <c r="Q97" s="181" t="str">
        <f>'Statement of Marks'!HK99</f>
        <v/>
      </c>
      <c r="R97" s="173" t="str">
        <f>IF(COUNTIF(K97:Q97,"F")&gt;0,"",CONCATENATE('Statement of Marks'!HO99,'Statement of Marks'!HQ99))</f>
        <v xml:space="preserve">            </v>
      </c>
      <c r="S97" s="174">
        <f t="shared" si="18"/>
        <v>0</v>
      </c>
      <c r="T97" s="5"/>
      <c r="U97" s="182" t="str">
        <f t="shared" si="19"/>
        <v/>
      </c>
      <c r="V97" s="182" t="str">
        <f t="shared" si="20"/>
        <v/>
      </c>
      <c r="W97" s="5"/>
      <c r="X97" s="182" t="str">
        <f t="shared" si="21"/>
        <v/>
      </c>
      <c r="Y97" s="182" t="str">
        <f t="shared" si="22"/>
        <v/>
      </c>
      <c r="Z97" s="5"/>
      <c r="AA97" s="182" t="str">
        <f t="shared" si="23"/>
        <v/>
      </c>
      <c r="AB97" s="183" t="str">
        <f t="shared" si="24"/>
        <v/>
      </c>
      <c r="AC97" s="5"/>
      <c r="AD97" s="182" t="str">
        <f t="shared" si="25"/>
        <v/>
      </c>
      <c r="AE97" s="183" t="str">
        <f t="shared" si="26"/>
        <v/>
      </c>
      <c r="AF97" s="5"/>
      <c r="AG97" s="182" t="str">
        <f t="shared" si="27"/>
        <v/>
      </c>
      <c r="AH97" s="183" t="str">
        <f t="shared" si="28"/>
        <v/>
      </c>
      <c r="AI97" s="5"/>
      <c r="AJ97" s="183" t="str">
        <f t="shared" si="29"/>
        <v/>
      </c>
      <c r="AK97" s="183" t="str">
        <f t="shared" si="30"/>
        <v/>
      </c>
      <c r="AL97" s="5"/>
      <c r="AM97" s="183" t="str">
        <f t="shared" si="31"/>
        <v/>
      </c>
      <c r="AN97" s="183" t="str">
        <f t="shared" si="32"/>
        <v/>
      </c>
      <c r="AO97" s="184">
        <f t="shared" si="33"/>
        <v>0</v>
      </c>
      <c r="AP97" s="184">
        <f t="shared" si="34"/>
        <v>0</v>
      </c>
      <c r="AQ97" s="608" t="str">
        <f t="shared" si="35"/>
        <v/>
      </c>
      <c r="AR97" s="185" t="str">
        <f>IF(COUNTIF(K97:Q97,"F")&gt;0,"",IF(AQ97="PASS",'Statement of Marks'!HZ99,""))</f>
        <v/>
      </c>
      <c r="AS97" s="185" t="str">
        <f>IF(AQ97="PASS",'Statement of Marks'!IA99,"")</f>
        <v/>
      </c>
    </row>
    <row r="98" spans="1:45">
      <c r="A98" s="169">
        <f>IF('Statement of Marks'!A100="","",'Statement of Marks'!A100)</f>
        <v>94</v>
      </c>
      <c r="B98" s="169" t="str">
        <f>IF('Statement of Marks'!B100="","",'Statement of Marks'!B100)</f>
        <v/>
      </c>
      <c r="C98" s="169" t="str">
        <f>IF('Statement of Marks'!D100="","",'Statement of Marks'!D100)</f>
        <v/>
      </c>
      <c r="D98" s="170" t="str">
        <f>IF('Statement of Marks'!E100="","",'Statement of Marks'!E100)</f>
        <v/>
      </c>
      <c r="E98" s="171" t="str">
        <f>IF('Statement of Marks'!F100="","",'Statement of Marks'!F100)</f>
        <v/>
      </c>
      <c r="F98" s="171" t="str">
        <f>IF('Statement of Marks'!G100="","",'Statement of Marks'!G100)</f>
        <v/>
      </c>
      <c r="G98" s="171" t="str">
        <f>IF('Statement of Marks'!H100="","",'Statement of Marks'!H100)</f>
        <v/>
      </c>
      <c r="H98" s="172" t="str">
        <f>IF('Statement of Marks'!HS100="","",'Statement of Marks'!HS100)</f>
        <v/>
      </c>
      <c r="I98" s="172" t="str">
        <f>IF('Statement of Marks'!HV100="","",'Statement of Marks'!HV100)</f>
        <v/>
      </c>
      <c r="J98" s="173" t="str">
        <f>IF('Statement of Marks'!HU100="","",'Statement of Marks'!HU100)</f>
        <v/>
      </c>
      <c r="K98" s="181" t="str">
        <f>'Statement of Marks'!GN100</f>
        <v/>
      </c>
      <c r="L98" s="181" t="str">
        <f>'Statement of Marks'!GQ100</f>
        <v/>
      </c>
      <c r="M98" s="181" t="str">
        <f>'Statement of Marks'!GT100</f>
        <v/>
      </c>
      <c r="N98" s="181" t="str">
        <f>'Statement of Marks'!HB100</f>
        <v/>
      </c>
      <c r="O98" s="181" t="str">
        <f>'Statement of Marks'!HE100</f>
        <v/>
      </c>
      <c r="P98" s="181" t="str">
        <f>'Statement of Marks'!HH100</f>
        <v/>
      </c>
      <c r="Q98" s="181" t="str">
        <f>'Statement of Marks'!HK100</f>
        <v/>
      </c>
      <c r="R98" s="173" t="str">
        <f>IF(COUNTIF(K98:Q98,"F")&gt;0,"",CONCATENATE('Statement of Marks'!HO100,'Statement of Marks'!HQ100))</f>
        <v xml:space="preserve">            </v>
      </c>
      <c r="S98" s="174">
        <f t="shared" si="18"/>
        <v>0</v>
      </c>
      <c r="T98" s="5"/>
      <c r="U98" s="182" t="str">
        <f t="shared" si="19"/>
        <v/>
      </c>
      <c r="V98" s="182" t="str">
        <f t="shared" si="20"/>
        <v/>
      </c>
      <c r="W98" s="5"/>
      <c r="X98" s="182" t="str">
        <f t="shared" si="21"/>
        <v/>
      </c>
      <c r="Y98" s="182" t="str">
        <f t="shared" si="22"/>
        <v/>
      </c>
      <c r="Z98" s="5"/>
      <c r="AA98" s="182" t="str">
        <f t="shared" si="23"/>
        <v/>
      </c>
      <c r="AB98" s="183" t="str">
        <f t="shared" si="24"/>
        <v/>
      </c>
      <c r="AC98" s="5"/>
      <c r="AD98" s="182" t="str">
        <f t="shared" si="25"/>
        <v/>
      </c>
      <c r="AE98" s="183" t="str">
        <f t="shared" si="26"/>
        <v/>
      </c>
      <c r="AF98" s="5"/>
      <c r="AG98" s="182" t="str">
        <f t="shared" si="27"/>
        <v/>
      </c>
      <c r="AH98" s="183" t="str">
        <f t="shared" si="28"/>
        <v/>
      </c>
      <c r="AI98" s="5"/>
      <c r="AJ98" s="183" t="str">
        <f t="shared" si="29"/>
        <v/>
      </c>
      <c r="AK98" s="183" t="str">
        <f t="shared" si="30"/>
        <v/>
      </c>
      <c r="AL98" s="5"/>
      <c r="AM98" s="183" t="str">
        <f t="shared" si="31"/>
        <v/>
      </c>
      <c r="AN98" s="183" t="str">
        <f t="shared" si="32"/>
        <v/>
      </c>
      <c r="AO98" s="184">
        <f t="shared" si="33"/>
        <v>0</v>
      </c>
      <c r="AP98" s="184">
        <f t="shared" si="34"/>
        <v>0</v>
      </c>
      <c r="AQ98" s="608" t="str">
        <f t="shared" si="35"/>
        <v/>
      </c>
      <c r="AR98" s="185" t="str">
        <f>IF(COUNTIF(K98:Q98,"F")&gt;0,"",IF(AQ98="PASS",'Statement of Marks'!HZ100,""))</f>
        <v/>
      </c>
      <c r="AS98" s="185" t="str">
        <f>IF(AQ98="PASS",'Statement of Marks'!IA100,"")</f>
        <v/>
      </c>
    </row>
    <row r="99" spans="1:45">
      <c r="A99" s="169">
        <f>IF('Statement of Marks'!A101="","",'Statement of Marks'!A101)</f>
        <v>95</v>
      </c>
      <c r="B99" s="169" t="str">
        <f>IF('Statement of Marks'!B101="","",'Statement of Marks'!B101)</f>
        <v/>
      </c>
      <c r="C99" s="169" t="str">
        <f>IF('Statement of Marks'!D101="","",'Statement of Marks'!D101)</f>
        <v/>
      </c>
      <c r="D99" s="170" t="str">
        <f>IF('Statement of Marks'!E101="","",'Statement of Marks'!E101)</f>
        <v/>
      </c>
      <c r="E99" s="171" t="str">
        <f>IF('Statement of Marks'!F101="","",'Statement of Marks'!F101)</f>
        <v/>
      </c>
      <c r="F99" s="171" t="str">
        <f>IF('Statement of Marks'!G101="","",'Statement of Marks'!G101)</f>
        <v/>
      </c>
      <c r="G99" s="171" t="str">
        <f>IF('Statement of Marks'!H101="","",'Statement of Marks'!H101)</f>
        <v/>
      </c>
      <c r="H99" s="172" t="str">
        <f>IF('Statement of Marks'!HS101="","",'Statement of Marks'!HS101)</f>
        <v/>
      </c>
      <c r="I99" s="172" t="str">
        <f>IF('Statement of Marks'!HV101="","",'Statement of Marks'!HV101)</f>
        <v/>
      </c>
      <c r="J99" s="173" t="str">
        <f>IF('Statement of Marks'!HU101="","",'Statement of Marks'!HU101)</f>
        <v/>
      </c>
      <c r="K99" s="181" t="str">
        <f>'Statement of Marks'!GN101</f>
        <v/>
      </c>
      <c r="L99" s="181" t="str">
        <f>'Statement of Marks'!GQ101</f>
        <v/>
      </c>
      <c r="M99" s="181" t="str">
        <f>'Statement of Marks'!GT101</f>
        <v/>
      </c>
      <c r="N99" s="181" t="str">
        <f>'Statement of Marks'!HB101</f>
        <v/>
      </c>
      <c r="O99" s="181" t="str">
        <f>'Statement of Marks'!HE101</f>
        <v/>
      </c>
      <c r="P99" s="181" t="str">
        <f>'Statement of Marks'!HH101</f>
        <v/>
      </c>
      <c r="Q99" s="181" t="str">
        <f>'Statement of Marks'!HK101</f>
        <v/>
      </c>
      <c r="R99" s="173" t="str">
        <f>IF(COUNTIF(K99:Q99,"F")&gt;0,"",CONCATENATE('Statement of Marks'!HO101,'Statement of Marks'!HQ101))</f>
        <v xml:space="preserve">            </v>
      </c>
      <c r="S99" s="174">
        <f t="shared" si="18"/>
        <v>0</v>
      </c>
      <c r="T99" s="5"/>
      <c r="U99" s="182" t="str">
        <f t="shared" si="19"/>
        <v/>
      </c>
      <c r="V99" s="182" t="str">
        <f t="shared" si="20"/>
        <v/>
      </c>
      <c r="W99" s="5"/>
      <c r="X99" s="182" t="str">
        <f t="shared" si="21"/>
        <v/>
      </c>
      <c r="Y99" s="182" t="str">
        <f t="shared" si="22"/>
        <v/>
      </c>
      <c r="Z99" s="5"/>
      <c r="AA99" s="182" t="str">
        <f t="shared" si="23"/>
        <v/>
      </c>
      <c r="AB99" s="183" t="str">
        <f t="shared" si="24"/>
        <v/>
      </c>
      <c r="AC99" s="5"/>
      <c r="AD99" s="182" t="str">
        <f t="shared" si="25"/>
        <v/>
      </c>
      <c r="AE99" s="183" t="str">
        <f t="shared" si="26"/>
        <v/>
      </c>
      <c r="AF99" s="5"/>
      <c r="AG99" s="182" t="str">
        <f t="shared" si="27"/>
        <v/>
      </c>
      <c r="AH99" s="183" t="str">
        <f t="shared" si="28"/>
        <v/>
      </c>
      <c r="AI99" s="5"/>
      <c r="AJ99" s="183" t="str">
        <f t="shared" si="29"/>
        <v/>
      </c>
      <c r="AK99" s="183" t="str">
        <f t="shared" si="30"/>
        <v/>
      </c>
      <c r="AL99" s="5"/>
      <c r="AM99" s="183" t="str">
        <f t="shared" si="31"/>
        <v/>
      </c>
      <c r="AN99" s="183" t="str">
        <f t="shared" si="32"/>
        <v/>
      </c>
      <c r="AO99" s="184">
        <f t="shared" si="33"/>
        <v>0</v>
      </c>
      <c r="AP99" s="184">
        <f t="shared" si="34"/>
        <v>0</v>
      </c>
      <c r="AQ99" s="608" t="str">
        <f t="shared" si="35"/>
        <v/>
      </c>
      <c r="AR99" s="185" t="str">
        <f>IF(COUNTIF(K99:Q99,"F")&gt;0,"",IF(AQ99="PASS",'Statement of Marks'!HZ101,""))</f>
        <v/>
      </c>
      <c r="AS99" s="185" t="str">
        <f>IF(AQ99="PASS",'Statement of Marks'!IA101,"")</f>
        <v/>
      </c>
    </row>
    <row r="100" spans="1:45">
      <c r="A100" s="169">
        <f>IF('Statement of Marks'!A102="","",'Statement of Marks'!A102)</f>
        <v>96</v>
      </c>
      <c r="B100" s="169" t="str">
        <f>IF('Statement of Marks'!B102="","",'Statement of Marks'!B102)</f>
        <v/>
      </c>
      <c r="C100" s="169" t="str">
        <f>IF('Statement of Marks'!D102="","",'Statement of Marks'!D102)</f>
        <v/>
      </c>
      <c r="D100" s="170" t="str">
        <f>IF('Statement of Marks'!E102="","",'Statement of Marks'!E102)</f>
        <v/>
      </c>
      <c r="E100" s="171" t="str">
        <f>IF('Statement of Marks'!F102="","",'Statement of Marks'!F102)</f>
        <v/>
      </c>
      <c r="F100" s="171" t="str">
        <f>IF('Statement of Marks'!G102="","",'Statement of Marks'!G102)</f>
        <v/>
      </c>
      <c r="G100" s="171" t="str">
        <f>IF('Statement of Marks'!H102="","",'Statement of Marks'!H102)</f>
        <v/>
      </c>
      <c r="H100" s="172" t="str">
        <f>IF('Statement of Marks'!HS102="","",'Statement of Marks'!HS102)</f>
        <v/>
      </c>
      <c r="I100" s="172" t="str">
        <f>IF('Statement of Marks'!HV102="","",'Statement of Marks'!HV102)</f>
        <v/>
      </c>
      <c r="J100" s="173" t="str">
        <f>IF('Statement of Marks'!HU102="","",'Statement of Marks'!HU102)</f>
        <v/>
      </c>
      <c r="K100" s="181" t="str">
        <f>'Statement of Marks'!GN102</f>
        <v/>
      </c>
      <c r="L100" s="181" t="str">
        <f>'Statement of Marks'!GQ102</f>
        <v/>
      </c>
      <c r="M100" s="181" t="str">
        <f>'Statement of Marks'!GT102</f>
        <v/>
      </c>
      <c r="N100" s="181" t="str">
        <f>'Statement of Marks'!HB102</f>
        <v/>
      </c>
      <c r="O100" s="181" t="str">
        <f>'Statement of Marks'!HE102</f>
        <v/>
      </c>
      <c r="P100" s="181" t="str">
        <f>'Statement of Marks'!HH102</f>
        <v/>
      </c>
      <c r="Q100" s="181" t="str">
        <f>'Statement of Marks'!HK102</f>
        <v/>
      </c>
      <c r="R100" s="173" t="str">
        <f>IF(COUNTIF(K100:Q100,"F")&gt;0,"",CONCATENATE('Statement of Marks'!HO102,'Statement of Marks'!HQ102))</f>
        <v xml:space="preserve">            </v>
      </c>
      <c r="S100" s="174">
        <f t="shared" si="18"/>
        <v>0</v>
      </c>
      <c r="T100" s="5"/>
      <c r="U100" s="182" t="str">
        <f t="shared" si="19"/>
        <v/>
      </c>
      <c r="V100" s="182" t="str">
        <f t="shared" si="20"/>
        <v/>
      </c>
      <c r="W100" s="5"/>
      <c r="X100" s="182" t="str">
        <f t="shared" si="21"/>
        <v/>
      </c>
      <c r="Y100" s="182" t="str">
        <f t="shared" si="22"/>
        <v/>
      </c>
      <c r="Z100" s="5"/>
      <c r="AA100" s="182" t="str">
        <f t="shared" si="23"/>
        <v/>
      </c>
      <c r="AB100" s="183" t="str">
        <f t="shared" si="24"/>
        <v/>
      </c>
      <c r="AC100" s="5"/>
      <c r="AD100" s="182" t="str">
        <f t="shared" si="25"/>
        <v/>
      </c>
      <c r="AE100" s="183" t="str">
        <f t="shared" si="26"/>
        <v/>
      </c>
      <c r="AF100" s="5"/>
      <c r="AG100" s="182" t="str">
        <f t="shared" si="27"/>
        <v/>
      </c>
      <c r="AH100" s="183" t="str">
        <f t="shared" si="28"/>
        <v/>
      </c>
      <c r="AI100" s="5"/>
      <c r="AJ100" s="183" t="str">
        <f t="shared" si="29"/>
        <v/>
      </c>
      <c r="AK100" s="183" t="str">
        <f t="shared" si="30"/>
        <v/>
      </c>
      <c r="AL100" s="5"/>
      <c r="AM100" s="183" t="str">
        <f t="shared" si="31"/>
        <v/>
      </c>
      <c r="AN100" s="183" t="str">
        <f t="shared" si="32"/>
        <v/>
      </c>
      <c r="AO100" s="184">
        <f t="shared" si="33"/>
        <v>0</v>
      </c>
      <c r="AP100" s="184">
        <f t="shared" si="34"/>
        <v>0</v>
      </c>
      <c r="AQ100" s="608" t="str">
        <f t="shared" si="35"/>
        <v/>
      </c>
      <c r="AR100" s="185" t="str">
        <f>IF(COUNTIF(K100:Q100,"F")&gt;0,"",IF(AQ100="PASS",'Statement of Marks'!HZ102,""))</f>
        <v/>
      </c>
      <c r="AS100" s="185" t="str">
        <f>IF(AQ100="PASS",'Statement of Marks'!IA102,"")</f>
        <v/>
      </c>
    </row>
    <row r="101" spans="1:45">
      <c r="A101" s="169">
        <f>IF('Statement of Marks'!A103="","",'Statement of Marks'!A103)</f>
        <v>97</v>
      </c>
      <c r="B101" s="169" t="str">
        <f>IF('Statement of Marks'!B103="","",'Statement of Marks'!B103)</f>
        <v/>
      </c>
      <c r="C101" s="169" t="str">
        <f>IF('Statement of Marks'!D103="","",'Statement of Marks'!D103)</f>
        <v/>
      </c>
      <c r="D101" s="170" t="str">
        <f>IF('Statement of Marks'!E103="","",'Statement of Marks'!E103)</f>
        <v/>
      </c>
      <c r="E101" s="171" t="str">
        <f>IF('Statement of Marks'!F103="","",'Statement of Marks'!F103)</f>
        <v/>
      </c>
      <c r="F101" s="171" t="str">
        <f>IF('Statement of Marks'!G103="","",'Statement of Marks'!G103)</f>
        <v/>
      </c>
      <c r="G101" s="171" t="str">
        <f>IF('Statement of Marks'!H103="","",'Statement of Marks'!H103)</f>
        <v/>
      </c>
      <c r="H101" s="172" t="str">
        <f>IF('Statement of Marks'!HS103="","",'Statement of Marks'!HS103)</f>
        <v/>
      </c>
      <c r="I101" s="172" t="str">
        <f>IF('Statement of Marks'!HV103="","",'Statement of Marks'!HV103)</f>
        <v/>
      </c>
      <c r="J101" s="173" t="str">
        <f>IF('Statement of Marks'!HU103="","",'Statement of Marks'!HU103)</f>
        <v/>
      </c>
      <c r="K101" s="181" t="str">
        <f>'Statement of Marks'!GN103</f>
        <v/>
      </c>
      <c r="L101" s="181" t="str">
        <f>'Statement of Marks'!GQ103</f>
        <v/>
      </c>
      <c r="M101" s="181" t="str">
        <f>'Statement of Marks'!GT103</f>
        <v/>
      </c>
      <c r="N101" s="181" t="str">
        <f>'Statement of Marks'!HB103</f>
        <v/>
      </c>
      <c r="O101" s="181" t="str">
        <f>'Statement of Marks'!HE103</f>
        <v/>
      </c>
      <c r="P101" s="181" t="str">
        <f>'Statement of Marks'!HH103</f>
        <v/>
      </c>
      <c r="Q101" s="181" t="str">
        <f>'Statement of Marks'!HK103</f>
        <v/>
      </c>
      <c r="R101" s="173" t="str">
        <f>IF(COUNTIF(K101:Q101,"F")&gt;0,"",CONCATENATE('Statement of Marks'!HO103,'Statement of Marks'!HQ103))</f>
        <v xml:space="preserve">            </v>
      </c>
      <c r="S101" s="174">
        <f t="shared" si="18"/>
        <v>0</v>
      </c>
      <c r="T101" s="5"/>
      <c r="U101" s="182" t="str">
        <f t="shared" si="19"/>
        <v/>
      </c>
      <c r="V101" s="182" t="str">
        <f t="shared" si="20"/>
        <v/>
      </c>
      <c r="W101" s="5"/>
      <c r="X101" s="182" t="str">
        <f t="shared" si="21"/>
        <v/>
      </c>
      <c r="Y101" s="182" t="str">
        <f t="shared" si="22"/>
        <v/>
      </c>
      <c r="Z101" s="5"/>
      <c r="AA101" s="182" t="str">
        <f t="shared" si="23"/>
        <v/>
      </c>
      <c r="AB101" s="183" t="str">
        <f t="shared" si="24"/>
        <v/>
      </c>
      <c r="AC101" s="5"/>
      <c r="AD101" s="182" t="str">
        <f t="shared" si="25"/>
        <v/>
      </c>
      <c r="AE101" s="183" t="str">
        <f t="shared" si="26"/>
        <v/>
      </c>
      <c r="AF101" s="5"/>
      <c r="AG101" s="182" t="str">
        <f t="shared" si="27"/>
        <v/>
      </c>
      <c r="AH101" s="183" t="str">
        <f t="shared" si="28"/>
        <v/>
      </c>
      <c r="AI101" s="5"/>
      <c r="AJ101" s="183" t="str">
        <f t="shared" si="29"/>
        <v/>
      </c>
      <c r="AK101" s="183" t="str">
        <f t="shared" si="30"/>
        <v/>
      </c>
      <c r="AL101" s="5"/>
      <c r="AM101" s="183" t="str">
        <f t="shared" si="31"/>
        <v/>
      </c>
      <c r="AN101" s="183" t="str">
        <f t="shared" si="32"/>
        <v/>
      </c>
      <c r="AO101" s="184">
        <f t="shared" si="33"/>
        <v>0</v>
      </c>
      <c r="AP101" s="184">
        <f t="shared" si="34"/>
        <v>0</v>
      </c>
      <c r="AQ101" s="608" t="str">
        <f t="shared" si="35"/>
        <v/>
      </c>
      <c r="AR101" s="185" t="str">
        <f>IF(COUNTIF(K101:Q101,"F")&gt;0,"",IF(AQ101="PASS",'Statement of Marks'!HZ103,""))</f>
        <v/>
      </c>
      <c r="AS101" s="185" t="str">
        <f>IF(AQ101="PASS",'Statement of Marks'!IA103,"")</f>
        <v/>
      </c>
    </row>
    <row r="102" spans="1:45">
      <c r="A102" s="169">
        <f>IF('Statement of Marks'!A104="","",'Statement of Marks'!A104)</f>
        <v>98</v>
      </c>
      <c r="B102" s="169" t="str">
        <f>IF('Statement of Marks'!B104="","",'Statement of Marks'!B104)</f>
        <v/>
      </c>
      <c r="C102" s="169" t="str">
        <f>IF('Statement of Marks'!D104="","",'Statement of Marks'!D104)</f>
        <v/>
      </c>
      <c r="D102" s="170" t="str">
        <f>IF('Statement of Marks'!E104="","",'Statement of Marks'!E104)</f>
        <v/>
      </c>
      <c r="E102" s="171" t="str">
        <f>IF('Statement of Marks'!F104="","",'Statement of Marks'!F104)</f>
        <v/>
      </c>
      <c r="F102" s="171" t="str">
        <f>IF('Statement of Marks'!G104="","",'Statement of Marks'!G104)</f>
        <v/>
      </c>
      <c r="G102" s="171" t="str">
        <f>IF('Statement of Marks'!H104="","",'Statement of Marks'!H104)</f>
        <v/>
      </c>
      <c r="H102" s="172" t="str">
        <f>IF('Statement of Marks'!HS104="","",'Statement of Marks'!HS104)</f>
        <v/>
      </c>
      <c r="I102" s="172" t="str">
        <f>IF('Statement of Marks'!HV104="","",'Statement of Marks'!HV104)</f>
        <v/>
      </c>
      <c r="J102" s="173" t="str">
        <f>IF('Statement of Marks'!HU104="","",'Statement of Marks'!HU104)</f>
        <v/>
      </c>
      <c r="K102" s="181" t="str">
        <f>'Statement of Marks'!GN104</f>
        <v/>
      </c>
      <c r="L102" s="181" t="str">
        <f>'Statement of Marks'!GQ104</f>
        <v/>
      </c>
      <c r="M102" s="181" t="str">
        <f>'Statement of Marks'!GT104</f>
        <v/>
      </c>
      <c r="N102" s="181" t="str">
        <f>'Statement of Marks'!HB104</f>
        <v/>
      </c>
      <c r="O102" s="181" t="str">
        <f>'Statement of Marks'!HE104</f>
        <v/>
      </c>
      <c r="P102" s="181" t="str">
        <f>'Statement of Marks'!HH104</f>
        <v/>
      </c>
      <c r="Q102" s="181" t="str">
        <f>'Statement of Marks'!HK104</f>
        <v/>
      </c>
      <c r="R102" s="173" t="str">
        <f>IF(COUNTIF(K102:Q102,"F")&gt;0,"",CONCATENATE('Statement of Marks'!HO104,'Statement of Marks'!HQ104))</f>
        <v xml:space="preserve">            </v>
      </c>
      <c r="S102" s="174">
        <f t="shared" si="18"/>
        <v>0</v>
      </c>
      <c r="T102" s="5"/>
      <c r="U102" s="182" t="str">
        <f t="shared" si="19"/>
        <v/>
      </c>
      <c r="V102" s="182" t="str">
        <f t="shared" si="20"/>
        <v/>
      </c>
      <c r="W102" s="5"/>
      <c r="X102" s="182" t="str">
        <f t="shared" si="21"/>
        <v/>
      </c>
      <c r="Y102" s="182" t="str">
        <f t="shared" si="22"/>
        <v/>
      </c>
      <c r="Z102" s="5"/>
      <c r="AA102" s="182" t="str">
        <f t="shared" si="23"/>
        <v/>
      </c>
      <c r="AB102" s="183" t="str">
        <f t="shared" si="24"/>
        <v/>
      </c>
      <c r="AC102" s="5"/>
      <c r="AD102" s="182" t="str">
        <f t="shared" si="25"/>
        <v/>
      </c>
      <c r="AE102" s="183" t="str">
        <f t="shared" si="26"/>
        <v/>
      </c>
      <c r="AF102" s="5"/>
      <c r="AG102" s="182" t="str">
        <f t="shared" si="27"/>
        <v/>
      </c>
      <c r="AH102" s="183" t="str">
        <f t="shared" si="28"/>
        <v/>
      </c>
      <c r="AI102" s="5"/>
      <c r="AJ102" s="183" t="str">
        <f t="shared" si="29"/>
        <v/>
      </c>
      <c r="AK102" s="183" t="str">
        <f t="shared" si="30"/>
        <v/>
      </c>
      <c r="AL102" s="5"/>
      <c r="AM102" s="183" t="str">
        <f t="shared" si="31"/>
        <v/>
      </c>
      <c r="AN102" s="183" t="str">
        <f t="shared" si="32"/>
        <v/>
      </c>
      <c r="AO102" s="184">
        <f t="shared" si="33"/>
        <v>0</v>
      </c>
      <c r="AP102" s="184">
        <f t="shared" si="34"/>
        <v>0</v>
      </c>
      <c r="AQ102" s="608" t="str">
        <f t="shared" si="35"/>
        <v/>
      </c>
      <c r="AR102" s="185" t="str">
        <f>IF(COUNTIF(K102:Q102,"F")&gt;0,"",IF(AQ102="PASS",'Statement of Marks'!HZ104,""))</f>
        <v/>
      </c>
      <c r="AS102" s="185" t="str">
        <f>IF(AQ102="PASS",'Statement of Marks'!IA104,"")</f>
        <v/>
      </c>
    </row>
    <row r="103" spans="1:45">
      <c r="A103" s="169">
        <f>IF('Statement of Marks'!A105="","",'Statement of Marks'!A105)</f>
        <v>99</v>
      </c>
      <c r="B103" s="169" t="str">
        <f>IF('Statement of Marks'!B105="","",'Statement of Marks'!B105)</f>
        <v/>
      </c>
      <c r="C103" s="169" t="str">
        <f>IF('Statement of Marks'!D105="","",'Statement of Marks'!D105)</f>
        <v/>
      </c>
      <c r="D103" s="170" t="str">
        <f>IF('Statement of Marks'!E105="","",'Statement of Marks'!E105)</f>
        <v/>
      </c>
      <c r="E103" s="171" t="str">
        <f>IF('Statement of Marks'!F105="","",'Statement of Marks'!F105)</f>
        <v/>
      </c>
      <c r="F103" s="171" t="str">
        <f>IF('Statement of Marks'!G105="","",'Statement of Marks'!G105)</f>
        <v/>
      </c>
      <c r="G103" s="171" t="str">
        <f>IF('Statement of Marks'!H105="","",'Statement of Marks'!H105)</f>
        <v/>
      </c>
      <c r="H103" s="172" t="str">
        <f>IF('Statement of Marks'!HS105="","",'Statement of Marks'!HS105)</f>
        <v/>
      </c>
      <c r="I103" s="172" t="str">
        <f>IF('Statement of Marks'!HV105="","",'Statement of Marks'!HV105)</f>
        <v/>
      </c>
      <c r="J103" s="173" t="str">
        <f>IF('Statement of Marks'!HU105="","",'Statement of Marks'!HU105)</f>
        <v/>
      </c>
      <c r="K103" s="181" t="str">
        <f>'Statement of Marks'!GN105</f>
        <v/>
      </c>
      <c r="L103" s="181" t="str">
        <f>'Statement of Marks'!GQ105</f>
        <v/>
      </c>
      <c r="M103" s="181" t="str">
        <f>'Statement of Marks'!GT105</f>
        <v/>
      </c>
      <c r="N103" s="181" t="str">
        <f>'Statement of Marks'!HB105</f>
        <v/>
      </c>
      <c r="O103" s="181" t="str">
        <f>'Statement of Marks'!HE105</f>
        <v/>
      </c>
      <c r="P103" s="181" t="str">
        <f>'Statement of Marks'!HH105</f>
        <v/>
      </c>
      <c r="Q103" s="181" t="str">
        <f>'Statement of Marks'!HK105</f>
        <v/>
      </c>
      <c r="R103" s="173" t="str">
        <f>IF(COUNTIF(K103:Q103,"F")&gt;0,"",CONCATENATE('Statement of Marks'!HO105,'Statement of Marks'!HQ105))</f>
        <v xml:space="preserve">            </v>
      </c>
      <c r="S103" s="174">
        <f t="shared" si="18"/>
        <v>0</v>
      </c>
      <c r="T103" s="5"/>
      <c r="U103" s="182" t="str">
        <f t="shared" si="19"/>
        <v/>
      </c>
      <c r="V103" s="182" t="str">
        <f t="shared" si="20"/>
        <v/>
      </c>
      <c r="W103" s="5"/>
      <c r="X103" s="182" t="str">
        <f t="shared" si="21"/>
        <v/>
      </c>
      <c r="Y103" s="182" t="str">
        <f t="shared" si="22"/>
        <v/>
      </c>
      <c r="Z103" s="5"/>
      <c r="AA103" s="182" t="str">
        <f t="shared" si="23"/>
        <v/>
      </c>
      <c r="AB103" s="183" t="str">
        <f t="shared" si="24"/>
        <v/>
      </c>
      <c r="AC103" s="5"/>
      <c r="AD103" s="182" t="str">
        <f t="shared" si="25"/>
        <v/>
      </c>
      <c r="AE103" s="183" t="str">
        <f t="shared" si="26"/>
        <v/>
      </c>
      <c r="AF103" s="5"/>
      <c r="AG103" s="182" t="str">
        <f t="shared" si="27"/>
        <v/>
      </c>
      <c r="AH103" s="183" t="str">
        <f t="shared" si="28"/>
        <v/>
      </c>
      <c r="AI103" s="5"/>
      <c r="AJ103" s="183" t="str">
        <f t="shared" si="29"/>
        <v/>
      </c>
      <c r="AK103" s="183" t="str">
        <f t="shared" si="30"/>
        <v/>
      </c>
      <c r="AL103" s="5"/>
      <c r="AM103" s="183" t="str">
        <f t="shared" si="31"/>
        <v/>
      </c>
      <c r="AN103" s="183" t="str">
        <f t="shared" si="32"/>
        <v/>
      </c>
      <c r="AO103" s="184">
        <f t="shared" si="33"/>
        <v>0</v>
      </c>
      <c r="AP103" s="184">
        <f t="shared" si="34"/>
        <v>0</v>
      </c>
      <c r="AQ103" s="608" t="str">
        <f t="shared" si="35"/>
        <v/>
      </c>
      <c r="AR103" s="185" t="str">
        <f>IF(COUNTIF(K103:Q103,"F")&gt;0,"",IF(AQ103="PASS",'Statement of Marks'!HZ105,""))</f>
        <v/>
      </c>
      <c r="AS103" s="185" t="str">
        <f>IF(AQ103="PASS",'Statement of Marks'!IA105,"")</f>
        <v/>
      </c>
    </row>
    <row r="104" spans="1:45">
      <c r="A104" s="169">
        <f>IF('Statement of Marks'!A106="","",'Statement of Marks'!A106)</f>
        <v>100</v>
      </c>
      <c r="B104" s="169" t="str">
        <f>IF('Statement of Marks'!B106="","",'Statement of Marks'!B106)</f>
        <v/>
      </c>
      <c r="C104" s="169" t="str">
        <f>IF('Statement of Marks'!D106="","",'Statement of Marks'!D106)</f>
        <v/>
      </c>
      <c r="D104" s="170" t="str">
        <f>IF('Statement of Marks'!E106="","",'Statement of Marks'!E106)</f>
        <v/>
      </c>
      <c r="E104" s="171" t="str">
        <f>IF('Statement of Marks'!F106="","",'Statement of Marks'!F106)</f>
        <v/>
      </c>
      <c r="F104" s="171" t="str">
        <f>IF('Statement of Marks'!G106="","",'Statement of Marks'!G106)</f>
        <v/>
      </c>
      <c r="G104" s="171" t="str">
        <f>IF('Statement of Marks'!H106="","",'Statement of Marks'!H106)</f>
        <v/>
      </c>
      <c r="H104" s="172" t="str">
        <f>IF('Statement of Marks'!HS106="","",'Statement of Marks'!HS106)</f>
        <v/>
      </c>
      <c r="I104" s="172" t="str">
        <f>IF('Statement of Marks'!HV106="","",'Statement of Marks'!HV106)</f>
        <v/>
      </c>
      <c r="J104" s="173" t="str">
        <f>IF('Statement of Marks'!HU106="","",'Statement of Marks'!HU106)</f>
        <v/>
      </c>
      <c r="K104" s="181" t="str">
        <f>'Statement of Marks'!GN106</f>
        <v/>
      </c>
      <c r="L104" s="181" t="str">
        <f>'Statement of Marks'!GQ106</f>
        <v/>
      </c>
      <c r="M104" s="181" t="str">
        <f>'Statement of Marks'!GT106</f>
        <v/>
      </c>
      <c r="N104" s="181" t="str">
        <f>'Statement of Marks'!HB106</f>
        <v/>
      </c>
      <c r="O104" s="181" t="str">
        <f>'Statement of Marks'!HE106</f>
        <v/>
      </c>
      <c r="P104" s="181" t="str">
        <f>'Statement of Marks'!HH106</f>
        <v/>
      </c>
      <c r="Q104" s="181" t="str">
        <f>'Statement of Marks'!HK106</f>
        <v/>
      </c>
      <c r="R104" s="173" t="str">
        <f>IF(COUNTIF(K104:Q104,"F")&gt;0,"",CONCATENATE('Statement of Marks'!HO106,'Statement of Marks'!HQ106))</f>
        <v xml:space="preserve">            </v>
      </c>
      <c r="S104" s="174">
        <f t="shared" si="18"/>
        <v>0</v>
      </c>
      <c r="T104" s="5"/>
      <c r="U104" s="182" t="str">
        <f t="shared" si="19"/>
        <v/>
      </c>
      <c r="V104" s="182" t="str">
        <f t="shared" si="20"/>
        <v/>
      </c>
      <c r="W104" s="5"/>
      <c r="X104" s="182" t="str">
        <f t="shared" si="21"/>
        <v/>
      </c>
      <c r="Y104" s="182" t="str">
        <f t="shared" si="22"/>
        <v/>
      </c>
      <c r="Z104" s="5"/>
      <c r="AA104" s="182" t="str">
        <f t="shared" si="23"/>
        <v/>
      </c>
      <c r="AB104" s="183" t="str">
        <f t="shared" si="24"/>
        <v/>
      </c>
      <c r="AC104" s="5"/>
      <c r="AD104" s="182" t="str">
        <f t="shared" si="25"/>
        <v/>
      </c>
      <c r="AE104" s="183" t="str">
        <f t="shared" si="26"/>
        <v/>
      </c>
      <c r="AF104" s="5"/>
      <c r="AG104" s="182" t="str">
        <f t="shared" si="27"/>
        <v/>
      </c>
      <c r="AH104" s="183" t="str">
        <f t="shared" si="28"/>
        <v/>
      </c>
      <c r="AI104" s="5"/>
      <c r="AJ104" s="183" t="str">
        <f t="shared" si="29"/>
        <v/>
      </c>
      <c r="AK104" s="183" t="str">
        <f t="shared" si="30"/>
        <v/>
      </c>
      <c r="AL104" s="5"/>
      <c r="AM104" s="183" t="str">
        <f t="shared" si="31"/>
        <v/>
      </c>
      <c r="AN104" s="183" t="str">
        <f t="shared" si="32"/>
        <v/>
      </c>
      <c r="AO104" s="184">
        <f t="shared" si="33"/>
        <v>0</v>
      </c>
      <c r="AP104" s="184">
        <f t="shared" si="34"/>
        <v>0</v>
      </c>
      <c r="AQ104" s="608" t="str">
        <f t="shared" si="35"/>
        <v/>
      </c>
      <c r="AR104" s="185" t="str">
        <f>IF(COUNTIF(K104:Q104,"F")&gt;0,"",IF(AQ104="PASS",'Statement of Marks'!HZ106,""))</f>
        <v/>
      </c>
      <c r="AS104" s="185" t="str">
        <f>IF(AQ104="PASS",'Statement of Marks'!IA106,"")</f>
        <v/>
      </c>
    </row>
    <row r="105" spans="1:45">
      <c r="A105" s="169">
        <f>IF('Statement of Marks'!A107="","",'Statement of Marks'!A107)</f>
        <v>101</v>
      </c>
      <c r="B105" s="169" t="str">
        <f>IF('Statement of Marks'!B107="","",'Statement of Marks'!B107)</f>
        <v/>
      </c>
      <c r="C105" s="169" t="str">
        <f>IF('Statement of Marks'!D107="","",'Statement of Marks'!D107)</f>
        <v/>
      </c>
      <c r="D105" s="170" t="str">
        <f>IF('Statement of Marks'!E107="","",'Statement of Marks'!E107)</f>
        <v/>
      </c>
      <c r="E105" s="171" t="str">
        <f>IF('Statement of Marks'!F107="","",'Statement of Marks'!F107)</f>
        <v/>
      </c>
      <c r="F105" s="171" t="str">
        <f>IF('Statement of Marks'!G107="","",'Statement of Marks'!G107)</f>
        <v/>
      </c>
      <c r="G105" s="171" t="str">
        <f>IF('Statement of Marks'!H107="","",'Statement of Marks'!H107)</f>
        <v/>
      </c>
      <c r="H105" s="172" t="str">
        <f>IF('Statement of Marks'!HS107="","",'Statement of Marks'!HS107)</f>
        <v/>
      </c>
      <c r="I105" s="172" t="str">
        <f>IF('Statement of Marks'!HV107="","",'Statement of Marks'!HV107)</f>
        <v/>
      </c>
      <c r="J105" s="173" t="str">
        <f>IF('Statement of Marks'!HU107="","",'Statement of Marks'!HU107)</f>
        <v/>
      </c>
      <c r="K105" s="181" t="str">
        <f>'Statement of Marks'!GN107</f>
        <v/>
      </c>
      <c r="L105" s="181" t="str">
        <f>'Statement of Marks'!GQ107</f>
        <v/>
      </c>
      <c r="M105" s="181" t="str">
        <f>'Statement of Marks'!GT107</f>
        <v/>
      </c>
      <c r="N105" s="181" t="str">
        <f>'Statement of Marks'!HB107</f>
        <v/>
      </c>
      <c r="O105" s="181" t="str">
        <f>'Statement of Marks'!HE107</f>
        <v/>
      </c>
      <c r="P105" s="181" t="str">
        <f>'Statement of Marks'!HH107</f>
        <v/>
      </c>
      <c r="Q105" s="181" t="str">
        <f>'Statement of Marks'!HK107</f>
        <v/>
      </c>
      <c r="R105" s="173" t="str">
        <f>IF(COUNTIF(K105:Q105,"F")&gt;0,"",CONCATENATE('Statement of Marks'!HO107,'Statement of Marks'!HQ107))</f>
        <v xml:space="preserve">            </v>
      </c>
      <c r="S105" s="174">
        <f t="shared" si="18"/>
        <v>0</v>
      </c>
      <c r="T105" s="5"/>
      <c r="U105" s="182" t="str">
        <f t="shared" si="19"/>
        <v/>
      </c>
      <c r="V105" s="182" t="str">
        <f t="shared" si="20"/>
        <v/>
      </c>
      <c r="W105" s="5"/>
      <c r="X105" s="182" t="str">
        <f t="shared" si="21"/>
        <v/>
      </c>
      <c r="Y105" s="182" t="str">
        <f t="shared" si="22"/>
        <v/>
      </c>
      <c r="Z105" s="5"/>
      <c r="AA105" s="182" t="str">
        <f t="shared" si="23"/>
        <v/>
      </c>
      <c r="AB105" s="183" t="str">
        <f t="shared" si="24"/>
        <v/>
      </c>
      <c r="AC105" s="5"/>
      <c r="AD105" s="182" t="str">
        <f t="shared" si="25"/>
        <v/>
      </c>
      <c r="AE105" s="183" t="str">
        <f t="shared" si="26"/>
        <v/>
      </c>
      <c r="AF105" s="5"/>
      <c r="AG105" s="182" t="str">
        <f t="shared" si="27"/>
        <v/>
      </c>
      <c r="AH105" s="183" t="str">
        <f t="shared" si="28"/>
        <v/>
      </c>
      <c r="AI105" s="5"/>
      <c r="AJ105" s="183" t="str">
        <f t="shared" si="29"/>
        <v/>
      </c>
      <c r="AK105" s="183" t="str">
        <f t="shared" si="30"/>
        <v/>
      </c>
      <c r="AL105" s="5"/>
      <c r="AM105" s="183" t="str">
        <f t="shared" si="31"/>
        <v/>
      </c>
      <c r="AN105" s="183" t="str">
        <f t="shared" si="32"/>
        <v/>
      </c>
      <c r="AO105" s="184">
        <f t="shared" si="33"/>
        <v>0</v>
      </c>
      <c r="AP105" s="184">
        <f t="shared" si="34"/>
        <v>0</v>
      </c>
      <c r="AQ105" s="608" t="str">
        <f t="shared" si="35"/>
        <v/>
      </c>
      <c r="AR105" s="185" t="str">
        <f>IF(COUNTIF(K105:Q105,"F")&gt;0,"",IF(AQ105="PASS",'Statement of Marks'!HZ107,""))</f>
        <v/>
      </c>
      <c r="AS105" s="185" t="str">
        <f>IF(AQ105="PASS",'Statement of Marks'!IA107,"")</f>
        <v/>
      </c>
    </row>
    <row r="106" spans="1:45">
      <c r="A106" s="169">
        <f>IF('Statement of Marks'!A108="","",'Statement of Marks'!A108)</f>
        <v>102</v>
      </c>
      <c r="B106" s="169" t="str">
        <f>IF('Statement of Marks'!B108="","",'Statement of Marks'!B108)</f>
        <v/>
      </c>
      <c r="C106" s="169" t="str">
        <f>IF('Statement of Marks'!D108="","",'Statement of Marks'!D108)</f>
        <v/>
      </c>
      <c r="D106" s="170" t="str">
        <f>IF('Statement of Marks'!E108="","",'Statement of Marks'!E108)</f>
        <v/>
      </c>
      <c r="E106" s="171" t="str">
        <f>IF('Statement of Marks'!F108="","",'Statement of Marks'!F108)</f>
        <v/>
      </c>
      <c r="F106" s="171" t="str">
        <f>IF('Statement of Marks'!G108="","",'Statement of Marks'!G108)</f>
        <v/>
      </c>
      <c r="G106" s="171" t="str">
        <f>IF('Statement of Marks'!H108="","",'Statement of Marks'!H108)</f>
        <v/>
      </c>
      <c r="H106" s="172" t="str">
        <f>IF('Statement of Marks'!HS108="","",'Statement of Marks'!HS108)</f>
        <v/>
      </c>
      <c r="I106" s="172" t="str">
        <f>IF('Statement of Marks'!HV108="","",'Statement of Marks'!HV108)</f>
        <v/>
      </c>
      <c r="J106" s="173" t="str">
        <f>IF('Statement of Marks'!HU108="","",'Statement of Marks'!HU108)</f>
        <v/>
      </c>
      <c r="K106" s="181" t="str">
        <f>'Statement of Marks'!GN108</f>
        <v/>
      </c>
      <c r="L106" s="181" t="str">
        <f>'Statement of Marks'!GQ108</f>
        <v/>
      </c>
      <c r="M106" s="181" t="str">
        <f>'Statement of Marks'!GT108</f>
        <v/>
      </c>
      <c r="N106" s="181" t="str">
        <f>'Statement of Marks'!HB108</f>
        <v/>
      </c>
      <c r="O106" s="181" t="str">
        <f>'Statement of Marks'!HE108</f>
        <v/>
      </c>
      <c r="P106" s="181" t="str">
        <f>'Statement of Marks'!HH108</f>
        <v/>
      </c>
      <c r="Q106" s="181" t="str">
        <f>'Statement of Marks'!HK108</f>
        <v/>
      </c>
      <c r="R106" s="173" t="str">
        <f>IF(COUNTIF(K106:Q106,"F")&gt;0,"",CONCATENATE('Statement of Marks'!HO108,'Statement of Marks'!HQ108))</f>
        <v xml:space="preserve">            </v>
      </c>
      <c r="S106" s="174">
        <f t="shared" si="18"/>
        <v>0</v>
      </c>
      <c r="T106" s="5"/>
      <c r="U106" s="182" t="str">
        <f t="shared" si="19"/>
        <v/>
      </c>
      <c r="V106" s="182" t="str">
        <f t="shared" si="20"/>
        <v/>
      </c>
      <c r="W106" s="5"/>
      <c r="X106" s="182" t="str">
        <f t="shared" si="21"/>
        <v/>
      </c>
      <c r="Y106" s="182" t="str">
        <f t="shared" si="22"/>
        <v/>
      </c>
      <c r="Z106" s="5"/>
      <c r="AA106" s="182" t="str">
        <f t="shared" si="23"/>
        <v/>
      </c>
      <c r="AB106" s="183" t="str">
        <f t="shared" si="24"/>
        <v/>
      </c>
      <c r="AC106" s="5"/>
      <c r="AD106" s="182" t="str">
        <f t="shared" si="25"/>
        <v/>
      </c>
      <c r="AE106" s="183" t="str">
        <f t="shared" si="26"/>
        <v/>
      </c>
      <c r="AF106" s="5"/>
      <c r="AG106" s="182" t="str">
        <f t="shared" si="27"/>
        <v/>
      </c>
      <c r="AH106" s="183" t="str">
        <f t="shared" si="28"/>
        <v/>
      </c>
      <c r="AI106" s="5"/>
      <c r="AJ106" s="183" t="str">
        <f t="shared" si="29"/>
        <v/>
      </c>
      <c r="AK106" s="183" t="str">
        <f t="shared" si="30"/>
        <v/>
      </c>
      <c r="AL106" s="5"/>
      <c r="AM106" s="183" t="str">
        <f t="shared" si="31"/>
        <v/>
      </c>
      <c r="AN106" s="183" t="str">
        <f t="shared" si="32"/>
        <v/>
      </c>
      <c r="AO106" s="184">
        <f t="shared" si="33"/>
        <v>0</v>
      </c>
      <c r="AP106" s="184">
        <f t="shared" si="34"/>
        <v>0</v>
      </c>
      <c r="AQ106" s="608" t="str">
        <f t="shared" si="35"/>
        <v/>
      </c>
      <c r="AR106" s="185" t="str">
        <f>IF(COUNTIF(K106:Q106,"F")&gt;0,"",IF(AQ106="PASS",'Statement of Marks'!HZ108,""))</f>
        <v/>
      </c>
      <c r="AS106" s="185" t="str">
        <f>IF(AQ106="PASS",'Statement of Marks'!IA108,"")</f>
        <v/>
      </c>
    </row>
    <row r="107" spans="1:45">
      <c r="A107" s="169">
        <f>IF('Statement of Marks'!A109="","",'Statement of Marks'!A109)</f>
        <v>103</v>
      </c>
      <c r="B107" s="169" t="str">
        <f>IF('Statement of Marks'!B109="","",'Statement of Marks'!B109)</f>
        <v/>
      </c>
      <c r="C107" s="169" t="str">
        <f>IF('Statement of Marks'!D109="","",'Statement of Marks'!D109)</f>
        <v/>
      </c>
      <c r="D107" s="170" t="str">
        <f>IF('Statement of Marks'!E109="","",'Statement of Marks'!E109)</f>
        <v/>
      </c>
      <c r="E107" s="171" t="str">
        <f>IF('Statement of Marks'!F109="","",'Statement of Marks'!F109)</f>
        <v/>
      </c>
      <c r="F107" s="171" t="str">
        <f>IF('Statement of Marks'!G109="","",'Statement of Marks'!G109)</f>
        <v/>
      </c>
      <c r="G107" s="171" t="str">
        <f>IF('Statement of Marks'!H109="","",'Statement of Marks'!H109)</f>
        <v/>
      </c>
      <c r="H107" s="172" t="str">
        <f>IF('Statement of Marks'!HS109="","",'Statement of Marks'!HS109)</f>
        <v/>
      </c>
      <c r="I107" s="172" t="str">
        <f>IF('Statement of Marks'!HV109="","",'Statement of Marks'!HV109)</f>
        <v/>
      </c>
      <c r="J107" s="173" t="str">
        <f>IF('Statement of Marks'!HU109="","",'Statement of Marks'!HU109)</f>
        <v/>
      </c>
      <c r="K107" s="181" t="str">
        <f>'Statement of Marks'!GN109</f>
        <v/>
      </c>
      <c r="L107" s="181" t="str">
        <f>'Statement of Marks'!GQ109</f>
        <v/>
      </c>
      <c r="M107" s="181" t="str">
        <f>'Statement of Marks'!GT109</f>
        <v/>
      </c>
      <c r="N107" s="181" t="str">
        <f>'Statement of Marks'!HB109</f>
        <v/>
      </c>
      <c r="O107" s="181" t="str">
        <f>'Statement of Marks'!HE109</f>
        <v/>
      </c>
      <c r="P107" s="181" t="str">
        <f>'Statement of Marks'!HH109</f>
        <v/>
      </c>
      <c r="Q107" s="181" t="str">
        <f>'Statement of Marks'!HK109</f>
        <v/>
      </c>
      <c r="R107" s="173" t="str">
        <f>IF(COUNTIF(K107:Q107,"F")&gt;0,"",CONCATENATE('Statement of Marks'!HO109,'Statement of Marks'!HQ109))</f>
        <v xml:space="preserve">            </v>
      </c>
      <c r="S107" s="174">
        <f t="shared" si="18"/>
        <v>0</v>
      </c>
      <c r="T107" s="5"/>
      <c r="U107" s="182" t="str">
        <f t="shared" si="19"/>
        <v/>
      </c>
      <c r="V107" s="182" t="str">
        <f t="shared" si="20"/>
        <v/>
      </c>
      <c r="W107" s="5"/>
      <c r="X107" s="182" t="str">
        <f t="shared" si="21"/>
        <v/>
      </c>
      <c r="Y107" s="182" t="str">
        <f t="shared" si="22"/>
        <v/>
      </c>
      <c r="Z107" s="5"/>
      <c r="AA107" s="182" t="str">
        <f t="shared" si="23"/>
        <v/>
      </c>
      <c r="AB107" s="183" t="str">
        <f t="shared" si="24"/>
        <v/>
      </c>
      <c r="AC107" s="5"/>
      <c r="AD107" s="182" t="str">
        <f t="shared" si="25"/>
        <v/>
      </c>
      <c r="AE107" s="183" t="str">
        <f t="shared" si="26"/>
        <v/>
      </c>
      <c r="AF107" s="5"/>
      <c r="AG107" s="182" t="str">
        <f t="shared" si="27"/>
        <v/>
      </c>
      <c r="AH107" s="183" t="str">
        <f t="shared" si="28"/>
        <v/>
      </c>
      <c r="AI107" s="5"/>
      <c r="AJ107" s="183" t="str">
        <f t="shared" si="29"/>
        <v/>
      </c>
      <c r="AK107" s="183" t="str">
        <f t="shared" si="30"/>
        <v/>
      </c>
      <c r="AL107" s="5"/>
      <c r="AM107" s="183" t="str">
        <f t="shared" si="31"/>
        <v/>
      </c>
      <c r="AN107" s="183" t="str">
        <f t="shared" si="32"/>
        <v/>
      </c>
      <c r="AO107" s="184">
        <f t="shared" si="33"/>
        <v>0</v>
      </c>
      <c r="AP107" s="184">
        <f t="shared" si="34"/>
        <v>0</v>
      </c>
      <c r="AQ107" s="608" t="str">
        <f t="shared" si="35"/>
        <v/>
      </c>
      <c r="AR107" s="185" t="str">
        <f>IF(COUNTIF(K107:Q107,"F")&gt;0,"",IF(AQ107="PASS",'Statement of Marks'!HZ109,""))</f>
        <v/>
      </c>
      <c r="AS107" s="185" t="str">
        <f>IF(AQ107="PASS",'Statement of Marks'!IA109,"")</f>
        <v/>
      </c>
    </row>
    <row r="108" spans="1:45">
      <c r="A108" s="169">
        <f>IF('Statement of Marks'!A110="","",'Statement of Marks'!A110)</f>
        <v>104</v>
      </c>
      <c r="B108" s="169" t="str">
        <f>IF('Statement of Marks'!B110="","",'Statement of Marks'!B110)</f>
        <v/>
      </c>
      <c r="C108" s="169" t="str">
        <f>IF('Statement of Marks'!D110="","",'Statement of Marks'!D110)</f>
        <v/>
      </c>
      <c r="D108" s="170" t="str">
        <f>IF('Statement of Marks'!E110="","",'Statement of Marks'!E110)</f>
        <v/>
      </c>
      <c r="E108" s="171" t="str">
        <f>IF('Statement of Marks'!F110="","",'Statement of Marks'!F110)</f>
        <v/>
      </c>
      <c r="F108" s="171" t="str">
        <f>IF('Statement of Marks'!G110="","",'Statement of Marks'!G110)</f>
        <v/>
      </c>
      <c r="G108" s="171" t="str">
        <f>IF('Statement of Marks'!H110="","",'Statement of Marks'!H110)</f>
        <v/>
      </c>
      <c r="H108" s="172" t="str">
        <f>IF('Statement of Marks'!HS110="","",'Statement of Marks'!HS110)</f>
        <v/>
      </c>
      <c r="I108" s="172" t="str">
        <f>IF('Statement of Marks'!HV110="","",'Statement of Marks'!HV110)</f>
        <v/>
      </c>
      <c r="J108" s="173" t="str">
        <f>IF('Statement of Marks'!HU110="","",'Statement of Marks'!HU110)</f>
        <v/>
      </c>
      <c r="K108" s="181" t="str">
        <f>'Statement of Marks'!GN110</f>
        <v/>
      </c>
      <c r="L108" s="181" t="str">
        <f>'Statement of Marks'!GQ110</f>
        <v/>
      </c>
      <c r="M108" s="181" t="str">
        <f>'Statement of Marks'!GT110</f>
        <v/>
      </c>
      <c r="N108" s="181" t="str">
        <f>'Statement of Marks'!HB110</f>
        <v/>
      </c>
      <c r="O108" s="181" t="str">
        <f>'Statement of Marks'!HE110</f>
        <v/>
      </c>
      <c r="P108" s="181" t="str">
        <f>'Statement of Marks'!HH110</f>
        <v/>
      </c>
      <c r="Q108" s="181" t="str">
        <f>'Statement of Marks'!HK110</f>
        <v/>
      </c>
      <c r="R108" s="173" t="str">
        <f>IF(COUNTIF(K108:Q108,"F")&gt;0,"",CONCATENATE('Statement of Marks'!HO110,'Statement of Marks'!HQ110))</f>
        <v xml:space="preserve">            </v>
      </c>
      <c r="S108" s="174">
        <f t="shared" si="18"/>
        <v>0</v>
      </c>
      <c r="T108" s="5"/>
      <c r="U108" s="182" t="str">
        <f t="shared" si="19"/>
        <v/>
      </c>
      <c r="V108" s="182" t="str">
        <f t="shared" si="20"/>
        <v/>
      </c>
      <c r="W108" s="5"/>
      <c r="X108" s="182" t="str">
        <f t="shared" si="21"/>
        <v/>
      </c>
      <c r="Y108" s="182" t="str">
        <f t="shared" si="22"/>
        <v/>
      </c>
      <c r="Z108" s="5"/>
      <c r="AA108" s="182" t="str">
        <f t="shared" si="23"/>
        <v/>
      </c>
      <c r="AB108" s="183" t="str">
        <f t="shared" si="24"/>
        <v/>
      </c>
      <c r="AC108" s="5"/>
      <c r="AD108" s="182" t="str">
        <f t="shared" si="25"/>
        <v/>
      </c>
      <c r="AE108" s="183" t="str">
        <f t="shared" si="26"/>
        <v/>
      </c>
      <c r="AF108" s="5"/>
      <c r="AG108" s="182" t="str">
        <f t="shared" si="27"/>
        <v/>
      </c>
      <c r="AH108" s="183" t="str">
        <f t="shared" si="28"/>
        <v/>
      </c>
      <c r="AI108" s="5"/>
      <c r="AJ108" s="183" t="str">
        <f t="shared" si="29"/>
        <v/>
      </c>
      <c r="AK108" s="183" t="str">
        <f t="shared" si="30"/>
        <v/>
      </c>
      <c r="AL108" s="5"/>
      <c r="AM108" s="183" t="str">
        <f t="shared" si="31"/>
        <v/>
      </c>
      <c r="AN108" s="183" t="str">
        <f t="shared" si="32"/>
        <v/>
      </c>
      <c r="AO108" s="184">
        <f t="shared" si="33"/>
        <v>0</v>
      </c>
      <c r="AP108" s="184">
        <f t="shared" si="34"/>
        <v>0</v>
      </c>
      <c r="AQ108" s="608" t="str">
        <f t="shared" si="35"/>
        <v/>
      </c>
      <c r="AR108" s="185" t="str">
        <f>IF(COUNTIF(K108:Q108,"F")&gt;0,"",IF(AQ108="PASS",'Statement of Marks'!HZ110,""))</f>
        <v/>
      </c>
      <c r="AS108" s="185" t="str">
        <f>IF(AQ108="PASS",'Statement of Marks'!IA110,"")</f>
        <v/>
      </c>
    </row>
    <row r="109" spans="1:45">
      <c r="A109" s="169">
        <f>IF('Statement of Marks'!A111="","",'Statement of Marks'!A111)</f>
        <v>105</v>
      </c>
      <c r="B109" s="169" t="str">
        <f>IF('Statement of Marks'!B111="","",'Statement of Marks'!B111)</f>
        <v/>
      </c>
      <c r="C109" s="169" t="str">
        <f>IF('Statement of Marks'!D111="","",'Statement of Marks'!D111)</f>
        <v/>
      </c>
      <c r="D109" s="170" t="str">
        <f>IF('Statement of Marks'!E111="","",'Statement of Marks'!E111)</f>
        <v/>
      </c>
      <c r="E109" s="171" t="str">
        <f>IF('Statement of Marks'!F111="","",'Statement of Marks'!F111)</f>
        <v/>
      </c>
      <c r="F109" s="171" t="str">
        <f>IF('Statement of Marks'!G111="","",'Statement of Marks'!G111)</f>
        <v/>
      </c>
      <c r="G109" s="171" t="str">
        <f>IF('Statement of Marks'!H111="","",'Statement of Marks'!H111)</f>
        <v/>
      </c>
      <c r="H109" s="172" t="str">
        <f>IF('Statement of Marks'!HS111="","",'Statement of Marks'!HS111)</f>
        <v/>
      </c>
      <c r="I109" s="172" t="str">
        <f>IF('Statement of Marks'!HV111="","",'Statement of Marks'!HV111)</f>
        <v/>
      </c>
      <c r="J109" s="173" t="str">
        <f>IF('Statement of Marks'!HU111="","",'Statement of Marks'!HU111)</f>
        <v/>
      </c>
      <c r="K109" s="181" t="str">
        <f>'Statement of Marks'!GN111</f>
        <v/>
      </c>
      <c r="L109" s="181" t="str">
        <f>'Statement of Marks'!GQ111</f>
        <v/>
      </c>
      <c r="M109" s="181" t="str">
        <f>'Statement of Marks'!GT111</f>
        <v/>
      </c>
      <c r="N109" s="181" t="str">
        <f>'Statement of Marks'!HB111</f>
        <v/>
      </c>
      <c r="O109" s="181" t="str">
        <f>'Statement of Marks'!HE111</f>
        <v/>
      </c>
      <c r="P109" s="181" t="str">
        <f>'Statement of Marks'!HH111</f>
        <v/>
      </c>
      <c r="Q109" s="181" t="str">
        <f>'Statement of Marks'!HK111</f>
        <v/>
      </c>
      <c r="R109" s="173" t="str">
        <f>IF(COUNTIF(K109:Q109,"F")&gt;0,"",CONCATENATE('Statement of Marks'!HO111,'Statement of Marks'!HQ111))</f>
        <v xml:space="preserve">            </v>
      </c>
      <c r="S109" s="174">
        <f t="shared" si="18"/>
        <v>0</v>
      </c>
      <c r="T109" s="5"/>
      <c r="U109" s="182" t="str">
        <f t="shared" si="19"/>
        <v/>
      </c>
      <c r="V109" s="182" t="str">
        <f t="shared" si="20"/>
        <v/>
      </c>
      <c r="W109" s="5"/>
      <c r="X109" s="182" t="str">
        <f t="shared" si="21"/>
        <v/>
      </c>
      <c r="Y109" s="182" t="str">
        <f t="shared" si="22"/>
        <v/>
      </c>
      <c r="Z109" s="5"/>
      <c r="AA109" s="182" t="str">
        <f t="shared" si="23"/>
        <v/>
      </c>
      <c r="AB109" s="183" t="str">
        <f t="shared" si="24"/>
        <v/>
      </c>
      <c r="AC109" s="5"/>
      <c r="AD109" s="182" t="str">
        <f t="shared" si="25"/>
        <v/>
      </c>
      <c r="AE109" s="183" t="str">
        <f t="shared" si="26"/>
        <v/>
      </c>
      <c r="AF109" s="5"/>
      <c r="AG109" s="182" t="str">
        <f t="shared" si="27"/>
        <v/>
      </c>
      <c r="AH109" s="183" t="str">
        <f t="shared" si="28"/>
        <v/>
      </c>
      <c r="AI109" s="5"/>
      <c r="AJ109" s="183" t="str">
        <f t="shared" si="29"/>
        <v/>
      </c>
      <c r="AK109" s="183" t="str">
        <f t="shared" si="30"/>
        <v/>
      </c>
      <c r="AL109" s="5"/>
      <c r="AM109" s="183" t="str">
        <f t="shared" si="31"/>
        <v/>
      </c>
      <c r="AN109" s="183" t="str">
        <f t="shared" si="32"/>
        <v/>
      </c>
      <c r="AO109" s="184">
        <f t="shared" si="33"/>
        <v>0</v>
      </c>
      <c r="AP109" s="184">
        <f t="shared" si="34"/>
        <v>0</v>
      </c>
      <c r="AQ109" s="608" t="str">
        <f t="shared" si="35"/>
        <v/>
      </c>
      <c r="AR109" s="185" t="str">
        <f>IF(COUNTIF(K109:Q109,"F")&gt;0,"",IF(AQ109="PASS",'Statement of Marks'!HZ111,""))</f>
        <v/>
      </c>
      <c r="AS109" s="185" t="str">
        <f>IF(AQ109="PASS",'Statement of Marks'!IA111,"")</f>
        <v/>
      </c>
    </row>
    <row r="110" spans="1:45">
      <c r="A110" s="169">
        <f>IF('Statement of Marks'!A112="","",'Statement of Marks'!A112)</f>
        <v>106</v>
      </c>
      <c r="B110" s="169" t="str">
        <f>IF('Statement of Marks'!B112="","",'Statement of Marks'!B112)</f>
        <v/>
      </c>
      <c r="C110" s="169" t="str">
        <f>IF('Statement of Marks'!D112="","",'Statement of Marks'!D112)</f>
        <v/>
      </c>
      <c r="D110" s="170" t="str">
        <f>IF('Statement of Marks'!E112="","",'Statement of Marks'!E112)</f>
        <v/>
      </c>
      <c r="E110" s="171" t="str">
        <f>IF('Statement of Marks'!F112="","",'Statement of Marks'!F112)</f>
        <v/>
      </c>
      <c r="F110" s="171" t="str">
        <f>IF('Statement of Marks'!G112="","",'Statement of Marks'!G112)</f>
        <v/>
      </c>
      <c r="G110" s="171" t="str">
        <f>IF('Statement of Marks'!H112="","",'Statement of Marks'!H112)</f>
        <v/>
      </c>
      <c r="H110" s="172" t="str">
        <f>IF('Statement of Marks'!HS112="","",'Statement of Marks'!HS112)</f>
        <v/>
      </c>
      <c r="I110" s="172" t="str">
        <f>IF('Statement of Marks'!HV112="","",'Statement of Marks'!HV112)</f>
        <v/>
      </c>
      <c r="J110" s="173" t="str">
        <f>IF('Statement of Marks'!HU112="","",'Statement of Marks'!HU112)</f>
        <v/>
      </c>
      <c r="K110" s="181" t="str">
        <f>'Statement of Marks'!GN112</f>
        <v/>
      </c>
      <c r="L110" s="181" t="str">
        <f>'Statement of Marks'!GQ112</f>
        <v/>
      </c>
      <c r="M110" s="181" t="str">
        <f>'Statement of Marks'!GT112</f>
        <v/>
      </c>
      <c r="N110" s="181" t="str">
        <f>'Statement of Marks'!HB112</f>
        <v/>
      </c>
      <c r="O110" s="181" t="str">
        <f>'Statement of Marks'!HE112</f>
        <v/>
      </c>
      <c r="P110" s="181" t="str">
        <f>'Statement of Marks'!HH112</f>
        <v/>
      </c>
      <c r="Q110" s="181" t="str">
        <f>'Statement of Marks'!HK112</f>
        <v/>
      </c>
      <c r="R110" s="173" t="str">
        <f>IF(COUNTIF(K110:Q110,"F")&gt;0,"",CONCATENATE('Statement of Marks'!HO112,'Statement of Marks'!HQ112))</f>
        <v xml:space="preserve">            </v>
      </c>
      <c r="S110" s="174">
        <f t="shared" si="18"/>
        <v>0</v>
      </c>
      <c r="T110" s="5"/>
      <c r="U110" s="182" t="str">
        <f t="shared" si="19"/>
        <v/>
      </c>
      <c r="V110" s="182" t="str">
        <f t="shared" si="20"/>
        <v/>
      </c>
      <c r="W110" s="5"/>
      <c r="X110" s="182" t="str">
        <f t="shared" si="21"/>
        <v/>
      </c>
      <c r="Y110" s="182" t="str">
        <f t="shared" si="22"/>
        <v/>
      </c>
      <c r="Z110" s="5"/>
      <c r="AA110" s="182" t="str">
        <f t="shared" si="23"/>
        <v/>
      </c>
      <c r="AB110" s="183" t="str">
        <f t="shared" si="24"/>
        <v/>
      </c>
      <c r="AC110" s="5"/>
      <c r="AD110" s="182" t="str">
        <f t="shared" si="25"/>
        <v/>
      </c>
      <c r="AE110" s="183" t="str">
        <f t="shared" si="26"/>
        <v/>
      </c>
      <c r="AF110" s="5"/>
      <c r="AG110" s="182" t="str">
        <f t="shared" si="27"/>
        <v/>
      </c>
      <c r="AH110" s="183" t="str">
        <f t="shared" si="28"/>
        <v/>
      </c>
      <c r="AI110" s="5"/>
      <c r="AJ110" s="183" t="str">
        <f t="shared" si="29"/>
        <v/>
      </c>
      <c r="AK110" s="183" t="str">
        <f t="shared" si="30"/>
        <v/>
      </c>
      <c r="AL110" s="5"/>
      <c r="AM110" s="183" t="str">
        <f t="shared" si="31"/>
        <v/>
      </c>
      <c r="AN110" s="183" t="str">
        <f t="shared" si="32"/>
        <v/>
      </c>
      <c r="AO110" s="184">
        <f t="shared" si="33"/>
        <v>0</v>
      </c>
      <c r="AP110" s="184">
        <f t="shared" si="34"/>
        <v>0</v>
      </c>
      <c r="AQ110" s="608" t="str">
        <f t="shared" si="35"/>
        <v/>
      </c>
      <c r="AR110" s="185" t="str">
        <f>IF(COUNTIF(K110:Q110,"F")&gt;0,"",IF(AQ110="PASS",'Statement of Marks'!HZ112,""))</f>
        <v/>
      </c>
      <c r="AS110" s="185" t="str">
        <f>IF(AQ110="PASS",'Statement of Marks'!IA112,"")</f>
        <v/>
      </c>
    </row>
    <row r="111" spans="1:45">
      <c r="A111" s="169">
        <f>IF('Statement of Marks'!A113="","",'Statement of Marks'!A113)</f>
        <v>107</v>
      </c>
      <c r="B111" s="169" t="str">
        <f>IF('Statement of Marks'!B113="","",'Statement of Marks'!B113)</f>
        <v/>
      </c>
      <c r="C111" s="169" t="str">
        <f>IF('Statement of Marks'!D113="","",'Statement of Marks'!D113)</f>
        <v/>
      </c>
      <c r="D111" s="170" t="str">
        <f>IF('Statement of Marks'!E113="","",'Statement of Marks'!E113)</f>
        <v/>
      </c>
      <c r="E111" s="171" t="str">
        <f>IF('Statement of Marks'!F113="","",'Statement of Marks'!F113)</f>
        <v/>
      </c>
      <c r="F111" s="171" t="str">
        <f>IF('Statement of Marks'!G113="","",'Statement of Marks'!G113)</f>
        <v/>
      </c>
      <c r="G111" s="171" t="str">
        <f>IF('Statement of Marks'!H113="","",'Statement of Marks'!H113)</f>
        <v/>
      </c>
      <c r="H111" s="172" t="str">
        <f>IF('Statement of Marks'!HS113="","",'Statement of Marks'!HS113)</f>
        <v/>
      </c>
      <c r="I111" s="172" t="str">
        <f>IF('Statement of Marks'!HV113="","",'Statement of Marks'!HV113)</f>
        <v/>
      </c>
      <c r="J111" s="173" t="str">
        <f>IF('Statement of Marks'!HU113="","",'Statement of Marks'!HU113)</f>
        <v/>
      </c>
      <c r="K111" s="181" t="str">
        <f>'Statement of Marks'!GN113</f>
        <v/>
      </c>
      <c r="L111" s="181" t="str">
        <f>'Statement of Marks'!GQ113</f>
        <v/>
      </c>
      <c r="M111" s="181" t="str">
        <f>'Statement of Marks'!GT113</f>
        <v/>
      </c>
      <c r="N111" s="181" t="str">
        <f>'Statement of Marks'!HB113</f>
        <v/>
      </c>
      <c r="O111" s="181" t="str">
        <f>'Statement of Marks'!HE113</f>
        <v/>
      </c>
      <c r="P111" s="181" t="str">
        <f>'Statement of Marks'!HH113</f>
        <v/>
      </c>
      <c r="Q111" s="181" t="str">
        <f>'Statement of Marks'!HK113</f>
        <v/>
      </c>
      <c r="R111" s="173" t="str">
        <f>IF(COUNTIF(K111:Q111,"F")&gt;0,"",CONCATENATE('Statement of Marks'!HO113,'Statement of Marks'!HQ113))</f>
        <v xml:space="preserve">            </v>
      </c>
      <c r="S111" s="174">
        <f t="shared" si="18"/>
        <v>0</v>
      </c>
      <c r="T111" s="5"/>
      <c r="U111" s="182" t="str">
        <f t="shared" si="19"/>
        <v/>
      </c>
      <c r="V111" s="182" t="str">
        <f t="shared" si="20"/>
        <v/>
      </c>
      <c r="W111" s="5"/>
      <c r="X111" s="182" t="str">
        <f t="shared" si="21"/>
        <v/>
      </c>
      <c r="Y111" s="182" t="str">
        <f t="shared" si="22"/>
        <v/>
      </c>
      <c r="Z111" s="5"/>
      <c r="AA111" s="182" t="str">
        <f t="shared" si="23"/>
        <v/>
      </c>
      <c r="AB111" s="183" t="str">
        <f t="shared" si="24"/>
        <v/>
      </c>
      <c r="AC111" s="5"/>
      <c r="AD111" s="182" t="str">
        <f t="shared" si="25"/>
        <v/>
      </c>
      <c r="AE111" s="183" t="str">
        <f t="shared" si="26"/>
        <v/>
      </c>
      <c r="AF111" s="5"/>
      <c r="AG111" s="182" t="str">
        <f t="shared" si="27"/>
        <v/>
      </c>
      <c r="AH111" s="183" t="str">
        <f t="shared" si="28"/>
        <v/>
      </c>
      <c r="AI111" s="5"/>
      <c r="AJ111" s="183" t="str">
        <f t="shared" si="29"/>
        <v/>
      </c>
      <c r="AK111" s="183" t="str">
        <f t="shared" si="30"/>
        <v/>
      </c>
      <c r="AL111" s="5"/>
      <c r="AM111" s="183" t="str">
        <f t="shared" si="31"/>
        <v/>
      </c>
      <c r="AN111" s="183" t="str">
        <f t="shared" si="32"/>
        <v/>
      </c>
      <c r="AO111" s="184">
        <f t="shared" si="33"/>
        <v>0</v>
      </c>
      <c r="AP111" s="184">
        <f t="shared" si="34"/>
        <v>0</v>
      </c>
      <c r="AQ111" s="608" t="str">
        <f t="shared" si="35"/>
        <v/>
      </c>
      <c r="AR111" s="185" t="str">
        <f>IF(COUNTIF(K111:Q111,"F")&gt;0,"",IF(AQ111="PASS",'Statement of Marks'!HZ113,""))</f>
        <v/>
      </c>
      <c r="AS111" s="185" t="str">
        <f>IF(AQ111="PASS",'Statement of Marks'!IA113,"")</f>
        <v/>
      </c>
    </row>
    <row r="112" spans="1:45">
      <c r="A112" s="169">
        <f>IF('Statement of Marks'!A114="","",'Statement of Marks'!A114)</f>
        <v>108</v>
      </c>
      <c r="B112" s="169" t="str">
        <f>IF('Statement of Marks'!B114="","",'Statement of Marks'!B114)</f>
        <v/>
      </c>
      <c r="C112" s="169" t="str">
        <f>IF('Statement of Marks'!D114="","",'Statement of Marks'!D114)</f>
        <v/>
      </c>
      <c r="D112" s="170" t="str">
        <f>IF('Statement of Marks'!E114="","",'Statement of Marks'!E114)</f>
        <v/>
      </c>
      <c r="E112" s="171" t="str">
        <f>IF('Statement of Marks'!F114="","",'Statement of Marks'!F114)</f>
        <v/>
      </c>
      <c r="F112" s="171" t="str">
        <f>IF('Statement of Marks'!G114="","",'Statement of Marks'!G114)</f>
        <v/>
      </c>
      <c r="G112" s="171" t="str">
        <f>IF('Statement of Marks'!H114="","",'Statement of Marks'!H114)</f>
        <v/>
      </c>
      <c r="H112" s="172" t="str">
        <f>IF('Statement of Marks'!HS114="","",'Statement of Marks'!HS114)</f>
        <v/>
      </c>
      <c r="I112" s="172" t="str">
        <f>IF('Statement of Marks'!HV114="","",'Statement of Marks'!HV114)</f>
        <v/>
      </c>
      <c r="J112" s="173" t="str">
        <f>IF('Statement of Marks'!HU114="","",'Statement of Marks'!HU114)</f>
        <v/>
      </c>
      <c r="K112" s="181" t="str">
        <f>'Statement of Marks'!GN114</f>
        <v/>
      </c>
      <c r="L112" s="181" t="str">
        <f>'Statement of Marks'!GQ114</f>
        <v/>
      </c>
      <c r="M112" s="181" t="str">
        <f>'Statement of Marks'!GT114</f>
        <v/>
      </c>
      <c r="N112" s="181" t="str">
        <f>'Statement of Marks'!HB114</f>
        <v/>
      </c>
      <c r="O112" s="181" t="str">
        <f>'Statement of Marks'!HE114</f>
        <v/>
      </c>
      <c r="P112" s="181" t="str">
        <f>'Statement of Marks'!HH114</f>
        <v/>
      </c>
      <c r="Q112" s="181" t="str">
        <f>'Statement of Marks'!HK114</f>
        <v/>
      </c>
      <c r="R112" s="173" t="str">
        <f>IF(COUNTIF(K112:Q112,"F")&gt;0,"",CONCATENATE('Statement of Marks'!HO114,'Statement of Marks'!HQ114))</f>
        <v xml:space="preserve">            </v>
      </c>
      <c r="S112" s="174">
        <f t="shared" si="18"/>
        <v>0</v>
      </c>
      <c r="T112" s="5"/>
      <c r="U112" s="182" t="str">
        <f t="shared" si="19"/>
        <v/>
      </c>
      <c r="V112" s="182" t="str">
        <f t="shared" si="20"/>
        <v/>
      </c>
      <c r="W112" s="5"/>
      <c r="X112" s="182" t="str">
        <f t="shared" si="21"/>
        <v/>
      </c>
      <c r="Y112" s="182" t="str">
        <f t="shared" si="22"/>
        <v/>
      </c>
      <c r="Z112" s="5"/>
      <c r="AA112" s="182" t="str">
        <f t="shared" si="23"/>
        <v/>
      </c>
      <c r="AB112" s="183" t="str">
        <f t="shared" si="24"/>
        <v/>
      </c>
      <c r="AC112" s="5"/>
      <c r="AD112" s="182" t="str">
        <f t="shared" si="25"/>
        <v/>
      </c>
      <c r="AE112" s="183" t="str">
        <f t="shared" si="26"/>
        <v/>
      </c>
      <c r="AF112" s="5"/>
      <c r="AG112" s="182" t="str">
        <f t="shared" si="27"/>
        <v/>
      </c>
      <c r="AH112" s="183" t="str">
        <f t="shared" si="28"/>
        <v/>
      </c>
      <c r="AI112" s="5"/>
      <c r="AJ112" s="183" t="str">
        <f t="shared" si="29"/>
        <v/>
      </c>
      <c r="AK112" s="183" t="str">
        <f t="shared" si="30"/>
        <v/>
      </c>
      <c r="AL112" s="5"/>
      <c r="AM112" s="183" t="str">
        <f t="shared" si="31"/>
        <v/>
      </c>
      <c r="AN112" s="183" t="str">
        <f t="shared" si="32"/>
        <v/>
      </c>
      <c r="AO112" s="184">
        <f t="shared" si="33"/>
        <v>0</v>
      </c>
      <c r="AP112" s="184">
        <f t="shared" si="34"/>
        <v>0</v>
      </c>
      <c r="AQ112" s="608" t="str">
        <f t="shared" si="35"/>
        <v/>
      </c>
      <c r="AR112" s="185" t="str">
        <f>IF(COUNTIF(K112:Q112,"F")&gt;0,"",IF(AQ112="PASS",'Statement of Marks'!HZ114,""))</f>
        <v/>
      </c>
      <c r="AS112" s="185" t="str">
        <f>IF(AQ112="PASS",'Statement of Marks'!IA114,"")</f>
        <v/>
      </c>
    </row>
    <row r="113" spans="1:45">
      <c r="A113" s="169">
        <f>IF('Statement of Marks'!A115="","",'Statement of Marks'!A115)</f>
        <v>109</v>
      </c>
      <c r="B113" s="169" t="str">
        <f>IF('Statement of Marks'!B115="","",'Statement of Marks'!B115)</f>
        <v/>
      </c>
      <c r="C113" s="169" t="str">
        <f>IF('Statement of Marks'!D115="","",'Statement of Marks'!D115)</f>
        <v/>
      </c>
      <c r="D113" s="170" t="str">
        <f>IF('Statement of Marks'!E115="","",'Statement of Marks'!E115)</f>
        <v/>
      </c>
      <c r="E113" s="171" t="str">
        <f>IF('Statement of Marks'!F115="","",'Statement of Marks'!F115)</f>
        <v/>
      </c>
      <c r="F113" s="171" t="str">
        <f>IF('Statement of Marks'!G115="","",'Statement of Marks'!G115)</f>
        <v/>
      </c>
      <c r="G113" s="171" t="str">
        <f>IF('Statement of Marks'!H115="","",'Statement of Marks'!H115)</f>
        <v/>
      </c>
      <c r="H113" s="172" t="str">
        <f>IF('Statement of Marks'!HS115="","",'Statement of Marks'!HS115)</f>
        <v/>
      </c>
      <c r="I113" s="172" t="str">
        <f>IF('Statement of Marks'!HV115="","",'Statement of Marks'!HV115)</f>
        <v/>
      </c>
      <c r="J113" s="173" t="str">
        <f>IF('Statement of Marks'!HU115="","",'Statement of Marks'!HU115)</f>
        <v/>
      </c>
      <c r="K113" s="181" t="str">
        <f>'Statement of Marks'!GN115</f>
        <v/>
      </c>
      <c r="L113" s="181" t="str">
        <f>'Statement of Marks'!GQ115</f>
        <v/>
      </c>
      <c r="M113" s="181" t="str">
        <f>'Statement of Marks'!GT115</f>
        <v/>
      </c>
      <c r="N113" s="181" t="str">
        <f>'Statement of Marks'!HB115</f>
        <v/>
      </c>
      <c r="O113" s="181" t="str">
        <f>'Statement of Marks'!HE115</f>
        <v/>
      </c>
      <c r="P113" s="181" t="str">
        <f>'Statement of Marks'!HH115</f>
        <v/>
      </c>
      <c r="Q113" s="181" t="str">
        <f>'Statement of Marks'!HK115</f>
        <v/>
      </c>
      <c r="R113" s="173" t="str">
        <f>IF(COUNTIF(K113:Q113,"F")&gt;0,"",CONCATENATE('Statement of Marks'!HO115,'Statement of Marks'!HQ115))</f>
        <v xml:space="preserve">            </v>
      </c>
      <c r="S113" s="174">
        <f t="shared" si="18"/>
        <v>0</v>
      </c>
      <c r="T113" s="5"/>
      <c r="U113" s="182" t="str">
        <f t="shared" si="19"/>
        <v/>
      </c>
      <c r="V113" s="182" t="str">
        <f t="shared" si="20"/>
        <v/>
      </c>
      <c r="W113" s="5"/>
      <c r="X113" s="182" t="str">
        <f t="shared" si="21"/>
        <v/>
      </c>
      <c r="Y113" s="182" t="str">
        <f t="shared" si="22"/>
        <v/>
      </c>
      <c r="Z113" s="5"/>
      <c r="AA113" s="182" t="str">
        <f t="shared" si="23"/>
        <v/>
      </c>
      <c r="AB113" s="183" t="str">
        <f t="shared" si="24"/>
        <v/>
      </c>
      <c r="AC113" s="5"/>
      <c r="AD113" s="182" t="str">
        <f t="shared" si="25"/>
        <v/>
      </c>
      <c r="AE113" s="183" t="str">
        <f t="shared" si="26"/>
        <v/>
      </c>
      <c r="AF113" s="5"/>
      <c r="AG113" s="182" t="str">
        <f t="shared" si="27"/>
        <v/>
      </c>
      <c r="AH113" s="183" t="str">
        <f t="shared" si="28"/>
        <v/>
      </c>
      <c r="AI113" s="5"/>
      <c r="AJ113" s="183" t="str">
        <f t="shared" si="29"/>
        <v/>
      </c>
      <c r="AK113" s="183" t="str">
        <f t="shared" si="30"/>
        <v/>
      </c>
      <c r="AL113" s="5"/>
      <c r="AM113" s="183" t="str">
        <f t="shared" si="31"/>
        <v/>
      </c>
      <c r="AN113" s="183" t="str">
        <f t="shared" si="32"/>
        <v/>
      </c>
      <c r="AO113" s="184">
        <f t="shared" si="33"/>
        <v>0</v>
      </c>
      <c r="AP113" s="184">
        <f t="shared" si="34"/>
        <v>0</v>
      </c>
      <c r="AQ113" s="608" t="str">
        <f t="shared" si="35"/>
        <v/>
      </c>
      <c r="AR113" s="185" t="str">
        <f>IF(COUNTIF(K113:Q113,"F")&gt;0,"",IF(AQ113="PASS",'Statement of Marks'!HZ115,""))</f>
        <v/>
      </c>
      <c r="AS113" s="185" t="str">
        <f>IF(AQ113="PASS",'Statement of Marks'!IA115,"")</f>
        <v/>
      </c>
    </row>
    <row r="114" spans="1:45">
      <c r="A114" s="169">
        <f>IF('Statement of Marks'!A116="","",'Statement of Marks'!A116)</f>
        <v>110</v>
      </c>
      <c r="B114" s="169" t="str">
        <f>IF('Statement of Marks'!B116="","",'Statement of Marks'!B116)</f>
        <v/>
      </c>
      <c r="C114" s="169" t="str">
        <f>IF('Statement of Marks'!D116="","",'Statement of Marks'!D116)</f>
        <v/>
      </c>
      <c r="D114" s="170" t="str">
        <f>IF('Statement of Marks'!E116="","",'Statement of Marks'!E116)</f>
        <v/>
      </c>
      <c r="E114" s="171" t="str">
        <f>IF('Statement of Marks'!F116="","",'Statement of Marks'!F116)</f>
        <v/>
      </c>
      <c r="F114" s="171" t="str">
        <f>IF('Statement of Marks'!G116="","",'Statement of Marks'!G116)</f>
        <v/>
      </c>
      <c r="G114" s="171" t="str">
        <f>IF('Statement of Marks'!H116="","",'Statement of Marks'!H116)</f>
        <v/>
      </c>
      <c r="H114" s="172" t="str">
        <f>IF('Statement of Marks'!HS116="","",'Statement of Marks'!HS116)</f>
        <v/>
      </c>
      <c r="I114" s="172" t="str">
        <f>IF('Statement of Marks'!HV116="","",'Statement of Marks'!HV116)</f>
        <v/>
      </c>
      <c r="J114" s="173" t="str">
        <f>IF('Statement of Marks'!HU116="","",'Statement of Marks'!HU116)</f>
        <v/>
      </c>
      <c r="K114" s="181" t="str">
        <f>'Statement of Marks'!GN116</f>
        <v/>
      </c>
      <c r="L114" s="181" t="str">
        <f>'Statement of Marks'!GQ116</f>
        <v/>
      </c>
      <c r="M114" s="181" t="str">
        <f>'Statement of Marks'!GT116</f>
        <v/>
      </c>
      <c r="N114" s="181" t="str">
        <f>'Statement of Marks'!HB116</f>
        <v/>
      </c>
      <c r="O114" s="181" t="str">
        <f>'Statement of Marks'!HE116</f>
        <v/>
      </c>
      <c r="P114" s="181" t="str">
        <f>'Statement of Marks'!HH116</f>
        <v/>
      </c>
      <c r="Q114" s="181" t="str">
        <f>'Statement of Marks'!HK116</f>
        <v/>
      </c>
      <c r="R114" s="173" t="str">
        <f>IF(COUNTIF(K114:Q114,"F")&gt;0,"",CONCATENATE('Statement of Marks'!HO116,'Statement of Marks'!HQ116))</f>
        <v xml:space="preserve">            </v>
      </c>
      <c r="S114" s="174">
        <f t="shared" si="18"/>
        <v>0</v>
      </c>
      <c r="T114" s="5"/>
      <c r="U114" s="182" t="str">
        <f t="shared" si="19"/>
        <v/>
      </c>
      <c r="V114" s="182" t="str">
        <f t="shared" si="20"/>
        <v/>
      </c>
      <c r="W114" s="5"/>
      <c r="X114" s="182" t="str">
        <f t="shared" si="21"/>
        <v/>
      </c>
      <c r="Y114" s="182" t="str">
        <f t="shared" si="22"/>
        <v/>
      </c>
      <c r="Z114" s="5"/>
      <c r="AA114" s="182" t="str">
        <f t="shared" si="23"/>
        <v/>
      </c>
      <c r="AB114" s="183" t="str">
        <f t="shared" si="24"/>
        <v/>
      </c>
      <c r="AC114" s="5"/>
      <c r="AD114" s="182" t="str">
        <f t="shared" si="25"/>
        <v/>
      </c>
      <c r="AE114" s="183" t="str">
        <f t="shared" si="26"/>
        <v/>
      </c>
      <c r="AF114" s="5"/>
      <c r="AG114" s="182" t="str">
        <f t="shared" si="27"/>
        <v/>
      </c>
      <c r="AH114" s="183" t="str">
        <f t="shared" si="28"/>
        <v/>
      </c>
      <c r="AI114" s="5"/>
      <c r="AJ114" s="183" t="str">
        <f t="shared" si="29"/>
        <v/>
      </c>
      <c r="AK114" s="183" t="str">
        <f t="shared" si="30"/>
        <v/>
      </c>
      <c r="AL114" s="5"/>
      <c r="AM114" s="183" t="str">
        <f t="shared" si="31"/>
        <v/>
      </c>
      <c r="AN114" s="183" t="str">
        <f t="shared" si="32"/>
        <v/>
      </c>
      <c r="AO114" s="184">
        <f t="shared" si="33"/>
        <v>0</v>
      </c>
      <c r="AP114" s="184">
        <f t="shared" si="34"/>
        <v>0</v>
      </c>
      <c r="AQ114" s="608" t="str">
        <f t="shared" si="35"/>
        <v/>
      </c>
      <c r="AR114" s="185" t="str">
        <f>IF(COUNTIF(K114:Q114,"F")&gt;0,"",IF(AQ114="PASS",'Statement of Marks'!HZ116,""))</f>
        <v/>
      </c>
      <c r="AS114" s="185" t="str">
        <f>IF(AQ114="PASS",'Statement of Marks'!IA116,"")</f>
        <v/>
      </c>
    </row>
    <row r="115" spans="1:45">
      <c r="A115" s="169">
        <f>IF('Statement of Marks'!A117="","",'Statement of Marks'!A117)</f>
        <v>111</v>
      </c>
      <c r="B115" s="169" t="str">
        <f>IF('Statement of Marks'!B117="","",'Statement of Marks'!B117)</f>
        <v/>
      </c>
      <c r="C115" s="169" t="str">
        <f>IF('Statement of Marks'!D117="","",'Statement of Marks'!D117)</f>
        <v/>
      </c>
      <c r="D115" s="170" t="str">
        <f>IF('Statement of Marks'!E117="","",'Statement of Marks'!E117)</f>
        <v/>
      </c>
      <c r="E115" s="171" t="str">
        <f>IF('Statement of Marks'!F117="","",'Statement of Marks'!F117)</f>
        <v/>
      </c>
      <c r="F115" s="171" t="str">
        <f>IF('Statement of Marks'!G117="","",'Statement of Marks'!G117)</f>
        <v/>
      </c>
      <c r="G115" s="171" t="str">
        <f>IF('Statement of Marks'!H117="","",'Statement of Marks'!H117)</f>
        <v/>
      </c>
      <c r="H115" s="172" t="str">
        <f>IF('Statement of Marks'!HS117="","",'Statement of Marks'!HS117)</f>
        <v/>
      </c>
      <c r="I115" s="172" t="str">
        <f>IF('Statement of Marks'!HV117="","",'Statement of Marks'!HV117)</f>
        <v/>
      </c>
      <c r="J115" s="173" t="str">
        <f>IF('Statement of Marks'!HU117="","",'Statement of Marks'!HU117)</f>
        <v/>
      </c>
      <c r="K115" s="181" t="str">
        <f>'Statement of Marks'!GN117</f>
        <v/>
      </c>
      <c r="L115" s="181" t="str">
        <f>'Statement of Marks'!GQ117</f>
        <v/>
      </c>
      <c r="M115" s="181" t="str">
        <f>'Statement of Marks'!GT117</f>
        <v/>
      </c>
      <c r="N115" s="181" t="str">
        <f>'Statement of Marks'!HB117</f>
        <v/>
      </c>
      <c r="O115" s="181" t="str">
        <f>'Statement of Marks'!HE117</f>
        <v/>
      </c>
      <c r="P115" s="181" t="str">
        <f>'Statement of Marks'!HH117</f>
        <v/>
      </c>
      <c r="Q115" s="181" t="str">
        <f>'Statement of Marks'!HK117</f>
        <v/>
      </c>
      <c r="R115" s="173" t="str">
        <f>IF(COUNTIF(K115:Q115,"F")&gt;0,"",CONCATENATE('Statement of Marks'!HO117,'Statement of Marks'!HQ117))</f>
        <v xml:space="preserve">            </v>
      </c>
      <c r="S115" s="174">
        <f t="shared" si="18"/>
        <v>0</v>
      </c>
      <c r="T115" s="5"/>
      <c r="U115" s="182" t="str">
        <f t="shared" si="19"/>
        <v/>
      </c>
      <c r="V115" s="182" t="str">
        <f t="shared" si="20"/>
        <v/>
      </c>
      <c r="W115" s="5"/>
      <c r="X115" s="182" t="str">
        <f t="shared" si="21"/>
        <v/>
      </c>
      <c r="Y115" s="182" t="str">
        <f t="shared" si="22"/>
        <v/>
      </c>
      <c r="Z115" s="5"/>
      <c r="AA115" s="182" t="str">
        <f t="shared" si="23"/>
        <v/>
      </c>
      <c r="AB115" s="183" t="str">
        <f t="shared" si="24"/>
        <v/>
      </c>
      <c r="AC115" s="5"/>
      <c r="AD115" s="182" t="str">
        <f t="shared" si="25"/>
        <v/>
      </c>
      <c r="AE115" s="183" t="str">
        <f t="shared" si="26"/>
        <v/>
      </c>
      <c r="AF115" s="5"/>
      <c r="AG115" s="182" t="str">
        <f t="shared" si="27"/>
        <v/>
      </c>
      <c r="AH115" s="183" t="str">
        <f t="shared" si="28"/>
        <v/>
      </c>
      <c r="AI115" s="5"/>
      <c r="AJ115" s="183" t="str">
        <f t="shared" si="29"/>
        <v/>
      </c>
      <c r="AK115" s="183" t="str">
        <f t="shared" si="30"/>
        <v/>
      </c>
      <c r="AL115" s="5"/>
      <c r="AM115" s="183" t="str">
        <f t="shared" si="31"/>
        <v/>
      </c>
      <c r="AN115" s="183" t="str">
        <f t="shared" si="32"/>
        <v/>
      </c>
      <c r="AO115" s="184">
        <f t="shared" si="33"/>
        <v>0</v>
      </c>
      <c r="AP115" s="184">
        <f t="shared" si="34"/>
        <v>0</v>
      </c>
      <c r="AQ115" s="608" t="str">
        <f t="shared" si="35"/>
        <v/>
      </c>
      <c r="AR115" s="185" t="str">
        <f>IF(COUNTIF(K115:Q115,"F")&gt;0,"",IF(AQ115="PASS",'Statement of Marks'!HZ117,""))</f>
        <v/>
      </c>
      <c r="AS115" s="185" t="str">
        <f>IF(AQ115="PASS",'Statement of Marks'!IA117,"")</f>
        <v/>
      </c>
    </row>
    <row r="116" spans="1:45">
      <c r="A116" s="169">
        <f>IF('Statement of Marks'!A118="","",'Statement of Marks'!A118)</f>
        <v>112</v>
      </c>
      <c r="B116" s="169" t="str">
        <f>IF('Statement of Marks'!B118="","",'Statement of Marks'!B118)</f>
        <v/>
      </c>
      <c r="C116" s="169" t="str">
        <f>IF('Statement of Marks'!D118="","",'Statement of Marks'!D118)</f>
        <v/>
      </c>
      <c r="D116" s="170" t="str">
        <f>IF('Statement of Marks'!E118="","",'Statement of Marks'!E118)</f>
        <v/>
      </c>
      <c r="E116" s="171" t="str">
        <f>IF('Statement of Marks'!F118="","",'Statement of Marks'!F118)</f>
        <v/>
      </c>
      <c r="F116" s="171" t="str">
        <f>IF('Statement of Marks'!G118="","",'Statement of Marks'!G118)</f>
        <v/>
      </c>
      <c r="G116" s="171" t="str">
        <f>IF('Statement of Marks'!H118="","",'Statement of Marks'!H118)</f>
        <v/>
      </c>
      <c r="H116" s="172" t="str">
        <f>IF('Statement of Marks'!HS118="","",'Statement of Marks'!HS118)</f>
        <v/>
      </c>
      <c r="I116" s="172" t="str">
        <f>IF('Statement of Marks'!HV118="","",'Statement of Marks'!HV118)</f>
        <v/>
      </c>
      <c r="J116" s="173" t="str">
        <f>IF('Statement of Marks'!HU118="","",'Statement of Marks'!HU118)</f>
        <v/>
      </c>
      <c r="K116" s="181" t="str">
        <f>'Statement of Marks'!GN118</f>
        <v/>
      </c>
      <c r="L116" s="181" t="str">
        <f>'Statement of Marks'!GQ118</f>
        <v/>
      </c>
      <c r="M116" s="181" t="str">
        <f>'Statement of Marks'!GT118</f>
        <v/>
      </c>
      <c r="N116" s="181" t="str">
        <f>'Statement of Marks'!HB118</f>
        <v/>
      </c>
      <c r="O116" s="181" t="str">
        <f>'Statement of Marks'!HE118</f>
        <v/>
      </c>
      <c r="P116" s="181" t="str">
        <f>'Statement of Marks'!HH118</f>
        <v/>
      </c>
      <c r="Q116" s="181" t="str">
        <f>'Statement of Marks'!HK118</f>
        <v/>
      </c>
      <c r="R116" s="173" t="str">
        <f>IF(COUNTIF(K116:Q116,"F")&gt;0,"",CONCATENATE('Statement of Marks'!HO118,'Statement of Marks'!HQ118))</f>
        <v xml:space="preserve">            </v>
      </c>
      <c r="S116" s="174">
        <f t="shared" si="18"/>
        <v>0</v>
      </c>
      <c r="T116" s="5"/>
      <c r="U116" s="182" t="str">
        <f t="shared" si="19"/>
        <v/>
      </c>
      <c r="V116" s="182" t="str">
        <f t="shared" si="20"/>
        <v/>
      </c>
      <c r="W116" s="5"/>
      <c r="X116" s="182" t="str">
        <f t="shared" si="21"/>
        <v/>
      </c>
      <c r="Y116" s="182" t="str">
        <f t="shared" si="22"/>
        <v/>
      </c>
      <c r="Z116" s="5"/>
      <c r="AA116" s="182" t="str">
        <f t="shared" si="23"/>
        <v/>
      </c>
      <c r="AB116" s="183" t="str">
        <f t="shared" si="24"/>
        <v/>
      </c>
      <c r="AC116" s="5"/>
      <c r="AD116" s="182" t="str">
        <f t="shared" si="25"/>
        <v/>
      </c>
      <c r="AE116" s="183" t="str">
        <f t="shared" si="26"/>
        <v/>
      </c>
      <c r="AF116" s="5"/>
      <c r="AG116" s="182" t="str">
        <f t="shared" si="27"/>
        <v/>
      </c>
      <c r="AH116" s="183" t="str">
        <f t="shared" si="28"/>
        <v/>
      </c>
      <c r="AI116" s="5"/>
      <c r="AJ116" s="183" t="str">
        <f t="shared" si="29"/>
        <v/>
      </c>
      <c r="AK116" s="183" t="str">
        <f t="shared" si="30"/>
        <v/>
      </c>
      <c r="AL116" s="5"/>
      <c r="AM116" s="183" t="str">
        <f t="shared" si="31"/>
        <v/>
      </c>
      <c r="AN116" s="183" t="str">
        <f t="shared" si="32"/>
        <v/>
      </c>
      <c r="AO116" s="184">
        <f t="shared" si="33"/>
        <v>0</v>
      </c>
      <c r="AP116" s="184">
        <f t="shared" si="34"/>
        <v>0</v>
      </c>
      <c r="AQ116" s="608" t="str">
        <f t="shared" si="35"/>
        <v/>
      </c>
      <c r="AR116" s="185" t="str">
        <f>IF(COUNTIF(K116:Q116,"F")&gt;0,"",IF(AQ116="PASS",'Statement of Marks'!HZ118,""))</f>
        <v/>
      </c>
      <c r="AS116" s="185" t="str">
        <f>IF(AQ116="PASS",'Statement of Marks'!IA118,"")</f>
        <v/>
      </c>
    </row>
    <row r="117" spans="1:45">
      <c r="A117" s="169">
        <f>IF('Statement of Marks'!A119="","",'Statement of Marks'!A119)</f>
        <v>113</v>
      </c>
      <c r="B117" s="169" t="str">
        <f>IF('Statement of Marks'!B119="","",'Statement of Marks'!B119)</f>
        <v/>
      </c>
      <c r="C117" s="169" t="str">
        <f>IF('Statement of Marks'!D119="","",'Statement of Marks'!D119)</f>
        <v/>
      </c>
      <c r="D117" s="170" t="str">
        <f>IF('Statement of Marks'!E119="","",'Statement of Marks'!E119)</f>
        <v/>
      </c>
      <c r="E117" s="171" t="str">
        <f>IF('Statement of Marks'!F119="","",'Statement of Marks'!F119)</f>
        <v/>
      </c>
      <c r="F117" s="171" t="str">
        <f>IF('Statement of Marks'!G119="","",'Statement of Marks'!G119)</f>
        <v/>
      </c>
      <c r="G117" s="171" t="str">
        <f>IF('Statement of Marks'!H119="","",'Statement of Marks'!H119)</f>
        <v/>
      </c>
      <c r="H117" s="172" t="str">
        <f>IF('Statement of Marks'!HS119="","",'Statement of Marks'!HS119)</f>
        <v/>
      </c>
      <c r="I117" s="172" t="str">
        <f>IF('Statement of Marks'!HV119="","",'Statement of Marks'!HV119)</f>
        <v/>
      </c>
      <c r="J117" s="173" t="str">
        <f>IF('Statement of Marks'!HU119="","",'Statement of Marks'!HU119)</f>
        <v/>
      </c>
      <c r="K117" s="181" t="str">
        <f>'Statement of Marks'!GN119</f>
        <v/>
      </c>
      <c r="L117" s="181" t="str">
        <f>'Statement of Marks'!GQ119</f>
        <v/>
      </c>
      <c r="M117" s="181" t="str">
        <f>'Statement of Marks'!GT119</f>
        <v/>
      </c>
      <c r="N117" s="181" t="str">
        <f>'Statement of Marks'!HB119</f>
        <v/>
      </c>
      <c r="O117" s="181" t="str">
        <f>'Statement of Marks'!HE119</f>
        <v/>
      </c>
      <c r="P117" s="181" t="str">
        <f>'Statement of Marks'!HH119</f>
        <v/>
      </c>
      <c r="Q117" s="181" t="str">
        <f>'Statement of Marks'!HK119</f>
        <v/>
      </c>
      <c r="R117" s="173" t="str">
        <f>IF(COUNTIF(K117:Q117,"F")&gt;0,"",CONCATENATE('Statement of Marks'!HO119,'Statement of Marks'!HQ119))</f>
        <v xml:space="preserve">            </v>
      </c>
      <c r="S117" s="174">
        <f t="shared" si="18"/>
        <v>0</v>
      </c>
      <c r="T117" s="5"/>
      <c r="U117" s="182" t="str">
        <f t="shared" si="19"/>
        <v/>
      </c>
      <c r="V117" s="182" t="str">
        <f t="shared" si="20"/>
        <v/>
      </c>
      <c r="W117" s="5"/>
      <c r="X117" s="182" t="str">
        <f t="shared" si="21"/>
        <v/>
      </c>
      <c r="Y117" s="182" t="str">
        <f t="shared" si="22"/>
        <v/>
      </c>
      <c r="Z117" s="5"/>
      <c r="AA117" s="182" t="str">
        <f t="shared" si="23"/>
        <v/>
      </c>
      <c r="AB117" s="183" t="str">
        <f t="shared" si="24"/>
        <v/>
      </c>
      <c r="AC117" s="5"/>
      <c r="AD117" s="182" t="str">
        <f t="shared" si="25"/>
        <v/>
      </c>
      <c r="AE117" s="183" t="str">
        <f t="shared" si="26"/>
        <v/>
      </c>
      <c r="AF117" s="5"/>
      <c r="AG117" s="182" t="str">
        <f t="shared" si="27"/>
        <v/>
      </c>
      <c r="AH117" s="183" t="str">
        <f t="shared" si="28"/>
        <v/>
      </c>
      <c r="AI117" s="5"/>
      <c r="AJ117" s="183" t="str">
        <f t="shared" si="29"/>
        <v/>
      </c>
      <c r="AK117" s="183" t="str">
        <f t="shared" si="30"/>
        <v/>
      </c>
      <c r="AL117" s="5"/>
      <c r="AM117" s="183" t="str">
        <f t="shared" si="31"/>
        <v/>
      </c>
      <c r="AN117" s="183" t="str">
        <f t="shared" si="32"/>
        <v/>
      </c>
      <c r="AO117" s="184">
        <f t="shared" si="33"/>
        <v>0</v>
      </c>
      <c r="AP117" s="184">
        <f t="shared" si="34"/>
        <v>0</v>
      </c>
      <c r="AQ117" s="608" t="str">
        <f t="shared" si="35"/>
        <v/>
      </c>
      <c r="AR117" s="185" t="str">
        <f>IF(COUNTIF(K117:Q117,"F")&gt;0,"",IF(AQ117="PASS",'Statement of Marks'!HZ119,""))</f>
        <v/>
      </c>
      <c r="AS117" s="185" t="str">
        <f>IF(AQ117="PASS",'Statement of Marks'!IA119,"")</f>
        <v/>
      </c>
    </row>
    <row r="118" spans="1:45">
      <c r="A118" s="169">
        <f>IF('Statement of Marks'!A120="","",'Statement of Marks'!A120)</f>
        <v>114</v>
      </c>
      <c r="B118" s="169" t="str">
        <f>IF('Statement of Marks'!B120="","",'Statement of Marks'!B120)</f>
        <v/>
      </c>
      <c r="C118" s="169" t="str">
        <f>IF('Statement of Marks'!D120="","",'Statement of Marks'!D120)</f>
        <v/>
      </c>
      <c r="D118" s="170" t="str">
        <f>IF('Statement of Marks'!E120="","",'Statement of Marks'!E120)</f>
        <v/>
      </c>
      <c r="E118" s="171" t="str">
        <f>IF('Statement of Marks'!F120="","",'Statement of Marks'!F120)</f>
        <v/>
      </c>
      <c r="F118" s="171" t="str">
        <f>IF('Statement of Marks'!G120="","",'Statement of Marks'!G120)</f>
        <v/>
      </c>
      <c r="G118" s="171" t="str">
        <f>IF('Statement of Marks'!H120="","",'Statement of Marks'!H120)</f>
        <v/>
      </c>
      <c r="H118" s="172" t="str">
        <f>IF('Statement of Marks'!HS120="","",'Statement of Marks'!HS120)</f>
        <v/>
      </c>
      <c r="I118" s="172" t="str">
        <f>IF('Statement of Marks'!HV120="","",'Statement of Marks'!HV120)</f>
        <v/>
      </c>
      <c r="J118" s="173" t="str">
        <f>IF('Statement of Marks'!HU120="","",'Statement of Marks'!HU120)</f>
        <v/>
      </c>
      <c r="K118" s="181" t="str">
        <f>'Statement of Marks'!GN120</f>
        <v/>
      </c>
      <c r="L118" s="181" t="str">
        <f>'Statement of Marks'!GQ120</f>
        <v/>
      </c>
      <c r="M118" s="181" t="str">
        <f>'Statement of Marks'!GT120</f>
        <v/>
      </c>
      <c r="N118" s="181" t="str">
        <f>'Statement of Marks'!HB120</f>
        <v/>
      </c>
      <c r="O118" s="181" t="str">
        <f>'Statement of Marks'!HE120</f>
        <v/>
      </c>
      <c r="P118" s="181" t="str">
        <f>'Statement of Marks'!HH120</f>
        <v/>
      </c>
      <c r="Q118" s="181" t="str">
        <f>'Statement of Marks'!HK120</f>
        <v/>
      </c>
      <c r="R118" s="173" t="str">
        <f>IF(COUNTIF(K118:Q118,"F")&gt;0,"",CONCATENATE('Statement of Marks'!HO120,'Statement of Marks'!HQ120))</f>
        <v xml:space="preserve">            </v>
      </c>
      <c r="S118" s="174">
        <f t="shared" si="18"/>
        <v>0</v>
      </c>
      <c r="T118" s="5"/>
      <c r="U118" s="182" t="str">
        <f t="shared" si="19"/>
        <v/>
      </c>
      <c r="V118" s="182" t="str">
        <f t="shared" si="20"/>
        <v/>
      </c>
      <c r="W118" s="5"/>
      <c r="X118" s="182" t="str">
        <f t="shared" si="21"/>
        <v/>
      </c>
      <c r="Y118" s="182" t="str">
        <f t="shared" si="22"/>
        <v/>
      </c>
      <c r="Z118" s="5"/>
      <c r="AA118" s="182" t="str">
        <f t="shared" si="23"/>
        <v/>
      </c>
      <c r="AB118" s="183" t="str">
        <f t="shared" si="24"/>
        <v/>
      </c>
      <c r="AC118" s="5"/>
      <c r="AD118" s="182" t="str">
        <f t="shared" si="25"/>
        <v/>
      </c>
      <c r="AE118" s="183" t="str">
        <f t="shared" si="26"/>
        <v/>
      </c>
      <c r="AF118" s="5"/>
      <c r="AG118" s="182" t="str">
        <f t="shared" si="27"/>
        <v/>
      </c>
      <c r="AH118" s="183" t="str">
        <f t="shared" si="28"/>
        <v/>
      </c>
      <c r="AI118" s="5"/>
      <c r="AJ118" s="183" t="str">
        <f t="shared" si="29"/>
        <v/>
      </c>
      <c r="AK118" s="183" t="str">
        <f t="shared" si="30"/>
        <v/>
      </c>
      <c r="AL118" s="5"/>
      <c r="AM118" s="183" t="str">
        <f t="shared" si="31"/>
        <v/>
      </c>
      <c r="AN118" s="183" t="str">
        <f t="shared" si="32"/>
        <v/>
      </c>
      <c r="AO118" s="184">
        <f t="shared" si="33"/>
        <v>0</v>
      </c>
      <c r="AP118" s="184">
        <f t="shared" si="34"/>
        <v>0</v>
      </c>
      <c r="AQ118" s="608" t="str">
        <f t="shared" si="35"/>
        <v/>
      </c>
      <c r="AR118" s="185" t="str">
        <f>IF(COUNTIF(K118:Q118,"F")&gt;0,"",IF(AQ118="PASS",'Statement of Marks'!HZ120,""))</f>
        <v/>
      </c>
      <c r="AS118" s="185" t="str">
        <f>IF(AQ118="PASS",'Statement of Marks'!IA120,"")</f>
        <v/>
      </c>
    </row>
    <row r="119" spans="1:45">
      <c r="A119" s="169">
        <f>IF('Statement of Marks'!A121="","",'Statement of Marks'!A121)</f>
        <v>115</v>
      </c>
      <c r="B119" s="169" t="str">
        <f>IF('Statement of Marks'!B121="","",'Statement of Marks'!B121)</f>
        <v/>
      </c>
      <c r="C119" s="169" t="str">
        <f>IF('Statement of Marks'!D121="","",'Statement of Marks'!D121)</f>
        <v/>
      </c>
      <c r="D119" s="170" t="str">
        <f>IF('Statement of Marks'!E121="","",'Statement of Marks'!E121)</f>
        <v/>
      </c>
      <c r="E119" s="171" t="str">
        <f>IF('Statement of Marks'!F121="","",'Statement of Marks'!F121)</f>
        <v/>
      </c>
      <c r="F119" s="171" t="str">
        <f>IF('Statement of Marks'!G121="","",'Statement of Marks'!G121)</f>
        <v/>
      </c>
      <c r="G119" s="171" t="str">
        <f>IF('Statement of Marks'!H121="","",'Statement of Marks'!H121)</f>
        <v/>
      </c>
      <c r="H119" s="172" t="str">
        <f>IF('Statement of Marks'!HS121="","",'Statement of Marks'!HS121)</f>
        <v/>
      </c>
      <c r="I119" s="172" t="str">
        <f>IF('Statement of Marks'!HV121="","",'Statement of Marks'!HV121)</f>
        <v/>
      </c>
      <c r="J119" s="173" t="str">
        <f>IF('Statement of Marks'!HU121="","",'Statement of Marks'!HU121)</f>
        <v/>
      </c>
      <c r="K119" s="181" t="str">
        <f>'Statement of Marks'!GN121</f>
        <v/>
      </c>
      <c r="L119" s="181" t="str">
        <f>'Statement of Marks'!GQ121</f>
        <v/>
      </c>
      <c r="M119" s="181" t="str">
        <f>'Statement of Marks'!GT121</f>
        <v/>
      </c>
      <c r="N119" s="181" t="str">
        <f>'Statement of Marks'!HB121</f>
        <v/>
      </c>
      <c r="O119" s="181" t="str">
        <f>'Statement of Marks'!HE121</f>
        <v/>
      </c>
      <c r="P119" s="181" t="str">
        <f>'Statement of Marks'!HH121</f>
        <v/>
      </c>
      <c r="Q119" s="181" t="str">
        <f>'Statement of Marks'!HK121</f>
        <v/>
      </c>
      <c r="R119" s="173" t="str">
        <f>IF(COUNTIF(K119:Q119,"F")&gt;0,"",CONCATENATE('Statement of Marks'!HO121,'Statement of Marks'!HQ121))</f>
        <v xml:space="preserve">            </v>
      </c>
      <c r="S119" s="174">
        <f t="shared" si="18"/>
        <v>0</v>
      </c>
      <c r="T119" s="5"/>
      <c r="U119" s="182" t="str">
        <f t="shared" si="19"/>
        <v/>
      </c>
      <c r="V119" s="182" t="str">
        <f t="shared" si="20"/>
        <v/>
      </c>
      <c r="W119" s="5"/>
      <c r="X119" s="182" t="str">
        <f t="shared" si="21"/>
        <v/>
      </c>
      <c r="Y119" s="182" t="str">
        <f t="shared" si="22"/>
        <v/>
      </c>
      <c r="Z119" s="5"/>
      <c r="AA119" s="182" t="str">
        <f t="shared" si="23"/>
        <v/>
      </c>
      <c r="AB119" s="183" t="str">
        <f t="shared" si="24"/>
        <v/>
      </c>
      <c r="AC119" s="5"/>
      <c r="AD119" s="182" t="str">
        <f t="shared" si="25"/>
        <v/>
      </c>
      <c r="AE119" s="183" t="str">
        <f t="shared" si="26"/>
        <v/>
      </c>
      <c r="AF119" s="5"/>
      <c r="AG119" s="182" t="str">
        <f t="shared" si="27"/>
        <v/>
      </c>
      <c r="AH119" s="183" t="str">
        <f t="shared" si="28"/>
        <v/>
      </c>
      <c r="AI119" s="5"/>
      <c r="AJ119" s="183" t="str">
        <f t="shared" si="29"/>
        <v/>
      </c>
      <c r="AK119" s="183" t="str">
        <f t="shared" si="30"/>
        <v/>
      </c>
      <c r="AL119" s="5"/>
      <c r="AM119" s="183" t="str">
        <f t="shared" si="31"/>
        <v/>
      </c>
      <c r="AN119" s="183" t="str">
        <f t="shared" si="32"/>
        <v/>
      </c>
      <c r="AO119" s="184">
        <f t="shared" si="33"/>
        <v>0</v>
      </c>
      <c r="AP119" s="184">
        <f t="shared" si="34"/>
        <v>0</v>
      </c>
      <c r="AQ119" s="608" t="str">
        <f t="shared" si="35"/>
        <v/>
      </c>
      <c r="AR119" s="185" t="str">
        <f>IF(COUNTIF(K119:Q119,"F")&gt;0,"",IF(AQ119="PASS",'Statement of Marks'!HZ121,""))</f>
        <v/>
      </c>
      <c r="AS119" s="185" t="str">
        <f>IF(AQ119="PASS",'Statement of Marks'!IA121,"")</f>
        <v/>
      </c>
    </row>
    <row r="120" spans="1:45">
      <c r="A120" s="169">
        <f>IF('Statement of Marks'!A122="","",'Statement of Marks'!A122)</f>
        <v>116</v>
      </c>
      <c r="B120" s="169" t="str">
        <f>IF('Statement of Marks'!B122="","",'Statement of Marks'!B122)</f>
        <v/>
      </c>
      <c r="C120" s="169" t="str">
        <f>IF('Statement of Marks'!D122="","",'Statement of Marks'!D122)</f>
        <v/>
      </c>
      <c r="D120" s="170" t="str">
        <f>IF('Statement of Marks'!E122="","",'Statement of Marks'!E122)</f>
        <v/>
      </c>
      <c r="E120" s="171" t="str">
        <f>IF('Statement of Marks'!F122="","",'Statement of Marks'!F122)</f>
        <v/>
      </c>
      <c r="F120" s="171" t="str">
        <f>IF('Statement of Marks'!G122="","",'Statement of Marks'!G122)</f>
        <v/>
      </c>
      <c r="G120" s="171" t="str">
        <f>IF('Statement of Marks'!H122="","",'Statement of Marks'!H122)</f>
        <v/>
      </c>
      <c r="H120" s="172" t="str">
        <f>IF('Statement of Marks'!HS122="","",'Statement of Marks'!HS122)</f>
        <v/>
      </c>
      <c r="I120" s="172" t="str">
        <f>IF('Statement of Marks'!HV122="","",'Statement of Marks'!HV122)</f>
        <v/>
      </c>
      <c r="J120" s="173" t="str">
        <f>IF('Statement of Marks'!HU122="","",'Statement of Marks'!HU122)</f>
        <v/>
      </c>
      <c r="K120" s="181" t="str">
        <f>'Statement of Marks'!GN122</f>
        <v/>
      </c>
      <c r="L120" s="181" t="str">
        <f>'Statement of Marks'!GQ122</f>
        <v/>
      </c>
      <c r="M120" s="181" t="str">
        <f>'Statement of Marks'!GT122</f>
        <v/>
      </c>
      <c r="N120" s="181" t="str">
        <f>'Statement of Marks'!HB122</f>
        <v/>
      </c>
      <c r="O120" s="181" t="str">
        <f>'Statement of Marks'!HE122</f>
        <v/>
      </c>
      <c r="P120" s="181" t="str">
        <f>'Statement of Marks'!HH122</f>
        <v/>
      </c>
      <c r="Q120" s="181" t="str">
        <f>'Statement of Marks'!HK122</f>
        <v/>
      </c>
      <c r="R120" s="173" t="str">
        <f>IF(COUNTIF(K120:Q120,"F")&gt;0,"",CONCATENATE('Statement of Marks'!HO122,'Statement of Marks'!HQ122))</f>
        <v xml:space="preserve">            </v>
      </c>
      <c r="S120" s="174">
        <f t="shared" si="18"/>
        <v>0</v>
      </c>
      <c r="T120" s="5"/>
      <c r="U120" s="182" t="str">
        <f t="shared" si="19"/>
        <v/>
      </c>
      <c r="V120" s="182" t="str">
        <f t="shared" si="20"/>
        <v/>
      </c>
      <c r="W120" s="5"/>
      <c r="X120" s="182" t="str">
        <f t="shared" si="21"/>
        <v/>
      </c>
      <c r="Y120" s="182" t="str">
        <f t="shared" si="22"/>
        <v/>
      </c>
      <c r="Z120" s="5"/>
      <c r="AA120" s="182" t="str">
        <f t="shared" si="23"/>
        <v/>
      </c>
      <c r="AB120" s="183" t="str">
        <f t="shared" si="24"/>
        <v/>
      </c>
      <c r="AC120" s="5"/>
      <c r="AD120" s="182" t="str">
        <f t="shared" si="25"/>
        <v/>
      </c>
      <c r="AE120" s="183" t="str">
        <f t="shared" si="26"/>
        <v/>
      </c>
      <c r="AF120" s="5"/>
      <c r="AG120" s="182" t="str">
        <f t="shared" si="27"/>
        <v/>
      </c>
      <c r="AH120" s="183" t="str">
        <f t="shared" si="28"/>
        <v/>
      </c>
      <c r="AI120" s="5"/>
      <c r="AJ120" s="183" t="str">
        <f t="shared" si="29"/>
        <v/>
      </c>
      <c r="AK120" s="183" t="str">
        <f t="shared" si="30"/>
        <v/>
      </c>
      <c r="AL120" s="5"/>
      <c r="AM120" s="183" t="str">
        <f t="shared" si="31"/>
        <v/>
      </c>
      <c r="AN120" s="183" t="str">
        <f t="shared" si="32"/>
        <v/>
      </c>
      <c r="AO120" s="184">
        <f t="shared" si="33"/>
        <v>0</v>
      </c>
      <c r="AP120" s="184">
        <f t="shared" si="34"/>
        <v>0</v>
      </c>
      <c r="AQ120" s="608" t="str">
        <f t="shared" si="35"/>
        <v/>
      </c>
      <c r="AR120" s="185" t="str">
        <f>IF(COUNTIF(K120:Q120,"F")&gt;0,"",IF(AQ120="PASS",'Statement of Marks'!HZ122,""))</f>
        <v/>
      </c>
      <c r="AS120" s="185" t="str">
        <f>IF(AQ120="PASS",'Statement of Marks'!IA122,"")</f>
        <v/>
      </c>
    </row>
    <row r="121" spans="1:45">
      <c r="A121" s="169">
        <f>IF('Statement of Marks'!A123="","",'Statement of Marks'!A123)</f>
        <v>117</v>
      </c>
      <c r="B121" s="169" t="str">
        <f>IF('Statement of Marks'!B123="","",'Statement of Marks'!B123)</f>
        <v/>
      </c>
      <c r="C121" s="169" t="str">
        <f>IF('Statement of Marks'!D123="","",'Statement of Marks'!D123)</f>
        <v/>
      </c>
      <c r="D121" s="170" t="str">
        <f>IF('Statement of Marks'!E123="","",'Statement of Marks'!E123)</f>
        <v/>
      </c>
      <c r="E121" s="171" t="str">
        <f>IF('Statement of Marks'!F123="","",'Statement of Marks'!F123)</f>
        <v/>
      </c>
      <c r="F121" s="171" t="str">
        <f>IF('Statement of Marks'!G123="","",'Statement of Marks'!G123)</f>
        <v/>
      </c>
      <c r="G121" s="171" t="str">
        <f>IF('Statement of Marks'!H123="","",'Statement of Marks'!H123)</f>
        <v/>
      </c>
      <c r="H121" s="172" t="str">
        <f>IF('Statement of Marks'!HS123="","",'Statement of Marks'!HS123)</f>
        <v/>
      </c>
      <c r="I121" s="172" t="str">
        <f>IF('Statement of Marks'!HV123="","",'Statement of Marks'!HV123)</f>
        <v/>
      </c>
      <c r="J121" s="173" t="str">
        <f>IF('Statement of Marks'!HU123="","",'Statement of Marks'!HU123)</f>
        <v/>
      </c>
      <c r="K121" s="181" t="str">
        <f>'Statement of Marks'!GN123</f>
        <v/>
      </c>
      <c r="L121" s="181" t="str">
        <f>'Statement of Marks'!GQ123</f>
        <v/>
      </c>
      <c r="M121" s="181" t="str">
        <f>'Statement of Marks'!GT123</f>
        <v/>
      </c>
      <c r="N121" s="181" t="str">
        <f>'Statement of Marks'!HB123</f>
        <v/>
      </c>
      <c r="O121" s="181" t="str">
        <f>'Statement of Marks'!HE123</f>
        <v/>
      </c>
      <c r="P121" s="181" t="str">
        <f>'Statement of Marks'!HH123</f>
        <v/>
      </c>
      <c r="Q121" s="181" t="str">
        <f>'Statement of Marks'!HK123</f>
        <v/>
      </c>
      <c r="R121" s="173" t="str">
        <f>IF(COUNTIF(K121:Q121,"F")&gt;0,"",CONCATENATE('Statement of Marks'!HO123,'Statement of Marks'!HQ123))</f>
        <v xml:space="preserve">            </v>
      </c>
      <c r="S121" s="174">
        <f t="shared" si="18"/>
        <v>0</v>
      </c>
      <c r="T121" s="5"/>
      <c r="U121" s="182" t="str">
        <f t="shared" si="19"/>
        <v/>
      </c>
      <c r="V121" s="182" t="str">
        <f t="shared" si="20"/>
        <v/>
      </c>
      <c r="W121" s="5"/>
      <c r="X121" s="182" t="str">
        <f t="shared" si="21"/>
        <v/>
      </c>
      <c r="Y121" s="182" t="str">
        <f t="shared" si="22"/>
        <v/>
      </c>
      <c r="Z121" s="5"/>
      <c r="AA121" s="182" t="str">
        <f t="shared" si="23"/>
        <v/>
      </c>
      <c r="AB121" s="183" t="str">
        <f t="shared" si="24"/>
        <v/>
      </c>
      <c r="AC121" s="5"/>
      <c r="AD121" s="182" t="str">
        <f t="shared" si="25"/>
        <v/>
      </c>
      <c r="AE121" s="183" t="str">
        <f t="shared" si="26"/>
        <v/>
      </c>
      <c r="AF121" s="5"/>
      <c r="AG121" s="182" t="str">
        <f t="shared" si="27"/>
        <v/>
      </c>
      <c r="AH121" s="183" t="str">
        <f t="shared" si="28"/>
        <v/>
      </c>
      <c r="AI121" s="5"/>
      <c r="AJ121" s="183" t="str">
        <f t="shared" si="29"/>
        <v/>
      </c>
      <c r="AK121" s="183" t="str">
        <f t="shared" si="30"/>
        <v/>
      </c>
      <c r="AL121" s="5"/>
      <c r="AM121" s="183" t="str">
        <f t="shared" si="31"/>
        <v/>
      </c>
      <c r="AN121" s="183" t="str">
        <f t="shared" si="32"/>
        <v/>
      </c>
      <c r="AO121" s="184">
        <f t="shared" si="33"/>
        <v>0</v>
      </c>
      <c r="AP121" s="184">
        <f t="shared" si="34"/>
        <v>0</v>
      </c>
      <c r="AQ121" s="608" t="str">
        <f t="shared" si="35"/>
        <v/>
      </c>
      <c r="AR121" s="185" t="str">
        <f>IF(COUNTIF(K121:Q121,"F")&gt;0,"",IF(AQ121="PASS",'Statement of Marks'!HZ123,""))</f>
        <v/>
      </c>
      <c r="AS121" s="185" t="str">
        <f>IF(AQ121="PASS",'Statement of Marks'!IA123,"")</f>
        <v/>
      </c>
    </row>
    <row r="122" spans="1:45">
      <c r="A122" s="169">
        <f>IF('Statement of Marks'!A124="","",'Statement of Marks'!A124)</f>
        <v>118</v>
      </c>
      <c r="B122" s="169" t="str">
        <f>IF('Statement of Marks'!B124="","",'Statement of Marks'!B124)</f>
        <v/>
      </c>
      <c r="C122" s="169" t="str">
        <f>IF('Statement of Marks'!D124="","",'Statement of Marks'!D124)</f>
        <v/>
      </c>
      <c r="D122" s="170" t="str">
        <f>IF('Statement of Marks'!E124="","",'Statement of Marks'!E124)</f>
        <v/>
      </c>
      <c r="E122" s="171" t="str">
        <f>IF('Statement of Marks'!F124="","",'Statement of Marks'!F124)</f>
        <v/>
      </c>
      <c r="F122" s="171" t="str">
        <f>IF('Statement of Marks'!G124="","",'Statement of Marks'!G124)</f>
        <v/>
      </c>
      <c r="G122" s="171" t="str">
        <f>IF('Statement of Marks'!H124="","",'Statement of Marks'!H124)</f>
        <v/>
      </c>
      <c r="H122" s="172" t="str">
        <f>IF('Statement of Marks'!HS124="","",'Statement of Marks'!HS124)</f>
        <v/>
      </c>
      <c r="I122" s="172" t="str">
        <f>IF('Statement of Marks'!HV124="","",'Statement of Marks'!HV124)</f>
        <v/>
      </c>
      <c r="J122" s="173" t="str">
        <f>IF('Statement of Marks'!HU124="","",'Statement of Marks'!HU124)</f>
        <v/>
      </c>
      <c r="K122" s="181" t="str">
        <f>'Statement of Marks'!GN124</f>
        <v/>
      </c>
      <c r="L122" s="181" t="str">
        <f>'Statement of Marks'!GQ124</f>
        <v/>
      </c>
      <c r="M122" s="181" t="str">
        <f>'Statement of Marks'!GT124</f>
        <v/>
      </c>
      <c r="N122" s="181" t="str">
        <f>'Statement of Marks'!HB124</f>
        <v/>
      </c>
      <c r="O122" s="181" t="str">
        <f>'Statement of Marks'!HE124</f>
        <v/>
      </c>
      <c r="P122" s="181" t="str">
        <f>'Statement of Marks'!HH124</f>
        <v/>
      </c>
      <c r="Q122" s="181" t="str">
        <f>'Statement of Marks'!HK124</f>
        <v/>
      </c>
      <c r="R122" s="173" t="str">
        <f>IF(COUNTIF(K122:Q122,"F")&gt;0,"",CONCATENATE('Statement of Marks'!HO124,'Statement of Marks'!HQ124))</f>
        <v xml:space="preserve">            </v>
      </c>
      <c r="S122" s="174">
        <f t="shared" si="18"/>
        <v>0</v>
      </c>
      <c r="T122" s="5"/>
      <c r="U122" s="182" t="str">
        <f t="shared" si="19"/>
        <v/>
      </c>
      <c r="V122" s="182" t="str">
        <f t="shared" si="20"/>
        <v/>
      </c>
      <c r="W122" s="5"/>
      <c r="X122" s="182" t="str">
        <f t="shared" si="21"/>
        <v/>
      </c>
      <c r="Y122" s="182" t="str">
        <f t="shared" si="22"/>
        <v/>
      </c>
      <c r="Z122" s="5"/>
      <c r="AA122" s="182" t="str">
        <f t="shared" si="23"/>
        <v/>
      </c>
      <c r="AB122" s="183" t="str">
        <f t="shared" si="24"/>
        <v/>
      </c>
      <c r="AC122" s="5"/>
      <c r="AD122" s="182" t="str">
        <f t="shared" si="25"/>
        <v/>
      </c>
      <c r="AE122" s="183" t="str">
        <f t="shared" si="26"/>
        <v/>
      </c>
      <c r="AF122" s="5"/>
      <c r="AG122" s="182" t="str">
        <f t="shared" si="27"/>
        <v/>
      </c>
      <c r="AH122" s="183" t="str">
        <f t="shared" si="28"/>
        <v/>
      </c>
      <c r="AI122" s="5"/>
      <c r="AJ122" s="183" t="str">
        <f t="shared" si="29"/>
        <v/>
      </c>
      <c r="AK122" s="183" t="str">
        <f t="shared" si="30"/>
        <v/>
      </c>
      <c r="AL122" s="5"/>
      <c r="AM122" s="183" t="str">
        <f t="shared" si="31"/>
        <v/>
      </c>
      <c r="AN122" s="183" t="str">
        <f t="shared" si="32"/>
        <v/>
      </c>
      <c r="AO122" s="184">
        <f t="shared" si="33"/>
        <v>0</v>
      </c>
      <c r="AP122" s="184">
        <f t="shared" si="34"/>
        <v>0</v>
      </c>
      <c r="AQ122" s="608" t="str">
        <f t="shared" si="35"/>
        <v/>
      </c>
      <c r="AR122" s="185" t="str">
        <f>IF(COUNTIF(K122:Q122,"F")&gt;0,"",IF(AQ122="PASS",'Statement of Marks'!HZ124,""))</f>
        <v/>
      </c>
      <c r="AS122" s="185" t="str">
        <f>IF(AQ122="PASS",'Statement of Marks'!IA124,"")</f>
        <v/>
      </c>
    </row>
    <row r="123" spans="1:45">
      <c r="A123" s="169">
        <f>IF('Statement of Marks'!A125="","",'Statement of Marks'!A125)</f>
        <v>119</v>
      </c>
      <c r="B123" s="169" t="str">
        <f>IF('Statement of Marks'!B125="","",'Statement of Marks'!B125)</f>
        <v/>
      </c>
      <c r="C123" s="169" t="str">
        <f>IF('Statement of Marks'!D125="","",'Statement of Marks'!D125)</f>
        <v/>
      </c>
      <c r="D123" s="170" t="str">
        <f>IF('Statement of Marks'!E125="","",'Statement of Marks'!E125)</f>
        <v/>
      </c>
      <c r="E123" s="171" t="str">
        <f>IF('Statement of Marks'!F125="","",'Statement of Marks'!F125)</f>
        <v/>
      </c>
      <c r="F123" s="171" t="str">
        <f>IF('Statement of Marks'!G125="","",'Statement of Marks'!G125)</f>
        <v/>
      </c>
      <c r="G123" s="171" t="str">
        <f>IF('Statement of Marks'!H125="","",'Statement of Marks'!H125)</f>
        <v/>
      </c>
      <c r="H123" s="172" t="str">
        <f>IF('Statement of Marks'!HS125="","",'Statement of Marks'!HS125)</f>
        <v/>
      </c>
      <c r="I123" s="172" t="str">
        <f>IF('Statement of Marks'!HV125="","",'Statement of Marks'!HV125)</f>
        <v/>
      </c>
      <c r="J123" s="173" t="str">
        <f>IF('Statement of Marks'!HU125="","",'Statement of Marks'!HU125)</f>
        <v/>
      </c>
      <c r="K123" s="181" t="str">
        <f>'Statement of Marks'!GN125</f>
        <v/>
      </c>
      <c r="L123" s="181" t="str">
        <f>'Statement of Marks'!GQ125</f>
        <v/>
      </c>
      <c r="M123" s="181" t="str">
        <f>'Statement of Marks'!GT125</f>
        <v/>
      </c>
      <c r="N123" s="181" t="str">
        <f>'Statement of Marks'!HB125</f>
        <v/>
      </c>
      <c r="O123" s="181" t="str">
        <f>'Statement of Marks'!HE125</f>
        <v/>
      </c>
      <c r="P123" s="181" t="str">
        <f>'Statement of Marks'!HH125</f>
        <v/>
      </c>
      <c r="Q123" s="181" t="str">
        <f>'Statement of Marks'!HK125</f>
        <v/>
      </c>
      <c r="R123" s="173" t="str">
        <f>IF(COUNTIF(K123:Q123,"F")&gt;0,"",CONCATENATE('Statement of Marks'!HO125,'Statement of Marks'!HQ125))</f>
        <v xml:space="preserve">            </v>
      </c>
      <c r="S123" s="174">
        <f t="shared" si="18"/>
        <v>0</v>
      </c>
      <c r="T123" s="5"/>
      <c r="U123" s="182" t="str">
        <f t="shared" si="19"/>
        <v/>
      </c>
      <c r="V123" s="182" t="str">
        <f t="shared" si="20"/>
        <v/>
      </c>
      <c r="W123" s="5"/>
      <c r="X123" s="182" t="str">
        <f t="shared" si="21"/>
        <v/>
      </c>
      <c r="Y123" s="182" t="str">
        <f t="shared" si="22"/>
        <v/>
      </c>
      <c r="Z123" s="5"/>
      <c r="AA123" s="182" t="str">
        <f t="shared" si="23"/>
        <v/>
      </c>
      <c r="AB123" s="183" t="str">
        <f t="shared" si="24"/>
        <v/>
      </c>
      <c r="AC123" s="5"/>
      <c r="AD123" s="182" t="str">
        <f t="shared" si="25"/>
        <v/>
      </c>
      <c r="AE123" s="183" t="str">
        <f t="shared" si="26"/>
        <v/>
      </c>
      <c r="AF123" s="5"/>
      <c r="AG123" s="182" t="str">
        <f t="shared" si="27"/>
        <v/>
      </c>
      <c r="AH123" s="183" t="str">
        <f t="shared" si="28"/>
        <v/>
      </c>
      <c r="AI123" s="5"/>
      <c r="AJ123" s="183" t="str">
        <f t="shared" si="29"/>
        <v/>
      </c>
      <c r="AK123" s="183" t="str">
        <f t="shared" si="30"/>
        <v/>
      </c>
      <c r="AL123" s="5"/>
      <c r="AM123" s="183" t="str">
        <f t="shared" si="31"/>
        <v/>
      </c>
      <c r="AN123" s="183" t="str">
        <f t="shared" si="32"/>
        <v/>
      </c>
      <c r="AO123" s="184">
        <f t="shared" si="33"/>
        <v>0</v>
      </c>
      <c r="AP123" s="184">
        <f t="shared" si="34"/>
        <v>0</v>
      </c>
      <c r="AQ123" s="608" t="str">
        <f t="shared" si="35"/>
        <v/>
      </c>
      <c r="AR123" s="185" t="str">
        <f>IF(COUNTIF(K123:Q123,"F")&gt;0,"",IF(AQ123="PASS",'Statement of Marks'!HZ125,""))</f>
        <v/>
      </c>
      <c r="AS123" s="185" t="str">
        <f>IF(AQ123="PASS",'Statement of Marks'!IA125,"")</f>
        <v/>
      </c>
    </row>
    <row r="124" spans="1:45">
      <c r="A124" s="169">
        <f>IF('Statement of Marks'!A126="","",'Statement of Marks'!A126)</f>
        <v>120</v>
      </c>
      <c r="B124" s="169" t="str">
        <f>IF('Statement of Marks'!B126="","",'Statement of Marks'!B126)</f>
        <v/>
      </c>
      <c r="C124" s="169" t="str">
        <f>IF('Statement of Marks'!D126="","",'Statement of Marks'!D126)</f>
        <v/>
      </c>
      <c r="D124" s="170" t="str">
        <f>IF('Statement of Marks'!E126="","",'Statement of Marks'!E126)</f>
        <v/>
      </c>
      <c r="E124" s="171" t="str">
        <f>IF('Statement of Marks'!F126="","",'Statement of Marks'!F126)</f>
        <v/>
      </c>
      <c r="F124" s="171" t="str">
        <f>IF('Statement of Marks'!G126="","",'Statement of Marks'!G126)</f>
        <v/>
      </c>
      <c r="G124" s="171" t="str">
        <f>IF('Statement of Marks'!H126="","",'Statement of Marks'!H126)</f>
        <v/>
      </c>
      <c r="H124" s="172" t="str">
        <f>IF('Statement of Marks'!HS126="","",'Statement of Marks'!HS126)</f>
        <v/>
      </c>
      <c r="I124" s="172" t="str">
        <f>IF('Statement of Marks'!HV126="","",'Statement of Marks'!HV126)</f>
        <v/>
      </c>
      <c r="J124" s="173" t="str">
        <f>IF('Statement of Marks'!HU126="","",'Statement of Marks'!HU126)</f>
        <v/>
      </c>
      <c r="K124" s="181" t="str">
        <f>'Statement of Marks'!GN126</f>
        <v/>
      </c>
      <c r="L124" s="181" t="str">
        <f>'Statement of Marks'!GQ126</f>
        <v/>
      </c>
      <c r="M124" s="181" t="str">
        <f>'Statement of Marks'!GT126</f>
        <v/>
      </c>
      <c r="N124" s="181" t="str">
        <f>'Statement of Marks'!HB126</f>
        <v/>
      </c>
      <c r="O124" s="181" t="str">
        <f>'Statement of Marks'!HE126</f>
        <v/>
      </c>
      <c r="P124" s="181" t="str">
        <f>'Statement of Marks'!HH126</f>
        <v/>
      </c>
      <c r="Q124" s="181" t="str">
        <f>'Statement of Marks'!HK126</f>
        <v/>
      </c>
      <c r="R124" s="173" t="str">
        <f>IF(COUNTIF(K124:Q124,"F")&gt;0,"",CONCATENATE('Statement of Marks'!HO126,'Statement of Marks'!HQ126))</f>
        <v xml:space="preserve">            </v>
      </c>
      <c r="S124" s="174">
        <f t="shared" si="18"/>
        <v>0</v>
      </c>
      <c r="T124" s="5"/>
      <c r="U124" s="182" t="str">
        <f t="shared" si="19"/>
        <v/>
      </c>
      <c r="V124" s="182" t="str">
        <f t="shared" si="20"/>
        <v/>
      </c>
      <c r="W124" s="5"/>
      <c r="X124" s="182" t="str">
        <f t="shared" si="21"/>
        <v/>
      </c>
      <c r="Y124" s="182" t="str">
        <f t="shared" si="22"/>
        <v/>
      </c>
      <c r="Z124" s="5"/>
      <c r="AA124" s="182" t="str">
        <f t="shared" si="23"/>
        <v/>
      </c>
      <c r="AB124" s="183" t="str">
        <f t="shared" si="24"/>
        <v/>
      </c>
      <c r="AC124" s="5"/>
      <c r="AD124" s="182" t="str">
        <f t="shared" si="25"/>
        <v/>
      </c>
      <c r="AE124" s="183" t="str">
        <f t="shared" si="26"/>
        <v/>
      </c>
      <c r="AF124" s="5"/>
      <c r="AG124" s="182" t="str">
        <f t="shared" si="27"/>
        <v/>
      </c>
      <c r="AH124" s="183" t="str">
        <f t="shared" si="28"/>
        <v/>
      </c>
      <c r="AI124" s="5"/>
      <c r="AJ124" s="183" t="str">
        <f t="shared" si="29"/>
        <v/>
      </c>
      <c r="AK124" s="183" t="str">
        <f t="shared" si="30"/>
        <v/>
      </c>
      <c r="AL124" s="5"/>
      <c r="AM124" s="183" t="str">
        <f t="shared" si="31"/>
        <v/>
      </c>
      <c r="AN124" s="183" t="str">
        <f t="shared" si="32"/>
        <v/>
      </c>
      <c r="AO124" s="184">
        <f t="shared" si="33"/>
        <v>0</v>
      </c>
      <c r="AP124" s="184">
        <f t="shared" si="34"/>
        <v>0</v>
      </c>
      <c r="AQ124" s="608" t="str">
        <f t="shared" si="35"/>
        <v/>
      </c>
      <c r="AR124" s="185" t="str">
        <f>IF(COUNTIF(K124:Q124,"F")&gt;0,"",IF(AQ124="PASS",'Statement of Marks'!HZ126,""))</f>
        <v/>
      </c>
      <c r="AS124" s="185" t="str">
        <f>IF(AQ124="PASS",'Statement of Marks'!IA126,"")</f>
        <v/>
      </c>
    </row>
    <row r="125" spans="1:45">
      <c r="A125" s="169">
        <f>IF('Statement of Marks'!A127="","",'Statement of Marks'!A127)</f>
        <v>121</v>
      </c>
      <c r="B125" s="169" t="str">
        <f>IF('Statement of Marks'!B127="","",'Statement of Marks'!B127)</f>
        <v/>
      </c>
      <c r="C125" s="169" t="str">
        <f>IF('Statement of Marks'!D127="","",'Statement of Marks'!D127)</f>
        <v/>
      </c>
      <c r="D125" s="170" t="str">
        <f>IF('Statement of Marks'!E127="","",'Statement of Marks'!E127)</f>
        <v/>
      </c>
      <c r="E125" s="171" t="str">
        <f>IF('Statement of Marks'!F127="","",'Statement of Marks'!F127)</f>
        <v/>
      </c>
      <c r="F125" s="171" t="str">
        <f>IF('Statement of Marks'!G127="","",'Statement of Marks'!G127)</f>
        <v/>
      </c>
      <c r="G125" s="171" t="str">
        <f>IF('Statement of Marks'!H127="","",'Statement of Marks'!H127)</f>
        <v/>
      </c>
      <c r="H125" s="172" t="str">
        <f>IF('Statement of Marks'!HS127="","",'Statement of Marks'!HS127)</f>
        <v/>
      </c>
      <c r="I125" s="172" t="str">
        <f>IF('Statement of Marks'!HV127="","",'Statement of Marks'!HV127)</f>
        <v/>
      </c>
      <c r="J125" s="173" t="str">
        <f>IF('Statement of Marks'!HU127="","",'Statement of Marks'!HU127)</f>
        <v/>
      </c>
      <c r="K125" s="181" t="str">
        <f>'Statement of Marks'!GN127</f>
        <v/>
      </c>
      <c r="L125" s="181" t="str">
        <f>'Statement of Marks'!GQ127</f>
        <v/>
      </c>
      <c r="M125" s="181" t="str">
        <f>'Statement of Marks'!GT127</f>
        <v/>
      </c>
      <c r="N125" s="181" t="str">
        <f>'Statement of Marks'!HB127</f>
        <v/>
      </c>
      <c r="O125" s="181" t="str">
        <f>'Statement of Marks'!HE127</f>
        <v/>
      </c>
      <c r="P125" s="181" t="str">
        <f>'Statement of Marks'!HH127</f>
        <v/>
      </c>
      <c r="Q125" s="181" t="str">
        <f>'Statement of Marks'!HK127</f>
        <v/>
      </c>
      <c r="R125" s="173" t="str">
        <f>IF(COUNTIF(K125:Q125,"F")&gt;0,"",CONCATENATE('Statement of Marks'!HO127,'Statement of Marks'!HQ127))</f>
        <v xml:space="preserve">            </v>
      </c>
      <c r="S125" s="174">
        <f t="shared" si="18"/>
        <v>0</v>
      </c>
      <c r="T125" s="5"/>
      <c r="U125" s="182" t="str">
        <f t="shared" si="19"/>
        <v/>
      </c>
      <c r="V125" s="182" t="str">
        <f t="shared" si="20"/>
        <v/>
      </c>
      <c r="W125" s="5"/>
      <c r="X125" s="182" t="str">
        <f t="shared" si="21"/>
        <v/>
      </c>
      <c r="Y125" s="182" t="str">
        <f t="shared" si="22"/>
        <v/>
      </c>
      <c r="Z125" s="5"/>
      <c r="AA125" s="182" t="str">
        <f t="shared" si="23"/>
        <v/>
      </c>
      <c r="AB125" s="183" t="str">
        <f t="shared" si="24"/>
        <v/>
      </c>
      <c r="AC125" s="5"/>
      <c r="AD125" s="182" t="str">
        <f t="shared" si="25"/>
        <v/>
      </c>
      <c r="AE125" s="183" t="str">
        <f t="shared" si="26"/>
        <v/>
      </c>
      <c r="AF125" s="5"/>
      <c r="AG125" s="182" t="str">
        <f t="shared" si="27"/>
        <v/>
      </c>
      <c r="AH125" s="183" t="str">
        <f t="shared" si="28"/>
        <v/>
      </c>
      <c r="AI125" s="5"/>
      <c r="AJ125" s="183" t="str">
        <f t="shared" si="29"/>
        <v/>
      </c>
      <c r="AK125" s="183" t="str">
        <f t="shared" si="30"/>
        <v/>
      </c>
      <c r="AL125" s="5"/>
      <c r="AM125" s="183" t="str">
        <f t="shared" si="31"/>
        <v/>
      </c>
      <c r="AN125" s="183" t="str">
        <f t="shared" si="32"/>
        <v/>
      </c>
      <c r="AO125" s="184">
        <f t="shared" si="33"/>
        <v>0</v>
      </c>
      <c r="AP125" s="184">
        <f t="shared" si="34"/>
        <v>0</v>
      </c>
      <c r="AQ125" s="608" t="str">
        <f t="shared" si="35"/>
        <v/>
      </c>
      <c r="AR125" s="185" t="str">
        <f>IF(COUNTIF(K125:Q125,"F")&gt;0,"",IF(AQ125="PASS",'Statement of Marks'!HZ127,""))</f>
        <v/>
      </c>
      <c r="AS125" s="185" t="str">
        <f>IF(AQ125="PASS",'Statement of Marks'!IA127,"")</f>
        <v/>
      </c>
    </row>
    <row r="126" spans="1:45">
      <c r="A126" s="169">
        <f>IF('Statement of Marks'!A128="","",'Statement of Marks'!A128)</f>
        <v>122</v>
      </c>
      <c r="B126" s="169" t="str">
        <f>IF('Statement of Marks'!B128="","",'Statement of Marks'!B128)</f>
        <v/>
      </c>
      <c r="C126" s="169" t="str">
        <f>IF('Statement of Marks'!D128="","",'Statement of Marks'!D128)</f>
        <v/>
      </c>
      <c r="D126" s="170" t="str">
        <f>IF('Statement of Marks'!E128="","",'Statement of Marks'!E128)</f>
        <v/>
      </c>
      <c r="E126" s="171" t="str">
        <f>IF('Statement of Marks'!F128="","",'Statement of Marks'!F128)</f>
        <v/>
      </c>
      <c r="F126" s="171" t="str">
        <f>IF('Statement of Marks'!G128="","",'Statement of Marks'!G128)</f>
        <v/>
      </c>
      <c r="G126" s="171" t="str">
        <f>IF('Statement of Marks'!H128="","",'Statement of Marks'!H128)</f>
        <v/>
      </c>
      <c r="H126" s="172" t="str">
        <f>IF('Statement of Marks'!HS128="","",'Statement of Marks'!HS128)</f>
        <v/>
      </c>
      <c r="I126" s="172" t="str">
        <f>IF('Statement of Marks'!HV128="","",'Statement of Marks'!HV128)</f>
        <v/>
      </c>
      <c r="J126" s="173" t="str">
        <f>IF('Statement of Marks'!HU128="","",'Statement of Marks'!HU128)</f>
        <v/>
      </c>
      <c r="K126" s="181" t="str">
        <f>'Statement of Marks'!GN128</f>
        <v/>
      </c>
      <c r="L126" s="181" t="str">
        <f>'Statement of Marks'!GQ128</f>
        <v/>
      </c>
      <c r="M126" s="181" t="str">
        <f>'Statement of Marks'!GT128</f>
        <v/>
      </c>
      <c r="N126" s="181" t="str">
        <f>'Statement of Marks'!HB128</f>
        <v/>
      </c>
      <c r="O126" s="181" t="str">
        <f>'Statement of Marks'!HE128</f>
        <v/>
      </c>
      <c r="P126" s="181" t="str">
        <f>'Statement of Marks'!HH128</f>
        <v/>
      </c>
      <c r="Q126" s="181" t="str">
        <f>'Statement of Marks'!HK128</f>
        <v/>
      </c>
      <c r="R126" s="173" t="str">
        <f>IF(COUNTIF(K126:Q126,"F")&gt;0,"",CONCATENATE('Statement of Marks'!HO128,'Statement of Marks'!HQ128))</f>
        <v xml:space="preserve">            </v>
      </c>
      <c r="S126" s="174">
        <f t="shared" si="18"/>
        <v>0</v>
      </c>
      <c r="T126" s="5"/>
      <c r="U126" s="182" t="str">
        <f t="shared" si="19"/>
        <v/>
      </c>
      <c r="V126" s="182" t="str">
        <f t="shared" si="20"/>
        <v/>
      </c>
      <c r="W126" s="5"/>
      <c r="X126" s="182" t="str">
        <f t="shared" si="21"/>
        <v/>
      </c>
      <c r="Y126" s="182" t="str">
        <f t="shared" si="22"/>
        <v/>
      </c>
      <c r="Z126" s="5"/>
      <c r="AA126" s="182" t="str">
        <f t="shared" si="23"/>
        <v/>
      </c>
      <c r="AB126" s="183" t="str">
        <f t="shared" si="24"/>
        <v/>
      </c>
      <c r="AC126" s="5"/>
      <c r="AD126" s="182" t="str">
        <f t="shared" si="25"/>
        <v/>
      </c>
      <c r="AE126" s="183" t="str">
        <f t="shared" si="26"/>
        <v/>
      </c>
      <c r="AF126" s="5"/>
      <c r="AG126" s="182" t="str">
        <f t="shared" si="27"/>
        <v/>
      </c>
      <c r="AH126" s="183" t="str">
        <f t="shared" si="28"/>
        <v/>
      </c>
      <c r="AI126" s="5"/>
      <c r="AJ126" s="183" t="str">
        <f t="shared" si="29"/>
        <v/>
      </c>
      <c r="AK126" s="183" t="str">
        <f t="shared" si="30"/>
        <v/>
      </c>
      <c r="AL126" s="5"/>
      <c r="AM126" s="183" t="str">
        <f t="shared" si="31"/>
        <v/>
      </c>
      <c r="AN126" s="183" t="str">
        <f t="shared" si="32"/>
        <v/>
      </c>
      <c r="AO126" s="184">
        <f t="shared" si="33"/>
        <v>0</v>
      </c>
      <c r="AP126" s="184">
        <f t="shared" si="34"/>
        <v>0</v>
      </c>
      <c r="AQ126" s="608" t="str">
        <f t="shared" si="35"/>
        <v/>
      </c>
      <c r="AR126" s="185" t="str">
        <f>IF(COUNTIF(K126:Q126,"F")&gt;0,"",IF(AQ126="PASS",'Statement of Marks'!HZ128,""))</f>
        <v/>
      </c>
      <c r="AS126" s="185" t="str">
        <f>IF(AQ126="PASS",'Statement of Marks'!IA128,"")</f>
        <v/>
      </c>
    </row>
    <row r="127" spans="1:45">
      <c r="A127" s="169">
        <f>IF('Statement of Marks'!A129="","",'Statement of Marks'!A129)</f>
        <v>123</v>
      </c>
      <c r="B127" s="169" t="str">
        <f>IF('Statement of Marks'!B129="","",'Statement of Marks'!B129)</f>
        <v/>
      </c>
      <c r="C127" s="169" t="str">
        <f>IF('Statement of Marks'!D129="","",'Statement of Marks'!D129)</f>
        <v/>
      </c>
      <c r="D127" s="170" t="str">
        <f>IF('Statement of Marks'!E129="","",'Statement of Marks'!E129)</f>
        <v/>
      </c>
      <c r="E127" s="171" t="str">
        <f>IF('Statement of Marks'!F129="","",'Statement of Marks'!F129)</f>
        <v/>
      </c>
      <c r="F127" s="171" t="str">
        <f>IF('Statement of Marks'!G129="","",'Statement of Marks'!G129)</f>
        <v/>
      </c>
      <c r="G127" s="171" t="str">
        <f>IF('Statement of Marks'!H129="","",'Statement of Marks'!H129)</f>
        <v/>
      </c>
      <c r="H127" s="172" t="str">
        <f>IF('Statement of Marks'!HS129="","",'Statement of Marks'!HS129)</f>
        <v/>
      </c>
      <c r="I127" s="172" t="str">
        <f>IF('Statement of Marks'!HV129="","",'Statement of Marks'!HV129)</f>
        <v/>
      </c>
      <c r="J127" s="173" t="str">
        <f>IF('Statement of Marks'!HU129="","",'Statement of Marks'!HU129)</f>
        <v/>
      </c>
      <c r="K127" s="181" t="str">
        <f>'Statement of Marks'!GN129</f>
        <v/>
      </c>
      <c r="L127" s="181" t="str">
        <f>'Statement of Marks'!GQ129</f>
        <v/>
      </c>
      <c r="M127" s="181" t="str">
        <f>'Statement of Marks'!GT129</f>
        <v/>
      </c>
      <c r="N127" s="181" t="str">
        <f>'Statement of Marks'!HB129</f>
        <v/>
      </c>
      <c r="O127" s="181" t="str">
        <f>'Statement of Marks'!HE129</f>
        <v/>
      </c>
      <c r="P127" s="181" t="str">
        <f>'Statement of Marks'!HH129</f>
        <v/>
      </c>
      <c r="Q127" s="181" t="str">
        <f>'Statement of Marks'!HK129</f>
        <v/>
      </c>
      <c r="R127" s="173" t="str">
        <f>IF(COUNTIF(K127:Q127,"F")&gt;0,"",CONCATENATE('Statement of Marks'!HO129,'Statement of Marks'!HQ129))</f>
        <v xml:space="preserve">            </v>
      </c>
      <c r="S127" s="174">
        <f t="shared" si="18"/>
        <v>0</v>
      </c>
      <c r="T127" s="5"/>
      <c r="U127" s="182" t="str">
        <f t="shared" si="19"/>
        <v/>
      </c>
      <c r="V127" s="182" t="str">
        <f t="shared" si="20"/>
        <v/>
      </c>
      <c r="W127" s="5"/>
      <c r="X127" s="182" t="str">
        <f t="shared" si="21"/>
        <v/>
      </c>
      <c r="Y127" s="182" t="str">
        <f t="shared" si="22"/>
        <v/>
      </c>
      <c r="Z127" s="5"/>
      <c r="AA127" s="182" t="str">
        <f t="shared" si="23"/>
        <v/>
      </c>
      <c r="AB127" s="183" t="str">
        <f t="shared" si="24"/>
        <v/>
      </c>
      <c r="AC127" s="5"/>
      <c r="AD127" s="182" t="str">
        <f t="shared" si="25"/>
        <v/>
      </c>
      <c r="AE127" s="183" t="str">
        <f t="shared" si="26"/>
        <v/>
      </c>
      <c r="AF127" s="5"/>
      <c r="AG127" s="182" t="str">
        <f t="shared" si="27"/>
        <v/>
      </c>
      <c r="AH127" s="183" t="str">
        <f t="shared" si="28"/>
        <v/>
      </c>
      <c r="AI127" s="5"/>
      <c r="AJ127" s="183" t="str">
        <f t="shared" si="29"/>
        <v/>
      </c>
      <c r="AK127" s="183" t="str">
        <f t="shared" si="30"/>
        <v/>
      </c>
      <c r="AL127" s="5"/>
      <c r="AM127" s="183" t="str">
        <f t="shared" si="31"/>
        <v/>
      </c>
      <c r="AN127" s="183" t="str">
        <f t="shared" si="32"/>
        <v/>
      </c>
      <c r="AO127" s="184">
        <f t="shared" si="33"/>
        <v>0</v>
      </c>
      <c r="AP127" s="184">
        <f t="shared" si="34"/>
        <v>0</v>
      </c>
      <c r="AQ127" s="608" t="str">
        <f t="shared" si="35"/>
        <v/>
      </c>
      <c r="AR127" s="185" t="str">
        <f>IF(COUNTIF(K127:Q127,"F")&gt;0,"",IF(AQ127="PASS",'Statement of Marks'!HZ129,""))</f>
        <v/>
      </c>
      <c r="AS127" s="185" t="str">
        <f>IF(AQ127="PASS",'Statement of Marks'!IA129,"")</f>
        <v/>
      </c>
    </row>
    <row r="128" spans="1:45">
      <c r="A128" s="169">
        <f>IF('Statement of Marks'!A130="","",'Statement of Marks'!A130)</f>
        <v>124</v>
      </c>
      <c r="B128" s="169" t="str">
        <f>IF('Statement of Marks'!B130="","",'Statement of Marks'!B130)</f>
        <v/>
      </c>
      <c r="C128" s="169" t="str">
        <f>IF('Statement of Marks'!D130="","",'Statement of Marks'!D130)</f>
        <v/>
      </c>
      <c r="D128" s="170" t="str">
        <f>IF('Statement of Marks'!E130="","",'Statement of Marks'!E130)</f>
        <v/>
      </c>
      <c r="E128" s="171" t="str">
        <f>IF('Statement of Marks'!F130="","",'Statement of Marks'!F130)</f>
        <v/>
      </c>
      <c r="F128" s="171" t="str">
        <f>IF('Statement of Marks'!G130="","",'Statement of Marks'!G130)</f>
        <v/>
      </c>
      <c r="G128" s="171" t="str">
        <f>IF('Statement of Marks'!H130="","",'Statement of Marks'!H130)</f>
        <v/>
      </c>
      <c r="H128" s="172" t="str">
        <f>IF('Statement of Marks'!HS130="","",'Statement of Marks'!HS130)</f>
        <v/>
      </c>
      <c r="I128" s="172" t="str">
        <f>IF('Statement of Marks'!HV130="","",'Statement of Marks'!HV130)</f>
        <v/>
      </c>
      <c r="J128" s="173" t="str">
        <f>IF('Statement of Marks'!HU130="","",'Statement of Marks'!HU130)</f>
        <v/>
      </c>
      <c r="K128" s="181" t="str">
        <f>'Statement of Marks'!GN130</f>
        <v/>
      </c>
      <c r="L128" s="181" t="str">
        <f>'Statement of Marks'!GQ130</f>
        <v/>
      </c>
      <c r="M128" s="181" t="str">
        <f>'Statement of Marks'!GT130</f>
        <v/>
      </c>
      <c r="N128" s="181" t="str">
        <f>'Statement of Marks'!HB130</f>
        <v/>
      </c>
      <c r="O128" s="181" t="str">
        <f>'Statement of Marks'!HE130</f>
        <v/>
      </c>
      <c r="P128" s="181" t="str">
        <f>'Statement of Marks'!HH130</f>
        <v/>
      </c>
      <c r="Q128" s="181" t="str">
        <f>'Statement of Marks'!HK130</f>
        <v/>
      </c>
      <c r="R128" s="173" t="str">
        <f>IF(COUNTIF(K128:Q128,"F")&gt;0,"",CONCATENATE('Statement of Marks'!HO130,'Statement of Marks'!HQ130))</f>
        <v xml:space="preserve">            </v>
      </c>
      <c r="S128" s="174">
        <f t="shared" si="18"/>
        <v>0</v>
      </c>
      <c r="T128" s="5"/>
      <c r="U128" s="182" t="str">
        <f t="shared" si="19"/>
        <v/>
      </c>
      <c r="V128" s="182" t="str">
        <f t="shared" si="20"/>
        <v/>
      </c>
      <c r="W128" s="5"/>
      <c r="X128" s="182" t="str">
        <f t="shared" si="21"/>
        <v/>
      </c>
      <c r="Y128" s="182" t="str">
        <f t="shared" si="22"/>
        <v/>
      </c>
      <c r="Z128" s="5"/>
      <c r="AA128" s="182" t="str">
        <f t="shared" si="23"/>
        <v/>
      </c>
      <c r="AB128" s="183" t="str">
        <f t="shared" si="24"/>
        <v/>
      </c>
      <c r="AC128" s="5"/>
      <c r="AD128" s="182" t="str">
        <f t="shared" si="25"/>
        <v/>
      </c>
      <c r="AE128" s="183" t="str">
        <f t="shared" si="26"/>
        <v/>
      </c>
      <c r="AF128" s="5"/>
      <c r="AG128" s="182" t="str">
        <f t="shared" si="27"/>
        <v/>
      </c>
      <c r="AH128" s="183" t="str">
        <f t="shared" si="28"/>
        <v/>
      </c>
      <c r="AI128" s="5"/>
      <c r="AJ128" s="183" t="str">
        <f t="shared" si="29"/>
        <v/>
      </c>
      <c r="AK128" s="183" t="str">
        <f t="shared" si="30"/>
        <v/>
      </c>
      <c r="AL128" s="5"/>
      <c r="AM128" s="183" t="str">
        <f t="shared" si="31"/>
        <v/>
      </c>
      <c r="AN128" s="183" t="str">
        <f t="shared" si="32"/>
        <v/>
      </c>
      <c r="AO128" s="184">
        <f t="shared" si="33"/>
        <v>0</v>
      </c>
      <c r="AP128" s="184">
        <f t="shared" si="34"/>
        <v>0</v>
      </c>
      <c r="AQ128" s="608" t="str">
        <f t="shared" si="35"/>
        <v/>
      </c>
      <c r="AR128" s="185" t="str">
        <f>IF(COUNTIF(K128:Q128,"F")&gt;0,"",IF(AQ128="PASS",'Statement of Marks'!HZ130,""))</f>
        <v/>
      </c>
      <c r="AS128" s="185" t="str">
        <f>IF(AQ128="PASS",'Statement of Marks'!IA130,"")</f>
        <v/>
      </c>
    </row>
    <row r="129" spans="1:45">
      <c r="A129" s="169">
        <f>IF('Statement of Marks'!A131="","",'Statement of Marks'!A131)</f>
        <v>125</v>
      </c>
      <c r="B129" s="169" t="str">
        <f>IF('Statement of Marks'!B131="","",'Statement of Marks'!B131)</f>
        <v/>
      </c>
      <c r="C129" s="169" t="str">
        <f>IF('Statement of Marks'!D131="","",'Statement of Marks'!D131)</f>
        <v/>
      </c>
      <c r="D129" s="170" t="str">
        <f>IF('Statement of Marks'!E131="","",'Statement of Marks'!E131)</f>
        <v/>
      </c>
      <c r="E129" s="171" t="str">
        <f>IF('Statement of Marks'!F131="","",'Statement of Marks'!F131)</f>
        <v/>
      </c>
      <c r="F129" s="171" t="str">
        <f>IF('Statement of Marks'!G131="","",'Statement of Marks'!G131)</f>
        <v/>
      </c>
      <c r="G129" s="171" t="str">
        <f>IF('Statement of Marks'!H131="","",'Statement of Marks'!H131)</f>
        <v/>
      </c>
      <c r="H129" s="172" t="str">
        <f>IF('Statement of Marks'!HS131="","",'Statement of Marks'!HS131)</f>
        <v/>
      </c>
      <c r="I129" s="172" t="str">
        <f>IF('Statement of Marks'!HV131="","",'Statement of Marks'!HV131)</f>
        <v/>
      </c>
      <c r="J129" s="173" t="str">
        <f>IF('Statement of Marks'!HU131="","",'Statement of Marks'!HU131)</f>
        <v/>
      </c>
      <c r="K129" s="181" t="str">
        <f>'Statement of Marks'!GN131</f>
        <v/>
      </c>
      <c r="L129" s="181" t="str">
        <f>'Statement of Marks'!GQ131</f>
        <v/>
      </c>
      <c r="M129" s="181" t="str">
        <f>'Statement of Marks'!GT131</f>
        <v/>
      </c>
      <c r="N129" s="181" t="str">
        <f>'Statement of Marks'!HB131</f>
        <v/>
      </c>
      <c r="O129" s="181" t="str">
        <f>'Statement of Marks'!HE131</f>
        <v/>
      </c>
      <c r="P129" s="181" t="str">
        <f>'Statement of Marks'!HH131</f>
        <v/>
      </c>
      <c r="Q129" s="181" t="str">
        <f>'Statement of Marks'!HK131</f>
        <v/>
      </c>
      <c r="R129" s="173" t="str">
        <f>IF(COUNTIF(K129:Q129,"F")&gt;0,"",CONCATENATE('Statement of Marks'!HO131,'Statement of Marks'!HQ131))</f>
        <v xml:space="preserve">            </v>
      </c>
      <c r="S129" s="174">
        <f t="shared" si="18"/>
        <v>0</v>
      </c>
      <c r="T129" s="5"/>
      <c r="U129" s="182" t="str">
        <f t="shared" si="19"/>
        <v/>
      </c>
      <c r="V129" s="182" t="str">
        <f t="shared" si="20"/>
        <v/>
      </c>
      <c r="W129" s="5"/>
      <c r="X129" s="182" t="str">
        <f t="shared" si="21"/>
        <v/>
      </c>
      <c r="Y129" s="182" t="str">
        <f t="shared" si="22"/>
        <v/>
      </c>
      <c r="Z129" s="5"/>
      <c r="AA129" s="182" t="str">
        <f t="shared" si="23"/>
        <v/>
      </c>
      <c r="AB129" s="183" t="str">
        <f t="shared" si="24"/>
        <v/>
      </c>
      <c r="AC129" s="5"/>
      <c r="AD129" s="182" t="str">
        <f t="shared" si="25"/>
        <v/>
      </c>
      <c r="AE129" s="183" t="str">
        <f t="shared" si="26"/>
        <v/>
      </c>
      <c r="AF129" s="5"/>
      <c r="AG129" s="182" t="str">
        <f t="shared" si="27"/>
        <v/>
      </c>
      <c r="AH129" s="183" t="str">
        <f t="shared" si="28"/>
        <v/>
      </c>
      <c r="AI129" s="5"/>
      <c r="AJ129" s="183" t="str">
        <f t="shared" si="29"/>
        <v/>
      </c>
      <c r="AK129" s="183" t="str">
        <f t="shared" si="30"/>
        <v/>
      </c>
      <c r="AL129" s="5"/>
      <c r="AM129" s="183" t="str">
        <f t="shared" si="31"/>
        <v/>
      </c>
      <c r="AN129" s="183" t="str">
        <f t="shared" si="32"/>
        <v/>
      </c>
      <c r="AO129" s="184">
        <f t="shared" si="33"/>
        <v>0</v>
      </c>
      <c r="AP129" s="184">
        <f t="shared" si="34"/>
        <v>0</v>
      </c>
      <c r="AQ129" s="608" t="str">
        <f t="shared" si="35"/>
        <v/>
      </c>
      <c r="AR129" s="185" t="str">
        <f>IF(COUNTIF(K129:Q129,"F")&gt;0,"",IF(AQ129="PASS",'Statement of Marks'!HZ131,""))</f>
        <v/>
      </c>
      <c r="AS129" s="185" t="str">
        <f>IF(AQ129="PASS",'Statement of Marks'!IA131,"")</f>
        <v/>
      </c>
    </row>
    <row r="130" spans="1:45">
      <c r="A130" s="169">
        <f>IF('Statement of Marks'!A132="","",'Statement of Marks'!A132)</f>
        <v>126</v>
      </c>
      <c r="B130" s="169" t="str">
        <f>IF('Statement of Marks'!B132="","",'Statement of Marks'!B132)</f>
        <v/>
      </c>
      <c r="C130" s="169" t="str">
        <f>IF('Statement of Marks'!D132="","",'Statement of Marks'!D132)</f>
        <v/>
      </c>
      <c r="D130" s="170" t="str">
        <f>IF('Statement of Marks'!E132="","",'Statement of Marks'!E132)</f>
        <v/>
      </c>
      <c r="E130" s="171" t="str">
        <f>IF('Statement of Marks'!F132="","",'Statement of Marks'!F132)</f>
        <v/>
      </c>
      <c r="F130" s="171" t="str">
        <f>IF('Statement of Marks'!G132="","",'Statement of Marks'!G132)</f>
        <v/>
      </c>
      <c r="G130" s="171" t="str">
        <f>IF('Statement of Marks'!H132="","",'Statement of Marks'!H132)</f>
        <v/>
      </c>
      <c r="H130" s="172" t="str">
        <f>IF('Statement of Marks'!HS132="","",'Statement of Marks'!HS132)</f>
        <v/>
      </c>
      <c r="I130" s="172" t="str">
        <f>IF('Statement of Marks'!HV132="","",'Statement of Marks'!HV132)</f>
        <v/>
      </c>
      <c r="J130" s="173" t="str">
        <f>IF('Statement of Marks'!HU132="","",'Statement of Marks'!HU132)</f>
        <v/>
      </c>
      <c r="K130" s="181" t="str">
        <f>'Statement of Marks'!GN132</f>
        <v/>
      </c>
      <c r="L130" s="181" t="str">
        <f>'Statement of Marks'!GQ132</f>
        <v/>
      </c>
      <c r="M130" s="181" t="str">
        <f>'Statement of Marks'!GT132</f>
        <v/>
      </c>
      <c r="N130" s="181" t="str">
        <f>'Statement of Marks'!HB132</f>
        <v/>
      </c>
      <c r="O130" s="181" t="str">
        <f>'Statement of Marks'!HE132</f>
        <v/>
      </c>
      <c r="P130" s="181" t="str">
        <f>'Statement of Marks'!HH132</f>
        <v/>
      </c>
      <c r="Q130" s="181" t="str">
        <f>'Statement of Marks'!HK132</f>
        <v/>
      </c>
      <c r="R130" s="173" t="str">
        <f>IF(COUNTIF(K130:Q130,"F")&gt;0,"",CONCATENATE('Statement of Marks'!HO132,'Statement of Marks'!HQ132))</f>
        <v xml:space="preserve">            </v>
      </c>
      <c r="S130" s="174">
        <f t="shared" si="18"/>
        <v>0</v>
      </c>
      <c r="T130" s="5"/>
      <c r="U130" s="182" t="str">
        <f t="shared" si="19"/>
        <v/>
      </c>
      <c r="V130" s="182" t="str">
        <f t="shared" si="20"/>
        <v/>
      </c>
      <c r="W130" s="5"/>
      <c r="X130" s="182" t="str">
        <f t="shared" si="21"/>
        <v/>
      </c>
      <c r="Y130" s="182" t="str">
        <f t="shared" si="22"/>
        <v/>
      </c>
      <c r="Z130" s="5"/>
      <c r="AA130" s="182" t="str">
        <f t="shared" si="23"/>
        <v/>
      </c>
      <c r="AB130" s="183" t="str">
        <f t="shared" si="24"/>
        <v/>
      </c>
      <c r="AC130" s="5"/>
      <c r="AD130" s="182" t="str">
        <f t="shared" si="25"/>
        <v/>
      </c>
      <c r="AE130" s="183" t="str">
        <f t="shared" si="26"/>
        <v/>
      </c>
      <c r="AF130" s="5"/>
      <c r="AG130" s="182" t="str">
        <f t="shared" si="27"/>
        <v/>
      </c>
      <c r="AH130" s="183" t="str">
        <f t="shared" si="28"/>
        <v/>
      </c>
      <c r="AI130" s="5"/>
      <c r="AJ130" s="183" t="str">
        <f t="shared" si="29"/>
        <v/>
      </c>
      <c r="AK130" s="183" t="str">
        <f t="shared" si="30"/>
        <v/>
      </c>
      <c r="AL130" s="5"/>
      <c r="AM130" s="183" t="str">
        <f t="shared" si="31"/>
        <v/>
      </c>
      <c r="AN130" s="183" t="str">
        <f t="shared" si="32"/>
        <v/>
      </c>
      <c r="AO130" s="184">
        <f t="shared" si="33"/>
        <v>0</v>
      </c>
      <c r="AP130" s="184">
        <f t="shared" si="34"/>
        <v>0</v>
      </c>
      <c r="AQ130" s="608" t="str">
        <f t="shared" si="35"/>
        <v/>
      </c>
      <c r="AR130" s="185" t="str">
        <f>IF(COUNTIF(K130:Q130,"F")&gt;0,"",IF(AQ130="PASS",'Statement of Marks'!HZ132,""))</f>
        <v/>
      </c>
      <c r="AS130" s="185" t="str">
        <f>IF(AQ130="PASS",'Statement of Marks'!IA132,"")</f>
        <v/>
      </c>
    </row>
    <row r="131" spans="1:45">
      <c r="A131" s="169">
        <f>IF('Statement of Marks'!A133="","",'Statement of Marks'!A133)</f>
        <v>127</v>
      </c>
      <c r="B131" s="169" t="str">
        <f>IF('Statement of Marks'!B133="","",'Statement of Marks'!B133)</f>
        <v/>
      </c>
      <c r="C131" s="169" t="str">
        <f>IF('Statement of Marks'!D133="","",'Statement of Marks'!D133)</f>
        <v/>
      </c>
      <c r="D131" s="170" t="str">
        <f>IF('Statement of Marks'!E133="","",'Statement of Marks'!E133)</f>
        <v/>
      </c>
      <c r="E131" s="171" t="str">
        <f>IF('Statement of Marks'!F133="","",'Statement of Marks'!F133)</f>
        <v/>
      </c>
      <c r="F131" s="171" t="str">
        <f>IF('Statement of Marks'!G133="","",'Statement of Marks'!G133)</f>
        <v/>
      </c>
      <c r="G131" s="171" t="str">
        <f>IF('Statement of Marks'!H133="","",'Statement of Marks'!H133)</f>
        <v/>
      </c>
      <c r="H131" s="172" t="str">
        <f>IF('Statement of Marks'!HS133="","",'Statement of Marks'!HS133)</f>
        <v/>
      </c>
      <c r="I131" s="172" t="str">
        <f>IF('Statement of Marks'!HV133="","",'Statement of Marks'!HV133)</f>
        <v/>
      </c>
      <c r="J131" s="173" t="str">
        <f>IF('Statement of Marks'!HU133="","",'Statement of Marks'!HU133)</f>
        <v/>
      </c>
      <c r="K131" s="181" t="str">
        <f>'Statement of Marks'!GN133</f>
        <v/>
      </c>
      <c r="L131" s="181" t="str">
        <f>'Statement of Marks'!GQ133</f>
        <v/>
      </c>
      <c r="M131" s="181" t="str">
        <f>'Statement of Marks'!GT133</f>
        <v/>
      </c>
      <c r="N131" s="181" t="str">
        <f>'Statement of Marks'!HB133</f>
        <v/>
      </c>
      <c r="O131" s="181" t="str">
        <f>'Statement of Marks'!HE133</f>
        <v/>
      </c>
      <c r="P131" s="181" t="str">
        <f>'Statement of Marks'!HH133</f>
        <v/>
      </c>
      <c r="Q131" s="181" t="str">
        <f>'Statement of Marks'!HK133</f>
        <v/>
      </c>
      <c r="R131" s="173" t="str">
        <f>IF(COUNTIF(K131:Q131,"F")&gt;0,"",CONCATENATE('Statement of Marks'!HO133,'Statement of Marks'!HQ133))</f>
        <v xml:space="preserve">            </v>
      </c>
      <c r="S131" s="174">
        <f t="shared" si="18"/>
        <v>0</v>
      </c>
      <c r="T131" s="5"/>
      <c r="U131" s="182" t="str">
        <f t="shared" si="19"/>
        <v/>
      </c>
      <c r="V131" s="182" t="str">
        <f t="shared" si="20"/>
        <v/>
      </c>
      <c r="W131" s="5"/>
      <c r="X131" s="182" t="str">
        <f t="shared" si="21"/>
        <v/>
      </c>
      <c r="Y131" s="182" t="str">
        <f t="shared" si="22"/>
        <v/>
      </c>
      <c r="Z131" s="5"/>
      <c r="AA131" s="182" t="str">
        <f t="shared" si="23"/>
        <v/>
      </c>
      <c r="AB131" s="183" t="str">
        <f t="shared" si="24"/>
        <v/>
      </c>
      <c r="AC131" s="5"/>
      <c r="AD131" s="182" t="str">
        <f t="shared" si="25"/>
        <v/>
      </c>
      <c r="AE131" s="183" t="str">
        <f t="shared" si="26"/>
        <v/>
      </c>
      <c r="AF131" s="5"/>
      <c r="AG131" s="182" t="str">
        <f t="shared" si="27"/>
        <v/>
      </c>
      <c r="AH131" s="183" t="str">
        <f t="shared" si="28"/>
        <v/>
      </c>
      <c r="AI131" s="5"/>
      <c r="AJ131" s="183" t="str">
        <f t="shared" si="29"/>
        <v/>
      </c>
      <c r="AK131" s="183" t="str">
        <f t="shared" si="30"/>
        <v/>
      </c>
      <c r="AL131" s="5"/>
      <c r="AM131" s="183" t="str">
        <f t="shared" si="31"/>
        <v/>
      </c>
      <c r="AN131" s="183" t="str">
        <f t="shared" si="32"/>
        <v/>
      </c>
      <c r="AO131" s="184">
        <f t="shared" si="33"/>
        <v>0</v>
      </c>
      <c r="AP131" s="184">
        <f t="shared" si="34"/>
        <v>0</v>
      </c>
      <c r="AQ131" s="608" t="str">
        <f t="shared" si="35"/>
        <v/>
      </c>
      <c r="AR131" s="185" t="str">
        <f>IF(COUNTIF(K131:Q131,"F")&gt;0,"",IF(AQ131="PASS",'Statement of Marks'!HZ133,""))</f>
        <v/>
      </c>
      <c r="AS131" s="185" t="str">
        <f>IF(AQ131="PASS",'Statement of Marks'!IA133,"")</f>
        <v/>
      </c>
    </row>
    <row r="132" spans="1:45">
      <c r="A132" s="169">
        <f>IF('Statement of Marks'!A134="","",'Statement of Marks'!A134)</f>
        <v>128</v>
      </c>
      <c r="B132" s="169" t="str">
        <f>IF('Statement of Marks'!B134="","",'Statement of Marks'!B134)</f>
        <v/>
      </c>
      <c r="C132" s="169" t="str">
        <f>IF('Statement of Marks'!D134="","",'Statement of Marks'!D134)</f>
        <v/>
      </c>
      <c r="D132" s="170" t="str">
        <f>IF('Statement of Marks'!E134="","",'Statement of Marks'!E134)</f>
        <v/>
      </c>
      <c r="E132" s="171" t="str">
        <f>IF('Statement of Marks'!F134="","",'Statement of Marks'!F134)</f>
        <v/>
      </c>
      <c r="F132" s="171" t="str">
        <f>IF('Statement of Marks'!G134="","",'Statement of Marks'!G134)</f>
        <v/>
      </c>
      <c r="G132" s="171" t="str">
        <f>IF('Statement of Marks'!H134="","",'Statement of Marks'!H134)</f>
        <v/>
      </c>
      <c r="H132" s="172" t="str">
        <f>IF('Statement of Marks'!HS134="","",'Statement of Marks'!HS134)</f>
        <v/>
      </c>
      <c r="I132" s="172" t="str">
        <f>IF('Statement of Marks'!HV134="","",'Statement of Marks'!HV134)</f>
        <v/>
      </c>
      <c r="J132" s="173" t="str">
        <f>IF('Statement of Marks'!HU134="","",'Statement of Marks'!HU134)</f>
        <v/>
      </c>
      <c r="K132" s="181" t="str">
        <f>'Statement of Marks'!GN134</f>
        <v/>
      </c>
      <c r="L132" s="181" t="str">
        <f>'Statement of Marks'!GQ134</f>
        <v/>
      </c>
      <c r="M132" s="181" t="str">
        <f>'Statement of Marks'!GT134</f>
        <v/>
      </c>
      <c r="N132" s="181" t="str">
        <f>'Statement of Marks'!HB134</f>
        <v/>
      </c>
      <c r="O132" s="181" t="str">
        <f>'Statement of Marks'!HE134</f>
        <v/>
      </c>
      <c r="P132" s="181" t="str">
        <f>'Statement of Marks'!HH134</f>
        <v/>
      </c>
      <c r="Q132" s="181" t="str">
        <f>'Statement of Marks'!HK134</f>
        <v/>
      </c>
      <c r="R132" s="173" t="str">
        <f>IF(COUNTIF(K132:Q132,"F")&gt;0,"",CONCATENATE('Statement of Marks'!HO134,'Statement of Marks'!HQ134))</f>
        <v xml:space="preserve">            </v>
      </c>
      <c r="S132" s="174">
        <f t="shared" si="18"/>
        <v>0</v>
      </c>
      <c r="T132" s="5"/>
      <c r="U132" s="182" t="str">
        <f t="shared" si="19"/>
        <v/>
      </c>
      <c r="V132" s="182" t="str">
        <f t="shared" si="20"/>
        <v/>
      </c>
      <c r="W132" s="5"/>
      <c r="X132" s="182" t="str">
        <f t="shared" si="21"/>
        <v/>
      </c>
      <c r="Y132" s="182" t="str">
        <f t="shared" si="22"/>
        <v/>
      </c>
      <c r="Z132" s="5"/>
      <c r="AA132" s="182" t="str">
        <f t="shared" si="23"/>
        <v/>
      </c>
      <c r="AB132" s="183" t="str">
        <f t="shared" si="24"/>
        <v/>
      </c>
      <c r="AC132" s="5"/>
      <c r="AD132" s="182" t="str">
        <f t="shared" si="25"/>
        <v/>
      </c>
      <c r="AE132" s="183" t="str">
        <f t="shared" si="26"/>
        <v/>
      </c>
      <c r="AF132" s="5"/>
      <c r="AG132" s="182" t="str">
        <f t="shared" si="27"/>
        <v/>
      </c>
      <c r="AH132" s="183" t="str">
        <f t="shared" si="28"/>
        <v/>
      </c>
      <c r="AI132" s="5"/>
      <c r="AJ132" s="183" t="str">
        <f t="shared" si="29"/>
        <v/>
      </c>
      <c r="AK132" s="183" t="str">
        <f t="shared" si="30"/>
        <v/>
      </c>
      <c r="AL132" s="5"/>
      <c r="AM132" s="183" t="str">
        <f t="shared" si="31"/>
        <v/>
      </c>
      <c r="AN132" s="183" t="str">
        <f t="shared" si="32"/>
        <v/>
      </c>
      <c r="AO132" s="184">
        <f t="shared" si="33"/>
        <v>0</v>
      </c>
      <c r="AP132" s="184">
        <f t="shared" si="34"/>
        <v>0</v>
      </c>
      <c r="AQ132" s="608" t="str">
        <f t="shared" si="35"/>
        <v/>
      </c>
      <c r="AR132" s="185" t="str">
        <f>IF(COUNTIF(K132:Q132,"F")&gt;0,"",IF(AQ132="PASS",'Statement of Marks'!HZ134,""))</f>
        <v/>
      </c>
      <c r="AS132" s="185" t="str">
        <f>IF(AQ132="PASS",'Statement of Marks'!IA134,"")</f>
        <v/>
      </c>
    </row>
    <row r="133" spans="1:45">
      <c r="A133" s="169">
        <f>IF('Statement of Marks'!A135="","",'Statement of Marks'!A135)</f>
        <v>129</v>
      </c>
      <c r="B133" s="169" t="str">
        <f>IF('Statement of Marks'!B135="","",'Statement of Marks'!B135)</f>
        <v/>
      </c>
      <c r="C133" s="169" t="str">
        <f>IF('Statement of Marks'!D135="","",'Statement of Marks'!D135)</f>
        <v/>
      </c>
      <c r="D133" s="170" t="str">
        <f>IF('Statement of Marks'!E135="","",'Statement of Marks'!E135)</f>
        <v/>
      </c>
      <c r="E133" s="171" t="str">
        <f>IF('Statement of Marks'!F135="","",'Statement of Marks'!F135)</f>
        <v/>
      </c>
      <c r="F133" s="171" t="str">
        <f>IF('Statement of Marks'!G135="","",'Statement of Marks'!G135)</f>
        <v/>
      </c>
      <c r="G133" s="171" t="str">
        <f>IF('Statement of Marks'!H135="","",'Statement of Marks'!H135)</f>
        <v/>
      </c>
      <c r="H133" s="172" t="str">
        <f>IF('Statement of Marks'!HS135="","",'Statement of Marks'!HS135)</f>
        <v/>
      </c>
      <c r="I133" s="172" t="str">
        <f>IF('Statement of Marks'!HV135="","",'Statement of Marks'!HV135)</f>
        <v/>
      </c>
      <c r="J133" s="173" t="str">
        <f>IF('Statement of Marks'!HU135="","",'Statement of Marks'!HU135)</f>
        <v/>
      </c>
      <c r="K133" s="181" t="str">
        <f>'Statement of Marks'!GN135</f>
        <v/>
      </c>
      <c r="L133" s="181" t="str">
        <f>'Statement of Marks'!GQ135</f>
        <v/>
      </c>
      <c r="M133" s="181" t="str">
        <f>'Statement of Marks'!GT135</f>
        <v/>
      </c>
      <c r="N133" s="181" t="str">
        <f>'Statement of Marks'!HB135</f>
        <v/>
      </c>
      <c r="O133" s="181" t="str">
        <f>'Statement of Marks'!HE135</f>
        <v/>
      </c>
      <c r="P133" s="181" t="str">
        <f>'Statement of Marks'!HH135</f>
        <v/>
      </c>
      <c r="Q133" s="181" t="str">
        <f>'Statement of Marks'!HK135</f>
        <v/>
      </c>
      <c r="R133" s="173" t="str">
        <f>IF(COUNTIF(K133:Q133,"F")&gt;0,"",CONCATENATE('Statement of Marks'!HO135,'Statement of Marks'!HQ135))</f>
        <v xml:space="preserve">            </v>
      </c>
      <c r="S133" s="174">
        <f t="shared" si="18"/>
        <v>0</v>
      </c>
      <c r="T133" s="5"/>
      <c r="U133" s="182" t="str">
        <f t="shared" si="19"/>
        <v/>
      </c>
      <c r="V133" s="182" t="str">
        <f t="shared" si="20"/>
        <v/>
      </c>
      <c r="W133" s="5"/>
      <c r="X133" s="182" t="str">
        <f t="shared" si="21"/>
        <v/>
      </c>
      <c r="Y133" s="182" t="str">
        <f t="shared" si="22"/>
        <v/>
      </c>
      <c r="Z133" s="5"/>
      <c r="AA133" s="182" t="str">
        <f t="shared" si="23"/>
        <v/>
      </c>
      <c r="AB133" s="183" t="str">
        <f t="shared" si="24"/>
        <v/>
      </c>
      <c r="AC133" s="5"/>
      <c r="AD133" s="182" t="str">
        <f t="shared" si="25"/>
        <v/>
      </c>
      <c r="AE133" s="183" t="str">
        <f t="shared" si="26"/>
        <v/>
      </c>
      <c r="AF133" s="5"/>
      <c r="AG133" s="182" t="str">
        <f t="shared" si="27"/>
        <v/>
      </c>
      <c r="AH133" s="183" t="str">
        <f t="shared" si="28"/>
        <v/>
      </c>
      <c r="AI133" s="5"/>
      <c r="AJ133" s="183" t="str">
        <f t="shared" si="29"/>
        <v/>
      </c>
      <c r="AK133" s="183" t="str">
        <f t="shared" si="30"/>
        <v/>
      </c>
      <c r="AL133" s="5"/>
      <c r="AM133" s="183" t="str">
        <f t="shared" si="31"/>
        <v/>
      </c>
      <c r="AN133" s="183" t="str">
        <f t="shared" si="32"/>
        <v/>
      </c>
      <c r="AO133" s="184">
        <f t="shared" si="33"/>
        <v>0</v>
      </c>
      <c r="AP133" s="184">
        <f t="shared" si="34"/>
        <v>0</v>
      </c>
      <c r="AQ133" s="608" t="str">
        <f t="shared" si="35"/>
        <v/>
      </c>
      <c r="AR133" s="185" t="str">
        <f>IF(COUNTIF(K133:Q133,"F")&gt;0,"",IF(AQ133="PASS",'Statement of Marks'!HZ135,""))</f>
        <v/>
      </c>
      <c r="AS133" s="185" t="str">
        <f>IF(AQ133="PASS",'Statement of Marks'!IA135,"")</f>
        <v/>
      </c>
    </row>
    <row r="134" spans="1:45">
      <c r="A134" s="169">
        <f>IF('Statement of Marks'!A136="","",'Statement of Marks'!A136)</f>
        <v>130</v>
      </c>
      <c r="B134" s="169" t="str">
        <f>IF('Statement of Marks'!B136="","",'Statement of Marks'!B136)</f>
        <v/>
      </c>
      <c r="C134" s="169" t="str">
        <f>IF('Statement of Marks'!D136="","",'Statement of Marks'!D136)</f>
        <v/>
      </c>
      <c r="D134" s="170" t="str">
        <f>IF('Statement of Marks'!E136="","",'Statement of Marks'!E136)</f>
        <v/>
      </c>
      <c r="E134" s="171" t="str">
        <f>IF('Statement of Marks'!F136="","",'Statement of Marks'!F136)</f>
        <v/>
      </c>
      <c r="F134" s="171" t="str">
        <f>IF('Statement of Marks'!G136="","",'Statement of Marks'!G136)</f>
        <v/>
      </c>
      <c r="G134" s="171" t="str">
        <f>IF('Statement of Marks'!H136="","",'Statement of Marks'!H136)</f>
        <v/>
      </c>
      <c r="H134" s="172" t="str">
        <f>IF('Statement of Marks'!HS136="","",'Statement of Marks'!HS136)</f>
        <v/>
      </c>
      <c r="I134" s="172" t="str">
        <f>IF('Statement of Marks'!HV136="","",'Statement of Marks'!HV136)</f>
        <v/>
      </c>
      <c r="J134" s="173" t="str">
        <f>IF('Statement of Marks'!HU136="","",'Statement of Marks'!HU136)</f>
        <v/>
      </c>
      <c r="K134" s="181" t="str">
        <f>'Statement of Marks'!GN136</f>
        <v/>
      </c>
      <c r="L134" s="181" t="str">
        <f>'Statement of Marks'!GQ136</f>
        <v/>
      </c>
      <c r="M134" s="181" t="str">
        <f>'Statement of Marks'!GT136</f>
        <v/>
      </c>
      <c r="N134" s="181" t="str">
        <f>'Statement of Marks'!HB136</f>
        <v/>
      </c>
      <c r="O134" s="181" t="str">
        <f>'Statement of Marks'!HE136</f>
        <v/>
      </c>
      <c r="P134" s="181" t="str">
        <f>'Statement of Marks'!HH136</f>
        <v/>
      </c>
      <c r="Q134" s="181" t="str">
        <f>'Statement of Marks'!HK136</f>
        <v/>
      </c>
      <c r="R134" s="173" t="str">
        <f>IF(COUNTIF(K134:Q134,"F")&gt;0,"",CONCATENATE('Statement of Marks'!HO136,'Statement of Marks'!HQ136))</f>
        <v xml:space="preserve">            </v>
      </c>
      <c r="S134" s="174">
        <f t="shared" ref="S134:S197" si="36">IF(COUNTIF(K134:Q134,"F")&gt;0,"",COUNTIF(K134:Q134,"S")+COUNTIF(K134:Q134,"RE")+COUNTIF(K134:Q134,"REP"))</f>
        <v>0</v>
      </c>
      <c r="T134" s="5"/>
      <c r="U134" s="182" t="str">
        <f t="shared" ref="U134:U197" si="37">IF(T134="","",IF(OR(T134="AB",K134="RE"),T134,IF(AND(K134="S"),ROUNDUP(T134,0),)))</f>
        <v/>
      </c>
      <c r="V134" s="182" t="str">
        <f t="shared" ref="V134:V197" si="38">IF(T134="","",IF(OR(T134="AB",T134&lt;36%*$T$4),"F","P"))</f>
        <v/>
      </c>
      <c r="W134" s="5"/>
      <c r="X134" s="182" t="str">
        <f t="shared" ref="X134:X197" si="39">IF(W134="","",IF(OR(W134="AB",L134="RE"),W134,IF(AND(L134="S"),ROUNDUP(W134,0),)))</f>
        <v/>
      </c>
      <c r="Y134" s="182" t="str">
        <f t="shared" ref="Y134:Y197" si="40">IF(W134="","",IF(OR(W134="AB",W134&lt;36%*$W$4),"F","P"))</f>
        <v/>
      </c>
      <c r="Z134" s="5"/>
      <c r="AA134" s="182" t="str">
        <f t="shared" ref="AA134:AA197" si="41">IF(Z134="","",IF(OR(Z134="AB",M134="RE"),Z134,IF(AND(M134="S"),ROUNDUP(Z134,0),)))</f>
        <v/>
      </c>
      <c r="AB134" s="183" t="str">
        <f t="shared" ref="AB134:AB197" si="42">IF(Z134="","",IF(OR(Z134="AB",Z134&lt;36%*$Z$4),"F","P"))</f>
        <v/>
      </c>
      <c r="AC134" s="5"/>
      <c r="AD134" s="182" t="str">
        <f t="shared" ref="AD134:AD197" si="43">IF(AC134="","",IF(OR(AC134="AB",N134="RE"),AC134,IF(AND(N134="S"),ROUNDUP(AC134,0),)))</f>
        <v/>
      </c>
      <c r="AE134" s="183" t="str">
        <f t="shared" ref="AE134:AE197" si="44">IF(AC134="","",IF(OR(AC134="AB",AC134&lt;36%*$AC$4),"F","P"))</f>
        <v/>
      </c>
      <c r="AF134" s="5"/>
      <c r="AG134" s="182" t="str">
        <f t="shared" ref="AG134:AG197" si="45">IF(AF134="","",IF(OR(AF134="AB",O134="RE"),AF134,IF(AND(O134="S"),ROUNDUP(AF134,0),)))</f>
        <v/>
      </c>
      <c r="AH134" s="183" t="str">
        <f t="shared" ref="AH134:AH197" si="46">IF(AF134="","",IF(OR(AF134="AB",AF134&lt;36%*$AF$4),"F","P"))</f>
        <v/>
      </c>
      <c r="AI134" s="5"/>
      <c r="AJ134" s="183" t="str">
        <f t="shared" ref="AJ134:AJ197" si="47">IF(AI134="","",IF(OR(AI134="AB",P134="RE"),AI134,IF(AND(P134="S"),ROUNDUP(AI134,0),)))</f>
        <v/>
      </c>
      <c r="AK134" s="183" t="str">
        <f t="shared" ref="AK134:AK197" si="48">IF(AI134="","",IF(OR(AI134="AB",AI134&lt;36%*$AI$4),"F","P"))</f>
        <v/>
      </c>
      <c r="AL134" s="5"/>
      <c r="AM134" s="183" t="str">
        <f t="shared" ref="AM134:AM197" si="49">IF(AL134="","",IF(OR(AL134="AB",Q134="RE"),AL134,IF(AND(Q134="S"),ROUNDUP(AL134,0),)))</f>
        <v/>
      </c>
      <c r="AN134" s="183" t="str">
        <f t="shared" ref="AN134:AN197" si="50">IF(AL134="","",IF(OR(AL134="AB",AL134&lt;36%*$AL$4),"F","P"))</f>
        <v/>
      </c>
      <c r="AO134" s="184">
        <f t="shared" ref="AO134:AO197" si="51">IF(COUNTIF(K134:Q134,"F")&gt;0,"",COUNTA(T134,W134,Z134,AC134,AF134,AI134,AL134))</f>
        <v>0</v>
      </c>
      <c r="AP134" s="184">
        <f t="shared" ref="AP134:AP197" si="52">IF(COUNTIF(K134:Q134,"F")&gt;0,"",COUNTIF(T134:AN134,"P"))</f>
        <v>0</v>
      </c>
      <c r="AQ134" s="608" t="str">
        <f t="shared" ref="AQ134:AQ197" si="53">IF(AND(T134="",W134="",Z134="",AC134="",AF134="",AI134="",AL134=""),"",IF(COUNTIF(K134:Q134,"F")&gt;0,"",IF(S134=0,"",IF(S134&gt;AO134,H134,IF(S134&gt;AP134,"FAIL","PASS")))))</f>
        <v/>
      </c>
      <c r="AR134" s="185" t="str">
        <f>IF(COUNTIF(K134:Q134,"F")&gt;0,"",IF(AQ134="PASS",'Statement of Marks'!HZ136,""))</f>
        <v/>
      </c>
      <c r="AS134" s="185" t="str">
        <f>IF(AQ134="PASS",'Statement of Marks'!IA136,"")</f>
        <v/>
      </c>
    </row>
    <row r="135" spans="1:45">
      <c r="A135" s="169">
        <f>IF('Statement of Marks'!A137="","",'Statement of Marks'!A137)</f>
        <v>131</v>
      </c>
      <c r="B135" s="169" t="str">
        <f>IF('Statement of Marks'!B137="","",'Statement of Marks'!B137)</f>
        <v/>
      </c>
      <c r="C135" s="169" t="str">
        <f>IF('Statement of Marks'!D137="","",'Statement of Marks'!D137)</f>
        <v/>
      </c>
      <c r="D135" s="170" t="str">
        <f>IF('Statement of Marks'!E137="","",'Statement of Marks'!E137)</f>
        <v/>
      </c>
      <c r="E135" s="171" t="str">
        <f>IF('Statement of Marks'!F137="","",'Statement of Marks'!F137)</f>
        <v/>
      </c>
      <c r="F135" s="171" t="str">
        <f>IF('Statement of Marks'!G137="","",'Statement of Marks'!G137)</f>
        <v/>
      </c>
      <c r="G135" s="171" t="str">
        <f>IF('Statement of Marks'!H137="","",'Statement of Marks'!H137)</f>
        <v/>
      </c>
      <c r="H135" s="172" t="str">
        <f>IF('Statement of Marks'!HS137="","",'Statement of Marks'!HS137)</f>
        <v/>
      </c>
      <c r="I135" s="172" t="str">
        <f>IF('Statement of Marks'!HV137="","",'Statement of Marks'!HV137)</f>
        <v/>
      </c>
      <c r="J135" s="173" t="str">
        <f>IF('Statement of Marks'!HU137="","",'Statement of Marks'!HU137)</f>
        <v/>
      </c>
      <c r="K135" s="181" t="str">
        <f>'Statement of Marks'!GN137</f>
        <v/>
      </c>
      <c r="L135" s="181" t="str">
        <f>'Statement of Marks'!GQ137</f>
        <v/>
      </c>
      <c r="M135" s="181" t="str">
        <f>'Statement of Marks'!GT137</f>
        <v/>
      </c>
      <c r="N135" s="181" t="str">
        <f>'Statement of Marks'!HB137</f>
        <v/>
      </c>
      <c r="O135" s="181" t="str">
        <f>'Statement of Marks'!HE137</f>
        <v/>
      </c>
      <c r="P135" s="181" t="str">
        <f>'Statement of Marks'!HH137</f>
        <v/>
      </c>
      <c r="Q135" s="181" t="str">
        <f>'Statement of Marks'!HK137</f>
        <v/>
      </c>
      <c r="R135" s="173" t="str">
        <f>IF(COUNTIF(K135:Q135,"F")&gt;0,"",CONCATENATE('Statement of Marks'!HO137,'Statement of Marks'!HQ137))</f>
        <v xml:space="preserve">            </v>
      </c>
      <c r="S135" s="174">
        <f t="shared" si="36"/>
        <v>0</v>
      </c>
      <c r="T135" s="5"/>
      <c r="U135" s="182" t="str">
        <f t="shared" si="37"/>
        <v/>
      </c>
      <c r="V135" s="182" t="str">
        <f t="shared" si="38"/>
        <v/>
      </c>
      <c r="W135" s="5"/>
      <c r="X135" s="182" t="str">
        <f t="shared" si="39"/>
        <v/>
      </c>
      <c r="Y135" s="182" t="str">
        <f t="shared" si="40"/>
        <v/>
      </c>
      <c r="Z135" s="5"/>
      <c r="AA135" s="182" t="str">
        <f t="shared" si="41"/>
        <v/>
      </c>
      <c r="AB135" s="183" t="str">
        <f t="shared" si="42"/>
        <v/>
      </c>
      <c r="AC135" s="5"/>
      <c r="AD135" s="182" t="str">
        <f t="shared" si="43"/>
        <v/>
      </c>
      <c r="AE135" s="183" t="str">
        <f t="shared" si="44"/>
        <v/>
      </c>
      <c r="AF135" s="5"/>
      <c r="AG135" s="182" t="str">
        <f t="shared" si="45"/>
        <v/>
      </c>
      <c r="AH135" s="183" t="str">
        <f t="shared" si="46"/>
        <v/>
      </c>
      <c r="AI135" s="5"/>
      <c r="AJ135" s="183" t="str">
        <f t="shared" si="47"/>
        <v/>
      </c>
      <c r="AK135" s="183" t="str">
        <f t="shared" si="48"/>
        <v/>
      </c>
      <c r="AL135" s="5"/>
      <c r="AM135" s="183" t="str">
        <f t="shared" si="49"/>
        <v/>
      </c>
      <c r="AN135" s="183" t="str">
        <f t="shared" si="50"/>
        <v/>
      </c>
      <c r="AO135" s="184">
        <f t="shared" si="51"/>
        <v>0</v>
      </c>
      <c r="AP135" s="184">
        <f t="shared" si="52"/>
        <v>0</v>
      </c>
      <c r="AQ135" s="608" t="str">
        <f t="shared" si="53"/>
        <v/>
      </c>
      <c r="AR135" s="185" t="str">
        <f>IF(COUNTIF(K135:Q135,"F")&gt;0,"",IF(AQ135="PASS",'Statement of Marks'!HZ137,""))</f>
        <v/>
      </c>
      <c r="AS135" s="185" t="str">
        <f>IF(AQ135="PASS",'Statement of Marks'!IA137,"")</f>
        <v/>
      </c>
    </row>
    <row r="136" spans="1:45">
      <c r="A136" s="169">
        <f>IF('Statement of Marks'!A138="","",'Statement of Marks'!A138)</f>
        <v>132</v>
      </c>
      <c r="B136" s="169" t="str">
        <f>IF('Statement of Marks'!B138="","",'Statement of Marks'!B138)</f>
        <v/>
      </c>
      <c r="C136" s="169" t="str">
        <f>IF('Statement of Marks'!D138="","",'Statement of Marks'!D138)</f>
        <v/>
      </c>
      <c r="D136" s="170" t="str">
        <f>IF('Statement of Marks'!E138="","",'Statement of Marks'!E138)</f>
        <v/>
      </c>
      <c r="E136" s="171" t="str">
        <f>IF('Statement of Marks'!F138="","",'Statement of Marks'!F138)</f>
        <v/>
      </c>
      <c r="F136" s="171" t="str">
        <f>IF('Statement of Marks'!G138="","",'Statement of Marks'!G138)</f>
        <v/>
      </c>
      <c r="G136" s="171" t="str">
        <f>IF('Statement of Marks'!H138="","",'Statement of Marks'!H138)</f>
        <v/>
      </c>
      <c r="H136" s="172" t="str">
        <f>IF('Statement of Marks'!HS138="","",'Statement of Marks'!HS138)</f>
        <v/>
      </c>
      <c r="I136" s="172" t="str">
        <f>IF('Statement of Marks'!HV138="","",'Statement of Marks'!HV138)</f>
        <v/>
      </c>
      <c r="J136" s="173" t="str">
        <f>IF('Statement of Marks'!HU138="","",'Statement of Marks'!HU138)</f>
        <v/>
      </c>
      <c r="K136" s="181" t="str">
        <f>'Statement of Marks'!GN138</f>
        <v/>
      </c>
      <c r="L136" s="181" t="str">
        <f>'Statement of Marks'!GQ138</f>
        <v/>
      </c>
      <c r="M136" s="181" t="str">
        <f>'Statement of Marks'!GT138</f>
        <v/>
      </c>
      <c r="N136" s="181" t="str">
        <f>'Statement of Marks'!HB138</f>
        <v/>
      </c>
      <c r="O136" s="181" t="str">
        <f>'Statement of Marks'!HE138</f>
        <v/>
      </c>
      <c r="P136" s="181" t="str">
        <f>'Statement of Marks'!HH138</f>
        <v/>
      </c>
      <c r="Q136" s="181" t="str">
        <f>'Statement of Marks'!HK138</f>
        <v/>
      </c>
      <c r="R136" s="173" t="str">
        <f>IF(COUNTIF(K136:Q136,"F")&gt;0,"",CONCATENATE('Statement of Marks'!HO138,'Statement of Marks'!HQ138))</f>
        <v xml:space="preserve">            </v>
      </c>
      <c r="S136" s="174">
        <f t="shared" si="36"/>
        <v>0</v>
      </c>
      <c r="T136" s="5"/>
      <c r="U136" s="182" t="str">
        <f t="shared" si="37"/>
        <v/>
      </c>
      <c r="V136" s="182" t="str">
        <f t="shared" si="38"/>
        <v/>
      </c>
      <c r="W136" s="5"/>
      <c r="X136" s="182" t="str">
        <f t="shared" si="39"/>
        <v/>
      </c>
      <c r="Y136" s="182" t="str">
        <f t="shared" si="40"/>
        <v/>
      </c>
      <c r="Z136" s="5"/>
      <c r="AA136" s="182" t="str">
        <f t="shared" si="41"/>
        <v/>
      </c>
      <c r="AB136" s="183" t="str">
        <f t="shared" si="42"/>
        <v/>
      </c>
      <c r="AC136" s="5"/>
      <c r="AD136" s="182" t="str">
        <f t="shared" si="43"/>
        <v/>
      </c>
      <c r="AE136" s="183" t="str">
        <f t="shared" si="44"/>
        <v/>
      </c>
      <c r="AF136" s="5"/>
      <c r="AG136" s="182" t="str">
        <f t="shared" si="45"/>
        <v/>
      </c>
      <c r="AH136" s="183" t="str">
        <f t="shared" si="46"/>
        <v/>
      </c>
      <c r="AI136" s="5"/>
      <c r="AJ136" s="183" t="str">
        <f t="shared" si="47"/>
        <v/>
      </c>
      <c r="AK136" s="183" t="str">
        <f t="shared" si="48"/>
        <v/>
      </c>
      <c r="AL136" s="5"/>
      <c r="AM136" s="183" t="str">
        <f t="shared" si="49"/>
        <v/>
      </c>
      <c r="AN136" s="183" t="str">
        <f t="shared" si="50"/>
        <v/>
      </c>
      <c r="AO136" s="184">
        <f t="shared" si="51"/>
        <v>0</v>
      </c>
      <c r="AP136" s="184">
        <f t="shared" si="52"/>
        <v>0</v>
      </c>
      <c r="AQ136" s="608" t="str">
        <f t="shared" si="53"/>
        <v/>
      </c>
      <c r="AR136" s="185" t="str">
        <f>IF(COUNTIF(K136:Q136,"F")&gt;0,"",IF(AQ136="PASS",'Statement of Marks'!HZ138,""))</f>
        <v/>
      </c>
      <c r="AS136" s="185" t="str">
        <f>IF(AQ136="PASS",'Statement of Marks'!IA138,"")</f>
        <v/>
      </c>
    </row>
    <row r="137" spans="1:45">
      <c r="A137" s="169">
        <f>IF('Statement of Marks'!A139="","",'Statement of Marks'!A139)</f>
        <v>133</v>
      </c>
      <c r="B137" s="169" t="str">
        <f>IF('Statement of Marks'!B139="","",'Statement of Marks'!B139)</f>
        <v/>
      </c>
      <c r="C137" s="169" t="str">
        <f>IF('Statement of Marks'!D139="","",'Statement of Marks'!D139)</f>
        <v/>
      </c>
      <c r="D137" s="170" t="str">
        <f>IF('Statement of Marks'!E139="","",'Statement of Marks'!E139)</f>
        <v/>
      </c>
      <c r="E137" s="171" t="str">
        <f>IF('Statement of Marks'!F139="","",'Statement of Marks'!F139)</f>
        <v/>
      </c>
      <c r="F137" s="171" t="str">
        <f>IF('Statement of Marks'!G139="","",'Statement of Marks'!G139)</f>
        <v/>
      </c>
      <c r="G137" s="171" t="str">
        <f>IF('Statement of Marks'!H139="","",'Statement of Marks'!H139)</f>
        <v/>
      </c>
      <c r="H137" s="172" t="str">
        <f>IF('Statement of Marks'!HS139="","",'Statement of Marks'!HS139)</f>
        <v/>
      </c>
      <c r="I137" s="172" t="str">
        <f>IF('Statement of Marks'!HV139="","",'Statement of Marks'!HV139)</f>
        <v/>
      </c>
      <c r="J137" s="173" t="str">
        <f>IF('Statement of Marks'!HU139="","",'Statement of Marks'!HU139)</f>
        <v/>
      </c>
      <c r="K137" s="181" t="str">
        <f>'Statement of Marks'!GN139</f>
        <v/>
      </c>
      <c r="L137" s="181" t="str">
        <f>'Statement of Marks'!GQ139</f>
        <v/>
      </c>
      <c r="M137" s="181" t="str">
        <f>'Statement of Marks'!GT139</f>
        <v/>
      </c>
      <c r="N137" s="181" t="str">
        <f>'Statement of Marks'!HB139</f>
        <v/>
      </c>
      <c r="O137" s="181" t="str">
        <f>'Statement of Marks'!HE139</f>
        <v/>
      </c>
      <c r="P137" s="181" t="str">
        <f>'Statement of Marks'!HH139</f>
        <v/>
      </c>
      <c r="Q137" s="181" t="str">
        <f>'Statement of Marks'!HK139</f>
        <v/>
      </c>
      <c r="R137" s="173" t="str">
        <f>IF(COUNTIF(K137:Q137,"F")&gt;0,"",CONCATENATE('Statement of Marks'!HO139,'Statement of Marks'!HQ139))</f>
        <v xml:space="preserve">            </v>
      </c>
      <c r="S137" s="174">
        <f t="shared" si="36"/>
        <v>0</v>
      </c>
      <c r="T137" s="5"/>
      <c r="U137" s="182" t="str">
        <f t="shared" si="37"/>
        <v/>
      </c>
      <c r="V137" s="182" t="str">
        <f t="shared" si="38"/>
        <v/>
      </c>
      <c r="W137" s="5"/>
      <c r="X137" s="182" t="str">
        <f t="shared" si="39"/>
        <v/>
      </c>
      <c r="Y137" s="182" t="str">
        <f t="shared" si="40"/>
        <v/>
      </c>
      <c r="Z137" s="5"/>
      <c r="AA137" s="182" t="str">
        <f t="shared" si="41"/>
        <v/>
      </c>
      <c r="AB137" s="183" t="str">
        <f t="shared" si="42"/>
        <v/>
      </c>
      <c r="AC137" s="5"/>
      <c r="AD137" s="182" t="str">
        <f t="shared" si="43"/>
        <v/>
      </c>
      <c r="AE137" s="183" t="str">
        <f t="shared" si="44"/>
        <v/>
      </c>
      <c r="AF137" s="5"/>
      <c r="AG137" s="182" t="str">
        <f t="shared" si="45"/>
        <v/>
      </c>
      <c r="AH137" s="183" t="str">
        <f t="shared" si="46"/>
        <v/>
      </c>
      <c r="AI137" s="5"/>
      <c r="AJ137" s="183" t="str">
        <f t="shared" si="47"/>
        <v/>
      </c>
      <c r="AK137" s="183" t="str">
        <f t="shared" si="48"/>
        <v/>
      </c>
      <c r="AL137" s="5"/>
      <c r="AM137" s="183" t="str">
        <f t="shared" si="49"/>
        <v/>
      </c>
      <c r="AN137" s="183" t="str">
        <f t="shared" si="50"/>
        <v/>
      </c>
      <c r="AO137" s="184">
        <f t="shared" si="51"/>
        <v>0</v>
      </c>
      <c r="AP137" s="184">
        <f t="shared" si="52"/>
        <v>0</v>
      </c>
      <c r="AQ137" s="608" t="str">
        <f t="shared" si="53"/>
        <v/>
      </c>
      <c r="AR137" s="185" t="str">
        <f>IF(COUNTIF(K137:Q137,"F")&gt;0,"",IF(AQ137="PASS",'Statement of Marks'!HZ139,""))</f>
        <v/>
      </c>
      <c r="AS137" s="185" t="str">
        <f>IF(AQ137="PASS",'Statement of Marks'!IA139,"")</f>
        <v/>
      </c>
    </row>
    <row r="138" spans="1:45">
      <c r="A138" s="169">
        <f>IF('Statement of Marks'!A140="","",'Statement of Marks'!A140)</f>
        <v>134</v>
      </c>
      <c r="B138" s="169" t="str">
        <f>IF('Statement of Marks'!B140="","",'Statement of Marks'!B140)</f>
        <v/>
      </c>
      <c r="C138" s="169" t="str">
        <f>IF('Statement of Marks'!D140="","",'Statement of Marks'!D140)</f>
        <v/>
      </c>
      <c r="D138" s="170" t="str">
        <f>IF('Statement of Marks'!E140="","",'Statement of Marks'!E140)</f>
        <v/>
      </c>
      <c r="E138" s="171" t="str">
        <f>IF('Statement of Marks'!F140="","",'Statement of Marks'!F140)</f>
        <v/>
      </c>
      <c r="F138" s="171" t="str">
        <f>IF('Statement of Marks'!G140="","",'Statement of Marks'!G140)</f>
        <v/>
      </c>
      <c r="G138" s="171" t="str">
        <f>IF('Statement of Marks'!H140="","",'Statement of Marks'!H140)</f>
        <v/>
      </c>
      <c r="H138" s="172" t="str">
        <f>IF('Statement of Marks'!HS140="","",'Statement of Marks'!HS140)</f>
        <v/>
      </c>
      <c r="I138" s="172" t="str">
        <f>IF('Statement of Marks'!HV140="","",'Statement of Marks'!HV140)</f>
        <v/>
      </c>
      <c r="J138" s="173" t="str">
        <f>IF('Statement of Marks'!HU140="","",'Statement of Marks'!HU140)</f>
        <v/>
      </c>
      <c r="K138" s="181" t="str">
        <f>'Statement of Marks'!GN140</f>
        <v/>
      </c>
      <c r="L138" s="181" t="str">
        <f>'Statement of Marks'!GQ140</f>
        <v/>
      </c>
      <c r="M138" s="181" t="str">
        <f>'Statement of Marks'!GT140</f>
        <v/>
      </c>
      <c r="N138" s="181" t="str">
        <f>'Statement of Marks'!HB140</f>
        <v/>
      </c>
      <c r="O138" s="181" t="str">
        <f>'Statement of Marks'!HE140</f>
        <v/>
      </c>
      <c r="P138" s="181" t="str">
        <f>'Statement of Marks'!HH140</f>
        <v/>
      </c>
      <c r="Q138" s="181" t="str">
        <f>'Statement of Marks'!HK140</f>
        <v/>
      </c>
      <c r="R138" s="173" t="str">
        <f>IF(COUNTIF(K138:Q138,"F")&gt;0,"",CONCATENATE('Statement of Marks'!HO140,'Statement of Marks'!HQ140))</f>
        <v xml:space="preserve">            </v>
      </c>
      <c r="S138" s="174">
        <f t="shared" si="36"/>
        <v>0</v>
      </c>
      <c r="T138" s="5"/>
      <c r="U138" s="182" t="str">
        <f t="shared" si="37"/>
        <v/>
      </c>
      <c r="V138" s="182" t="str">
        <f t="shared" si="38"/>
        <v/>
      </c>
      <c r="W138" s="5"/>
      <c r="X138" s="182" t="str">
        <f t="shared" si="39"/>
        <v/>
      </c>
      <c r="Y138" s="182" t="str">
        <f t="shared" si="40"/>
        <v/>
      </c>
      <c r="Z138" s="5"/>
      <c r="AA138" s="182" t="str">
        <f t="shared" si="41"/>
        <v/>
      </c>
      <c r="AB138" s="183" t="str">
        <f t="shared" si="42"/>
        <v/>
      </c>
      <c r="AC138" s="5"/>
      <c r="AD138" s="182" t="str">
        <f t="shared" si="43"/>
        <v/>
      </c>
      <c r="AE138" s="183" t="str">
        <f t="shared" si="44"/>
        <v/>
      </c>
      <c r="AF138" s="5"/>
      <c r="AG138" s="182" t="str">
        <f t="shared" si="45"/>
        <v/>
      </c>
      <c r="AH138" s="183" t="str">
        <f t="shared" si="46"/>
        <v/>
      </c>
      <c r="AI138" s="5"/>
      <c r="AJ138" s="183" t="str">
        <f t="shared" si="47"/>
        <v/>
      </c>
      <c r="AK138" s="183" t="str">
        <f t="shared" si="48"/>
        <v/>
      </c>
      <c r="AL138" s="5"/>
      <c r="AM138" s="183" t="str">
        <f t="shared" si="49"/>
        <v/>
      </c>
      <c r="AN138" s="183" t="str">
        <f t="shared" si="50"/>
        <v/>
      </c>
      <c r="AO138" s="184">
        <f t="shared" si="51"/>
        <v>0</v>
      </c>
      <c r="AP138" s="184">
        <f t="shared" si="52"/>
        <v>0</v>
      </c>
      <c r="AQ138" s="608" t="str">
        <f t="shared" si="53"/>
        <v/>
      </c>
      <c r="AR138" s="185" t="str">
        <f>IF(COUNTIF(K138:Q138,"F")&gt;0,"",IF(AQ138="PASS",'Statement of Marks'!HZ140,""))</f>
        <v/>
      </c>
      <c r="AS138" s="185" t="str">
        <f>IF(AQ138="PASS",'Statement of Marks'!IA140,"")</f>
        <v/>
      </c>
    </row>
    <row r="139" spans="1:45">
      <c r="A139" s="169">
        <f>IF('Statement of Marks'!A141="","",'Statement of Marks'!A141)</f>
        <v>135</v>
      </c>
      <c r="B139" s="169" t="str">
        <f>IF('Statement of Marks'!B141="","",'Statement of Marks'!B141)</f>
        <v/>
      </c>
      <c r="C139" s="169" t="str">
        <f>IF('Statement of Marks'!D141="","",'Statement of Marks'!D141)</f>
        <v/>
      </c>
      <c r="D139" s="170" t="str">
        <f>IF('Statement of Marks'!E141="","",'Statement of Marks'!E141)</f>
        <v/>
      </c>
      <c r="E139" s="171" t="str">
        <f>IF('Statement of Marks'!F141="","",'Statement of Marks'!F141)</f>
        <v/>
      </c>
      <c r="F139" s="171" t="str">
        <f>IF('Statement of Marks'!G141="","",'Statement of Marks'!G141)</f>
        <v/>
      </c>
      <c r="G139" s="171" t="str">
        <f>IF('Statement of Marks'!H141="","",'Statement of Marks'!H141)</f>
        <v/>
      </c>
      <c r="H139" s="172" t="str">
        <f>IF('Statement of Marks'!HS141="","",'Statement of Marks'!HS141)</f>
        <v/>
      </c>
      <c r="I139" s="172" t="str">
        <f>IF('Statement of Marks'!HV141="","",'Statement of Marks'!HV141)</f>
        <v/>
      </c>
      <c r="J139" s="173" t="str">
        <f>IF('Statement of Marks'!HU141="","",'Statement of Marks'!HU141)</f>
        <v/>
      </c>
      <c r="K139" s="181" t="str">
        <f>'Statement of Marks'!GN141</f>
        <v/>
      </c>
      <c r="L139" s="181" t="str">
        <f>'Statement of Marks'!GQ141</f>
        <v/>
      </c>
      <c r="M139" s="181" t="str">
        <f>'Statement of Marks'!GT141</f>
        <v/>
      </c>
      <c r="N139" s="181" t="str">
        <f>'Statement of Marks'!HB141</f>
        <v/>
      </c>
      <c r="O139" s="181" t="str">
        <f>'Statement of Marks'!HE141</f>
        <v/>
      </c>
      <c r="P139" s="181" t="str">
        <f>'Statement of Marks'!HH141</f>
        <v/>
      </c>
      <c r="Q139" s="181" t="str">
        <f>'Statement of Marks'!HK141</f>
        <v/>
      </c>
      <c r="R139" s="173" t="str">
        <f>IF(COUNTIF(K139:Q139,"F")&gt;0,"",CONCATENATE('Statement of Marks'!HO141,'Statement of Marks'!HQ141))</f>
        <v xml:space="preserve">            </v>
      </c>
      <c r="S139" s="174">
        <f t="shared" si="36"/>
        <v>0</v>
      </c>
      <c r="T139" s="5"/>
      <c r="U139" s="182" t="str">
        <f t="shared" si="37"/>
        <v/>
      </c>
      <c r="V139" s="182" t="str">
        <f t="shared" si="38"/>
        <v/>
      </c>
      <c r="W139" s="5"/>
      <c r="X139" s="182" t="str">
        <f t="shared" si="39"/>
        <v/>
      </c>
      <c r="Y139" s="182" t="str">
        <f t="shared" si="40"/>
        <v/>
      </c>
      <c r="Z139" s="5"/>
      <c r="AA139" s="182" t="str">
        <f t="shared" si="41"/>
        <v/>
      </c>
      <c r="AB139" s="183" t="str">
        <f t="shared" si="42"/>
        <v/>
      </c>
      <c r="AC139" s="5"/>
      <c r="AD139" s="182" t="str">
        <f t="shared" si="43"/>
        <v/>
      </c>
      <c r="AE139" s="183" t="str">
        <f t="shared" si="44"/>
        <v/>
      </c>
      <c r="AF139" s="5"/>
      <c r="AG139" s="182" t="str">
        <f t="shared" si="45"/>
        <v/>
      </c>
      <c r="AH139" s="183" t="str">
        <f t="shared" si="46"/>
        <v/>
      </c>
      <c r="AI139" s="5"/>
      <c r="AJ139" s="183" t="str">
        <f t="shared" si="47"/>
        <v/>
      </c>
      <c r="AK139" s="183" t="str">
        <f t="shared" si="48"/>
        <v/>
      </c>
      <c r="AL139" s="5"/>
      <c r="AM139" s="183" t="str">
        <f t="shared" si="49"/>
        <v/>
      </c>
      <c r="AN139" s="183" t="str">
        <f t="shared" si="50"/>
        <v/>
      </c>
      <c r="AO139" s="184">
        <f t="shared" si="51"/>
        <v>0</v>
      </c>
      <c r="AP139" s="184">
        <f t="shared" si="52"/>
        <v>0</v>
      </c>
      <c r="AQ139" s="608" t="str">
        <f t="shared" si="53"/>
        <v/>
      </c>
      <c r="AR139" s="185" t="str">
        <f>IF(COUNTIF(K139:Q139,"F")&gt;0,"",IF(AQ139="PASS",'Statement of Marks'!HZ141,""))</f>
        <v/>
      </c>
      <c r="AS139" s="185" t="str">
        <f>IF(AQ139="PASS",'Statement of Marks'!IA141,"")</f>
        <v/>
      </c>
    </row>
    <row r="140" spans="1:45">
      <c r="A140" s="169">
        <f>IF('Statement of Marks'!A142="","",'Statement of Marks'!A142)</f>
        <v>136</v>
      </c>
      <c r="B140" s="169" t="str">
        <f>IF('Statement of Marks'!B142="","",'Statement of Marks'!B142)</f>
        <v/>
      </c>
      <c r="C140" s="169" t="str">
        <f>IF('Statement of Marks'!D142="","",'Statement of Marks'!D142)</f>
        <v/>
      </c>
      <c r="D140" s="170" t="str">
        <f>IF('Statement of Marks'!E142="","",'Statement of Marks'!E142)</f>
        <v/>
      </c>
      <c r="E140" s="171" t="str">
        <f>IF('Statement of Marks'!F142="","",'Statement of Marks'!F142)</f>
        <v/>
      </c>
      <c r="F140" s="171" t="str">
        <f>IF('Statement of Marks'!G142="","",'Statement of Marks'!G142)</f>
        <v/>
      </c>
      <c r="G140" s="171" t="str">
        <f>IF('Statement of Marks'!H142="","",'Statement of Marks'!H142)</f>
        <v/>
      </c>
      <c r="H140" s="172" t="str">
        <f>IF('Statement of Marks'!HS142="","",'Statement of Marks'!HS142)</f>
        <v/>
      </c>
      <c r="I140" s="172" t="str">
        <f>IF('Statement of Marks'!HV142="","",'Statement of Marks'!HV142)</f>
        <v/>
      </c>
      <c r="J140" s="173" t="str">
        <f>IF('Statement of Marks'!HU142="","",'Statement of Marks'!HU142)</f>
        <v/>
      </c>
      <c r="K140" s="181" t="str">
        <f>'Statement of Marks'!GN142</f>
        <v/>
      </c>
      <c r="L140" s="181" t="str">
        <f>'Statement of Marks'!GQ142</f>
        <v/>
      </c>
      <c r="M140" s="181" t="str">
        <f>'Statement of Marks'!GT142</f>
        <v/>
      </c>
      <c r="N140" s="181" t="str">
        <f>'Statement of Marks'!HB142</f>
        <v/>
      </c>
      <c r="O140" s="181" t="str">
        <f>'Statement of Marks'!HE142</f>
        <v/>
      </c>
      <c r="P140" s="181" t="str">
        <f>'Statement of Marks'!HH142</f>
        <v/>
      </c>
      <c r="Q140" s="181" t="str">
        <f>'Statement of Marks'!HK142</f>
        <v/>
      </c>
      <c r="R140" s="173" t="str">
        <f>IF(COUNTIF(K140:Q140,"F")&gt;0,"",CONCATENATE('Statement of Marks'!HO142,'Statement of Marks'!HQ142))</f>
        <v xml:space="preserve">            </v>
      </c>
      <c r="S140" s="174">
        <f t="shared" si="36"/>
        <v>0</v>
      </c>
      <c r="T140" s="5"/>
      <c r="U140" s="182" t="str">
        <f t="shared" si="37"/>
        <v/>
      </c>
      <c r="V140" s="182" t="str">
        <f t="shared" si="38"/>
        <v/>
      </c>
      <c r="W140" s="5"/>
      <c r="X140" s="182" t="str">
        <f t="shared" si="39"/>
        <v/>
      </c>
      <c r="Y140" s="182" t="str">
        <f t="shared" si="40"/>
        <v/>
      </c>
      <c r="Z140" s="5"/>
      <c r="AA140" s="182" t="str">
        <f t="shared" si="41"/>
        <v/>
      </c>
      <c r="AB140" s="183" t="str">
        <f t="shared" si="42"/>
        <v/>
      </c>
      <c r="AC140" s="5"/>
      <c r="AD140" s="182" t="str">
        <f t="shared" si="43"/>
        <v/>
      </c>
      <c r="AE140" s="183" t="str">
        <f t="shared" si="44"/>
        <v/>
      </c>
      <c r="AF140" s="5"/>
      <c r="AG140" s="182" t="str">
        <f t="shared" si="45"/>
        <v/>
      </c>
      <c r="AH140" s="183" t="str">
        <f t="shared" si="46"/>
        <v/>
      </c>
      <c r="AI140" s="5"/>
      <c r="AJ140" s="183" t="str">
        <f t="shared" si="47"/>
        <v/>
      </c>
      <c r="AK140" s="183" t="str">
        <f t="shared" si="48"/>
        <v/>
      </c>
      <c r="AL140" s="5"/>
      <c r="AM140" s="183" t="str">
        <f t="shared" si="49"/>
        <v/>
      </c>
      <c r="AN140" s="183" t="str">
        <f t="shared" si="50"/>
        <v/>
      </c>
      <c r="AO140" s="184">
        <f t="shared" si="51"/>
        <v>0</v>
      </c>
      <c r="AP140" s="184">
        <f t="shared" si="52"/>
        <v>0</v>
      </c>
      <c r="AQ140" s="608" t="str">
        <f t="shared" si="53"/>
        <v/>
      </c>
      <c r="AR140" s="185" t="str">
        <f>IF(COUNTIF(K140:Q140,"F")&gt;0,"",IF(AQ140="PASS",'Statement of Marks'!HZ142,""))</f>
        <v/>
      </c>
      <c r="AS140" s="185" t="str">
        <f>IF(AQ140="PASS",'Statement of Marks'!IA142,"")</f>
        <v/>
      </c>
    </row>
    <row r="141" spans="1:45">
      <c r="A141" s="169">
        <f>IF('Statement of Marks'!A143="","",'Statement of Marks'!A143)</f>
        <v>137</v>
      </c>
      <c r="B141" s="169" t="str">
        <f>IF('Statement of Marks'!B143="","",'Statement of Marks'!B143)</f>
        <v/>
      </c>
      <c r="C141" s="169" t="str">
        <f>IF('Statement of Marks'!D143="","",'Statement of Marks'!D143)</f>
        <v/>
      </c>
      <c r="D141" s="170" t="str">
        <f>IF('Statement of Marks'!E143="","",'Statement of Marks'!E143)</f>
        <v/>
      </c>
      <c r="E141" s="171" t="str">
        <f>IF('Statement of Marks'!F143="","",'Statement of Marks'!F143)</f>
        <v/>
      </c>
      <c r="F141" s="171" t="str">
        <f>IF('Statement of Marks'!G143="","",'Statement of Marks'!G143)</f>
        <v/>
      </c>
      <c r="G141" s="171" t="str">
        <f>IF('Statement of Marks'!H143="","",'Statement of Marks'!H143)</f>
        <v/>
      </c>
      <c r="H141" s="172" t="str">
        <f>IF('Statement of Marks'!HS143="","",'Statement of Marks'!HS143)</f>
        <v/>
      </c>
      <c r="I141" s="172" t="str">
        <f>IF('Statement of Marks'!HV143="","",'Statement of Marks'!HV143)</f>
        <v/>
      </c>
      <c r="J141" s="173" t="str">
        <f>IF('Statement of Marks'!HU143="","",'Statement of Marks'!HU143)</f>
        <v/>
      </c>
      <c r="K141" s="181" t="str">
        <f>'Statement of Marks'!GN143</f>
        <v/>
      </c>
      <c r="L141" s="181" t="str">
        <f>'Statement of Marks'!GQ143</f>
        <v/>
      </c>
      <c r="M141" s="181" t="str">
        <f>'Statement of Marks'!GT143</f>
        <v/>
      </c>
      <c r="N141" s="181" t="str">
        <f>'Statement of Marks'!HB143</f>
        <v/>
      </c>
      <c r="O141" s="181" t="str">
        <f>'Statement of Marks'!HE143</f>
        <v/>
      </c>
      <c r="P141" s="181" t="str">
        <f>'Statement of Marks'!HH143</f>
        <v/>
      </c>
      <c r="Q141" s="181" t="str">
        <f>'Statement of Marks'!HK143</f>
        <v/>
      </c>
      <c r="R141" s="173" t="str">
        <f>IF(COUNTIF(K141:Q141,"F")&gt;0,"",CONCATENATE('Statement of Marks'!HO143,'Statement of Marks'!HQ143))</f>
        <v xml:space="preserve">            </v>
      </c>
      <c r="S141" s="174">
        <f t="shared" si="36"/>
        <v>0</v>
      </c>
      <c r="T141" s="5"/>
      <c r="U141" s="182" t="str">
        <f t="shared" si="37"/>
        <v/>
      </c>
      <c r="V141" s="182" t="str">
        <f t="shared" si="38"/>
        <v/>
      </c>
      <c r="W141" s="5"/>
      <c r="X141" s="182" t="str">
        <f t="shared" si="39"/>
        <v/>
      </c>
      <c r="Y141" s="182" t="str">
        <f t="shared" si="40"/>
        <v/>
      </c>
      <c r="Z141" s="5"/>
      <c r="AA141" s="182" t="str">
        <f t="shared" si="41"/>
        <v/>
      </c>
      <c r="AB141" s="183" t="str">
        <f t="shared" si="42"/>
        <v/>
      </c>
      <c r="AC141" s="5"/>
      <c r="AD141" s="182" t="str">
        <f t="shared" si="43"/>
        <v/>
      </c>
      <c r="AE141" s="183" t="str">
        <f t="shared" si="44"/>
        <v/>
      </c>
      <c r="AF141" s="5"/>
      <c r="AG141" s="182" t="str">
        <f t="shared" si="45"/>
        <v/>
      </c>
      <c r="AH141" s="183" t="str">
        <f t="shared" si="46"/>
        <v/>
      </c>
      <c r="AI141" s="5"/>
      <c r="AJ141" s="183" t="str">
        <f t="shared" si="47"/>
        <v/>
      </c>
      <c r="AK141" s="183" t="str">
        <f t="shared" si="48"/>
        <v/>
      </c>
      <c r="AL141" s="5"/>
      <c r="AM141" s="183" t="str">
        <f t="shared" si="49"/>
        <v/>
      </c>
      <c r="AN141" s="183" t="str">
        <f t="shared" si="50"/>
        <v/>
      </c>
      <c r="AO141" s="184">
        <f t="shared" si="51"/>
        <v>0</v>
      </c>
      <c r="AP141" s="184">
        <f t="shared" si="52"/>
        <v>0</v>
      </c>
      <c r="AQ141" s="608" t="str">
        <f t="shared" si="53"/>
        <v/>
      </c>
      <c r="AR141" s="185" t="str">
        <f>IF(COUNTIF(K141:Q141,"F")&gt;0,"",IF(AQ141="PASS",'Statement of Marks'!HZ143,""))</f>
        <v/>
      </c>
      <c r="AS141" s="185" t="str">
        <f>IF(AQ141="PASS",'Statement of Marks'!IA143,"")</f>
        <v/>
      </c>
    </row>
    <row r="142" spans="1:45">
      <c r="A142" s="169">
        <f>IF('Statement of Marks'!A144="","",'Statement of Marks'!A144)</f>
        <v>138</v>
      </c>
      <c r="B142" s="169" t="str">
        <f>IF('Statement of Marks'!B144="","",'Statement of Marks'!B144)</f>
        <v/>
      </c>
      <c r="C142" s="169" t="str">
        <f>IF('Statement of Marks'!D144="","",'Statement of Marks'!D144)</f>
        <v/>
      </c>
      <c r="D142" s="170" t="str">
        <f>IF('Statement of Marks'!E144="","",'Statement of Marks'!E144)</f>
        <v/>
      </c>
      <c r="E142" s="171" t="str">
        <f>IF('Statement of Marks'!F144="","",'Statement of Marks'!F144)</f>
        <v/>
      </c>
      <c r="F142" s="171" t="str">
        <f>IF('Statement of Marks'!G144="","",'Statement of Marks'!G144)</f>
        <v/>
      </c>
      <c r="G142" s="171" t="str">
        <f>IF('Statement of Marks'!H144="","",'Statement of Marks'!H144)</f>
        <v/>
      </c>
      <c r="H142" s="172" t="str">
        <f>IF('Statement of Marks'!HS144="","",'Statement of Marks'!HS144)</f>
        <v/>
      </c>
      <c r="I142" s="172" t="str">
        <f>IF('Statement of Marks'!HV144="","",'Statement of Marks'!HV144)</f>
        <v/>
      </c>
      <c r="J142" s="173" t="str">
        <f>IF('Statement of Marks'!HU144="","",'Statement of Marks'!HU144)</f>
        <v/>
      </c>
      <c r="K142" s="181" t="str">
        <f>'Statement of Marks'!GN144</f>
        <v/>
      </c>
      <c r="L142" s="181" t="str">
        <f>'Statement of Marks'!GQ144</f>
        <v/>
      </c>
      <c r="M142" s="181" t="str">
        <f>'Statement of Marks'!GT144</f>
        <v/>
      </c>
      <c r="N142" s="181" t="str">
        <f>'Statement of Marks'!HB144</f>
        <v/>
      </c>
      <c r="O142" s="181" t="str">
        <f>'Statement of Marks'!HE144</f>
        <v/>
      </c>
      <c r="P142" s="181" t="str">
        <f>'Statement of Marks'!HH144</f>
        <v/>
      </c>
      <c r="Q142" s="181" t="str">
        <f>'Statement of Marks'!HK144</f>
        <v/>
      </c>
      <c r="R142" s="173" t="str">
        <f>IF(COUNTIF(K142:Q142,"F")&gt;0,"",CONCATENATE('Statement of Marks'!HO144,'Statement of Marks'!HQ144))</f>
        <v xml:space="preserve">            </v>
      </c>
      <c r="S142" s="174">
        <f t="shared" si="36"/>
        <v>0</v>
      </c>
      <c r="T142" s="5"/>
      <c r="U142" s="182" t="str">
        <f t="shared" si="37"/>
        <v/>
      </c>
      <c r="V142" s="182" t="str">
        <f t="shared" si="38"/>
        <v/>
      </c>
      <c r="W142" s="5"/>
      <c r="X142" s="182" t="str">
        <f t="shared" si="39"/>
        <v/>
      </c>
      <c r="Y142" s="182" t="str">
        <f t="shared" si="40"/>
        <v/>
      </c>
      <c r="Z142" s="5"/>
      <c r="AA142" s="182" t="str">
        <f t="shared" si="41"/>
        <v/>
      </c>
      <c r="AB142" s="183" t="str">
        <f t="shared" si="42"/>
        <v/>
      </c>
      <c r="AC142" s="5"/>
      <c r="AD142" s="182" t="str">
        <f t="shared" si="43"/>
        <v/>
      </c>
      <c r="AE142" s="183" t="str">
        <f t="shared" si="44"/>
        <v/>
      </c>
      <c r="AF142" s="5"/>
      <c r="AG142" s="182" t="str">
        <f t="shared" si="45"/>
        <v/>
      </c>
      <c r="AH142" s="183" t="str">
        <f t="shared" si="46"/>
        <v/>
      </c>
      <c r="AI142" s="5"/>
      <c r="AJ142" s="183" t="str">
        <f t="shared" si="47"/>
        <v/>
      </c>
      <c r="AK142" s="183" t="str">
        <f t="shared" si="48"/>
        <v/>
      </c>
      <c r="AL142" s="5"/>
      <c r="AM142" s="183" t="str">
        <f t="shared" si="49"/>
        <v/>
      </c>
      <c r="AN142" s="183" t="str">
        <f t="shared" si="50"/>
        <v/>
      </c>
      <c r="AO142" s="184">
        <f t="shared" si="51"/>
        <v>0</v>
      </c>
      <c r="AP142" s="184">
        <f t="shared" si="52"/>
        <v>0</v>
      </c>
      <c r="AQ142" s="608" t="str">
        <f t="shared" si="53"/>
        <v/>
      </c>
      <c r="AR142" s="185" t="str">
        <f>IF(COUNTIF(K142:Q142,"F")&gt;0,"",IF(AQ142="PASS",'Statement of Marks'!HZ144,""))</f>
        <v/>
      </c>
      <c r="AS142" s="185" t="str">
        <f>IF(AQ142="PASS",'Statement of Marks'!IA144,"")</f>
        <v/>
      </c>
    </row>
    <row r="143" spans="1:45">
      <c r="A143" s="169">
        <f>IF('Statement of Marks'!A145="","",'Statement of Marks'!A145)</f>
        <v>139</v>
      </c>
      <c r="B143" s="169" t="str">
        <f>IF('Statement of Marks'!B145="","",'Statement of Marks'!B145)</f>
        <v/>
      </c>
      <c r="C143" s="169" t="str">
        <f>IF('Statement of Marks'!D145="","",'Statement of Marks'!D145)</f>
        <v/>
      </c>
      <c r="D143" s="170" t="str">
        <f>IF('Statement of Marks'!E145="","",'Statement of Marks'!E145)</f>
        <v/>
      </c>
      <c r="E143" s="171" t="str">
        <f>IF('Statement of Marks'!F145="","",'Statement of Marks'!F145)</f>
        <v/>
      </c>
      <c r="F143" s="171" t="str">
        <f>IF('Statement of Marks'!G145="","",'Statement of Marks'!G145)</f>
        <v/>
      </c>
      <c r="G143" s="171" t="str">
        <f>IF('Statement of Marks'!H145="","",'Statement of Marks'!H145)</f>
        <v/>
      </c>
      <c r="H143" s="172" t="str">
        <f>IF('Statement of Marks'!HS145="","",'Statement of Marks'!HS145)</f>
        <v/>
      </c>
      <c r="I143" s="172" t="str">
        <f>IF('Statement of Marks'!HV145="","",'Statement of Marks'!HV145)</f>
        <v/>
      </c>
      <c r="J143" s="173" t="str">
        <f>IF('Statement of Marks'!HU145="","",'Statement of Marks'!HU145)</f>
        <v/>
      </c>
      <c r="K143" s="181" t="str">
        <f>'Statement of Marks'!GN145</f>
        <v/>
      </c>
      <c r="L143" s="181" t="str">
        <f>'Statement of Marks'!GQ145</f>
        <v/>
      </c>
      <c r="M143" s="181" t="str">
        <f>'Statement of Marks'!GT145</f>
        <v/>
      </c>
      <c r="N143" s="181" t="str">
        <f>'Statement of Marks'!HB145</f>
        <v/>
      </c>
      <c r="O143" s="181" t="str">
        <f>'Statement of Marks'!HE145</f>
        <v/>
      </c>
      <c r="P143" s="181" t="str">
        <f>'Statement of Marks'!HH145</f>
        <v/>
      </c>
      <c r="Q143" s="181" t="str">
        <f>'Statement of Marks'!HK145</f>
        <v/>
      </c>
      <c r="R143" s="173" t="str">
        <f>IF(COUNTIF(K143:Q143,"F")&gt;0,"",CONCATENATE('Statement of Marks'!HO145,'Statement of Marks'!HQ145))</f>
        <v xml:space="preserve">            </v>
      </c>
      <c r="S143" s="174">
        <f t="shared" si="36"/>
        <v>0</v>
      </c>
      <c r="T143" s="5"/>
      <c r="U143" s="182" t="str">
        <f t="shared" si="37"/>
        <v/>
      </c>
      <c r="V143" s="182" t="str">
        <f t="shared" si="38"/>
        <v/>
      </c>
      <c r="W143" s="5"/>
      <c r="X143" s="182" t="str">
        <f t="shared" si="39"/>
        <v/>
      </c>
      <c r="Y143" s="182" t="str">
        <f t="shared" si="40"/>
        <v/>
      </c>
      <c r="Z143" s="5"/>
      <c r="AA143" s="182" t="str">
        <f t="shared" si="41"/>
        <v/>
      </c>
      <c r="AB143" s="183" t="str">
        <f t="shared" si="42"/>
        <v/>
      </c>
      <c r="AC143" s="5"/>
      <c r="AD143" s="182" t="str">
        <f t="shared" si="43"/>
        <v/>
      </c>
      <c r="AE143" s="183" t="str">
        <f t="shared" si="44"/>
        <v/>
      </c>
      <c r="AF143" s="5"/>
      <c r="AG143" s="182" t="str">
        <f t="shared" si="45"/>
        <v/>
      </c>
      <c r="AH143" s="183" t="str">
        <f t="shared" si="46"/>
        <v/>
      </c>
      <c r="AI143" s="5"/>
      <c r="AJ143" s="183" t="str">
        <f t="shared" si="47"/>
        <v/>
      </c>
      <c r="AK143" s="183" t="str">
        <f t="shared" si="48"/>
        <v/>
      </c>
      <c r="AL143" s="5"/>
      <c r="AM143" s="183" t="str">
        <f t="shared" si="49"/>
        <v/>
      </c>
      <c r="AN143" s="183" t="str">
        <f t="shared" si="50"/>
        <v/>
      </c>
      <c r="AO143" s="184">
        <f t="shared" si="51"/>
        <v>0</v>
      </c>
      <c r="AP143" s="184">
        <f t="shared" si="52"/>
        <v>0</v>
      </c>
      <c r="AQ143" s="608" t="str">
        <f t="shared" si="53"/>
        <v/>
      </c>
      <c r="AR143" s="185" t="str">
        <f>IF(COUNTIF(K143:Q143,"F")&gt;0,"",IF(AQ143="PASS",'Statement of Marks'!HZ145,""))</f>
        <v/>
      </c>
      <c r="AS143" s="185" t="str">
        <f>IF(AQ143="PASS",'Statement of Marks'!IA145,"")</f>
        <v/>
      </c>
    </row>
    <row r="144" spans="1:45">
      <c r="A144" s="169">
        <f>IF('Statement of Marks'!A146="","",'Statement of Marks'!A146)</f>
        <v>140</v>
      </c>
      <c r="B144" s="169" t="str">
        <f>IF('Statement of Marks'!B146="","",'Statement of Marks'!B146)</f>
        <v/>
      </c>
      <c r="C144" s="169" t="str">
        <f>IF('Statement of Marks'!D146="","",'Statement of Marks'!D146)</f>
        <v/>
      </c>
      <c r="D144" s="170" t="str">
        <f>IF('Statement of Marks'!E146="","",'Statement of Marks'!E146)</f>
        <v/>
      </c>
      <c r="E144" s="171" t="str">
        <f>IF('Statement of Marks'!F146="","",'Statement of Marks'!F146)</f>
        <v/>
      </c>
      <c r="F144" s="171" t="str">
        <f>IF('Statement of Marks'!G146="","",'Statement of Marks'!G146)</f>
        <v/>
      </c>
      <c r="G144" s="171" t="str">
        <f>IF('Statement of Marks'!H146="","",'Statement of Marks'!H146)</f>
        <v/>
      </c>
      <c r="H144" s="172" t="str">
        <f>IF('Statement of Marks'!HS146="","",'Statement of Marks'!HS146)</f>
        <v/>
      </c>
      <c r="I144" s="172" t="str">
        <f>IF('Statement of Marks'!HV146="","",'Statement of Marks'!HV146)</f>
        <v/>
      </c>
      <c r="J144" s="173" t="str">
        <f>IF('Statement of Marks'!HU146="","",'Statement of Marks'!HU146)</f>
        <v/>
      </c>
      <c r="K144" s="181" t="str">
        <f>'Statement of Marks'!GN146</f>
        <v/>
      </c>
      <c r="L144" s="181" t="str">
        <f>'Statement of Marks'!GQ146</f>
        <v/>
      </c>
      <c r="M144" s="181" t="str">
        <f>'Statement of Marks'!GT146</f>
        <v/>
      </c>
      <c r="N144" s="181" t="str">
        <f>'Statement of Marks'!HB146</f>
        <v/>
      </c>
      <c r="O144" s="181" t="str">
        <f>'Statement of Marks'!HE146</f>
        <v/>
      </c>
      <c r="P144" s="181" t="str">
        <f>'Statement of Marks'!HH146</f>
        <v/>
      </c>
      <c r="Q144" s="181" t="str">
        <f>'Statement of Marks'!HK146</f>
        <v/>
      </c>
      <c r="R144" s="173" t="str">
        <f>IF(COUNTIF(K144:Q144,"F")&gt;0,"",CONCATENATE('Statement of Marks'!HO146,'Statement of Marks'!HQ146))</f>
        <v xml:space="preserve">            </v>
      </c>
      <c r="S144" s="174">
        <f t="shared" si="36"/>
        <v>0</v>
      </c>
      <c r="T144" s="5"/>
      <c r="U144" s="182" t="str">
        <f t="shared" si="37"/>
        <v/>
      </c>
      <c r="V144" s="182" t="str">
        <f t="shared" si="38"/>
        <v/>
      </c>
      <c r="W144" s="5"/>
      <c r="X144" s="182" t="str">
        <f t="shared" si="39"/>
        <v/>
      </c>
      <c r="Y144" s="182" t="str">
        <f t="shared" si="40"/>
        <v/>
      </c>
      <c r="Z144" s="5"/>
      <c r="AA144" s="182" t="str">
        <f t="shared" si="41"/>
        <v/>
      </c>
      <c r="AB144" s="183" t="str">
        <f t="shared" si="42"/>
        <v/>
      </c>
      <c r="AC144" s="5"/>
      <c r="AD144" s="182" t="str">
        <f t="shared" si="43"/>
        <v/>
      </c>
      <c r="AE144" s="183" t="str">
        <f t="shared" si="44"/>
        <v/>
      </c>
      <c r="AF144" s="5"/>
      <c r="AG144" s="182" t="str">
        <f t="shared" si="45"/>
        <v/>
      </c>
      <c r="AH144" s="183" t="str">
        <f t="shared" si="46"/>
        <v/>
      </c>
      <c r="AI144" s="5"/>
      <c r="AJ144" s="183" t="str">
        <f t="shared" si="47"/>
        <v/>
      </c>
      <c r="AK144" s="183" t="str">
        <f t="shared" si="48"/>
        <v/>
      </c>
      <c r="AL144" s="5"/>
      <c r="AM144" s="183" t="str">
        <f t="shared" si="49"/>
        <v/>
      </c>
      <c r="AN144" s="183" t="str">
        <f t="shared" si="50"/>
        <v/>
      </c>
      <c r="AO144" s="184">
        <f t="shared" si="51"/>
        <v>0</v>
      </c>
      <c r="AP144" s="184">
        <f t="shared" si="52"/>
        <v>0</v>
      </c>
      <c r="AQ144" s="608" t="str">
        <f t="shared" si="53"/>
        <v/>
      </c>
      <c r="AR144" s="185" t="str">
        <f>IF(COUNTIF(K144:Q144,"F")&gt;0,"",IF(AQ144="PASS",'Statement of Marks'!HZ146,""))</f>
        <v/>
      </c>
      <c r="AS144" s="185" t="str">
        <f>IF(AQ144="PASS",'Statement of Marks'!IA146,"")</f>
        <v/>
      </c>
    </row>
    <row r="145" spans="1:45">
      <c r="A145" s="169">
        <f>IF('Statement of Marks'!A147="","",'Statement of Marks'!A147)</f>
        <v>141</v>
      </c>
      <c r="B145" s="169" t="str">
        <f>IF('Statement of Marks'!B147="","",'Statement of Marks'!B147)</f>
        <v/>
      </c>
      <c r="C145" s="169" t="str">
        <f>IF('Statement of Marks'!D147="","",'Statement of Marks'!D147)</f>
        <v/>
      </c>
      <c r="D145" s="170" t="str">
        <f>IF('Statement of Marks'!E147="","",'Statement of Marks'!E147)</f>
        <v/>
      </c>
      <c r="E145" s="171" t="str">
        <f>IF('Statement of Marks'!F147="","",'Statement of Marks'!F147)</f>
        <v/>
      </c>
      <c r="F145" s="171" t="str">
        <f>IF('Statement of Marks'!G147="","",'Statement of Marks'!G147)</f>
        <v/>
      </c>
      <c r="G145" s="171" t="str">
        <f>IF('Statement of Marks'!H147="","",'Statement of Marks'!H147)</f>
        <v/>
      </c>
      <c r="H145" s="172" t="str">
        <f>IF('Statement of Marks'!HS147="","",'Statement of Marks'!HS147)</f>
        <v/>
      </c>
      <c r="I145" s="172" t="str">
        <f>IF('Statement of Marks'!HV147="","",'Statement of Marks'!HV147)</f>
        <v/>
      </c>
      <c r="J145" s="173" t="str">
        <f>IF('Statement of Marks'!HU147="","",'Statement of Marks'!HU147)</f>
        <v/>
      </c>
      <c r="K145" s="181" t="str">
        <f>'Statement of Marks'!GN147</f>
        <v/>
      </c>
      <c r="L145" s="181" t="str">
        <f>'Statement of Marks'!GQ147</f>
        <v/>
      </c>
      <c r="M145" s="181" t="str">
        <f>'Statement of Marks'!GT147</f>
        <v/>
      </c>
      <c r="N145" s="181" t="str">
        <f>'Statement of Marks'!HB147</f>
        <v/>
      </c>
      <c r="O145" s="181" t="str">
        <f>'Statement of Marks'!HE147</f>
        <v/>
      </c>
      <c r="P145" s="181" t="str">
        <f>'Statement of Marks'!HH147</f>
        <v/>
      </c>
      <c r="Q145" s="181" t="str">
        <f>'Statement of Marks'!HK147</f>
        <v/>
      </c>
      <c r="R145" s="173" t="str">
        <f>IF(COUNTIF(K145:Q145,"F")&gt;0,"",CONCATENATE('Statement of Marks'!HO147,'Statement of Marks'!HQ147))</f>
        <v xml:space="preserve">            </v>
      </c>
      <c r="S145" s="174">
        <f t="shared" si="36"/>
        <v>0</v>
      </c>
      <c r="T145" s="5"/>
      <c r="U145" s="182" t="str">
        <f t="shared" si="37"/>
        <v/>
      </c>
      <c r="V145" s="182" t="str">
        <f t="shared" si="38"/>
        <v/>
      </c>
      <c r="W145" s="5"/>
      <c r="X145" s="182" t="str">
        <f t="shared" si="39"/>
        <v/>
      </c>
      <c r="Y145" s="182" t="str">
        <f t="shared" si="40"/>
        <v/>
      </c>
      <c r="Z145" s="5"/>
      <c r="AA145" s="182" t="str">
        <f t="shared" si="41"/>
        <v/>
      </c>
      <c r="AB145" s="183" t="str">
        <f t="shared" si="42"/>
        <v/>
      </c>
      <c r="AC145" s="5"/>
      <c r="AD145" s="182" t="str">
        <f t="shared" si="43"/>
        <v/>
      </c>
      <c r="AE145" s="183" t="str">
        <f t="shared" si="44"/>
        <v/>
      </c>
      <c r="AF145" s="5"/>
      <c r="AG145" s="182" t="str">
        <f t="shared" si="45"/>
        <v/>
      </c>
      <c r="AH145" s="183" t="str">
        <f t="shared" si="46"/>
        <v/>
      </c>
      <c r="AI145" s="5"/>
      <c r="AJ145" s="183" t="str">
        <f t="shared" si="47"/>
        <v/>
      </c>
      <c r="AK145" s="183" t="str">
        <f t="shared" si="48"/>
        <v/>
      </c>
      <c r="AL145" s="5"/>
      <c r="AM145" s="183" t="str">
        <f t="shared" si="49"/>
        <v/>
      </c>
      <c r="AN145" s="183" t="str">
        <f t="shared" si="50"/>
        <v/>
      </c>
      <c r="AO145" s="184">
        <f t="shared" si="51"/>
        <v>0</v>
      </c>
      <c r="AP145" s="184">
        <f t="shared" si="52"/>
        <v>0</v>
      </c>
      <c r="AQ145" s="608" t="str">
        <f t="shared" si="53"/>
        <v/>
      </c>
      <c r="AR145" s="185" t="str">
        <f>IF(COUNTIF(K145:Q145,"F")&gt;0,"",IF(AQ145="PASS",'Statement of Marks'!HZ147,""))</f>
        <v/>
      </c>
      <c r="AS145" s="185" t="str">
        <f>IF(AQ145="PASS",'Statement of Marks'!IA147,"")</f>
        <v/>
      </c>
    </row>
    <row r="146" spans="1:45">
      <c r="A146" s="169">
        <f>IF('Statement of Marks'!A148="","",'Statement of Marks'!A148)</f>
        <v>142</v>
      </c>
      <c r="B146" s="169" t="str">
        <f>IF('Statement of Marks'!B148="","",'Statement of Marks'!B148)</f>
        <v/>
      </c>
      <c r="C146" s="169" t="str">
        <f>IF('Statement of Marks'!D148="","",'Statement of Marks'!D148)</f>
        <v/>
      </c>
      <c r="D146" s="170" t="str">
        <f>IF('Statement of Marks'!E148="","",'Statement of Marks'!E148)</f>
        <v/>
      </c>
      <c r="E146" s="171" t="str">
        <f>IF('Statement of Marks'!F148="","",'Statement of Marks'!F148)</f>
        <v/>
      </c>
      <c r="F146" s="171" t="str">
        <f>IF('Statement of Marks'!G148="","",'Statement of Marks'!G148)</f>
        <v/>
      </c>
      <c r="G146" s="171" t="str">
        <f>IF('Statement of Marks'!H148="","",'Statement of Marks'!H148)</f>
        <v/>
      </c>
      <c r="H146" s="172" t="str">
        <f>IF('Statement of Marks'!HS148="","",'Statement of Marks'!HS148)</f>
        <v/>
      </c>
      <c r="I146" s="172" t="str">
        <f>IF('Statement of Marks'!HV148="","",'Statement of Marks'!HV148)</f>
        <v/>
      </c>
      <c r="J146" s="173" t="str">
        <f>IF('Statement of Marks'!HU148="","",'Statement of Marks'!HU148)</f>
        <v/>
      </c>
      <c r="K146" s="181" t="str">
        <f>'Statement of Marks'!GN148</f>
        <v/>
      </c>
      <c r="L146" s="181" t="str">
        <f>'Statement of Marks'!GQ148</f>
        <v/>
      </c>
      <c r="M146" s="181" t="str">
        <f>'Statement of Marks'!GT148</f>
        <v/>
      </c>
      <c r="N146" s="181" t="str">
        <f>'Statement of Marks'!HB148</f>
        <v/>
      </c>
      <c r="O146" s="181" t="str">
        <f>'Statement of Marks'!HE148</f>
        <v/>
      </c>
      <c r="P146" s="181" t="str">
        <f>'Statement of Marks'!HH148</f>
        <v/>
      </c>
      <c r="Q146" s="181" t="str">
        <f>'Statement of Marks'!HK148</f>
        <v/>
      </c>
      <c r="R146" s="173" t="str">
        <f>IF(COUNTIF(K146:Q146,"F")&gt;0,"",CONCATENATE('Statement of Marks'!HO148,'Statement of Marks'!HQ148))</f>
        <v xml:space="preserve">            </v>
      </c>
      <c r="S146" s="174">
        <f t="shared" si="36"/>
        <v>0</v>
      </c>
      <c r="T146" s="5"/>
      <c r="U146" s="182" t="str">
        <f t="shared" si="37"/>
        <v/>
      </c>
      <c r="V146" s="182" t="str">
        <f t="shared" si="38"/>
        <v/>
      </c>
      <c r="W146" s="5"/>
      <c r="X146" s="182" t="str">
        <f t="shared" si="39"/>
        <v/>
      </c>
      <c r="Y146" s="182" t="str">
        <f t="shared" si="40"/>
        <v/>
      </c>
      <c r="Z146" s="5"/>
      <c r="AA146" s="182" t="str">
        <f t="shared" si="41"/>
        <v/>
      </c>
      <c r="AB146" s="183" t="str">
        <f t="shared" si="42"/>
        <v/>
      </c>
      <c r="AC146" s="5"/>
      <c r="AD146" s="182" t="str">
        <f t="shared" si="43"/>
        <v/>
      </c>
      <c r="AE146" s="183" t="str">
        <f t="shared" si="44"/>
        <v/>
      </c>
      <c r="AF146" s="5"/>
      <c r="AG146" s="182" t="str">
        <f t="shared" si="45"/>
        <v/>
      </c>
      <c r="AH146" s="183" t="str">
        <f t="shared" si="46"/>
        <v/>
      </c>
      <c r="AI146" s="5"/>
      <c r="AJ146" s="183" t="str">
        <f t="shared" si="47"/>
        <v/>
      </c>
      <c r="AK146" s="183" t="str">
        <f t="shared" si="48"/>
        <v/>
      </c>
      <c r="AL146" s="5"/>
      <c r="AM146" s="183" t="str">
        <f t="shared" si="49"/>
        <v/>
      </c>
      <c r="AN146" s="183" t="str">
        <f t="shared" si="50"/>
        <v/>
      </c>
      <c r="AO146" s="184">
        <f t="shared" si="51"/>
        <v>0</v>
      </c>
      <c r="AP146" s="184">
        <f t="shared" si="52"/>
        <v>0</v>
      </c>
      <c r="AQ146" s="608" t="str">
        <f t="shared" si="53"/>
        <v/>
      </c>
      <c r="AR146" s="185" t="str">
        <f>IF(COUNTIF(K146:Q146,"F")&gt;0,"",IF(AQ146="PASS",'Statement of Marks'!HZ148,""))</f>
        <v/>
      </c>
      <c r="AS146" s="185" t="str">
        <f>IF(AQ146="PASS",'Statement of Marks'!IA148,"")</f>
        <v/>
      </c>
    </row>
    <row r="147" spans="1:45">
      <c r="A147" s="169">
        <f>IF('Statement of Marks'!A149="","",'Statement of Marks'!A149)</f>
        <v>143</v>
      </c>
      <c r="B147" s="169" t="str">
        <f>IF('Statement of Marks'!B149="","",'Statement of Marks'!B149)</f>
        <v/>
      </c>
      <c r="C147" s="169" t="str">
        <f>IF('Statement of Marks'!D149="","",'Statement of Marks'!D149)</f>
        <v/>
      </c>
      <c r="D147" s="170" t="str">
        <f>IF('Statement of Marks'!E149="","",'Statement of Marks'!E149)</f>
        <v/>
      </c>
      <c r="E147" s="171" t="str">
        <f>IF('Statement of Marks'!F149="","",'Statement of Marks'!F149)</f>
        <v/>
      </c>
      <c r="F147" s="171" t="str">
        <f>IF('Statement of Marks'!G149="","",'Statement of Marks'!G149)</f>
        <v/>
      </c>
      <c r="G147" s="171" t="str">
        <f>IF('Statement of Marks'!H149="","",'Statement of Marks'!H149)</f>
        <v/>
      </c>
      <c r="H147" s="172" t="str">
        <f>IF('Statement of Marks'!HS149="","",'Statement of Marks'!HS149)</f>
        <v/>
      </c>
      <c r="I147" s="172" t="str">
        <f>IF('Statement of Marks'!HV149="","",'Statement of Marks'!HV149)</f>
        <v/>
      </c>
      <c r="J147" s="173" t="str">
        <f>IF('Statement of Marks'!HU149="","",'Statement of Marks'!HU149)</f>
        <v/>
      </c>
      <c r="K147" s="181" t="str">
        <f>'Statement of Marks'!GN149</f>
        <v/>
      </c>
      <c r="L147" s="181" t="str">
        <f>'Statement of Marks'!GQ149</f>
        <v/>
      </c>
      <c r="M147" s="181" t="str">
        <f>'Statement of Marks'!GT149</f>
        <v/>
      </c>
      <c r="N147" s="181" t="str">
        <f>'Statement of Marks'!HB149</f>
        <v/>
      </c>
      <c r="O147" s="181" t="str">
        <f>'Statement of Marks'!HE149</f>
        <v/>
      </c>
      <c r="P147" s="181" t="str">
        <f>'Statement of Marks'!HH149</f>
        <v/>
      </c>
      <c r="Q147" s="181" t="str">
        <f>'Statement of Marks'!HK149</f>
        <v/>
      </c>
      <c r="R147" s="173" t="str">
        <f>IF(COUNTIF(K147:Q147,"F")&gt;0,"",CONCATENATE('Statement of Marks'!HO149,'Statement of Marks'!HQ149))</f>
        <v xml:space="preserve">            </v>
      </c>
      <c r="S147" s="174">
        <f t="shared" si="36"/>
        <v>0</v>
      </c>
      <c r="T147" s="5"/>
      <c r="U147" s="182" t="str">
        <f t="shared" si="37"/>
        <v/>
      </c>
      <c r="V147" s="182" t="str">
        <f t="shared" si="38"/>
        <v/>
      </c>
      <c r="W147" s="5"/>
      <c r="X147" s="182" t="str">
        <f t="shared" si="39"/>
        <v/>
      </c>
      <c r="Y147" s="182" t="str">
        <f t="shared" si="40"/>
        <v/>
      </c>
      <c r="Z147" s="5"/>
      <c r="AA147" s="182" t="str">
        <f t="shared" si="41"/>
        <v/>
      </c>
      <c r="AB147" s="183" t="str">
        <f t="shared" si="42"/>
        <v/>
      </c>
      <c r="AC147" s="5"/>
      <c r="AD147" s="182" t="str">
        <f t="shared" si="43"/>
        <v/>
      </c>
      <c r="AE147" s="183" t="str">
        <f t="shared" si="44"/>
        <v/>
      </c>
      <c r="AF147" s="5"/>
      <c r="AG147" s="182" t="str">
        <f t="shared" si="45"/>
        <v/>
      </c>
      <c r="AH147" s="183" t="str">
        <f t="shared" si="46"/>
        <v/>
      </c>
      <c r="AI147" s="5"/>
      <c r="AJ147" s="183" t="str">
        <f t="shared" si="47"/>
        <v/>
      </c>
      <c r="AK147" s="183" t="str">
        <f t="shared" si="48"/>
        <v/>
      </c>
      <c r="AL147" s="5"/>
      <c r="AM147" s="183" t="str">
        <f t="shared" si="49"/>
        <v/>
      </c>
      <c r="AN147" s="183" t="str">
        <f t="shared" si="50"/>
        <v/>
      </c>
      <c r="AO147" s="184">
        <f t="shared" si="51"/>
        <v>0</v>
      </c>
      <c r="AP147" s="184">
        <f t="shared" si="52"/>
        <v>0</v>
      </c>
      <c r="AQ147" s="608" t="str">
        <f t="shared" si="53"/>
        <v/>
      </c>
      <c r="AR147" s="185" t="str">
        <f>IF(COUNTIF(K147:Q147,"F")&gt;0,"",IF(AQ147="PASS",'Statement of Marks'!HZ149,""))</f>
        <v/>
      </c>
      <c r="AS147" s="185" t="str">
        <f>IF(AQ147="PASS",'Statement of Marks'!IA149,"")</f>
        <v/>
      </c>
    </row>
    <row r="148" spans="1:45">
      <c r="A148" s="169">
        <f>IF('Statement of Marks'!A150="","",'Statement of Marks'!A150)</f>
        <v>144</v>
      </c>
      <c r="B148" s="169" t="str">
        <f>IF('Statement of Marks'!B150="","",'Statement of Marks'!B150)</f>
        <v/>
      </c>
      <c r="C148" s="169" t="str">
        <f>IF('Statement of Marks'!D150="","",'Statement of Marks'!D150)</f>
        <v/>
      </c>
      <c r="D148" s="170" t="str">
        <f>IF('Statement of Marks'!E150="","",'Statement of Marks'!E150)</f>
        <v/>
      </c>
      <c r="E148" s="171" t="str">
        <f>IF('Statement of Marks'!F150="","",'Statement of Marks'!F150)</f>
        <v/>
      </c>
      <c r="F148" s="171" t="str">
        <f>IF('Statement of Marks'!G150="","",'Statement of Marks'!G150)</f>
        <v/>
      </c>
      <c r="G148" s="171" t="str">
        <f>IF('Statement of Marks'!H150="","",'Statement of Marks'!H150)</f>
        <v/>
      </c>
      <c r="H148" s="172" t="str">
        <f>IF('Statement of Marks'!HS150="","",'Statement of Marks'!HS150)</f>
        <v/>
      </c>
      <c r="I148" s="172" t="str">
        <f>IF('Statement of Marks'!HV150="","",'Statement of Marks'!HV150)</f>
        <v/>
      </c>
      <c r="J148" s="173" t="str">
        <f>IF('Statement of Marks'!HU150="","",'Statement of Marks'!HU150)</f>
        <v/>
      </c>
      <c r="K148" s="181" t="str">
        <f>'Statement of Marks'!GN150</f>
        <v/>
      </c>
      <c r="L148" s="181" t="str">
        <f>'Statement of Marks'!GQ150</f>
        <v/>
      </c>
      <c r="M148" s="181" t="str">
        <f>'Statement of Marks'!GT150</f>
        <v/>
      </c>
      <c r="N148" s="181" t="str">
        <f>'Statement of Marks'!HB150</f>
        <v/>
      </c>
      <c r="O148" s="181" t="str">
        <f>'Statement of Marks'!HE150</f>
        <v/>
      </c>
      <c r="P148" s="181" t="str">
        <f>'Statement of Marks'!HH150</f>
        <v/>
      </c>
      <c r="Q148" s="181" t="str">
        <f>'Statement of Marks'!HK150</f>
        <v/>
      </c>
      <c r="R148" s="173" t="str">
        <f>IF(COUNTIF(K148:Q148,"F")&gt;0,"",CONCATENATE('Statement of Marks'!HO150,'Statement of Marks'!HQ150))</f>
        <v xml:space="preserve">            </v>
      </c>
      <c r="S148" s="174">
        <f t="shared" si="36"/>
        <v>0</v>
      </c>
      <c r="T148" s="5"/>
      <c r="U148" s="182" t="str">
        <f t="shared" si="37"/>
        <v/>
      </c>
      <c r="V148" s="182" t="str">
        <f t="shared" si="38"/>
        <v/>
      </c>
      <c r="W148" s="5"/>
      <c r="X148" s="182" t="str">
        <f t="shared" si="39"/>
        <v/>
      </c>
      <c r="Y148" s="182" t="str">
        <f t="shared" si="40"/>
        <v/>
      </c>
      <c r="Z148" s="5"/>
      <c r="AA148" s="182" t="str">
        <f t="shared" si="41"/>
        <v/>
      </c>
      <c r="AB148" s="183" t="str">
        <f t="shared" si="42"/>
        <v/>
      </c>
      <c r="AC148" s="5"/>
      <c r="AD148" s="182" t="str">
        <f t="shared" si="43"/>
        <v/>
      </c>
      <c r="AE148" s="183" t="str">
        <f t="shared" si="44"/>
        <v/>
      </c>
      <c r="AF148" s="5"/>
      <c r="AG148" s="182" t="str">
        <f t="shared" si="45"/>
        <v/>
      </c>
      <c r="AH148" s="183" t="str">
        <f t="shared" si="46"/>
        <v/>
      </c>
      <c r="AI148" s="5"/>
      <c r="AJ148" s="183" t="str">
        <f t="shared" si="47"/>
        <v/>
      </c>
      <c r="AK148" s="183" t="str">
        <f t="shared" si="48"/>
        <v/>
      </c>
      <c r="AL148" s="5"/>
      <c r="AM148" s="183" t="str">
        <f t="shared" si="49"/>
        <v/>
      </c>
      <c r="AN148" s="183" t="str">
        <f t="shared" si="50"/>
        <v/>
      </c>
      <c r="AO148" s="184">
        <f t="shared" si="51"/>
        <v>0</v>
      </c>
      <c r="AP148" s="184">
        <f t="shared" si="52"/>
        <v>0</v>
      </c>
      <c r="AQ148" s="608" t="str">
        <f t="shared" si="53"/>
        <v/>
      </c>
      <c r="AR148" s="185" t="str">
        <f>IF(COUNTIF(K148:Q148,"F")&gt;0,"",IF(AQ148="PASS",'Statement of Marks'!HZ150,""))</f>
        <v/>
      </c>
      <c r="AS148" s="185" t="str">
        <f>IF(AQ148="PASS",'Statement of Marks'!IA150,"")</f>
        <v/>
      </c>
    </row>
    <row r="149" spans="1:45">
      <c r="A149" s="169">
        <f>IF('Statement of Marks'!A151="","",'Statement of Marks'!A151)</f>
        <v>145</v>
      </c>
      <c r="B149" s="169" t="str">
        <f>IF('Statement of Marks'!B151="","",'Statement of Marks'!B151)</f>
        <v/>
      </c>
      <c r="C149" s="169" t="str">
        <f>IF('Statement of Marks'!D151="","",'Statement of Marks'!D151)</f>
        <v/>
      </c>
      <c r="D149" s="170" t="str">
        <f>IF('Statement of Marks'!E151="","",'Statement of Marks'!E151)</f>
        <v/>
      </c>
      <c r="E149" s="171" t="str">
        <f>IF('Statement of Marks'!F151="","",'Statement of Marks'!F151)</f>
        <v/>
      </c>
      <c r="F149" s="171" t="str">
        <f>IF('Statement of Marks'!G151="","",'Statement of Marks'!G151)</f>
        <v/>
      </c>
      <c r="G149" s="171" t="str">
        <f>IF('Statement of Marks'!H151="","",'Statement of Marks'!H151)</f>
        <v/>
      </c>
      <c r="H149" s="172" t="str">
        <f>IF('Statement of Marks'!HS151="","",'Statement of Marks'!HS151)</f>
        <v/>
      </c>
      <c r="I149" s="172" t="str">
        <f>IF('Statement of Marks'!HV151="","",'Statement of Marks'!HV151)</f>
        <v/>
      </c>
      <c r="J149" s="173" t="str">
        <f>IF('Statement of Marks'!HU151="","",'Statement of Marks'!HU151)</f>
        <v/>
      </c>
      <c r="K149" s="181" t="str">
        <f>'Statement of Marks'!GN151</f>
        <v/>
      </c>
      <c r="L149" s="181" t="str">
        <f>'Statement of Marks'!GQ151</f>
        <v/>
      </c>
      <c r="M149" s="181" t="str">
        <f>'Statement of Marks'!GT151</f>
        <v/>
      </c>
      <c r="N149" s="181" t="str">
        <f>'Statement of Marks'!HB151</f>
        <v/>
      </c>
      <c r="O149" s="181" t="str">
        <f>'Statement of Marks'!HE151</f>
        <v/>
      </c>
      <c r="P149" s="181" t="str">
        <f>'Statement of Marks'!HH151</f>
        <v/>
      </c>
      <c r="Q149" s="181" t="str">
        <f>'Statement of Marks'!HK151</f>
        <v/>
      </c>
      <c r="R149" s="173" t="str">
        <f>IF(COUNTIF(K149:Q149,"F")&gt;0,"",CONCATENATE('Statement of Marks'!HO151,'Statement of Marks'!HQ151))</f>
        <v xml:space="preserve">            </v>
      </c>
      <c r="S149" s="174">
        <f t="shared" si="36"/>
        <v>0</v>
      </c>
      <c r="T149" s="5"/>
      <c r="U149" s="182" t="str">
        <f t="shared" si="37"/>
        <v/>
      </c>
      <c r="V149" s="182" t="str">
        <f t="shared" si="38"/>
        <v/>
      </c>
      <c r="W149" s="5"/>
      <c r="X149" s="182" t="str">
        <f t="shared" si="39"/>
        <v/>
      </c>
      <c r="Y149" s="182" t="str">
        <f t="shared" si="40"/>
        <v/>
      </c>
      <c r="Z149" s="5"/>
      <c r="AA149" s="182" t="str">
        <f t="shared" si="41"/>
        <v/>
      </c>
      <c r="AB149" s="183" t="str">
        <f t="shared" si="42"/>
        <v/>
      </c>
      <c r="AC149" s="5"/>
      <c r="AD149" s="182" t="str">
        <f t="shared" si="43"/>
        <v/>
      </c>
      <c r="AE149" s="183" t="str">
        <f t="shared" si="44"/>
        <v/>
      </c>
      <c r="AF149" s="5"/>
      <c r="AG149" s="182" t="str">
        <f t="shared" si="45"/>
        <v/>
      </c>
      <c r="AH149" s="183" t="str">
        <f t="shared" si="46"/>
        <v/>
      </c>
      <c r="AI149" s="5"/>
      <c r="AJ149" s="183" t="str">
        <f t="shared" si="47"/>
        <v/>
      </c>
      <c r="AK149" s="183" t="str">
        <f t="shared" si="48"/>
        <v/>
      </c>
      <c r="AL149" s="5"/>
      <c r="AM149" s="183" t="str">
        <f t="shared" si="49"/>
        <v/>
      </c>
      <c r="AN149" s="183" t="str">
        <f t="shared" si="50"/>
        <v/>
      </c>
      <c r="AO149" s="184">
        <f t="shared" si="51"/>
        <v>0</v>
      </c>
      <c r="AP149" s="184">
        <f t="shared" si="52"/>
        <v>0</v>
      </c>
      <c r="AQ149" s="608" t="str">
        <f t="shared" si="53"/>
        <v/>
      </c>
      <c r="AR149" s="185" t="str">
        <f>IF(COUNTIF(K149:Q149,"F")&gt;0,"",IF(AQ149="PASS",'Statement of Marks'!HZ151,""))</f>
        <v/>
      </c>
      <c r="AS149" s="185" t="str">
        <f>IF(AQ149="PASS",'Statement of Marks'!IA151,"")</f>
        <v/>
      </c>
    </row>
    <row r="150" spans="1:45">
      <c r="A150" s="169">
        <f>IF('Statement of Marks'!A152="","",'Statement of Marks'!A152)</f>
        <v>146</v>
      </c>
      <c r="B150" s="169" t="str">
        <f>IF('Statement of Marks'!B152="","",'Statement of Marks'!B152)</f>
        <v/>
      </c>
      <c r="C150" s="169" t="str">
        <f>IF('Statement of Marks'!D152="","",'Statement of Marks'!D152)</f>
        <v/>
      </c>
      <c r="D150" s="170" t="str">
        <f>IF('Statement of Marks'!E152="","",'Statement of Marks'!E152)</f>
        <v/>
      </c>
      <c r="E150" s="171" t="str">
        <f>IF('Statement of Marks'!F152="","",'Statement of Marks'!F152)</f>
        <v/>
      </c>
      <c r="F150" s="171" t="str">
        <f>IF('Statement of Marks'!G152="","",'Statement of Marks'!G152)</f>
        <v/>
      </c>
      <c r="G150" s="171" t="str">
        <f>IF('Statement of Marks'!H152="","",'Statement of Marks'!H152)</f>
        <v/>
      </c>
      <c r="H150" s="172" t="str">
        <f>IF('Statement of Marks'!HS152="","",'Statement of Marks'!HS152)</f>
        <v/>
      </c>
      <c r="I150" s="172" t="str">
        <f>IF('Statement of Marks'!HV152="","",'Statement of Marks'!HV152)</f>
        <v/>
      </c>
      <c r="J150" s="173" t="str">
        <f>IF('Statement of Marks'!HU152="","",'Statement of Marks'!HU152)</f>
        <v/>
      </c>
      <c r="K150" s="181" t="str">
        <f>'Statement of Marks'!GN152</f>
        <v/>
      </c>
      <c r="L150" s="181" t="str">
        <f>'Statement of Marks'!GQ152</f>
        <v/>
      </c>
      <c r="M150" s="181" t="str">
        <f>'Statement of Marks'!GT152</f>
        <v/>
      </c>
      <c r="N150" s="181" t="str">
        <f>'Statement of Marks'!HB152</f>
        <v/>
      </c>
      <c r="O150" s="181" t="str">
        <f>'Statement of Marks'!HE152</f>
        <v/>
      </c>
      <c r="P150" s="181" t="str">
        <f>'Statement of Marks'!HH152</f>
        <v/>
      </c>
      <c r="Q150" s="181" t="str">
        <f>'Statement of Marks'!HK152</f>
        <v/>
      </c>
      <c r="R150" s="173" t="str">
        <f>IF(COUNTIF(K150:Q150,"F")&gt;0,"",CONCATENATE('Statement of Marks'!HO152,'Statement of Marks'!HQ152))</f>
        <v xml:space="preserve">            </v>
      </c>
      <c r="S150" s="174">
        <f t="shared" si="36"/>
        <v>0</v>
      </c>
      <c r="T150" s="5"/>
      <c r="U150" s="182" t="str">
        <f t="shared" si="37"/>
        <v/>
      </c>
      <c r="V150" s="182" t="str">
        <f t="shared" si="38"/>
        <v/>
      </c>
      <c r="W150" s="5"/>
      <c r="X150" s="182" t="str">
        <f t="shared" si="39"/>
        <v/>
      </c>
      <c r="Y150" s="182" t="str">
        <f t="shared" si="40"/>
        <v/>
      </c>
      <c r="Z150" s="5"/>
      <c r="AA150" s="182" t="str">
        <f t="shared" si="41"/>
        <v/>
      </c>
      <c r="AB150" s="183" t="str">
        <f t="shared" si="42"/>
        <v/>
      </c>
      <c r="AC150" s="5"/>
      <c r="AD150" s="182" t="str">
        <f t="shared" si="43"/>
        <v/>
      </c>
      <c r="AE150" s="183" t="str">
        <f t="shared" si="44"/>
        <v/>
      </c>
      <c r="AF150" s="5"/>
      <c r="AG150" s="182" t="str">
        <f t="shared" si="45"/>
        <v/>
      </c>
      <c r="AH150" s="183" t="str">
        <f t="shared" si="46"/>
        <v/>
      </c>
      <c r="AI150" s="5"/>
      <c r="AJ150" s="183" t="str">
        <f t="shared" si="47"/>
        <v/>
      </c>
      <c r="AK150" s="183" t="str">
        <f t="shared" si="48"/>
        <v/>
      </c>
      <c r="AL150" s="5"/>
      <c r="AM150" s="183" t="str">
        <f t="shared" si="49"/>
        <v/>
      </c>
      <c r="AN150" s="183" t="str">
        <f t="shared" si="50"/>
        <v/>
      </c>
      <c r="AO150" s="184">
        <f t="shared" si="51"/>
        <v>0</v>
      </c>
      <c r="AP150" s="184">
        <f t="shared" si="52"/>
        <v>0</v>
      </c>
      <c r="AQ150" s="608" t="str">
        <f t="shared" si="53"/>
        <v/>
      </c>
      <c r="AR150" s="185" t="str">
        <f>IF(COUNTIF(K150:Q150,"F")&gt;0,"",IF(AQ150="PASS",'Statement of Marks'!HZ152,""))</f>
        <v/>
      </c>
      <c r="AS150" s="185" t="str">
        <f>IF(AQ150="PASS",'Statement of Marks'!IA152,"")</f>
        <v/>
      </c>
    </row>
    <row r="151" spans="1:45">
      <c r="A151" s="169">
        <f>IF('Statement of Marks'!A153="","",'Statement of Marks'!A153)</f>
        <v>147</v>
      </c>
      <c r="B151" s="169" t="str">
        <f>IF('Statement of Marks'!B153="","",'Statement of Marks'!B153)</f>
        <v/>
      </c>
      <c r="C151" s="169" t="str">
        <f>IF('Statement of Marks'!D153="","",'Statement of Marks'!D153)</f>
        <v/>
      </c>
      <c r="D151" s="170" t="str">
        <f>IF('Statement of Marks'!E153="","",'Statement of Marks'!E153)</f>
        <v/>
      </c>
      <c r="E151" s="171" t="str">
        <f>IF('Statement of Marks'!F153="","",'Statement of Marks'!F153)</f>
        <v/>
      </c>
      <c r="F151" s="171" t="str">
        <f>IF('Statement of Marks'!G153="","",'Statement of Marks'!G153)</f>
        <v/>
      </c>
      <c r="G151" s="171" t="str">
        <f>IF('Statement of Marks'!H153="","",'Statement of Marks'!H153)</f>
        <v/>
      </c>
      <c r="H151" s="172" t="str">
        <f>IF('Statement of Marks'!HS153="","",'Statement of Marks'!HS153)</f>
        <v/>
      </c>
      <c r="I151" s="172" t="str">
        <f>IF('Statement of Marks'!HV153="","",'Statement of Marks'!HV153)</f>
        <v/>
      </c>
      <c r="J151" s="173" t="str">
        <f>IF('Statement of Marks'!HU153="","",'Statement of Marks'!HU153)</f>
        <v/>
      </c>
      <c r="K151" s="181" t="str">
        <f>'Statement of Marks'!GN153</f>
        <v/>
      </c>
      <c r="L151" s="181" t="str">
        <f>'Statement of Marks'!GQ153</f>
        <v/>
      </c>
      <c r="M151" s="181" t="str">
        <f>'Statement of Marks'!GT153</f>
        <v/>
      </c>
      <c r="N151" s="181" t="str">
        <f>'Statement of Marks'!HB153</f>
        <v/>
      </c>
      <c r="O151" s="181" t="str">
        <f>'Statement of Marks'!HE153</f>
        <v/>
      </c>
      <c r="P151" s="181" t="str">
        <f>'Statement of Marks'!HH153</f>
        <v/>
      </c>
      <c r="Q151" s="181" t="str">
        <f>'Statement of Marks'!HK153</f>
        <v/>
      </c>
      <c r="R151" s="173" t="str">
        <f>IF(COUNTIF(K151:Q151,"F")&gt;0,"",CONCATENATE('Statement of Marks'!HO153,'Statement of Marks'!HQ153))</f>
        <v xml:space="preserve">            </v>
      </c>
      <c r="S151" s="174">
        <f t="shared" si="36"/>
        <v>0</v>
      </c>
      <c r="T151" s="5"/>
      <c r="U151" s="182" t="str">
        <f t="shared" si="37"/>
        <v/>
      </c>
      <c r="V151" s="182" t="str">
        <f t="shared" si="38"/>
        <v/>
      </c>
      <c r="W151" s="5"/>
      <c r="X151" s="182" t="str">
        <f t="shared" si="39"/>
        <v/>
      </c>
      <c r="Y151" s="182" t="str">
        <f t="shared" si="40"/>
        <v/>
      </c>
      <c r="Z151" s="5"/>
      <c r="AA151" s="182" t="str">
        <f t="shared" si="41"/>
        <v/>
      </c>
      <c r="AB151" s="183" t="str">
        <f t="shared" si="42"/>
        <v/>
      </c>
      <c r="AC151" s="5"/>
      <c r="AD151" s="182" t="str">
        <f t="shared" si="43"/>
        <v/>
      </c>
      <c r="AE151" s="183" t="str">
        <f t="shared" si="44"/>
        <v/>
      </c>
      <c r="AF151" s="5"/>
      <c r="AG151" s="182" t="str">
        <f t="shared" si="45"/>
        <v/>
      </c>
      <c r="AH151" s="183" t="str">
        <f t="shared" si="46"/>
        <v/>
      </c>
      <c r="AI151" s="5"/>
      <c r="AJ151" s="183" t="str">
        <f t="shared" si="47"/>
        <v/>
      </c>
      <c r="AK151" s="183" t="str">
        <f t="shared" si="48"/>
        <v/>
      </c>
      <c r="AL151" s="5"/>
      <c r="AM151" s="183" t="str">
        <f t="shared" si="49"/>
        <v/>
      </c>
      <c r="AN151" s="183" t="str">
        <f t="shared" si="50"/>
        <v/>
      </c>
      <c r="AO151" s="184">
        <f t="shared" si="51"/>
        <v>0</v>
      </c>
      <c r="AP151" s="184">
        <f t="shared" si="52"/>
        <v>0</v>
      </c>
      <c r="AQ151" s="608" t="str">
        <f t="shared" si="53"/>
        <v/>
      </c>
      <c r="AR151" s="185" t="str">
        <f>IF(COUNTIF(K151:Q151,"F")&gt;0,"",IF(AQ151="PASS",'Statement of Marks'!HZ153,""))</f>
        <v/>
      </c>
      <c r="AS151" s="185" t="str">
        <f>IF(AQ151="PASS",'Statement of Marks'!IA153,"")</f>
        <v/>
      </c>
    </row>
    <row r="152" spans="1:45">
      <c r="A152" s="169">
        <f>IF('Statement of Marks'!A154="","",'Statement of Marks'!A154)</f>
        <v>148</v>
      </c>
      <c r="B152" s="169" t="str">
        <f>IF('Statement of Marks'!B154="","",'Statement of Marks'!B154)</f>
        <v/>
      </c>
      <c r="C152" s="169" t="str">
        <f>IF('Statement of Marks'!D154="","",'Statement of Marks'!D154)</f>
        <v/>
      </c>
      <c r="D152" s="170" t="str">
        <f>IF('Statement of Marks'!E154="","",'Statement of Marks'!E154)</f>
        <v/>
      </c>
      <c r="E152" s="171" t="str">
        <f>IF('Statement of Marks'!F154="","",'Statement of Marks'!F154)</f>
        <v/>
      </c>
      <c r="F152" s="171" t="str">
        <f>IF('Statement of Marks'!G154="","",'Statement of Marks'!G154)</f>
        <v/>
      </c>
      <c r="G152" s="171" t="str">
        <f>IF('Statement of Marks'!H154="","",'Statement of Marks'!H154)</f>
        <v/>
      </c>
      <c r="H152" s="172" t="str">
        <f>IF('Statement of Marks'!HS154="","",'Statement of Marks'!HS154)</f>
        <v/>
      </c>
      <c r="I152" s="172" t="str">
        <f>IF('Statement of Marks'!HV154="","",'Statement of Marks'!HV154)</f>
        <v/>
      </c>
      <c r="J152" s="173" t="str">
        <f>IF('Statement of Marks'!HU154="","",'Statement of Marks'!HU154)</f>
        <v/>
      </c>
      <c r="K152" s="181" t="str">
        <f>'Statement of Marks'!GN154</f>
        <v/>
      </c>
      <c r="L152" s="181" t="str">
        <f>'Statement of Marks'!GQ154</f>
        <v/>
      </c>
      <c r="M152" s="181" t="str">
        <f>'Statement of Marks'!GT154</f>
        <v/>
      </c>
      <c r="N152" s="181" t="str">
        <f>'Statement of Marks'!HB154</f>
        <v/>
      </c>
      <c r="O152" s="181" t="str">
        <f>'Statement of Marks'!HE154</f>
        <v/>
      </c>
      <c r="P152" s="181" t="str">
        <f>'Statement of Marks'!HH154</f>
        <v/>
      </c>
      <c r="Q152" s="181" t="str">
        <f>'Statement of Marks'!HK154</f>
        <v/>
      </c>
      <c r="R152" s="173" t="str">
        <f>IF(COUNTIF(K152:Q152,"F")&gt;0,"",CONCATENATE('Statement of Marks'!HO154,'Statement of Marks'!HQ154))</f>
        <v xml:space="preserve">            </v>
      </c>
      <c r="S152" s="174">
        <f t="shared" si="36"/>
        <v>0</v>
      </c>
      <c r="T152" s="5"/>
      <c r="U152" s="182" t="str">
        <f t="shared" si="37"/>
        <v/>
      </c>
      <c r="V152" s="182" t="str">
        <f t="shared" si="38"/>
        <v/>
      </c>
      <c r="W152" s="5"/>
      <c r="X152" s="182" t="str">
        <f t="shared" si="39"/>
        <v/>
      </c>
      <c r="Y152" s="182" t="str">
        <f t="shared" si="40"/>
        <v/>
      </c>
      <c r="Z152" s="5"/>
      <c r="AA152" s="182" t="str">
        <f t="shared" si="41"/>
        <v/>
      </c>
      <c r="AB152" s="183" t="str">
        <f t="shared" si="42"/>
        <v/>
      </c>
      <c r="AC152" s="5"/>
      <c r="AD152" s="182" t="str">
        <f t="shared" si="43"/>
        <v/>
      </c>
      <c r="AE152" s="183" t="str">
        <f t="shared" si="44"/>
        <v/>
      </c>
      <c r="AF152" s="5"/>
      <c r="AG152" s="182" t="str">
        <f t="shared" si="45"/>
        <v/>
      </c>
      <c r="AH152" s="183" t="str">
        <f t="shared" si="46"/>
        <v/>
      </c>
      <c r="AI152" s="5"/>
      <c r="AJ152" s="183" t="str">
        <f t="shared" si="47"/>
        <v/>
      </c>
      <c r="AK152" s="183" t="str">
        <f t="shared" si="48"/>
        <v/>
      </c>
      <c r="AL152" s="5"/>
      <c r="AM152" s="183" t="str">
        <f t="shared" si="49"/>
        <v/>
      </c>
      <c r="AN152" s="183" t="str">
        <f t="shared" si="50"/>
        <v/>
      </c>
      <c r="AO152" s="184">
        <f t="shared" si="51"/>
        <v>0</v>
      </c>
      <c r="AP152" s="184">
        <f t="shared" si="52"/>
        <v>0</v>
      </c>
      <c r="AQ152" s="608" t="str">
        <f t="shared" si="53"/>
        <v/>
      </c>
      <c r="AR152" s="185" t="str">
        <f>IF(COUNTIF(K152:Q152,"F")&gt;0,"",IF(AQ152="PASS",'Statement of Marks'!HZ154,""))</f>
        <v/>
      </c>
      <c r="AS152" s="185" t="str">
        <f>IF(AQ152="PASS",'Statement of Marks'!IA154,"")</f>
        <v/>
      </c>
    </row>
    <row r="153" spans="1:45">
      <c r="A153" s="169">
        <f>IF('Statement of Marks'!A155="","",'Statement of Marks'!A155)</f>
        <v>149</v>
      </c>
      <c r="B153" s="169" t="str">
        <f>IF('Statement of Marks'!B155="","",'Statement of Marks'!B155)</f>
        <v/>
      </c>
      <c r="C153" s="169" t="str">
        <f>IF('Statement of Marks'!D155="","",'Statement of Marks'!D155)</f>
        <v/>
      </c>
      <c r="D153" s="170" t="str">
        <f>IF('Statement of Marks'!E155="","",'Statement of Marks'!E155)</f>
        <v/>
      </c>
      <c r="E153" s="171" t="str">
        <f>IF('Statement of Marks'!F155="","",'Statement of Marks'!F155)</f>
        <v/>
      </c>
      <c r="F153" s="171" t="str">
        <f>IF('Statement of Marks'!G155="","",'Statement of Marks'!G155)</f>
        <v/>
      </c>
      <c r="G153" s="171" t="str">
        <f>IF('Statement of Marks'!H155="","",'Statement of Marks'!H155)</f>
        <v/>
      </c>
      <c r="H153" s="172" t="str">
        <f>IF('Statement of Marks'!HS155="","",'Statement of Marks'!HS155)</f>
        <v/>
      </c>
      <c r="I153" s="172" t="str">
        <f>IF('Statement of Marks'!HV155="","",'Statement of Marks'!HV155)</f>
        <v/>
      </c>
      <c r="J153" s="173" t="str">
        <f>IF('Statement of Marks'!HU155="","",'Statement of Marks'!HU155)</f>
        <v/>
      </c>
      <c r="K153" s="181" t="str">
        <f>'Statement of Marks'!GN155</f>
        <v/>
      </c>
      <c r="L153" s="181" t="str">
        <f>'Statement of Marks'!GQ155</f>
        <v/>
      </c>
      <c r="M153" s="181" t="str">
        <f>'Statement of Marks'!GT155</f>
        <v/>
      </c>
      <c r="N153" s="181" t="str">
        <f>'Statement of Marks'!HB155</f>
        <v/>
      </c>
      <c r="O153" s="181" t="str">
        <f>'Statement of Marks'!HE155</f>
        <v/>
      </c>
      <c r="P153" s="181" t="str">
        <f>'Statement of Marks'!HH155</f>
        <v/>
      </c>
      <c r="Q153" s="181" t="str">
        <f>'Statement of Marks'!HK155</f>
        <v/>
      </c>
      <c r="R153" s="173" t="str">
        <f>IF(COUNTIF(K153:Q153,"F")&gt;0,"",CONCATENATE('Statement of Marks'!HO155,'Statement of Marks'!HQ155))</f>
        <v xml:space="preserve">            </v>
      </c>
      <c r="S153" s="174">
        <f t="shared" si="36"/>
        <v>0</v>
      </c>
      <c r="T153" s="5"/>
      <c r="U153" s="182" t="str">
        <f t="shared" si="37"/>
        <v/>
      </c>
      <c r="V153" s="182" t="str">
        <f t="shared" si="38"/>
        <v/>
      </c>
      <c r="W153" s="5"/>
      <c r="X153" s="182" t="str">
        <f t="shared" si="39"/>
        <v/>
      </c>
      <c r="Y153" s="182" t="str">
        <f t="shared" si="40"/>
        <v/>
      </c>
      <c r="Z153" s="5"/>
      <c r="AA153" s="182" t="str">
        <f t="shared" si="41"/>
        <v/>
      </c>
      <c r="AB153" s="183" t="str">
        <f t="shared" si="42"/>
        <v/>
      </c>
      <c r="AC153" s="5"/>
      <c r="AD153" s="182" t="str">
        <f t="shared" si="43"/>
        <v/>
      </c>
      <c r="AE153" s="183" t="str">
        <f t="shared" si="44"/>
        <v/>
      </c>
      <c r="AF153" s="5"/>
      <c r="AG153" s="182" t="str">
        <f t="shared" si="45"/>
        <v/>
      </c>
      <c r="AH153" s="183" t="str">
        <f t="shared" si="46"/>
        <v/>
      </c>
      <c r="AI153" s="5"/>
      <c r="AJ153" s="183" t="str">
        <f t="shared" si="47"/>
        <v/>
      </c>
      <c r="AK153" s="183" t="str">
        <f t="shared" si="48"/>
        <v/>
      </c>
      <c r="AL153" s="5"/>
      <c r="AM153" s="183" t="str">
        <f t="shared" si="49"/>
        <v/>
      </c>
      <c r="AN153" s="183" t="str">
        <f t="shared" si="50"/>
        <v/>
      </c>
      <c r="AO153" s="184">
        <f t="shared" si="51"/>
        <v>0</v>
      </c>
      <c r="AP153" s="184">
        <f t="shared" si="52"/>
        <v>0</v>
      </c>
      <c r="AQ153" s="608" t="str">
        <f t="shared" si="53"/>
        <v/>
      </c>
      <c r="AR153" s="185" t="str">
        <f>IF(COUNTIF(K153:Q153,"F")&gt;0,"",IF(AQ153="PASS",'Statement of Marks'!HZ155,""))</f>
        <v/>
      </c>
      <c r="AS153" s="185" t="str">
        <f>IF(AQ153="PASS",'Statement of Marks'!IA155,"")</f>
        <v/>
      </c>
    </row>
    <row r="154" spans="1:45">
      <c r="A154" s="169">
        <f>IF('Statement of Marks'!A156="","",'Statement of Marks'!A156)</f>
        <v>150</v>
      </c>
      <c r="B154" s="169" t="str">
        <f>IF('Statement of Marks'!B156="","",'Statement of Marks'!B156)</f>
        <v/>
      </c>
      <c r="C154" s="169" t="str">
        <f>IF('Statement of Marks'!D156="","",'Statement of Marks'!D156)</f>
        <v/>
      </c>
      <c r="D154" s="170" t="str">
        <f>IF('Statement of Marks'!E156="","",'Statement of Marks'!E156)</f>
        <v/>
      </c>
      <c r="E154" s="171" t="str">
        <f>IF('Statement of Marks'!F156="","",'Statement of Marks'!F156)</f>
        <v/>
      </c>
      <c r="F154" s="171" t="str">
        <f>IF('Statement of Marks'!G156="","",'Statement of Marks'!G156)</f>
        <v/>
      </c>
      <c r="G154" s="171" t="str">
        <f>IF('Statement of Marks'!H156="","",'Statement of Marks'!H156)</f>
        <v/>
      </c>
      <c r="H154" s="172" t="str">
        <f>IF('Statement of Marks'!HS156="","",'Statement of Marks'!HS156)</f>
        <v/>
      </c>
      <c r="I154" s="172" t="str">
        <f>IF('Statement of Marks'!HV156="","",'Statement of Marks'!HV156)</f>
        <v/>
      </c>
      <c r="J154" s="173" t="str">
        <f>IF('Statement of Marks'!HU156="","",'Statement of Marks'!HU156)</f>
        <v/>
      </c>
      <c r="K154" s="181" t="str">
        <f>'Statement of Marks'!GN156</f>
        <v/>
      </c>
      <c r="L154" s="181" t="str">
        <f>'Statement of Marks'!GQ156</f>
        <v/>
      </c>
      <c r="M154" s="181" t="str">
        <f>'Statement of Marks'!GT156</f>
        <v/>
      </c>
      <c r="N154" s="181" t="str">
        <f>'Statement of Marks'!HB156</f>
        <v/>
      </c>
      <c r="O154" s="181" t="str">
        <f>'Statement of Marks'!HE156</f>
        <v/>
      </c>
      <c r="P154" s="181" t="str">
        <f>'Statement of Marks'!HH156</f>
        <v/>
      </c>
      <c r="Q154" s="181" t="str">
        <f>'Statement of Marks'!HK156</f>
        <v/>
      </c>
      <c r="R154" s="173" t="str">
        <f>IF(COUNTIF(K154:Q154,"F")&gt;0,"",CONCATENATE('Statement of Marks'!HO156,'Statement of Marks'!HQ156))</f>
        <v xml:space="preserve">            </v>
      </c>
      <c r="S154" s="174">
        <f t="shared" si="36"/>
        <v>0</v>
      </c>
      <c r="T154" s="5"/>
      <c r="U154" s="182" t="str">
        <f t="shared" si="37"/>
        <v/>
      </c>
      <c r="V154" s="182" t="str">
        <f t="shared" si="38"/>
        <v/>
      </c>
      <c r="W154" s="5"/>
      <c r="X154" s="182" t="str">
        <f t="shared" si="39"/>
        <v/>
      </c>
      <c r="Y154" s="182" t="str">
        <f t="shared" si="40"/>
        <v/>
      </c>
      <c r="Z154" s="5"/>
      <c r="AA154" s="182" t="str">
        <f t="shared" si="41"/>
        <v/>
      </c>
      <c r="AB154" s="183" t="str">
        <f t="shared" si="42"/>
        <v/>
      </c>
      <c r="AC154" s="5"/>
      <c r="AD154" s="182" t="str">
        <f t="shared" si="43"/>
        <v/>
      </c>
      <c r="AE154" s="183" t="str">
        <f t="shared" si="44"/>
        <v/>
      </c>
      <c r="AF154" s="5"/>
      <c r="AG154" s="182" t="str">
        <f t="shared" si="45"/>
        <v/>
      </c>
      <c r="AH154" s="183" t="str">
        <f t="shared" si="46"/>
        <v/>
      </c>
      <c r="AI154" s="5"/>
      <c r="AJ154" s="183" t="str">
        <f t="shared" si="47"/>
        <v/>
      </c>
      <c r="AK154" s="183" t="str">
        <f t="shared" si="48"/>
        <v/>
      </c>
      <c r="AL154" s="5"/>
      <c r="AM154" s="183" t="str">
        <f t="shared" si="49"/>
        <v/>
      </c>
      <c r="AN154" s="183" t="str">
        <f t="shared" si="50"/>
        <v/>
      </c>
      <c r="AO154" s="184">
        <f t="shared" si="51"/>
        <v>0</v>
      </c>
      <c r="AP154" s="184">
        <f t="shared" si="52"/>
        <v>0</v>
      </c>
      <c r="AQ154" s="608" t="str">
        <f t="shared" si="53"/>
        <v/>
      </c>
      <c r="AR154" s="185" t="str">
        <f>IF(COUNTIF(K154:Q154,"F")&gt;0,"",IF(AQ154="PASS",'Statement of Marks'!HZ156,""))</f>
        <v/>
      </c>
      <c r="AS154" s="185" t="str">
        <f>IF(AQ154="PASS",'Statement of Marks'!IA156,"")</f>
        <v/>
      </c>
    </row>
    <row r="155" spans="1:45">
      <c r="A155" s="169">
        <f>IF('Statement of Marks'!A157="","",'Statement of Marks'!A157)</f>
        <v>151</v>
      </c>
      <c r="B155" s="169" t="str">
        <f>IF('Statement of Marks'!B157="","",'Statement of Marks'!B157)</f>
        <v/>
      </c>
      <c r="C155" s="169" t="str">
        <f>IF('Statement of Marks'!D157="","",'Statement of Marks'!D157)</f>
        <v/>
      </c>
      <c r="D155" s="170" t="str">
        <f>IF('Statement of Marks'!E157="","",'Statement of Marks'!E157)</f>
        <v/>
      </c>
      <c r="E155" s="171" t="str">
        <f>IF('Statement of Marks'!F157="","",'Statement of Marks'!F157)</f>
        <v/>
      </c>
      <c r="F155" s="171" t="str">
        <f>IF('Statement of Marks'!G157="","",'Statement of Marks'!G157)</f>
        <v/>
      </c>
      <c r="G155" s="171" t="str">
        <f>IF('Statement of Marks'!H157="","",'Statement of Marks'!H157)</f>
        <v/>
      </c>
      <c r="H155" s="172" t="str">
        <f>IF('Statement of Marks'!HS157="","",'Statement of Marks'!HS157)</f>
        <v/>
      </c>
      <c r="I155" s="172" t="str">
        <f>IF('Statement of Marks'!HV157="","",'Statement of Marks'!HV157)</f>
        <v/>
      </c>
      <c r="J155" s="173" t="str">
        <f>IF('Statement of Marks'!HU157="","",'Statement of Marks'!HU157)</f>
        <v/>
      </c>
      <c r="K155" s="181" t="str">
        <f>'Statement of Marks'!GN157</f>
        <v/>
      </c>
      <c r="L155" s="181" t="str">
        <f>'Statement of Marks'!GQ157</f>
        <v/>
      </c>
      <c r="M155" s="181" t="str">
        <f>'Statement of Marks'!GT157</f>
        <v/>
      </c>
      <c r="N155" s="181" t="str">
        <f>'Statement of Marks'!HB157</f>
        <v/>
      </c>
      <c r="O155" s="181" t="str">
        <f>'Statement of Marks'!HE157</f>
        <v/>
      </c>
      <c r="P155" s="181" t="str">
        <f>'Statement of Marks'!HH157</f>
        <v/>
      </c>
      <c r="Q155" s="181" t="str">
        <f>'Statement of Marks'!HK157</f>
        <v/>
      </c>
      <c r="R155" s="173" t="str">
        <f>IF(COUNTIF(K155:Q155,"F")&gt;0,"",CONCATENATE('Statement of Marks'!HO157,'Statement of Marks'!HQ157))</f>
        <v xml:space="preserve">            </v>
      </c>
      <c r="S155" s="174">
        <f t="shared" si="36"/>
        <v>0</v>
      </c>
      <c r="T155" s="5"/>
      <c r="U155" s="182" t="str">
        <f t="shared" si="37"/>
        <v/>
      </c>
      <c r="V155" s="182" t="str">
        <f t="shared" si="38"/>
        <v/>
      </c>
      <c r="W155" s="5"/>
      <c r="X155" s="182" t="str">
        <f t="shared" si="39"/>
        <v/>
      </c>
      <c r="Y155" s="182" t="str">
        <f t="shared" si="40"/>
        <v/>
      </c>
      <c r="Z155" s="5"/>
      <c r="AA155" s="182" t="str">
        <f t="shared" si="41"/>
        <v/>
      </c>
      <c r="AB155" s="183" t="str">
        <f t="shared" si="42"/>
        <v/>
      </c>
      <c r="AC155" s="5"/>
      <c r="AD155" s="182" t="str">
        <f t="shared" si="43"/>
        <v/>
      </c>
      <c r="AE155" s="183" t="str">
        <f t="shared" si="44"/>
        <v/>
      </c>
      <c r="AF155" s="5"/>
      <c r="AG155" s="182" t="str">
        <f t="shared" si="45"/>
        <v/>
      </c>
      <c r="AH155" s="183" t="str">
        <f t="shared" si="46"/>
        <v/>
      </c>
      <c r="AI155" s="5"/>
      <c r="AJ155" s="183" t="str">
        <f t="shared" si="47"/>
        <v/>
      </c>
      <c r="AK155" s="183" t="str">
        <f t="shared" si="48"/>
        <v/>
      </c>
      <c r="AL155" s="5"/>
      <c r="AM155" s="183" t="str">
        <f t="shared" si="49"/>
        <v/>
      </c>
      <c r="AN155" s="183" t="str">
        <f t="shared" si="50"/>
        <v/>
      </c>
      <c r="AO155" s="184">
        <f t="shared" si="51"/>
        <v>0</v>
      </c>
      <c r="AP155" s="184">
        <f t="shared" si="52"/>
        <v>0</v>
      </c>
      <c r="AQ155" s="608" t="str">
        <f t="shared" si="53"/>
        <v/>
      </c>
      <c r="AR155" s="185" t="str">
        <f>IF(COUNTIF(K155:Q155,"F")&gt;0,"",IF(AQ155="PASS",'Statement of Marks'!HZ157,""))</f>
        <v/>
      </c>
      <c r="AS155" s="185" t="str">
        <f>IF(AQ155="PASS",'Statement of Marks'!IA157,"")</f>
        <v/>
      </c>
    </row>
    <row r="156" spans="1:45">
      <c r="A156" s="169">
        <f>IF('Statement of Marks'!A158="","",'Statement of Marks'!A158)</f>
        <v>152</v>
      </c>
      <c r="B156" s="169" t="str">
        <f>IF('Statement of Marks'!B158="","",'Statement of Marks'!B158)</f>
        <v/>
      </c>
      <c r="C156" s="169" t="str">
        <f>IF('Statement of Marks'!D158="","",'Statement of Marks'!D158)</f>
        <v/>
      </c>
      <c r="D156" s="170" t="str">
        <f>IF('Statement of Marks'!E158="","",'Statement of Marks'!E158)</f>
        <v/>
      </c>
      <c r="E156" s="171" t="str">
        <f>IF('Statement of Marks'!F158="","",'Statement of Marks'!F158)</f>
        <v/>
      </c>
      <c r="F156" s="171" t="str">
        <f>IF('Statement of Marks'!G158="","",'Statement of Marks'!G158)</f>
        <v/>
      </c>
      <c r="G156" s="171" t="str">
        <f>IF('Statement of Marks'!H158="","",'Statement of Marks'!H158)</f>
        <v/>
      </c>
      <c r="H156" s="172" t="str">
        <f>IF('Statement of Marks'!HS158="","",'Statement of Marks'!HS158)</f>
        <v/>
      </c>
      <c r="I156" s="172" t="str">
        <f>IF('Statement of Marks'!HV158="","",'Statement of Marks'!HV158)</f>
        <v/>
      </c>
      <c r="J156" s="173" t="str">
        <f>IF('Statement of Marks'!HU158="","",'Statement of Marks'!HU158)</f>
        <v/>
      </c>
      <c r="K156" s="181" t="str">
        <f>'Statement of Marks'!GN158</f>
        <v/>
      </c>
      <c r="L156" s="181" t="str">
        <f>'Statement of Marks'!GQ158</f>
        <v/>
      </c>
      <c r="M156" s="181" t="str">
        <f>'Statement of Marks'!GT158</f>
        <v/>
      </c>
      <c r="N156" s="181" t="str">
        <f>'Statement of Marks'!HB158</f>
        <v/>
      </c>
      <c r="O156" s="181" t="str">
        <f>'Statement of Marks'!HE158</f>
        <v/>
      </c>
      <c r="P156" s="181" t="str">
        <f>'Statement of Marks'!HH158</f>
        <v/>
      </c>
      <c r="Q156" s="181" t="str">
        <f>'Statement of Marks'!HK158</f>
        <v/>
      </c>
      <c r="R156" s="173" t="str">
        <f>IF(COUNTIF(K156:Q156,"F")&gt;0,"",CONCATENATE('Statement of Marks'!HO158,'Statement of Marks'!HQ158))</f>
        <v xml:space="preserve">            </v>
      </c>
      <c r="S156" s="174">
        <f t="shared" si="36"/>
        <v>0</v>
      </c>
      <c r="T156" s="5"/>
      <c r="U156" s="182" t="str">
        <f t="shared" si="37"/>
        <v/>
      </c>
      <c r="V156" s="182" t="str">
        <f t="shared" si="38"/>
        <v/>
      </c>
      <c r="W156" s="5"/>
      <c r="X156" s="182" t="str">
        <f t="shared" si="39"/>
        <v/>
      </c>
      <c r="Y156" s="182" t="str">
        <f t="shared" si="40"/>
        <v/>
      </c>
      <c r="Z156" s="5"/>
      <c r="AA156" s="182" t="str">
        <f t="shared" si="41"/>
        <v/>
      </c>
      <c r="AB156" s="183" t="str">
        <f t="shared" si="42"/>
        <v/>
      </c>
      <c r="AC156" s="5"/>
      <c r="AD156" s="182" t="str">
        <f t="shared" si="43"/>
        <v/>
      </c>
      <c r="AE156" s="183" t="str">
        <f t="shared" si="44"/>
        <v/>
      </c>
      <c r="AF156" s="5"/>
      <c r="AG156" s="182" t="str">
        <f t="shared" si="45"/>
        <v/>
      </c>
      <c r="AH156" s="183" t="str">
        <f t="shared" si="46"/>
        <v/>
      </c>
      <c r="AI156" s="5"/>
      <c r="AJ156" s="183" t="str">
        <f t="shared" si="47"/>
        <v/>
      </c>
      <c r="AK156" s="183" t="str">
        <f t="shared" si="48"/>
        <v/>
      </c>
      <c r="AL156" s="5"/>
      <c r="AM156" s="183" t="str">
        <f t="shared" si="49"/>
        <v/>
      </c>
      <c r="AN156" s="183" t="str">
        <f t="shared" si="50"/>
        <v/>
      </c>
      <c r="AO156" s="184">
        <f t="shared" si="51"/>
        <v>0</v>
      </c>
      <c r="AP156" s="184">
        <f t="shared" si="52"/>
        <v>0</v>
      </c>
      <c r="AQ156" s="608" t="str">
        <f t="shared" si="53"/>
        <v/>
      </c>
      <c r="AR156" s="185" t="str">
        <f>IF(COUNTIF(K156:Q156,"F")&gt;0,"",IF(AQ156="PASS",'Statement of Marks'!HZ158,""))</f>
        <v/>
      </c>
      <c r="AS156" s="185" t="str">
        <f>IF(AQ156="PASS",'Statement of Marks'!IA158,"")</f>
        <v/>
      </c>
    </row>
    <row r="157" spans="1:45">
      <c r="A157" s="169">
        <f>IF('Statement of Marks'!A159="","",'Statement of Marks'!A159)</f>
        <v>153</v>
      </c>
      <c r="B157" s="169" t="str">
        <f>IF('Statement of Marks'!B159="","",'Statement of Marks'!B159)</f>
        <v/>
      </c>
      <c r="C157" s="169" t="str">
        <f>IF('Statement of Marks'!D159="","",'Statement of Marks'!D159)</f>
        <v/>
      </c>
      <c r="D157" s="170" t="str">
        <f>IF('Statement of Marks'!E159="","",'Statement of Marks'!E159)</f>
        <v/>
      </c>
      <c r="E157" s="171" t="str">
        <f>IF('Statement of Marks'!F159="","",'Statement of Marks'!F159)</f>
        <v/>
      </c>
      <c r="F157" s="171" t="str">
        <f>IF('Statement of Marks'!G159="","",'Statement of Marks'!G159)</f>
        <v/>
      </c>
      <c r="G157" s="171" t="str">
        <f>IF('Statement of Marks'!H159="","",'Statement of Marks'!H159)</f>
        <v/>
      </c>
      <c r="H157" s="172" t="str">
        <f>IF('Statement of Marks'!HS159="","",'Statement of Marks'!HS159)</f>
        <v/>
      </c>
      <c r="I157" s="172" t="str">
        <f>IF('Statement of Marks'!HV159="","",'Statement of Marks'!HV159)</f>
        <v/>
      </c>
      <c r="J157" s="173" t="str">
        <f>IF('Statement of Marks'!HU159="","",'Statement of Marks'!HU159)</f>
        <v/>
      </c>
      <c r="K157" s="181" t="str">
        <f>'Statement of Marks'!GN159</f>
        <v/>
      </c>
      <c r="L157" s="181" t="str">
        <f>'Statement of Marks'!GQ159</f>
        <v/>
      </c>
      <c r="M157" s="181" t="str">
        <f>'Statement of Marks'!GT159</f>
        <v/>
      </c>
      <c r="N157" s="181" t="str">
        <f>'Statement of Marks'!HB159</f>
        <v/>
      </c>
      <c r="O157" s="181" t="str">
        <f>'Statement of Marks'!HE159</f>
        <v/>
      </c>
      <c r="P157" s="181" t="str">
        <f>'Statement of Marks'!HH159</f>
        <v/>
      </c>
      <c r="Q157" s="181" t="str">
        <f>'Statement of Marks'!HK159</f>
        <v/>
      </c>
      <c r="R157" s="173" t="str">
        <f>IF(COUNTIF(K157:Q157,"F")&gt;0,"",CONCATENATE('Statement of Marks'!HO159,'Statement of Marks'!HQ159))</f>
        <v xml:space="preserve">            </v>
      </c>
      <c r="S157" s="174">
        <f t="shared" si="36"/>
        <v>0</v>
      </c>
      <c r="T157" s="5"/>
      <c r="U157" s="182" t="str">
        <f t="shared" si="37"/>
        <v/>
      </c>
      <c r="V157" s="182" t="str">
        <f t="shared" si="38"/>
        <v/>
      </c>
      <c r="W157" s="5"/>
      <c r="X157" s="182" t="str">
        <f t="shared" si="39"/>
        <v/>
      </c>
      <c r="Y157" s="182" t="str">
        <f t="shared" si="40"/>
        <v/>
      </c>
      <c r="Z157" s="5"/>
      <c r="AA157" s="182" t="str">
        <f t="shared" si="41"/>
        <v/>
      </c>
      <c r="AB157" s="183" t="str">
        <f t="shared" si="42"/>
        <v/>
      </c>
      <c r="AC157" s="5"/>
      <c r="AD157" s="182" t="str">
        <f t="shared" si="43"/>
        <v/>
      </c>
      <c r="AE157" s="183" t="str">
        <f t="shared" si="44"/>
        <v/>
      </c>
      <c r="AF157" s="5"/>
      <c r="AG157" s="182" t="str">
        <f t="shared" si="45"/>
        <v/>
      </c>
      <c r="AH157" s="183" t="str">
        <f t="shared" si="46"/>
        <v/>
      </c>
      <c r="AI157" s="5"/>
      <c r="AJ157" s="183" t="str">
        <f t="shared" si="47"/>
        <v/>
      </c>
      <c r="AK157" s="183" t="str">
        <f t="shared" si="48"/>
        <v/>
      </c>
      <c r="AL157" s="5"/>
      <c r="AM157" s="183" t="str">
        <f t="shared" si="49"/>
        <v/>
      </c>
      <c r="AN157" s="183" t="str">
        <f t="shared" si="50"/>
        <v/>
      </c>
      <c r="AO157" s="184">
        <f t="shared" si="51"/>
        <v>0</v>
      </c>
      <c r="AP157" s="184">
        <f t="shared" si="52"/>
        <v>0</v>
      </c>
      <c r="AQ157" s="608" t="str">
        <f t="shared" si="53"/>
        <v/>
      </c>
      <c r="AR157" s="185" t="str">
        <f>IF(COUNTIF(K157:Q157,"F")&gt;0,"",IF(AQ157="PASS",'Statement of Marks'!HZ159,""))</f>
        <v/>
      </c>
      <c r="AS157" s="185" t="str">
        <f>IF(AQ157="PASS",'Statement of Marks'!IA159,"")</f>
        <v/>
      </c>
    </row>
    <row r="158" spans="1:45">
      <c r="A158" s="169">
        <f>IF('Statement of Marks'!A160="","",'Statement of Marks'!A160)</f>
        <v>154</v>
      </c>
      <c r="B158" s="169" t="str">
        <f>IF('Statement of Marks'!B160="","",'Statement of Marks'!B160)</f>
        <v/>
      </c>
      <c r="C158" s="169" t="str">
        <f>IF('Statement of Marks'!D160="","",'Statement of Marks'!D160)</f>
        <v/>
      </c>
      <c r="D158" s="170" t="str">
        <f>IF('Statement of Marks'!E160="","",'Statement of Marks'!E160)</f>
        <v/>
      </c>
      <c r="E158" s="171" t="str">
        <f>IF('Statement of Marks'!F160="","",'Statement of Marks'!F160)</f>
        <v/>
      </c>
      <c r="F158" s="171" t="str">
        <f>IF('Statement of Marks'!G160="","",'Statement of Marks'!G160)</f>
        <v/>
      </c>
      <c r="G158" s="171" t="str">
        <f>IF('Statement of Marks'!H160="","",'Statement of Marks'!H160)</f>
        <v/>
      </c>
      <c r="H158" s="172" t="str">
        <f>IF('Statement of Marks'!HS160="","",'Statement of Marks'!HS160)</f>
        <v/>
      </c>
      <c r="I158" s="172" t="str">
        <f>IF('Statement of Marks'!HV160="","",'Statement of Marks'!HV160)</f>
        <v/>
      </c>
      <c r="J158" s="173" t="str">
        <f>IF('Statement of Marks'!HU160="","",'Statement of Marks'!HU160)</f>
        <v/>
      </c>
      <c r="K158" s="181" t="str">
        <f>'Statement of Marks'!GN160</f>
        <v/>
      </c>
      <c r="L158" s="181" t="str">
        <f>'Statement of Marks'!GQ160</f>
        <v/>
      </c>
      <c r="M158" s="181" t="str">
        <f>'Statement of Marks'!GT160</f>
        <v/>
      </c>
      <c r="N158" s="181" t="str">
        <f>'Statement of Marks'!HB160</f>
        <v/>
      </c>
      <c r="O158" s="181" t="str">
        <f>'Statement of Marks'!HE160</f>
        <v/>
      </c>
      <c r="P158" s="181" t="str">
        <f>'Statement of Marks'!HH160</f>
        <v/>
      </c>
      <c r="Q158" s="181" t="str">
        <f>'Statement of Marks'!HK160</f>
        <v/>
      </c>
      <c r="R158" s="173" t="str">
        <f>IF(COUNTIF(K158:Q158,"F")&gt;0,"",CONCATENATE('Statement of Marks'!HO160,'Statement of Marks'!HQ160))</f>
        <v xml:space="preserve">            </v>
      </c>
      <c r="S158" s="174">
        <f t="shared" si="36"/>
        <v>0</v>
      </c>
      <c r="T158" s="5"/>
      <c r="U158" s="182" t="str">
        <f t="shared" si="37"/>
        <v/>
      </c>
      <c r="V158" s="182" t="str">
        <f t="shared" si="38"/>
        <v/>
      </c>
      <c r="W158" s="5"/>
      <c r="X158" s="182" t="str">
        <f t="shared" si="39"/>
        <v/>
      </c>
      <c r="Y158" s="182" t="str">
        <f t="shared" si="40"/>
        <v/>
      </c>
      <c r="Z158" s="5"/>
      <c r="AA158" s="182" t="str">
        <f t="shared" si="41"/>
        <v/>
      </c>
      <c r="AB158" s="183" t="str">
        <f t="shared" si="42"/>
        <v/>
      </c>
      <c r="AC158" s="5"/>
      <c r="AD158" s="182" t="str">
        <f t="shared" si="43"/>
        <v/>
      </c>
      <c r="AE158" s="183" t="str">
        <f t="shared" si="44"/>
        <v/>
      </c>
      <c r="AF158" s="5"/>
      <c r="AG158" s="182" t="str">
        <f t="shared" si="45"/>
        <v/>
      </c>
      <c r="AH158" s="183" t="str">
        <f t="shared" si="46"/>
        <v/>
      </c>
      <c r="AI158" s="5"/>
      <c r="AJ158" s="183" t="str">
        <f t="shared" si="47"/>
        <v/>
      </c>
      <c r="AK158" s="183" t="str">
        <f t="shared" si="48"/>
        <v/>
      </c>
      <c r="AL158" s="5"/>
      <c r="AM158" s="183" t="str">
        <f t="shared" si="49"/>
        <v/>
      </c>
      <c r="AN158" s="183" t="str">
        <f t="shared" si="50"/>
        <v/>
      </c>
      <c r="AO158" s="184">
        <f t="shared" si="51"/>
        <v>0</v>
      </c>
      <c r="AP158" s="184">
        <f t="shared" si="52"/>
        <v>0</v>
      </c>
      <c r="AQ158" s="608" t="str">
        <f t="shared" si="53"/>
        <v/>
      </c>
      <c r="AR158" s="185" t="str">
        <f>IF(COUNTIF(K158:Q158,"F")&gt;0,"",IF(AQ158="PASS",'Statement of Marks'!HZ160,""))</f>
        <v/>
      </c>
      <c r="AS158" s="185" t="str">
        <f>IF(AQ158="PASS",'Statement of Marks'!IA160,"")</f>
        <v/>
      </c>
    </row>
    <row r="159" spans="1:45">
      <c r="A159" s="169">
        <f>IF('Statement of Marks'!A161="","",'Statement of Marks'!A161)</f>
        <v>155</v>
      </c>
      <c r="B159" s="169" t="str">
        <f>IF('Statement of Marks'!B161="","",'Statement of Marks'!B161)</f>
        <v/>
      </c>
      <c r="C159" s="169" t="str">
        <f>IF('Statement of Marks'!D161="","",'Statement of Marks'!D161)</f>
        <v/>
      </c>
      <c r="D159" s="170" t="str">
        <f>IF('Statement of Marks'!E161="","",'Statement of Marks'!E161)</f>
        <v/>
      </c>
      <c r="E159" s="171" t="str">
        <f>IF('Statement of Marks'!F161="","",'Statement of Marks'!F161)</f>
        <v/>
      </c>
      <c r="F159" s="171" t="str">
        <f>IF('Statement of Marks'!G161="","",'Statement of Marks'!G161)</f>
        <v/>
      </c>
      <c r="G159" s="171" t="str">
        <f>IF('Statement of Marks'!H161="","",'Statement of Marks'!H161)</f>
        <v/>
      </c>
      <c r="H159" s="172" t="str">
        <f>IF('Statement of Marks'!HS161="","",'Statement of Marks'!HS161)</f>
        <v/>
      </c>
      <c r="I159" s="172" t="str">
        <f>IF('Statement of Marks'!HV161="","",'Statement of Marks'!HV161)</f>
        <v/>
      </c>
      <c r="J159" s="173" t="str">
        <f>IF('Statement of Marks'!HU161="","",'Statement of Marks'!HU161)</f>
        <v/>
      </c>
      <c r="K159" s="181" t="str">
        <f>'Statement of Marks'!GN161</f>
        <v/>
      </c>
      <c r="L159" s="181" t="str">
        <f>'Statement of Marks'!GQ161</f>
        <v/>
      </c>
      <c r="M159" s="181" t="str">
        <f>'Statement of Marks'!GT161</f>
        <v/>
      </c>
      <c r="N159" s="181" t="str">
        <f>'Statement of Marks'!HB161</f>
        <v/>
      </c>
      <c r="O159" s="181" t="str">
        <f>'Statement of Marks'!HE161</f>
        <v/>
      </c>
      <c r="P159" s="181" t="str">
        <f>'Statement of Marks'!HH161</f>
        <v/>
      </c>
      <c r="Q159" s="181" t="str">
        <f>'Statement of Marks'!HK161</f>
        <v/>
      </c>
      <c r="R159" s="173" t="str">
        <f>IF(COUNTIF(K159:Q159,"F")&gt;0,"",CONCATENATE('Statement of Marks'!HO161,'Statement of Marks'!HQ161))</f>
        <v xml:space="preserve">            </v>
      </c>
      <c r="S159" s="174">
        <f t="shared" si="36"/>
        <v>0</v>
      </c>
      <c r="T159" s="5"/>
      <c r="U159" s="182" t="str">
        <f t="shared" si="37"/>
        <v/>
      </c>
      <c r="V159" s="182" t="str">
        <f t="shared" si="38"/>
        <v/>
      </c>
      <c r="W159" s="5"/>
      <c r="X159" s="182" t="str">
        <f t="shared" si="39"/>
        <v/>
      </c>
      <c r="Y159" s="182" t="str">
        <f t="shared" si="40"/>
        <v/>
      </c>
      <c r="Z159" s="5"/>
      <c r="AA159" s="182" t="str">
        <f t="shared" si="41"/>
        <v/>
      </c>
      <c r="AB159" s="183" t="str">
        <f t="shared" si="42"/>
        <v/>
      </c>
      <c r="AC159" s="5"/>
      <c r="AD159" s="182" t="str">
        <f t="shared" si="43"/>
        <v/>
      </c>
      <c r="AE159" s="183" t="str">
        <f t="shared" si="44"/>
        <v/>
      </c>
      <c r="AF159" s="5"/>
      <c r="AG159" s="182" t="str">
        <f t="shared" si="45"/>
        <v/>
      </c>
      <c r="AH159" s="183" t="str">
        <f t="shared" si="46"/>
        <v/>
      </c>
      <c r="AI159" s="5"/>
      <c r="AJ159" s="183" t="str">
        <f t="shared" si="47"/>
        <v/>
      </c>
      <c r="AK159" s="183" t="str">
        <f t="shared" si="48"/>
        <v/>
      </c>
      <c r="AL159" s="5"/>
      <c r="AM159" s="183" t="str">
        <f t="shared" si="49"/>
        <v/>
      </c>
      <c r="AN159" s="183" t="str">
        <f t="shared" si="50"/>
        <v/>
      </c>
      <c r="AO159" s="184">
        <f t="shared" si="51"/>
        <v>0</v>
      </c>
      <c r="AP159" s="184">
        <f t="shared" si="52"/>
        <v>0</v>
      </c>
      <c r="AQ159" s="608" t="str">
        <f t="shared" si="53"/>
        <v/>
      </c>
      <c r="AR159" s="185" t="str">
        <f>IF(COUNTIF(K159:Q159,"F")&gt;0,"",IF(AQ159="PASS",'Statement of Marks'!HZ161,""))</f>
        <v/>
      </c>
      <c r="AS159" s="185" t="str">
        <f>IF(AQ159="PASS",'Statement of Marks'!IA161,"")</f>
        <v/>
      </c>
    </row>
    <row r="160" spans="1:45">
      <c r="A160" s="169">
        <f>IF('Statement of Marks'!A162="","",'Statement of Marks'!A162)</f>
        <v>156</v>
      </c>
      <c r="B160" s="169" t="str">
        <f>IF('Statement of Marks'!B162="","",'Statement of Marks'!B162)</f>
        <v/>
      </c>
      <c r="C160" s="169" t="str">
        <f>IF('Statement of Marks'!D162="","",'Statement of Marks'!D162)</f>
        <v/>
      </c>
      <c r="D160" s="170" t="str">
        <f>IF('Statement of Marks'!E162="","",'Statement of Marks'!E162)</f>
        <v/>
      </c>
      <c r="E160" s="171" t="str">
        <f>IF('Statement of Marks'!F162="","",'Statement of Marks'!F162)</f>
        <v/>
      </c>
      <c r="F160" s="171" t="str">
        <f>IF('Statement of Marks'!G162="","",'Statement of Marks'!G162)</f>
        <v/>
      </c>
      <c r="G160" s="171" t="str">
        <f>IF('Statement of Marks'!H162="","",'Statement of Marks'!H162)</f>
        <v/>
      </c>
      <c r="H160" s="172" t="str">
        <f>IF('Statement of Marks'!HS162="","",'Statement of Marks'!HS162)</f>
        <v/>
      </c>
      <c r="I160" s="172" t="str">
        <f>IF('Statement of Marks'!HV162="","",'Statement of Marks'!HV162)</f>
        <v/>
      </c>
      <c r="J160" s="173" t="str">
        <f>IF('Statement of Marks'!HU162="","",'Statement of Marks'!HU162)</f>
        <v/>
      </c>
      <c r="K160" s="181" t="str">
        <f>'Statement of Marks'!GN162</f>
        <v/>
      </c>
      <c r="L160" s="181" t="str">
        <f>'Statement of Marks'!GQ162</f>
        <v/>
      </c>
      <c r="M160" s="181" t="str">
        <f>'Statement of Marks'!GT162</f>
        <v/>
      </c>
      <c r="N160" s="181" t="str">
        <f>'Statement of Marks'!HB162</f>
        <v/>
      </c>
      <c r="O160" s="181" t="str">
        <f>'Statement of Marks'!HE162</f>
        <v/>
      </c>
      <c r="P160" s="181" t="str">
        <f>'Statement of Marks'!HH162</f>
        <v/>
      </c>
      <c r="Q160" s="181" t="str">
        <f>'Statement of Marks'!HK162</f>
        <v/>
      </c>
      <c r="R160" s="173" t="str">
        <f>IF(COUNTIF(K160:Q160,"F")&gt;0,"",CONCATENATE('Statement of Marks'!HO162,'Statement of Marks'!HQ162))</f>
        <v xml:space="preserve">            </v>
      </c>
      <c r="S160" s="174">
        <f t="shared" si="36"/>
        <v>0</v>
      </c>
      <c r="T160" s="5"/>
      <c r="U160" s="182" t="str">
        <f t="shared" si="37"/>
        <v/>
      </c>
      <c r="V160" s="182" t="str">
        <f t="shared" si="38"/>
        <v/>
      </c>
      <c r="W160" s="5"/>
      <c r="X160" s="182" t="str">
        <f t="shared" si="39"/>
        <v/>
      </c>
      <c r="Y160" s="182" t="str">
        <f t="shared" si="40"/>
        <v/>
      </c>
      <c r="Z160" s="5"/>
      <c r="AA160" s="182" t="str">
        <f t="shared" si="41"/>
        <v/>
      </c>
      <c r="AB160" s="183" t="str">
        <f t="shared" si="42"/>
        <v/>
      </c>
      <c r="AC160" s="5"/>
      <c r="AD160" s="182" t="str">
        <f t="shared" si="43"/>
        <v/>
      </c>
      <c r="AE160" s="183" t="str">
        <f t="shared" si="44"/>
        <v/>
      </c>
      <c r="AF160" s="5"/>
      <c r="AG160" s="182" t="str">
        <f t="shared" si="45"/>
        <v/>
      </c>
      <c r="AH160" s="183" t="str">
        <f t="shared" si="46"/>
        <v/>
      </c>
      <c r="AI160" s="5"/>
      <c r="AJ160" s="183" t="str">
        <f t="shared" si="47"/>
        <v/>
      </c>
      <c r="AK160" s="183" t="str">
        <f t="shared" si="48"/>
        <v/>
      </c>
      <c r="AL160" s="5"/>
      <c r="AM160" s="183" t="str">
        <f t="shared" si="49"/>
        <v/>
      </c>
      <c r="AN160" s="183" t="str">
        <f t="shared" si="50"/>
        <v/>
      </c>
      <c r="AO160" s="184">
        <f t="shared" si="51"/>
        <v>0</v>
      </c>
      <c r="AP160" s="184">
        <f t="shared" si="52"/>
        <v>0</v>
      </c>
      <c r="AQ160" s="608" t="str">
        <f t="shared" si="53"/>
        <v/>
      </c>
      <c r="AR160" s="185" t="str">
        <f>IF(COUNTIF(K160:Q160,"F")&gt;0,"",IF(AQ160="PASS",'Statement of Marks'!HZ162,""))</f>
        <v/>
      </c>
      <c r="AS160" s="185" t="str">
        <f>IF(AQ160="PASS",'Statement of Marks'!IA162,"")</f>
        <v/>
      </c>
    </row>
    <row r="161" spans="1:45">
      <c r="A161" s="169">
        <f>IF('Statement of Marks'!A163="","",'Statement of Marks'!A163)</f>
        <v>157</v>
      </c>
      <c r="B161" s="169" t="str">
        <f>IF('Statement of Marks'!B163="","",'Statement of Marks'!B163)</f>
        <v/>
      </c>
      <c r="C161" s="169" t="str">
        <f>IF('Statement of Marks'!D163="","",'Statement of Marks'!D163)</f>
        <v/>
      </c>
      <c r="D161" s="170" t="str">
        <f>IF('Statement of Marks'!E163="","",'Statement of Marks'!E163)</f>
        <v/>
      </c>
      <c r="E161" s="171" t="str">
        <f>IF('Statement of Marks'!F163="","",'Statement of Marks'!F163)</f>
        <v/>
      </c>
      <c r="F161" s="171" t="str">
        <f>IF('Statement of Marks'!G163="","",'Statement of Marks'!G163)</f>
        <v/>
      </c>
      <c r="G161" s="171" t="str">
        <f>IF('Statement of Marks'!H163="","",'Statement of Marks'!H163)</f>
        <v/>
      </c>
      <c r="H161" s="172" t="str">
        <f>IF('Statement of Marks'!HS163="","",'Statement of Marks'!HS163)</f>
        <v/>
      </c>
      <c r="I161" s="172" t="str">
        <f>IF('Statement of Marks'!HV163="","",'Statement of Marks'!HV163)</f>
        <v/>
      </c>
      <c r="J161" s="173" t="str">
        <f>IF('Statement of Marks'!HU163="","",'Statement of Marks'!HU163)</f>
        <v/>
      </c>
      <c r="K161" s="181" t="str">
        <f>'Statement of Marks'!GN163</f>
        <v/>
      </c>
      <c r="L161" s="181" t="str">
        <f>'Statement of Marks'!GQ163</f>
        <v/>
      </c>
      <c r="M161" s="181" t="str">
        <f>'Statement of Marks'!GT163</f>
        <v/>
      </c>
      <c r="N161" s="181" t="str">
        <f>'Statement of Marks'!HB163</f>
        <v/>
      </c>
      <c r="O161" s="181" t="str">
        <f>'Statement of Marks'!HE163</f>
        <v/>
      </c>
      <c r="P161" s="181" t="str">
        <f>'Statement of Marks'!HH163</f>
        <v/>
      </c>
      <c r="Q161" s="181" t="str">
        <f>'Statement of Marks'!HK163</f>
        <v/>
      </c>
      <c r="R161" s="173" t="str">
        <f>IF(COUNTIF(K161:Q161,"F")&gt;0,"",CONCATENATE('Statement of Marks'!HO163,'Statement of Marks'!HQ163))</f>
        <v xml:space="preserve">            </v>
      </c>
      <c r="S161" s="174">
        <f t="shared" si="36"/>
        <v>0</v>
      </c>
      <c r="T161" s="5"/>
      <c r="U161" s="182" t="str">
        <f t="shared" si="37"/>
        <v/>
      </c>
      <c r="V161" s="182" t="str">
        <f t="shared" si="38"/>
        <v/>
      </c>
      <c r="W161" s="5"/>
      <c r="X161" s="182" t="str">
        <f t="shared" si="39"/>
        <v/>
      </c>
      <c r="Y161" s="182" t="str">
        <f t="shared" si="40"/>
        <v/>
      </c>
      <c r="Z161" s="5"/>
      <c r="AA161" s="182" t="str">
        <f t="shared" si="41"/>
        <v/>
      </c>
      <c r="AB161" s="183" t="str">
        <f t="shared" si="42"/>
        <v/>
      </c>
      <c r="AC161" s="5"/>
      <c r="AD161" s="182" t="str">
        <f t="shared" si="43"/>
        <v/>
      </c>
      <c r="AE161" s="183" t="str">
        <f t="shared" si="44"/>
        <v/>
      </c>
      <c r="AF161" s="5"/>
      <c r="AG161" s="182" t="str">
        <f t="shared" si="45"/>
        <v/>
      </c>
      <c r="AH161" s="183" t="str">
        <f t="shared" si="46"/>
        <v/>
      </c>
      <c r="AI161" s="5"/>
      <c r="AJ161" s="183" t="str">
        <f t="shared" si="47"/>
        <v/>
      </c>
      <c r="AK161" s="183" t="str">
        <f t="shared" si="48"/>
        <v/>
      </c>
      <c r="AL161" s="5"/>
      <c r="AM161" s="183" t="str">
        <f t="shared" si="49"/>
        <v/>
      </c>
      <c r="AN161" s="183" t="str">
        <f t="shared" si="50"/>
        <v/>
      </c>
      <c r="AO161" s="184">
        <f t="shared" si="51"/>
        <v>0</v>
      </c>
      <c r="AP161" s="184">
        <f t="shared" si="52"/>
        <v>0</v>
      </c>
      <c r="AQ161" s="608" t="str">
        <f t="shared" si="53"/>
        <v/>
      </c>
      <c r="AR161" s="185" t="str">
        <f>IF(COUNTIF(K161:Q161,"F")&gt;0,"",IF(AQ161="PASS",'Statement of Marks'!HZ163,""))</f>
        <v/>
      </c>
      <c r="AS161" s="185" t="str">
        <f>IF(AQ161="PASS",'Statement of Marks'!IA163,"")</f>
        <v/>
      </c>
    </row>
    <row r="162" spans="1:45">
      <c r="A162" s="169">
        <f>IF('Statement of Marks'!A164="","",'Statement of Marks'!A164)</f>
        <v>158</v>
      </c>
      <c r="B162" s="169" t="str">
        <f>IF('Statement of Marks'!B164="","",'Statement of Marks'!B164)</f>
        <v/>
      </c>
      <c r="C162" s="169" t="str">
        <f>IF('Statement of Marks'!D164="","",'Statement of Marks'!D164)</f>
        <v/>
      </c>
      <c r="D162" s="170" t="str">
        <f>IF('Statement of Marks'!E164="","",'Statement of Marks'!E164)</f>
        <v/>
      </c>
      <c r="E162" s="171" t="str">
        <f>IF('Statement of Marks'!F164="","",'Statement of Marks'!F164)</f>
        <v/>
      </c>
      <c r="F162" s="171" t="str">
        <f>IF('Statement of Marks'!G164="","",'Statement of Marks'!G164)</f>
        <v/>
      </c>
      <c r="G162" s="171" t="str">
        <f>IF('Statement of Marks'!H164="","",'Statement of Marks'!H164)</f>
        <v/>
      </c>
      <c r="H162" s="172" t="str">
        <f>IF('Statement of Marks'!HS164="","",'Statement of Marks'!HS164)</f>
        <v/>
      </c>
      <c r="I162" s="172" t="str">
        <f>IF('Statement of Marks'!HV164="","",'Statement of Marks'!HV164)</f>
        <v/>
      </c>
      <c r="J162" s="173" t="str">
        <f>IF('Statement of Marks'!HU164="","",'Statement of Marks'!HU164)</f>
        <v/>
      </c>
      <c r="K162" s="181" t="str">
        <f>'Statement of Marks'!GN164</f>
        <v/>
      </c>
      <c r="L162" s="181" t="str">
        <f>'Statement of Marks'!GQ164</f>
        <v/>
      </c>
      <c r="M162" s="181" t="str">
        <f>'Statement of Marks'!GT164</f>
        <v/>
      </c>
      <c r="N162" s="181" t="str">
        <f>'Statement of Marks'!HB164</f>
        <v/>
      </c>
      <c r="O162" s="181" t="str">
        <f>'Statement of Marks'!HE164</f>
        <v/>
      </c>
      <c r="P162" s="181" t="str">
        <f>'Statement of Marks'!HH164</f>
        <v/>
      </c>
      <c r="Q162" s="181" t="str">
        <f>'Statement of Marks'!HK164</f>
        <v/>
      </c>
      <c r="R162" s="173" t="str">
        <f>IF(COUNTIF(K162:Q162,"F")&gt;0,"",CONCATENATE('Statement of Marks'!HO164,'Statement of Marks'!HQ164))</f>
        <v xml:space="preserve">            </v>
      </c>
      <c r="S162" s="174">
        <f t="shared" si="36"/>
        <v>0</v>
      </c>
      <c r="T162" s="5"/>
      <c r="U162" s="182" t="str">
        <f t="shared" si="37"/>
        <v/>
      </c>
      <c r="V162" s="182" t="str">
        <f t="shared" si="38"/>
        <v/>
      </c>
      <c r="W162" s="5"/>
      <c r="X162" s="182" t="str">
        <f t="shared" si="39"/>
        <v/>
      </c>
      <c r="Y162" s="182" t="str">
        <f t="shared" si="40"/>
        <v/>
      </c>
      <c r="Z162" s="5"/>
      <c r="AA162" s="182" t="str">
        <f t="shared" si="41"/>
        <v/>
      </c>
      <c r="AB162" s="183" t="str">
        <f t="shared" si="42"/>
        <v/>
      </c>
      <c r="AC162" s="5"/>
      <c r="AD162" s="182" t="str">
        <f t="shared" si="43"/>
        <v/>
      </c>
      <c r="AE162" s="183" t="str">
        <f t="shared" si="44"/>
        <v/>
      </c>
      <c r="AF162" s="5"/>
      <c r="AG162" s="182" t="str">
        <f t="shared" si="45"/>
        <v/>
      </c>
      <c r="AH162" s="183" t="str">
        <f t="shared" si="46"/>
        <v/>
      </c>
      <c r="AI162" s="5"/>
      <c r="AJ162" s="183" t="str">
        <f t="shared" si="47"/>
        <v/>
      </c>
      <c r="AK162" s="183" t="str">
        <f t="shared" si="48"/>
        <v/>
      </c>
      <c r="AL162" s="5"/>
      <c r="AM162" s="183" t="str">
        <f t="shared" si="49"/>
        <v/>
      </c>
      <c r="AN162" s="183" t="str">
        <f t="shared" si="50"/>
        <v/>
      </c>
      <c r="AO162" s="184">
        <f t="shared" si="51"/>
        <v>0</v>
      </c>
      <c r="AP162" s="184">
        <f t="shared" si="52"/>
        <v>0</v>
      </c>
      <c r="AQ162" s="608" t="str">
        <f t="shared" si="53"/>
        <v/>
      </c>
      <c r="AR162" s="185" t="str">
        <f>IF(COUNTIF(K162:Q162,"F")&gt;0,"",IF(AQ162="PASS",'Statement of Marks'!HZ164,""))</f>
        <v/>
      </c>
      <c r="AS162" s="185" t="str">
        <f>IF(AQ162="PASS",'Statement of Marks'!IA164,"")</f>
        <v/>
      </c>
    </row>
    <row r="163" spans="1:45">
      <c r="A163" s="169">
        <f>IF('Statement of Marks'!A165="","",'Statement of Marks'!A165)</f>
        <v>159</v>
      </c>
      <c r="B163" s="169" t="str">
        <f>IF('Statement of Marks'!B165="","",'Statement of Marks'!B165)</f>
        <v/>
      </c>
      <c r="C163" s="169" t="str">
        <f>IF('Statement of Marks'!D165="","",'Statement of Marks'!D165)</f>
        <v/>
      </c>
      <c r="D163" s="170" t="str">
        <f>IF('Statement of Marks'!E165="","",'Statement of Marks'!E165)</f>
        <v/>
      </c>
      <c r="E163" s="171" t="str">
        <f>IF('Statement of Marks'!F165="","",'Statement of Marks'!F165)</f>
        <v/>
      </c>
      <c r="F163" s="171" t="str">
        <f>IF('Statement of Marks'!G165="","",'Statement of Marks'!G165)</f>
        <v/>
      </c>
      <c r="G163" s="171" t="str">
        <f>IF('Statement of Marks'!H165="","",'Statement of Marks'!H165)</f>
        <v/>
      </c>
      <c r="H163" s="172" t="str">
        <f>IF('Statement of Marks'!HS165="","",'Statement of Marks'!HS165)</f>
        <v/>
      </c>
      <c r="I163" s="172" t="str">
        <f>IF('Statement of Marks'!HV165="","",'Statement of Marks'!HV165)</f>
        <v/>
      </c>
      <c r="J163" s="173" t="str">
        <f>IF('Statement of Marks'!HU165="","",'Statement of Marks'!HU165)</f>
        <v/>
      </c>
      <c r="K163" s="181" t="str">
        <f>'Statement of Marks'!GN165</f>
        <v/>
      </c>
      <c r="L163" s="181" t="str">
        <f>'Statement of Marks'!GQ165</f>
        <v/>
      </c>
      <c r="M163" s="181" t="str">
        <f>'Statement of Marks'!GT165</f>
        <v/>
      </c>
      <c r="N163" s="181" t="str">
        <f>'Statement of Marks'!HB165</f>
        <v/>
      </c>
      <c r="O163" s="181" t="str">
        <f>'Statement of Marks'!HE165</f>
        <v/>
      </c>
      <c r="P163" s="181" t="str">
        <f>'Statement of Marks'!HH165</f>
        <v/>
      </c>
      <c r="Q163" s="181" t="str">
        <f>'Statement of Marks'!HK165</f>
        <v/>
      </c>
      <c r="R163" s="173" t="str">
        <f>IF(COUNTIF(K163:Q163,"F")&gt;0,"",CONCATENATE('Statement of Marks'!HO165,'Statement of Marks'!HQ165))</f>
        <v xml:space="preserve">            </v>
      </c>
      <c r="S163" s="174">
        <f t="shared" si="36"/>
        <v>0</v>
      </c>
      <c r="T163" s="5"/>
      <c r="U163" s="182" t="str">
        <f t="shared" si="37"/>
        <v/>
      </c>
      <c r="V163" s="182" t="str">
        <f t="shared" si="38"/>
        <v/>
      </c>
      <c r="W163" s="5"/>
      <c r="X163" s="182" t="str">
        <f t="shared" si="39"/>
        <v/>
      </c>
      <c r="Y163" s="182" t="str">
        <f t="shared" si="40"/>
        <v/>
      </c>
      <c r="Z163" s="5"/>
      <c r="AA163" s="182" t="str">
        <f t="shared" si="41"/>
        <v/>
      </c>
      <c r="AB163" s="183" t="str">
        <f t="shared" si="42"/>
        <v/>
      </c>
      <c r="AC163" s="5"/>
      <c r="AD163" s="182" t="str">
        <f t="shared" si="43"/>
        <v/>
      </c>
      <c r="AE163" s="183" t="str">
        <f t="shared" si="44"/>
        <v/>
      </c>
      <c r="AF163" s="5"/>
      <c r="AG163" s="182" t="str">
        <f t="shared" si="45"/>
        <v/>
      </c>
      <c r="AH163" s="183" t="str">
        <f t="shared" si="46"/>
        <v/>
      </c>
      <c r="AI163" s="5"/>
      <c r="AJ163" s="183" t="str">
        <f t="shared" si="47"/>
        <v/>
      </c>
      <c r="AK163" s="183" t="str">
        <f t="shared" si="48"/>
        <v/>
      </c>
      <c r="AL163" s="5"/>
      <c r="AM163" s="183" t="str">
        <f t="shared" si="49"/>
        <v/>
      </c>
      <c r="AN163" s="183" t="str">
        <f t="shared" si="50"/>
        <v/>
      </c>
      <c r="AO163" s="184">
        <f t="shared" si="51"/>
        <v>0</v>
      </c>
      <c r="AP163" s="184">
        <f t="shared" si="52"/>
        <v>0</v>
      </c>
      <c r="AQ163" s="608" t="str">
        <f t="shared" si="53"/>
        <v/>
      </c>
      <c r="AR163" s="185" t="str">
        <f>IF(COUNTIF(K163:Q163,"F")&gt;0,"",IF(AQ163="PASS",'Statement of Marks'!HZ165,""))</f>
        <v/>
      </c>
      <c r="AS163" s="185" t="str">
        <f>IF(AQ163="PASS",'Statement of Marks'!IA165,"")</f>
        <v/>
      </c>
    </row>
    <row r="164" spans="1:45">
      <c r="A164" s="169">
        <f>IF('Statement of Marks'!A166="","",'Statement of Marks'!A166)</f>
        <v>160</v>
      </c>
      <c r="B164" s="169" t="str">
        <f>IF('Statement of Marks'!B166="","",'Statement of Marks'!B166)</f>
        <v/>
      </c>
      <c r="C164" s="169" t="str">
        <f>IF('Statement of Marks'!D166="","",'Statement of Marks'!D166)</f>
        <v/>
      </c>
      <c r="D164" s="170" t="str">
        <f>IF('Statement of Marks'!E166="","",'Statement of Marks'!E166)</f>
        <v/>
      </c>
      <c r="E164" s="171" t="str">
        <f>IF('Statement of Marks'!F166="","",'Statement of Marks'!F166)</f>
        <v/>
      </c>
      <c r="F164" s="171" t="str">
        <f>IF('Statement of Marks'!G166="","",'Statement of Marks'!G166)</f>
        <v/>
      </c>
      <c r="G164" s="171" t="str">
        <f>IF('Statement of Marks'!H166="","",'Statement of Marks'!H166)</f>
        <v/>
      </c>
      <c r="H164" s="172" t="str">
        <f>IF('Statement of Marks'!HS166="","",'Statement of Marks'!HS166)</f>
        <v/>
      </c>
      <c r="I164" s="172" t="str">
        <f>IF('Statement of Marks'!HV166="","",'Statement of Marks'!HV166)</f>
        <v/>
      </c>
      <c r="J164" s="173" t="str">
        <f>IF('Statement of Marks'!HU166="","",'Statement of Marks'!HU166)</f>
        <v/>
      </c>
      <c r="K164" s="181" t="str">
        <f>'Statement of Marks'!GN166</f>
        <v/>
      </c>
      <c r="L164" s="181" t="str">
        <f>'Statement of Marks'!GQ166</f>
        <v/>
      </c>
      <c r="M164" s="181" t="str">
        <f>'Statement of Marks'!GT166</f>
        <v/>
      </c>
      <c r="N164" s="181" t="str">
        <f>'Statement of Marks'!HB166</f>
        <v/>
      </c>
      <c r="O164" s="181" t="str">
        <f>'Statement of Marks'!HE166</f>
        <v/>
      </c>
      <c r="P164" s="181" t="str">
        <f>'Statement of Marks'!HH166</f>
        <v/>
      </c>
      <c r="Q164" s="181" t="str">
        <f>'Statement of Marks'!HK166</f>
        <v/>
      </c>
      <c r="R164" s="173" t="str">
        <f>IF(COUNTIF(K164:Q164,"F")&gt;0,"",CONCATENATE('Statement of Marks'!HO166,'Statement of Marks'!HQ166))</f>
        <v xml:space="preserve">            </v>
      </c>
      <c r="S164" s="174">
        <f t="shared" si="36"/>
        <v>0</v>
      </c>
      <c r="T164" s="5"/>
      <c r="U164" s="182" t="str">
        <f t="shared" si="37"/>
        <v/>
      </c>
      <c r="V164" s="182" t="str">
        <f t="shared" si="38"/>
        <v/>
      </c>
      <c r="W164" s="5"/>
      <c r="X164" s="182" t="str">
        <f t="shared" si="39"/>
        <v/>
      </c>
      <c r="Y164" s="182" t="str">
        <f t="shared" si="40"/>
        <v/>
      </c>
      <c r="Z164" s="5"/>
      <c r="AA164" s="182" t="str">
        <f t="shared" si="41"/>
        <v/>
      </c>
      <c r="AB164" s="183" t="str">
        <f t="shared" si="42"/>
        <v/>
      </c>
      <c r="AC164" s="5"/>
      <c r="AD164" s="182" t="str">
        <f t="shared" si="43"/>
        <v/>
      </c>
      <c r="AE164" s="183" t="str">
        <f t="shared" si="44"/>
        <v/>
      </c>
      <c r="AF164" s="5"/>
      <c r="AG164" s="182" t="str">
        <f t="shared" si="45"/>
        <v/>
      </c>
      <c r="AH164" s="183" t="str">
        <f t="shared" si="46"/>
        <v/>
      </c>
      <c r="AI164" s="5"/>
      <c r="AJ164" s="183" t="str">
        <f t="shared" si="47"/>
        <v/>
      </c>
      <c r="AK164" s="183" t="str">
        <f t="shared" si="48"/>
        <v/>
      </c>
      <c r="AL164" s="5"/>
      <c r="AM164" s="183" t="str">
        <f t="shared" si="49"/>
        <v/>
      </c>
      <c r="AN164" s="183" t="str">
        <f t="shared" si="50"/>
        <v/>
      </c>
      <c r="AO164" s="184">
        <f t="shared" si="51"/>
        <v>0</v>
      </c>
      <c r="AP164" s="184">
        <f t="shared" si="52"/>
        <v>0</v>
      </c>
      <c r="AQ164" s="608" t="str">
        <f t="shared" si="53"/>
        <v/>
      </c>
      <c r="AR164" s="185" t="str">
        <f>IF(COUNTIF(K164:Q164,"F")&gt;0,"",IF(AQ164="PASS",'Statement of Marks'!HZ166,""))</f>
        <v/>
      </c>
      <c r="AS164" s="185" t="str">
        <f>IF(AQ164="PASS",'Statement of Marks'!IA166,"")</f>
        <v/>
      </c>
    </row>
    <row r="165" spans="1:45">
      <c r="A165" s="169">
        <f>IF('Statement of Marks'!A167="","",'Statement of Marks'!A167)</f>
        <v>161</v>
      </c>
      <c r="B165" s="169" t="str">
        <f>IF('Statement of Marks'!B167="","",'Statement of Marks'!B167)</f>
        <v/>
      </c>
      <c r="C165" s="169" t="str">
        <f>IF('Statement of Marks'!D167="","",'Statement of Marks'!D167)</f>
        <v/>
      </c>
      <c r="D165" s="170" t="str">
        <f>IF('Statement of Marks'!E167="","",'Statement of Marks'!E167)</f>
        <v/>
      </c>
      <c r="E165" s="171" t="str">
        <f>IF('Statement of Marks'!F167="","",'Statement of Marks'!F167)</f>
        <v/>
      </c>
      <c r="F165" s="171" t="str">
        <f>IF('Statement of Marks'!G167="","",'Statement of Marks'!G167)</f>
        <v/>
      </c>
      <c r="G165" s="171" t="str">
        <f>IF('Statement of Marks'!H167="","",'Statement of Marks'!H167)</f>
        <v/>
      </c>
      <c r="H165" s="172" t="str">
        <f>IF('Statement of Marks'!HS167="","",'Statement of Marks'!HS167)</f>
        <v/>
      </c>
      <c r="I165" s="172" t="str">
        <f>IF('Statement of Marks'!HV167="","",'Statement of Marks'!HV167)</f>
        <v/>
      </c>
      <c r="J165" s="173" t="str">
        <f>IF('Statement of Marks'!HU167="","",'Statement of Marks'!HU167)</f>
        <v/>
      </c>
      <c r="K165" s="181" t="str">
        <f>'Statement of Marks'!GN167</f>
        <v/>
      </c>
      <c r="L165" s="181" t="str">
        <f>'Statement of Marks'!GQ167</f>
        <v/>
      </c>
      <c r="M165" s="181" t="str">
        <f>'Statement of Marks'!GT167</f>
        <v/>
      </c>
      <c r="N165" s="181" t="str">
        <f>'Statement of Marks'!HB167</f>
        <v/>
      </c>
      <c r="O165" s="181" t="str">
        <f>'Statement of Marks'!HE167</f>
        <v/>
      </c>
      <c r="P165" s="181" t="str">
        <f>'Statement of Marks'!HH167</f>
        <v/>
      </c>
      <c r="Q165" s="181" t="str">
        <f>'Statement of Marks'!HK167</f>
        <v/>
      </c>
      <c r="R165" s="173" t="str">
        <f>IF(COUNTIF(K165:Q165,"F")&gt;0,"",CONCATENATE('Statement of Marks'!HO167,'Statement of Marks'!HQ167))</f>
        <v xml:space="preserve">            </v>
      </c>
      <c r="S165" s="174">
        <f t="shared" si="36"/>
        <v>0</v>
      </c>
      <c r="T165" s="5"/>
      <c r="U165" s="182" t="str">
        <f t="shared" si="37"/>
        <v/>
      </c>
      <c r="V165" s="182" t="str">
        <f t="shared" si="38"/>
        <v/>
      </c>
      <c r="W165" s="5"/>
      <c r="X165" s="182" t="str">
        <f t="shared" si="39"/>
        <v/>
      </c>
      <c r="Y165" s="182" t="str">
        <f t="shared" si="40"/>
        <v/>
      </c>
      <c r="Z165" s="5"/>
      <c r="AA165" s="182" t="str">
        <f t="shared" si="41"/>
        <v/>
      </c>
      <c r="AB165" s="183" t="str">
        <f t="shared" si="42"/>
        <v/>
      </c>
      <c r="AC165" s="5"/>
      <c r="AD165" s="182" t="str">
        <f t="shared" si="43"/>
        <v/>
      </c>
      <c r="AE165" s="183" t="str">
        <f t="shared" si="44"/>
        <v/>
      </c>
      <c r="AF165" s="5"/>
      <c r="AG165" s="182" t="str">
        <f t="shared" si="45"/>
        <v/>
      </c>
      <c r="AH165" s="183" t="str">
        <f t="shared" si="46"/>
        <v/>
      </c>
      <c r="AI165" s="5"/>
      <c r="AJ165" s="183" t="str">
        <f t="shared" si="47"/>
        <v/>
      </c>
      <c r="AK165" s="183" t="str">
        <f t="shared" si="48"/>
        <v/>
      </c>
      <c r="AL165" s="5"/>
      <c r="AM165" s="183" t="str">
        <f t="shared" si="49"/>
        <v/>
      </c>
      <c r="AN165" s="183" t="str">
        <f t="shared" si="50"/>
        <v/>
      </c>
      <c r="AO165" s="184">
        <f t="shared" si="51"/>
        <v>0</v>
      </c>
      <c r="AP165" s="184">
        <f t="shared" si="52"/>
        <v>0</v>
      </c>
      <c r="AQ165" s="608" t="str">
        <f t="shared" si="53"/>
        <v/>
      </c>
      <c r="AR165" s="185" t="str">
        <f>IF(COUNTIF(K165:Q165,"F")&gt;0,"",IF(AQ165="PASS",'Statement of Marks'!HZ167,""))</f>
        <v/>
      </c>
      <c r="AS165" s="185" t="str">
        <f>IF(AQ165="PASS",'Statement of Marks'!IA167,"")</f>
        <v/>
      </c>
    </row>
    <row r="166" spans="1:45">
      <c r="A166" s="169">
        <f>IF('Statement of Marks'!A168="","",'Statement of Marks'!A168)</f>
        <v>162</v>
      </c>
      <c r="B166" s="169" t="str">
        <f>IF('Statement of Marks'!B168="","",'Statement of Marks'!B168)</f>
        <v/>
      </c>
      <c r="C166" s="169" t="str">
        <f>IF('Statement of Marks'!D168="","",'Statement of Marks'!D168)</f>
        <v/>
      </c>
      <c r="D166" s="170" t="str">
        <f>IF('Statement of Marks'!E168="","",'Statement of Marks'!E168)</f>
        <v/>
      </c>
      <c r="E166" s="171" t="str">
        <f>IF('Statement of Marks'!F168="","",'Statement of Marks'!F168)</f>
        <v/>
      </c>
      <c r="F166" s="171" t="str">
        <f>IF('Statement of Marks'!G168="","",'Statement of Marks'!G168)</f>
        <v/>
      </c>
      <c r="G166" s="171" t="str">
        <f>IF('Statement of Marks'!H168="","",'Statement of Marks'!H168)</f>
        <v/>
      </c>
      <c r="H166" s="172" t="str">
        <f>IF('Statement of Marks'!HS168="","",'Statement of Marks'!HS168)</f>
        <v/>
      </c>
      <c r="I166" s="172" t="str">
        <f>IF('Statement of Marks'!HV168="","",'Statement of Marks'!HV168)</f>
        <v/>
      </c>
      <c r="J166" s="173" t="str">
        <f>IF('Statement of Marks'!HU168="","",'Statement of Marks'!HU168)</f>
        <v/>
      </c>
      <c r="K166" s="181" t="str">
        <f>'Statement of Marks'!GN168</f>
        <v/>
      </c>
      <c r="L166" s="181" t="str">
        <f>'Statement of Marks'!GQ168</f>
        <v/>
      </c>
      <c r="M166" s="181" t="str">
        <f>'Statement of Marks'!GT168</f>
        <v/>
      </c>
      <c r="N166" s="181" t="str">
        <f>'Statement of Marks'!HB168</f>
        <v/>
      </c>
      <c r="O166" s="181" t="str">
        <f>'Statement of Marks'!HE168</f>
        <v/>
      </c>
      <c r="P166" s="181" t="str">
        <f>'Statement of Marks'!HH168</f>
        <v/>
      </c>
      <c r="Q166" s="181" t="str">
        <f>'Statement of Marks'!HK168</f>
        <v/>
      </c>
      <c r="R166" s="173" t="str">
        <f>IF(COUNTIF(K166:Q166,"F")&gt;0,"",CONCATENATE('Statement of Marks'!HO168,'Statement of Marks'!HQ168))</f>
        <v xml:space="preserve">            </v>
      </c>
      <c r="S166" s="174">
        <f t="shared" si="36"/>
        <v>0</v>
      </c>
      <c r="T166" s="5"/>
      <c r="U166" s="182" t="str">
        <f t="shared" si="37"/>
        <v/>
      </c>
      <c r="V166" s="182" t="str">
        <f t="shared" si="38"/>
        <v/>
      </c>
      <c r="W166" s="5"/>
      <c r="X166" s="182" t="str">
        <f t="shared" si="39"/>
        <v/>
      </c>
      <c r="Y166" s="182" t="str">
        <f t="shared" si="40"/>
        <v/>
      </c>
      <c r="Z166" s="5"/>
      <c r="AA166" s="182" t="str">
        <f t="shared" si="41"/>
        <v/>
      </c>
      <c r="AB166" s="183" t="str">
        <f t="shared" si="42"/>
        <v/>
      </c>
      <c r="AC166" s="5"/>
      <c r="AD166" s="182" t="str">
        <f t="shared" si="43"/>
        <v/>
      </c>
      <c r="AE166" s="183" t="str">
        <f t="shared" si="44"/>
        <v/>
      </c>
      <c r="AF166" s="5"/>
      <c r="AG166" s="182" t="str">
        <f t="shared" si="45"/>
        <v/>
      </c>
      <c r="AH166" s="183" t="str">
        <f t="shared" si="46"/>
        <v/>
      </c>
      <c r="AI166" s="5"/>
      <c r="AJ166" s="183" t="str">
        <f t="shared" si="47"/>
        <v/>
      </c>
      <c r="AK166" s="183" t="str">
        <f t="shared" si="48"/>
        <v/>
      </c>
      <c r="AL166" s="5"/>
      <c r="AM166" s="183" t="str">
        <f t="shared" si="49"/>
        <v/>
      </c>
      <c r="AN166" s="183" t="str">
        <f t="shared" si="50"/>
        <v/>
      </c>
      <c r="AO166" s="184">
        <f t="shared" si="51"/>
        <v>0</v>
      </c>
      <c r="AP166" s="184">
        <f t="shared" si="52"/>
        <v>0</v>
      </c>
      <c r="AQ166" s="608" t="str">
        <f t="shared" si="53"/>
        <v/>
      </c>
      <c r="AR166" s="185" t="str">
        <f>IF(COUNTIF(K166:Q166,"F")&gt;0,"",IF(AQ166="PASS",'Statement of Marks'!HZ168,""))</f>
        <v/>
      </c>
      <c r="AS166" s="185" t="str">
        <f>IF(AQ166="PASS",'Statement of Marks'!IA168,"")</f>
        <v/>
      </c>
    </row>
    <row r="167" spans="1:45">
      <c r="A167" s="169">
        <f>IF('Statement of Marks'!A169="","",'Statement of Marks'!A169)</f>
        <v>163</v>
      </c>
      <c r="B167" s="169" t="str">
        <f>IF('Statement of Marks'!B169="","",'Statement of Marks'!B169)</f>
        <v/>
      </c>
      <c r="C167" s="169" t="str">
        <f>IF('Statement of Marks'!D169="","",'Statement of Marks'!D169)</f>
        <v/>
      </c>
      <c r="D167" s="170" t="str">
        <f>IF('Statement of Marks'!E169="","",'Statement of Marks'!E169)</f>
        <v/>
      </c>
      <c r="E167" s="171" t="str">
        <f>IF('Statement of Marks'!F169="","",'Statement of Marks'!F169)</f>
        <v/>
      </c>
      <c r="F167" s="171" t="str">
        <f>IF('Statement of Marks'!G169="","",'Statement of Marks'!G169)</f>
        <v/>
      </c>
      <c r="G167" s="171" t="str">
        <f>IF('Statement of Marks'!H169="","",'Statement of Marks'!H169)</f>
        <v/>
      </c>
      <c r="H167" s="172" t="str">
        <f>IF('Statement of Marks'!HS169="","",'Statement of Marks'!HS169)</f>
        <v/>
      </c>
      <c r="I167" s="172" t="str">
        <f>IF('Statement of Marks'!HV169="","",'Statement of Marks'!HV169)</f>
        <v/>
      </c>
      <c r="J167" s="173" t="str">
        <f>IF('Statement of Marks'!HU169="","",'Statement of Marks'!HU169)</f>
        <v/>
      </c>
      <c r="K167" s="181" t="str">
        <f>'Statement of Marks'!GN169</f>
        <v/>
      </c>
      <c r="L167" s="181" t="str">
        <f>'Statement of Marks'!GQ169</f>
        <v/>
      </c>
      <c r="M167" s="181" t="str">
        <f>'Statement of Marks'!GT169</f>
        <v/>
      </c>
      <c r="N167" s="181" t="str">
        <f>'Statement of Marks'!HB169</f>
        <v/>
      </c>
      <c r="O167" s="181" t="str">
        <f>'Statement of Marks'!HE169</f>
        <v/>
      </c>
      <c r="P167" s="181" t="str">
        <f>'Statement of Marks'!HH169</f>
        <v/>
      </c>
      <c r="Q167" s="181" t="str">
        <f>'Statement of Marks'!HK169</f>
        <v/>
      </c>
      <c r="R167" s="173" t="str">
        <f>IF(COUNTIF(K167:Q167,"F")&gt;0,"",CONCATENATE('Statement of Marks'!HO169,'Statement of Marks'!HQ169))</f>
        <v xml:space="preserve">            </v>
      </c>
      <c r="S167" s="174">
        <f t="shared" si="36"/>
        <v>0</v>
      </c>
      <c r="T167" s="5"/>
      <c r="U167" s="182" t="str">
        <f t="shared" si="37"/>
        <v/>
      </c>
      <c r="V167" s="182" t="str">
        <f t="shared" si="38"/>
        <v/>
      </c>
      <c r="W167" s="5"/>
      <c r="X167" s="182" t="str">
        <f t="shared" si="39"/>
        <v/>
      </c>
      <c r="Y167" s="182" t="str">
        <f t="shared" si="40"/>
        <v/>
      </c>
      <c r="Z167" s="5"/>
      <c r="AA167" s="182" t="str">
        <f t="shared" si="41"/>
        <v/>
      </c>
      <c r="AB167" s="183" t="str">
        <f t="shared" si="42"/>
        <v/>
      </c>
      <c r="AC167" s="5"/>
      <c r="AD167" s="182" t="str">
        <f t="shared" si="43"/>
        <v/>
      </c>
      <c r="AE167" s="183" t="str">
        <f t="shared" si="44"/>
        <v/>
      </c>
      <c r="AF167" s="5"/>
      <c r="AG167" s="182" t="str">
        <f t="shared" si="45"/>
        <v/>
      </c>
      <c r="AH167" s="183" t="str">
        <f t="shared" si="46"/>
        <v/>
      </c>
      <c r="AI167" s="5"/>
      <c r="AJ167" s="183" t="str">
        <f t="shared" si="47"/>
        <v/>
      </c>
      <c r="AK167" s="183" t="str">
        <f t="shared" si="48"/>
        <v/>
      </c>
      <c r="AL167" s="5"/>
      <c r="AM167" s="183" t="str">
        <f t="shared" si="49"/>
        <v/>
      </c>
      <c r="AN167" s="183" t="str">
        <f t="shared" si="50"/>
        <v/>
      </c>
      <c r="AO167" s="184">
        <f t="shared" si="51"/>
        <v>0</v>
      </c>
      <c r="AP167" s="184">
        <f t="shared" si="52"/>
        <v>0</v>
      </c>
      <c r="AQ167" s="608" t="str">
        <f t="shared" si="53"/>
        <v/>
      </c>
      <c r="AR167" s="185" t="str">
        <f>IF(COUNTIF(K167:Q167,"F")&gt;0,"",IF(AQ167="PASS",'Statement of Marks'!HZ169,""))</f>
        <v/>
      </c>
      <c r="AS167" s="185" t="str">
        <f>IF(AQ167="PASS",'Statement of Marks'!IA169,"")</f>
        <v/>
      </c>
    </row>
    <row r="168" spans="1:45">
      <c r="A168" s="169">
        <f>IF('Statement of Marks'!A170="","",'Statement of Marks'!A170)</f>
        <v>164</v>
      </c>
      <c r="B168" s="169" t="str">
        <f>IF('Statement of Marks'!B170="","",'Statement of Marks'!B170)</f>
        <v/>
      </c>
      <c r="C168" s="169" t="str">
        <f>IF('Statement of Marks'!D170="","",'Statement of Marks'!D170)</f>
        <v/>
      </c>
      <c r="D168" s="170" t="str">
        <f>IF('Statement of Marks'!E170="","",'Statement of Marks'!E170)</f>
        <v/>
      </c>
      <c r="E168" s="171" t="str">
        <f>IF('Statement of Marks'!F170="","",'Statement of Marks'!F170)</f>
        <v/>
      </c>
      <c r="F168" s="171" t="str">
        <f>IF('Statement of Marks'!G170="","",'Statement of Marks'!G170)</f>
        <v/>
      </c>
      <c r="G168" s="171" t="str">
        <f>IF('Statement of Marks'!H170="","",'Statement of Marks'!H170)</f>
        <v/>
      </c>
      <c r="H168" s="172" t="str">
        <f>IF('Statement of Marks'!HS170="","",'Statement of Marks'!HS170)</f>
        <v/>
      </c>
      <c r="I168" s="172" t="str">
        <f>IF('Statement of Marks'!HV170="","",'Statement of Marks'!HV170)</f>
        <v/>
      </c>
      <c r="J168" s="173" t="str">
        <f>IF('Statement of Marks'!HU170="","",'Statement of Marks'!HU170)</f>
        <v/>
      </c>
      <c r="K168" s="181" t="str">
        <f>'Statement of Marks'!GN170</f>
        <v/>
      </c>
      <c r="L168" s="181" t="str">
        <f>'Statement of Marks'!GQ170</f>
        <v/>
      </c>
      <c r="M168" s="181" t="str">
        <f>'Statement of Marks'!GT170</f>
        <v/>
      </c>
      <c r="N168" s="181" t="str">
        <f>'Statement of Marks'!HB170</f>
        <v/>
      </c>
      <c r="O168" s="181" t="str">
        <f>'Statement of Marks'!HE170</f>
        <v/>
      </c>
      <c r="P168" s="181" t="str">
        <f>'Statement of Marks'!HH170</f>
        <v/>
      </c>
      <c r="Q168" s="181" t="str">
        <f>'Statement of Marks'!HK170</f>
        <v/>
      </c>
      <c r="R168" s="173" t="str">
        <f>IF(COUNTIF(K168:Q168,"F")&gt;0,"",CONCATENATE('Statement of Marks'!HO170,'Statement of Marks'!HQ170))</f>
        <v xml:space="preserve">            </v>
      </c>
      <c r="S168" s="174">
        <f t="shared" si="36"/>
        <v>0</v>
      </c>
      <c r="T168" s="5"/>
      <c r="U168" s="182" t="str">
        <f t="shared" si="37"/>
        <v/>
      </c>
      <c r="V168" s="182" t="str">
        <f t="shared" si="38"/>
        <v/>
      </c>
      <c r="W168" s="5"/>
      <c r="X168" s="182" t="str">
        <f t="shared" si="39"/>
        <v/>
      </c>
      <c r="Y168" s="182" t="str">
        <f t="shared" si="40"/>
        <v/>
      </c>
      <c r="Z168" s="5"/>
      <c r="AA168" s="182" t="str">
        <f t="shared" si="41"/>
        <v/>
      </c>
      <c r="AB168" s="183" t="str">
        <f t="shared" si="42"/>
        <v/>
      </c>
      <c r="AC168" s="5"/>
      <c r="AD168" s="182" t="str">
        <f t="shared" si="43"/>
        <v/>
      </c>
      <c r="AE168" s="183" t="str">
        <f t="shared" si="44"/>
        <v/>
      </c>
      <c r="AF168" s="5"/>
      <c r="AG168" s="182" t="str">
        <f t="shared" si="45"/>
        <v/>
      </c>
      <c r="AH168" s="183" t="str">
        <f t="shared" si="46"/>
        <v/>
      </c>
      <c r="AI168" s="5"/>
      <c r="AJ168" s="183" t="str">
        <f t="shared" si="47"/>
        <v/>
      </c>
      <c r="AK168" s="183" t="str">
        <f t="shared" si="48"/>
        <v/>
      </c>
      <c r="AL168" s="5"/>
      <c r="AM168" s="183" t="str">
        <f t="shared" si="49"/>
        <v/>
      </c>
      <c r="AN168" s="183" t="str">
        <f t="shared" si="50"/>
        <v/>
      </c>
      <c r="AO168" s="184">
        <f t="shared" si="51"/>
        <v>0</v>
      </c>
      <c r="AP168" s="184">
        <f t="shared" si="52"/>
        <v>0</v>
      </c>
      <c r="AQ168" s="608" t="str">
        <f t="shared" si="53"/>
        <v/>
      </c>
      <c r="AR168" s="185" t="str">
        <f>IF(COUNTIF(K168:Q168,"F")&gt;0,"",IF(AQ168="PASS",'Statement of Marks'!HZ170,""))</f>
        <v/>
      </c>
      <c r="AS168" s="185" t="str">
        <f>IF(AQ168="PASS",'Statement of Marks'!IA170,"")</f>
        <v/>
      </c>
    </row>
    <row r="169" spans="1:45">
      <c r="A169" s="169">
        <f>IF('Statement of Marks'!A171="","",'Statement of Marks'!A171)</f>
        <v>165</v>
      </c>
      <c r="B169" s="169" t="str">
        <f>IF('Statement of Marks'!B171="","",'Statement of Marks'!B171)</f>
        <v/>
      </c>
      <c r="C169" s="169" t="str">
        <f>IF('Statement of Marks'!D171="","",'Statement of Marks'!D171)</f>
        <v/>
      </c>
      <c r="D169" s="170" t="str">
        <f>IF('Statement of Marks'!E171="","",'Statement of Marks'!E171)</f>
        <v/>
      </c>
      <c r="E169" s="171" t="str">
        <f>IF('Statement of Marks'!F171="","",'Statement of Marks'!F171)</f>
        <v/>
      </c>
      <c r="F169" s="171" t="str">
        <f>IF('Statement of Marks'!G171="","",'Statement of Marks'!G171)</f>
        <v/>
      </c>
      <c r="G169" s="171" t="str">
        <f>IF('Statement of Marks'!H171="","",'Statement of Marks'!H171)</f>
        <v/>
      </c>
      <c r="H169" s="172" t="str">
        <f>IF('Statement of Marks'!HS171="","",'Statement of Marks'!HS171)</f>
        <v/>
      </c>
      <c r="I169" s="172" t="str">
        <f>IF('Statement of Marks'!HV171="","",'Statement of Marks'!HV171)</f>
        <v/>
      </c>
      <c r="J169" s="173" t="str">
        <f>IF('Statement of Marks'!HU171="","",'Statement of Marks'!HU171)</f>
        <v/>
      </c>
      <c r="K169" s="181" t="str">
        <f>'Statement of Marks'!GN171</f>
        <v/>
      </c>
      <c r="L169" s="181" t="str">
        <f>'Statement of Marks'!GQ171</f>
        <v/>
      </c>
      <c r="M169" s="181" t="str">
        <f>'Statement of Marks'!GT171</f>
        <v/>
      </c>
      <c r="N169" s="181" t="str">
        <f>'Statement of Marks'!HB171</f>
        <v/>
      </c>
      <c r="O169" s="181" t="str">
        <f>'Statement of Marks'!HE171</f>
        <v/>
      </c>
      <c r="P169" s="181" t="str">
        <f>'Statement of Marks'!HH171</f>
        <v/>
      </c>
      <c r="Q169" s="181" t="str">
        <f>'Statement of Marks'!HK171</f>
        <v/>
      </c>
      <c r="R169" s="173" t="str">
        <f>IF(COUNTIF(K169:Q169,"F")&gt;0,"",CONCATENATE('Statement of Marks'!HO171,'Statement of Marks'!HQ171))</f>
        <v xml:space="preserve">            </v>
      </c>
      <c r="S169" s="174">
        <f t="shared" si="36"/>
        <v>0</v>
      </c>
      <c r="T169" s="5"/>
      <c r="U169" s="182" t="str">
        <f t="shared" si="37"/>
        <v/>
      </c>
      <c r="V169" s="182" t="str">
        <f t="shared" si="38"/>
        <v/>
      </c>
      <c r="W169" s="5"/>
      <c r="X169" s="182" t="str">
        <f t="shared" si="39"/>
        <v/>
      </c>
      <c r="Y169" s="182" t="str">
        <f t="shared" si="40"/>
        <v/>
      </c>
      <c r="Z169" s="5"/>
      <c r="AA169" s="182" t="str">
        <f t="shared" si="41"/>
        <v/>
      </c>
      <c r="AB169" s="183" t="str">
        <f t="shared" si="42"/>
        <v/>
      </c>
      <c r="AC169" s="5"/>
      <c r="AD169" s="182" t="str">
        <f t="shared" si="43"/>
        <v/>
      </c>
      <c r="AE169" s="183" t="str">
        <f t="shared" si="44"/>
        <v/>
      </c>
      <c r="AF169" s="5"/>
      <c r="AG169" s="182" t="str">
        <f t="shared" si="45"/>
        <v/>
      </c>
      <c r="AH169" s="183" t="str">
        <f t="shared" si="46"/>
        <v/>
      </c>
      <c r="AI169" s="5"/>
      <c r="AJ169" s="183" t="str">
        <f t="shared" si="47"/>
        <v/>
      </c>
      <c r="AK169" s="183" t="str">
        <f t="shared" si="48"/>
        <v/>
      </c>
      <c r="AL169" s="5"/>
      <c r="AM169" s="183" t="str">
        <f t="shared" si="49"/>
        <v/>
      </c>
      <c r="AN169" s="183" t="str">
        <f t="shared" si="50"/>
        <v/>
      </c>
      <c r="AO169" s="184">
        <f t="shared" si="51"/>
        <v>0</v>
      </c>
      <c r="AP169" s="184">
        <f t="shared" si="52"/>
        <v>0</v>
      </c>
      <c r="AQ169" s="608" t="str">
        <f t="shared" si="53"/>
        <v/>
      </c>
      <c r="AR169" s="185" t="str">
        <f>IF(COUNTIF(K169:Q169,"F")&gt;0,"",IF(AQ169="PASS",'Statement of Marks'!HZ171,""))</f>
        <v/>
      </c>
      <c r="AS169" s="185" t="str">
        <f>IF(AQ169="PASS",'Statement of Marks'!IA171,"")</f>
        <v/>
      </c>
    </row>
    <row r="170" spans="1:45">
      <c r="A170" s="169">
        <f>IF('Statement of Marks'!A172="","",'Statement of Marks'!A172)</f>
        <v>166</v>
      </c>
      <c r="B170" s="169" t="str">
        <f>IF('Statement of Marks'!B172="","",'Statement of Marks'!B172)</f>
        <v/>
      </c>
      <c r="C170" s="169" t="str">
        <f>IF('Statement of Marks'!D172="","",'Statement of Marks'!D172)</f>
        <v/>
      </c>
      <c r="D170" s="170" t="str">
        <f>IF('Statement of Marks'!E172="","",'Statement of Marks'!E172)</f>
        <v/>
      </c>
      <c r="E170" s="171" t="str">
        <f>IF('Statement of Marks'!F172="","",'Statement of Marks'!F172)</f>
        <v/>
      </c>
      <c r="F170" s="171" t="str">
        <f>IF('Statement of Marks'!G172="","",'Statement of Marks'!G172)</f>
        <v/>
      </c>
      <c r="G170" s="171" t="str">
        <f>IF('Statement of Marks'!H172="","",'Statement of Marks'!H172)</f>
        <v/>
      </c>
      <c r="H170" s="172" t="str">
        <f>IF('Statement of Marks'!HS172="","",'Statement of Marks'!HS172)</f>
        <v/>
      </c>
      <c r="I170" s="172" t="str">
        <f>IF('Statement of Marks'!HV172="","",'Statement of Marks'!HV172)</f>
        <v/>
      </c>
      <c r="J170" s="173" t="str">
        <f>IF('Statement of Marks'!HU172="","",'Statement of Marks'!HU172)</f>
        <v/>
      </c>
      <c r="K170" s="181" t="str">
        <f>'Statement of Marks'!GN172</f>
        <v/>
      </c>
      <c r="L170" s="181" t="str">
        <f>'Statement of Marks'!GQ172</f>
        <v/>
      </c>
      <c r="M170" s="181" t="str">
        <f>'Statement of Marks'!GT172</f>
        <v/>
      </c>
      <c r="N170" s="181" t="str">
        <f>'Statement of Marks'!HB172</f>
        <v/>
      </c>
      <c r="O170" s="181" t="str">
        <f>'Statement of Marks'!HE172</f>
        <v/>
      </c>
      <c r="P170" s="181" t="str">
        <f>'Statement of Marks'!HH172</f>
        <v/>
      </c>
      <c r="Q170" s="181" t="str">
        <f>'Statement of Marks'!HK172</f>
        <v/>
      </c>
      <c r="R170" s="173" t="str">
        <f>IF(COUNTIF(K170:Q170,"F")&gt;0,"",CONCATENATE('Statement of Marks'!HO172,'Statement of Marks'!HQ172))</f>
        <v xml:space="preserve">            </v>
      </c>
      <c r="S170" s="174">
        <f t="shared" si="36"/>
        <v>0</v>
      </c>
      <c r="T170" s="5"/>
      <c r="U170" s="182" t="str">
        <f t="shared" si="37"/>
        <v/>
      </c>
      <c r="V170" s="182" t="str">
        <f t="shared" si="38"/>
        <v/>
      </c>
      <c r="W170" s="5"/>
      <c r="X170" s="182" t="str">
        <f t="shared" si="39"/>
        <v/>
      </c>
      <c r="Y170" s="182" t="str">
        <f t="shared" si="40"/>
        <v/>
      </c>
      <c r="Z170" s="5"/>
      <c r="AA170" s="182" t="str">
        <f t="shared" si="41"/>
        <v/>
      </c>
      <c r="AB170" s="183" t="str">
        <f t="shared" si="42"/>
        <v/>
      </c>
      <c r="AC170" s="5"/>
      <c r="AD170" s="182" t="str">
        <f t="shared" si="43"/>
        <v/>
      </c>
      <c r="AE170" s="183" t="str">
        <f t="shared" si="44"/>
        <v/>
      </c>
      <c r="AF170" s="5"/>
      <c r="AG170" s="182" t="str">
        <f t="shared" si="45"/>
        <v/>
      </c>
      <c r="AH170" s="183" t="str">
        <f t="shared" si="46"/>
        <v/>
      </c>
      <c r="AI170" s="5"/>
      <c r="AJ170" s="183" t="str">
        <f t="shared" si="47"/>
        <v/>
      </c>
      <c r="AK170" s="183" t="str">
        <f t="shared" si="48"/>
        <v/>
      </c>
      <c r="AL170" s="5"/>
      <c r="AM170" s="183" t="str">
        <f t="shared" si="49"/>
        <v/>
      </c>
      <c r="AN170" s="183" t="str">
        <f t="shared" si="50"/>
        <v/>
      </c>
      <c r="AO170" s="184">
        <f t="shared" si="51"/>
        <v>0</v>
      </c>
      <c r="AP170" s="184">
        <f t="shared" si="52"/>
        <v>0</v>
      </c>
      <c r="AQ170" s="608" t="str">
        <f t="shared" si="53"/>
        <v/>
      </c>
      <c r="AR170" s="185" t="str">
        <f>IF(COUNTIF(K170:Q170,"F")&gt;0,"",IF(AQ170="PASS",'Statement of Marks'!HZ172,""))</f>
        <v/>
      </c>
      <c r="AS170" s="185" t="str">
        <f>IF(AQ170="PASS",'Statement of Marks'!IA172,"")</f>
        <v/>
      </c>
    </row>
    <row r="171" spans="1:45">
      <c r="A171" s="169">
        <f>IF('Statement of Marks'!A173="","",'Statement of Marks'!A173)</f>
        <v>167</v>
      </c>
      <c r="B171" s="169" t="str">
        <f>IF('Statement of Marks'!B173="","",'Statement of Marks'!B173)</f>
        <v/>
      </c>
      <c r="C171" s="169" t="str">
        <f>IF('Statement of Marks'!D173="","",'Statement of Marks'!D173)</f>
        <v/>
      </c>
      <c r="D171" s="170" t="str">
        <f>IF('Statement of Marks'!E173="","",'Statement of Marks'!E173)</f>
        <v/>
      </c>
      <c r="E171" s="171" t="str">
        <f>IF('Statement of Marks'!F173="","",'Statement of Marks'!F173)</f>
        <v/>
      </c>
      <c r="F171" s="171" t="str">
        <f>IF('Statement of Marks'!G173="","",'Statement of Marks'!G173)</f>
        <v/>
      </c>
      <c r="G171" s="171" t="str">
        <f>IF('Statement of Marks'!H173="","",'Statement of Marks'!H173)</f>
        <v/>
      </c>
      <c r="H171" s="172" t="str">
        <f>IF('Statement of Marks'!HS173="","",'Statement of Marks'!HS173)</f>
        <v/>
      </c>
      <c r="I171" s="172" t="str">
        <f>IF('Statement of Marks'!HV173="","",'Statement of Marks'!HV173)</f>
        <v/>
      </c>
      <c r="J171" s="173" t="str">
        <f>IF('Statement of Marks'!HU173="","",'Statement of Marks'!HU173)</f>
        <v/>
      </c>
      <c r="K171" s="181" t="str">
        <f>'Statement of Marks'!GN173</f>
        <v/>
      </c>
      <c r="L171" s="181" t="str">
        <f>'Statement of Marks'!GQ173</f>
        <v/>
      </c>
      <c r="M171" s="181" t="str">
        <f>'Statement of Marks'!GT173</f>
        <v/>
      </c>
      <c r="N171" s="181" t="str">
        <f>'Statement of Marks'!HB173</f>
        <v/>
      </c>
      <c r="O171" s="181" t="str">
        <f>'Statement of Marks'!HE173</f>
        <v/>
      </c>
      <c r="P171" s="181" t="str">
        <f>'Statement of Marks'!HH173</f>
        <v/>
      </c>
      <c r="Q171" s="181" t="str">
        <f>'Statement of Marks'!HK173</f>
        <v/>
      </c>
      <c r="R171" s="173" t="str">
        <f>IF(COUNTIF(K171:Q171,"F")&gt;0,"",CONCATENATE('Statement of Marks'!HO173,'Statement of Marks'!HQ173))</f>
        <v xml:space="preserve">            </v>
      </c>
      <c r="S171" s="174">
        <f t="shared" si="36"/>
        <v>0</v>
      </c>
      <c r="T171" s="5"/>
      <c r="U171" s="182" t="str">
        <f t="shared" si="37"/>
        <v/>
      </c>
      <c r="V171" s="182" t="str">
        <f t="shared" si="38"/>
        <v/>
      </c>
      <c r="W171" s="5"/>
      <c r="X171" s="182" t="str">
        <f t="shared" si="39"/>
        <v/>
      </c>
      <c r="Y171" s="182" t="str">
        <f t="shared" si="40"/>
        <v/>
      </c>
      <c r="Z171" s="5"/>
      <c r="AA171" s="182" t="str">
        <f t="shared" si="41"/>
        <v/>
      </c>
      <c r="AB171" s="183" t="str">
        <f t="shared" si="42"/>
        <v/>
      </c>
      <c r="AC171" s="5"/>
      <c r="AD171" s="182" t="str">
        <f t="shared" si="43"/>
        <v/>
      </c>
      <c r="AE171" s="183" t="str">
        <f t="shared" si="44"/>
        <v/>
      </c>
      <c r="AF171" s="5"/>
      <c r="AG171" s="182" t="str">
        <f t="shared" si="45"/>
        <v/>
      </c>
      <c r="AH171" s="183" t="str">
        <f t="shared" si="46"/>
        <v/>
      </c>
      <c r="AI171" s="5"/>
      <c r="AJ171" s="183" t="str">
        <f t="shared" si="47"/>
        <v/>
      </c>
      <c r="AK171" s="183" t="str">
        <f t="shared" si="48"/>
        <v/>
      </c>
      <c r="AL171" s="5"/>
      <c r="AM171" s="183" t="str">
        <f t="shared" si="49"/>
        <v/>
      </c>
      <c r="AN171" s="183" t="str">
        <f t="shared" si="50"/>
        <v/>
      </c>
      <c r="AO171" s="184">
        <f t="shared" si="51"/>
        <v>0</v>
      </c>
      <c r="AP171" s="184">
        <f t="shared" si="52"/>
        <v>0</v>
      </c>
      <c r="AQ171" s="608" t="str">
        <f t="shared" si="53"/>
        <v/>
      </c>
      <c r="AR171" s="185" t="str">
        <f>IF(COUNTIF(K171:Q171,"F")&gt;0,"",IF(AQ171="PASS",'Statement of Marks'!HZ173,""))</f>
        <v/>
      </c>
      <c r="AS171" s="185" t="str">
        <f>IF(AQ171="PASS",'Statement of Marks'!IA173,"")</f>
        <v/>
      </c>
    </row>
    <row r="172" spans="1:45">
      <c r="A172" s="169">
        <f>IF('Statement of Marks'!A174="","",'Statement of Marks'!A174)</f>
        <v>168</v>
      </c>
      <c r="B172" s="169" t="str">
        <f>IF('Statement of Marks'!B174="","",'Statement of Marks'!B174)</f>
        <v/>
      </c>
      <c r="C172" s="169" t="str">
        <f>IF('Statement of Marks'!D174="","",'Statement of Marks'!D174)</f>
        <v/>
      </c>
      <c r="D172" s="170" t="str">
        <f>IF('Statement of Marks'!E174="","",'Statement of Marks'!E174)</f>
        <v/>
      </c>
      <c r="E172" s="171" t="str">
        <f>IF('Statement of Marks'!F174="","",'Statement of Marks'!F174)</f>
        <v/>
      </c>
      <c r="F172" s="171" t="str">
        <f>IF('Statement of Marks'!G174="","",'Statement of Marks'!G174)</f>
        <v/>
      </c>
      <c r="G172" s="171" t="str">
        <f>IF('Statement of Marks'!H174="","",'Statement of Marks'!H174)</f>
        <v/>
      </c>
      <c r="H172" s="172" t="str">
        <f>IF('Statement of Marks'!HS174="","",'Statement of Marks'!HS174)</f>
        <v/>
      </c>
      <c r="I172" s="172" t="str">
        <f>IF('Statement of Marks'!HV174="","",'Statement of Marks'!HV174)</f>
        <v/>
      </c>
      <c r="J172" s="173" t="str">
        <f>IF('Statement of Marks'!HU174="","",'Statement of Marks'!HU174)</f>
        <v/>
      </c>
      <c r="K172" s="181" t="str">
        <f>'Statement of Marks'!GN174</f>
        <v/>
      </c>
      <c r="L172" s="181" t="str">
        <f>'Statement of Marks'!GQ174</f>
        <v/>
      </c>
      <c r="M172" s="181" t="str">
        <f>'Statement of Marks'!GT174</f>
        <v/>
      </c>
      <c r="N172" s="181" t="str">
        <f>'Statement of Marks'!HB174</f>
        <v/>
      </c>
      <c r="O172" s="181" t="str">
        <f>'Statement of Marks'!HE174</f>
        <v/>
      </c>
      <c r="P172" s="181" t="str">
        <f>'Statement of Marks'!HH174</f>
        <v/>
      </c>
      <c r="Q172" s="181" t="str">
        <f>'Statement of Marks'!HK174</f>
        <v/>
      </c>
      <c r="R172" s="173" t="str">
        <f>IF(COUNTIF(K172:Q172,"F")&gt;0,"",CONCATENATE('Statement of Marks'!HO174,'Statement of Marks'!HQ174))</f>
        <v xml:space="preserve">            </v>
      </c>
      <c r="S172" s="174">
        <f t="shared" si="36"/>
        <v>0</v>
      </c>
      <c r="T172" s="5"/>
      <c r="U172" s="182" t="str">
        <f t="shared" si="37"/>
        <v/>
      </c>
      <c r="V172" s="182" t="str">
        <f t="shared" si="38"/>
        <v/>
      </c>
      <c r="W172" s="5"/>
      <c r="X172" s="182" t="str">
        <f t="shared" si="39"/>
        <v/>
      </c>
      <c r="Y172" s="182" t="str">
        <f t="shared" si="40"/>
        <v/>
      </c>
      <c r="Z172" s="5"/>
      <c r="AA172" s="182" t="str">
        <f t="shared" si="41"/>
        <v/>
      </c>
      <c r="AB172" s="183" t="str">
        <f t="shared" si="42"/>
        <v/>
      </c>
      <c r="AC172" s="5"/>
      <c r="AD172" s="182" t="str">
        <f t="shared" si="43"/>
        <v/>
      </c>
      <c r="AE172" s="183" t="str">
        <f t="shared" si="44"/>
        <v/>
      </c>
      <c r="AF172" s="5"/>
      <c r="AG172" s="182" t="str">
        <f t="shared" si="45"/>
        <v/>
      </c>
      <c r="AH172" s="183" t="str">
        <f t="shared" si="46"/>
        <v/>
      </c>
      <c r="AI172" s="5"/>
      <c r="AJ172" s="183" t="str">
        <f t="shared" si="47"/>
        <v/>
      </c>
      <c r="AK172" s="183" t="str">
        <f t="shared" si="48"/>
        <v/>
      </c>
      <c r="AL172" s="5"/>
      <c r="AM172" s="183" t="str">
        <f t="shared" si="49"/>
        <v/>
      </c>
      <c r="AN172" s="183" t="str">
        <f t="shared" si="50"/>
        <v/>
      </c>
      <c r="AO172" s="184">
        <f t="shared" si="51"/>
        <v>0</v>
      </c>
      <c r="AP172" s="184">
        <f t="shared" si="52"/>
        <v>0</v>
      </c>
      <c r="AQ172" s="608" t="str">
        <f t="shared" si="53"/>
        <v/>
      </c>
      <c r="AR172" s="185" t="str">
        <f>IF(COUNTIF(K172:Q172,"F")&gt;0,"",IF(AQ172="PASS",'Statement of Marks'!HZ174,""))</f>
        <v/>
      </c>
      <c r="AS172" s="185" t="str">
        <f>IF(AQ172="PASS",'Statement of Marks'!IA174,"")</f>
        <v/>
      </c>
    </row>
    <row r="173" spans="1:45">
      <c r="A173" s="169">
        <f>IF('Statement of Marks'!A175="","",'Statement of Marks'!A175)</f>
        <v>169</v>
      </c>
      <c r="B173" s="169" t="str">
        <f>IF('Statement of Marks'!B175="","",'Statement of Marks'!B175)</f>
        <v/>
      </c>
      <c r="C173" s="169" t="str">
        <f>IF('Statement of Marks'!D175="","",'Statement of Marks'!D175)</f>
        <v/>
      </c>
      <c r="D173" s="170" t="str">
        <f>IF('Statement of Marks'!E175="","",'Statement of Marks'!E175)</f>
        <v/>
      </c>
      <c r="E173" s="171" t="str">
        <f>IF('Statement of Marks'!F175="","",'Statement of Marks'!F175)</f>
        <v/>
      </c>
      <c r="F173" s="171" t="str">
        <f>IF('Statement of Marks'!G175="","",'Statement of Marks'!G175)</f>
        <v/>
      </c>
      <c r="G173" s="171" t="str">
        <f>IF('Statement of Marks'!H175="","",'Statement of Marks'!H175)</f>
        <v/>
      </c>
      <c r="H173" s="172" t="str">
        <f>IF('Statement of Marks'!HS175="","",'Statement of Marks'!HS175)</f>
        <v/>
      </c>
      <c r="I173" s="172" t="str">
        <f>IF('Statement of Marks'!HV175="","",'Statement of Marks'!HV175)</f>
        <v/>
      </c>
      <c r="J173" s="173" t="str">
        <f>IF('Statement of Marks'!HU175="","",'Statement of Marks'!HU175)</f>
        <v/>
      </c>
      <c r="K173" s="181" t="str">
        <f>'Statement of Marks'!GN175</f>
        <v/>
      </c>
      <c r="L173" s="181" t="str">
        <f>'Statement of Marks'!GQ175</f>
        <v/>
      </c>
      <c r="M173" s="181" t="str">
        <f>'Statement of Marks'!GT175</f>
        <v/>
      </c>
      <c r="N173" s="181" t="str">
        <f>'Statement of Marks'!HB175</f>
        <v/>
      </c>
      <c r="O173" s="181" t="str">
        <f>'Statement of Marks'!HE175</f>
        <v/>
      </c>
      <c r="P173" s="181" t="str">
        <f>'Statement of Marks'!HH175</f>
        <v/>
      </c>
      <c r="Q173" s="181" t="str">
        <f>'Statement of Marks'!HK175</f>
        <v/>
      </c>
      <c r="R173" s="173" t="str">
        <f>IF(COUNTIF(K173:Q173,"F")&gt;0,"",CONCATENATE('Statement of Marks'!HO175,'Statement of Marks'!HQ175))</f>
        <v xml:space="preserve">            </v>
      </c>
      <c r="S173" s="174">
        <f t="shared" si="36"/>
        <v>0</v>
      </c>
      <c r="T173" s="5"/>
      <c r="U173" s="182" t="str">
        <f t="shared" si="37"/>
        <v/>
      </c>
      <c r="V173" s="182" t="str">
        <f t="shared" si="38"/>
        <v/>
      </c>
      <c r="W173" s="5"/>
      <c r="X173" s="182" t="str">
        <f t="shared" si="39"/>
        <v/>
      </c>
      <c r="Y173" s="182" t="str">
        <f t="shared" si="40"/>
        <v/>
      </c>
      <c r="Z173" s="5"/>
      <c r="AA173" s="182" t="str">
        <f t="shared" si="41"/>
        <v/>
      </c>
      <c r="AB173" s="183" t="str">
        <f t="shared" si="42"/>
        <v/>
      </c>
      <c r="AC173" s="5"/>
      <c r="AD173" s="182" t="str">
        <f t="shared" si="43"/>
        <v/>
      </c>
      <c r="AE173" s="183" t="str">
        <f t="shared" si="44"/>
        <v/>
      </c>
      <c r="AF173" s="5"/>
      <c r="AG173" s="182" t="str">
        <f t="shared" si="45"/>
        <v/>
      </c>
      <c r="AH173" s="183" t="str">
        <f t="shared" si="46"/>
        <v/>
      </c>
      <c r="AI173" s="5"/>
      <c r="AJ173" s="183" t="str">
        <f t="shared" si="47"/>
        <v/>
      </c>
      <c r="AK173" s="183" t="str">
        <f t="shared" si="48"/>
        <v/>
      </c>
      <c r="AL173" s="5"/>
      <c r="AM173" s="183" t="str">
        <f t="shared" si="49"/>
        <v/>
      </c>
      <c r="AN173" s="183" t="str">
        <f t="shared" si="50"/>
        <v/>
      </c>
      <c r="AO173" s="184">
        <f t="shared" si="51"/>
        <v>0</v>
      </c>
      <c r="AP173" s="184">
        <f t="shared" si="52"/>
        <v>0</v>
      </c>
      <c r="AQ173" s="608" t="str">
        <f t="shared" si="53"/>
        <v/>
      </c>
      <c r="AR173" s="185" t="str">
        <f>IF(COUNTIF(K173:Q173,"F")&gt;0,"",IF(AQ173="PASS",'Statement of Marks'!HZ175,""))</f>
        <v/>
      </c>
      <c r="AS173" s="185" t="str">
        <f>IF(AQ173="PASS",'Statement of Marks'!IA175,"")</f>
        <v/>
      </c>
    </row>
    <row r="174" spans="1:45">
      <c r="A174" s="169">
        <f>IF('Statement of Marks'!A176="","",'Statement of Marks'!A176)</f>
        <v>170</v>
      </c>
      <c r="B174" s="169" t="str">
        <f>IF('Statement of Marks'!B176="","",'Statement of Marks'!B176)</f>
        <v/>
      </c>
      <c r="C174" s="169" t="str">
        <f>IF('Statement of Marks'!D176="","",'Statement of Marks'!D176)</f>
        <v/>
      </c>
      <c r="D174" s="170" t="str">
        <f>IF('Statement of Marks'!E176="","",'Statement of Marks'!E176)</f>
        <v/>
      </c>
      <c r="E174" s="171" t="str">
        <f>IF('Statement of Marks'!F176="","",'Statement of Marks'!F176)</f>
        <v/>
      </c>
      <c r="F174" s="171" t="str">
        <f>IF('Statement of Marks'!G176="","",'Statement of Marks'!G176)</f>
        <v/>
      </c>
      <c r="G174" s="171" t="str">
        <f>IF('Statement of Marks'!H176="","",'Statement of Marks'!H176)</f>
        <v/>
      </c>
      <c r="H174" s="172" t="str">
        <f>IF('Statement of Marks'!HS176="","",'Statement of Marks'!HS176)</f>
        <v/>
      </c>
      <c r="I174" s="172" t="str">
        <f>IF('Statement of Marks'!HV176="","",'Statement of Marks'!HV176)</f>
        <v/>
      </c>
      <c r="J174" s="173" t="str">
        <f>IF('Statement of Marks'!HU176="","",'Statement of Marks'!HU176)</f>
        <v/>
      </c>
      <c r="K174" s="181" t="str">
        <f>'Statement of Marks'!GN176</f>
        <v/>
      </c>
      <c r="L174" s="181" t="str">
        <f>'Statement of Marks'!GQ176</f>
        <v/>
      </c>
      <c r="M174" s="181" t="str">
        <f>'Statement of Marks'!GT176</f>
        <v/>
      </c>
      <c r="N174" s="181" t="str">
        <f>'Statement of Marks'!HB176</f>
        <v/>
      </c>
      <c r="O174" s="181" t="str">
        <f>'Statement of Marks'!HE176</f>
        <v/>
      </c>
      <c r="P174" s="181" t="str">
        <f>'Statement of Marks'!HH176</f>
        <v/>
      </c>
      <c r="Q174" s="181" t="str">
        <f>'Statement of Marks'!HK176</f>
        <v/>
      </c>
      <c r="R174" s="173" t="str">
        <f>IF(COUNTIF(K174:Q174,"F")&gt;0,"",CONCATENATE('Statement of Marks'!HO176,'Statement of Marks'!HQ176))</f>
        <v xml:space="preserve">            </v>
      </c>
      <c r="S174" s="174">
        <f t="shared" si="36"/>
        <v>0</v>
      </c>
      <c r="T174" s="5"/>
      <c r="U174" s="182" t="str">
        <f t="shared" si="37"/>
        <v/>
      </c>
      <c r="V174" s="182" t="str">
        <f t="shared" si="38"/>
        <v/>
      </c>
      <c r="W174" s="5"/>
      <c r="X174" s="182" t="str">
        <f t="shared" si="39"/>
        <v/>
      </c>
      <c r="Y174" s="182" t="str">
        <f t="shared" si="40"/>
        <v/>
      </c>
      <c r="Z174" s="5"/>
      <c r="AA174" s="182" t="str">
        <f t="shared" si="41"/>
        <v/>
      </c>
      <c r="AB174" s="183" t="str">
        <f t="shared" si="42"/>
        <v/>
      </c>
      <c r="AC174" s="5"/>
      <c r="AD174" s="182" t="str">
        <f t="shared" si="43"/>
        <v/>
      </c>
      <c r="AE174" s="183" t="str">
        <f t="shared" si="44"/>
        <v/>
      </c>
      <c r="AF174" s="5"/>
      <c r="AG174" s="182" t="str">
        <f t="shared" si="45"/>
        <v/>
      </c>
      <c r="AH174" s="183" t="str">
        <f t="shared" si="46"/>
        <v/>
      </c>
      <c r="AI174" s="5"/>
      <c r="AJ174" s="183" t="str">
        <f t="shared" si="47"/>
        <v/>
      </c>
      <c r="AK174" s="183" t="str">
        <f t="shared" si="48"/>
        <v/>
      </c>
      <c r="AL174" s="5"/>
      <c r="AM174" s="183" t="str">
        <f t="shared" si="49"/>
        <v/>
      </c>
      <c r="AN174" s="183" t="str">
        <f t="shared" si="50"/>
        <v/>
      </c>
      <c r="AO174" s="184">
        <f t="shared" si="51"/>
        <v>0</v>
      </c>
      <c r="AP174" s="184">
        <f t="shared" si="52"/>
        <v>0</v>
      </c>
      <c r="AQ174" s="608" t="str">
        <f t="shared" si="53"/>
        <v/>
      </c>
      <c r="AR174" s="185" t="str">
        <f>IF(COUNTIF(K174:Q174,"F")&gt;0,"",IF(AQ174="PASS",'Statement of Marks'!HZ176,""))</f>
        <v/>
      </c>
      <c r="AS174" s="185" t="str">
        <f>IF(AQ174="PASS",'Statement of Marks'!IA176,"")</f>
        <v/>
      </c>
    </row>
    <row r="175" spans="1:45">
      <c r="A175" s="169">
        <f>IF('Statement of Marks'!A177="","",'Statement of Marks'!A177)</f>
        <v>171</v>
      </c>
      <c r="B175" s="169" t="str">
        <f>IF('Statement of Marks'!B177="","",'Statement of Marks'!B177)</f>
        <v/>
      </c>
      <c r="C175" s="169" t="str">
        <f>IF('Statement of Marks'!D177="","",'Statement of Marks'!D177)</f>
        <v/>
      </c>
      <c r="D175" s="170" t="str">
        <f>IF('Statement of Marks'!E177="","",'Statement of Marks'!E177)</f>
        <v/>
      </c>
      <c r="E175" s="171" t="str">
        <f>IF('Statement of Marks'!F177="","",'Statement of Marks'!F177)</f>
        <v/>
      </c>
      <c r="F175" s="171" t="str">
        <f>IF('Statement of Marks'!G177="","",'Statement of Marks'!G177)</f>
        <v/>
      </c>
      <c r="G175" s="171" t="str">
        <f>IF('Statement of Marks'!H177="","",'Statement of Marks'!H177)</f>
        <v/>
      </c>
      <c r="H175" s="172" t="str">
        <f>IF('Statement of Marks'!HS177="","",'Statement of Marks'!HS177)</f>
        <v/>
      </c>
      <c r="I175" s="172" t="str">
        <f>IF('Statement of Marks'!HV177="","",'Statement of Marks'!HV177)</f>
        <v/>
      </c>
      <c r="J175" s="173" t="str">
        <f>IF('Statement of Marks'!HU177="","",'Statement of Marks'!HU177)</f>
        <v/>
      </c>
      <c r="K175" s="181" t="str">
        <f>'Statement of Marks'!GN177</f>
        <v/>
      </c>
      <c r="L175" s="181" t="str">
        <f>'Statement of Marks'!GQ177</f>
        <v/>
      </c>
      <c r="M175" s="181" t="str">
        <f>'Statement of Marks'!GT177</f>
        <v/>
      </c>
      <c r="N175" s="181" t="str">
        <f>'Statement of Marks'!HB177</f>
        <v/>
      </c>
      <c r="O175" s="181" t="str">
        <f>'Statement of Marks'!HE177</f>
        <v/>
      </c>
      <c r="P175" s="181" t="str">
        <f>'Statement of Marks'!HH177</f>
        <v/>
      </c>
      <c r="Q175" s="181" t="str">
        <f>'Statement of Marks'!HK177</f>
        <v/>
      </c>
      <c r="R175" s="173" t="str">
        <f>IF(COUNTIF(K175:Q175,"F")&gt;0,"",CONCATENATE('Statement of Marks'!HO177,'Statement of Marks'!HQ177))</f>
        <v xml:space="preserve">            </v>
      </c>
      <c r="S175" s="174">
        <f t="shared" si="36"/>
        <v>0</v>
      </c>
      <c r="T175" s="5"/>
      <c r="U175" s="182" t="str">
        <f t="shared" si="37"/>
        <v/>
      </c>
      <c r="V175" s="182" t="str">
        <f t="shared" si="38"/>
        <v/>
      </c>
      <c r="W175" s="5"/>
      <c r="X175" s="182" t="str">
        <f t="shared" si="39"/>
        <v/>
      </c>
      <c r="Y175" s="182" t="str">
        <f t="shared" si="40"/>
        <v/>
      </c>
      <c r="Z175" s="5"/>
      <c r="AA175" s="182" t="str">
        <f t="shared" si="41"/>
        <v/>
      </c>
      <c r="AB175" s="183" t="str">
        <f t="shared" si="42"/>
        <v/>
      </c>
      <c r="AC175" s="5"/>
      <c r="AD175" s="182" t="str">
        <f t="shared" si="43"/>
        <v/>
      </c>
      <c r="AE175" s="183" t="str">
        <f t="shared" si="44"/>
        <v/>
      </c>
      <c r="AF175" s="5"/>
      <c r="AG175" s="182" t="str">
        <f t="shared" si="45"/>
        <v/>
      </c>
      <c r="AH175" s="183" t="str">
        <f t="shared" si="46"/>
        <v/>
      </c>
      <c r="AI175" s="5"/>
      <c r="AJ175" s="183" t="str">
        <f t="shared" si="47"/>
        <v/>
      </c>
      <c r="AK175" s="183" t="str">
        <f t="shared" si="48"/>
        <v/>
      </c>
      <c r="AL175" s="5"/>
      <c r="AM175" s="183" t="str">
        <f t="shared" si="49"/>
        <v/>
      </c>
      <c r="AN175" s="183" t="str">
        <f t="shared" si="50"/>
        <v/>
      </c>
      <c r="AO175" s="184">
        <f t="shared" si="51"/>
        <v>0</v>
      </c>
      <c r="AP175" s="184">
        <f t="shared" si="52"/>
        <v>0</v>
      </c>
      <c r="AQ175" s="608" t="str">
        <f t="shared" si="53"/>
        <v/>
      </c>
      <c r="AR175" s="185" t="str">
        <f>IF(COUNTIF(K175:Q175,"F")&gt;0,"",IF(AQ175="PASS",'Statement of Marks'!HZ177,""))</f>
        <v/>
      </c>
      <c r="AS175" s="185" t="str">
        <f>IF(AQ175="PASS",'Statement of Marks'!IA177,"")</f>
        <v/>
      </c>
    </row>
    <row r="176" spans="1:45">
      <c r="A176" s="169">
        <f>IF('Statement of Marks'!A178="","",'Statement of Marks'!A178)</f>
        <v>172</v>
      </c>
      <c r="B176" s="169" t="str">
        <f>IF('Statement of Marks'!B178="","",'Statement of Marks'!B178)</f>
        <v/>
      </c>
      <c r="C176" s="169" t="str">
        <f>IF('Statement of Marks'!D178="","",'Statement of Marks'!D178)</f>
        <v/>
      </c>
      <c r="D176" s="170" t="str">
        <f>IF('Statement of Marks'!E178="","",'Statement of Marks'!E178)</f>
        <v/>
      </c>
      <c r="E176" s="171" t="str">
        <f>IF('Statement of Marks'!F178="","",'Statement of Marks'!F178)</f>
        <v/>
      </c>
      <c r="F176" s="171" t="str">
        <f>IF('Statement of Marks'!G178="","",'Statement of Marks'!G178)</f>
        <v/>
      </c>
      <c r="G176" s="171" t="str">
        <f>IF('Statement of Marks'!H178="","",'Statement of Marks'!H178)</f>
        <v/>
      </c>
      <c r="H176" s="172" t="str">
        <f>IF('Statement of Marks'!HS178="","",'Statement of Marks'!HS178)</f>
        <v/>
      </c>
      <c r="I176" s="172" t="str">
        <f>IF('Statement of Marks'!HV178="","",'Statement of Marks'!HV178)</f>
        <v/>
      </c>
      <c r="J176" s="173" t="str">
        <f>IF('Statement of Marks'!HU178="","",'Statement of Marks'!HU178)</f>
        <v/>
      </c>
      <c r="K176" s="181" t="str">
        <f>'Statement of Marks'!GN178</f>
        <v/>
      </c>
      <c r="L176" s="181" t="str">
        <f>'Statement of Marks'!GQ178</f>
        <v/>
      </c>
      <c r="M176" s="181" t="str">
        <f>'Statement of Marks'!GT178</f>
        <v/>
      </c>
      <c r="N176" s="181" t="str">
        <f>'Statement of Marks'!HB178</f>
        <v/>
      </c>
      <c r="O176" s="181" t="str">
        <f>'Statement of Marks'!HE178</f>
        <v/>
      </c>
      <c r="P176" s="181" t="str">
        <f>'Statement of Marks'!HH178</f>
        <v/>
      </c>
      <c r="Q176" s="181" t="str">
        <f>'Statement of Marks'!HK178</f>
        <v/>
      </c>
      <c r="R176" s="173" t="str">
        <f>IF(COUNTIF(K176:Q176,"F")&gt;0,"",CONCATENATE('Statement of Marks'!HO178,'Statement of Marks'!HQ178))</f>
        <v xml:space="preserve">            </v>
      </c>
      <c r="S176" s="174">
        <f t="shared" si="36"/>
        <v>0</v>
      </c>
      <c r="T176" s="5"/>
      <c r="U176" s="182" t="str">
        <f t="shared" si="37"/>
        <v/>
      </c>
      <c r="V176" s="182" t="str">
        <f t="shared" si="38"/>
        <v/>
      </c>
      <c r="W176" s="5"/>
      <c r="X176" s="182" t="str">
        <f t="shared" si="39"/>
        <v/>
      </c>
      <c r="Y176" s="182" t="str">
        <f t="shared" si="40"/>
        <v/>
      </c>
      <c r="Z176" s="5"/>
      <c r="AA176" s="182" t="str">
        <f t="shared" si="41"/>
        <v/>
      </c>
      <c r="AB176" s="183" t="str">
        <f t="shared" si="42"/>
        <v/>
      </c>
      <c r="AC176" s="5"/>
      <c r="AD176" s="182" t="str">
        <f t="shared" si="43"/>
        <v/>
      </c>
      <c r="AE176" s="183" t="str">
        <f t="shared" si="44"/>
        <v/>
      </c>
      <c r="AF176" s="5"/>
      <c r="AG176" s="182" t="str">
        <f t="shared" si="45"/>
        <v/>
      </c>
      <c r="AH176" s="183" t="str">
        <f t="shared" si="46"/>
        <v/>
      </c>
      <c r="AI176" s="5"/>
      <c r="AJ176" s="183" t="str">
        <f t="shared" si="47"/>
        <v/>
      </c>
      <c r="AK176" s="183" t="str">
        <f t="shared" si="48"/>
        <v/>
      </c>
      <c r="AL176" s="5"/>
      <c r="AM176" s="183" t="str">
        <f t="shared" si="49"/>
        <v/>
      </c>
      <c r="AN176" s="183" t="str">
        <f t="shared" si="50"/>
        <v/>
      </c>
      <c r="AO176" s="184">
        <f t="shared" si="51"/>
        <v>0</v>
      </c>
      <c r="AP176" s="184">
        <f t="shared" si="52"/>
        <v>0</v>
      </c>
      <c r="AQ176" s="608" t="str">
        <f t="shared" si="53"/>
        <v/>
      </c>
      <c r="AR176" s="185" t="str">
        <f>IF(COUNTIF(K176:Q176,"F")&gt;0,"",IF(AQ176="PASS",'Statement of Marks'!HZ178,""))</f>
        <v/>
      </c>
      <c r="AS176" s="185" t="str">
        <f>IF(AQ176="PASS",'Statement of Marks'!IA178,"")</f>
        <v/>
      </c>
    </row>
    <row r="177" spans="1:45">
      <c r="A177" s="169">
        <f>IF('Statement of Marks'!A179="","",'Statement of Marks'!A179)</f>
        <v>173</v>
      </c>
      <c r="B177" s="169" t="str">
        <f>IF('Statement of Marks'!B179="","",'Statement of Marks'!B179)</f>
        <v/>
      </c>
      <c r="C177" s="169" t="str">
        <f>IF('Statement of Marks'!D179="","",'Statement of Marks'!D179)</f>
        <v/>
      </c>
      <c r="D177" s="170" t="str">
        <f>IF('Statement of Marks'!E179="","",'Statement of Marks'!E179)</f>
        <v/>
      </c>
      <c r="E177" s="171" t="str">
        <f>IF('Statement of Marks'!F179="","",'Statement of Marks'!F179)</f>
        <v/>
      </c>
      <c r="F177" s="171" t="str">
        <f>IF('Statement of Marks'!G179="","",'Statement of Marks'!G179)</f>
        <v/>
      </c>
      <c r="G177" s="171" t="str">
        <f>IF('Statement of Marks'!H179="","",'Statement of Marks'!H179)</f>
        <v/>
      </c>
      <c r="H177" s="172" t="str">
        <f>IF('Statement of Marks'!HS179="","",'Statement of Marks'!HS179)</f>
        <v/>
      </c>
      <c r="I177" s="172" t="str">
        <f>IF('Statement of Marks'!HV179="","",'Statement of Marks'!HV179)</f>
        <v/>
      </c>
      <c r="J177" s="173" t="str">
        <f>IF('Statement of Marks'!HU179="","",'Statement of Marks'!HU179)</f>
        <v/>
      </c>
      <c r="K177" s="181" t="str">
        <f>'Statement of Marks'!GN179</f>
        <v/>
      </c>
      <c r="L177" s="181" t="str">
        <f>'Statement of Marks'!GQ179</f>
        <v/>
      </c>
      <c r="M177" s="181" t="str">
        <f>'Statement of Marks'!GT179</f>
        <v/>
      </c>
      <c r="N177" s="181" t="str">
        <f>'Statement of Marks'!HB179</f>
        <v/>
      </c>
      <c r="O177" s="181" t="str">
        <f>'Statement of Marks'!HE179</f>
        <v/>
      </c>
      <c r="P177" s="181" t="str">
        <f>'Statement of Marks'!HH179</f>
        <v/>
      </c>
      <c r="Q177" s="181" t="str">
        <f>'Statement of Marks'!HK179</f>
        <v/>
      </c>
      <c r="R177" s="173" t="str">
        <f>IF(COUNTIF(K177:Q177,"F")&gt;0,"",CONCATENATE('Statement of Marks'!HO179,'Statement of Marks'!HQ179))</f>
        <v xml:space="preserve">            </v>
      </c>
      <c r="S177" s="174">
        <f t="shared" si="36"/>
        <v>0</v>
      </c>
      <c r="T177" s="5"/>
      <c r="U177" s="182" t="str">
        <f t="shared" si="37"/>
        <v/>
      </c>
      <c r="V177" s="182" t="str">
        <f t="shared" si="38"/>
        <v/>
      </c>
      <c r="W177" s="5"/>
      <c r="X177" s="182" t="str">
        <f t="shared" si="39"/>
        <v/>
      </c>
      <c r="Y177" s="182" t="str">
        <f t="shared" si="40"/>
        <v/>
      </c>
      <c r="Z177" s="5"/>
      <c r="AA177" s="182" t="str">
        <f t="shared" si="41"/>
        <v/>
      </c>
      <c r="AB177" s="183" t="str">
        <f t="shared" si="42"/>
        <v/>
      </c>
      <c r="AC177" s="5"/>
      <c r="AD177" s="182" t="str">
        <f t="shared" si="43"/>
        <v/>
      </c>
      <c r="AE177" s="183" t="str">
        <f t="shared" si="44"/>
        <v/>
      </c>
      <c r="AF177" s="5"/>
      <c r="AG177" s="182" t="str">
        <f t="shared" si="45"/>
        <v/>
      </c>
      <c r="AH177" s="183" t="str">
        <f t="shared" si="46"/>
        <v/>
      </c>
      <c r="AI177" s="5"/>
      <c r="AJ177" s="183" t="str">
        <f t="shared" si="47"/>
        <v/>
      </c>
      <c r="AK177" s="183" t="str">
        <f t="shared" si="48"/>
        <v/>
      </c>
      <c r="AL177" s="5"/>
      <c r="AM177" s="183" t="str">
        <f t="shared" si="49"/>
        <v/>
      </c>
      <c r="AN177" s="183" t="str">
        <f t="shared" si="50"/>
        <v/>
      </c>
      <c r="AO177" s="184">
        <f t="shared" si="51"/>
        <v>0</v>
      </c>
      <c r="AP177" s="184">
        <f t="shared" si="52"/>
        <v>0</v>
      </c>
      <c r="AQ177" s="608" t="str">
        <f t="shared" si="53"/>
        <v/>
      </c>
      <c r="AR177" s="185" t="str">
        <f>IF(COUNTIF(K177:Q177,"F")&gt;0,"",IF(AQ177="PASS",'Statement of Marks'!HZ179,""))</f>
        <v/>
      </c>
      <c r="AS177" s="185" t="str">
        <f>IF(AQ177="PASS",'Statement of Marks'!IA179,"")</f>
        <v/>
      </c>
    </row>
    <row r="178" spans="1:45">
      <c r="A178" s="169">
        <f>IF('Statement of Marks'!A180="","",'Statement of Marks'!A180)</f>
        <v>174</v>
      </c>
      <c r="B178" s="169" t="str">
        <f>IF('Statement of Marks'!B180="","",'Statement of Marks'!B180)</f>
        <v/>
      </c>
      <c r="C178" s="169" t="str">
        <f>IF('Statement of Marks'!D180="","",'Statement of Marks'!D180)</f>
        <v/>
      </c>
      <c r="D178" s="170" t="str">
        <f>IF('Statement of Marks'!E180="","",'Statement of Marks'!E180)</f>
        <v/>
      </c>
      <c r="E178" s="171" t="str">
        <f>IF('Statement of Marks'!F180="","",'Statement of Marks'!F180)</f>
        <v/>
      </c>
      <c r="F178" s="171" t="str">
        <f>IF('Statement of Marks'!G180="","",'Statement of Marks'!G180)</f>
        <v/>
      </c>
      <c r="G178" s="171" t="str">
        <f>IF('Statement of Marks'!H180="","",'Statement of Marks'!H180)</f>
        <v/>
      </c>
      <c r="H178" s="172" t="str">
        <f>IF('Statement of Marks'!HS180="","",'Statement of Marks'!HS180)</f>
        <v/>
      </c>
      <c r="I178" s="172" t="str">
        <f>IF('Statement of Marks'!HV180="","",'Statement of Marks'!HV180)</f>
        <v/>
      </c>
      <c r="J178" s="173" t="str">
        <f>IF('Statement of Marks'!HU180="","",'Statement of Marks'!HU180)</f>
        <v/>
      </c>
      <c r="K178" s="181" t="str">
        <f>'Statement of Marks'!GN180</f>
        <v/>
      </c>
      <c r="L178" s="181" t="str">
        <f>'Statement of Marks'!GQ180</f>
        <v/>
      </c>
      <c r="M178" s="181" t="str">
        <f>'Statement of Marks'!GT180</f>
        <v/>
      </c>
      <c r="N178" s="181" t="str">
        <f>'Statement of Marks'!HB180</f>
        <v/>
      </c>
      <c r="O178" s="181" t="str">
        <f>'Statement of Marks'!HE180</f>
        <v/>
      </c>
      <c r="P178" s="181" t="str">
        <f>'Statement of Marks'!HH180</f>
        <v/>
      </c>
      <c r="Q178" s="181" t="str">
        <f>'Statement of Marks'!HK180</f>
        <v/>
      </c>
      <c r="R178" s="173" t="str">
        <f>IF(COUNTIF(K178:Q178,"F")&gt;0,"",CONCATENATE('Statement of Marks'!HO180,'Statement of Marks'!HQ180))</f>
        <v xml:space="preserve">            </v>
      </c>
      <c r="S178" s="174">
        <f t="shared" si="36"/>
        <v>0</v>
      </c>
      <c r="T178" s="5"/>
      <c r="U178" s="182" t="str">
        <f t="shared" si="37"/>
        <v/>
      </c>
      <c r="V178" s="182" t="str">
        <f t="shared" si="38"/>
        <v/>
      </c>
      <c r="W178" s="5"/>
      <c r="X178" s="182" t="str">
        <f t="shared" si="39"/>
        <v/>
      </c>
      <c r="Y178" s="182" t="str">
        <f t="shared" si="40"/>
        <v/>
      </c>
      <c r="Z178" s="5"/>
      <c r="AA178" s="182" t="str">
        <f t="shared" si="41"/>
        <v/>
      </c>
      <c r="AB178" s="183" t="str">
        <f t="shared" si="42"/>
        <v/>
      </c>
      <c r="AC178" s="5"/>
      <c r="AD178" s="182" t="str">
        <f t="shared" si="43"/>
        <v/>
      </c>
      <c r="AE178" s="183" t="str">
        <f t="shared" si="44"/>
        <v/>
      </c>
      <c r="AF178" s="5"/>
      <c r="AG178" s="182" t="str">
        <f t="shared" si="45"/>
        <v/>
      </c>
      <c r="AH178" s="183" t="str">
        <f t="shared" si="46"/>
        <v/>
      </c>
      <c r="AI178" s="5"/>
      <c r="AJ178" s="183" t="str">
        <f t="shared" si="47"/>
        <v/>
      </c>
      <c r="AK178" s="183" t="str">
        <f t="shared" si="48"/>
        <v/>
      </c>
      <c r="AL178" s="5"/>
      <c r="AM178" s="183" t="str">
        <f t="shared" si="49"/>
        <v/>
      </c>
      <c r="AN178" s="183" t="str">
        <f t="shared" si="50"/>
        <v/>
      </c>
      <c r="AO178" s="184">
        <f t="shared" si="51"/>
        <v>0</v>
      </c>
      <c r="AP178" s="184">
        <f t="shared" si="52"/>
        <v>0</v>
      </c>
      <c r="AQ178" s="608" t="str">
        <f t="shared" si="53"/>
        <v/>
      </c>
      <c r="AR178" s="185" t="str">
        <f>IF(COUNTIF(K178:Q178,"F")&gt;0,"",IF(AQ178="PASS",'Statement of Marks'!HZ180,""))</f>
        <v/>
      </c>
      <c r="AS178" s="185" t="str">
        <f>IF(AQ178="PASS",'Statement of Marks'!IA180,"")</f>
        <v/>
      </c>
    </row>
    <row r="179" spans="1:45">
      <c r="A179" s="169">
        <f>IF('Statement of Marks'!A181="","",'Statement of Marks'!A181)</f>
        <v>175</v>
      </c>
      <c r="B179" s="169" t="str">
        <f>IF('Statement of Marks'!B181="","",'Statement of Marks'!B181)</f>
        <v/>
      </c>
      <c r="C179" s="169" t="str">
        <f>IF('Statement of Marks'!D181="","",'Statement of Marks'!D181)</f>
        <v/>
      </c>
      <c r="D179" s="170" t="str">
        <f>IF('Statement of Marks'!E181="","",'Statement of Marks'!E181)</f>
        <v/>
      </c>
      <c r="E179" s="171" t="str">
        <f>IF('Statement of Marks'!F181="","",'Statement of Marks'!F181)</f>
        <v/>
      </c>
      <c r="F179" s="171" t="str">
        <f>IF('Statement of Marks'!G181="","",'Statement of Marks'!G181)</f>
        <v/>
      </c>
      <c r="G179" s="171" t="str">
        <f>IF('Statement of Marks'!H181="","",'Statement of Marks'!H181)</f>
        <v/>
      </c>
      <c r="H179" s="172" t="str">
        <f>IF('Statement of Marks'!HS181="","",'Statement of Marks'!HS181)</f>
        <v/>
      </c>
      <c r="I179" s="172" t="str">
        <f>IF('Statement of Marks'!HV181="","",'Statement of Marks'!HV181)</f>
        <v/>
      </c>
      <c r="J179" s="173" t="str">
        <f>IF('Statement of Marks'!HU181="","",'Statement of Marks'!HU181)</f>
        <v/>
      </c>
      <c r="K179" s="181" t="str">
        <f>'Statement of Marks'!GN181</f>
        <v/>
      </c>
      <c r="L179" s="181" t="str">
        <f>'Statement of Marks'!GQ181</f>
        <v/>
      </c>
      <c r="M179" s="181" t="str">
        <f>'Statement of Marks'!GT181</f>
        <v/>
      </c>
      <c r="N179" s="181" t="str">
        <f>'Statement of Marks'!HB181</f>
        <v/>
      </c>
      <c r="O179" s="181" t="str">
        <f>'Statement of Marks'!HE181</f>
        <v/>
      </c>
      <c r="P179" s="181" t="str">
        <f>'Statement of Marks'!HH181</f>
        <v/>
      </c>
      <c r="Q179" s="181" t="str">
        <f>'Statement of Marks'!HK181</f>
        <v/>
      </c>
      <c r="R179" s="173" t="str">
        <f>IF(COUNTIF(K179:Q179,"F")&gt;0,"",CONCATENATE('Statement of Marks'!HO181,'Statement of Marks'!HQ181))</f>
        <v xml:space="preserve">            </v>
      </c>
      <c r="S179" s="174">
        <f t="shared" si="36"/>
        <v>0</v>
      </c>
      <c r="T179" s="5"/>
      <c r="U179" s="182" t="str">
        <f t="shared" si="37"/>
        <v/>
      </c>
      <c r="V179" s="182" t="str">
        <f t="shared" si="38"/>
        <v/>
      </c>
      <c r="W179" s="5"/>
      <c r="X179" s="182" t="str">
        <f t="shared" si="39"/>
        <v/>
      </c>
      <c r="Y179" s="182" t="str">
        <f t="shared" si="40"/>
        <v/>
      </c>
      <c r="Z179" s="5"/>
      <c r="AA179" s="182" t="str">
        <f t="shared" si="41"/>
        <v/>
      </c>
      <c r="AB179" s="183" t="str">
        <f t="shared" si="42"/>
        <v/>
      </c>
      <c r="AC179" s="5"/>
      <c r="AD179" s="182" t="str">
        <f t="shared" si="43"/>
        <v/>
      </c>
      <c r="AE179" s="183" t="str">
        <f t="shared" si="44"/>
        <v/>
      </c>
      <c r="AF179" s="5"/>
      <c r="AG179" s="182" t="str">
        <f t="shared" si="45"/>
        <v/>
      </c>
      <c r="AH179" s="183" t="str">
        <f t="shared" si="46"/>
        <v/>
      </c>
      <c r="AI179" s="5"/>
      <c r="AJ179" s="183" t="str">
        <f t="shared" si="47"/>
        <v/>
      </c>
      <c r="AK179" s="183" t="str">
        <f t="shared" si="48"/>
        <v/>
      </c>
      <c r="AL179" s="5"/>
      <c r="AM179" s="183" t="str">
        <f t="shared" si="49"/>
        <v/>
      </c>
      <c r="AN179" s="183" t="str">
        <f t="shared" si="50"/>
        <v/>
      </c>
      <c r="AO179" s="184">
        <f t="shared" si="51"/>
        <v>0</v>
      </c>
      <c r="AP179" s="184">
        <f t="shared" si="52"/>
        <v>0</v>
      </c>
      <c r="AQ179" s="608" t="str">
        <f t="shared" si="53"/>
        <v/>
      </c>
      <c r="AR179" s="185" t="str">
        <f>IF(COUNTIF(K179:Q179,"F")&gt;0,"",IF(AQ179="PASS",'Statement of Marks'!HZ181,""))</f>
        <v/>
      </c>
      <c r="AS179" s="185" t="str">
        <f>IF(AQ179="PASS",'Statement of Marks'!IA181,"")</f>
        <v/>
      </c>
    </row>
    <row r="180" spans="1:45">
      <c r="A180" s="169">
        <f>IF('Statement of Marks'!A182="","",'Statement of Marks'!A182)</f>
        <v>176</v>
      </c>
      <c r="B180" s="169" t="str">
        <f>IF('Statement of Marks'!B182="","",'Statement of Marks'!B182)</f>
        <v/>
      </c>
      <c r="C180" s="169" t="str">
        <f>IF('Statement of Marks'!D182="","",'Statement of Marks'!D182)</f>
        <v/>
      </c>
      <c r="D180" s="170" t="str">
        <f>IF('Statement of Marks'!E182="","",'Statement of Marks'!E182)</f>
        <v/>
      </c>
      <c r="E180" s="171" t="str">
        <f>IF('Statement of Marks'!F182="","",'Statement of Marks'!F182)</f>
        <v/>
      </c>
      <c r="F180" s="171" t="str">
        <f>IF('Statement of Marks'!G182="","",'Statement of Marks'!G182)</f>
        <v/>
      </c>
      <c r="G180" s="171" t="str">
        <f>IF('Statement of Marks'!H182="","",'Statement of Marks'!H182)</f>
        <v/>
      </c>
      <c r="H180" s="172" t="str">
        <f>IF('Statement of Marks'!HS182="","",'Statement of Marks'!HS182)</f>
        <v/>
      </c>
      <c r="I180" s="172" t="str">
        <f>IF('Statement of Marks'!HV182="","",'Statement of Marks'!HV182)</f>
        <v/>
      </c>
      <c r="J180" s="173" t="str">
        <f>IF('Statement of Marks'!HU182="","",'Statement of Marks'!HU182)</f>
        <v/>
      </c>
      <c r="K180" s="181" t="str">
        <f>'Statement of Marks'!GN182</f>
        <v/>
      </c>
      <c r="L180" s="181" t="str">
        <f>'Statement of Marks'!GQ182</f>
        <v/>
      </c>
      <c r="M180" s="181" t="str">
        <f>'Statement of Marks'!GT182</f>
        <v/>
      </c>
      <c r="N180" s="181" t="str">
        <f>'Statement of Marks'!HB182</f>
        <v/>
      </c>
      <c r="O180" s="181" t="str">
        <f>'Statement of Marks'!HE182</f>
        <v/>
      </c>
      <c r="P180" s="181" t="str">
        <f>'Statement of Marks'!HH182</f>
        <v/>
      </c>
      <c r="Q180" s="181" t="str">
        <f>'Statement of Marks'!HK182</f>
        <v/>
      </c>
      <c r="R180" s="173" t="str">
        <f>IF(COUNTIF(K180:Q180,"F")&gt;0,"",CONCATENATE('Statement of Marks'!HO182,'Statement of Marks'!HQ182))</f>
        <v xml:space="preserve">            </v>
      </c>
      <c r="S180" s="174">
        <f t="shared" si="36"/>
        <v>0</v>
      </c>
      <c r="T180" s="5"/>
      <c r="U180" s="182" t="str">
        <f t="shared" si="37"/>
        <v/>
      </c>
      <c r="V180" s="182" t="str">
        <f t="shared" si="38"/>
        <v/>
      </c>
      <c r="W180" s="5"/>
      <c r="X180" s="182" t="str">
        <f t="shared" si="39"/>
        <v/>
      </c>
      <c r="Y180" s="182" t="str">
        <f t="shared" si="40"/>
        <v/>
      </c>
      <c r="Z180" s="5"/>
      <c r="AA180" s="182" t="str">
        <f t="shared" si="41"/>
        <v/>
      </c>
      <c r="AB180" s="183" t="str">
        <f t="shared" si="42"/>
        <v/>
      </c>
      <c r="AC180" s="5"/>
      <c r="AD180" s="182" t="str">
        <f t="shared" si="43"/>
        <v/>
      </c>
      <c r="AE180" s="183" t="str">
        <f t="shared" si="44"/>
        <v/>
      </c>
      <c r="AF180" s="5"/>
      <c r="AG180" s="182" t="str">
        <f t="shared" si="45"/>
        <v/>
      </c>
      <c r="AH180" s="183" t="str">
        <f t="shared" si="46"/>
        <v/>
      </c>
      <c r="AI180" s="5"/>
      <c r="AJ180" s="183" t="str">
        <f t="shared" si="47"/>
        <v/>
      </c>
      <c r="AK180" s="183" t="str">
        <f t="shared" si="48"/>
        <v/>
      </c>
      <c r="AL180" s="5"/>
      <c r="AM180" s="183" t="str">
        <f t="shared" si="49"/>
        <v/>
      </c>
      <c r="AN180" s="183" t="str">
        <f t="shared" si="50"/>
        <v/>
      </c>
      <c r="AO180" s="184">
        <f t="shared" si="51"/>
        <v>0</v>
      </c>
      <c r="AP180" s="184">
        <f t="shared" si="52"/>
        <v>0</v>
      </c>
      <c r="AQ180" s="608" t="str">
        <f t="shared" si="53"/>
        <v/>
      </c>
      <c r="AR180" s="185" t="str">
        <f>IF(COUNTIF(K180:Q180,"F")&gt;0,"",IF(AQ180="PASS",'Statement of Marks'!HZ182,""))</f>
        <v/>
      </c>
      <c r="AS180" s="185" t="str">
        <f>IF(AQ180="PASS",'Statement of Marks'!IA182,"")</f>
        <v/>
      </c>
    </row>
    <row r="181" spans="1:45">
      <c r="A181" s="169">
        <f>IF('Statement of Marks'!A183="","",'Statement of Marks'!A183)</f>
        <v>177</v>
      </c>
      <c r="B181" s="169" t="str">
        <f>IF('Statement of Marks'!B183="","",'Statement of Marks'!B183)</f>
        <v/>
      </c>
      <c r="C181" s="169" t="str">
        <f>IF('Statement of Marks'!D183="","",'Statement of Marks'!D183)</f>
        <v/>
      </c>
      <c r="D181" s="170" t="str">
        <f>IF('Statement of Marks'!E183="","",'Statement of Marks'!E183)</f>
        <v/>
      </c>
      <c r="E181" s="171" t="str">
        <f>IF('Statement of Marks'!F183="","",'Statement of Marks'!F183)</f>
        <v/>
      </c>
      <c r="F181" s="171" t="str">
        <f>IF('Statement of Marks'!G183="","",'Statement of Marks'!G183)</f>
        <v/>
      </c>
      <c r="G181" s="171" t="str">
        <f>IF('Statement of Marks'!H183="","",'Statement of Marks'!H183)</f>
        <v/>
      </c>
      <c r="H181" s="172" t="str">
        <f>IF('Statement of Marks'!HS183="","",'Statement of Marks'!HS183)</f>
        <v/>
      </c>
      <c r="I181" s="172" t="str">
        <f>IF('Statement of Marks'!HV183="","",'Statement of Marks'!HV183)</f>
        <v/>
      </c>
      <c r="J181" s="173" t="str">
        <f>IF('Statement of Marks'!HU183="","",'Statement of Marks'!HU183)</f>
        <v/>
      </c>
      <c r="K181" s="181" t="str">
        <f>'Statement of Marks'!GN183</f>
        <v/>
      </c>
      <c r="L181" s="181" t="str">
        <f>'Statement of Marks'!GQ183</f>
        <v/>
      </c>
      <c r="M181" s="181" t="str">
        <f>'Statement of Marks'!GT183</f>
        <v/>
      </c>
      <c r="N181" s="181" t="str">
        <f>'Statement of Marks'!HB183</f>
        <v/>
      </c>
      <c r="O181" s="181" t="str">
        <f>'Statement of Marks'!HE183</f>
        <v/>
      </c>
      <c r="P181" s="181" t="str">
        <f>'Statement of Marks'!HH183</f>
        <v/>
      </c>
      <c r="Q181" s="181" t="str">
        <f>'Statement of Marks'!HK183</f>
        <v/>
      </c>
      <c r="R181" s="173" t="str">
        <f>IF(COUNTIF(K181:Q181,"F")&gt;0,"",CONCATENATE('Statement of Marks'!HO183,'Statement of Marks'!HQ183))</f>
        <v xml:space="preserve">            </v>
      </c>
      <c r="S181" s="174">
        <f t="shared" si="36"/>
        <v>0</v>
      </c>
      <c r="T181" s="5"/>
      <c r="U181" s="182" t="str">
        <f t="shared" si="37"/>
        <v/>
      </c>
      <c r="V181" s="182" t="str">
        <f t="shared" si="38"/>
        <v/>
      </c>
      <c r="W181" s="5"/>
      <c r="X181" s="182" t="str">
        <f t="shared" si="39"/>
        <v/>
      </c>
      <c r="Y181" s="182" t="str">
        <f t="shared" si="40"/>
        <v/>
      </c>
      <c r="Z181" s="5"/>
      <c r="AA181" s="182" t="str">
        <f t="shared" si="41"/>
        <v/>
      </c>
      <c r="AB181" s="183" t="str">
        <f t="shared" si="42"/>
        <v/>
      </c>
      <c r="AC181" s="5"/>
      <c r="AD181" s="182" t="str">
        <f t="shared" si="43"/>
        <v/>
      </c>
      <c r="AE181" s="183" t="str">
        <f t="shared" si="44"/>
        <v/>
      </c>
      <c r="AF181" s="5"/>
      <c r="AG181" s="182" t="str">
        <f t="shared" si="45"/>
        <v/>
      </c>
      <c r="AH181" s="183" t="str">
        <f t="shared" si="46"/>
        <v/>
      </c>
      <c r="AI181" s="5"/>
      <c r="AJ181" s="183" t="str">
        <f t="shared" si="47"/>
        <v/>
      </c>
      <c r="AK181" s="183" t="str">
        <f t="shared" si="48"/>
        <v/>
      </c>
      <c r="AL181" s="5"/>
      <c r="AM181" s="183" t="str">
        <f t="shared" si="49"/>
        <v/>
      </c>
      <c r="AN181" s="183" t="str">
        <f t="shared" si="50"/>
        <v/>
      </c>
      <c r="AO181" s="184">
        <f t="shared" si="51"/>
        <v>0</v>
      </c>
      <c r="AP181" s="184">
        <f t="shared" si="52"/>
        <v>0</v>
      </c>
      <c r="AQ181" s="608" t="str">
        <f t="shared" si="53"/>
        <v/>
      </c>
      <c r="AR181" s="185" t="str">
        <f>IF(COUNTIF(K181:Q181,"F")&gt;0,"",IF(AQ181="PASS",'Statement of Marks'!HZ183,""))</f>
        <v/>
      </c>
      <c r="AS181" s="185" t="str">
        <f>IF(AQ181="PASS",'Statement of Marks'!IA183,"")</f>
        <v/>
      </c>
    </row>
    <row r="182" spans="1:45">
      <c r="A182" s="169">
        <f>IF('Statement of Marks'!A184="","",'Statement of Marks'!A184)</f>
        <v>178</v>
      </c>
      <c r="B182" s="169" t="str">
        <f>IF('Statement of Marks'!B184="","",'Statement of Marks'!B184)</f>
        <v/>
      </c>
      <c r="C182" s="169" t="str">
        <f>IF('Statement of Marks'!D184="","",'Statement of Marks'!D184)</f>
        <v/>
      </c>
      <c r="D182" s="170" t="str">
        <f>IF('Statement of Marks'!E184="","",'Statement of Marks'!E184)</f>
        <v/>
      </c>
      <c r="E182" s="171" t="str">
        <f>IF('Statement of Marks'!F184="","",'Statement of Marks'!F184)</f>
        <v/>
      </c>
      <c r="F182" s="171" t="str">
        <f>IF('Statement of Marks'!G184="","",'Statement of Marks'!G184)</f>
        <v/>
      </c>
      <c r="G182" s="171" t="str">
        <f>IF('Statement of Marks'!H184="","",'Statement of Marks'!H184)</f>
        <v/>
      </c>
      <c r="H182" s="172" t="str">
        <f>IF('Statement of Marks'!HS184="","",'Statement of Marks'!HS184)</f>
        <v/>
      </c>
      <c r="I182" s="172" t="str">
        <f>IF('Statement of Marks'!HV184="","",'Statement of Marks'!HV184)</f>
        <v/>
      </c>
      <c r="J182" s="173" t="str">
        <f>IF('Statement of Marks'!HU184="","",'Statement of Marks'!HU184)</f>
        <v/>
      </c>
      <c r="K182" s="181" t="str">
        <f>'Statement of Marks'!GN184</f>
        <v/>
      </c>
      <c r="L182" s="181" t="str">
        <f>'Statement of Marks'!GQ184</f>
        <v/>
      </c>
      <c r="M182" s="181" t="str">
        <f>'Statement of Marks'!GT184</f>
        <v/>
      </c>
      <c r="N182" s="181" t="str">
        <f>'Statement of Marks'!HB184</f>
        <v/>
      </c>
      <c r="O182" s="181" t="str">
        <f>'Statement of Marks'!HE184</f>
        <v/>
      </c>
      <c r="P182" s="181" t="str">
        <f>'Statement of Marks'!HH184</f>
        <v/>
      </c>
      <c r="Q182" s="181" t="str">
        <f>'Statement of Marks'!HK184</f>
        <v/>
      </c>
      <c r="R182" s="173" t="str">
        <f>IF(COUNTIF(K182:Q182,"F")&gt;0,"",CONCATENATE('Statement of Marks'!HO184,'Statement of Marks'!HQ184))</f>
        <v xml:space="preserve">            </v>
      </c>
      <c r="S182" s="174">
        <f t="shared" si="36"/>
        <v>0</v>
      </c>
      <c r="T182" s="5"/>
      <c r="U182" s="182" t="str">
        <f t="shared" si="37"/>
        <v/>
      </c>
      <c r="V182" s="182" t="str">
        <f t="shared" si="38"/>
        <v/>
      </c>
      <c r="W182" s="5"/>
      <c r="X182" s="182" t="str">
        <f t="shared" si="39"/>
        <v/>
      </c>
      <c r="Y182" s="182" t="str">
        <f t="shared" si="40"/>
        <v/>
      </c>
      <c r="Z182" s="5"/>
      <c r="AA182" s="182" t="str">
        <f t="shared" si="41"/>
        <v/>
      </c>
      <c r="AB182" s="183" t="str">
        <f t="shared" si="42"/>
        <v/>
      </c>
      <c r="AC182" s="5"/>
      <c r="AD182" s="182" t="str">
        <f t="shared" si="43"/>
        <v/>
      </c>
      <c r="AE182" s="183" t="str">
        <f t="shared" si="44"/>
        <v/>
      </c>
      <c r="AF182" s="5"/>
      <c r="AG182" s="182" t="str">
        <f t="shared" si="45"/>
        <v/>
      </c>
      <c r="AH182" s="183" t="str">
        <f t="shared" si="46"/>
        <v/>
      </c>
      <c r="AI182" s="5"/>
      <c r="AJ182" s="183" t="str">
        <f t="shared" si="47"/>
        <v/>
      </c>
      <c r="AK182" s="183" t="str">
        <f t="shared" si="48"/>
        <v/>
      </c>
      <c r="AL182" s="5"/>
      <c r="AM182" s="183" t="str">
        <f t="shared" si="49"/>
        <v/>
      </c>
      <c r="AN182" s="183" t="str">
        <f t="shared" si="50"/>
        <v/>
      </c>
      <c r="AO182" s="184">
        <f t="shared" si="51"/>
        <v>0</v>
      </c>
      <c r="AP182" s="184">
        <f t="shared" si="52"/>
        <v>0</v>
      </c>
      <c r="AQ182" s="608" t="str">
        <f t="shared" si="53"/>
        <v/>
      </c>
      <c r="AR182" s="185" t="str">
        <f>IF(COUNTIF(K182:Q182,"F")&gt;0,"",IF(AQ182="PASS",'Statement of Marks'!HZ184,""))</f>
        <v/>
      </c>
      <c r="AS182" s="185" t="str">
        <f>IF(AQ182="PASS",'Statement of Marks'!IA184,"")</f>
        <v/>
      </c>
    </row>
    <row r="183" spans="1:45">
      <c r="A183" s="169">
        <f>IF('Statement of Marks'!A185="","",'Statement of Marks'!A185)</f>
        <v>179</v>
      </c>
      <c r="B183" s="169" t="str">
        <f>IF('Statement of Marks'!B185="","",'Statement of Marks'!B185)</f>
        <v/>
      </c>
      <c r="C183" s="169" t="str">
        <f>IF('Statement of Marks'!D185="","",'Statement of Marks'!D185)</f>
        <v/>
      </c>
      <c r="D183" s="170" t="str">
        <f>IF('Statement of Marks'!E185="","",'Statement of Marks'!E185)</f>
        <v/>
      </c>
      <c r="E183" s="171" t="str">
        <f>IF('Statement of Marks'!F185="","",'Statement of Marks'!F185)</f>
        <v/>
      </c>
      <c r="F183" s="171" t="str">
        <f>IF('Statement of Marks'!G185="","",'Statement of Marks'!G185)</f>
        <v/>
      </c>
      <c r="G183" s="171" t="str">
        <f>IF('Statement of Marks'!H185="","",'Statement of Marks'!H185)</f>
        <v/>
      </c>
      <c r="H183" s="172" t="str">
        <f>IF('Statement of Marks'!HS185="","",'Statement of Marks'!HS185)</f>
        <v/>
      </c>
      <c r="I183" s="172" t="str">
        <f>IF('Statement of Marks'!HV185="","",'Statement of Marks'!HV185)</f>
        <v/>
      </c>
      <c r="J183" s="173" t="str">
        <f>IF('Statement of Marks'!HU185="","",'Statement of Marks'!HU185)</f>
        <v/>
      </c>
      <c r="K183" s="181" t="str">
        <f>'Statement of Marks'!GN185</f>
        <v/>
      </c>
      <c r="L183" s="181" t="str">
        <f>'Statement of Marks'!GQ185</f>
        <v/>
      </c>
      <c r="M183" s="181" t="str">
        <f>'Statement of Marks'!GT185</f>
        <v/>
      </c>
      <c r="N183" s="181" t="str">
        <f>'Statement of Marks'!HB185</f>
        <v/>
      </c>
      <c r="O183" s="181" t="str">
        <f>'Statement of Marks'!HE185</f>
        <v/>
      </c>
      <c r="P183" s="181" t="str">
        <f>'Statement of Marks'!HH185</f>
        <v/>
      </c>
      <c r="Q183" s="181" t="str">
        <f>'Statement of Marks'!HK185</f>
        <v/>
      </c>
      <c r="R183" s="173" t="str">
        <f>IF(COUNTIF(K183:Q183,"F")&gt;0,"",CONCATENATE('Statement of Marks'!HO185,'Statement of Marks'!HQ185))</f>
        <v xml:space="preserve">            </v>
      </c>
      <c r="S183" s="174">
        <f t="shared" si="36"/>
        <v>0</v>
      </c>
      <c r="T183" s="5"/>
      <c r="U183" s="182" t="str">
        <f t="shared" si="37"/>
        <v/>
      </c>
      <c r="V183" s="182" t="str">
        <f t="shared" si="38"/>
        <v/>
      </c>
      <c r="W183" s="5"/>
      <c r="X183" s="182" t="str">
        <f t="shared" si="39"/>
        <v/>
      </c>
      <c r="Y183" s="182" t="str">
        <f t="shared" si="40"/>
        <v/>
      </c>
      <c r="Z183" s="5"/>
      <c r="AA183" s="182" t="str">
        <f t="shared" si="41"/>
        <v/>
      </c>
      <c r="AB183" s="183" t="str">
        <f t="shared" si="42"/>
        <v/>
      </c>
      <c r="AC183" s="5"/>
      <c r="AD183" s="182" t="str">
        <f t="shared" si="43"/>
        <v/>
      </c>
      <c r="AE183" s="183" t="str">
        <f t="shared" si="44"/>
        <v/>
      </c>
      <c r="AF183" s="5"/>
      <c r="AG183" s="182" t="str">
        <f t="shared" si="45"/>
        <v/>
      </c>
      <c r="AH183" s="183" t="str">
        <f t="shared" si="46"/>
        <v/>
      </c>
      <c r="AI183" s="5"/>
      <c r="AJ183" s="183" t="str">
        <f t="shared" si="47"/>
        <v/>
      </c>
      <c r="AK183" s="183" t="str">
        <f t="shared" si="48"/>
        <v/>
      </c>
      <c r="AL183" s="5"/>
      <c r="AM183" s="183" t="str">
        <f t="shared" si="49"/>
        <v/>
      </c>
      <c r="AN183" s="183" t="str">
        <f t="shared" si="50"/>
        <v/>
      </c>
      <c r="AO183" s="184">
        <f t="shared" si="51"/>
        <v>0</v>
      </c>
      <c r="AP183" s="184">
        <f t="shared" si="52"/>
        <v>0</v>
      </c>
      <c r="AQ183" s="608" t="str">
        <f t="shared" si="53"/>
        <v/>
      </c>
      <c r="AR183" s="185" t="str">
        <f>IF(COUNTIF(K183:Q183,"F")&gt;0,"",IF(AQ183="PASS",'Statement of Marks'!HZ185,""))</f>
        <v/>
      </c>
      <c r="AS183" s="185" t="str">
        <f>IF(AQ183="PASS",'Statement of Marks'!IA185,"")</f>
        <v/>
      </c>
    </row>
    <row r="184" spans="1:45">
      <c r="A184" s="169">
        <f>IF('Statement of Marks'!A186="","",'Statement of Marks'!A186)</f>
        <v>180</v>
      </c>
      <c r="B184" s="169" t="str">
        <f>IF('Statement of Marks'!B186="","",'Statement of Marks'!B186)</f>
        <v/>
      </c>
      <c r="C184" s="169" t="str">
        <f>IF('Statement of Marks'!D186="","",'Statement of Marks'!D186)</f>
        <v/>
      </c>
      <c r="D184" s="170" t="str">
        <f>IF('Statement of Marks'!E186="","",'Statement of Marks'!E186)</f>
        <v/>
      </c>
      <c r="E184" s="171" t="str">
        <f>IF('Statement of Marks'!F186="","",'Statement of Marks'!F186)</f>
        <v/>
      </c>
      <c r="F184" s="171" t="str">
        <f>IF('Statement of Marks'!G186="","",'Statement of Marks'!G186)</f>
        <v/>
      </c>
      <c r="G184" s="171" t="str">
        <f>IF('Statement of Marks'!H186="","",'Statement of Marks'!H186)</f>
        <v/>
      </c>
      <c r="H184" s="172" t="str">
        <f>IF('Statement of Marks'!HS186="","",'Statement of Marks'!HS186)</f>
        <v/>
      </c>
      <c r="I184" s="172" t="str">
        <f>IF('Statement of Marks'!HV186="","",'Statement of Marks'!HV186)</f>
        <v/>
      </c>
      <c r="J184" s="173" t="str">
        <f>IF('Statement of Marks'!HU186="","",'Statement of Marks'!HU186)</f>
        <v/>
      </c>
      <c r="K184" s="181" t="str">
        <f>'Statement of Marks'!GN186</f>
        <v/>
      </c>
      <c r="L184" s="181" t="str">
        <f>'Statement of Marks'!GQ186</f>
        <v/>
      </c>
      <c r="M184" s="181" t="str">
        <f>'Statement of Marks'!GT186</f>
        <v/>
      </c>
      <c r="N184" s="181" t="str">
        <f>'Statement of Marks'!HB186</f>
        <v/>
      </c>
      <c r="O184" s="181" t="str">
        <f>'Statement of Marks'!HE186</f>
        <v/>
      </c>
      <c r="P184" s="181" t="str">
        <f>'Statement of Marks'!HH186</f>
        <v/>
      </c>
      <c r="Q184" s="181" t="str">
        <f>'Statement of Marks'!HK186</f>
        <v/>
      </c>
      <c r="R184" s="173" t="str">
        <f>IF(COUNTIF(K184:Q184,"F")&gt;0,"",CONCATENATE('Statement of Marks'!HO186,'Statement of Marks'!HQ186))</f>
        <v xml:space="preserve">            </v>
      </c>
      <c r="S184" s="174">
        <f t="shared" si="36"/>
        <v>0</v>
      </c>
      <c r="T184" s="5"/>
      <c r="U184" s="182" t="str">
        <f t="shared" si="37"/>
        <v/>
      </c>
      <c r="V184" s="182" t="str">
        <f t="shared" si="38"/>
        <v/>
      </c>
      <c r="W184" s="5"/>
      <c r="X184" s="182" t="str">
        <f t="shared" si="39"/>
        <v/>
      </c>
      <c r="Y184" s="182" t="str">
        <f t="shared" si="40"/>
        <v/>
      </c>
      <c r="Z184" s="5"/>
      <c r="AA184" s="182" t="str">
        <f t="shared" si="41"/>
        <v/>
      </c>
      <c r="AB184" s="183" t="str">
        <f t="shared" si="42"/>
        <v/>
      </c>
      <c r="AC184" s="5"/>
      <c r="AD184" s="182" t="str">
        <f t="shared" si="43"/>
        <v/>
      </c>
      <c r="AE184" s="183" t="str">
        <f t="shared" si="44"/>
        <v/>
      </c>
      <c r="AF184" s="5"/>
      <c r="AG184" s="182" t="str">
        <f t="shared" si="45"/>
        <v/>
      </c>
      <c r="AH184" s="183" t="str">
        <f t="shared" si="46"/>
        <v/>
      </c>
      <c r="AI184" s="5"/>
      <c r="AJ184" s="183" t="str">
        <f t="shared" si="47"/>
        <v/>
      </c>
      <c r="AK184" s="183" t="str">
        <f t="shared" si="48"/>
        <v/>
      </c>
      <c r="AL184" s="5"/>
      <c r="AM184" s="183" t="str">
        <f t="shared" si="49"/>
        <v/>
      </c>
      <c r="AN184" s="183" t="str">
        <f t="shared" si="50"/>
        <v/>
      </c>
      <c r="AO184" s="184">
        <f t="shared" si="51"/>
        <v>0</v>
      </c>
      <c r="AP184" s="184">
        <f t="shared" si="52"/>
        <v>0</v>
      </c>
      <c r="AQ184" s="608" t="str">
        <f t="shared" si="53"/>
        <v/>
      </c>
      <c r="AR184" s="185" t="str">
        <f>IF(COUNTIF(K184:Q184,"F")&gt;0,"",IF(AQ184="PASS",'Statement of Marks'!HZ186,""))</f>
        <v/>
      </c>
      <c r="AS184" s="185" t="str">
        <f>IF(AQ184="PASS",'Statement of Marks'!IA186,"")</f>
        <v/>
      </c>
    </row>
    <row r="185" spans="1:45">
      <c r="A185" s="169">
        <f>IF('Statement of Marks'!A187="","",'Statement of Marks'!A187)</f>
        <v>181</v>
      </c>
      <c r="B185" s="169" t="str">
        <f>IF('Statement of Marks'!B187="","",'Statement of Marks'!B187)</f>
        <v/>
      </c>
      <c r="C185" s="169" t="str">
        <f>IF('Statement of Marks'!D187="","",'Statement of Marks'!D187)</f>
        <v/>
      </c>
      <c r="D185" s="170" t="str">
        <f>IF('Statement of Marks'!E187="","",'Statement of Marks'!E187)</f>
        <v/>
      </c>
      <c r="E185" s="171" t="str">
        <f>IF('Statement of Marks'!F187="","",'Statement of Marks'!F187)</f>
        <v/>
      </c>
      <c r="F185" s="171" t="str">
        <f>IF('Statement of Marks'!G187="","",'Statement of Marks'!G187)</f>
        <v/>
      </c>
      <c r="G185" s="171" t="str">
        <f>IF('Statement of Marks'!H187="","",'Statement of Marks'!H187)</f>
        <v/>
      </c>
      <c r="H185" s="172" t="str">
        <f>IF('Statement of Marks'!HS187="","",'Statement of Marks'!HS187)</f>
        <v/>
      </c>
      <c r="I185" s="172" t="str">
        <f>IF('Statement of Marks'!HV187="","",'Statement of Marks'!HV187)</f>
        <v/>
      </c>
      <c r="J185" s="173" t="str">
        <f>IF('Statement of Marks'!HU187="","",'Statement of Marks'!HU187)</f>
        <v/>
      </c>
      <c r="K185" s="181" t="str">
        <f>'Statement of Marks'!GN187</f>
        <v/>
      </c>
      <c r="L185" s="181" t="str">
        <f>'Statement of Marks'!GQ187</f>
        <v/>
      </c>
      <c r="M185" s="181" t="str">
        <f>'Statement of Marks'!GT187</f>
        <v/>
      </c>
      <c r="N185" s="181" t="str">
        <f>'Statement of Marks'!HB187</f>
        <v/>
      </c>
      <c r="O185" s="181" t="str">
        <f>'Statement of Marks'!HE187</f>
        <v/>
      </c>
      <c r="P185" s="181" t="str">
        <f>'Statement of Marks'!HH187</f>
        <v/>
      </c>
      <c r="Q185" s="181" t="str">
        <f>'Statement of Marks'!HK187</f>
        <v/>
      </c>
      <c r="R185" s="173" t="str">
        <f>IF(COUNTIF(K185:Q185,"F")&gt;0,"",CONCATENATE('Statement of Marks'!HO187,'Statement of Marks'!HQ187))</f>
        <v xml:space="preserve">            </v>
      </c>
      <c r="S185" s="174">
        <f t="shared" si="36"/>
        <v>0</v>
      </c>
      <c r="T185" s="5"/>
      <c r="U185" s="182" t="str">
        <f t="shared" si="37"/>
        <v/>
      </c>
      <c r="V185" s="182" t="str">
        <f t="shared" si="38"/>
        <v/>
      </c>
      <c r="W185" s="5"/>
      <c r="X185" s="182" t="str">
        <f t="shared" si="39"/>
        <v/>
      </c>
      <c r="Y185" s="182" t="str">
        <f t="shared" si="40"/>
        <v/>
      </c>
      <c r="Z185" s="5"/>
      <c r="AA185" s="182" t="str">
        <f t="shared" si="41"/>
        <v/>
      </c>
      <c r="AB185" s="183" t="str">
        <f t="shared" si="42"/>
        <v/>
      </c>
      <c r="AC185" s="5"/>
      <c r="AD185" s="182" t="str">
        <f t="shared" si="43"/>
        <v/>
      </c>
      <c r="AE185" s="183" t="str">
        <f t="shared" si="44"/>
        <v/>
      </c>
      <c r="AF185" s="5"/>
      <c r="AG185" s="182" t="str">
        <f t="shared" si="45"/>
        <v/>
      </c>
      <c r="AH185" s="183" t="str">
        <f t="shared" si="46"/>
        <v/>
      </c>
      <c r="AI185" s="5"/>
      <c r="AJ185" s="183" t="str">
        <f t="shared" si="47"/>
        <v/>
      </c>
      <c r="AK185" s="183" t="str">
        <f t="shared" si="48"/>
        <v/>
      </c>
      <c r="AL185" s="5"/>
      <c r="AM185" s="183" t="str">
        <f t="shared" si="49"/>
        <v/>
      </c>
      <c r="AN185" s="183" t="str">
        <f t="shared" si="50"/>
        <v/>
      </c>
      <c r="AO185" s="184">
        <f t="shared" si="51"/>
        <v>0</v>
      </c>
      <c r="AP185" s="184">
        <f t="shared" si="52"/>
        <v>0</v>
      </c>
      <c r="AQ185" s="608" t="str">
        <f t="shared" si="53"/>
        <v/>
      </c>
      <c r="AR185" s="185" t="str">
        <f>IF(COUNTIF(K185:Q185,"F")&gt;0,"",IF(AQ185="PASS",'Statement of Marks'!HZ187,""))</f>
        <v/>
      </c>
      <c r="AS185" s="185" t="str">
        <f>IF(AQ185="PASS",'Statement of Marks'!IA187,"")</f>
        <v/>
      </c>
    </row>
    <row r="186" spans="1:45">
      <c r="A186" s="169">
        <f>IF('Statement of Marks'!A188="","",'Statement of Marks'!A188)</f>
        <v>182</v>
      </c>
      <c r="B186" s="169" t="str">
        <f>IF('Statement of Marks'!B188="","",'Statement of Marks'!B188)</f>
        <v/>
      </c>
      <c r="C186" s="169" t="str">
        <f>IF('Statement of Marks'!D188="","",'Statement of Marks'!D188)</f>
        <v/>
      </c>
      <c r="D186" s="170" t="str">
        <f>IF('Statement of Marks'!E188="","",'Statement of Marks'!E188)</f>
        <v/>
      </c>
      <c r="E186" s="171" t="str">
        <f>IF('Statement of Marks'!F188="","",'Statement of Marks'!F188)</f>
        <v/>
      </c>
      <c r="F186" s="171" t="str">
        <f>IF('Statement of Marks'!G188="","",'Statement of Marks'!G188)</f>
        <v/>
      </c>
      <c r="G186" s="171" t="str">
        <f>IF('Statement of Marks'!H188="","",'Statement of Marks'!H188)</f>
        <v/>
      </c>
      <c r="H186" s="172" t="str">
        <f>IF('Statement of Marks'!HS188="","",'Statement of Marks'!HS188)</f>
        <v/>
      </c>
      <c r="I186" s="172" t="str">
        <f>IF('Statement of Marks'!HV188="","",'Statement of Marks'!HV188)</f>
        <v/>
      </c>
      <c r="J186" s="173" t="str">
        <f>IF('Statement of Marks'!HU188="","",'Statement of Marks'!HU188)</f>
        <v/>
      </c>
      <c r="K186" s="181" t="str">
        <f>'Statement of Marks'!GN188</f>
        <v/>
      </c>
      <c r="L186" s="181" t="str">
        <f>'Statement of Marks'!GQ188</f>
        <v/>
      </c>
      <c r="M186" s="181" t="str">
        <f>'Statement of Marks'!GT188</f>
        <v/>
      </c>
      <c r="N186" s="181" t="str">
        <f>'Statement of Marks'!HB188</f>
        <v/>
      </c>
      <c r="O186" s="181" t="str">
        <f>'Statement of Marks'!HE188</f>
        <v/>
      </c>
      <c r="P186" s="181" t="str">
        <f>'Statement of Marks'!HH188</f>
        <v/>
      </c>
      <c r="Q186" s="181" t="str">
        <f>'Statement of Marks'!HK188</f>
        <v/>
      </c>
      <c r="R186" s="173" t="str">
        <f>IF(COUNTIF(K186:Q186,"F")&gt;0,"",CONCATENATE('Statement of Marks'!HO188,'Statement of Marks'!HQ188))</f>
        <v xml:space="preserve">            </v>
      </c>
      <c r="S186" s="174">
        <f t="shared" si="36"/>
        <v>0</v>
      </c>
      <c r="T186" s="5"/>
      <c r="U186" s="182" t="str">
        <f t="shared" si="37"/>
        <v/>
      </c>
      <c r="V186" s="182" t="str">
        <f t="shared" si="38"/>
        <v/>
      </c>
      <c r="W186" s="5"/>
      <c r="X186" s="182" t="str">
        <f t="shared" si="39"/>
        <v/>
      </c>
      <c r="Y186" s="182" t="str">
        <f t="shared" si="40"/>
        <v/>
      </c>
      <c r="Z186" s="5"/>
      <c r="AA186" s="182" t="str">
        <f t="shared" si="41"/>
        <v/>
      </c>
      <c r="AB186" s="183" t="str">
        <f t="shared" si="42"/>
        <v/>
      </c>
      <c r="AC186" s="5"/>
      <c r="AD186" s="182" t="str">
        <f t="shared" si="43"/>
        <v/>
      </c>
      <c r="AE186" s="183" t="str">
        <f t="shared" si="44"/>
        <v/>
      </c>
      <c r="AF186" s="5"/>
      <c r="AG186" s="182" t="str">
        <f t="shared" si="45"/>
        <v/>
      </c>
      <c r="AH186" s="183" t="str">
        <f t="shared" si="46"/>
        <v/>
      </c>
      <c r="AI186" s="5"/>
      <c r="AJ186" s="183" t="str">
        <f t="shared" si="47"/>
        <v/>
      </c>
      <c r="AK186" s="183" t="str">
        <f t="shared" si="48"/>
        <v/>
      </c>
      <c r="AL186" s="5"/>
      <c r="AM186" s="183" t="str">
        <f t="shared" si="49"/>
        <v/>
      </c>
      <c r="AN186" s="183" t="str">
        <f t="shared" si="50"/>
        <v/>
      </c>
      <c r="AO186" s="184">
        <f t="shared" si="51"/>
        <v>0</v>
      </c>
      <c r="AP186" s="184">
        <f t="shared" si="52"/>
        <v>0</v>
      </c>
      <c r="AQ186" s="608" t="str">
        <f t="shared" si="53"/>
        <v/>
      </c>
      <c r="AR186" s="185" t="str">
        <f>IF(COUNTIF(K186:Q186,"F")&gt;0,"",IF(AQ186="PASS",'Statement of Marks'!HZ188,""))</f>
        <v/>
      </c>
      <c r="AS186" s="185" t="str">
        <f>IF(AQ186="PASS",'Statement of Marks'!IA188,"")</f>
        <v/>
      </c>
    </row>
    <row r="187" spans="1:45">
      <c r="A187" s="169">
        <f>IF('Statement of Marks'!A189="","",'Statement of Marks'!A189)</f>
        <v>183</v>
      </c>
      <c r="B187" s="169" t="str">
        <f>IF('Statement of Marks'!B189="","",'Statement of Marks'!B189)</f>
        <v/>
      </c>
      <c r="C187" s="169" t="str">
        <f>IF('Statement of Marks'!D189="","",'Statement of Marks'!D189)</f>
        <v/>
      </c>
      <c r="D187" s="170" t="str">
        <f>IF('Statement of Marks'!E189="","",'Statement of Marks'!E189)</f>
        <v/>
      </c>
      <c r="E187" s="171" t="str">
        <f>IF('Statement of Marks'!F189="","",'Statement of Marks'!F189)</f>
        <v/>
      </c>
      <c r="F187" s="171" t="str">
        <f>IF('Statement of Marks'!G189="","",'Statement of Marks'!G189)</f>
        <v/>
      </c>
      <c r="G187" s="171" t="str">
        <f>IF('Statement of Marks'!H189="","",'Statement of Marks'!H189)</f>
        <v/>
      </c>
      <c r="H187" s="172" t="str">
        <f>IF('Statement of Marks'!HS189="","",'Statement of Marks'!HS189)</f>
        <v/>
      </c>
      <c r="I187" s="172" t="str">
        <f>IF('Statement of Marks'!HV189="","",'Statement of Marks'!HV189)</f>
        <v/>
      </c>
      <c r="J187" s="173" t="str">
        <f>IF('Statement of Marks'!HU189="","",'Statement of Marks'!HU189)</f>
        <v/>
      </c>
      <c r="K187" s="181" t="str">
        <f>'Statement of Marks'!GN189</f>
        <v/>
      </c>
      <c r="L187" s="181" t="str">
        <f>'Statement of Marks'!GQ189</f>
        <v/>
      </c>
      <c r="M187" s="181" t="str">
        <f>'Statement of Marks'!GT189</f>
        <v/>
      </c>
      <c r="N187" s="181" t="str">
        <f>'Statement of Marks'!HB189</f>
        <v/>
      </c>
      <c r="O187" s="181" t="str">
        <f>'Statement of Marks'!HE189</f>
        <v/>
      </c>
      <c r="P187" s="181" t="str">
        <f>'Statement of Marks'!HH189</f>
        <v/>
      </c>
      <c r="Q187" s="181" t="str">
        <f>'Statement of Marks'!HK189</f>
        <v/>
      </c>
      <c r="R187" s="173" t="str">
        <f>IF(COUNTIF(K187:Q187,"F")&gt;0,"",CONCATENATE('Statement of Marks'!HO189,'Statement of Marks'!HQ189))</f>
        <v xml:space="preserve">            </v>
      </c>
      <c r="S187" s="174">
        <f t="shared" si="36"/>
        <v>0</v>
      </c>
      <c r="T187" s="5"/>
      <c r="U187" s="182" t="str">
        <f t="shared" si="37"/>
        <v/>
      </c>
      <c r="V187" s="182" t="str">
        <f t="shared" si="38"/>
        <v/>
      </c>
      <c r="W187" s="5"/>
      <c r="X187" s="182" t="str">
        <f t="shared" si="39"/>
        <v/>
      </c>
      <c r="Y187" s="182" t="str">
        <f t="shared" si="40"/>
        <v/>
      </c>
      <c r="Z187" s="5"/>
      <c r="AA187" s="182" t="str">
        <f t="shared" si="41"/>
        <v/>
      </c>
      <c r="AB187" s="183" t="str">
        <f t="shared" si="42"/>
        <v/>
      </c>
      <c r="AC187" s="5"/>
      <c r="AD187" s="182" t="str">
        <f t="shared" si="43"/>
        <v/>
      </c>
      <c r="AE187" s="183" t="str">
        <f t="shared" si="44"/>
        <v/>
      </c>
      <c r="AF187" s="5"/>
      <c r="AG187" s="182" t="str">
        <f t="shared" si="45"/>
        <v/>
      </c>
      <c r="AH187" s="183" t="str">
        <f t="shared" si="46"/>
        <v/>
      </c>
      <c r="AI187" s="5"/>
      <c r="AJ187" s="183" t="str">
        <f t="shared" si="47"/>
        <v/>
      </c>
      <c r="AK187" s="183" t="str">
        <f t="shared" si="48"/>
        <v/>
      </c>
      <c r="AL187" s="5"/>
      <c r="AM187" s="183" t="str">
        <f t="shared" si="49"/>
        <v/>
      </c>
      <c r="AN187" s="183" t="str">
        <f t="shared" si="50"/>
        <v/>
      </c>
      <c r="AO187" s="184">
        <f t="shared" si="51"/>
        <v>0</v>
      </c>
      <c r="AP187" s="184">
        <f t="shared" si="52"/>
        <v>0</v>
      </c>
      <c r="AQ187" s="608" t="str">
        <f t="shared" si="53"/>
        <v/>
      </c>
      <c r="AR187" s="185" t="str">
        <f>IF(COUNTIF(K187:Q187,"F")&gt;0,"",IF(AQ187="PASS",'Statement of Marks'!HZ189,""))</f>
        <v/>
      </c>
      <c r="AS187" s="185" t="str">
        <f>IF(AQ187="PASS",'Statement of Marks'!IA189,"")</f>
        <v/>
      </c>
    </row>
    <row r="188" spans="1:45">
      <c r="A188" s="169">
        <f>IF('Statement of Marks'!A190="","",'Statement of Marks'!A190)</f>
        <v>184</v>
      </c>
      <c r="B188" s="169" t="str">
        <f>IF('Statement of Marks'!B190="","",'Statement of Marks'!B190)</f>
        <v/>
      </c>
      <c r="C188" s="169" t="str">
        <f>IF('Statement of Marks'!D190="","",'Statement of Marks'!D190)</f>
        <v/>
      </c>
      <c r="D188" s="170" t="str">
        <f>IF('Statement of Marks'!E190="","",'Statement of Marks'!E190)</f>
        <v/>
      </c>
      <c r="E188" s="171" t="str">
        <f>IF('Statement of Marks'!F190="","",'Statement of Marks'!F190)</f>
        <v/>
      </c>
      <c r="F188" s="171" t="str">
        <f>IF('Statement of Marks'!G190="","",'Statement of Marks'!G190)</f>
        <v/>
      </c>
      <c r="G188" s="171" t="str">
        <f>IF('Statement of Marks'!H190="","",'Statement of Marks'!H190)</f>
        <v/>
      </c>
      <c r="H188" s="172" t="str">
        <f>IF('Statement of Marks'!HS190="","",'Statement of Marks'!HS190)</f>
        <v/>
      </c>
      <c r="I188" s="172" t="str">
        <f>IF('Statement of Marks'!HV190="","",'Statement of Marks'!HV190)</f>
        <v/>
      </c>
      <c r="J188" s="173" t="str">
        <f>IF('Statement of Marks'!HU190="","",'Statement of Marks'!HU190)</f>
        <v/>
      </c>
      <c r="K188" s="181" t="str">
        <f>'Statement of Marks'!GN190</f>
        <v/>
      </c>
      <c r="L188" s="181" t="str">
        <f>'Statement of Marks'!GQ190</f>
        <v/>
      </c>
      <c r="M188" s="181" t="str">
        <f>'Statement of Marks'!GT190</f>
        <v/>
      </c>
      <c r="N188" s="181" t="str">
        <f>'Statement of Marks'!HB190</f>
        <v/>
      </c>
      <c r="O188" s="181" t="str">
        <f>'Statement of Marks'!HE190</f>
        <v/>
      </c>
      <c r="P188" s="181" t="str">
        <f>'Statement of Marks'!HH190</f>
        <v/>
      </c>
      <c r="Q188" s="181" t="str">
        <f>'Statement of Marks'!HK190</f>
        <v/>
      </c>
      <c r="R188" s="173" t="str">
        <f>IF(COUNTIF(K188:Q188,"F")&gt;0,"",CONCATENATE('Statement of Marks'!HO190,'Statement of Marks'!HQ190))</f>
        <v xml:space="preserve">            </v>
      </c>
      <c r="S188" s="174">
        <f t="shared" si="36"/>
        <v>0</v>
      </c>
      <c r="T188" s="5"/>
      <c r="U188" s="182" t="str">
        <f t="shared" si="37"/>
        <v/>
      </c>
      <c r="V188" s="182" t="str">
        <f t="shared" si="38"/>
        <v/>
      </c>
      <c r="W188" s="5"/>
      <c r="X188" s="182" t="str">
        <f t="shared" si="39"/>
        <v/>
      </c>
      <c r="Y188" s="182" t="str">
        <f t="shared" si="40"/>
        <v/>
      </c>
      <c r="Z188" s="5"/>
      <c r="AA188" s="182" t="str">
        <f t="shared" si="41"/>
        <v/>
      </c>
      <c r="AB188" s="183" t="str">
        <f t="shared" si="42"/>
        <v/>
      </c>
      <c r="AC188" s="5"/>
      <c r="AD188" s="182" t="str">
        <f t="shared" si="43"/>
        <v/>
      </c>
      <c r="AE188" s="183" t="str">
        <f t="shared" si="44"/>
        <v/>
      </c>
      <c r="AF188" s="5"/>
      <c r="AG188" s="182" t="str">
        <f t="shared" si="45"/>
        <v/>
      </c>
      <c r="AH188" s="183" t="str">
        <f t="shared" si="46"/>
        <v/>
      </c>
      <c r="AI188" s="5"/>
      <c r="AJ188" s="183" t="str">
        <f t="shared" si="47"/>
        <v/>
      </c>
      <c r="AK188" s="183" t="str">
        <f t="shared" si="48"/>
        <v/>
      </c>
      <c r="AL188" s="5"/>
      <c r="AM188" s="183" t="str">
        <f t="shared" si="49"/>
        <v/>
      </c>
      <c r="AN188" s="183" t="str">
        <f t="shared" si="50"/>
        <v/>
      </c>
      <c r="AO188" s="184">
        <f t="shared" si="51"/>
        <v>0</v>
      </c>
      <c r="AP188" s="184">
        <f t="shared" si="52"/>
        <v>0</v>
      </c>
      <c r="AQ188" s="608" t="str">
        <f t="shared" si="53"/>
        <v/>
      </c>
      <c r="AR188" s="185" t="str">
        <f>IF(COUNTIF(K188:Q188,"F")&gt;0,"",IF(AQ188="PASS",'Statement of Marks'!HZ190,""))</f>
        <v/>
      </c>
      <c r="AS188" s="185" t="str">
        <f>IF(AQ188="PASS",'Statement of Marks'!IA190,"")</f>
        <v/>
      </c>
    </row>
    <row r="189" spans="1:45">
      <c r="A189" s="169">
        <f>IF('Statement of Marks'!A191="","",'Statement of Marks'!A191)</f>
        <v>185</v>
      </c>
      <c r="B189" s="169" t="str">
        <f>IF('Statement of Marks'!B191="","",'Statement of Marks'!B191)</f>
        <v/>
      </c>
      <c r="C189" s="169" t="str">
        <f>IF('Statement of Marks'!D191="","",'Statement of Marks'!D191)</f>
        <v/>
      </c>
      <c r="D189" s="170" t="str">
        <f>IF('Statement of Marks'!E191="","",'Statement of Marks'!E191)</f>
        <v/>
      </c>
      <c r="E189" s="171" t="str">
        <f>IF('Statement of Marks'!F191="","",'Statement of Marks'!F191)</f>
        <v/>
      </c>
      <c r="F189" s="171" t="str">
        <f>IF('Statement of Marks'!G191="","",'Statement of Marks'!G191)</f>
        <v/>
      </c>
      <c r="G189" s="171" t="str">
        <f>IF('Statement of Marks'!H191="","",'Statement of Marks'!H191)</f>
        <v/>
      </c>
      <c r="H189" s="172" t="str">
        <f>IF('Statement of Marks'!HS191="","",'Statement of Marks'!HS191)</f>
        <v/>
      </c>
      <c r="I189" s="172" t="str">
        <f>IF('Statement of Marks'!HV191="","",'Statement of Marks'!HV191)</f>
        <v/>
      </c>
      <c r="J189" s="173" t="str">
        <f>IF('Statement of Marks'!HU191="","",'Statement of Marks'!HU191)</f>
        <v/>
      </c>
      <c r="K189" s="181" t="str">
        <f>'Statement of Marks'!GN191</f>
        <v/>
      </c>
      <c r="L189" s="181" t="str">
        <f>'Statement of Marks'!GQ191</f>
        <v/>
      </c>
      <c r="M189" s="181" t="str">
        <f>'Statement of Marks'!GT191</f>
        <v/>
      </c>
      <c r="N189" s="181" t="str">
        <f>'Statement of Marks'!HB191</f>
        <v/>
      </c>
      <c r="O189" s="181" t="str">
        <f>'Statement of Marks'!HE191</f>
        <v/>
      </c>
      <c r="P189" s="181" t="str">
        <f>'Statement of Marks'!HH191</f>
        <v/>
      </c>
      <c r="Q189" s="181" t="str">
        <f>'Statement of Marks'!HK191</f>
        <v/>
      </c>
      <c r="R189" s="173" t="str">
        <f>IF(COUNTIF(K189:Q189,"F")&gt;0,"",CONCATENATE('Statement of Marks'!HO191,'Statement of Marks'!HQ191))</f>
        <v xml:space="preserve">            </v>
      </c>
      <c r="S189" s="174">
        <f t="shared" si="36"/>
        <v>0</v>
      </c>
      <c r="T189" s="5"/>
      <c r="U189" s="182" t="str">
        <f t="shared" si="37"/>
        <v/>
      </c>
      <c r="V189" s="182" t="str">
        <f t="shared" si="38"/>
        <v/>
      </c>
      <c r="W189" s="5"/>
      <c r="X189" s="182" t="str">
        <f t="shared" si="39"/>
        <v/>
      </c>
      <c r="Y189" s="182" t="str">
        <f t="shared" si="40"/>
        <v/>
      </c>
      <c r="Z189" s="5"/>
      <c r="AA189" s="182" t="str">
        <f t="shared" si="41"/>
        <v/>
      </c>
      <c r="AB189" s="183" t="str">
        <f t="shared" si="42"/>
        <v/>
      </c>
      <c r="AC189" s="5"/>
      <c r="AD189" s="182" t="str">
        <f t="shared" si="43"/>
        <v/>
      </c>
      <c r="AE189" s="183" t="str">
        <f t="shared" si="44"/>
        <v/>
      </c>
      <c r="AF189" s="5"/>
      <c r="AG189" s="182" t="str">
        <f t="shared" si="45"/>
        <v/>
      </c>
      <c r="AH189" s="183" t="str">
        <f t="shared" si="46"/>
        <v/>
      </c>
      <c r="AI189" s="5"/>
      <c r="AJ189" s="183" t="str">
        <f t="shared" si="47"/>
        <v/>
      </c>
      <c r="AK189" s="183" t="str">
        <f t="shared" si="48"/>
        <v/>
      </c>
      <c r="AL189" s="5"/>
      <c r="AM189" s="183" t="str">
        <f t="shared" si="49"/>
        <v/>
      </c>
      <c r="AN189" s="183" t="str">
        <f t="shared" si="50"/>
        <v/>
      </c>
      <c r="AO189" s="184">
        <f t="shared" si="51"/>
        <v>0</v>
      </c>
      <c r="AP189" s="184">
        <f t="shared" si="52"/>
        <v>0</v>
      </c>
      <c r="AQ189" s="608" t="str">
        <f t="shared" si="53"/>
        <v/>
      </c>
      <c r="AR189" s="185" t="str">
        <f>IF(COUNTIF(K189:Q189,"F")&gt;0,"",IF(AQ189="PASS",'Statement of Marks'!HZ191,""))</f>
        <v/>
      </c>
      <c r="AS189" s="185" t="str">
        <f>IF(AQ189="PASS",'Statement of Marks'!IA191,"")</f>
        <v/>
      </c>
    </row>
    <row r="190" spans="1:45">
      <c r="A190" s="169">
        <f>IF('Statement of Marks'!A192="","",'Statement of Marks'!A192)</f>
        <v>186</v>
      </c>
      <c r="B190" s="169" t="str">
        <f>IF('Statement of Marks'!B192="","",'Statement of Marks'!B192)</f>
        <v/>
      </c>
      <c r="C190" s="169" t="str">
        <f>IF('Statement of Marks'!D192="","",'Statement of Marks'!D192)</f>
        <v/>
      </c>
      <c r="D190" s="170" t="str">
        <f>IF('Statement of Marks'!E192="","",'Statement of Marks'!E192)</f>
        <v/>
      </c>
      <c r="E190" s="171" t="str">
        <f>IF('Statement of Marks'!F192="","",'Statement of Marks'!F192)</f>
        <v/>
      </c>
      <c r="F190" s="171" t="str">
        <f>IF('Statement of Marks'!G192="","",'Statement of Marks'!G192)</f>
        <v/>
      </c>
      <c r="G190" s="171" t="str">
        <f>IF('Statement of Marks'!H192="","",'Statement of Marks'!H192)</f>
        <v/>
      </c>
      <c r="H190" s="172" t="str">
        <f>IF('Statement of Marks'!HS192="","",'Statement of Marks'!HS192)</f>
        <v/>
      </c>
      <c r="I190" s="172" t="str">
        <f>IF('Statement of Marks'!HV192="","",'Statement of Marks'!HV192)</f>
        <v/>
      </c>
      <c r="J190" s="173" t="str">
        <f>IF('Statement of Marks'!HU192="","",'Statement of Marks'!HU192)</f>
        <v/>
      </c>
      <c r="K190" s="181" t="str">
        <f>'Statement of Marks'!GN192</f>
        <v/>
      </c>
      <c r="L190" s="181" t="str">
        <f>'Statement of Marks'!GQ192</f>
        <v/>
      </c>
      <c r="M190" s="181" t="str">
        <f>'Statement of Marks'!GT192</f>
        <v/>
      </c>
      <c r="N190" s="181" t="str">
        <f>'Statement of Marks'!HB192</f>
        <v/>
      </c>
      <c r="O190" s="181" t="str">
        <f>'Statement of Marks'!HE192</f>
        <v/>
      </c>
      <c r="P190" s="181" t="str">
        <f>'Statement of Marks'!HH192</f>
        <v/>
      </c>
      <c r="Q190" s="181" t="str">
        <f>'Statement of Marks'!HK192</f>
        <v/>
      </c>
      <c r="R190" s="173" t="str">
        <f>IF(COUNTIF(K190:Q190,"F")&gt;0,"",CONCATENATE('Statement of Marks'!HO192,'Statement of Marks'!HQ192))</f>
        <v xml:space="preserve">            </v>
      </c>
      <c r="S190" s="174">
        <f t="shared" si="36"/>
        <v>0</v>
      </c>
      <c r="T190" s="5"/>
      <c r="U190" s="182" t="str">
        <f t="shared" si="37"/>
        <v/>
      </c>
      <c r="V190" s="182" t="str">
        <f t="shared" si="38"/>
        <v/>
      </c>
      <c r="W190" s="5"/>
      <c r="X190" s="182" t="str">
        <f t="shared" si="39"/>
        <v/>
      </c>
      <c r="Y190" s="182" t="str">
        <f t="shared" si="40"/>
        <v/>
      </c>
      <c r="Z190" s="5"/>
      <c r="AA190" s="182" t="str">
        <f t="shared" si="41"/>
        <v/>
      </c>
      <c r="AB190" s="183" t="str">
        <f t="shared" si="42"/>
        <v/>
      </c>
      <c r="AC190" s="5"/>
      <c r="AD190" s="182" t="str">
        <f t="shared" si="43"/>
        <v/>
      </c>
      <c r="AE190" s="183" t="str">
        <f t="shared" si="44"/>
        <v/>
      </c>
      <c r="AF190" s="5"/>
      <c r="AG190" s="182" t="str">
        <f t="shared" si="45"/>
        <v/>
      </c>
      <c r="AH190" s="183" t="str">
        <f t="shared" si="46"/>
        <v/>
      </c>
      <c r="AI190" s="5"/>
      <c r="AJ190" s="183" t="str">
        <f t="shared" si="47"/>
        <v/>
      </c>
      <c r="AK190" s="183" t="str">
        <f t="shared" si="48"/>
        <v/>
      </c>
      <c r="AL190" s="5"/>
      <c r="AM190" s="183" t="str">
        <f t="shared" si="49"/>
        <v/>
      </c>
      <c r="AN190" s="183" t="str">
        <f t="shared" si="50"/>
        <v/>
      </c>
      <c r="AO190" s="184">
        <f t="shared" si="51"/>
        <v>0</v>
      </c>
      <c r="AP190" s="184">
        <f t="shared" si="52"/>
        <v>0</v>
      </c>
      <c r="AQ190" s="608" t="str">
        <f t="shared" si="53"/>
        <v/>
      </c>
      <c r="AR190" s="185" t="str">
        <f>IF(COUNTIF(K190:Q190,"F")&gt;0,"",IF(AQ190="PASS",'Statement of Marks'!HZ192,""))</f>
        <v/>
      </c>
      <c r="AS190" s="185" t="str">
        <f>IF(AQ190="PASS",'Statement of Marks'!IA192,"")</f>
        <v/>
      </c>
    </row>
    <row r="191" spans="1:45">
      <c r="A191" s="169">
        <f>IF('Statement of Marks'!A193="","",'Statement of Marks'!A193)</f>
        <v>187</v>
      </c>
      <c r="B191" s="169" t="str">
        <f>IF('Statement of Marks'!B193="","",'Statement of Marks'!B193)</f>
        <v/>
      </c>
      <c r="C191" s="169" t="str">
        <f>IF('Statement of Marks'!D193="","",'Statement of Marks'!D193)</f>
        <v/>
      </c>
      <c r="D191" s="170" t="str">
        <f>IF('Statement of Marks'!E193="","",'Statement of Marks'!E193)</f>
        <v/>
      </c>
      <c r="E191" s="171" t="str">
        <f>IF('Statement of Marks'!F193="","",'Statement of Marks'!F193)</f>
        <v/>
      </c>
      <c r="F191" s="171" t="str">
        <f>IF('Statement of Marks'!G193="","",'Statement of Marks'!G193)</f>
        <v/>
      </c>
      <c r="G191" s="171" t="str">
        <f>IF('Statement of Marks'!H193="","",'Statement of Marks'!H193)</f>
        <v/>
      </c>
      <c r="H191" s="172" t="str">
        <f>IF('Statement of Marks'!HS193="","",'Statement of Marks'!HS193)</f>
        <v/>
      </c>
      <c r="I191" s="172" t="str">
        <f>IF('Statement of Marks'!HV193="","",'Statement of Marks'!HV193)</f>
        <v/>
      </c>
      <c r="J191" s="173" t="str">
        <f>IF('Statement of Marks'!HU193="","",'Statement of Marks'!HU193)</f>
        <v/>
      </c>
      <c r="K191" s="181" t="str">
        <f>'Statement of Marks'!GN193</f>
        <v/>
      </c>
      <c r="L191" s="181" t="str">
        <f>'Statement of Marks'!GQ193</f>
        <v/>
      </c>
      <c r="M191" s="181" t="str">
        <f>'Statement of Marks'!GT193</f>
        <v/>
      </c>
      <c r="N191" s="181" t="str">
        <f>'Statement of Marks'!HB193</f>
        <v/>
      </c>
      <c r="O191" s="181" t="str">
        <f>'Statement of Marks'!HE193</f>
        <v/>
      </c>
      <c r="P191" s="181" t="str">
        <f>'Statement of Marks'!HH193</f>
        <v/>
      </c>
      <c r="Q191" s="181" t="str">
        <f>'Statement of Marks'!HK193</f>
        <v/>
      </c>
      <c r="R191" s="173" t="str">
        <f>IF(COUNTIF(K191:Q191,"F")&gt;0,"",CONCATENATE('Statement of Marks'!HO193,'Statement of Marks'!HQ193))</f>
        <v xml:space="preserve">            </v>
      </c>
      <c r="S191" s="174">
        <f t="shared" si="36"/>
        <v>0</v>
      </c>
      <c r="T191" s="5"/>
      <c r="U191" s="182" t="str">
        <f t="shared" si="37"/>
        <v/>
      </c>
      <c r="V191" s="182" t="str">
        <f t="shared" si="38"/>
        <v/>
      </c>
      <c r="W191" s="5"/>
      <c r="X191" s="182" t="str">
        <f t="shared" si="39"/>
        <v/>
      </c>
      <c r="Y191" s="182" t="str">
        <f t="shared" si="40"/>
        <v/>
      </c>
      <c r="Z191" s="5"/>
      <c r="AA191" s="182" t="str">
        <f t="shared" si="41"/>
        <v/>
      </c>
      <c r="AB191" s="183" t="str">
        <f t="shared" si="42"/>
        <v/>
      </c>
      <c r="AC191" s="5"/>
      <c r="AD191" s="182" t="str">
        <f t="shared" si="43"/>
        <v/>
      </c>
      <c r="AE191" s="183" t="str">
        <f t="shared" si="44"/>
        <v/>
      </c>
      <c r="AF191" s="5"/>
      <c r="AG191" s="182" t="str">
        <f t="shared" si="45"/>
        <v/>
      </c>
      <c r="AH191" s="183" t="str">
        <f t="shared" si="46"/>
        <v/>
      </c>
      <c r="AI191" s="5"/>
      <c r="AJ191" s="183" t="str">
        <f t="shared" si="47"/>
        <v/>
      </c>
      <c r="AK191" s="183" t="str">
        <f t="shared" si="48"/>
        <v/>
      </c>
      <c r="AL191" s="5"/>
      <c r="AM191" s="183" t="str">
        <f t="shared" si="49"/>
        <v/>
      </c>
      <c r="AN191" s="183" t="str">
        <f t="shared" si="50"/>
        <v/>
      </c>
      <c r="AO191" s="184">
        <f t="shared" si="51"/>
        <v>0</v>
      </c>
      <c r="AP191" s="184">
        <f t="shared" si="52"/>
        <v>0</v>
      </c>
      <c r="AQ191" s="608" t="str">
        <f t="shared" si="53"/>
        <v/>
      </c>
      <c r="AR191" s="185" t="str">
        <f>IF(COUNTIF(K191:Q191,"F")&gt;0,"",IF(AQ191="PASS",'Statement of Marks'!HZ193,""))</f>
        <v/>
      </c>
      <c r="AS191" s="185" t="str">
        <f>IF(AQ191="PASS",'Statement of Marks'!IA193,"")</f>
        <v/>
      </c>
    </row>
    <row r="192" spans="1:45">
      <c r="A192" s="169">
        <f>IF('Statement of Marks'!A194="","",'Statement of Marks'!A194)</f>
        <v>188</v>
      </c>
      <c r="B192" s="169" t="str">
        <f>IF('Statement of Marks'!B194="","",'Statement of Marks'!B194)</f>
        <v/>
      </c>
      <c r="C192" s="169" t="str">
        <f>IF('Statement of Marks'!D194="","",'Statement of Marks'!D194)</f>
        <v/>
      </c>
      <c r="D192" s="170" t="str">
        <f>IF('Statement of Marks'!E194="","",'Statement of Marks'!E194)</f>
        <v/>
      </c>
      <c r="E192" s="171" t="str">
        <f>IF('Statement of Marks'!F194="","",'Statement of Marks'!F194)</f>
        <v/>
      </c>
      <c r="F192" s="171" t="str">
        <f>IF('Statement of Marks'!G194="","",'Statement of Marks'!G194)</f>
        <v/>
      </c>
      <c r="G192" s="171" t="str">
        <f>IF('Statement of Marks'!H194="","",'Statement of Marks'!H194)</f>
        <v/>
      </c>
      <c r="H192" s="172" t="str">
        <f>IF('Statement of Marks'!HS194="","",'Statement of Marks'!HS194)</f>
        <v/>
      </c>
      <c r="I192" s="172" t="str">
        <f>IF('Statement of Marks'!HV194="","",'Statement of Marks'!HV194)</f>
        <v/>
      </c>
      <c r="J192" s="173" t="str">
        <f>IF('Statement of Marks'!HU194="","",'Statement of Marks'!HU194)</f>
        <v/>
      </c>
      <c r="K192" s="181" t="str">
        <f>'Statement of Marks'!GN194</f>
        <v/>
      </c>
      <c r="L192" s="181" t="str">
        <f>'Statement of Marks'!GQ194</f>
        <v/>
      </c>
      <c r="M192" s="181" t="str">
        <f>'Statement of Marks'!GT194</f>
        <v/>
      </c>
      <c r="N192" s="181" t="str">
        <f>'Statement of Marks'!HB194</f>
        <v/>
      </c>
      <c r="O192" s="181" t="str">
        <f>'Statement of Marks'!HE194</f>
        <v/>
      </c>
      <c r="P192" s="181" t="str">
        <f>'Statement of Marks'!HH194</f>
        <v/>
      </c>
      <c r="Q192" s="181" t="str">
        <f>'Statement of Marks'!HK194</f>
        <v/>
      </c>
      <c r="R192" s="173" t="str">
        <f>IF(COUNTIF(K192:Q192,"F")&gt;0,"",CONCATENATE('Statement of Marks'!HO194,'Statement of Marks'!HQ194))</f>
        <v xml:space="preserve">            </v>
      </c>
      <c r="S192" s="174">
        <f t="shared" si="36"/>
        <v>0</v>
      </c>
      <c r="T192" s="5"/>
      <c r="U192" s="182" t="str">
        <f t="shared" si="37"/>
        <v/>
      </c>
      <c r="V192" s="182" t="str">
        <f t="shared" si="38"/>
        <v/>
      </c>
      <c r="W192" s="5"/>
      <c r="X192" s="182" t="str">
        <f t="shared" si="39"/>
        <v/>
      </c>
      <c r="Y192" s="182" t="str">
        <f t="shared" si="40"/>
        <v/>
      </c>
      <c r="Z192" s="5"/>
      <c r="AA192" s="182" t="str">
        <f t="shared" si="41"/>
        <v/>
      </c>
      <c r="AB192" s="183" t="str">
        <f t="shared" si="42"/>
        <v/>
      </c>
      <c r="AC192" s="5"/>
      <c r="AD192" s="182" t="str">
        <f t="shared" si="43"/>
        <v/>
      </c>
      <c r="AE192" s="183" t="str">
        <f t="shared" si="44"/>
        <v/>
      </c>
      <c r="AF192" s="5"/>
      <c r="AG192" s="182" t="str">
        <f t="shared" si="45"/>
        <v/>
      </c>
      <c r="AH192" s="183" t="str">
        <f t="shared" si="46"/>
        <v/>
      </c>
      <c r="AI192" s="5"/>
      <c r="AJ192" s="183" t="str">
        <f t="shared" si="47"/>
        <v/>
      </c>
      <c r="AK192" s="183" t="str">
        <f t="shared" si="48"/>
        <v/>
      </c>
      <c r="AL192" s="5"/>
      <c r="AM192" s="183" t="str">
        <f t="shared" si="49"/>
        <v/>
      </c>
      <c r="AN192" s="183" t="str">
        <f t="shared" si="50"/>
        <v/>
      </c>
      <c r="AO192" s="184">
        <f t="shared" si="51"/>
        <v>0</v>
      </c>
      <c r="AP192" s="184">
        <f t="shared" si="52"/>
        <v>0</v>
      </c>
      <c r="AQ192" s="608" t="str">
        <f t="shared" si="53"/>
        <v/>
      </c>
      <c r="AR192" s="185" t="str">
        <f>IF(COUNTIF(K192:Q192,"F")&gt;0,"",IF(AQ192="PASS",'Statement of Marks'!HZ194,""))</f>
        <v/>
      </c>
      <c r="AS192" s="185" t="str">
        <f>IF(AQ192="PASS",'Statement of Marks'!IA194,"")</f>
        <v/>
      </c>
    </row>
    <row r="193" spans="1:45">
      <c r="A193" s="169">
        <f>IF('Statement of Marks'!A195="","",'Statement of Marks'!A195)</f>
        <v>189</v>
      </c>
      <c r="B193" s="169" t="str">
        <f>IF('Statement of Marks'!B195="","",'Statement of Marks'!B195)</f>
        <v/>
      </c>
      <c r="C193" s="169" t="str">
        <f>IF('Statement of Marks'!D195="","",'Statement of Marks'!D195)</f>
        <v/>
      </c>
      <c r="D193" s="170" t="str">
        <f>IF('Statement of Marks'!E195="","",'Statement of Marks'!E195)</f>
        <v/>
      </c>
      <c r="E193" s="171" t="str">
        <f>IF('Statement of Marks'!F195="","",'Statement of Marks'!F195)</f>
        <v/>
      </c>
      <c r="F193" s="171" t="str">
        <f>IF('Statement of Marks'!G195="","",'Statement of Marks'!G195)</f>
        <v/>
      </c>
      <c r="G193" s="171" t="str">
        <f>IF('Statement of Marks'!H195="","",'Statement of Marks'!H195)</f>
        <v/>
      </c>
      <c r="H193" s="172" t="str">
        <f>IF('Statement of Marks'!HS195="","",'Statement of Marks'!HS195)</f>
        <v/>
      </c>
      <c r="I193" s="172" t="str">
        <f>IF('Statement of Marks'!HV195="","",'Statement of Marks'!HV195)</f>
        <v/>
      </c>
      <c r="J193" s="173" t="str">
        <f>IF('Statement of Marks'!HU195="","",'Statement of Marks'!HU195)</f>
        <v/>
      </c>
      <c r="K193" s="181" t="str">
        <f>'Statement of Marks'!GN195</f>
        <v/>
      </c>
      <c r="L193" s="181" t="str">
        <f>'Statement of Marks'!GQ195</f>
        <v/>
      </c>
      <c r="M193" s="181" t="str">
        <f>'Statement of Marks'!GT195</f>
        <v/>
      </c>
      <c r="N193" s="181" t="str">
        <f>'Statement of Marks'!HB195</f>
        <v/>
      </c>
      <c r="O193" s="181" t="str">
        <f>'Statement of Marks'!HE195</f>
        <v/>
      </c>
      <c r="P193" s="181" t="str">
        <f>'Statement of Marks'!HH195</f>
        <v/>
      </c>
      <c r="Q193" s="181" t="str">
        <f>'Statement of Marks'!HK195</f>
        <v/>
      </c>
      <c r="R193" s="173" t="str">
        <f>IF(COUNTIF(K193:Q193,"F")&gt;0,"",CONCATENATE('Statement of Marks'!HO195,'Statement of Marks'!HQ195))</f>
        <v xml:space="preserve">            </v>
      </c>
      <c r="S193" s="174">
        <f t="shared" si="36"/>
        <v>0</v>
      </c>
      <c r="T193" s="5"/>
      <c r="U193" s="182" t="str">
        <f t="shared" si="37"/>
        <v/>
      </c>
      <c r="V193" s="182" t="str">
        <f t="shared" si="38"/>
        <v/>
      </c>
      <c r="W193" s="5"/>
      <c r="X193" s="182" t="str">
        <f t="shared" si="39"/>
        <v/>
      </c>
      <c r="Y193" s="182" t="str">
        <f t="shared" si="40"/>
        <v/>
      </c>
      <c r="Z193" s="5"/>
      <c r="AA193" s="182" t="str">
        <f t="shared" si="41"/>
        <v/>
      </c>
      <c r="AB193" s="183" t="str">
        <f t="shared" si="42"/>
        <v/>
      </c>
      <c r="AC193" s="5"/>
      <c r="AD193" s="182" t="str">
        <f t="shared" si="43"/>
        <v/>
      </c>
      <c r="AE193" s="183" t="str">
        <f t="shared" si="44"/>
        <v/>
      </c>
      <c r="AF193" s="5"/>
      <c r="AG193" s="182" t="str">
        <f t="shared" si="45"/>
        <v/>
      </c>
      <c r="AH193" s="183" t="str">
        <f t="shared" si="46"/>
        <v/>
      </c>
      <c r="AI193" s="5"/>
      <c r="AJ193" s="183" t="str">
        <f t="shared" si="47"/>
        <v/>
      </c>
      <c r="AK193" s="183" t="str">
        <f t="shared" si="48"/>
        <v/>
      </c>
      <c r="AL193" s="5"/>
      <c r="AM193" s="183" t="str">
        <f t="shared" si="49"/>
        <v/>
      </c>
      <c r="AN193" s="183" t="str">
        <f t="shared" si="50"/>
        <v/>
      </c>
      <c r="AO193" s="184">
        <f t="shared" si="51"/>
        <v>0</v>
      </c>
      <c r="AP193" s="184">
        <f t="shared" si="52"/>
        <v>0</v>
      </c>
      <c r="AQ193" s="608" t="str">
        <f t="shared" si="53"/>
        <v/>
      </c>
      <c r="AR193" s="185" t="str">
        <f>IF(COUNTIF(K193:Q193,"F")&gt;0,"",IF(AQ193="PASS",'Statement of Marks'!HZ195,""))</f>
        <v/>
      </c>
      <c r="AS193" s="185" t="str">
        <f>IF(AQ193="PASS",'Statement of Marks'!IA195,"")</f>
        <v/>
      </c>
    </row>
    <row r="194" spans="1:45">
      <c r="A194" s="169">
        <f>IF('Statement of Marks'!A196="","",'Statement of Marks'!A196)</f>
        <v>190</v>
      </c>
      <c r="B194" s="169" t="str">
        <f>IF('Statement of Marks'!B196="","",'Statement of Marks'!B196)</f>
        <v/>
      </c>
      <c r="C194" s="169" t="str">
        <f>IF('Statement of Marks'!D196="","",'Statement of Marks'!D196)</f>
        <v/>
      </c>
      <c r="D194" s="170" t="str">
        <f>IF('Statement of Marks'!E196="","",'Statement of Marks'!E196)</f>
        <v/>
      </c>
      <c r="E194" s="171" t="str">
        <f>IF('Statement of Marks'!F196="","",'Statement of Marks'!F196)</f>
        <v/>
      </c>
      <c r="F194" s="171" t="str">
        <f>IF('Statement of Marks'!G196="","",'Statement of Marks'!G196)</f>
        <v/>
      </c>
      <c r="G194" s="171" t="str">
        <f>IF('Statement of Marks'!H196="","",'Statement of Marks'!H196)</f>
        <v/>
      </c>
      <c r="H194" s="172" t="str">
        <f>IF('Statement of Marks'!HS196="","",'Statement of Marks'!HS196)</f>
        <v/>
      </c>
      <c r="I194" s="172" t="str">
        <f>IF('Statement of Marks'!HV196="","",'Statement of Marks'!HV196)</f>
        <v/>
      </c>
      <c r="J194" s="173" t="str">
        <f>IF('Statement of Marks'!HU196="","",'Statement of Marks'!HU196)</f>
        <v/>
      </c>
      <c r="K194" s="181" t="str">
        <f>'Statement of Marks'!GN196</f>
        <v/>
      </c>
      <c r="L194" s="181" t="str">
        <f>'Statement of Marks'!GQ196</f>
        <v/>
      </c>
      <c r="M194" s="181" t="str">
        <f>'Statement of Marks'!GT196</f>
        <v/>
      </c>
      <c r="N194" s="181" t="str">
        <f>'Statement of Marks'!HB196</f>
        <v/>
      </c>
      <c r="O194" s="181" t="str">
        <f>'Statement of Marks'!HE196</f>
        <v/>
      </c>
      <c r="P194" s="181" t="str">
        <f>'Statement of Marks'!HH196</f>
        <v/>
      </c>
      <c r="Q194" s="181" t="str">
        <f>'Statement of Marks'!HK196</f>
        <v/>
      </c>
      <c r="R194" s="173" t="str">
        <f>IF(COUNTIF(K194:Q194,"F")&gt;0,"",CONCATENATE('Statement of Marks'!HO196,'Statement of Marks'!HQ196))</f>
        <v xml:space="preserve">            </v>
      </c>
      <c r="S194" s="174">
        <f t="shared" si="36"/>
        <v>0</v>
      </c>
      <c r="T194" s="5"/>
      <c r="U194" s="182" t="str">
        <f t="shared" si="37"/>
        <v/>
      </c>
      <c r="V194" s="182" t="str">
        <f t="shared" si="38"/>
        <v/>
      </c>
      <c r="W194" s="5"/>
      <c r="X194" s="182" t="str">
        <f t="shared" si="39"/>
        <v/>
      </c>
      <c r="Y194" s="182" t="str">
        <f t="shared" si="40"/>
        <v/>
      </c>
      <c r="Z194" s="5"/>
      <c r="AA194" s="182" t="str">
        <f t="shared" si="41"/>
        <v/>
      </c>
      <c r="AB194" s="183" t="str">
        <f t="shared" si="42"/>
        <v/>
      </c>
      <c r="AC194" s="5"/>
      <c r="AD194" s="182" t="str">
        <f t="shared" si="43"/>
        <v/>
      </c>
      <c r="AE194" s="183" t="str">
        <f t="shared" si="44"/>
        <v/>
      </c>
      <c r="AF194" s="5"/>
      <c r="AG194" s="182" t="str">
        <f t="shared" si="45"/>
        <v/>
      </c>
      <c r="AH194" s="183" t="str">
        <f t="shared" si="46"/>
        <v/>
      </c>
      <c r="AI194" s="5"/>
      <c r="AJ194" s="183" t="str">
        <f t="shared" si="47"/>
        <v/>
      </c>
      <c r="AK194" s="183" t="str">
        <f t="shared" si="48"/>
        <v/>
      </c>
      <c r="AL194" s="5"/>
      <c r="AM194" s="183" t="str">
        <f t="shared" si="49"/>
        <v/>
      </c>
      <c r="AN194" s="183" t="str">
        <f t="shared" si="50"/>
        <v/>
      </c>
      <c r="AO194" s="184">
        <f t="shared" si="51"/>
        <v>0</v>
      </c>
      <c r="AP194" s="184">
        <f t="shared" si="52"/>
        <v>0</v>
      </c>
      <c r="AQ194" s="608" t="str">
        <f t="shared" si="53"/>
        <v/>
      </c>
      <c r="AR194" s="185" t="str">
        <f>IF(COUNTIF(K194:Q194,"F")&gt;0,"",IF(AQ194="PASS",'Statement of Marks'!HZ196,""))</f>
        <v/>
      </c>
      <c r="AS194" s="185" t="str">
        <f>IF(AQ194="PASS",'Statement of Marks'!IA196,"")</f>
        <v/>
      </c>
    </row>
    <row r="195" spans="1:45">
      <c r="A195" s="169">
        <f>IF('Statement of Marks'!A197="","",'Statement of Marks'!A197)</f>
        <v>191</v>
      </c>
      <c r="B195" s="169" t="str">
        <f>IF('Statement of Marks'!B197="","",'Statement of Marks'!B197)</f>
        <v/>
      </c>
      <c r="C195" s="169" t="str">
        <f>IF('Statement of Marks'!D197="","",'Statement of Marks'!D197)</f>
        <v/>
      </c>
      <c r="D195" s="170" t="str">
        <f>IF('Statement of Marks'!E197="","",'Statement of Marks'!E197)</f>
        <v/>
      </c>
      <c r="E195" s="171" t="str">
        <f>IF('Statement of Marks'!F197="","",'Statement of Marks'!F197)</f>
        <v/>
      </c>
      <c r="F195" s="171" t="str">
        <f>IF('Statement of Marks'!G197="","",'Statement of Marks'!G197)</f>
        <v/>
      </c>
      <c r="G195" s="171" t="str">
        <f>IF('Statement of Marks'!H197="","",'Statement of Marks'!H197)</f>
        <v/>
      </c>
      <c r="H195" s="172" t="str">
        <f>IF('Statement of Marks'!HS197="","",'Statement of Marks'!HS197)</f>
        <v/>
      </c>
      <c r="I195" s="172" t="str">
        <f>IF('Statement of Marks'!HV197="","",'Statement of Marks'!HV197)</f>
        <v/>
      </c>
      <c r="J195" s="173" t="str">
        <f>IF('Statement of Marks'!HU197="","",'Statement of Marks'!HU197)</f>
        <v/>
      </c>
      <c r="K195" s="181" t="str">
        <f>'Statement of Marks'!GN197</f>
        <v/>
      </c>
      <c r="L195" s="181" t="str">
        <f>'Statement of Marks'!GQ197</f>
        <v/>
      </c>
      <c r="M195" s="181" t="str">
        <f>'Statement of Marks'!GT197</f>
        <v/>
      </c>
      <c r="N195" s="181" t="str">
        <f>'Statement of Marks'!HB197</f>
        <v/>
      </c>
      <c r="O195" s="181" t="str">
        <f>'Statement of Marks'!HE197</f>
        <v/>
      </c>
      <c r="P195" s="181" t="str">
        <f>'Statement of Marks'!HH197</f>
        <v/>
      </c>
      <c r="Q195" s="181" t="str">
        <f>'Statement of Marks'!HK197</f>
        <v/>
      </c>
      <c r="R195" s="173" t="str">
        <f>IF(COUNTIF(K195:Q195,"F")&gt;0,"",CONCATENATE('Statement of Marks'!HO197,'Statement of Marks'!HQ197))</f>
        <v xml:space="preserve">            </v>
      </c>
      <c r="S195" s="174">
        <f t="shared" si="36"/>
        <v>0</v>
      </c>
      <c r="T195" s="5"/>
      <c r="U195" s="182" t="str">
        <f t="shared" si="37"/>
        <v/>
      </c>
      <c r="V195" s="182" t="str">
        <f t="shared" si="38"/>
        <v/>
      </c>
      <c r="W195" s="5"/>
      <c r="X195" s="182" t="str">
        <f t="shared" si="39"/>
        <v/>
      </c>
      <c r="Y195" s="182" t="str">
        <f t="shared" si="40"/>
        <v/>
      </c>
      <c r="Z195" s="5"/>
      <c r="AA195" s="182" t="str">
        <f t="shared" si="41"/>
        <v/>
      </c>
      <c r="AB195" s="183" t="str">
        <f t="shared" si="42"/>
        <v/>
      </c>
      <c r="AC195" s="5"/>
      <c r="AD195" s="182" t="str">
        <f t="shared" si="43"/>
        <v/>
      </c>
      <c r="AE195" s="183" t="str">
        <f t="shared" si="44"/>
        <v/>
      </c>
      <c r="AF195" s="5"/>
      <c r="AG195" s="182" t="str">
        <f t="shared" si="45"/>
        <v/>
      </c>
      <c r="AH195" s="183" t="str">
        <f t="shared" si="46"/>
        <v/>
      </c>
      <c r="AI195" s="5"/>
      <c r="AJ195" s="183" t="str">
        <f t="shared" si="47"/>
        <v/>
      </c>
      <c r="AK195" s="183" t="str">
        <f t="shared" si="48"/>
        <v/>
      </c>
      <c r="AL195" s="5"/>
      <c r="AM195" s="183" t="str">
        <f t="shared" si="49"/>
        <v/>
      </c>
      <c r="AN195" s="183" t="str">
        <f t="shared" si="50"/>
        <v/>
      </c>
      <c r="AO195" s="184">
        <f t="shared" si="51"/>
        <v>0</v>
      </c>
      <c r="AP195" s="184">
        <f t="shared" si="52"/>
        <v>0</v>
      </c>
      <c r="AQ195" s="608" t="str">
        <f t="shared" si="53"/>
        <v/>
      </c>
      <c r="AR195" s="185" t="str">
        <f>IF(COUNTIF(K195:Q195,"F")&gt;0,"",IF(AQ195="PASS",'Statement of Marks'!HZ197,""))</f>
        <v/>
      </c>
      <c r="AS195" s="185" t="str">
        <f>IF(AQ195="PASS",'Statement of Marks'!IA197,"")</f>
        <v/>
      </c>
    </row>
    <row r="196" spans="1:45">
      <c r="A196" s="169">
        <f>IF('Statement of Marks'!A198="","",'Statement of Marks'!A198)</f>
        <v>192</v>
      </c>
      <c r="B196" s="169" t="str">
        <f>IF('Statement of Marks'!B198="","",'Statement of Marks'!B198)</f>
        <v/>
      </c>
      <c r="C196" s="169" t="str">
        <f>IF('Statement of Marks'!D198="","",'Statement of Marks'!D198)</f>
        <v/>
      </c>
      <c r="D196" s="170" t="str">
        <f>IF('Statement of Marks'!E198="","",'Statement of Marks'!E198)</f>
        <v/>
      </c>
      <c r="E196" s="171" t="str">
        <f>IF('Statement of Marks'!F198="","",'Statement of Marks'!F198)</f>
        <v/>
      </c>
      <c r="F196" s="171" t="str">
        <f>IF('Statement of Marks'!G198="","",'Statement of Marks'!G198)</f>
        <v/>
      </c>
      <c r="G196" s="171" t="str">
        <f>IF('Statement of Marks'!H198="","",'Statement of Marks'!H198)</f>
        <v/>
      </c>
      <c r="H196" s="172" t="str">
        <f>IF('Statement of Marks'!HS198="","",'Statement of Marks'!HS198)</f>
        <v/>
      </c>
      <c r="I196" s="172" t="str">
        <f>IF('Statement of Marks'!HV198="","",'Statement of Marks'!HV198)</f>
        <v/>
      </c>
      <c r="J196" s="173" t="str">
        <f>IF('Statement of Marks'!HU198="","",'Statement of Marks'!HU198)</f>
        <v/>
      </c>
      <c r="K196" s="181" t="str">
        <f>'Statement of Marks'!GN198</f>
        <v/>
      </c>
      <c r="L196" s="181" t="str">
        <f>'Statement of Marks'!GQ198</f>
        <v/>
      </c>
      <c r="M196" s="181" t="str">
        <f>'Statement of Marks'!GT198</f>
        <v/>
      </c>
      <c r="N196" s="181" t="str">
        <f>'Statement of Marks'!HB198</f>
        <v/>
      </c>
      <c r="O196" s="181" t="str">
        <f>'Statement of Marks'!HE198</f>
        <v/>
      </c>
      <c r="P196" s="181" t="str">
        <f>'Statement of Marks'!HH198</f>
        <v/>
      </c>
      <c r="Q196" s="181" t="str">
        <f>'Statement of Marks'!HK198</f>
        <v/>
      </c>
      <c r="R196" s="173" t="str">
        <f>IF(COUNTIF(K196:Q196,"F")&gt;0,"",CONCATENATE('Statement of Marks'!HO198,'Statement of Marks'!HQ198))</f>
        <v xml:space="preserve">            </v>
      </c>
      <c r="S196" s="174">
        <f t="shared" si="36"/>
        <v>0</v>
      </c>
      <c r="T196" s="5"/>
      <c r="U196" s="182" t="str">
        <f t="shared" si="37"/>
        <v/>
      </c>
      <c r="V196" s="182" t="str">
        <f t="shared" si="38"/>
        <v/>
      </c>
      <c r="W196" s="5"/>
      <c r="X196" s="182" t="str">
        <f t="shared" si="39"/>
        <v/>
      </c>
      <c r="Y196" s="182" t="str">
        <f t="shared" si="40"/>
        <v/>
      </c>
      <c r="Z196" s="5"/>
      <c r="AA196" s="182" t="str">
        <f t="shared" si="41"/>
        <v/>
      </c>
      <c r="AB196" s="183" t="str">
        <f t="shared" si="42"/>
        <v/>
      </c>
      <c r="AC196" s="5"/>
      <c r="AD196" s="182" t="str">
        <f t="shared" si="43"/>
        <v/>
      </c>
      <c r="AE196" s="183" t="str">
        <f t="shared" si="44"/>
        <v/>
      </c>
      <c r="AF196" s="5"/>
      <c r="AG196" s="182" t="str">
        <f t="shared" si="45"/>
        <v/>
      </c>
      <c r="AH196" s="183" t="str">
        <f t="shared" si="46"/>
        <v/>
      </c>
      <c r="AI196" s="5"/>
      <c r="AJ196" s="183" t="str">
        <f t="shared" si="47"/>
        <v/>
      </c>
      <c r="AK196" s="183" t="str">
        <f t="shared" si="48"/>
        <v/>
      </c>
      <c r="AL196" s="5"/>
      <c r="AM196" s="183" t="str">
        <f t="shared" si="49"/>
        <v/>
      </c>
      <c r="AN196" s="183" t="str">
        <f t="shared" si="50"/>
        <v/>
      </c>
      <c r="AO196" s="184">
        <f t="shared" si="51"/>
        <v>0</v>
      </c>
      <c r="AP196" s="184">
        <f t="shared" si="52"/>
        <v>0</v>
      </c>
      <c r="AQ196" s="608" t="str">
        <f t="shared" si="53"/>
        <v/>
      </c>
      <c r="AR196" s="185" t="str">
        <f>IF(COUNTIF(K196:Q196,"F")&gt;0,"",IF(AQ196="PASS",'Statement of Marks'!HZ198,""))</f>
        <v/>
      </c>
      <c r="AS196" s="185" t="str">
        <f>IF(AQ196="PASS",'Statement of Marks'!IA198,"")</f>
        <v/>
      </c>
    </row>
    <row r="197" spans="1:45">
      <c r="A197" s="169">
        <f>IF('Statement of Marks'!A199="","",'Statement of Marks'!A199)</f>
        <v>193</v>
      </c>
      <c r="B197" s="169" t="str">
        <f>IF('Statement of Marks'!B199="","",'Statement of Marks'!B199)</f>
        <v/>
      </c>
      <c r="C197" s="169" t="str">
        <f>IF('Statement of Marks'!D199="","",'Statement of Marks'!D199)</f>
        <v/>
      </c>
      <c r="D197" s="170" t="str">
        <f>IF('Statement of Marks'!E199="","",'Statement of Marks'!E199)</f>
        <v/>
      </c>
      <c r="E197" s="171" t="str">
        <f>IF('Statement of Marks'!F199="","",'Statement of Marks'!F199)</f>
        <v/>
      </c>
      <c r="F197" s="171" t="str">
        <f>IF('Statement of Marks'!G199="","",'Statement of Marks'!G199)</f>
        <v/>
      </c>
      <c r="G197" s="171" t="str">
        <f>IF('Statement of Marks'!H199="","",'Statement of Marks'!H199)</f>
        <v/>
      </c>
      <c r="H197" s="172" t="str">
        <f>IF('Statement of Marks'!HS199="","",'Statement of Marks'!HS199)</f>
        <v/>
      </c>
      <c r="I197" s="172" t="str">
        <f>IF('Statement of Marks'!HV199="","",'Statement of Marks'!HV199)</f>
        <v/>
      </c>
      <c r="J197" s="173" t="str">
        <f>IF('Statement of Marks'!HU199="","",'Statement of Marks'!HU199)</f>
        <v/>
      </c>
      <c r="K197" s="181" t="str">
        <f>'Statement of Marks'!GN199</f>
        <v/>
      </c>
      <c r="L197" s="181" t="str">
        <f>'Statement of Marks'!GQ199</f>
        <v/>
      </c>
      <c r="M197" s="181" t="str">
        <f>'Statement of Marks'!GT199</f>
        <v/>
      </c>
      <c r="N197" s="181" t="str">
        <f>'Statement of Marks'!HB199</f>
        <v/>
      </c>
      <c r="O197" s="181" t="str">
        <f>'Statement of Marks'!HE199</f>
        <v/>
      </c>
      <c r="P197" s="181" t="str">
        <f>'Statement of Marks'!HH199</f>
        <v/>
      </c>
      <c r="Q197" s="181" t="str">
        <f>'Statement of Marks'!HK199</f>
        <v/>
      </c>
      <c r="R197" s="173" t="str">
        <f>IF(COUNTIF(K197:Q197,"F")&gt;0,"",CONCATENATE('Statement of Marks'!HO199,'Statement of Marks'!HQ199))</f>
        <v xml:space="preserve">            </v>
      </c>
      <c r="S197" s="174">
        <f t="shared" si="36"/>
        <v>0</v>
      </c>
      <c r="T197" s="5"/>
      <c r="U197" s="182" t="str">
        <f t="shared" si="37"/>
        <v/>
      </c>
      <c r="V197" s="182" t="str">
        <f t="shared" si="38"/>
        <v/>
      </c>
      <c r="W197" s="5"/>
      <c r="X197" s="182" t="str">
        <f t="shared" si="39"/>
        <v/>
      </c>
      <c r="Y197" s="182" t="str">
        <f t="shared" si="40"/>
        <v/>
      </c>
      <c r="Z197" s="5"/>
      <c r="AA197" s="182" t="str">
        <f t="shared" si="41"/>
        <v/>
      </c>
      <c r="AB197" s="183" t="str">
        <f t="shared" si="42"/>
        <v/>
      </c>
      <c r="AC197" s="5"/>
      <c r="AD197" s="182" t="str">
        <f t="shared" si="43"/>
        <v/>
      </c>
      <c r="AE197" s="183" t="str">
        <f t="shared" si="44"/>
        <v/>
      </c>
      <c r="AF197" s="5"/>
      <c r="AG197" s="182" t="str">
        <f t="shared" si="45"/>
        <v/>
      </c>
      <c r="AH197" s="183" t="str">
        <f t="shared" si="46"/>
        <v/>
      </c>
      <c r="AI197" s="5"/>
      <c r="AJ197" s="183" t="str">
        <f t="shared" si="47"/>
        <v/>
      </c>
      <c r="AK197" s="183" t="str">
        <f t="shared" si="48"/>
        <v/>
      </c>
      <c r="AL197" s="5"/>
      <c r="AM197" s="183" t="str">
        <f t="shared" si="49"/>
        <v/>
      </c>
      <c r="AN197" s="183" t="str">
        <f t="shared" si="50"/>
        <v/>
      </c>
      <c r="AO197" s="184">
        <f t="shared" si="51"/>
        <v>0</v>
      </c>
      <c r="AP197" s="184">
        <f t="shared" si="52"/>
        <v>0</v>
      </c>
      <c r="AQ197" s="608" t="str">
        <f t="shared" si="53"/>
        <v/>
      </c>
      <c r="AR197" s="185" t="str">
        <f>IF(COUNTIF(K197:Q197,"F")&gt;0,"",IF(AQ197="PASS",'Statement of Marks'!HZ199,""))</f>
        <v/>
      </c>
      <c r="AS197" s="185" t="str">
        <f>IF(AQ197="PASS",'Statement of Marks'!IA199,"")</f>
        <v/>
      </c>
    </row>
    <row r="198" spans="1:45">
      <c r="A198" s="169">
        <f>IF('Statement of Marks'!A200="","",'Statement of Marks'!A200)</f>
        <v>194</v>
      </c>
      <c r="B198" s="169" t="str">
        <f>IF('Statement of Marks'!B200="","",'Statement of Marks'!B200)</f>
        <v/>
      </c>
      <c r="C198" s="169" t="str">
        <f>IF('Statement of Marks'!D200="","",'Statement of Marks'!D200)</f>
        <v/>
      </c>
      <c r="D198" s="170" t="str">
        <f>IF('Statement of Marks'!E200="","",'Statement of Marks'!E200)</f>
        <v/>
      </c>
      <c r="E198" s="171" t="str">
        <f>IF('Statement of Marks'!F200="","",'Statement of Marks'!F200)</f>
        <v/>
      </c>
      <c r="F198" s="171" t="str">
        <f>IF('Statement of Marks'!G200="","",'Statement of Marks'!G200)</f>
        <v/>
      </c>
      <c r="G198" s="171" t="str">
        <f>IF('Statement of Marks'!H200="","",'Statement of Marks'!H200)</f>
        <v/>
      </c>
      <c r="H198" s="172" t="str">
        <f>IF('Statement of Marks'!HS200="","",'Statement of Marks'!HS200)</f>
        <v/>
      </c>
      <c r="I198" s="172" t="str">
        <f>IF('Statement of Marks'!HV200="","",'Statement of Marks'!HV200)</f>
        <v/>
      </c>
      <c r="J198" s="173" t="str">
        <f>IF('Statement of Marks'!HU200="","",'Statement of Marks'!HU200)</f>
        <v/>
      </c>
      <c r="K198" s="181" t="str">
        <f>'Statement of Marks'!GN200</f>
        <v/>
      </c>
      <c r="L198" s="181" t="str">
        <f>'Statement of Marks'!GQ200</f>
        <v/>
      </c>
      <c r="M198" s="181" t="str">
        <f>'Statement of Marks'!GT200</f>
        <v/>
      </c>
      <c r="N198" s="181" t="str">
        <f>'Statement of Marks'!HB200</f>
        <v/>
      </c>
      <c r="O198" s="181" t="str">
        <f>'Statement of Marks'!HE200</f>
        <v/>
      </c>
      <c r="P198" s="181" t="str">
        <f>'Statement of Marks'!HH200</f>
        <v/>
      </c>
      <c r="Q198" s="181" t="str">
        <f>'Statement of Marks'!HK200</f>
        <v/>
      </c>
      <c r="R198" s="173" t="str">
        <f>IF(COUNTIF(K198:Q198,"F")&gt;0,"",CONCATENATE('Statement of Marks'!HO200,'Statement of Marks'!HQ200))</f>
        <v xml:space="preserve">            </v>
      </c>
      <c r="S198" s="174">
        <f t="shared" ref="S198:S204" si="54">IF(COUNTIF(K198:Q198,"F")&gt;0,"",COUNTIF(K198:Q198,"S")+COUNTIF(K198:Q198,"RE")+COUNTIF(K198:Q198,"REP"))</f>
        <v>0</v>
      </c>
      <c r="T198" s="5"/>
      <c r="U198" s="182" t="str">
        <f t="shared" ref="U198:U204" si="55">IF(T198="","",IF(OR(T198="AB",K198="RE"),T198,IF(AND(K198="S"),ROUNDUP(T198,0),)))</f>
        <v/>
      </c>
      <c r="V198" s="182" t="str">
        <f t="shared" ref="V198:V204" si="56">IF(T198="","",IF(OR(T198="AB",T198&lt;36%*$T$4),"F","P"))</f>
        <v/>
      </c>
      <c r="W198" s="5"/>
      <c r="X198" s="182" t="str">
        <f t="shared" ref="X198:X204" si="57">IF(W198="","",IF(OR(W198="AB",L198="RE"),W198,IF(AND(L198="S"),ROUNDUP(W198,0),)))</f>
        <v/>
      </c>
      <c r="Y198" s="182" t="str">
        <f t="shared" ref="Y198:Y204" si="58">IF(W198="","",IF(OR(W198="AB",W198&lt;36%*$W$4),"F","P"))</f>
        <v/>
      </c>
      <c r="Z198" s="5"/>
      <c r="AA198" s="182" t="str">
        <f t="shared" ref="AA198:AA203" si="59">IF(Z198="","",IF(OR(Z198="AB",M198="RE"),Z198,IF(AND(M198="S"),ROUNDUP(Z198,0),)))</f>
        <v/>
      </c>
      <c r="AB198" s="183" t="str">
        <f t="shared" ref="AB198:AB203" si="60">IF(Z198="","",IF(OR(Z198="AB",Z198&lt;36%*$Z$4),"F","P"))</f>
        <v/>
      </c>
      <c r="AC198" s="5"/>
      <c r="AD198" s="182" t="str">
        <f t="shared" ref="AD198:AD204" si="61">IF(AC198="","",IF(OR(AC198="AB",N198="RE"),AC198,IF(AND(N198="S"),ROUNDUP(AC198,0),)))</f>
        <v/>
      </c>
      <c r="AE198" s="183" t="str">
        <f t="shared" ref="AE198:AE204" si="62">IF(AC198="","",IF(OR(AC198="AB",AC198&lt;36%*$AC$4),"F","P"))</f>
        <v/>
      </c>
      <c r="AF198" s="5"/>
      <c r="AG198" s="182" t="str">
        <f t="shared" ref="AG198:AG204" si="63">IF(AF198="","",IF(OR(AF198="AB",O198="RE"),AF198,IF(AND(O198="S"),ROUNDUP(AF198,0),)))</f>
        <v/>
      </c>
      <c r="AH198" s="183" t="str">
        <f t="shared" ref="AH198:AH204" si="64">IF(AF198="","",IF(OR(AF198="AB",AF198&lt;36%*$AF$4),"F","P"))</f>
        <v/>
      </c>
      <c r="AI198" s="5"/>
      <c r="AJ198" s="183" t="str">
        <f t="shared" ref="AJ198:AJ204" si="65">IF(AI198="","",IF(OR(AI198="AB",P198="RE"),AI198,IF(AND(P198="S"),ROUNDUP(AI198,0),)))</f>
        <v/>
      </c>
      <c r="AK198" s="183" t="str">
        <f t="shared" ref="AK198:AK204" si="66">IF(AI198="","",IF(OR(AI198="AB",AI198&lt;36%*$AI$4),"F","P"))</f>
        <v/>
      </c>
      <c r="AL198" s="5"/>
      <c r="AM198" s="183" t="str">
        <f t="shared" ref="AM198:AM204" si="67">IF(AL198="","",IF(OR(AL198="AB",Q198="RE"),AL198,IF(AND(Q198="S"),ROUNDUP(AL198,0),)))</f>
        <v/>
      </c>
      <c r="AN198" s="183" t="str">
        <f t="shared" ref="AN198:AN204" si="68">IF(AL198="","",IF(OR(AL198="AB",AL198&lt;36%*$AL$4),"F","P"))</f>
        <v/>
      </c>
      <c r="AO198" s="184">
        <f t="shared" ref="AO198:AO204" si="69">IF(COUNTIF(K198:Q198,"F")&gt;0,"",COUNTA(T198,W198,Z198,AC198,AF198,AI198,AL198))</f>
        <v>0</v>
      </c>
      <c r="AP198" s="184">
        <f t="shared" ref="AP198:AP204" si="70">IF(COUNTIF(K198:Q198,"F")&gt;0,"",COUNTIF(T198:AN198,"P"))</f>
        <v>0</v>
      </c>
      <c r="AQ198" s="608" t="str">
        <f t="shared" ref="AQ198:AQ204" si="71">IF(AND(T198="",W198="",Z198="",AC198="",AF198="",AI198="",AL198=""),"",IF(COUNTIF(K198:Q198,"F")&gt;0,"",IF(S198=0,"",IF(S198&gt;AO198,H198,IF(S198&gt;AP198,"FAIL","PASS")))))</f>
        <v/>
      </c>
      <c r="AR198" s="185" t="str">
        <f>IF(COUNTIF(K198:Q198,"F")&gt;0,"",IF(AQ198="PASS",'Statement of Marks'!HZ200,""))</f>
        <v/>
      </c>
      <c r="AS198" s="185" t="str">
        <f>IF(AQ198="PASS",'Statement of Marks'!IA200,"")</f>
        <v/>
      </c>
    </row>
    <row r="199" spans="1:45">
      <c r="A199" s="169">
        <f>IF('Statement of Marks'!A201="","",'Statement of Marks'!A201)</f>
        <v>195</v>
      </c>
      <c r="B199" s="169" t="str">
        <f>IF('Statement of Marks'!B201="","",'Statement of Marks'!B201)</f>
        <v/>
      </c>
      <c r="C199" s="169" t="str">
        <f>IF('Statement of Marks'!D201="","",'Statement of Marks'!D201)</f>
        <v/>
      </c>
      <c r="D199" s="170" t="str">
        <f>IF('Statement of Marks'!E201="","",'Statement of Marks'!E201)</f>
        <v/>
      </c>
      <c r="E199" s="171" t="str">
        <f>IF('Statement of Marks'!F201="","",'Statement of Marks'!F201)</f>
        <v/>
      </c>
      <c r="F199" s="171" t="str">
        <f>IF('Statement of Marks'!G201="","",'Statement of Marks'!G201)</f>
        <v/>
      </c>
      <c r="G199" s="171" t="str">
        <f>IF('Statement of Marks'!H201="","",'Statement of Marks'!H201)</f>
        <v/>
      </c>
      <c r="H199" s="172" t="str">
        <f>IF('Statement of Marks'!HS201="","",'Statement of Marks'!HS201)</f>
        <v/>
      </c>
      <c r="I199" s="172" t="str">
        <f>IF('Statement of Marks'!HV201="","",'Statement of Marks'!HV201)</f>
        <v/>
      </c>
      <c r="J199" s="173" t="str">
        <f>IF('Statement of Marks'!HU201="","",'Statement of Marks'!HU201)</f>
        <v/>
      </c>
      <c r="K199" s="181" t="str">
        <f>'Statement of Marks'!GN201</f>
        <v/>
      </c>
      <c r="L199" s="181" t="str">
        <f>'Statement of Marks'!GQ201</f>
        <v/>
      </c>
      <c r="M199" s="181" t="str">
        <f>'Statement of Marks'!GT201</f>
        <v/>
      </c>
      <c r="N199" s="181" t="str">
        <f>'Statement of Marks'!HB201</f>
        <v/>
      </c>
      <c r="O199" s="181" t="str">
        <f>'Statement of Marks'!HE201</f>
        <v/>
      </c>
      <c r="P199" s="181" t="str">
        <f>'Statement of Marks'!HH201</f>
        <v/>
      </c>
      <c r="Q199" s="181" t="str">
        <f>'Statement of Marks'!HK201</f>
        <v/>
      </c>
      <c r="R199" s="173" t="str">
        <f>IF(COUNTIF(K199:Q199,"F")&gt;0,"",CONCATENATE('Statement of Marks'!HO201,'Statement of Marks'!HQ201))</f>
        <v xml:space="preserve">            </v>
      </c>
      <c r="S199" s="174">
        <f t="shared" si="54"/>
        <v>0</v>
      </c>
      <c r="T199" s="5"/>
      <c r="U199" s="182" t="str">
        <f t="shared" si="55"/>
        <v/>
      </c>
      <c r="V199" s="182" t="str">
        <f t="shared" si="56"/>
        <v/>
      </c>
      <c r="W199" s="5"/>
      <c r="X199" s="182" t="str">
        <f t="shared" si="57"/>
        <v/>
      </c>
      <c r="Y199" s="182" t="str">
        <f t="shared" si="58"/>
        <v/>
      </c>
      <c r="Z199" s="5"/>
      <c r="AA199" s="182" t="str">
        <f t="shared" si="59"/>
        <v/>
      </c>
      <c r="AB199" s="183" t="str">
        <f t="shared" si="60"/>
        <v/>
      </c>
      <c r="AC199" s="5"/>
      <c r="AD199" s="182" t="str">
        <f t="shared" si="61"/>
        <v/>
      </c>
      <c r="AE199" s="183" t="str">
        <f t="shared" si="62"/>
        <v/>
      </c>
      <c r="AF199" s="5"/>
      <c r="AG199" s="182" t="str">
        <f t="shared" si="63"/>
        <v/>
      </c>
      <c r="AH199" s="183" t="str">
        <f t="shared" si="64"/>
        <v/>
      </c>
      <c r="AI199" s="5"/>
      <c r="AJ199" s="183" t="str">
        <f t="shared" si="65"/>
        <v/>
      </c>
      <c r="AK199" s="183" t="str">
        <f t="shared" si="66"/>
        <v/>
      </c>
      <c r="AL199" s="5"/>
      <c r="AM199" s="183" t="str">
        <f t="shared" si="67"/>
        <v/>
      </c>
      <c r="AN199" s="183" t="str">
        <f t="shared" si="68"/>
        <v/>
      </c>
      <c r="AO199" s="184">
        <f t="shared" si="69"/>
        <v>0</v>
      </c>
      <c r="AP199" s="184">
        <f t="shared" si="70"/>
        <v>0</v>
      </c>
      <c r="AQ199" s="608" t="str">
        <f t="shared" si="71"/>
        <v/>
      </c>
      <c r="AR199" s="185" t="str">
        <f>IF(COUNTIF(K199:Q199,"F")&gt;0,"",IF(AQ199="PASS",'Statement of Marks'!HZ201,""))</f>
        <v/>
      </c>
      <c r="AS199" s="185" t="str">
        <f>IF(AQ199="PASS",'Statement of Marks'!IA201,"")</f>
        <v/>
      </c>
    </row>
    <row r="200" spans="1:45">
      <c r="A200" s="169">
        <f>IF('Statement of Marks'!A202="","",'Statement of Marks'!A202)</f>
        <v>196</v>
      </c>
      <c r="B200" s="169" t="str">
        <f>IF('Statement of Marks'!B202="","",'Statement of Marks'!B202)</f>
        <v/>
      </c>
      <c r="C200" s="169" t="str">
        <f>IF('Statement of Marks'!D202="","",'Statement of Marks'!D202)</f>
        <v/>
      </c>
      <c r="D200" s="170" t="str">
        <f>IF('Statement of Marks'!E202="","",'Statement of Marks'!E202)</f>
        <v/>
      </c>
      <c r="E200" s="171" t="str">
        <f>IF('Statement of Marks'!F202="","",'Statement of Marks'!F202)</f>
        <v/>
      </c>
      <c r="F200" s="171" t="str">
        <f>IF('Statement of Marks'!G202="","",'Statement of Marks'!G202)</f>
        <v/>
      </c>
      <c r="G200" s="171" t="str">
        <f>IF('Statement of Marks'!H202="","",'Statement of Marks'!H202)</f>
        <v/>
      </c>
      <c r="H200" s="172" t="str">
        <f>IF('Statement of Marks'!HS202="","",'Statement of Marks'!HS202)</f>
        <v/>
      </c>
      <c r="I200" s="172" t="str">
        <f>IF('Statement of Marks'!HV202="","",'Statement of Marks'!HV202)</f>
        <v/>
      </c>
      <c r="J200" s="173" t="str">
        <f>IF('Statement of Marks'!HU202="","",'Statement of Marks'!HU202)</f>
        <v/>
      </c>
      <c r="K200" s="181" t="str">
        <f>'Statement of Marks'!GN202</f>
        <v/>
      </c>
      <c r="L200" s="181" t="str">
        <f>'Statement of Marks'!GQ202</f>
        <v/>
      </c>
      <c r="M200" s="181" t="str">
        <f>'Statement of Marks'!GT202</f>
        <v/>
      </c>
      <c r="N200" s="181" t="str">
        <f>'Statement of Marks'!HB202</f>
        <v/>
      </c>
      <c r="O200" s="181" t="str">
        <f>'Statement of Marks'!HE202</f>
        <v/>
      </c>
      <c r="P200" s="181" t="str">
        <f>'Statement of Marks'!HH202</f>
        <v/>
      </c>
      <c r="Q200" s="181" t="str">
        <f>'Statement of Marks'!HK202</f>
        <v/>
      </c>
      <c r="R200" s="173" t="str">
        <f>IF(COUNTIF(K200:Q200,"F")&gt;0,"",CONCATENATE('Statement of Marks'!HO202,'Statement of Marks'!HQ202))</f>
        <v xml:space="preserve">            </v>
      </c>
      <c r="S200" s="174">
        <f t="shared" si="54"/>
        <v>0</v>
      </c>
      <c r="T200" s="5"/>
      <c r="U200" s="182" t="str">
        <f t="shared" si="55"/>
        <v/>
      </c>
      <c r="V200" s="182" t="str">
        <f t="shared" si="56"/>
        <v/>
      </c>
      <c r="W200" s="5"/>
      <c r="X200" s="182" t="str">
        <f t="shared" si="57"/>
        <v/>
      </c>
      <c r="Y200" s="182" t="str">
        <f t="shared" si="58"/>
        <v/>
      </c>
      <c r="Z200" s="5"/>
      <c r="AA200" s="182" t="str">
        <f t="shared" si="59"/>
        <v/>
      </c>
      <c r="AB200" s="183" t="str">
        <f t="shared" si="60"/>
        <v/>
      </c>
      <c r="AC200" s="5"/>
      <c r="AD200" s="182" t="str">
        <f t="shared" si="61"/>
        <v/>
      </c>
      <c r="AE200" s="183" t="str">
        <f t="shared" si="62"/>
        <v/>
      </c>
      <c r="AF200" s="5"/>
      <c r="AG200" s="182" t="str">
        <f t="shared" si="63"/>
        <v/>
      </c>
      <c r="AH200" s="183" t="str">
        <f t="shared" si="64"/>
        <v/>
      </c>
      <c r="AI200" s="5"/>
      <c r="AJ200" s="183" t="str">
        <f t="shared" si="65"/>
        <v/>
      </c>
      <c r="AK200" s="183" t="str">
        <f t="shared" si="66"/>
        <v/>
      </c>
      <c r="AL200" s="5"/>
      <c r="AM200" s="183" t="str">
        <f t="shared" si="67"/>
        <v/>
      </c>
      <c r="AN200" s="183" t="str">
        <f t="shared" si="68"/>
        <v/>
      </c>
      <c r="AO200" s="184">
        <f t="shared" si="69"/>
        <v>0</v>
      </c>
      <c r="AP200" s="184">
        <f t="shared" si="70"/>
        <v>0</v>
      </c>
      <c r="AQ200" s="608" t="str">
        <f t="shared" si="71"/>
        <v/>
      </c>
      <c r="AR200" s="185" t="str">
        <f>IF(COUNTIF(K200:Q200,"F")&gt;0,"",IF(AQ200="PASS",'Statement of Marks'!HZ202,""))</f>
        <v/>
      </c>
      <c r="AS200" s="185" t="str">
        <f>IF(AQ200="PASS",'Statement of Marks'!IA202,"")</f>
        <v/>
      </c>
    </row>
    <row r="201" spans="1:45">
      <c r="A201" s="169">
        <f>IF('Statement of Marks'!A203="","",'Statement of Marks'!A203)</f>
        <v>197</v>
      </c>
      <c r="B201" s="169" t="str">
        <f>IF('Statement of Marks'!B203="","",'Statement of Marks'!B203)</f>
        <v/>
      </c>
      <c r="C201" s="169" t="str">
        <f>IF('Statement of Marks'!D203="","",'Statement of Marks'!D203)</f>
        <v/>
      </c>
      <c r="D201" s="170" t="str">
        <f>IF('Statement of Marks'!E203="","",'Statement of Marks'!E203)</f>
        <v/>
      </c>
      <c r="E201" s="171" t="str">
        <f>IF('Statement of Marks'!F203="","",'Statement of Marks'!F203)</f>
        <v/>
      </c>
      <c r="F201" s="171" t="str">
        <f>IF('Statement of Marks'!G203="","",'Statement of Marks'!G203)</f>
        <v/>
      </c>
      <c r="G201" s="171" t="str">
        <f>IF('Statement of Marks'!H203="","",'Statement of Marks'!H203)</f>
        <v/>
      </c>
      <c r="H201" s="172" t="str">
        <f>IF('Statement of Marks'!HS203="","",'Statement of Marks'!HS203)</f>
        <v/>
      </c>
      <c r="I201" s="172" t="str">
        <f>IF('Statement of Marks'!HV203="","",'Statement of Marks'!HV203)</f>
        <v/>
      </c>
      <c r="J201" s="173" t="str">
        <f>IF('Statement of Marks'!HU203="","",'Statement of Marks'!HU203)</f>
        <v/>
      </c>
      <c r="K201" s="181" t="str">
        <f>'Statement of Marks'!GN203</f>
        <v/>
      </c>
      <c r="L201" s="181" t="str">
        <f>'Statement of Marks'!GQ203</f>
        <v/>
      </c>
      <c r="M201" s="181" t="str">
        <f>'Statement of Marks'!GT203</f>
        <v/>
      </c>
      <c r="N201" s="181" t="str">
        <f>'Statement of Marks'!HB203</f>
        <v/>
      </c>
      <c r="O201" s="181" t="str">
        <f>'Statement of Marks'!HE203</f>
        <v/>
      </c>
      <c r="P201" s="181" t="str">
        <f>'Statement of Marks'!HH203</f>
        <v/>
      </c>
      <c r="Q201" s="181" t="str">
        <f>'Statement of Marks'!HK203</f>
        <v/>
      </c>
      <c r="R201" s="173" t="str">
        <f>IF(COUNTIF(K201:Q201,"F")&gt;0,"",CONCATENATE('Statement of Marks'!HO203,'Statement of Marks'!HQ203))</f>
        <v xml:space="preserve">            </v>
      </c>
      <c r="S201" s="174">
        <f t="shared" si="54"/>
        <v>0</v>
      </c>
      <c r="T201" s="5"/>
      <c r="U201" s="182" t="str">
        <f t="shared" si="55"/>
        <v/>
      </c>
      <c r="V201" s="182" t="str">
        <f t="shared" si="56"/>
        <v/>
      </c>
      <c r="W201" s="5"/>
      <c r="X201" s="182" t="str">
        <f t="shared" si="57"/>
        <v/>
      </c>
      <c r="Y201" s="182" t="str">
        <f t="shared" si="58"/>
        <v/>
      </c>
      <c r="Z201" s="5"/>
      <c r="AA201" s="182" t="str">
        <f t="shared" si="59"/>
        <v/>
      </c>
      <c r="AB201" s="183" t="str">
        <f t="shared" si="60"/>
        <v/>
      </c>
      <c r="AC201" s="5"/>
      <c r="AD201" s="182" t="str">
        <f t="shared" si="61"/>
        <v/>
      </c>
      <c r="AE201" s="183" t="str">
        <f t="shared" si="62"/>
        <v/>
      </c>
      <c r="AF201" s="5"/>
      <c r="AG201" s="182" t="str">
        <f t="shared" si="63"/>
        <v/>
      </c>
      <c r="AH201" s="183" t="str">
        <f t="shared" si="64"/>
        <v/>
      </c>
      <c r="AI201" s="5"/>
      <c r="AJ201" s="183" t="str">
        <f t="shared" si="65"/>
        <v/>
      </c>
      <c r="AK201" s="183" t="str">
        <f t="shared" si="66"/>
        <v/>
      </c>
      <c r="AL201" s="5"/>
      <c r="AM201" s="183" t="str">
        <f t="shared" si="67"/>
        <v/>
      </c>
      <c r="AN201" s="183" t="str">
        <f t="shared" si="68"/>
        <v/>
      </c>
      <c r="AO201" s="184">
        <f t="shared" si="69"/>
        <v>0</v>
      </c>
      <c r="AP201" s="184">
        <f t="shared" si="70"/>
        <v>0</v>
      </c>
      <c r="AQ201" s="608" t="str">
        <f t="shared" si="71"/>
        <v/>
      </c>
      <c r="AR201" s="185" t="str">
        <f>IF(COUNTIF(K201:Q201,"F")&gt;0,"",IF(AQ201="PASS",'Statement of Marks'!HZ203,""))</f>
        <v/>
      </c>
      <c r="AS201" s="185" t="str">
        <f>IF(AQ201="PASS",'Statement of Marks'!IA203,"")</f>
        <v/>
      </c>
    </row>
    <row r="202" spans="1:45">
      <c r="A202" s="169">
        <f>IF('Statement of Marks'!A204="","",'Statement of Marks'!A204)</f>
        <v>198</v>
      </c>
      <c r="B202" s="169" t="str">
        <f>IF('Statement of Marks'!B204="","",'Statement of Marks'!B204)</f>
        <v/>
      </c>
      <c r="C202" s="169" t="str">
        <f>IF('Statement of Marks'!D204="","",'Statement of Marks'!D204)</f>
        <v/>
      </c>
      <c r="D202" s="170" t="str">
        <f>IF('Statement of Marks'!E204="","",'Statement of Marks'!E204)</f>
        <v/>
      </c>
      <c r="E202" s="171" t="str">
        <f>IF('Statement of Marks'!F204="","",'Statement of Marks'!F204)</f>
        <v/>
      </c>
      <c r="F202" s="171" t="str">
        <f>IF('Statement of Marks'!G204="","",'Statement of Marks'!G204)</f>
        <v/>
      </c>
      <c r="G202" s="171" t="str">
        <f>IF('Statement of Marks'!H204="","",'Statement of Marks'!H204)</f>
        <v/>
      </c>
      <c r="H202" s="172" t="str">
        <f>IF('Statement of Marks'!HS204="","",'Statement of Marks'!HS204)</f>
        <v/>
      </c>
      <c r="I202" s="172" t="str">
        <f>IF('Statement of Marks'!HV204="","",'Statement of Marks'!HV204)</f>
        <v/>
      </c>
      <c r="J202" s="173" t="str">
        <f>IF('Statement of Marks'!HU204="","",'Statement of Marks'!HU204)</f>
        <v/>
      </c>
      <c r="K202" s="181" t="str">
        <f>'Statement of Marks'!GN204</f>
        <v/>
      </c>
      <c r="L202" s="181" t="str">
        <f>'Statement of Marks'!GQ204</f>
        <v/>
      </c>
      <c r="M202" s="181" t="str">
        <f>'Statement of Marks'!GT204</f>
        <v/>
      </c>
      <c r="N202" s="181" t="str">
        <f>'Statement of Marks'!HB204</f>
        <v/>
      </c>
      <c r="O202" s="181" t="str">
        <f>'Statement of Marks'!HE204</f>
        <v/>
      </c>
      <c r="P202" s="181" t="str">
        <f>'Statement of Marks'!HH204</f>
        <v/>
      </c>
      <c r="Q202" s="181" t="str">
        <f>'Statement of Marks'!HK204</f>
        <v/>
      </c>
      <c r="R202" s="173" t="str">
        <f>IF(COUNTIF(K202:Q202,"F")&gt;0,"",CONCATENATE('Statement of Marks'!HO204,'Statement of Marks'!HQ204))</f>
        <v xml:space="preserve">            </v>
      </c>
      <c r="S202" s="174">
        <f t="shared" si="54"/>
        <v>0</v>
      </c>
      <c r="T202" s="5"/>
      <c r="U202" s="182" t="str">
        <f t="shared" si="55"/>
        <v/>
      </c>
      <c r="V202" s="182" t="str">
        <f t="shared" si="56"/>
        <v/>
      </c>
      <c r="W202" s="5"/>
      <c r="X202" s="182" t="str">
        <f t="shared" si="57"/>
        <v/>
      </c>
      <c r="Y202" s="182" t="str">
        <f t="shared" si="58"/>
        <v/>
      </c>
      <c r="Z202" s="5"/>
      <c r="AA202" s="182" t="str">
        <f t="shared" si="59"/>
        <v/>
      </c>
      <c r="AB202" s="183" t="str">
        <f t="shared" si="60"/>
        <v/>
      </c>
      <c r="AC202" s="5"/>
      <c r="AD202" s="182" t="str">
        <f t="shared" si="61"/>
        <v/>
      </c>
      <c r="AE202" s="183" t="str">
        <f t="shared" si="62"/>
        <v/>
      </c>
      <c r="AF202" s="5"/>
      <c r="AG202" s="182" t="str">
        <f t="shared" si="63"/>
        <v/>
      </c>
      <c r="AH202" s="183" t="str">
        <f t="shared" si="64"/>
        <v/>
      </c>
      <c r="AI202" s="5"/>
      <c r="AJ202" s="183" t="str">
        <f t="shared" si="65"/>
        <v/>
      </c>
      <c r="AK202" s="183" t="str">
        <f t="shared" si="66"/>
        <v/>
      </c>
      <c r="AL202" s="5"/>
      <c r="AM202" s="183" t="str">
        <f t="shared" si="67"/>
        <v/>
      </c>
      <c r="AN202" s="183" t="str">
        <f t="shared" si="68"/>
        <v/>
      </c>
      <c r="AO202" s="184">
        <f t="shared" si="69"/>
        <v>0</v>
      </c>
      <c r="AP202" s="184">
        <f t="shared" si="70"/>
        <v>0</v>
      </c>
      <c r="AQ202" s="608" t="str">
        <f t="shared" si="71"/>
        <v/>
      </c>
      <c r="AR202" s="185" t="str">
        <f>IF(COUNTIF(K202:Q202,"F")&gt;0,"",IF(AQ202="PASS",'Statement of Marks'!HZ204,""))</f>
        <v/>
      </c>
      <c r="AS202" s="185" t="str">
        <f>IF(AQ202="PASS",'Statement of Marks'!IA204,"")</f>
        <v/>
      </c>
    </row>
    <row r="203" spans="1:45">
      <c r="A203" s="169">
        <f>IF('Statement of Marks'!A205="","",'Statement of Marks'!A205)</f>
        <v>199</v>
      </c>
      <c r="B203" s="169" t="str">
        <f>IF('Statement of Marks'!B205="","",'Statement of Marks'!B205)</f>
        <v/>
      </c>
      <c r="C203" s="169" t="str">
        <f>IF('Statement of Marks'!D205="","",'Statement of Marks'!D205)</f>
        <v/>
      </c>
      <c r="D203" s="170" t="str">
        <f>IF('Statement of Marks'!E205="","",'Statement of Marks'!E205)</f>
        <v/>
      </c>
      <c r="E203" s="171" t="str">
        <f>IF('Statement of Marks'!F205="","",'Statement of Marks'!F205)</f>
        <v/>
      </c>
      <c r="F203" s="171" t="str">
        <f>IF('Statement of Marks'!G205="","",'Statement of Marks'!G205)</f>
        <v/>
      </c>
      <c r="G203" s="171" t="str">
        <f>IF('Statement of Marks'!H205="","",'Statement of Marks'!H205)</f>
        <v/>
      </c>
      <c r="H203" s="172" t="str">
        <f>IF('Statement of Marks'!HS205="","",'Statement of Marks'!HS205)</f>
        <v/>
      </c>
      <c r="I203" s="172" t="str">
        <f>IF('Statement of Marks'!HV205="","",'Statement of Marks'!HV205)</f>
        <v/>
      </c>
      <c r="J203" s="173" t="str">
        <f>IF('Statement of Marks'!HU205="","",'Statement of Marks'!HU205)</f>
        <v/>
      </c>
      <c r="K203" s="181" t="str">
        <f>'Statement of Marks'!GN205</f>
        <v/>
      </c>
      <c r="L203" s="181" t="str">
        <f>'Statement of Marks'!GQ205</f>
        <v/>
      </c>
      <c r="M203" s="181" t="str">
        <f>'Statement of Marks'!GT205</f>
        <v/>
      </c>
      <c r="N203" s="181" t="str">
        <f>'Statement of Marks'!HB205</f>
        <v/>
      </c>
      <c r="O203" s="181" t="str">
        <f>'Statement of Marks'!HE205</f>
        <v/>
      </c>
      <c r="P203" s="181" t="str">
        <f>'Statement of Marks'!HH205</f>
        <v/>
      </c>
      <c r="Q203" s="181" t="str">
        <f>'Statement of Marks'!HK205</f>
        <v/>
      </c>
      <c r="R203" s="173" t="str">
        <f>IF(COUNTIF(K203:Q203,"F")&gt;0,"",CONCATENATE('Statement of Marks'!HO205,'Statement of Marks'!HQ205))</f>
        <v xml:space="preserve">            </v>
      </c>
      <c r="S203" s="174">
        <f t="shared" si="54"/>
        <v>0</v>
      </c>
      <c r="T203" s="5"/>
      <c r="U203" s="182" t="str">
        <f t="shared" si="55"/>
        <v/>
      </c>
      <c r="V203" s="182" t="str">
        <f t="shared" si="56"/>
        <v/>
      </c>
      <c r="W203" s="5"/>
      <c r="X203" s="182" t="str">
        <f t="shared" si="57"/>
        <v/>
      </c>
      <c r="Y203" s="182" t="str">
        <f t="shared" si="58"/>
        <v/>
      </c>
      <c r="Z203" s="5"/>
      <c r="AA203" s="182" t="str">
        <f t="shared" si="59"/>
        <v/>
      </c>
      <c r="AB203" s="183" t="str">
        <f t="shared" si="60"/>
        <v/>
      </c>
      <c r="AC203" s="5"/>
      <c r="AD203" s="182" t="str">
        <f t="shared" si="61"/>
        <v/>
      </c>
      <c r="AE203" s="183" t="str">
        <f t="shared" si="62"/>
        <v/>
      </c>
      <c r="AF203" s="5"/>
      <c r="AG203" s="182" t="str">
        <f t="shared" si="63"/>
        <v/>
      </c>
      <c r="AH203" s="183" t="str">
        <f t="shared" si="64"/>
        <v/>
      </c>
      <c r="AI203" s="5"/>
      <c r="AJ203" s="183" t="str">
        <f t="shared" si="65"/>
        <v/>
      </c>
      <c r="AK203" s="183" t="str">
        <f t="shared" si="66"/>
        <v/>
      </c>
      <c r="AL203" s="5"/>
      <c r="AM203" s="183" t="str">
        <f t="shared" si="67"/>
        <v/>
      </c>
      <c r="AN203" s="183" t="str">
        <f t="shared" si="68"/>
        <v/>
      </c>
      <c r="AO203" s="184">
        <f t="shared" si="69"/>
        <v>0</v>
      </c>
      <c r="AP203" s="184">
        <f t="shared" si="70"/>
        <v>0</v>
      </c>
      <c r="AQ203" s="608" t="str">
        <f t="shared" si="71"/>
        <v/>
      </c>
      <c r="AR203" s="185" t="str">
        <f>IF(COUNTIF(K203:Q203,"F")&gt;0,"",IF(AQ203="PASS",'Statement of Marks'!HZ205,""))</f>
        <v/>
      </c>
      <c r="AS203" s="185" t="str">
        <f>IF(AQ203="PASS",'Statement of Marks'!IA205,"")</f>
        <v/>
      </c>
    </row>
    <row r="204" spans="1:45">
      <c r="A204" s="169">
        <f>IF('Statement of Marks'!A206="","",'Statement of Marks'!A206)</f>
        <v>200</v>
      </c>
      <c r="B204" s="169" t="str">
        <f>IF('Statement of Marks'!B206="","",'Statement of Marks'!B206)</f>
        <v/>
      </c>
      <c r="C204" s="169" t="str">
        <f>IF('Statement of Marks'!D206="","",'Statement of Marks'!D206)</f>
        <v/>
      </c>
      <c r="D204" s="170" t="str">
        <f>IF('Statement of Marks'!E206="","",'Statement of Marks'!E206)</f>
        <v/>
      </c>
      <c r="E204" s="171" t="str">
        <f>IF('Statement of Marks'!F206="","",'Statement of Marks'!F206)</f>
        <v/>
      </c>
      <c r="F204" s="171" t="str">
        <f>IF('Statement of Marks'!G206="","",'Statement of Marks'!G206)</f>
        <v/>
      </c>
      <c r="G204" s="171" t="str">
        <f>IF('Statement of Marks'!H206="","",'Statement of Marks'!H206)</f>
        <v/>
      </c>
      <c r="H204" s="172" t="str">
        <f>IF('Statement of Marks'!HS206="","",'Statement of Marks'!HS206)</f>
        <v/>
      </c>
      <c r="I204" s="172" t="str">
        <f>IF('Statement of Marks'!HV206="","",'Statement of Marks'!HV206)</f>
        <v/>
      </c>
      <c r="J204" s="173" t="str">
        <f>IF('Statement of Marks'!HU206="","",'Statement of Marks'!HU206)</f>
        <v/>
      </c>
      <c r="K204" s="181" t="str">
        <f>'Statement of Marks'!GN206</f>
        <v/>
      </c>
      <c r="L204" s="181" t="str">
        <f>'Statement of Marks'!GQ206</f>
        <v/>
      </c>
      <c r="M204" s="181" t="str">
        <f>'Statement of Marks'!GT206</f>
        <v/>
      </c>
      <c r="N204" s="181" t="str">
        <f>'Statement of Marks'!HB206</f>
        <v/>
      </c>
      <c r="O204" s="181" t="str">
        <f>'Statement of Marks'!HE206</f>
        <v/>
      </c>
      <c r="P204" s="181" t="str">
        <f>'Statement of Marks'!HH206</f>
        <v/>
      </c>
      <c r="Q204" s="181" t="str">
        <f>'Statement of Marks'!HK206</f>
        <v/>
      </c>
      <c r="R204" s="173" t="str">
        <f>IF(COUNTIF(K204:Q204,"F")&gt;0,"",CONCATENATE('Statement of Marks'!HO206,'Statement of Marks'!HQ206))</f>
        <v xml:space="preserve">            </v>
      </c>
      <c r="S204" s="174">
        <f t="shared" si="54"/>
        <v>0</v>
      </c>
      <c r="T204" s="5"/>
      <c r="U204" s="182" t="str">
        <f t="shared" si="55"/>
        <v/>
      </c>
      <c r="V204" s="182" t="str">
        <f t="shared" si="56"/>
        <v/>
      </c>
      <c r="W204" s="5"/>
      <c r="X204" s="182" t="str">
        <f t="shared" si="57"/>
        <v/>
      </c>
      <c r="Y204" s="182" t="str">
        <f t="shared" si="58"/>
        <v/>
      </c>
      <c r="Z204" s="5"/>
      <c r="AA204" s="182" t="str">
        <f>IF(Z204="","",IF(OR(Z204="AB",M204="RE"),Z204,IF(AND(M204="S"),ROUNDUP(Z204,0),)))</f>
        <v/>
      </c>
      <c r="AB204" s="183" t="str">
        <f>IF(Z204="","",IF(OR(Z204="AB",Z204&lt;36%*$Z$4),"F","P"))</f>
        <v/>
      </c>
      <c r="AC204" s="5"/>
      <c r="AD204" s="182" t="str">
        <f t="shared" si="61"/>
        <v/>
      </c>
      <c r="AE204" s="183" t="str">
        <f t="shared" si="62"/>
        <v/>
      </c>
      <c r="AF204" s="5"/>
      <c r="AG204" s="182" t="str">
        <f t="shared" si="63"/>
        <v/>
      </c>
      <c r="AH204" s="183" t="str">
        <f t="shared" si="64"/>
        <v/>
      </c>
      <c r="AI204" s="5"/>
      <c r="AJ204" s="183" t="str">
        <f t="shared" si="65"/>
        <v/>
      </c>
      <c r="AK204" s="183" t="str">
        <f t="shared" si="66"/>
        <v/>
      </c>
      <c r="AL204" s="5"/>
      <c r="AM204" s="183" t="str">
        <f t="shared" si="67"/>
        <v/>
      </c>
      <c r="AN204" s="183" t="str">
        <f t="shared" si="68"/>
        <v/>
      </c>
      <c r="AO204" s="184">
        <f t="shared" si="69"/>
        <v>0</v>
      </c>
      <c r="AP204" s="184">
        <f t="shared" si="70"/>
        <v>0</v>
      </c>
      <c r="AQ204" s="608" t="str">
        <f t="shared" si="71"/>
        <v/>
      </c>
      <c r="AR204" s="185" t="str">
        <f>IF(COUNTIF(K204:Q204,"F")&gt;0,"",IF(AQ204="PASS",'Statement of Marks'!HZ206,""))</f>
        <v/>
      </c>
      <c r="AS204" s="185" t="str">
        <f>IF(AQ204="PASS",'Statement of Marks'!IA206,"")</f>
        <v/>
      </c>
    </row>
    <row r="205" spans="1:45" ht="15.75">
      <c r="A205" s="1366"/>
      <c r="B205" s="1367"/>
      <c r="C205" s="1367"/>
      <c r="D205" s="1367"/>
      <c r="E205" s="1367"/>
      <c r="F205" s="1367"/>
      <c r="G205" s="1367"/>
      <c r="H205" s="1367"/>
      <c r="I205" s="1367"/>
      <c r="J205" s="1367"/>
      <c r="K205" s="1367"/>
      <c r="L205" s="1367"/>
      <c r="M205" s="1367"/>
      <c r="N205" s="1367"/>
      <c r="O205" s="1367"/>
      <c r="P205" s="1367"/>
      <c r="Q205" s="1367"/>
      <c r="R205" s="1367"/>
      <c r="S205" s="1367"/>
      <c r="T205" s="1367"/>
      <c r="U205" s="1367"/>
      <c r="V205" s="1367"/>
      <c r="W205" s="1367"/>
      <c r="X205" s="1367"/>
      <c r="Y205" s="1367"/>
      <c r="Z205" s="1367"/>
      <c r="AA205" s="1367"/>
      <c r="AB205" s="1367"/>
      <c r="AC205" s="1367"/>
      <c r="AD205" s="1367"/>
      <c r="AE205" s="1367"/>
      <c r="AF205" s="1367"/>
      <c r="AG205" s="1367"/>
      <c r="AH205" s="1367"/>
      <c r="AI205" s="1367"/>
      <c r="AJ205" s="1367"/>
      <c r="AK205" s="1367"/>
      <c r="AL205" s="1367"/>
      <c r="AM205" s="1367"/>
      <c r="AN205" s="1367"/>
      <c r="AO205" s="1367"/>
      <c r="AP205" s="1367"/>
      <c r="AQ205" s="1367"/>
      <c r="AR205" s="1367"/>
      <c r="AS205" s="1367"/>
    </row>
    <row r="206" spans="1:45" ht="18.75">
      <c r="A206" s="187"/>
      <c r="B206" s="1377" t="str">
        <f>IF('School Profile'!$D$12="Hindi","विवरण","Details")</f>
        <v>विवरण</v>
      </c>
      <c r="C206" s="1377"/>
      <c r="D206" s="1377"/>
      <c r="E206" s="613" t="str">
        <f>IF('School Profile'!$D$12="Hindi","मुख्य परीक्षा","Main Exam")</f>
        <v>मुख्य परीक्षा</v>
      </c>
      <c r="F206" s="613" t="str">
        <f>IF('School Profile'!$D$12="Hindi","पूरक परीक्षा","Supp. Exam")</f>
        <v>पूरक परीक्षा</v>
      </c>
      <c r="G206" s="613" t="str">
        <f>IF('School Profile'!$D$12="Hindi","अंतिम परिणाम","Final Result")</f>
        <v>अंतिम परिणाम</v>
      </c>
      <c r="H206" s="1373"/>
      <c r="I206" s="1376" t="str">
        <f>IF('School Profile'!$D$12="Hindi","कुल प्रविष्ट","Total appeared")</f>
        <v>कुल प्रविष्ट</v>
      </c>
      <c r="J206" s="1376"/>
      <c r="K206" s="615">
        <f>SUM(K211,K213,K214,K215)</f>
        <v>30</v>
      </c>
      <c r="L206" s="615">
        <f t="shared" ref="L206:Q206" si="72">SUM(L211,L213,L214,L215)</f>
        <v>31</v>
      </c>
      <c r="M206" s="615">
        <f t="shared" si="72"/>
        <v>31</v>
      </c>
      <c r="N206" s="615">
        <f t="shared" si="72"/>
        <v>31</v>
      </c>
      <c r="O206" s="615">
        <f t="shared" si="72"/>
        <v>31</v>
      </c>
      <c r="P206" s="615">
        <f>SUM(P211,P213,P214,P215)</f>
        <v>31</v>
      </c>
      <c r="Q206" s="615">
        <f t="shared" si="72"/>
        <v>3</v>
      </c>
      <c r="R206" s="1363" t="str">
        <f>IF('School Profile'!$D$12="Hindi","हस्ताक्षर कक्षाध्यापक","Signature of the class teacher")</f>
        <v>हस्ताक्षर कक्षाध्यापक</v>
      </c>
      <c r="S206" s="1364" t="str">
        <f>CONCATENATE("( ",UPPER('School Profile'!D18)," )")</f>
        <v>( YOGESH )</v>
      </c>
      <c r="T206" s="1364"/>
      <c r="U206" s="1364"/>
      <c r="V206" s="1364"/>
      <c r="W206" s="1364"/>
      <c r="X206" s="1364"/>
      <c r="Y206" s="1364"/>
      <c r="Z206" s="188"/>
      <c r="AA206" s="188"/>
      <c r="AB206" s="188"/>
      <c r="AC206" s="188"/>
      <c r="AD206" s="188"/>
      <c r="AE206" s="188"/>
      <c r="AF206" s="188"/>
      <c r="AG206" s="188"/>
      <c r="AH206" s="188"/>
      <c r="AI206" s="188"/>
      <c r="AJ206" s="188"/>
      <c r="AK206" s="188"/>
      <c r="AL206" s="188"/>
      <c r="AM206" s="188"/>
      <c r="AN206" s="188"/>
      <c r="AO206" s="188"/>
      <c r="AP206" s="188"/>
      <c r="AQ206" s="188"/>
      <c r="AR206" s="188"/>
      <c r="AS206" s="189"/>
    </row>
    <row r="207" spans="1:45" ht="18.75">
      <c r="A207" s="190"/>
      <c r="B207" s="1372" t="str">
        <f>IF('School Profile'!$D$12="Hindi","कुल प्रविष्ट","Total appeared")</f>
        <v>कुल प्रविष्ट</v>
      </c>
      <c r="C207" s="1372"/>
      <c r="D207" s="1372"/>
      <c r="E207" s="191">
        <f>COUNTA(B5:B204)-COUNTIF(B5:B204,"0")-COUNTIF(B5:B204,"blank")-COUNTIF(B5:B204,"")-COUNTIF(B5:B204,"NSO")</f>
        <v>31</v>
      </c>
      <c r="F207" s="192">
        <f>COUNTIF(H5:H204,"SUPPLEMENTARY")</f>
        <v>1</v>
      </c>
      <c r="G207" s="191">
        <f>E207</f>
        <v>31</v>
      </c>
      <c r="H207" s="1374"/>
      <c r="I207" s="1372" t="str">
        <f>IF('School Profile'!$D$12="Hindi","विशेष योग्यता","Distinction Marks")</f>
        <v>विशेष योग्यता</v>
      </c>
      <c r="J207" s="1372"/>
      <c r="K207" s="193">
        <f>COUNTIF(K5:K204,"D")</f>
        <v>0</v>
      </c>
      <c r="L207" s="193">
        <f>COUNTIF(L5:L204,"D")</f>
        <v>27</v>
      </c>
      <c r="M207" s="193">
        <f>COUNTIF(M5:M204,"D")</f>
        <v>2</v>
      </c>
      <c r="N207" s="193">
        <f t="shared" ref="N207" si="73">COUNTIF(N5:N204,"D")</f>
        <v>1</v>
      </c>
      <c r="O207" s="193">
        <f>COUNTIF(O5:O204,"D")</f>
        <v>0</v>
      </c>
      <c r="P207" s="193">
        <f>COUNTIF(P5:P204,"D")</f>
        <v>0</v>
      </c>
      <c r="Q207" s="193">
        <f>COUNTIF(Q5:Q204,"D")</f>
        <v>2</v>
      </c>
      <c r="R207" s="1359"/>
      <c r="S207" s="1365"/>
      <c r="T207" s="1365"/>
      <c r="U207" s="1365"/>
      <c r="V207" s="1365"/>
      <c r="W207" s="1365"/>
      <c r="X207" s="1365"/>
      <c r="Y207" s="1365"/>
      <c r="Z207" s="194"/>
      <c r="AA207" s="194"/>
      <c r="AB207" s="194"/>
      <c r="AC207" s="194"/>
      <c r="AD207" s="194"/>
      <c r="AE207" s="194"/>
      <c r="AF207" s="194"/>
      <c r="AG207" s="194"/>
      <c r="AH207" s="194"/>
      <c r="AI207" s="194"/>
      <c r="AJ207" s="194"/>
      <c r="AK207" s="194"/>
      <c r="AL207" s="194"/>
      <c r="AM207" s="194"/>
      <c r="AN207" s="194"/>
      <c r="AO207" s="194"/>
      <c r="AP207" s="194"/>
      <c r="AQ207" s="194"/>
      <c r="AR207" s="194"/>
      <c r="AS207" s="195"/>
    </row>
    <row r="208" spans="1:45" ht="18.75">
      <c r="A208" s="190"/>
      <c r="B208" s="1372" t="str">
        <f>IF('School Profile'!$D$12="Hindi","प्रथम श्रेणी","1st Div.")</f>
        <v>प्रथम श्रेणी</v>
      </c>
      <c r="C208" s="1372"/>
      <c r="D208" s="1372"/>
      <c r="E208" s="196">
        <f>COUNTIF(I5:I204,"1st")</f>
        <v>23</v>
      </c>
      <c r="F208" s="196">
        <f>COUNTIF(AS5:AS204,"I")</f>
        <v>1</v>
      </c>
      <c r="G208" s="197">
        <f>SUM(E208,F208)</f>
        <v>24</v>
      </c>
      <c r="H208" s="1374"/>
      <c r="I208" s="1372" t="str">
        <f>IF('School Profile'!$D$12="Hindi","प्रथम श्रेणी","1st Div.")</f>
        <v>प्रथम श्रेणी</v>
      </c>
      <c r="J208" s="1372"/>
      <c r="K208" s="198">
        <f>COUNTIF(K5:K204,"I")</f>
        <v>22</v>
      </c>
      <c r="L208" s="198">
        <f t="shared" ref="L208:P208" si="74">COUNTIF(L5:L204,"I")</f>
        <v>3</v>
      </c>
      <c r="M208" s="198">
        <f t="shared" si="74"/>
        <v>1</v>
      </c>
      <c r="N208" s="198">
        <f t="shared" si="74"/>
        <v>1</v>
      </c>
      <c r="O208" s="198">
        <f t="shared" si="74"/>
        <v>1</v>
      </c>
      <c r="P208" s="198">
        <f t="shared" si="74"/>
        <v>3</v>
      </c>
      <c r="Q208" s="198">
        <f>COUNTIF(Q5:Q204,"I")</f>
        <v>0</v>
      </c>
      <c r="R208" s="1359"/>
      <c r="S208" s="1365"/>
      <c r="T208" s="1365"/>
      <c r="U208" s="1365"/>
      <c r="V208" s="1365"/>
      <c r="W208" s="1365"/>
      <c r="X208" s="1365"/>
      <c r="Y208" s="1365"/>
      <c r="Z208" s="194"/>
      <c r="AA208" s="194"/>
      <c r="AB208" s="194"/>
      <c r="AC208" s="194"/>
      <c r="AD208" s="194"/>
      <c r="AE208" s="194"/>
      <c r="AF208" s="194"/>
      <c r="AG208" s="194"/>
      <c r="AH208" s="194"/>
      <c r="AI208" s="194"/>
      <c r="AJ208" s="194"/>
      <c r="AK208" s="194"/>
      <c r="AL208" s="194"/>
      <c r="AM208" s="194"/>
      <c r="AN208" s="194"/>
      <c r="AO208" s="194"/>
      <c r="AP208" s="194"/>
      <c r="AQ208" s="194"/>
      <c r="AR208" s="194"/>
      <c r="AS208" s="195"/>
    </row>
    <row r="209" spans="1:45" ht="18.75">
      <c r="A209" s="199"/>
      <c r="B209" s="1372" t="str">
        <f>IF('School Profile'!$D$12="Hindi","द्वितीय श्रेणी","2nd Div.")</f>
        <v>द्वितीय श्रेणी</v>
      </c>
      <c r="C209" s="1372"/>
      <c r="D209" s="1372"/>
      <c r="E209" s="193">
        <f>COUNTIF(I5:I204,"2nd")</f>
        <v>5</v>
      </c>
      <c r="F209" s="193">
        <f>COUNTIF(AS5:AS204,"II")</f>
        <v>0</v>
      </c>
      <c r="G209" s="197">
        <f t="shared" ref="G209:G210" si="75">SUM(E209,F209)</f>
        <v>5</v>
      </c>
      <c r="H209" s="1374"/>
      <c r="I209" s="1372" t="str">
        <f>IF('School Profile'!$D$12="Hindi","द्वितीय श्रेणी","2nd Div.")</f>
        <v>द्वितीय श्रेणी</v>
      </c>
      <c r="J209" s="1372"/>
      <c r="K209" s="198">
        <f>COUNTIF(K5:K204,"II")</f>
        <v>7</v>
      </c>
      <c r="L209" s="198">
        <f t="shared" ref="L209:P209" si="76">COUNTIF(L5:L204,"II")</f>
        <v>0</v>
      </c>
      <c r="M209" s="198">
        <f t="shared" si="76"/>
        <v>28</v>
      </c>
      <c r="N209" s="198">
        <f t="shared" si="76"/>
        <v>22</v>
      </c>
      <c r="O209" s="198">
        <f t="shared" si="76"/>
        <v>29</v>
      </c>
      <c r="P209" s="198">
        <f t="shared" si="76"/>
        <v>28</v>
      </c>
      <c r="Q209" s="198">
        <f>COUNTIF(Q5:Q204,"II")</f>
        <v>1</v>
      </c>
      <c r="R209" s="1359" t="str">
        <f>IF('School Profile'!$D$12="Hindi","हस्ताक्षर जांचकर्ता","Signature of the checker")</f>
        <v>हस्ताक्षर जांचकर्ता</v>
      </c>
      <c r="S209" s="1365" t="str">
        <f>CONCATENATE("( ",UPPER('School Profile'!D16)," )")</f>
        <v>( RAKESH KUMAR )</v>
      </c>
      <c r="T209" s="1365"/>
      <c r="U209" s="1365"/>
      <c r="V209" s="1365"/>
      <c r="W209" s="1365"/>
      <c r="X209" s="1365"/>
      <c r="Y209" s="1365"/>
      <c r="Z209" s="194"/>
      <c r="AA209" s="194"/>
      <c r="AB209" s="194"/>
      <c r="AC209" s="194"/>
      <c r="AD209" s="194"/>
      <c r="AE209" s="194"/>
      <c r="AF209" s="194"/>
      <c r="AG209" s="194"/>
      <c r="AH209" s="194"/>
      <c r="AI209" s="194"/>
      <c r="AJ209" s="194"/>
      <c r="AK209" s="194"/>
      <c r="AL209" s="194"/>
      <c r="AM209" s="194"/>
      <c r="AN209" s="194"/>
      <c r="AO209" s="194"/>
      <c r="AP209" s="194"/>
      <c r="AQ209" s="194"/>
      <c r="AR209" s="194"/>
      <c r="AS209" s="195"/>
    </row>
    <row r="210" spans="1:45" ht="18.75">
      <c r="A210" s="200"/>
      <c r="B210" s="1372" t="str">
        <f>IF('School Profile'!$D$12="Hindi","तृतीय श्रेणी","3rd Div.")</f>
        <v>तृतीय श्रेणी</v>
      </c>
      <c r="C210" s="1372"/>
      <c r="D210" s="1372"/>
      <c r="E210" s="192">
        <f>COUNTIF(I5:I204,"3rd")</f>
        <v>0</v>
      </c>
      <c r="F210" s="196">
        <f>COUNTIF(AS5:AS204,"III")</f>
        <v>0</v>
      </c>
      <c r="G210" s="197">
        <f t="shared" si="75"/>
        <v>0</v>
      </c>
      <c r="H210" s="1374"/>
      <c r="I210" s="1372" t="str">
        <f>IF('School Profile'!$D$12="Hindi","तृतीय श्रेणी","3rd Div.")</f>
        <v>तृतीय श्रेणी</v>
      </c>
      <c r="J210" s="1372"/>
      <c r="K210" s="201">
        <f>COUNTIF(K5:K204,"III")+COUNTIF(K5:K204,"G")</f>
        <v>0</v>
      </c>
      <c r="L210" s="201">
        <f t="shared" ref="L210:P210" si="77">COUNTIF(L5:L204,"III")+COUNTIF(L5:L204,"G")</f>
        <v>1</v>
      </c>
      <c r="M210" s="201">
        <f t="shared" si="77"/>
        <v>0</v>
      </c>
      <c r="N210" s="201">
        <f t="shared" si="77"/>
        <v>6</v>
      </c>
      <c r="O210" s="201">
        <f t="shared" si="77"/>
        <v>1</v>
      </c>
      <c r="P210" s="201">
        <f t="shared" si="77"/>
        <v>0</v>
      </c>
      <c r="Q210" s="201">
        <f>COUNTIF(Q5:Q204,"III")+COUNTIF(Q5:Q204,"G")</f>
        <v>0</v>
      </c>
      <c r="R210" s="1359"/>
      <c r="S210" s="1365"/>
      <c r="T210" s="1365"/>
      <c r="U210" s="1365"/>
      <c r="V210" s="1365"/>
      <c r="W210" s="1365"/>
      <c r="X210" s="1365"/>
      <c r="Y210" s="1365"/>
      <c r="Z210" s="194"/>
      <c r="AA210" s="194"/>
      <c r="AB210" s="194"/>
      <c r="AC210" s="194"/>
      <c r="AD210" s="194"/>
      <c r="AE210" s="194"/>
      <c r="AF210" s="194"/>
      <c r="AG210" s="194"/>
      <c r="AH210" s="194"/>
      <c r="AI210" s="194"/>
      <c r="AJ210" s="194"/>
      <c r="AK210" s="194"/>
      <c r="AL210" s="194"/>
      <c r="AM210" s="194"/>
      <c r="AN210" s="194"/>
      <c r="AO210" s="194"/>
      <c r="AP210" s="194"/>
      <c r="AQ210" s="194"/>
      <c r="AR210" s="194"/>
      <c r="AS210" s="195"/>
    </row>
    <row r="211" spans="1:45" ht="18.75" customHeight="1">
      <c r="A211" s="202"/>
      <c r="B211" s="1372" t="str">
        <f>IF('School Profile'!$D$12="Hindi","उतीर्ण","Pass")</f>
        <v>उतीर्ण</v>
      </c>
      <c r="C211" s="1372"/>
      <c r="D211" s="1372"/>
      <c r="E211" s="191">
        <f>COUNTIF(H5:H204,"PASS")+COUNTIF(H5:H204,"BY GRACE PASS")</f>
        <v>28</v>
      </c>
      <c r="F211" s="203">
        <f>COUNTIF(AQ5:AQ204,"PASS")</f>
        <v>1</v>
      </c>
      <c r="G211" s="197">
        <f>SUM(E211,F211)</f>
        <v>29</v>
      </c>
      <c r="H211" s="1374"/>
      <c r="I211" s="1372" t="str">
        <f>IF('School Profile'!$D$12="Hindi","उतीर्ण","Pass")</f>
        <v>उतीर्ण</v>
      </c>
      <c r="J211" s="1372"/>
      <c r="K211" s="201">
        <f>SUM(K207,K208,K209,K210)</f>
        <v>29</v>
      </c>
      <c r="L211" s="201">
        <f t="shared" ref="L211:P211" si="78">SUM(L207,L208,L209,L210)</f>
        <v>31</v>
      </c>
      <c r="M211" s="201">
        <f t="shared" si="78"/>
        <v>31</v>
      </c>
      <c r="N211" s="201">
        <f t="shared" si="78"/>
        <v>30</v>
      </c>
      <c r="O211" s="201">
        <f t="shared" si="78"/>
        <v>31</v>
      </c>
      <c r="P211" s="201">
        <f t="shared" si="78"/>
        <v>31</v>
      </c>
      <c r="Q211" s="201">
        <f>SUM(Q207,Q208,Q209,Q210)</f>
        <v>3</v>
      </c>
      <c r="R211" s="1359"/>
      <c r="S211" s="1365"/>
      <c r="T211" s="1365"/>
      <c r="U211" s="1365"/>
      <c r="V211" s="1365"/>
      <c r="W211" s="1365"/>
      <c r="X211" s="1365"/>
      <c r="Y211" s="1365"/>
      <c r="Z211" s="194"/>
      <c r="AA211" s="194"/>
      <c r="AB211" s="194"/>
      <c r="AC211" s="194"/>
      <c r="AD211" s="194"/>
      <c r="AE211" s="194"/>
      <c r="AF211" s="194"/>
      <c r="AG211" s="194"/>
      <c r="AH211" s="194"/>
      <c r="AI211" s="194"/>
      <c r="AJ211" s="194"/>
      <c r="AK211" s="194"/>
      <c r="AL211" s="194"/>
      <c r="AM211" s="194"/>
      <c r="AN211" s="194"/>
      <c r="AO211" s="194"/>
      <c r="AP211" s="194"/>
      <c r="AQ211" s="194"/>
      <c r="AR211" s="194"/>
      <c r="AS211" s="195"/>
    </row>
    <row r="212" spans="1:45" ht="33.75" customHeight="1">
      <c r="A212" s="202"/>
      <c r="B212" s="1372" t="str">
        <f>IF('School Profile'!$D$12="Hindi","उतीर्ण प्रतिशत","Pass %")</f>
        <v>उतीर्ण प्रतिशत</v>
      </c>
      <c r="C212" s="1372"/>
      <c r="D212" s="1372"/>
      <c r="E212" s="614">
        <f>IF(E207=0,"",E211/E207*100)</f>
        <v>90.322580645161281</v>
      </c>
      <c r="F212" s="614">
        <f>IF(F207=0,"",F211/F207*100)</f>
        <v>100</v>
      </c>
      <c r="G212" s="614">
        <f>IF(G207=0,"",G211/G207*100)</f>
        <v>93.548387096774192</v>
      </c>
      <c r="H212" s="1374"/>
      <c r="I212" s="1372" t="str">
        <f>IF('School Profile'!$D$12="Hindi","उतीर्ण प्रतिशत","Pass %")</f>
        <v>उतीर्ण प्रतिशत</v>
      </c>
      <c r="J212" s="1372"/>
      <c r="K212" s="205">
        <f>IF(K206=0,"",K211/K206*100)</f>
        <v>96.666666666666671</v>
      </c>
      <c r="L212" s="205">
        <f t="shared" ref="L212:Q212" si="79">IF(L206=0,"",L211/L206*100)</f>
        <v>100</v>
      </c>
      <c r="M212" s="205">
        <f t="shared" si="79"/>
        <v>100</v>
      </c>
      <c r="N212" s="205">
        <f>IF(N206=0,"",N211/N206*100)</f>
        <v>96.774193548387103</v>
      </c>
      <c r="O212" s="205">
        <f t="shared" si="79"/>
        <v>100</v>
      </c>
      <c r="P212" s="205">
        <f t="shared" si="79"/>
        <v>100</v>
      </c>
      <c r="Q212" s="205">
        <f t="shared" si="79"/>
        <v>100</v>
      </c>
      <c r="R212" s="1359" t="str">
        <f>IF('School Profile'!$D$12="Hindi","हस्ताक्षर परीक्षा प्रभारी","Signature of the exam. Incharge")</f>
        <v>हस्ताक्षर परीक्षा प्रभारी</v>
      </c>
      <c r="S212" s="1365" t="str">
        <f>CONCATENATE("( ",UPPER('School Profile'!D15)," )")</f>
        <v>( HEERALAL JAT )</v>
      </c>
      <c r="T212" s="1365"/>
      <c r="U212" s="1365"/>
      <c r="V212" s="1365"/>
      <c r="W212" s="1365"/>
      <c r="X212" s="1365"/>
      <c r="Y212" s="1365"/>
      <c r="Z212" s="194"/>
      <c r="AA212" s="194"/>
      <c r="AB212" s="194"/>
      <c r="AC212" s="194"/>
      <c r="AD212" s="194"/>
      <c r="AE212" s="194"/>
      <c r="AF212" s="194"/>
      <c r="AG212" s="194"/>
      <c r="AH212" s="194"/>
      <c r="AI212" s="194"/>
      <c r="AJ212" s="194"/>
      <c r="AK212" s="194"/>
      <c r="AL212" s="194"/>
      <c r="AM212" s="194"/>
      <c r="AN212" s="194"/>
      <c r="AO212" s="194"/>
      <c r="AP212" s="194"/>
      <c r="AQ212" s="194"/>
      <c r="AR212" s="194"/>
      <c r="AS212" s="195"/>
    </row>
    <row r="213" spans="1:45" ht="18.75">
      <c r="A213" s="202"/>
      <c r="B213" s="1372" t="str">
        <f>IF('School Profile'!$D$12="Hindi","अनुतीर्ण","Failed")</f>
        <v>अनुतीर्ण</v>
      </c>
      <c r="C213" s="1372"/>
      <c r="D213" s="1372"/>
      <c r="E213" s="206">
        <f>COUNTIF(H5:H204,"FAIL")</f>
        <v>2</v>
      </c>
      <c r="F213" s="207">
        <f>COUNTIF(AQ5:AQ204,"FAIL")</f>
        <v>0</v>
      </c>
      <c r="G213" s="208">
        <f>E213</f>
        <v>2</v>
      </c>
      <c r="H213" s="1374"/>
      <c r="I213" s="1372" t="str">
        <f>IF('School Profile'!$D$12="Hindi","पूरक","Supp.")</f>
        <v>पूरक</v>
      </c>
      <c r="J213" s="1372"/>
      <c r="K213" s="209">
        <f t="shared" ref="K213" si="80">COUNTIF(K5:K204,"S")</f>
        <v>0</v>
      </c>
      <c r="L213" s="209">
        <f t="shared" ref="L213:Q213" si="81">COUNTIF(L5:L204,"S")</f>
        <v>0</v>
      </c>
      <c r="M213" s="209">
        <f t="shared" si="81"/>
        <v>0</v>
      </c>
      <c r="N213" s="209">
        <f t="shared" si="81"/>
        <v>1</v>
      </c>
      <c r="O213" s="209">
        <f t="shared" si="81"/>
        <v>0</v>
      </c>
      <c r="P213" s="209">
        <f t="shared" si="81"/>
        <v>0</v>
      </c>
      <c r="Q213" s="209">
        <f t="shared" si="81"/>
        <v>0</v>
      </c>
      <c r="R213" s="1359"/>
      <c r="S213" s="1365"/>
      <c r="T213" s="1365"/>
      <c r="U213" s="1365"/>
      <c r="V213" s="1365"/>
      <c r="W213" s="1365"/>
      <c r="X213" s="1365"/>
      <c r="Y213" s="1365"/>
      <c r="Z213" s="194"/>
      <c r="AA213" s="194"/>
      <c r="AB213" s="194"/>
      <c r="AC213" s="194"/>
      <c r="AD213" s="194"/>
      <c r="AE213" s="194"/>
      <c r="AF213" s="194"/>
      <c r="AG213" s="194"/>
      <c r="AH213" s="194"/>
      <c r="AI213" s="194"/>
      <c r="AJ213" s="194"/>
      <c r="AK213" s="194"/>
      <c r="AL213" s="194"/>
      <c r="AM213" s="194"/>
      <c r="AN213" s="194"/>
      <c r="AO213" s="194"/>
      <c r="AP213" s="194"/>
      <c r="AQ213" s="194"/>
      <c r="AR213" s="194"/>
      <c r="AS213" s="195"/>
    </row>
    <row r="214" spans="1:45" ht="18.75" customHeight="1">
      <c r="A214" s="202"/>
      <c r="B214" s="1372" t="str">
        <f>IF('School Profile'!$D$12="Hindi","पूरक","Supp.")</f>
        <v>पूरक</v>
      </c>
      <c r="C214" s="1372"/>
      <c r="D214" s="1379"/>
      <c r="E214" s="210">
        <f>COUNTIF(H5:H204,"SUPPLEMENTARY")</f>
        <v>1</v>
      </c>
      <c r="F214" s="211">
        <f>COUNTIF(AQ5:AQ204,"SUPPLEMENTARY")</f>
        <v>0</v>
      </c>
      <c r="G214" s="211">
        <f>F214</f>
        <v>0</v>
      </c>
      <c r="H214" s="1374"/>
      <c r="I214" s="1372" t="str">
        <f>IF('School Profile'!$D$12="Hindi","अनुतीर्ण","Failed")</f>
        <v>अनुतीर्ण</v>
      </c>
      <c r="J214" s="1372"/>
      <c r="K214" s="209">
        <f t="shared" ref="K214" si="82">COUNTIF(K5:K204,"F")</f>
        <v>1</v>
      </c>
      <c r="L214" s="209">
        <f t="shared" ref="L214:P214" si="83">COUNTIF(L5:L204,"F")</f>
        <v>0</v>
      </c>
      <c r="M214" s="209">
        <f t="shared" si="83"/>
        <v>0</v>
      </c>
      <c r="N214" s="209">
        <f t="shared" si="83"/>
        <v>0</v>
      </c>
      <c r="O214" s="209">
        <f t="shared" si="83"/>
        <v>0</v>
      </c>
      <c r="P214" s="209">
        <f t="shared" si="83"/>
        <v>0</v>
      </c>
      <c r="Q214" s="209">
        <f>COUNTIF(Q5:Q204,"F")</f>
        <v>0</v>
      </c>
      <c r="R214" s="1359" t="str">
        <f>IF('School Profile'!$D$12="Hindi","हस्ताक्षर संस्था प्रधान","Head of Institute's Signature")</f>
        <v>हस्ताक्षर संस्था प्रधान</v>
      </c>
      <c r="S214" s="1365" t="str">
        <f>CONCATENATE("( ",UPPER('School Profile'!D14)," )")</f>
        <v>( DEWANAND )</v>
      </c>
      <c r="T214" s="1365"/>
      <c r="U214" s="1365"/>
      <c r="V214" s="1365"/>
      <c r="W214" s="1365"/>
      <c r="X214" s="1365"/>
      <c r="Y214" s="1365"/>
      <c r="Z214" s="194"/>
      <c r="AA214" s="194"/>
      <c r="AB214" s="194"/>
      <c r="AC214" s="194"/>
      <c r="AD214" s="194"/>
      <c r="AE214" s="194"/>
      <c r="AF214" s="194"/>
      <c r="AG214" s="194"/>
      <c r="AH214" s="194"/>
      <c r="AI214" s="194"/>
      <c r="AJ214" s="194"/>
      <c r="AK214" s="194"/>
      <c r="AL214" s="194"/>
      <c r="AM214" s="194"/>
      <c r="AN214" s="194"/>
      <c r="AO214" s="194"/>
      <c r="AP214" s="194"/>
      <c r="AQ214" s="194"/>
      <c r="AR214" s="194"/>
      <c r="AS214" s="195"/>
    </row>
    <row r="215" spans="1:45" ht="18.75" customHeight="1">
      <c r="A215" s="190"/>
      <c r="B215" s="1379" t="str">
        <f>IF('School Profile'!$D$12="Hindi","पूरक परीक्षा परिणाम घोषित दिनांक :-","Date of Supplementary result declaration :-")</f>
        <v>पूरक परीक्षा परिणाम घोषित दिनांक :-</v>
      </c>
      <c r="C215" s="1380"/>
      <c r="D215" s="1380"/>
      <c r="E215" s="1381"/>
      <c r="F215" s="1382"/>
      <c r="G215" s="212">
        <f>'School Profile'!D19</f>
        <v>45845</v>
      </c>
      <c r="H215" s="1375"/>
      <c r="I215" s="1372" t="str">
        <f>IF('School Profile'!$D$12="Hindi","पुनः परीक्षा","Re-Exam")</f>
        <v>पुनः परीक्षा</v>
      </c>
      <c r="J215" s="1372"/>
      <c r="K215" s="209">
        <f t="shared" ref="K215" si="84">COUNTIF(K5:K204,"RE")</f>
        <v>0</v>
      </c>
      <c r="L215" s="209">
        <f t="shared" ref="L215:Q215" si="85">COUNTIF(L5:L204,"RE")</f>
        <v>0</v>
      </c>
      <c r="M215" s="209">
        <f t="shared" si="85"/>
        <v>0</v>
      </c>
      <c r="N215" s="209">
        <f>COUNTIF(N5:N204,"RE")</f>
        <v>0</v>
      </c>
      <c r="O215" s="209">
        <f t="shared" si="85"/>
        <v>0</v>
      </c>
      <c r="P215" s="209">
        <f t="shared" si="85"/>
        <v>0</v>
      </c>
      <c r="Q215" s="209">
        <f t="shared" si="85"/>
        <v>0</v>
      </c>
      <c r="R215" s="1359"/>
      <c r="S215" s="1365"/>
      <c r="T215" s="1365"/>
      <c r="U215" s="1365"/>
      <c r="V215" s="1365"/>
      <c r="W215" s="1365"/>
      <c r="X215" s="1365"/>
      <c r="Y215" s="1365"/>
      <c r="Z215" s="21"/>
      <c r="AA215" s="21"/>
      <c r="AB215" s="21"/>
      <c r="AC215" s="21"/>
      <c r="AD215" s="1378"/>
      <c r="AE215" s="1378"/>
      <c r="AF215" s="1378"/>
      <c r="AG215" s="1378"/>
      <c r="AH215" s="21"/>
      <c r="AI215" s="21"/>
      <c r="AJ215" s="21"/>
      <c r="AK215" s="21"/>
      <c r="AL215" s="21"/>
      <c r="AM215" s="21"/>
      <c r="AN215" s="21"/>
      <c r="AO215" s="21"/>
      <c r="AP215" s="21"/>
      <c r="AQ215" s="21"/>
      <c r="AR215" s="21"/>
      <c r="AS215" s="213"/>
    </row>
    <row r="216" spans="1:45" ht="18.75" customHeight="1">
      <c r="A216" s="190"/>
      <c r="B216" s="1383"/>
      <c r="C216" s="1384"/>
      <c r="D216" s="1384"/>
      <c r="E216" s="1384"/>
      <c r="F216" s="1384"/>
      <c r="G216" s="1384"/>
      <c r="H216" s="1385"/>
      <c r="I216" s="1372" t="str">
        <f>IF('School Profile'!$D$12="Hindi","अनुपस्थित","Absent")</f>
        <v>अनुपस्थित</v>
      </c>
      <c r="J216" s="1372"/>
      <c r="K216" s="209">
        <f t="shared" ref="K216" si="86">COUNTIF(K5:K204,"AB")</f>
        <v>1</v>
      </c>
      <c r="L216" s="209">
        <f t="shared" ref="L216:Q216" si="87">COUNTIF(L5:L204,"AB")</f>
        <v>0</v>
      </c>
      <c r="M216" s="209">
        <f t="shared" si="87"/>
        <v>0</v>
      </c>
      <c r="N216" s="209">
        <f t="shared" si="87"/>
        <v>0</v>
      </c>
      <c r="O216" s="209">
        <f t="shared" si="87"/>
        <v>0</v>
      </c>
      <c r="P216" s="209">
        <f t="shared" si="87"/>
        <v>0</v>
      </c>
      <c r="Q216" s="209">
        <f t="shared" si="87"/>
        <v>0</v>
      </c>
      <c r="R216" s="1359"/>
      <c r="S216" s="1365"/>
      <c r="T216" s="1365"/>
      <c r="U216" s="1365"/>
      <c r="V216" s="1365"/>
      <c r="W216" s="1365"/>
      <c r="X216" s="1365"/>
      <c r="Y216" s="1365"/>
      <c r="Z216" s="21"/>
      <c r="AA216" s="21"/>
      <c r="AB216" s="21"/>
      <c r="AC216" s="21"/>
      <c r="AD216" s="1378"/>
      <c r="AE216" s="1378"/>
      <c r="AF216" s="1378"/>
      <c r="AG216" s="1378"/>
      <c r="AH216" s="21"/>
      <c r="AI216" s="21"/>
      <c r="AJ216" s="21"/>
      <c r="AK216" s="21"/>
      <c r="AL216" s="21"/>
      <c r="AM216" s="21"/>
      <c r="AN216" s="21"/>
      <c r="AO216" s="21"/>
      <c r="AP216" s="21"/>
      <c r="AQ216" s="21"/>
      <c r="AR216" s="21"/>
      <c r="AS216" s="213"/>
    </row>
    <row r="217" spans="1:45">
      <c r="A217" s="611"/>
      <c r="B217" s="612"/>
      <c r="C217" s="612"/>
      <c r="D217" s="612"/>
      <c r="E217" s="612"/>
      <c r="F217" s="612"/>
      <c r="G217" s="214"/>
      <c r="H217" s="214"/>
      <c r="I217" s="214"/>
      <c r="J217" s="214"/>
      <c r="K217" s="214"/>
      <c r="L217" s="214"/>
      <c r="M217" s="214"/>
      <c r="N217" s="214"/>
      <c r="O217" s="214"/>
      <c r="P217" s="214"/>
      <c r="Q217" s="214"/>
      <c r="R217" s="214"/>
      <c r="S217" s="214"/>
      <c r="T217" s="214"/>
      <c r="U217" s="214"/>
      <c r="V217" s="214"/>
      <c r="W217" s="214"/>
      <c r="X217" s="214"/>
      <c r="Y217" s="214"/>
      <c r="Z217" s="214"/>
      <c r="AA217" s="214"/>
      <c r="AB217" s="214"/>
      <c r="AC217" s="214"/>
      <c r="AD217" s="214"/>
      <c r="AE217" s="214"/>
      <c r="AF217" s="214"/>
      <c r="AG217" s="214"/>
      <c r="AH217" s="214"/>
      <c r="AI217" s="214"/>
      <c r="AJ217" s="214"/>
      <c r="AK217" s="214"/>
      <c r="AL217" s="214"/>
      <c r="AM217" s="214"/>
      <c r="AN217" s="214"/>
      <c r="AO217" s="214"/>
      <c r="AP217" s="214"/>
      <c r="AQ217" s="214"/>
      <c r="AR217" s="214"/>
      <c r="AS217" s="215"/>
    </row>
    <row r="218" spans="1:45" ht="18.75">
      <c r="D218" s="333"/>
      <c r="E218" s="333"/>
    </row>
    <row r="219" spans="1:45">
      <c r="D219" s="21"/>
      <c r="E219" s="21"/>
    </row>
    <row r="220" spans="1:45"/>
  </sheetData>
  <sheetProtection password="D5A2" sheet="1" objects="1" scenarios="1" formatColumns="0" formatRows="0"/>
  <mergeCells count="70">
    <mergeCell ref="AD215:AG216"/>
    <mergeCell ref="I216:J216"/>
    <mergeCell ref="B212:D212"/>
    <mergeCell ref="I212:J212"/>
    <mergeCell ref="R212:R213"/>
    <mergeCell ref="S212:Y213"/>
    <mergeCell ref="B213:D213"/>
    <mergeCell ref="I213:J213"/>
    <mergeCell ref="B215:F215"/>
    <mergeCell ref="B214:D214"/>
    <mergeCell ref="I214:J214"/>
    <mergeCell ref="R214:R216"/>
    <mergeCell ref="S214:Y216"/>
    <mergeCell ref="I215:J215"/>
    <mergeCell ref="B216:H216"/>
    <mergeCell ref="R209:R211"/>
    <mergeCell ref="S209:Y211"/>
    <mergeCell ref="B210:D210"/>
    <mergeCell ref="I210:J210"/>
    <mergeCell ref="B211:D211"/>
    <mergeCell ref="B207:D207"/>
    <mergeCell ref="I207:J207"/>
    <mergeCell ref="B208:D208"/>
    <mergeCell ref="I208:J208"/>
    <mergeCell ref="H206:H215"/>
    <mergeCell ref="B209:D209"/>
    <mergeCell ref="I209:J209"/>
    <mergeCell ref="I206:J206"/>
    <mergeCell ref="I211:J211"/>
    <mergeCell ref="B206:D206"/>
    <mergeCell ref="AQ2:AS2"/>
    <mergeCell ref="P3:P4"/>
    <mergeCell ref="AO2:AO3"/>
    <mergeCell ref="N3:N4"/>
    <mergeCell ref="AI2:AK2"/>
    <mergeCell ref="AL2:AN2"/>
    <mergeCell ref="K2:Q2"/>
    <mergeCell ref="Z2:AB2"/>
    <mergeCell ref="R206:R208"/>
    <mergeCell ref="F3:F4"/>
    <mergeCell ref="Q3:Q4"/>
    <mergeCell ref="R4:S4"/>
    <mergeCell ref="S206:Y208"/>
    <mergeCell ref="A205:AS205"/>
    <mergeCell ref="G3:G4"/>
    <mergeCell ref="H3:H4"/>
    <mergeCell ref="I3:I4"/>
    <mergeCell ref="J3:J4"/>
    <mergeCell ref="K3:K4"/>
    <mergeCell ref="L3:L4"/>
    <mergeCell ref="A3:A4"/>
    <mergeCell ref="B3:B4"/>
    <mergeCell ref="C3:C4"/>
    <mergeCell ref="D3:D4"/>
    <mergeCell ref="A1:J1"/>
    <mergeCell ref="K1:R1"/>
    <mergeCell ref="AP2:AP3"/>
    <mergeCell ref="C2:E2"/>
    <mergeCell ref="G2:J2"/>
    <mergeCell ref="S1:AS1"/>
    <mergeCell ref="A2:B2"/>
    <mergeCell ref="R2:R3"/>
    <mergeCell ref="S2:S3"/>
    <mergeCell ref="T2:V2"/>
    <mergeCell ref="W2:Y2"/>
    <mergeCell ref="AC2:AE2"/>
    <mergeCell ref="AF2:AH2"/>
    <mergeCell ref="E3:E4"/>
    <mergeCell ref="O3:O4"/>
    <mergeCell ref="M3:M4"/>
  </mergeCells>
  <conditionalFormatting sqref="G206 E206 H217:H65569 O208:P208 K206:Q206">
    <cfRule type="containsText" dxfId="193" priority="22" stopIfTrue="1" operator="containsText" text="iwjd">
      <formula>NOT(ISERROR(SEARCH("iwjd",E206)))</formula>
    </cfRule>
  </conditionalFormatting>
  <conditionalFormatting sqref="H5:H204">
    <cfRule type="expression" dxfId="192" priority="10" stopIfTrue="1">
      <formula>H5="SUPPLEMENTARY"</formula>
    </cfRule>
  </conditionalFormatting>
  <conditionalFormatting sqref="K206:Q216">
    <cfRule type="cellIs" dxfId="191" priority="20" stopIfTrue="1" operator="equal">
      <formula>0</formula>
    </cfRule>
  </conditionalFormatting>
  <conditionalFormatting sqref="K5:Q204">
    <cfRule type="containsText" dxfId="190" priority="19" stopIfTrue="1" operator="containsText" text="s">
      <formula>NOT(ISERROR(SEARCH("s",K5)))</formula>
    </cfRule>
  </conditionalFormatting>
  <conditionalFormatting sqref="AO5:AO204">
    <cfRule type="containsText" dxfId="189" priority="18" stopIfTrue="1" operator="containsText" text="NA">
      <formula>NOT(ISERROR(SEARCH("NA",AO5)))</formula>
    </cfRule>
  </conditionalFormatting>
  <conditionalFormatting sqref="AO5:AO204">
    <cfRule type="containsText" dxfId="188" priority="17" stopIfTrue="1" operator="containsText" text="ml">
      <formula>NOT(ISERROR(SEARCH("ml",AO5)))</formula>
    </cfRule>
  </conditionalFormatting>
  <conditionalFormatting sqref="AQ5:AS204">
    <cfRule type="containsText" dxfId="187" priority="16" operator="containsText" text="vuqRrh.kZ">
      <formula>NOT(ISERROR(SEARCH("vuqRrh.kZ",AQ5)))</formula>
    </cfRule>
  </conditionalFormatting>
  <conditionalFormatting sqref="J5:J204">
    <cfRule type="top10" dxfId="186" priority="12" stopIfTrue="1" rank="3"/>
    <cfRule type="top10" dxfId="185" priority="13" stopIfTrue="1" percent="1" rank="3"/>
    <cfRule type="top10" dxfId="184" priority="14" stopIfTrue="1" percent="1" rank="3"/>
  </conditionalFormatting>
  <conditionalFormatting sqref="J5:J204">
    <cfRule type="top10" dxfId="183" priority="11" stopIfTrue="1" rank="3"/>
  </conditionalFormatting>
  <conditionalFormatting sqref="B5:B204">
    <cfRule type="expression" dxfId="182" priority="9">
      <formula>H5="SUPPLEMENTARY"</formula>
    </cfRule>
  </conditionalFormatting>
  <conditionalFormatting sqref="E5:E204">
    <cfRule type="expression" dxfId="181" priority="8">
      <formula>H5="SUPPLEMENTARY"</formula>
    </cfRule>
  </conditionalFormatting>
  <conditionalFormatting sqref="F5:F204">
    <cfRule type="expression" dxfId="180" priority="7">
      <formula>H5="SUPPLEMENTARY"</formula>
    </cfRule>
  </conditionalFormatting>
  <conditionalFormatting sqref="G5:G204">
    <cfRule type="expression" dxfId="179" priority="6">
      <formula>H5="SUPPLEMENTARY"</formula>
    </cfRule>
  </conditionalFormatting>
  <conditionalFormatting sqref="S5:S204">
    <cfRule type="cellIs" dxfId="178" priority="4" operator="equal">
      <formula>0</formula>
    </cfRule>
  </conditionalFormatting>
  <conditionalFormatting sqref="AO5:AP204">
    <cfRule type="cellIs" dxfId="177" priority="3" operator="equal">
      <formula>0</formula>
    </cfRule>
  </conditionalFormatting>
  <conditionalFormatting sqref="F206">
    <cfRule type="containsText" dxfId="176" priority="2" stopIfTrue="1" operator="containsText" text="iwjd">
      <formula>NOT(ISERROR(SEARCH("iwjd",F206)))</formula>
    </cfRule>
  </conditionalFormatting>
  <conditionalFormatting sqref="G206">
    <cfRule type="containsText" dxfId="175" priority="1" stopIfTrue="1" operator="containsText" text="iwjd">
      <formula>NOT(ISERROR(SEARCH("iwjd",G206)))</formula>
    </cfRule>
  </conditionalFormatting>
  <dataValidations count="7">
    <dataValidation type="custom" allowBlank="1" showInputMessage="1" showErrorMessage="1" error="Check the student's result यदि उक्त विषय में पूरक आई है तो ही मार्क फिल कर सकते है " sqref="W5:W204">
      <formula1>IF(OR(L5="S",L5="RE"),(OR(W5="AB",W5&lt;=$W$4)),"")</formula1>
    </dataValidation>
    <dataValidation type="custom" allowBlank="1" showInputMessage="1" showErrorMessage="1" error="Check the student's result यदि उक्त विषय में पूरक आई है तो ही मार्क फिल कर सकते है " sqref="Z5:Z204">
      <formula1>IF(OR(M5="S",M5="RE",M5="REP"),(OR(Z5="AB",Z5&lt;=$Z$4)),"")</formula1>
    </dataValidation>
    <dataValidation type="custom" allowBlank="1" showInputMessage="1" showErrorMessage="1" error="Check the student's result यदि उक्त विषय में पूरक आई है तो ही मार्क फिल कर सकते है " sqref="AC5:AC204">
      <formula1>IF(OR(N5="S",N5="RE",N5="REP"),(OR(AC5="AB",AC5&lt;=$AC$4)),"")</formula1>
    </dataValidation>
    <dataValidation type="custom" allowBlank="1" showInputMessage="1" showErrorMessage="1" error="Check the student's result यदि उक्त विषय में पूरक आई है तो ही मार्क फिल कर सकते है " sqref="AF5:AF204">
      <formula1>IF(OR(O5="S",O5="RE",O5="REP"),(OR(AF5="AB",AF5&lt;=$AF$4)),"")</formula1>
    </dataValidation>
    <dataValidation type="custom" allowBlank="1" showInputMessage="1" showErrorMessage="1" error="Check the student's result यदि उक्त विषय में पूरक आई है तो ही मार्क फिल कर सकते है " sqref="T5:T204">
      <formula1>IF(OR(K5="S",K5="RE"),(OR(T5="AB",T5&lt;=T$4)),"")</formula1>
    </dataValidation>
    <dataValidation type="custom" allowBlank="1" showInputMessage="1" showErrorMessage="1" error="Check the student's result यदि उक्त विषय में पूरक आई है तो ही मार्क फिल कर सकते है " sqref="AL5:AL204">
      <formula1>IF(OR(Q5="S",Q5="RE",Q5="REP"),(OR(AL5="AB",AL5&lt;=$AL$4)),"")</formula1>
    </dataValidation>
    <dataValidation type="custom" allowBlank="1" showInputMessage="1" showErrorMessage="1" error="Check the student's result यदि उक्त विषय में पूरक आई है तो ही मार्क फिल कर सकते है " sqref="AI5:AI204">
      <formula1>IF(OR(P5="S",P5="RE",P5="REP"),(OR(AI5="AB",AI5&lt;=$AI$4)),"")</formula1>
    </dataValidation>
  </dataValidations>
  <pageMargins left="0.7" right="0.2" top="0.25" bottom="0.25" header="0.3" footer="0.3"/>
  <pageSetup paperSize="9" scale="45" fitToHeight="5" orientation="landscape" r:id="rId1"/>
</worksheet>
</file>

<file path=xl/worksheets/sheet8.xml><?xml version="1.0" encoding="utf-8"?>
<worksheet xmlns="http://schemas.openxmlformats.org/spreadsheetml/2006/main" xmlns:r="http://schemas.openxmlformats.org/officeDocument/2006/relationships">
  <dimension ref="A1:P46"/>
  <sheetViews>
    <sheetView showGridLines="0" view="pageBreakPreview" zoomScale="98" zoomScaleSheetLayoutView="98" workbookViewId="0">
      <selection activeCell="T11" sqref="T11"/>
    </sheetView>
  </sheetViews>
  <sheetFormatPr defaultRowHeight="15"/>
  <cols>
    <col min="1" max="1" width="21.375" style="49" customWidth="1"/>
    <col min="2" max="2" width="18" style="51" customWidth="1"/>
    <col min="3" max="4" width="7.75" style="49" customWidth="1"/>
    <col min="5" max="5" width="8.75" style="49" customWidth="1"/>
    <col min="6" max="6" width="7" style="49" customWidth="1"/>
    <col min="7" max="13" width="6.75" style="49" customWidth="1"/>
    <col min="14" max="14" width="7" style="49" customWidth="1"/>
    <col min="15" max="15" width="8.375" style="49" customWidth="1"/>
    <col min="16" max="16" width="4.25" style="49" customWidth="1"/>
    <col min="17" max="16384" width="9" style="6"/>
  </cols>
  <sheetData>
    <row r="1" spans="1:16" ht="40.5" customHeight="1" thickBot="1">
      <c r="A1" s="1398" t="str">
        <f>IF('School Profile'!D12="Hindi",CONCATENATE("विद्यालय का नाम :-","  ",'School Profile'!D9),CONCATENATE("School Name :-","  ",'School Profile'!D8))</f>
        <v xml:space="preserve">विद्यालय का नाम :-  महात्मा गाँधी राजकीय विद्यालय (अंग्रेजी माध्यम) बर, पाली </v>
      </c>
      <c r="B1" s="1398"/>
      <c r="C1" s="1398"/>
      <c r="D1" s="1398"/>
      <c r="E1" s="1398"/>
      <c r="F1" s="1398"/>
      <c r="G1" s="1398"/>
      <c r="H1" s="1398"/>
      <c r="I1" s="1398"/>
      <c r="J1" s="1398"/>
      <c r="K1" s="1398"/>
      <c r="L1" s="1398"/>
      <c r="M1" s="1398"/>
      <c r="N1" s="1398"/>
      <c r="O1" s="1398"/>
      <c r="P1" s="59"/>
    </row>
    <row r="2" spans="1:16" ht="20.25" customHeight="1" thickTop="1">
      <c r="A2" s="1399" t="str">
        <f>IF('School Profile'!D12="Hindi","विषय वार और विषयाध्यापक वार परिणाम","SUBJECT-WISE &amp; TEACHER'S-WISE RESULT")</f>
        <v>विषय वार और विषयाध्यापक वार परिणाम</v>
      </c>
      <c r="B2" s="1400"/>
      <c r="C2" s="1400"/>
      <c r="D2" s="1400"/>
      <c r="E2" s="1400"/>
      <c r="F2" s="1405" t="str">
        <f>IF('School Profile'!D12="Hindi","कक्षा :-","CLASS :-")</f>
        <v>कक्षा :-</v>
      </c>
      <c r="G2" s="1405"/>
      <c r="H2" s="1403" t="str">
        <f>'Supp. Result Entry'!C2</f>
        <v>9th</v>
      </c>
      <c r="I2" s="1403"/>
      <c r="J2" s="1405" t="str">
        <f>IF('School Profile'!D12="Hindi","सत्र  :-","Session :-")</f>
        <v>सत्र  :-</v>
      </c>
      <c r="K2" s="1405"/>
      <c r="L2" s="1405"/>
      <c r="M2" s="1403" t="str">
        <f>'Supp. Result Entry'!G2</f>
        <v>2025-2026</v>
      </c>
      <c r="N2" s="1403"/>
      <c r="O2" s="1407"/>
      <c r="P2" s="62"/>
    </row>
    <row r="3" spans="1:16" ht="20.25" customHeight="1" thickBot="1">
      <c r="A3" s="1401"/>
      <c r="B3" s="1402"/>
      <c r="C3" s="1402"/>
      <c r="D3" s="1402"/>
      <c r="E3" s="1402"/>
      <c r="F3" s="1406"/>
      <c r="G3" s="1406"/>
      <c r="H3" s="1404"/>
      <c r="I3" s="1404"/>
      <c r="J3" s="1406"/>
      <c r="K3" s="1406"/>
      <c r="L3" s="1406"/>
      <c r="M3" s="1404"/>
      <c r="N3" s="1404"/>
      <c r="O3" s="1408"/>
      <c r="P3" s="62"/>
    </row>
    <row r="4" spans="1:16" ht="89.25" customHeight="1" thickTop="1" thickBot="1">
      <c r="A4" s="619" t="str">
        <f>IF('School Profile'!D12="Hindi","विषयाध्यापक का नाम","Subject Teacher")</f>
        <v>विषयाध्यापक का नाम</v>
      </c>
      <c r="B4" s="620" t="str">
        <f>IF('School Profile'!D12="Hindi","विषय","Subject")</f>
        <v>विषय</v>
      </c>
      <c r="C4" s="621" t="str">
        <f>IF('School Profile'!$D$12="Hindi","कुल प्रविष्ट विद्यार्थी","No. of students appeared")</f>
        <v>कुल प्रविष्ट विद्यार्थी</v>
      </c>
      <c r="D4" s="622" t="str">
        <f>IF('School Profile'!$D$12="Hindi","उतीर्ण","Pass")</f>
        <v>उतीर्ण</v>
      </c>
      <c r="E4" s="622" t="str">
        <f>IF('School Profile'!D12="Hindi","प्रतिशत","Percentage")</f>
        <v>प्रतिशत</v>
      </c>
      <c r="F4" s="621" t="str">
        <f>IF('School Profile'!$D$12="Hindi","प्रथम श्रेणी","1st Div.")</f>
        <v>प्रथम श्रेणी</v>
      </c>
      <c r="G4" s="621" t="str">
        <f>IF('School Profile'!$D$12="Hindi","द्वितीय श्रेणी","2nd Div.")</f>
        <v>द्वितीय श्रेणी</v>
      </c>
      <c r="H4" s="621" t="str">
        <f>IF('School Profile'!$D$12="Hindi","तृतीय श्रेणी","3rd Div.")</f>
        <v>तृतीय श्रेणी</v>
      </c>
      <c r="I4" s="621" t="str">
        <f>IF('School Profile'!$D$12="Hindi","सानुग्रह उतीर्ण ","By Grace Pass")</f>
        <v xml:space="preserve">सानुग्रह उतीर्ण </v>
      </c>
      <c r="J4" s="621" t="str">
        <f>IF('School Profile'!$D$12="Hindi","पूरक","Supplementary")</f>
        <v>पूरक</v>
      </c>
      <c r="K4" s="621" t="str">
        <f>IF('School Profile'!$D$12="Hindi","अनुतीर्ण","Failed")</f>
        <v>अनुतीर्ण</v>
      </c>
      <c r="L4" s="621" t="str">
        <f>IF('School Profile'!$D$12="Hindi","अनुपस्थित","Absent")</f>
        <v>अनुपस्थित</v>
      </c>
      <c r="M4" s="621" t="str">
        <f>IF('School Profile'!$D$12="Hindi","पुनः परीक्षा","Re-Exam")</f>
        <v>पुनः परीक्षा</v>
      </c>
      <c r="N4" s="621" t="str">
        <f>IF('School Profile'!$D$12="Hindi","नाम पृथक","NSO")</f>
        <v>नाम पृथक</v>
      </c>
      <c r="O4" s="622" t="str">
        <f>IF('School Profile'!$D$12="Hindi","कुल योग","Total")</f>
        <v>कुल योग</v>
      </c>
      <c r="P4" s="62"/>
    </row>
    <row r="5" spans="1:16" ht="24" customHeight="1" thickTop="1">
      <c r="A5" s="218" t="str">
        <f>IF('Statement of Marks'!K209="","",'Statement of Marks'!K209)</f>
        <v>RADHESHYAM</v>
      </c>
      <c r="B5" s="219" t="str">
        <f>IF('Statement of Marks'!K208="","",'Statement of Marks'!K208)</f>
        <v>हिंदी</v>
      </c>
      <c r="C5" s="220">
        <f>'Statement of Marks'!K210</f>
        <v>30</v>
      </c>
      <c r="D5" s="220">
        <f>'Statement of Marks'!Q212</f>
        <v>29</v>
      </c>
      <c r="E5" s="221">
        <f>IF(AND(A5="",B5="",C5=""),"", 'Statement of Marks'!K213)</f>
        <v>96.666666666666671</v>
      </c>
      <c r="F5" s="222">
        <f>'Statement of Marks'!K212</f>
        <v>22</v>
      </c>
      <c r="G5" s="222">
        <f>'Statement of Marks'!L212</f>
        <v>7</v>
      </c>
      <c r="H5" s="222">
        <f>'Statement of Marks'!M212</f>
        <v>0</v>
      </c>
      <c r="I5" s="222">
        <f>'Statement of Marks'!N212</f>
        <v>0</v>
      </c>
      <c r="J5" s="220">
        <f>'Statement of Marks'!K214</f>
        <v>0</v>
      </c>
      <c r="K5" s="222">
        <f>'Statement of Marks'!K215</f>
        <v>1</v>
      </c>
      <c r="L5" s="222">
        <f>'Statement of Marks'!K217</f>
        <v>1</v>
      </c>
      <c r="M5" s="222">
        <f>'Statement of Marks'!K218</f>
        <v>0</v>
      </c>
      <c r="N5" s="223">
        <f>COUNTIF('Statement of Marks'!$B$7:$B$206,"nso")</f>
        <v>0</v>
      </c>
      <c r="O5" s="224">
        <f>IF(D5="","",SUM(D5,J5,K5,M5,N5,L5))</f>
        <v>31</v>
      </c>
      <c r="P5" s="108"/>
    </row>
    <row r="6" spans="1:16" ht="24" customHeight="1">
      <c r="A6" s="225" t="str">
        <f>IF('Statement of Marks'!Y209="","",'Statement of Marks'!Y209)</f>
        <v>HEERALAL JAT</v>
      </c>
      <c r="B6" s="226" t="str">
        <f>IF('Statement of Marks'!Y208="","",'Statement of Marks'!Y208)</f>
        <v>अंग्रेजी</v>
      </c>
      <c r="C6" s="227">
        <f>'Statement of Marks'!Y210</f>
        <v>31</v>
      </c>
      <c r="D6" s="227">
        <f>'Statement of Marks'!AE212</f>
        <v>31</v>
      </c>
      <c r="E6" s="228">
        <f>IF(AND(A6="",B6="",C6=""),"",'Statement of Marks'!Y213)</f>
        <v>100</v>
      </c>
      <c r="F6" s="229">
        <f>'Statement of Marks'!Y212</f>
        <v>30</v>
      </c>
      <c r="G6" s="229">
        <f>'Statement of Marks'!Z212</f>
        <v>0</v>
      </c>
      <c r="H6" s="229">
        <f>'Statement of Marks'!AA212</f>
        <v>1</v>
      </c>
      <c r="I6" s="229">
        <f>'Statement of Marks'!AD212</f>
        <v>0</v>
      </c>
      <c r="J6" s="227">
        <f>'Statement of Marks'!Y214</f>
        <v>0</v>
      </c>
      <c r="K6" s="229">
        <f>'Statement of Marks'!Y215</f>
        <v>0</v>
      </c>
      <c r="L6" s="229">
        <f>'Statement of Marks'!Y217</f>
        <v>0</v>
      </c>
      <c r="M6" s="229">
        <f>'Statement of Marks'!Y218</f>
        <v>0</v>
      </c>
      <c r="N6" s="230">
        <f>COUNTIF('Statement of Marks'!$B$7:$B$206,"nso")</f>
        <v>0</v>
      </c>
      <c r="O6" s="224">
        <f>IF(D6="","",SUM(D6,J6,K6,M6,N6,L6))</f>
        <v>31</v>
      </c>
      <c r="P6" s="108"/>
    </row>
    <row r="7" spans="1:16" ht="24" customHeight="1">
      <c r="A7" s="231" t="str">
        <f>IF('Statement of Marks'!AM209="","",'Statement of Marks'!AM209)</f>
        <v>Suresh kumar Singariya</v>
      </c>
      <c r="B7" s="232" t="str">
        <f>IF('Statement of Marks'!AM208="","",'Statement of Marks'!AM208)</f>
        <v>संस्कृत (71)</v>
      </c>
      <c r="C7" s="227">
        <f>IF('Statement of Marks'!AM210="","",'Statement of Marks'!AM210)</f>
        <v>11</v>
      </c>
      <c r="D7" s="227">
        <f>'Statement of Marks'!AQ212</f>
        <v>11</v>
      </c>
      <c r="E7" s="228">
        <f>'Statement of Marks'!AM213</f>
        <v>100</v>
      </c>
      <c r="F7" s="229">
        <f>'Statement of Marks'!AM212</f>
        <v>2</v>
      </c>
      <c r="G7" s="229">
        <f>'Statement of Marks'!AN212</f>
        <v>9</v>
      </c>
      <c r="H7" s="229">
        <f>'Statement of Marks'!AO212</f>
        <v>0</v>
      </c>
      <c r="I7" s="229">
        <f>'Statement of Marks'!AP212</f>
        <v>0</v>
      </c>
      <c r="J7" s="233">
        <f>'Statement of Marks'!AM214</f>
        <v>0</v>
      </c>
      <c r="K7" s="229">
        <f>'Statement of Marks'!AM215</f>
        <v>0</v>
      </c>
      <c r="L7" s="229">
        <f>'Statement of Marks'!AM217</f>
        <v>0</v>
      </c>
      <c r="M7" s="229">
        <f>'Statement of Marks'!AM218</f>
        <v>0</v>
      </c>
      <c r="N7" s="230">
        <f>COUNTIF('Statement of Marks'!$B$7:$B$206,"nso")</f>
        <v>0</v>
      </c>
      <c r="O7" s="224">
        <f>IF(D7="","",SUM(D7,J7,K7,M7,N7,L7))</f>
        <v>11</v>
      </c>
      <c r="P7" s="108"/>
    </row>
    <row r="8" spans="1:16" ht="24" customHeight="1">
      <c r="A8" s="231">
        <f>IF('Statement of Marks'!AR209="","",'Statement of Marks'!AR209)</f>
        <v>0</v>
      </c>
      <c r="B8" s="232" t="str">
        <f>IF('Statement of Marks'!AR208="","",'Statement of Marks'!AR208)</f>
        <v xml:space="preserve">उर्दू (72) </v>
      </c>
      <c r="C8" s="227">
        <f>IF('Statement of Marks'!AR210="","",'Statement of Marks'!AR210)</f>
        <v>9</v>
      </c>
      <c r="D8" s="234">
        <f>'Statement of Marks'!BB212</f>
        <v>9</v>
      </c>
      <c r="E8" s="228">
        <f>'Statement of Marks'!AR213</f>
        <v>100</v>
      </c>
      <c r="F8" s="229">
        <f>'Statement of Marks'!AR212</f>
        <v>0</v>
      </c>
      <c r="G8" s="229">
        <f>'Statement of Marks'!AS212</f>
        <v>9</v>
      </c>
      <c r="H8" s="229">
        <f>'Statement of Marks'!AT212</f>
        <v>0</v>
      </c>
      <c r="I8" s="229">
        <f>'Statement of Marks'!AU212</f>
        <v>0</v>
      </c>
      <c r="J8" s="233">
        <f>'Statement of Marks'!AR214</f>
        <v>0</v>
      </c>
      <c r="K8" s="233">
        <f>'Statement of Marks'!AR215</f>
        <v>0</v>
      </c>
      <c r="L8" s="233">
        <f>'Statement of Marks'!AR217</f>
        <v>0</v>
      </c>
      <c r="M8" s="233">
        <f>'Statement of Marks'!AR218</f>
        <v>0</v>
      </c>
      <c r="N8" s="230">
        <f>COUNTIF('Statement of Marks'!$B$7:$B$206,"nso")</f>
        <v>0</v>
      </c>
      <c r="O8" s="224">
        <f>IF(D8="","",SUM(D8,J8,K8,M8,N8,L8))</f>
        <v>9</v>
      </c>
      <c r="P8" s="108"/>
    </row>
    <row r="9" spans="1:16" ht="24" customHeight="1">
      <c r="A9" s="231">
        <f>IF('Statement of Marks'!BC209="","",'Statement of Marks'!BC209)</f>
        <v>0</v>
      </c>
      <c r="B9" s="232" t="str">
        <f>IF('Statement of Marks'!BC208="","",'Statement of Marks'!BC208)</f>
        <v>गुजराती (73)</v>
      </c>
      <c r="C9" s="227">
        <f>IF('Statement of Marks'!BC210="","",'Statement of Marks'!BC210)</f>
        <v>4</v>
      </c>
      <c r="D9" s="227">
        <f>'Statement of Marks'!BG212</f>
        <v>4</v>
      </c>
      <c r="E9" s="228">
        <f>'Statement of Marks'!BC213</f>
        <v>100</v>
      </c>
      <c r="F9" s="229">
        <f>'Statement of Marks'!BC212</f>
        <v>1</v>
      </c>
      <c r="G9" s="229">
        <f>'Statement of Marks'!BD212</f>
        <v>3</v>
      </c>
      <c r="H9" s="229">
        <f>'Statement of Marks'!BE212</f>
        <v>0</v>
      </c>
      <c r="I9" s="229">
        <f>'Statement of Marks'!BF212</f>
        <v>0</v>
      </c>
      <c r="J9" s="233">
        <f>'Statement of Marks'!BC214</f>
        <v>0</v>
      </c>
      <c r="K9" s="233">
        <f>'Statement of Marks'!BC215</f>
        <v>0</v>
      </c>
      <c r="L9" s="233">
        <f>'Statement of Marks'!BC217</f>
        <v>0</v>
      </c>
      <c r="M9" s="233">
        <f>'Statement of Marks'!BC218</f>
        <v>0</v>
      </c>
      <c r="N9" s="230">
        <f>COUNTIF('Statement of Marks'!$B$7:$B$206,"nso")</f>
        <v>0</v>
      </c>
      <c r="O9" s="224">
        <f>IF(D9="","",SUM(D9,J9,K9,M9,N9,L9))</f>
        <v>4</v>
      </c>
      <c r="P9" s="108"/>
    </row>
    <row r="10" spans="1:16" ht="24" customHeight="1">
      <c r="A10" s="231">
        <f>IF('Statement of Marks'!BH209="","",'Statement of Marks'!BH209)</f>
        <v>0</v>
      </c>
      <c r="B10" s="232" t="str">
        <f>IF('Statement of Marks'!BH208="","",'Statement of Marks'!BH208)</f>
        <v xml:space="preserve">सिंधी (74) </v>
      </c>
      <c r="C10" s="227">
        <f>'Statement of Marks'!BH210</f>
        <v>4</v>
      </c>
      <c r="D10" s="227">
        <f>'Statement of Marks'!BR212</f>
        <v>4</v>
      </c>
      <c r="E10" s="228">
        <f>'Statement of Marks'!BH213</f>
        <v>100</v>
      </c>
      <c r="F10" s="229">
        <f>'Statement of Marks'!BH212</f>
        <v>0</v>
      </c>
      <c r="G10" s="229">
        <f>'Statement of Marks'!BI212</f>
        <v>4</v>
      </c>
      <c r="H10" s="229">
        <f>'Statement of Marks'!BP212</f>
        <v>0</v>
      </c>
      <c r="I10" s="229">
        <f>'Statement of Marks'!BQ212</f>
        <v>0</v>
      </c>
      <c r="J10" s="233">
        <f>'Statement of Marks'!BH214</f>
        <v>0</v>
      </c>
      <c r="K10" s="233">
        <f>'Statement of Marks'!BH215</f>
        <v>0</v>
      </c>
      <c r="L10" s="233">
        <f>'Statement of Marks'!BH217</f>
        <v>0</v>
      </c>
      <c r="M10" s="233">
        <f>'Statement of Marks'!BH218</f>
        <v>0</v>
      </c>
      <c r="N10" s="230">
        <f>COUNTIF('Statement of Marks'!$B$7:$B$206,"nso")</f>
        <v>0</v>
      </c>
      <c r="O10" s="224">
        <f t="shared" ref="O10:O14" si="0">IF(D10="","",SUM(D10,J10,K10,M10,N10,L10))</f>
        <v>4</v>
      </c>
      <c r="P10" s="108"/>
    </row>
    <row r="11" spans="1:16" ht="24" customHeight="1">
      <c r="A11" s="231">
        <f>IF('Statement of Marks'!BS209="","",'Statement of Marks'!BS209)</f>
        <v>0</v>
      </c>
      <c r="B11" s="232" t="str">
        <f>IF('Statement of Marks'!BS208="","",'Statement of Marks'!BS208)</f>
        <v>पंजाबी (75)</v>
      </c>
      <c r="C11" s="227">
        <f>'Statement of Marks'!BS210</f>
        <v>3</v>
      </c>
      <c r="D11" s="227">
        <f>'Statement of Marks'!BW212</f>
        <v>3</v>
      </c>
      <c r="E11" s="228">
        <f>'Statement of Marks'!BS213</f>
        <v>100</v>
      </c>
      <c r="F11" s="229">
        <f>'Statement of Marks'!BS212</f>
        <v>0</v>
      </c>
      <c r="G11" s="229">
        <f>'Statement of Marks'!BT212</f>
        <v>3</v>
      </c>
      <c r="H11" s="229">
        <f>'Statement of Marks'!BU212</f>
        <v>0</v>
      </c>
      <c r="I11" s="229">
        <f>'Statement of Marks'!BV212</f>
        <v>0</v>
      </c>
      <c r="J11" s="233">
        <f>'Statement of Marks'!BS214</f>
        <v>0</v>
      </c>
      <c r="K11" s="233">
        <f>'Statement of Marks'!BS215</f>
        <v>0</v>
      </c>
      <c r="L11" s="233">
        <f>'Statement of Marks'!BS217</f>
        <v>0</v>
      </c>
      <c r="M11" s="233">
        <f>'Statement of Marks'!BS218</f>
        <v>0</v>
      </c>
      <c r="N11" s="230">
        <f>COUNTIF('Statement of Marks'!$B$7:$B$206,"nso")</f>
        <v>0</v>
      </c>
      <c r="O11" s="224">
        <f t="shared" si="0"/>
        <v>3</v>
      </c>
      <c r="P11" s="108"/>
    </row>
    <row r="12" spans="1:16" ht="24" customHeight="1">
      <c r="A12" s="231" t="str">
        <f>IF('Statement of Marks'!CE209="","",'Statement of Marks'!CE209)</f>
        <v>Yogendra</v>
      </c>
      <c r="B12" s="232" t="str">
        <f>IF('Statement of Marks'!CE208="","",'Statement of Marks'!CE208)</f>
        <v>गणित</v>
      </c>
      <c r="C12" s="227">
        <f>'Statement of Marks'!CE210</f>
        <v>31</v>
      </c>
      <c r="D12" s="227">
        <f>'Statement of Marks'!CI212</f>
        <v>30</v>
      </c>
      <c r="E12" s="228">
        <f>'Statement of Marks'!CE213</f>
        <v>96.774193548387103</v>
      </c>
      <c r="F12" s="229">
        <f>'Statement of Marks'!CE212</f>
        <v>2</v>
      </c>
      <c r="G12" s="229">
        <f>'Statement of Marks'!CF212</f>
        <v>22</v>
      </c>
      <c r="H12" s="229">
        <f>'Statement of Marks'!CG212</f>
        <v>2</v>
      </c>
      <c r="I12" s="229">
        <f>'Statement of Marks'!CH212</f>
        <v>4</v>
      </c>
      <c r="J12" s="233">
        <f>'Statement of Marks'!CE214</f>
        <v>1</v>
      </c>
      <c r="K12" s="233">
        <f>'Statement of Marks'!CE215</f>
        <v>0</v>
      </c>
      <c r="L12" s="233">
        <f>'Statement of Marks'!CE217</f>
        <v>0</v>
      </c>
      <c r="M12" s="233">
        <f>'Statement of Marks'!CE218</f>
        <v>0</v>
      </c>
      <c r="N12" s="230">
        <f>COUNTIF('Statement of Marks'!$B$7:$B$206,"nso")</f>
        <v>0</v>
      </c>
      <c r="O12" s="224">
        <f t="shared" si="0"/>
        <v>31</v>
      </c>
      <c r="P12" s="108"/>
    </row>
    <row r="13" spans="1:16" ht="24" customHeight="1">
      <c r="A13" s="231" t="str">
        <f>IF('Statement of Marks'!CJ209="","",'Statement of Marks'!CJ209)</f>
        <v>Rakesh kumar Sharma</v>
      </c>
      <c r="B13" s="232" t="str">
        <f>IF('Statement of Marks'!CJ208="","",'Statement of Marks'!CJ208)</f>
        <v>विज्ञान</v>
      </c>
      <c r="C13" s="227">
        <f>'Statement of Marks'!CE210</f>
        <v>31</v>
      </c>
      <c r="D13" s="234">
        <f>'Statement of Marks'!CT212</f>
        <v>31</v>
      </c>
      <c r="E13" s="228">
        <f>'Statement of Marks'!CJ213</f>
        <v>100</v>
      </c>
      <c r="F13" s="229">
        <f>'Statement of Marks'!CJ212</f>
        <v>1</v>
      </c>
      <c r="G13" s="229">
        <f>'Statement of Marks'!CK212</f>
        <v>29</v>
      </c>
      <c r="H13" s="229">
        <f>'Statement of Marks'!CL212</f>
        <v>0</v>
      </c>
      <c r="I13" s="229">
        <f>'Statement of Marks'!CS212</f>
        <v>1</v>
      </c>
      <c r="J13" s="233">
        <f>'Statement of Marks'!CJ214</f>
        <v>0</v>
      </c>
      <c r="K13" s="233">
        <f>'Statement of Marks'!CJ215</f>
        <v>0</v>
      </c>
      <c r="L13" s="233">
        <f>'Statement of Marks'!CJ217</f>
        <v>0</v>
      </c>
      <c r="M13" s="233">
        <f>'Statement of Marks'!CJ218</f>
        <v>0</v>
      </c>
      <c r="N13" s="230">
        <f>COUNTIF('Statement of Marks'!$B$7:$B$206,"nso")</f>
        <v>0</v>
      </c>
      <c r="O13" s="224">
        <f t="shared" si="0"/>
        <v>31</v>
      </c>
      <c r="P13" s="108"/>
    </row>
    <row r="14" spans="1:16" ht="24" customHeight="1">
      <c r="A14" s="231" t="str">
        <f>IF('Statement of Marks'!CU209="","",'Statement of Marks'!CU209)</f>
        <v>Sharad Sharma</v>
      </c>
      <c r="B14" s="232" t="str">
        <f>IF('Statement of Marks'!CU208="","",'Statement of Marks'!CU208)</f>
        <v>सामाजिक विज्ञान</v>
      </c>
      <c r="C14" s="227">
        <f>'Statement of Marks'!CU210</f>
        <v>31</v>
      </c>
      <c r="D14" s="227">
        <f>'Statement of Marks'!CY212</f>
        <v>31</v>
      </c>
      <c r="E14" s="228">
        <f>'Statement of Marks'!CU213</f>
        <v>100</v>
      </c>
      <c r="F14" s="229">
        <f>'Statement of Marks'!CU212</f>
        <v>3</v>
      </c>
      <c r="G14" s="229">
        <f>'Statement of Marks'!CV212</f>
        <v>28</v>
      </c>
      <c r="H14" s="229">
        <f>'Statement of Marks'!CW212</f>
        <v>0</v>
      </c>
      <c r="I14" s="229">
        <f>'Statement of Marks'!CX212</f>
        <v>0</v>
      </c>
      <c r="J14" s="233">
        <f>'Statement of Marks'!CU214</f>
        <v>0</v>
      </c>
      <c r="K14" s="233">
        <f>'Statement of Marks'!CU215</f>
        <v>0</v>
      </c>
      <c r="L14" s="233">
        <f>'Statement of Marks'!CU217</f>
        <v>0</v>
      </c>
      <c r="M14" s="233">
        <f>'Statement of Marks'!CU218</f>
        <v>0</v>
      </c>
      <c r="N14" s="230">
        <f>COUNTIF('Statement of Marks'!$B$7:$B$206,"nso")</f>
        <v>0</v>
      </c>
      <c r="O14" s="224">
        <f t="shared" si="0"/>
        <v>31</v>
      </c>
      <c r="P14" s="108"/>
    </row>
    <row r="15" spans="1:16" ht="24" customHeight="1" thickBot="1">
      <c r="A15" s="235" t="str">
        <f>IF('Statement of Marks'!CZ209="","",'Statement of Marks'!CZ209)</f>
        <v>Pravin kumar</v>
      </c>
      <c r="B15" s="389" t="str">
        <f>IF('Statement of Marks'!CZ208="","",'Statement of Marks'!CZ208)</f>
        <v>व्यावसायिक शिक्षा विषय</v>
      </c>
      <c r="C15" s="236">
        <f>'Statement of Marks'!CZ210</f>
        <v>3</v>
      </c>
      <c r="D15" s="237">
        <f>'Statement of Marks'!DE212</f>
        <v>3</v>
      </c>
      <c r="E15" s="238">
        <f>'Statement of Marks'!CZ213</f>
        <v>100</v>
      </c>
      <c r="F15" s="239">
        <f>'Statement of Marks'!CZ212</f>
        <v>2</v>
      </c>
      <c r="G15" s="239">
        <f>'Statement of Marks'!DA212</f>
        <v>1</v>
      </c>
      <c r="H15" s="239">
        <f>'Statement of Marks'!DB212</f>
        <v>0</v>
      </c>
      <c r="I15" s="239">
        <f>'Statement of Marks'!DC212</f>
        <v>0</v>
      </c>
      <c r="J15" s="390">
        <f>'Statement of Marks'!CZ214</f>
        <v>0</v>
      </c>
      <c r="K15" s="390">
        <f>'Statement of Marks'!CZ215</f>
        <v>0</v>
      </c>
      <c r="L15" s="390">
        <f>'Statement of Marks'!CZ217</f>
        <v>0</v>
      </c>
      <c r="M15" s="390">
        <f>'Statement of Marks'!CZ218</f>
        <v>0</v>
      </c>
      <c r="N15" s="239">
        <f>COUNTIF('Statement of Marks'!$B$7:$B$206,"nso")</f>
        <v>0</v>
      </c>
      <c r="O15" s="240">
        <f>IF(D15="","",SUM(D15,J15,K15,M15,N15,L15))</f>
        <v>3</v>
      </c>
      <c r="P15" s="108"/>
    </row>
    <row r="16" spans="1:16" ht="21" customHeight="1" thickTop="1">
      <c r="A16" s="241"/>
      <c r="B16" s="242"/>
      <c r="C16" s="243"/>
      <c r="D16" s="244"/>
      <c r="E16" s="245"/>
      <c r="F16" s="721"/>
      <c r="G16" s="243"/>
      <c r="H16" s="721"/>
      <c r="I16" s="243"/>
      <c r="J16" s="721"/>
      <c r="K16" s="721"/>
      <c r="L16" s="721"/>
      <c r="M16" s="721"/>
      <c r="N16" s="721"/>
      <c r="O16" s="721"/>
      <c r="P16" s="108"/>
    </row>
    <row r="17" spans="1:16" ht="39" customHeight="1">
      <c r="A17" s="1388" t="str">
        <f>CONCATENATE("( ",UPPER('School Profile'!D15)," )")</f>
        <v>( HEERALAL JAT )</v>
      </c>
      <c r="B17" s="1388"/>
      <c r="C17" s="1388"/>
      <c r="D17" s="244"/>
      <c r="E17" s="245"/>
      <c r="F17" s="721"/>
      <c r="G17" s="243"/>
      <c r="H17" s="721"/>
      <c r="I17" s="243"/>
      <c r="J17" s="1389" t="str">
        <f>CONCATENATE("( ",UPPER('School Profile'!D14)," )")</f>
        <v>( DEWANAND )</v>
      </c>
      <c r="K17" s="1389"/>
      <c r="L17" s="1389"/>
      <c r="M17" s="1389"/>
      <c r="N17" s="1389"/>
      <c r="O17" s="1389"/>
      <c r="P17" s="108"/>
    </row>
    <row r="18" spans="1:16" ht="30" customHeight="1">
      <c r="A18" s="1386" t="str">
        <f>IF('School Profile'!D12="Hindi","हस्ताक्षर परीक्षा प्रभारी","Signature of the exam. Incharge")</f>
        <v>हस्ताक्षर परीक्षा प्रभारी</v>
      </c>
      <c r="B18" s="1386"/>
      <c r="C18" s="1386"/>
      <c r="D18" s="246"/>
      <c r="E18" s="247"/>
      <c r="F18" s="248"/>
      <c r="G18" s="249"/>
      <c r="H18" s="248"/>
      <c r="I18" s="249"/>
      <c r="J18" s="1387" t="str">
        <f>IF('School Profile'!D12="Hindi","हस्ताक्षर मय सील मोहर संस्था प्रधान","Signature &amp; Seal of the Head of the Institution")</f>
        <v>हस्ताक्षर मय सील मोहर संस्था प्रधान</v>
      </c>
      <c r="K18" s="1387"/>
      <c r="L18" s="1387"/>
      <c r="M18" s="1387"/>
      <c r="N18" s="1387"/>
      <c r="O18" s="1387"/>
      <c r="P18" s="108"/>
    </row>
    <row r="19" spans="1:16" ht="15.75">
      <c r="A19" s="108"/>
      <c r="B19" s="250"/>
      <c r="C19" s="249"/>
      <c r="D19" s="246"/>
      <c r="E19" s="247"/>
      <c r="F19" s="248"/>
      <c r="G19" s="249"/>
      <c r="H19" s="248"/>
      <c r="I19" s="249"/>
      <c r="J19" s="251"/>
      <c r="K19" s="251"/>
      <c r="L19" s="251"/>
      <c r="M19" s="251"/>
      <c r="N19" s="251"/>
      <c r="O19" s="251"/>
      <c r="P19" s="108"/>
    </row>
    <row r="20" spans="1:16">
      <c r="A20" s="1397" t="s">
        <v>137</v>
      </c>
      <c r="B20" s="1397"/>
      <c r="C20" s="1397"/>
      <c r="D20" s="1397"/>
      <c r="E20" s="1397"/>
      <c r="F20" s="1397"/>
      <c r="G20" s="1397"/>
      <c r="H20" s="1397"/>
      <c r="I20" s="1397"/>
      <c r="J20" s="1397"/>
      <c r="K20" s="1397"/>
      <c r="L20" s="1397"/>
      <c r="M20" s="1397"/>
      <c r="N20" s="1397"/>
      <c r="O20" s="1397"/>
      <c r="P20" s="252"/>
    </row>
    <row r="21" spans="1:16" ht="15.75" customHeight="1">
      <c r="A21" s="1397"/>
      <c r="B21" s="1397"/>
      <c r="C21" s="1397"/>
      <c r="D21" s="1397"/>
      <c r="E21" s="1397"/>
      <c r="F21" s="1397"/>
      <c r="G21" s="1397"/>
      <c r="H21" s="1397"/>
      <c r="I21" s="1397"/>
      <c r="J21" s="1397"/>
      <c r="K21" s="1397"/>
      <c r="L21" s="1397"/>
      <c r="M21" s="1397"/>
      <c r="N21" s="1397"/>
      <c r="O21" s="1397"/>
      <c r="P21" s="253"/>
    </row>
    <row r="22" spans="1:16" ht="15.75">
      <c r="A22" s="108"/>
      <c r="B22" s="108"/>
      <c r="C22" s="108"/>
      <c r="D22" s="108"/>
      <c r="E22" s="108"/>
      <c r="F22" s="108"/>
      <c r="G22" s="108"/>
      <c r="H22" s="108"/>
      <c r="I22" s="108"/>
      <c r="J22" s="108"/>
      <c r="K22" s="108"/>
      <c r="L22" s="108"/>
      <c r="M22" s="108"/>
      <c r="N22" s="108"/>
      <c r="O22" s="108"/>
      <c r="P22" s="108"/>
    </row>
    <row r="23" spans="1:16" ht="16.5" customHeight="1">
      <c r="A23" s="1409" t="str">
        <f>IF('School Profile'!D12="Hindi",CONCATENATE("विद्यालय का नाम :-","  ",'School Profile'!D9),CONCATENATE("School Name :-","  ",'School Profile'!D8))</f>
        <v xml:space="preserve">विद्यालय का नाम :-  महात्मा गाँधी राजकीय विद्यालय (अंग्रेजी माध्यम) बर, पाली </v>
      </c>
      <c r="B23" s="1409"/>
      <c r="C23" s="1409"/>
      <c r="D23" s="1409"/>
      <c r="E23" s="1409"/>
      <c r="F23" s="1409"/>
      <c r="G23" s="1409"/>
      <c r="H23" s="1409"/>
      <c r="I23" s="1409"/>
      <c r="J23" s="1409"/>
      <c r="K23" s="1409"/>
      <c r="L23" s="1409"/>
      <c r="M23" s="1409"/>
      <c r="N23" s="1409"/>
      <c r="O23" s="1409"/>
      <c r="P23" s="108"/>
    </row>
    <row r="24" spans="1:16" ht="16.5" thickBot="1">
      <c r="A24" s="1409"/>
      <c r="B24" s="1409"/>
      <c r="C24" s="1409"/>
      <c r="D24" s="1409"/>
      <c r="E24" s="1409"/>
      <c r="F24" s="1409"/>
      <c r="G24" s="1409"/>
      <c r="H24" s="1409"/>
      <c r="I24" s="1409"/>
      <c r="J24" s="1409"/>
      <c r="K24" s="1409"/>
      <c r="L24" s="1409"/>
      <c r="M24" s="1409"/>
      <c r="N24" s="1409"/>
      <c r="O24" s="1409"/>
      <c r="P24" s="108"/>
    </row>
    <row r="25" spans="1:16" ht="35.25" customHeight="1" thickTop="1" thickBot="1">
      <c r="A25" s="1410" t="str">
        <f>IF('School Profile'!D12="Hindi","वर्गवार परीक्षा परिणाम","CATEGORY-WISE RESULT")</f>
        <v>वर्गवार परीक्षा परिणाम</v>
      </c>
      <c r="B25" s="1411"/>
      <c r="C25" s="1411"/>
      <c r="D25" s="1411"/>
      <c r="E25" s="1411"/>
      <c r="F25" s="1411"/>
      <c r="G25" s="1391" t="str">
        <f>IF('School Profile'!D12="Hindi","कक्षा :-","CLASS :-")</f>
        <v>कक्षा :-</v>
      </c>
      <c r="H25" s="1391"/>
      <c r="I25" s="1390" t="str">
        <f>'Supp. Result Entry'!C2</f>
        <v>9th</v>
      </c>
      <c r="J25" s="1390"/>
      <c r="K25" s="1390"/>
      <c r="L25" s="1391" t="str">
        <f>IF('School Profile'!D12="Hindi","सत्र  :-","Session :-")</f>
        <v>सत्र  :-</v>
      </c>
      <c r="M25" s="1391"/>
      <c r="N25" s="1390" t="str">
        <f>'Marks Entry'!I3</f>
        <v>2025-2026</v>
      </c>
      <c r="O25" s="1392"/>
      <c r="P25" s="108"/>
    </row>
    <row r="26" spans="1:16" ht="34.5" customHeight="1" thickTop="1" thickBot="1">
      <c r="A26" s="1412" t="str">
        <f>IF('School Profile'!D12="Hindi","विवरण","Details")</f>
        <v>विवरण</v>
      </c>
      <c r="B26" s="1412"/>
      <c r="C26" s="254" t="s">
        <v>43</v>
      </c>
      <c r="D26" s="254" t="s">
        <v>44</v>
      </c>
      <c r="E26" s="254" t="s">
        <v>45</v>
      </c>
      <c r="F26" s="254" t="s">
        <v>46</v>
      </c>
      <c r="G26" s="254" t="s">
        <v>47</v>
      </c>
      <c r="H26" s="254" t="s">
        <v>48</v>
      </c>
      <c r="I26" s="254" t="s">
        <v>49</v>
      </c>
      <c r="J26" s="254" t="s">
        <v>50</v>
      </c>
      <c r="K26" s="254" t="s">
        <v>51</v>
      </c>
      <c r="L26" s="254" t="s">
        <v>52</v>
      </c>
      <c r="M26" s="254" t="s">
        <v>53</v>
      </c>
      <c r="N26" s="254" t="s">
        <v>54</v>
      </c>
      <c r="O26" s="255" t="s">
        <v>55</v>
      </c>
      <c r="P26" s="108"/>
    </row>
    <row r="27" spans="1:16" ht="23.1" customHeight="1" thickTop="1">
      <c r="A27" s="1393" t="str">
        <f>'Result Aggregate'!BM207</f>
        <v>प्रथम श्रेणी</v>
      </c>
      <c r="B27" s="1394"/>
      <c r="C27" s="256">
        <f>'Result Aggregate'!BN207</f>
        <v>1</v>
      </c>
      <c r="D27" s="256">
        <f>'Result Aggregate'!BO207</f>
        <v>0</v>
      </c>
      <c r="E27" s="256">
        <f>'Result Aggregate'!BP207</f>
        <v>0</v>
      </c>
      <c r="F27" s="256">
        <f>'Result Aggregate'!BQ207</f>
        <v>0</v>
      </c>
      <c r="G27" s="256">
        <f>'Result Aggregate'!BR207</f>
        <v>2</v>
      </c>
      <c r="H27" s="256">
        <f>'Result Aggregate'!BS207</f>
        <v>1</v>
      </c>
      <c r="I27" s="256">
        <f>'Result Aggregate'!BT207</f>
        <v>0</v>
      </c>
      <c r="J27" s="256">
        <f>'Result Aggregate'!BU207</f>
        <v>1</v>
      </c>
      <c r="K27" s="256">
        <f>'Result Aggregate'!BV207</f>
        <v>0</v>
      </c>
      <c r="L27" s="256">
        <f>'Result Aggregate'!BW207</f>
        <v>1</v>
      </c>
      <c r="M27" s="256">
        <f>'Result Aggregate'!BX207</f>
        <v>0</v>
      </c>
      <c r="N27" s="256">
        <f>'Result Aggregate'!BY207</f>
        <v>1</v>
      </c>
      <c r="O27" s="257">
        <f>'Result Aggregate'!BZ207</f>
        <v>7</v>
      </c>
      <c r="P27" s="108"/>
    </row>
    <row r="28" spans="1:16" ht="23.1" customHeight="1">
      <c r="A28" s="1393" t="str">
        <f>'Result Aggregate'!BM208</f>
        <v>द्वितीय श्रेणी</v>
      </c>
      <c r="B28" s="1394"/>
      <c r="C28" s="258">
        <f>'Result Aggregate'!BN208</f>
        <v>0</v>
      </c>
      <c r="D28" s="258">
        <f>'Result Aggregate'!BO208</f>
        <v>0</v>
      </c>
      <c r="E28" s="258">
        <f>'Result Aggregate'!BP208</f>
        <v>0</v>
      </c>
      <c r="F28" s="258">
        <f>'Result Aggregate'!BQ208</f>
        <v>1</v>
      </c>
      <c r="G28" s="258">
        <f>'Result Aggregate'!BR208</f>
        <v>0</v>
      </c>
      <c r="H28" s="258">
        <f>'Result Aggregate'!BS208</f>
        <v>0</v>
      </c>
      <c r="I28" s="258">
        <f>'Result Aggregate'!BT208</f>
        <v>0</v>
      </c>
      <c r="J28" s="258">
        <f>'Result Aggregate'!BU208</f>
        <v>0</v>
      </c>
      <c r="K28" s="258">
        <f>'Result Aggregate'!BV208</f>
        <v>0</v>
      </c>
      <c r="L28" s="258">
        <f>'Result Aggregate'!BW208</f>
        <v>0</v>
      </c>
      <c r="M28" s="258">
        <f>'Result Aggregate'!BX208</f>
        <v>1</v>
      </c>
      <c r="N28" s="258">
        <f>'Result Aggregate'!BY208</f>
        <v>0</v>
      </c>
      <c r="O28" s="259">
        <f>'Result Aggregate'!BZ208</f>
        <v>2</v>
      </c>
      <c r="P28" s="108"/>
    </row>
    <row r="29" spans="1:16" ht="23.1" customHeight="1">
      <c r="A29" s="1393" t="str">
        <f>'Result Aggregate'!BM209</f>
        <v>तृतीय श्रेणी</v>
      </c>
      <c r="B29" s="1394"/>
      <c r="C29" s="258">
        <f>'Result Aggregate'!BN209</f>
        <v>0</v>
      </c>
      <c r="D29" s="258">
        <f>'Result Aggregate'!BO209</f>
        <v>0</v>
      </c>
      <c r="E29" s="258">
        <f>'Result Aggregate'!BP209</f>
        <v>0</v>
      </c>
      <c r="F29" s="258">
        <f>'Result Aggregate'!BQ209</f>
        <v>0</v>
      </c>
      <c r="G29" s="258">
        <f>'Result Aggregate'!BR209</f>
        <v>0</v>
      </c>
      <c r="H29" s="258">
        <f>'Result Aggregate'!BS209</f>
        <v>0</v>
      </c>
      <c r="I29" s="258">
        <f>'Result Aggregate'!BT209</f>
        <v>0</v>
      </c>
      <c r="J29" s="258">
        <f>'Result Aggregate'!BU209</f>
        <v>0</v>
      </c>
      <c r="K29" s="258">
        <f>'Result Aggregate'!BV209</f>
        <v>0</v>
      </c>
      <c r="L29" s="258">
        <f>'Result Aggregate'!BW209</f>
        <v>0</v>
      </c>
      <c r="M29" s="258">
        <f>'Result Aggregate'!BX209</f>
        <v>0</v>
      </c>
      <c r="N29" s="258">
        <f>'Result Aggregate'!BY209</f>
        <v>0</v>
      </c>
      <c r="O29" s="259">
        <f>'Result Aggregate'!BZ209</f>
        <v>0</v>
      </c>
      <c r="P29" s="108"/>
    </row>
    <row r="30" spans="1:16" ht="23.1" customHeight="1">
      <c r="A30" s="1393" t="str">
        <f>'Result Aggregate'!BM210</f>
        <v>कुल उत्तीर्ण</v>
      </c>
      <c r="B30" s="1394"/>
      <c r="C30" s="258">
        <f>'Result Aggregate'!BN210</f>
        <v>1</v>
      </c>
      <c r="D30" s="258">
        <f>'Result Aggregate'!BO210</f>
        <v>0</v>
      </c>
      <c r="E30" s="258">
        <f>'Result Aggregate'!BP210</f>
        <v>0</v>
      </c>
      <c r="F30" s="258">
        <f>'Result Aggregate'!BQ210</f>
        <v>1</v>
      </c>
      <c r="G30" s="258">
        <f>'Result Aggregate'!BR210</f>
        <v>2</v>
      </c>
      <c r="H30" s="258">
        <f>'Result Aggregate'!BS210</f>
        <v>1</v>
      </c>
      <c r="I30" s="258">
        <f>'Result Aggregate'!BT210</f>
        <v>0</v>
      </c>
      <c r="J30" s="258">
        <f>'Result Aggregate'!BU210</f>
        <v>1</v>
      </c>
      <c r="K30" s="258">
        <f>'Result Aggregate'!BV210</f>
        <v>0</v>
      </c>
      <c r="L30" s="258">
        <f>'Result Aggregate'!BW210</f>
        <v>1</v>
      </c>
      <c r="M30" s="258">
        <f>'Result Aggregate'!BX210</f>
        <v>1</v>
      </c>
      <c r="N30" s="258">
        <f>'Result Aggregate'!BY210</f>
        <v>1</v>
      </c>
      <c r="O30" s="259">
        <f>'Result Aggregate'!BZ210</f>
        <v>9</v>
      </c>
      <c r="P30" s="108"/>
    </row>
    <row r="31" spans="1:16" ht="23.1" customHeight="1">
      <c r="A31" s="1393" t="str">
        <f>'Result Aggregate'!BM211</f>
        <v>पूरक</v>
      </c>
      <c r="B31" s="1394"/>
      <c r="C31" s="258">
        <f>'Result Aggregate'!BN211</f>
        <v>0</v>
      </c>
      <c r="D31" s="258">
        <f>'Result Aggregate'!BO211</f>
        <v>0</v>
      </c>
      <c r="E31" s="258">
        <f>'Result Aggregate'!BP211</f>
        <v>0</v>
      </c>
      <c r="F31" s="258">
        <f>'Result Aggregate'!BQ211</f>
        <v>0</v>
      </c>
      <c r="G31" s="258">
        <f>'Result Aggregate'!BR211</f>
        <v>0</v>
      </c>
      <c r="H31" s="258">
        <f>'Result Aggregate'!BS211</f>
        <v>0</v>
      </c>
      <c r="I31" s="258">
        <f>'Result Aggregate'!BT211</f>
        <v>0</v>
      </c>
      <c r="J31" s="258">
        <f>'Result Aggregate'!BU211</f>
        <v>0</v>
      </c>
      <c r="K31" s="258">
        <f>'Result Aggregate'!BV211</f>
        <v>0</v>
      </c>
      <c r="L31" s="258">
        <f>'Result Aggregate'!BW211</f>
        <v>0</v>
      </c>
      <c r="M31" s="258">
        <f>'Result Aggregate'!BX211</f>
        <v>0</v>
      </c>
      <c r="N31" s="258">
        <f>'Result Aggregate'!BY211</f>
        <v>0</v>
      </c>
      <c r="O31" s="259">
        <f>'Result Aggregate'!BZ211</f>
        <v>0</v>
      </c>
      <c r="P31" s="260"/>
    </row>
    <row r="32" spans="1:16" ht="23.1" customHeight="1">
      <c r="A32" s="1393" t="str">
        <f>'Result Aggregate'!BM212</f>
        <v>पुनः परीक्षा</v>
      </c>
      <c r="B32" s="1394"/>
      <c r="C32" s="258">
        <f>'Result Aggregate'!BN212</f>
        <v>0</v>
      </c>
      <c r="D32" s="258">
        <f>'Result Aggregate'!BO212</f>
        <v>0</v>
      </c>
      <c r="E32" s="258">
        <f>'Result Aggregate'!BP212</f>
        <v>0</v>
      </c>
      <c r="F32" s="258">
        <f>'Result Aggregate'!BQ212</f>
        <v>0</v>
      </c>
      <c r="G32" s="258">
        <f>'Result Aggregate'!BR212</f>
        <v>0</v>
      </c>
      <c r="H32" s="258">
        <f>'Result Aggregate'!BS212</f>
        <v>0</v>
      </c>
      <c r="I32" s="258">
        <f>'Result Aggregate'!BT212</f>
        <v>0</v>
      </c>
      <c r="J32" s="258">
        <f>'Result Aggregate'!BU212</f>
        <v>0</v>
      </c>
      <c r="K32" s="258">
        <f>'Result Aggregate'!BV212</f>
        <v>0</v>
      </c>
      <c r="L32" s="258">
        <f>'Result Aggregate'!BW212</f>
        <v>0</v>
      </c>
      <c r="M32" s="258">
        <f>'Result Aggregate'!BX212</f>
        <v>0</v>
      </c>
      <c r="N32" s="258">
        <f>'Result Aggregate'!BY212</f>
        <v>0</v>
      </c>
      <c r="O32" s="259">
        <f>'Result Aggregate'!BZ212</f>
        <v>0</v>
      </c>
      <c r="P32" s="261"/>
    </row>
    <row r="33" spans="1:16" ht="23.1" customHeight="1">
      <c r="A33" s="1393" t="str">
        <f>'Result Aggregate'!BM213</f>
        <v>अनुतीर्ण</v>
      </c>
      <c r="B33" s="1394"/>
      <c r="C33" s="258">
        <f>'Result Aggregate'!BN213</f>
        <v>1</v>
      </c>
      <c r="D33" s="258">
        <f>'Result Aggregate'!BO213</f>
        <v>0</v>
      </c>
      <c r="E33" s="258">
        <f>'Result Aggregate'!BP213</f>
        <v>0</v>
      </c>
      <c r="F33" s="258">
        <f>'Result Aggregate'!BQ213</f>
        <v>0</v>
      </c>
      <c r="G33" s="258">
        <f>'Result Aggregate'!BR213</f>
        <v>0</v>
      </c>
      <c r="H33" s="258">
        <f>'Result Aggregate'!BS213</f>
        <v>0</v>
      </c>
      <c r="I33" s="258">
        <f>'Result Aggregate'!BT213</f>
        <v>1</v>
      </c>
      <c r="J33" s="258">
        <f>'Result Aggregate'!BU213</f>
        <v>0</v>
      </c>
      <c r="K33" s="258">
        <f>'Result Aggregate'!BV213</f>
        <v>0</v>
      </c>
      <c r="L33" s="258">
        <f>'Result Aggregate'!BW213</f>
        <v>0</v>
      </c>
      <c r="M33" s="258">
        <f>'Result Aggregate'!BX213</f>
        <v>0</v>
      </c>
      <c r="N33" s="258">
        <f>'Result Aggregate'!BY213</f>
        <v>0</v>
      </c>
      <c r="O33" s="259">
        <f>'Result Aggregate'!BZ213</f>
        <v>2</v>
      </c>
      <c r="P33" s="262"/>
    </row>
    <row r="34" spans="1:16" ht="23.1" customHeight="1">
      <c r="A34" s="1393" t="str">
        <f>'Result Aggregate'!BM214</f>
        <v>प्रविष्ठ कुल विद्यार्थी</v>
      </c>
      <c r="B34" s="1394"/>
      <c r="C34" s="258">
        <f>'Result Aggregate'!BN214</f>
        <v>2</v>
      </c>
      <c r="D34" s="258">
        <f>'Result Aggregate'!BO214</f>
        <v>0</v>
      </c>
      <c r="E34" s="258">
        <f>'Result Aggregate'!BP214</f>
        <v>0</v>
      </c>
      <c r="F34" s="258">
        <f>'Result Aggregate'!BQ214</f>
        <v>1</v>
      </c>
      <c r="G34" s="258">
        <f>'Result Aggregate'!BR214</f>
        <v>2</v>
      </c>
      <c r="H34" s="258">
        <f>'Result Aggregate'!BS214</f>
        <v>1</v>
      </c>
      <c r="I34" s="258">
        <f>'Result Aggregate'!BT214</f>
        <v>1</v>
      </c>
      <c r="J34" s="258">
        <f>'Result Aggregate'!BU214</f>
        <v>1</v>
      </c>
      <c r="K34" s="258">
        <f>'Result Aggregate'!BV214</f>
        <v>0</v>
      </c>
      <c r="L34" s="258">
        <f>'Result Aggregate'!BW214</f>
        <v>1</v>
      </c>
      <c r="M34" s="258">
        <f>'Result Aggregate'!BX214</f>
        <v>1</v>
      </c>
      <c r="N34" s="258">
        <f>'Result Aggregate'!BY214</f>
        <v>1</v>
      </c>
      <c r="O34" s="259">
        <f>'Result Aggregate'!BZ214</f>
        <v>11</v>
      </c>
      <c r="P34" s="262"/>
    </row>
    <row r="35" spans="1:16" ht="23.1" customHeight="1">
      <c r="A35" s="1393" t="str">
        <f>'Result Aggregate'!BM215</f>
        <v>उत्तीर्ण प्रतिशत</v>
      </c>
      <c r="B35" s="1394"/>
      <c r="C35" s="263">
        <f>'Result Aggregate'!BN215</f>
        <v>50</v>
      </c>
      <c r="D35" s="263" t="str">
        <f>'Result Aggregate'!BO215</f>
        <v/>
      </c>
      <c r="E35" s="263" t="str">
        <f>'Result Aggregate'!BP215</f>
        <v/>
      </c>
      <c r="F35" s="263">
        <f>'Result Aggregate'!BQ215</f>
        <v>100</v>
      </c>
      <c r="G35" s="263">
        <f>'Result Aggregate'!BR215</f>
        <v>100</v>
      </c>
      <c r="H35" s="263">
        <f>'Result Aggregate'!BS215</f>
        <v>100</v>
      </c>
      <c r="I35" s="263">
        <f>'Result Aggregate'!BT215</f>
        <v>0</v>
      </c>
      <c r="J35" s="263">
        <f>'Result Aggregate'!BU215</f>
        <v>100</v>
      </c>
      <c r="K35" s="263" t="str">
        <f>'Result Aggregate'!BV215</f>
        <v/>
      </c>
      <c r="L35" s="263">
        <f>'Result Aggregate'!BW215</f>
        <v>100</v>
      </c>
      <c r="M35" s="263">
        <f>'Result Aggregate'!BX215</f>
        <v>100</v>
      </c>
      <c r="N35" s="263">
        <f>'Result Aggregate'!BY215</f>
        <v>100</v>
      </c>
      <c r="O35" s="264">
        <f>'Result Aggregate'!BZ215</f>
        <v>81.818181818181827</v>
      </c>
      <c r="P35" s="262"/>
    </row>
    <row r="36" spans="1:16" ht="23.1" customHeight="1" thickBot="1">
      <c r="A36" s="1395" t="str">
        <f>IF('School Profile'!D12="Hindi","नाम पृथक","NSO")</f>
        <v>नाम पृथक</v>
      </c>
      <c r="B36" s="1396"/>
      <c r="C36" s="265">
        <f>'Result Aggregate'!BN216</f>
        <v>0</v>
      </c>
      <c r="D36" s="265">
        <f>'Result Aggregate'!BO216</f>
        <v>0</v>
      </c>
      <c r="E36" s="265">
        <f>'Result Aggregate'!BP216</f>
        <v>0</v>
      </c>
      <c r="F36" s="265">
        <f>'Result Aggregate'!BQ216</f>
        <v>0</v>
      </c>
      <c r="G36" s="265">
        <f>'Result Aggregate'!BR216</f>
        <v>0</v>
      </c>
      <c r="H36" s="265">
        <f>'Result Aggregate'!BS216</f>
        <v>0</v>
      </c>
      <c r="I36" s="265">
        <f>'Result Aggregate'!BT216</f>
        <v>0</v>
      </c>
      <c r="J36" s="265">
        <f>'Result Aggregate'!BU216</f>
        <v>0</v>
      </c>
      <c r="K36" s="265">
        <f>'Result Aggregate'!BV216</f>
        <v>0</v>
      </c>
      <c r="L36" s="265">
        <f>'Result Aggregate'!BW216</f>
        <v>0</v>
      </c>
      <c r="M36" s="265">
        <f>'Result Aggregate'!BX216</f>
        <v>0</v>
      </c>
      <c r="N36" s="265">
        <f>'Result Aggregate'!BY216</f>
        <v>0</v>
      </c>
      <c r="O36" s="266">
        <f>'Result Aggregate'!BZ216</f>
        <v>0</v>
      </c>
      <c r="P36" s="267"/>
    </row>
    <row r="37" spans="1:16" ht="19.5" thickTop="1">
      <c r="A37" s="108"/>
      <c r="B37" s="108"/>
      <c r="C37" s="108"/>
      <c r="D37" s="108"/>
      <c r="E37" s="108"/>
      <c r="F37" s="108"/>
      <c r="G37" s="108"/>
      <c r="H37" s="108"/>
      <c r="I37" s="108"/>
      <c r="J37" s="108"/>
      <c r="K37" s="108"/>
      <c r="L37" s="108"/>
      <c r="M37" s="108"/>
      <c r="N37" s="108"/>
      <c r="O37" s="108"/>
      <c r="P37" s="268"/>
    </row>
    <row r="38" spans="1:16" ht="39" customHeight="1">
      <c r="A38" s="1388" t="str">
        <f>CONCATENATE("( ",UPPER('School Profile'!D15)," )")</f>
        <v>( HEERALAL JAT )</v>
      </c>
      <c r="B38" s="1388"/>
      <c r="C38" s="1388"/>
      <c r="D38" s="244"/>
      <c r="E38" s="245"/>
      <c r="F38" s="721"/>
      <c r="G38" s="243"/>
      <c r="H38" s="721"/>
      <c r="I38" s="243"/>
      <c r="J38" s="1389" t="str">
        <f>CONCATENATE("( ",UPPER('School Profile'!D14)," )")</f>
        <v>( DEWANAND )</v>
      </c>
      <c r="K38" s="1389"/>
      <c r="L38" s="1389"/>
      <c r="M38" s="1389"/>
      <c r="N38" s="1389"/>
      <c r="O38" s="1389"/>
      <c r="P38" s="108"/>
    </row>
    <row r="39" spans="1:16" ht="21.75" customHeight="1">
      <c r="A39" s="1386" t="str">
        <f>IF('School Profile'!D12="Hindi","हस्ताक्षर परीक्षा प्रभारी","Signature of the exam. Incharge")</f>
        <v>हस्ताक्षर परीक्षा प्रभारी</v>
      </c>
      <c r="B39" s="1386"/>
      <c r="C39" s="1386"/>
      <c r="D39" s="246"/>
      <c r="E39" s="247"/>
      <c r="F39" s="248"/>
      <c r="G39" s="249"/>
      <c r="H39" s="248"/>
      <c r="I39" s="249"/>
      <c r="J39" s="1387" t="str">
        <f>IF('School Profile'!D12="Hindi","हस्ताक्षर मय सील मोहर संस्था प्रधान","Signature &amp; Seal of the Head of the Institution")</f>
        <v>हस्ताक्षर मय सील मोहर संस्था प्रधान</v>
      </c>
      <c r="K39" s="1387"/>
      <c r="L39" s="1387"/>
      <c r="M39" s="1387"/>
      <c r="N39" s="1387"/>
      <c r="O39" s="1387"/>
      <c r="P39" s="108"/>
    </row>
    <row r="40" spans="1:16" ht="18.75">
      <c r="A40" s="108"/>
      <c r="B40" s="108"/>
      <c r="C40" s="108"/>
      <c r="D40" s="108"/>
      <c r="E40" s="108"/>
      <c r="F40" s="108"/>
      <c r="G40" s="108"/>
      <c r="H40" s="108"/>
      <c r="I40" s="108"/>
      <c r="J40" s="108"/>
      <c r="K40" s="108"/>
      <c r="L40" s="108"/>
      <c r="M40" s="108"/>
      <c r="N40" s="108"/>
      <c r="O40" s="108"/>
      <c r="P40" s="269"/>
    </row>
    <row r="41" spans="1:16" ht="15.75">
      <c r="A41" s="108"/>
      <c r="B41" s="108"/>
      <c r="C41" s="108"/>
      <c r="D41" s="108"/>
      <c r="E41" s="108"/>
      <c r="F41" s="108"/>
      <c r="G41" s="108"/>
      <c r="H41" s="108"/>
      <c r="I41" s="108"/>
      <c r="J41" s="108"/>
      <c r="K41" s="108"/>
      <c r="L41" s="108"/>
      <c r="M41" s="108"/>
      <c r="N41" s="108"/>
      <c r="O41" s="108"/>
      <c r="P41" s="270"/>
    </row>
    <row r="42" spans="1:16" ht="26.25">
      <c r="A42" s="108"/>
      <c r="B42" s="108"/>
      <c r="C42" s="108"/>
      <c r="D42" s="108"/>
      <c r="E42" s="108"/>
      <c r="F42" s="108"/>
      <c r="G42" s="108"/>
      <c r="H42" s="108"/>
      <c r="I42" s="108"/>
      <c r="J42" s="108"/>
      <c r="K42" s="108"/>
      <c r="L42" s="108"/>
      <c r="M42" s="108"/>
      <c r="N42" s="108"/>
      <c r="O42" s="108"/>
      <c r="P42" s="260"/>
    </row>
    <row r="43" spans="1:16" ht="15.75">
      <c r="A43" s="108"/>
      <c r="B43" s="108"/>
      <c r="C43" s="108"/>
      <c r="D43" s="108"/>
      <c r="E43" s="108"/>
      <c r="F43" s="108"/>
      <c r="G43" s="108"/>
      <c r="H43" s="108"/>
      <c r="I43" s="108"/>
      <c r="J43" s="108"/>
      <c r="K43" s="108"/>
      <c r="L43" s="108"/>
      <c r="M43" s="108"/>
      <c r="N43" s="108"/>
      <c r="O43" s="108"/>
      <c r="P43" s="261"/>
    </row>
    <row r="44" spans="1:16" ht="18.75">
      <c r="A44" s="108"/>
      <c r="B44" s="108"/>
      <c r="C44" s="108"/>
      <c r="D44" s="108"/>
      <c r="E44" s="108"/>
      <c r="F44" s="108"/>
      <c r="G44" s="108"/>
      <c r="H44" s="108"/>
      <c r="I44" s="108"/>
      <c r="J44" s="108"/>
      <c r="K44" s="108"/>
      <c r="L44" s="108"/>
      <c r="M44" s="108"/>
      <c r="N44" s="108"/>
      <c r="O44" s="108"/>
      <c r="P44" s="262"/>
    </row>
    <row r="45" spans="1:16" ht="18.75">
      <c r="A45" s="108"/>
      <c r="B45" s="108"/>
      <c r="C45" s="108"/>
      <c r="D45" s="108"/>
      <c r="E45" s="108"/>
      <c r="F45" s="108"/>
      <c r="G45" s="108"/>
      <c r="H45" s="108"/>
      <c r="I45" s="108"/>
      <c r="J45" s="108"/>
      <c r="K45" s="108"/>
      <c r="L45" s="108"/>
      <c r="M45" s="108"/>
      <c r="N45" s="108"/>
      <c r="O45" s="108"/>
      <c r="P45" s="262"/>
    </row>
    <row r="46" spans="1:16" ht="18.75">
      <c r="A46" s="108"/>
      <c r="B46" s="108"/>
      <c r="C46" s="108"/>
      <c r="D46" s="108"/>
      <c r="E46" s="108"/>
      <c r="F46" s="108"/>
      <c r="G46" s="108"/>
      <c r="H46" s="108"/>
      <c r="I46" s="108"/>
      <c r="J46" s="108"/>
      <c r="K46" s="108"/>
      <c r="L46" s="108"/>
      <c r="M46" s="108"/>
      <c r="N46" s="108"/>
      <c r="O46" s="108"/>
      <c r="P46" s="262"/>
    </row>
  </sheetData>
  <sheetProtection password="D5A2" sheet="1" objects="1" scenarios="1" formatColumns="0" formatRows="0"/>
  <mergeCells count="32">
    <mergeCell ref="A23:O24"/>
    <mergeCell ref="A25:F25"/>
    <mergeCell ref="A26:B26"/>
    <mergeCell ref="A27:B27"/>
    <mergeCell ref="A28:B28"/>
    <mergeCell ref="A29:B29"/>
    <mergeCell ref="A30:B30"/>
    <mergeCell ref="A31:B31"/>
    <mergeCell ref="A32:B32"/>
    <mergeCell ref="A33:B33"/>
    <mergeCell ref="A1:O1"/>
    <mergeCell ref="A2:E3"/>
    <mergeCell ref="H2:I3"/>
    <mergeCell ref="F2:G3"/>
    <mergeCell ref="M2:O3"/>
    <mergeCell ref="J2:L3"/>
    <mergeCell ref="A39:C39"/>
    <mergeCell ref="J39:O39"/>
    <mergeCell ref="A18:C18"/>
    <mergeCell ref="A17:C17"/>
    <mergeCell ref="J17:O17"/>
    <mergeCell ref="I25:K25"/>
    <mergeCell ref="A38:C38"/>
    <mergeCell ref="J38:O38"/>
    <mergeCell ref="G25:H25"/>
    <mergeCell ref="L25:M25"/>
    <mergeCell ref="N25:O25"/>
    <mergeCell ref="J18:O18"/>
    <mergeCell ref="A34:B34"/>
    <mergeCell ref="A35:B35"/>
    <mergeCell ref="A36:B36"/>
    <mergeCell ref="A20:O21"/>
  </mergeCells>
  <conditionalFormatting sqref="A47:A65201 P47:P65201 B47:O65203 P18:P19 P22:P26">
    <cfRule type="containsText" dxfId="174" priority="28" stopIfTrue="1" operator="containsText" text="G1">
      <formula>NOT(ISERROR(SEARCH("G1",A18)))</formula>
    </cfRule>
    <cfRule type="containsText" dxfId="173" priority="29" stopIfTrue="1" operator="containsText" text="G2">
      <formula>NOT(ISERROR(SEARCH("G2",A18)))</formula>
    </cfRule>
    <cfRule type="containsText" dxfId="172" priority="30" stopIfTrue="1" operator="containsText" text="G1">
      <formula>NOT(ISERROR(SEARCH("G1",A18)))</formula>
    </cfRule>
    <cfRule type="containsText" dxfId="171" priority="31" stopIfTrue="1" operator="containsText" text="S">
      <formula>NOT(ISERROR(SEARCH("S",A18)))</formula>
    </cfRule>
    <cfRule type="containsText" dxfId="170" priority="32" stopIfTrue="1" operator="containsText" text="F">
      <formula>NOT(ISERROR(SEARCH("F",A18)))</formula>
    </cfRule>
  </conditionalFormatting>
  <conditionalFormatting sqref="P31:P46 C26:O36 C7:C14 B5:B16 A4:A17">
    <cfRule type="cellIs" dxfId="169" priority="27" stopIfTrue="1" operator="equal">
      <formula>0</formula>
    </cfRule>
  </conditionalFormatting>
  <conditionalFormatting sqref="P18:P19 P22:P26">
    <cfRule type="containsText" dxfId="168" priority="24" stopIfTrue="1" operator="containsText" text="RA">
      <formula>NOT(ISERROR(SEARCH("RA",P18)))</formula>
    </cfRule>
    <cfRule type="containsText" dxfId="167" priority="25" stopIfTrue="1" operator="containsText" text="ML">
      <formula>NOT(ISERROR(SEARCH("ML",P18)))</formula>
    </cfRule>
    <cfRule type="containsText" dxfId="166" priority="26" stopIfTrue="1" operator="containsText" text="ML">
      <formula>NOT(ISERROR(SEARCH("ML",P18)))</formula>
    </cfRule>
  </conditionalFormatting>
  <conditionalFormatting sqref="P18:P19 P22:P26">
    <cfRule type="containsText" dxfId="165" priority="23" stopIfTrue="1" operator="containsText" text="S">
      <formula>NOT(ISERROR(SEARCH("S",P18)))</formula>
    </cfRule>
  </conditionalFormatting>
  <conditionalFormatting sqref="J18">
    <cfRule type="cellIs" dxfId="164" priority="14" stopIfTrue="1" operator="equal">
      <formula>0</formula>
    </cfRule>
  </conditionalFormatting>
  <conditionalFormatting sqref="J18">
    <cfRule type="containsText" dxfId="163" priority="13" stopIfTrue="1" operator="containsText" text="iwjd">
      <formula>NOT(ISERROR(SEARCH("iwjd",J18)))</formula>
    </cfRule>
  </conditionalFormatting>
  <conditionalFormatting sqref="P39">
    <cfRule type="containsText" dxfId="162" priority="8" stopIfTrue="1" operator="containsText" text="G1">
      <formula>NOT(ISERROR(SEARCH("G1",P39)))</formula>
    </cfRule>
    <cfRule type="containsText" dxfId="161" priority="9" stopIfTrue="1" operator="containsText" text="G2">
      <formula>NOT(ISERROR(SEARCH("G2",P39)))</formula>
    </cfRule>
    <cfRule type="containsText" dxfId="160" priority="10" stopIfTrue="1" operator="containsText" text="G1">
      <formula>NOT(ISERROR(SEARCH("G1",P39)))</formula>
    </cfRule>
    <cfRule type="containsText" dxfId="159" priority="11" stopIfTrue="1" operator="containsText" text="S">
      <formula>NOT(ISERROR(SEARCH("S",P39)))</formula>
    </cfRule>
    <cfRule type="containsText" dxfId="158" priority="12" stopIfTrue="1" operator="containsText" text="F">
      <formula>NOT(ISERROR(SEARCH("F",P39)))</formula>
    </cfRule>
  </conditionalFormatting>
  <conditionalFormatting sqref="A38">
    <cfRule type="cellIs" dxfId="157" priority="7" stopIfTrue="1" operator="equal">
      <formula>0</formula>
    </cfRule>
  </conditionalFormatting>
  <conditionalFormatting sqref="P39">
    <cfRule type="containsText" dxfId="156" priority="4" stopIfTrue="1" operator="containsText" text="RA">
      <formula>NOT(ISERROR(SEARCH("RA",P39)))</formula>
    </cfRule>
    <cfRule type="containsText" dxfId="155" priority="5" stopIfTrue="1" operator="containsText" text="ML">
      <formula>NOT(ISERROR(SEARCH("ML",P39)))</formula>
    </cfRule>
    <cfRule type="containsText" dxfId="154" priority="6" stopIfTrue="1" operator="containsText" text="ML">
      <formula>NOT(ISERROR(SEARCH("ML",P39)))</formula>
    </cfRule>
  </conditionalFormatting>
  <conditionalFormatting sqref="P39">
    <cfRule type="containsText" dxfId="153" priority="3" stopIfTrue="1" operator="containsText" text="S">
      <formula>NOT(ISERROR(SEARCH("S",P39)))</formula>
    </cfRule>
  </conditionalFormatting>
  <conditionalFormatting sqref="J39">
    <cfRule type="cellIs" dxfId="152" priority="2" stopIfTrue="1" operator="equal">
      <formula>0</formula>
    </cfRule>
  </conditionalFormatting>
  <conditionalFormatting sqref="J39">
    <cfRule type="containsText" dxfId="151" priority="1" stopIfTrue="1" operator="containsText" text="iwjd">
      <formula>NOT(ISERROR(SEARCH("iwjd",J39)))</formula>
    </cfRule>
  </conditionalFormatting>
  <pageMargins left="0.7" right="0.45" top="0.25" bottom="0.25"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A1:CA243"/>
  <sheetViews>
    <sheetView showGridLines="0" view="pageBreakPreview" zoomScale="106" zoomScaleSheetLayoutView="106" workbookViewId="0">
      <selection activeCell="Q227" sqref="Q227"/>
    </sheetView>
  </sheetViews>
  <sheetFormatPr defaultColWidth="9.125" defaultRowHeight="0" customHeight="1" zeroHeight="1"/>
  <cols>
    <col min="1" max="1" width="5" style="271" customWidth="1"/>
    <col min="2" max="2" width="5.625" style="271" customWidth="1"/>
    <col min="3" max="3" width="5.25" style="271" customWidth="1"/>
    <col min="4" max="4" width="10" style="271" customWidth="1"/>
    <col min="5" max="5" width="13.75" style="271" customWidth="1"/>
    <col min="6" max="6" width="13.375" style="271" customWidth="1"/>
    <col min="7" max="7" width="14.5" style="271" bestFit="1" customWidth="1"/>
    <col min="8" max="8" width="4.75" style="307" customWidth="1"/>
    <col min="9" max="9" width="4.125" style="307" customWidth="1"/>
    <col min="10" max="10" width="11" style="271" customWidth="1"/>
    <col min="11" max="11" width="5.625" style="271" customWidth="1"/>
    <col min="12" max="12" width="8.5" style="271" customWidth="1"/>
    <col min="13" max="14" width="4.375" style="271" customWidth="1"/>
    <col min="15" max="15" width="16.875" style="271" customWidth="1"/>
    <col min="16" max="16" width="6.75" style="271" customWidth="1"/>
    <col min="17" max="17" width="7.625" style="308" customWidth="1"/>
    <col min="18" max="18" width="5" style="309" customWidth="1"/>
    <col min="19" max="19" width="5.625" style="271" customWidth="1"/>
    <col min="20" max="63" width="5.25" style="271" customWidth="1"/>
    <col min="64" max="64" width="5.375" style="271" hidden="1" customWidth="1"/>
    <col min="65" max="65" width="19.375" style="271" hidden="1" customWidth="1"/>
    <col min="66" max="78" width="6.75" style="271" hidden="1" customWidth="1"/>
    <col min="79" max="79" width="9.125" style="271" hidden="1" customWidth="1"/>
    <col min="80" max="80" width="9.125" style="271" customWidth="1"/>
    <col min="81" max="16384" width="9.125" style="271"/>
  </cols>
  <sheetData>
    <row r="1" spans="1:78" ht="28.5" customHeight="1" thickTop="1">
      <c r="A1" s="1414" t="str">
        <f>IF('School Profile'!D12="Hindi",CONCATENATE("विद्यालय का नाम :-","  ",'School Profile'!D9),CONCATENATE("School Name :-","  ",'School Profile'!D8))</f>
        <v xml:space="preserve">विद्यालय का नाम :-  महात्मा गाँधी राजकीय विद्यालय (अंग्रेजी माध्यम) बर, पाली </v>
      </c>
      <c r="B1" s="1414"/>
      <c r="C1" s="1414"/>
      <c r="D1" s="1414"/>
      <c r="E1" s="1414"/>
      <c r="F1" s="1414"/>
      <c r="G1" s="1414"/>
      <c r="H1" s="1414"/>
      <c r="I1" s="1414"/>
      <c r="J1" s="1414"/>
      <c r="K1" s="1414"/>
      <c r="L1" s="1414"/>
      <c r="M1" s="1414"/>
      <c r="N1" s="821"/>
      <c r="O1" s="1413" t="str">
        <f>IF('School Profile'!D12="Hindi",CONCATENATE("समेकित परीक्षा परिणाम कक्षा "," - ",'Statement of Marks'!E3," तथा विषयवार परिणाम"),CONCATENATE("Aggregate result of the class"," - ",'Statement of Marks'!E3," &amp; Subject-wise Result"))</f>
        <v>समेकित परीक्षा परिणाम कक्षा  - 9th तथा विषयवार परिणाम</v>
      </c>
      <c r="P1" s="1413"/>
      <c r="Q1" s="1413"/>
      <c r="R1" s="1413"/>
      <c r="S1" s="1413"/>
      <c r="BM1" s="1416" t="s">
        <v>42</v>
      </c>
      <c r="BN1" s="1417"/>
      <c r="BO1" s="1417"/>
      <c r="BP1" s="1417"/>
      <c r="BQ1" s="1417"/>
      <c r="BR1" s="1417"/>
      <c r="BS1" s="1417"/>
      <c r="BT1" s="1417"/>
      <c r="BU1" s="1417"/>
      <c r="BV1" s="1417"/>
      <c r="BW1" s="1417"/>
      <c r="BX1" s="1417"/>
      <c r="BY1" s="1417"/>
      <c r="BZ1" s="1418"/>
    </row>
    <row r="2" spans="1:78" ht="21.75" customHeight="1">
      <c r="A2" s="623" t="str">
        <f>IF('School Profile'!D12="Hindi","कक्षा :-","CLASS :-")</f>
        <v>कक्षा :-</v>
      </c>
      <c r="B2" s="1422" t="str">
        <f>'Supp. Result Entry'!C2</f>
        <v>9th</v>
      </c>
      <c r="C2" s="1423"/>
      <c r="D2" s="1424" t="str">
        <f>IF('Statement of Marks'!E4="","",'Statement of Marks'!E4)</f>
        <v xml:space="preserve">जन्मतिथि </v>
      </c>
      <c r="E2" s="1424" t="str">
        <f>IF('Statement of Marks'!F4="","",'Statement of Marks'!F4)</f>
        <v xml:space="preserve">विद्यार्थी का नाम </v>
      </c>
      <c r="F2" s="1424" t="str">
        <f>IF('Statement of Marks'!G4="","",'Statement of Marks'!G4)</f>
        <v xml:space="preserve">पिता का नाम </v>
      </c>
      <c r="G2" s="1424" t="str">
        <f>IF('Statement of Marks'!H4="","",'Statement of Marks'!H4)</f>
        <v xml:space="preserve">माता का नाम </v>
      </c>
      <c r="H2" s="1427" t="str">
        <f>IF('School Profile'!D12="Hindi","सत्र  :-","Session :-")</f>
        <v>सत्र  :-</v>
      </c>
      <c r="I2" s="1428"/>
      <c r="J2" s="723" t="str">
        <f>'Supp. Result Entry'!G2</f>
        <v>2025-2026</v>
      </c>
      <c r="K2" s="1426" t="str">
        <f>IF('School Profile'!D12="Hindi","प्राप्तांक","Marks Obtained")</f>
        <v>प्राप्तांक</v>
      </c>
      <c r="L2" s="1253" t="str">
        <f>IF('School Profile'!D12="Hindi","प्रतिशत","Percentage")</f>
        <v>प्रतिशत</v>
      </c>
      <c r="M2" s="1415" t="str">
        <f>IF('School Profile'!$D$12="Hindi","श्रेणी","Division")</f>
        <v>श्रेणी</v>
      </c>
      <c r="N2" s="1446" t="str">
        <f>IF('School Profile'!D12="Hindi","कक्षा में स्थान","Position in the Class")</f>
        <v>कक्षा में स्थान</v>
      </c>
      <c r="O2" s="1253" t="str">
        <f>IF('School Profile'!$D$12="Hindi","पूरक विषय","Supplementary Subject")</f>
        <v>पूरक विषय</v>
      </c>
      <c r="P2" s="1415" t="str">
        <f>IF('School Profile'!$D$12="Hindi","पूरक/पुनः परीक्षा का परिणाम","Supp. / Re-exam Result")</f>
        <v>पूरक/पुनः परीक्षा का परिणाम</v>
      </c>
      <c r="Q2" s="1415" t="str">
        <f>IF('School Profile'!$D$12="Hindi","पूरक परीक्षा उतीर्ण के बाद प्रतिशत","Percentage  after Passing the Supplementary Exam")</f>
        <v>पूरक परीक्षा उतीर्ण के बाद प्रतिशत</v>
      </c>
      <c r="R2" s="1415" t="str">
        <f>IF('School Profile'!$D$12="Hindi","श्रेणी","Division")</f>
        <v>श्रेणी</v>
      </c>
      <c r="S2" s="1415" t="str">
        <f>IF('School Profile'!$D$12="Hindi","उपस्थिति","Attendance")</f>
        <v>उपस्थिति</v>
      </c>
      <c r="BM2" s="1419"/>
      <c r="BN2" s="1420"/>
      <c r="BO2" s="1420"/>
      <c r="BP2" s="1420"/>
      <c r="BQ2" s="1420"/>
      <c r="BR2" s="1420"/>
      <c r="BS2" s="1420"/>
      <c r="BT2" s="1420"/>
      <c r="BU2" s="1420"/>
      <c r="BV2" s="1420"/>
      <c r="BW2" s="1420"/>
      <c r="BX2" s="1420"/>
      <c r="BY2" s="1420"/>
      <c r="BZ2" s="1421"/>
    </row>
    <row r="3" spans="1:78" s="272" customFormat="1" ht="63.75" customHeight="1">
      <c r="A3" s="624" t="str">
        <f>IF('Statement of Marks'!A4="","",'Statement of Marks'!A4)</f>
        <v xml:space="preserve">क्र. स. </v>
      </c>
      <c r="B3" s="624" t="str">
        <f>IF('Statement of Marks'!B4="","",'Statement of Marks'!B4)</f>
        <v>रोल न.</v>
      </c>
      <c r="C3" s="624" t="str">
        <f>IF('Statement of Marks'!D4="","",'Statement of Marks'!D4)</f>
        <v>प्रवेशांक</v>
      </c>
      <c r="D3" s="1425"/>
      <c r="E3" s="1425"/>
      <c r="F3" s="1425"/>
      <c r="G3" s="1425"/>
      <c r="H3" s="625" t="str">
        <f>'Marks Entry'!J3</f>
        <v xml:space="preserve">वर्ग  </v>
      </c>
      <c r="I3" s="625" t="str">
        <f>'Marks Entry'!K3</f>
        <v xml:space="preserve">लिंग </v>
      </c>
      <c r="J3" s="626" t="str">
        <f>IF('School Profile'!$D$12="Hindi","परिणाम ","Result")</f>
        <v xml:space="preserve">परिणाम </v>
      </c>
      <c r="K3" s="1415"/>
      <c r="L3" s="1253"/>
      <c r="M3" s="1415"/>
      <c r="N3" s="1447"/>
      <c r="O3" s="1253"/>
      <c r="P3" s="1415"/>
      <c r="Q3" s="1415"/>
      <c r="R3" s="1415"/>
      <c r="S3" s="1415"/>
      <c r="BM3" s="273" t="str">
        <f>'[1]statement of marks'!G4</f>
        <v>Nk= @ Nk=k dk uke</v>
      </c>
      <c r="BN3" s="274" t="s">
        <v>43</v>
      </c>
      <c r="BO3" s="274" t="s">
        <v>44</v>
      </c>
      <c r="BP3" s="274" t="s">
        <v>45</v>
      </c>
      <c r="BQ3" s="274" t="s">
        <v>46</v>
      </c>
      <c r="BR3" s="274" t="s">
        <v>47</v>
      </c>
      <c r="BS3" s="274" t="s">
        <v>48</v>
      </c>
      <c r="BT3" s="274" t="s">
        <v>49</v>
      </c>
      <c r="BU3" s="274" t="s">
        <v>50</v>
      </c>
      <c r="BV3" s="274" t="s">
        <v>51</v>
      </c>
      <c r="BW3" s="274" t="s">
        <v>52</v>
      </c>
      <c r="BX3" s="274" t="s">
        <v>53</v>
      </c>
      <c r="BY3" s="274" t="s">
        <v>54</v>
      </c>
      <c r="BZ3" s="275" t="s">
        <v>55</v>
      </c>
    </row>
    <row r="4" spans="1:78" ht="14.1" customHeight="1">
      <c r="A4" s="276">
        <f>IF('Statement of Marks'!A7="","",'Statement of Marks'!A7)</f>
        <v>1</v>
      </c>
      <c r="B4" s="277">
        <f>IF('Statement of Marks'!B7="","",'Statement of Marks'!B7)</f>
        <v>901</v>
      </c>
      <c r="C4" s="278">
        <f>IF('Statement of Marks'!D7="","",'Statement of Marks'!D7)</f>
        <v>521</v>
      </c>
      <c r="D4" s="314">
        <f>IF('Statement of Marks'!E7="","",'Statement of Marks'!E7)</f>
        <v>40461</v>
      </c>
      <c r="E4" s="279" t="str">
        <f>IF('Statement of Marks'!F7="","",'Statement of Marks'!F7)</f>
        <v>RAHUL JAT</v>
      </c>
      <c r="F4" s="279" t="str">
        <f>IF('Statement of Marks'!G7="","",'Statement of Marks'!G7)</f>
        <v>HL JAT</v>
      </c>
      <c r="G4" s="279" t="str">
        <f>IF('Statement of Marks'!H7="","",'Statement of Marks'!H7)</f>
        <v>LALI</v>
      </c>
      <c r="H4" s="280" t="str">
        <f>IF('Statement of Marks'!I7="","",'Statement of Marks'!I7)</f>
        <v>OBC</v>
      </c>
      <c r="I4" s="280" t="str">
        <f>IF('Statement of Marks'!J7="","",'Statement of Marks'!J7)</f>
        <v>M</v>
      </c>
      <c r="J4" s="826" t="str">
        <f>IF('Statement of Marks'!HS7="","",'Statement of Marks'!HS7)</f>
        <v>PASS</v>
      </c>
      <c r="K4" s="281">
        <f>IF('Statement of Marks'!HT7="","",'Statement of Marks'!HT7)</f>
        <v>886</v>
      </c>
      <c r="L4" s="828">
        <f>IF('Statement of Marks'!HW7="","",'Statement of Marks'!HW7)</f>
        <v>73.833333333333329</v>
      </c>
      <c r="M4" s="281" t="str">
        <f>IF('Statement of Marks'!HV7="","",'Statement of Marks'!HV7)</f>
        <v>1st</v>
      </c>
      <c r="N4" s="829">
        <f>IF('Statement of Marks'!HX7="","",'Statement of Marks'!HX7)</f>
        <v>1.0000000000000013</v>
      </c>
      <c r="O4" s="282" t="str">
        <f>IF(J4="FAIL","",IF('Statement of Marks'!HO7="","",'Statement of Marks'!HO7))</f>
        <v xml:space="preserve">      </v>
      </c>
      <c r="P4" s="283" t="str">
        <f>IF('Supp. Result Entry'!AQ5="","",'Supp. Result Entry'!AQ5)</f>
        <v/>
      </c>
      <c r="Q4" s="284" t="str">
        <f>IF('Supp. Result Entry'!AR5="","",'Supp. Result Entry'!AR5)</f>
        <v/>
      </c>
      <c r="R4" s="285" t="str">
        <f>IF('Statement of Marks'!IA7="","",'Statement of Marks'!IA7)</f>
        <v/>
      </c>
      <c r="S4" s="286">
        <f>IF('Statement of Marks'!GL7="","",'Statement of Marks'!GL7)</f>
        <v>192</v>
      </c>
      <c r="BM4" s="287" t="str">
        <f>'Statement of Marks'!F7</f>
        <v>RAHUL JAT</v>
      </c>
      <c r="BN4" s="288" t="str">
        <f>IFERROR(IF(AND(M4="",R4="",H4="SC",I4="M"),J4,IF(AND(M4="",H4="SC",I4="M"),R4,IF(AND(R4="",H4="SC",I4="M"),M4,""))),"")</f>
        <v/>
      </c>
      <c r="BO4" s="288" t="str">
        <f>IFERROR(IF(AND(M4="",R4="",H4="SC",I4="F"),J4,IF(AND(M4="",H4="SC",I4="F"),R4,IF(AND(R4="",H4="SC",I4="F"),M4,""))),"")</f>
        <v/>
      </c>
      <c r="BP4" s="288" t="str">
        <f>IFERROR(IF(AND(M4="",R4="",H4="ST",I4="M"),J4,IF(AND(M4="",H4="ST",I4="M"),R4,IF(AND(R4="",H4="ST",I4="M"),M4,""))),"")</f>
        <v/>
      </c>
      <c r="BQ4" s="288" t="str">
        <f>IFERROR(IF(AND(M4="",R4="",H4="ST",I4="F"),J4,IF(AND(M4="",H4="ST",I4="F"),R4,IF(AND(R4="",H4="ST",I4="F"),M4,""))),"")</f>
        <v/>
      </c>
      <c r="BR4" s="288" t="str">
        <f>IFERROR(IF(AND(M4="",R4="",H4="OBC",I4="M"),J4,IF(AND(M4="",H4="OBC",I4="M"),R4,IF(AND(R4="",H4="OBC",I4="M"),M4,""))),"")</f>
        <v>1st</v>
      </c>
      <c r="BS4" s="288" t="str">
        <f>IFERROR(IF(AND(M4="",R4="",H4="OBC",I4="F"),J4,IF(AND(M4="",H4="OBC",I4="F"),R4,IF(AND(R4="",H4="OBC",I4="F"),M4,""))),"")</f>
        <v/>
      </c>
      <c r="BT4" s="288" t="str">
        <f>IFERROR(IF(AND(M4="",R4="",H4="GEN",I4="M"),J4,IF(AND(M4="",H4="GEN",I4="M"),R4,IF(AND(R4="",H4="GEN",I4="M"),M4,""))),"")</f>
        <v/>
      </c>
      <c r="BU4" s="288" t="str">
        <f>IFERROR(IF(AND(M4="",R4="",H4="GEN",I4="F"),J4,IF(AND(M4="",H4="GEN",I4="F"),R4,IF(AND(R4="",H4="GEN",I4="F"),M4,""))),"")</f>
        <v/>
      </c>
      <c r="BV4" s="288" t="str">
        <f>IFERROR(IF(AND(M4="",R4="",H4="MIN",I4="M"),J4,IF(AND(M4="",H4="MIN",I4="M"),R4,IF(AND(R4="",H4="MIN",I4="M"),M4,""))),"")</f>
        <v/>
      </c>
      <c r="BW4" s="288" t="str">
        <f>IFERROR(IF(AND(M4="",R4="",H4="MIN",I4="F"),J4,IF(AND(M4="",H4="MIN",I4="F"),R4,IF(AND(R4="",H4="MIN",I4="F"),M4,""))),"")</f>
        <v/>
      </c>
      <c r="BX4" s="288" t="str">
        <f>IFERROR(IF(AND(M4="",R4="",H4="SBC",I4="M"),J4,IF(AND(M4="",H4="SBC",I4="M"),R4,IF(AND(R4="",H4="SBC",I4="M"),M4,""))),"")</f>
        <v/>
      </c>
      <c r="BY4" s="288" t="str">
        <f>IFERROR(IF(AND(M4="",R4="",H4="SBC",I4="F"),J4,IF(AND(M4="",H4="SBC",I4="F"),R4,IF(AND(R4="",H4="SBC",I4="F"),M4,""))),"")</f>
        <v/>
      </c>
      <c r="BZ4" s="289"/>
    </row>
    <row r="5" spans="1:78" ht="14.1" customHeight="1">
      <c r="A5" s="276">
        <f>IF('Statement of Marks'!A8="","",'Statement of Marks'!A8)</f>
        <v>2</v>
      </c>
      <c r="B5" s="277">
        <f>IF('Statement of Marks'!B8="","",'Statement of Marks'!B8)</f>
        <v>902</v>
      </c>
      <c r="C5" s="278">
        <f>IF('Statement of Marks'!D8="","",'Statement of Marks'!D8)</f>
        <v>501</v>
      </c>
      <c r="D5" s="314">
        <f>IF('Statement of Marks'!E8="","",'Statement of Marks'!E8)</f>
        <v>40065</v>
      </c>
      <c r="E5" s="279" t="str">
        <f>IF('Statement of Marks'!F8="","",'Statement of Marks'!F8)</f>
        <v>RAM</v>
      </c>
      <c r="F5" s="279" t="str">
        <f>IF('Statement of Marks'!G8="","",'Statement of Marks'!G8)</f>
        <v>SHYAM</v>
      </c>
      <c r="G5" s="279" t="str">
        <f>IF('Statement of Marks'!H8="","",'Statement of Marks'!H8)</f>
        <v>SITA</v>
      </c>
      <c r="H5" s="280" t="str">
        <f>IF('Statement of Marks'!I8="","",'Statement of Marks'!I8)</f>
        <v>OBC</v>
      </c>
      <c r="I5" s="280" t="str">
        <f>IF('Statement of Marks'!J8="","",'Statement of Marks'!J8)</f>
        <v>M</v>
      </c>
      <c r="J5" s="827" t="str">
        <f>IF('Statement of Marks'!HS8="","",'Statement of Marks'!HS8)</f>
        <v>PASS</v>
      </c>
      <c r="K5" s="281">
        <f>IF('Statement of Marks'!HT8="","",'Statement of Marks'!HT8)</f>
        <v>859</v>
      </c>
      <c r="L5" s="828">
        <f>IF('Statement of Marks'!HW8="","",'Statement of Marks'!HW8)</f>
        <v>71.583333333333329</v>
      </c>
      <c r="M5" s="281" t="str">
        <f>IF('Statement of Marks'!HV8="","",'Statement of Marks'!HV8)</f>
        <v>1st</v>
      </c>
      <c r="N5" s="829">
        <f>IF('Statement of Marks'!HX8="","",'Statement of Marks'!HX8)</f>
        <v>2.0000000000000018</v>
      </c>
      <c r="O5" s="282" t="str">
        <f>IF(J5="FAIL","",IF('Statement of Marks'!HO8="","",'Statement of Marks'!HO8))</f>
        <v xml:space="preserve">      </v>
      </c>
      <c r="P5" s="283" t="str">
        <f>IF('Supp. Result Entry'!AQ6="","",'Supp. Result Entry'!AQ6)</f>
        <v/>
      </c>
      <c r="Q5" s="284" t="str">
        <f>IF('Supp. Result Entry'!AR6="","",'Supp. Result Entry'!AR6)</f>
        <v/>
      </c>
      <c r="R5" s="285" t="str">
        <f>IF('Statement of Marks'!IA8="","",'Statement of Marks'!IA8)</f>
        <v/>
      </c>
      <c r="S5" s="286">
        <f>IF('Statement of Marks'!GL8="","",'Statement of Marks'!GL8)</f>
        <v>202</v>
      </c>
      <c r="BM5" s="287" t="str">
        <f>'Statement of Marks'!F8</f>
        <v>RAM</v>
      </c>
      <c r="BN5" s="288" t="str">
        <f t="shared" ref="BN5:BN68" si="0">IFERROR(IF(AND(M5="",R5="",H5="SC",I5="M"),J5,IF(AND(M5="",H5="SC",I5="M"),R5,IF(AND(R5="",H5="SC",I5="M"),M5,""))),"")</f>
        <v/>
      </c>
      <c r="BO5" s="288" t="str">
        <f t="shared" ref="BO5:BO68" si="1">IFERROR(IF(AND(M5="",R5="",H5="SC",I5="F"),J5,IF(AND(M5="",H5="SC",I5="F"),R5,IF(AND(R5="",H5="SC",I5="F"),M5,""))),"")</f>
        <v/>
      </c>
      <c r="BP5" s="288" t="str">
        <f t="shared" ref="BP5:BP68" si="2">IFERROR(IF(AND(M5="",R5="",H5="ST",I5="M"),J5,IF(AND(M5="",H5="ST",I5="M"),R5,IF(AND(R5="",H5="ST",I5="M"),M5,""))),"")</f>
        <v/>
      </c>
      <c r="BQ5" s="288" t="str">
        <f t="shared" ref="BQ5:BQ68" si="3">IFERROR(IF(AND(M5="",R5="",H5="ST",I5="F"),J5,IF(AND(M5="",H5="ST",I5="F"),R5,IF(AND(R5="",H5="ST",I5="F"),M5,""))),"")</f>
        <v/>
      </c>
      <c r="BR5" s="288" t="str">
        <f t="shared" ref="BR5:BR68" si="4">IFERROR(IF(AND(M5="",R5="",H5="OBC",I5="M"),J5,IF(AND(M5="",H5="OBC",I5="M"),R5,IF(AND(R5="",H5="OBC",I5="M"),M5,""))),"")</f>
        <v>1st</v>
      </c>
      <c r="BS5" s="288" t="str">
        <f t="shared" ref="BS5:BS68" si="5">IFERROR(IF(AND(M5="",R5="",H5="OBC",I5="F"),J5,IF(AND(M5="",H5="OBC",I5="F"),R5,IF(AND(R5="",H5="OBC",I5="F"),M5,""))),"")</f>
        <v/>
      </c>
      <c r="BT5" s="288" t="str">
        <f t="shared" ref="BT5:BT68" si="6">IFERROR(IF(AND(M5="",R5="",H5="GEN",I5="M"),J5,IF(AND(M5="",H5="GEN",I5="M"),R5,IF(AND(R5="",H5="GEN",I5="M"),M5,""))),"")</f>
        <v/>
      </c>
      <c r="BU5" s="288" t="str">
        <f t="shared" ref="BU5:BU68" si="7">IFERROR(IF(AND(M5="",R5="",H5="GEN",I5="F"),J5,IF(AND(M5="",H5="GEN",I5="F"),R5,IF(AND(R5="",H5="GEN",I5="F"),M5,""))),"")</f>
        <v/>
      </c>
      <c r="BV5" s="288" t="str">
        <f t="shared" ref="BV5:BV68" si="8">IFERROR(IF(AND(M5="",R5="",H5="MIN",I5="M"),J5,IF(AND(M5="",H5="MIN",I5="M"),R5,IF(AND(R5="",H5="MIN",I5="M"),M5,""))),"")</f>
        <v/>
      </c>
      <c r="BW5" s="288" t="str">
        <f t="shared" ref="BW5:BW68" si="9">IFERROR(IF(AND(M5="",R5="",H5="MIN",I5="F"),J5,IF(AND(M5="",H5="MIN",I5="F"),R5,IF(AND(R5="",H5="MIN",I5="F"),M5,""))),"")</f>
        <v/>
      </c>
      <c r="BX5" s="288" t="str">
        <f t="shared" ref="BX5:BX68" si="10">IFERROR(IF(AND(M5="",R5="",H5="SBC",I5="M"),J5,IF(AND(M5="",H5="SBC",I5="M"),R5,IF(AND(R5="",H5="SBC",I5="M"),M5,""))),"")</f>
        <v/>
      </c>
      <c r="BY5" s="288" t="str">
        <f t="shared" ref="BY5:BY68" si="11">IFERROR(IF(AND(M5="",R5="",H5="SBC",I5="F"),J5,IF(AND(M5="",H5="SBC",I5="F"),R5,IF(AND(R5="",H5="SBC",I5="F"),M5,""))),"")</f>
        <v/>
      </c>
      <c r="BZ5" s="289"/>
    </row>
    <row r="6" spans="1:78" ht="14.1" customHeight="1">
      <c r="A6" s="276">
        <f>IF('Statement of Marks'!A9="","",'Statement of Marks'!A9)</f>
        <v>3</v>
      </c>
      <c r="B6" s="277">
        <f>IF('Statement of Marks'!B9="","",'Statement of Marks'!B9)</f>
        <v>903</v>
      </c>
      <c r="C6" s="278" t="str">
        <f>IF('Statement of Marks'!D9="","",'Statement of Marks'!D9)</f>
        <v/>
      </c>
      <c r="D6" s="314">
        <f>IF('Statement of Marks'!E9="","",'Statement of Marks'!E9)</f>
        <v>41192</v>
      </c>
      <c r="E6" s="279" t="str">
        <f>IF('Statement of Marks'!F9="","",'Statement of Marks'!F9)</f>
        <v>DINESH</v>
      </c>
      <c r="F6" s="279" t="str">
        <f>IF('Statement of Marks'!G9="","",'Statement of Marks'!G9)</f>
        <v/>
      </c>
      <c r="G6" s="279" t="str">
        <f>IF('Statement of Marks'!H9="","",'Statement of Marks'!H9)</f>
        <v/>
      </c>
      <c r="H6" s="280" t="str">
        <f>IF('Statement of Marks'!I9="","",'Statement of Marks'!I9)</f>
        <v>GEN</v>
      </c>
      <c r="I6" s="280" t="str">
        <f>IF('Statement of Marks'!J9="","",'Statement of Marks'!J9)</f>
        <v>M</v>
      </c>
      <c r="J6" s="827" t="str">
        <f>IF('Statement of Marks'!HS9="","",'Statement of Marks'!HS9)</f>
        <v>FAIL</v>
      </c>
      <c r="K6" s="281">
        <f>IF('Statement of Marks'!HT9="","",'Statement of Marks'!HT9)</f>
        <v>881</v>
      </c>
      <c r="L6" s="828" t="str">
        <f>IF('Statement of Marks'!HW9="","",'Statement of Marks'!HW9)</f>
        <v/>
      </c>
      <c r="M6" s="281" t="str">
        <f>IF('Statement of Marks'!HV9="","",'Statement of Marks'!HV9)</f>
        <v/>
      </c>
      <c r="N6" s="829" t="str">
        <f>IF('Statement of Marks'!HX9="","",'Statement of Marks'!HX9)</f>
        <v/>
      </c>
      <c r="O6" s="282" t="str">
        <f>IF(J6="FAIL","",IF('Statement of Marks'!HO9="","",'Statement of Marks'!HO9))</f>
        <v/>
      </c>
      <c r="P6" s="283" t="str">
        <f>IF('Supp. Result Entry'!AQ7="","",'Supp. Result Entry'!AQ7)</f>
        <v/>
      </c>
      <c r="Q6" s="284" t="str">
        <f>IF('Supp. Result Entry'!AR7="","",'Supp. Result Entry'!AR7)</f>
        <v/>
      </c>
      <c r="R6" s="285" t="str">
        <f>IF('Statement of Marks'!IA9="","",'Statement of Marks'!IA9)</f>
        <v/>
      </c>
      <c r="S6" s="286" t="str">
        <f>IF('Statement of Marks'!GL9="","",'Statement of Marks'!GL9)</f>
        <v/>
      </c>
      <c r="BM6" s="287" t="str">
        <f>'Statement of Marks'!F9</f>
        <v>DINESH</v>
      </c>
      <c r="BN6" s="288" t="str">
        <f t="shared" si="0"/>
        <v/>
      </c>
      <c r="BO6" s="288" t="str">
        <f t="shared" si="1"/>
        <v/>
      </c>
      <c r="BP6" s="288" t="str">
        <f t="shared" si="2"/>
        <v/>
      </c>
      <c r="BQ6" s="288" t="str">
        <f t="shared" si="3"/>
        <v/>
      </c>
      <c r="BR6" s="288" t="str">
        <f t="shared" si="4"/>
        <v/>
      </c>
      <c r="BS6" s="288" t="str">
        <f t="shared" si="5"/>
        <v/>
      </c>
      <c r="BT6" s="288" t="str">
        <f t="shared" si="6"/>
        <v>FAIL</v>
      </c>
      <c r="BU6" s="288" t="str">
        <f t="shared" si="7"/>
        <v/>
      </c>
      <c r="BV6" s="288" t="str">
        <f t="shared" si="8"/>
        <v/>
      </c>
      <c r="BW6" s="288" t="str">
        <f t="shared" si="9"/>
        <v/>
      </c>
      <c r="BX6" s="288" t="str">
        <f t="shared" si="10"/>
        <v/>
      </c>
      <c r="BY6" s="288" t="str">
        <f t="shared" si="11"/>
        <v/>
      </c>
      <c r="BZ6" s="289"/>
    </row>
    <row r="7" spans="1:78" ht="14.1" customHeight="1">
      <c r="A7" s="276">
        <f>IF('Statement of Marks'!A10="","",'Statement of Marks'!A10)</f>
        <v>4</v>
      </c>
      <c r="B7" s="277">
        <f>IF('Statement of Marks'!B10="","",'Statement of Marks'!B10)</f>
        <v>904</v>
      </c>
      <c r="C7" s="278" t="str">
        <f>IF('Statement of Marks'!D10="","",'Statement of Marks'!D10)</f>
        <v/>
      </c>
      <c r="D7" s="314">
        <f>IF('Statement of Marks'!E10="","",'Statement of Marks'!E10)</f>
        <v>40670</v>
      </c>
      <c r="E7" s="279" t="str">
        <f>IF('Statement of Marks'!F10="","",'Statement of Marks'!F10)</f>
        <v>RAMESH</v>
      </c>
      <c r="F7" s="279" t="str">
        <f>IF('Statement of Marks'!G10="","",'Statement of Marks'!G10)</f>
        <v/>
      </c>
      <c r="G7" s="279" t="str">
        <f>IF('Statement of Marks'!H10="","",'Statement of Marks'!H10)</f>
        <v/>
      </c>
      <c r="H7" s="280" t="str">
        <f>IF('Statement of Marks'!I10="","",'Statement of Marks'!I10)</f>
        <v>SBC</v>
      </c>
      <c r="I7" s="280" t="str">
        <f>IF('Statement of Marks'!J10="","",'Statement of Marks'!J10)</f>
        <v>M</v>
      </c>
      <c r="J7" s="827" t="str">
        <f>IF('Statement of Marks'!HS10="","",'Statement of Marks'!HS10)</f>
        <v>BY GRACE PASS</v>
      </c>
      <c r="K7" s="281">
        <f>IF('Statement of Marks'!HT10="","",'Statement of Marks'!HT10)</f>
        <v>693</v>
      </c>
      <c r="L7" s="828">
        <f>IF('Statement of Marks'!HW10="","",'Statement of Marks'!HW10)</f>
        <v>57.75</v>
      </c>
      <c r="M7" s="281" t="str">
        <f>IF('Statement of Marks'!HV10="","",'Statement of Marks'!HV10)</f>
        <v>2nd</v>
      </c>
      <c r="N7" s="829">
        <f>IF('Statement of Marks'!HX10="","",'Statement of Marks'!HX10)</f>
        <v>15.000000000000075</v>
      </c>
      <c r="O7" s="282" t="str">
        <f>IF(J7="FAIL","",IF('Statement of Marks'!HO10="","",'Statement of Marks'!HO10))</f>
        <v xml:space="preserve">      </v>
      </c>
      <c r="P7" s="283" t="str">
        <f>IF('Supp. Result Entry'!AQ8="","",'Supp. Result Entry'!AQ8)</f>
        <v/>
      </c>
      <c r="Q7" s="284" t="str">
        <f>IF('Supp. Result Entry'!AR8="","",'Supp. Result Entry'!AR8)</f>
        <v/>
      </c>
      <c r="R7" s="285" t="str">
        <f>IF('Statement of Marks'!IA10="","",'Statement of Marks'!IA10)</f>
        <v/>
      </c>
      <c r="S7" s="286" t="str">
        <f>IF('Statement of Marks'!GL10="","",'Statement of Marks'!GL10)</f>
        <v/>
      </c>
      <c r="BM7" s="287" t="str">
        <f>'Statement of Marks'!F10</f>
        <v>RAMESH</v>
      </c>
      <c r="BN7" s="288" t="str">
        <f t="shared" si="0"/>
        <v/>
      </c>
      <c r="BO7" s="288" t="str">
        <f t="shared" si="1"/>
        <v/>
      </c>
      <c r="BP7" s="288" t="str">
        <f t="shared" si="2"/>
        <v/>
      </c>
      <c r="BQ7" s="288" t="str">
        <f t="shared" si="3"/>
        <v/>
      </c>
      <c r="BR7" s="288" t="str">
        <f t="shared" si="4"/>
        <v/>
      </c>
      <c r="BS7" s="288" t="str">
        <f t="shared" si="5"/>
        <v/>
      </c>
      <c r="BT7" s="288" t="str">
        <f t="shared" si="6"/>
        <v/>
      </c>
      <c r="BU7" s="288" t="str">
        <f t="shared" si="7"/>
        <v/>
      </c>
      <c r="BV7" s="288" t="str">
        <f t="shared" si="8"/>
        <v/>
      </c>
      <c r="BW7" s="288" t="str">
        <f t="shared" si="9"/>
        <v/>
      </c>
      <c r="BX7" s="288" t="str">
        <f t="shared" si="10"/>
        <v>2nd</v>
      </c>
      <c r="BY7" s="288" t="str">
        <f t="shared" si="11"/>
        <v/>
      </c>
      <c r="BZ7" s="289"/>
    </row>
    <row r="8" spans="1:78" ht="14.1" customHeight="1">
      <c r="A8" s="276">
        <f>IF('Statement of Marks'!A11="","",'Statement of Marks'!A11)</f>
        <v>5</v>
      </c>
      <c r="B8" s="277">
        <f>IF('Statement of Marks'!B11="","",'Statement of Marks'!B11)</f>
        <v>905</v>
      </c>
      <c r="C8" s="278" t="str">
        <f>IF('Statement of Marks'!D11="","",'Statement of Marks'!D11)</f>
        <v/>
      </c>
      <c r="D8" s="314">
        <f>IF('Statement of Marks'!E11="","",'Statement of Marks'!E11)</f>
        <v>41525</v>
      </c>
      <c r="E8" s="279" t="str">
        <f>IF('Statement of Marks'!F11="","",'Statement of Marks'!F11)</f>
        <v>SHYAM</v>
      </c>
      <c r="F8" s="279" t="str">
        <f>IF('Statement of Marks'!G11="","",'Statement of Marks'!G11)</f>
        <v/>
      </c>
      <c r="G8" s="279" t="str">
        <f>IF('Statement of Marks'!H11="","",'Statement of Marks'!H11)</f>
        <v/>
      </c>
      <c r="H8" s="280" t="str">
        <f>IF('Statement of Marks'!I11="","",'Statement of Marks'!I11)</f>
        <v>SC</v>
      </c>
      <c r="I8" s="280" t="str">
        <f>IF('Statement of Marks'!J11="","",'Statement of Marks'!J11)</f>
        <v>M</v>
      </c>
      <c r="J8" s="827" t="str">
        <f>IF('Statement of Marks'!HS11="","",'Statement of Marks'!HS11)</f>
        <v>PASS</v>
      </c>
      <c r="K8" s="281">
        <f>IF('Statement of Marks'!HT11="","",'Statement of Marks'!HT11)</f>
        <v>729</v>
      </c>
      <c r="L8" s="828">
        <f>IF('Statement of Marks'!HW11="","",'Statement of Marks'!HW11)</f>
        <v>60.75</v>
      </c>
      <c r="M8" s="281" t="str">
        <f>IF('Statement of Marks'!HV11="","",'Statement of Marks'!HV11)</f>
        <v>1st</v>
      </c>
      <c r="N8" s="829">
        <f>IF('Statement of Marks'!HX11="","",'Statement of Marks'!HX11)</f>
        <v>11.000000000000082</v>
      </c>
      <c r="O8" s="282" t="str">
        <f>IF(J8="FAIL","",IF('Statement of Marks'!HO11="","",'Statement of Marks'!HO11))</f>
        <v xml:space="preserve">      </v>
      </c>
      <c r="P8" s="283" t="str">
        <f>IF('Supp. Result Entry'!AQ9="","",'Supp. Result Entry'!AQ9)</f>
        <v/>
      </c>
      <c r="Q8" s="284" t="str">
        <f>IF('Supp. Result Entry'!AR9="","",'Supp. Result Entry'!AR9)</f>
        <v/>
      </c>
      <c r="R8" s="285" t="str">
        <f>IF('Statement of Marks'!IA11="","",'Statement of Marks'!IA11)</f>
        <v/>
      </c>
      <c r="S8" s="286" t="str">
        <f>IF('Statement of Marks'!GL11="","",'Statement of Marks'!GL11)</f>
        <v/>
      </c>
      <c r="BM8" s="287" t="str">
        <f>'Statement of Marks'!F11</f>
        <v>SHYAM</v>
      </c>
      <c r="BN8" s="288" t="str">
        <f t="shared" si="0"/>
        <v>1st</v>
      </c>
      <c r="BO8" s="288" t="str">
        <f t="shared" si="1"/>
        <v/>
      </c>
      <c r="BP8" s="288" t="str">
        <f t="shared" si="2"/>
        <v/>
      </c>
      <c r="BQ8" s="288" t="str">
        <f t="shared" si="3"/>
        <v/>
      </c>
      <c r="BR8" s="288" t="str">
        <f t="shared" si="4"/>
        <v/>
      </c>
      <c r="BS8" s="288" t="str">
        <f t="shared" si="5"/>
        <v/>
      </c>
      <c r="BT8" s="288" t="str">
        <f t="shared" si="6"/>
        <v/>
      </c>
      <c r="BU8" s="288" t="str">
        <f t="shared" si="7"/>
        <v/>
      </c>
      <c r="BV8" s="288" t="str">
        <f t="shared" si="8"/>
        <v/>
      </c>
      <c r="BW8" s="288" t="str">
        <f t="shared" si="9"/>
        <v/>
      </c>
      <c r="BX8" s="288" t="str">
        <f t="shared" si="10"/>
        <v/>
      </c>
      <c r="BY8" s="288" t="str">
        <f t="shared" si="11"/>
        <v/>
      </c>
      <c r="BZ8" s="289"/>
    </row>
    <row r="9" spans="1:78" ht="14.1" customHeight="1">
      <c r="A9" s="276">
        <f>IF('Statement of Marks'!A12="","",'Statement of Marks'!A12)</f>
        <v>6</v>
      </c>
      <c r="B9" s="277">
        <f>IF('Statement of Marks'!B12="","",'Statement of Marks'!B12)</f>
        <v>906</v>
      </c>
      <c r="C9" s="278" t="str">
        <f>IF('Statement of Marks'!D12="","",'Statement of Marks'!D12)</f>
        <v/>
      </c>
      <c r="D9" s="314">
        <f>IF('Statement of Marks'!E12="","",'Statement of Marks'!E12)</f>
        <v>40933</v>
      </c>
      <c r="E9" s="279" t="str">
        <f>IF('Statement of Marks'!F12="","",'Statement of Marks'!F12)</f>
        <v>GITA</v>
      </c>
      <c r="F9" s="279" t="str">
        <f>IF('Statement of Marks'!G12="","",'Statement of Marks'!G12)</f>
        <v/>
      </c>
      <c r="G9" s="279" t="str">
        <f>IF('Statement of Marks'!H12="","",'Statement of Marks'!H12)</f>
        <v/>
      </c>
      <c r="H9" s="280" t="str">
        <f>IF('Statement of Marks'!I12="","",'Statement of Marks'!I12)</f>
        <v>OBC</v>
      </c>
      <c r="I9" s="280" t="str">
        <f>IF('Statement of Marks'!J12="","",'Statement of Marks'!J12)</f>
        <v>F</v>
      </c>
      <c r="J9" s="827" t="str">
        <f>IF('Statement of Marks'!HS12="","",'Statement of Marks'!HS12)</f>
        <v>PASS</v>
      </c>
      <c r="K9" s="281">
        <f>IF('Statement of Marks'!HT12="","",'Statement of Marks'!HT12)</f>
        <v>777</v>
      </c>
      <c r="L9" s="828">
        <f>IF('Statement of Marks'!HW12="","",'Statement of Marks'!HW12)</f>
        <v>65.294117647058826</v>
      </c>
      <c r="M9" s="281" t="str">
        <f>IF('Statement of Marks'!HV12="","",'Statement of Marks'!HV12)</f>
        <v>1st</v>
      </c>
      <c r="N9" s="829">
        <f>IF('Statement of Marks'!HX12="","",'Statement of Marks'!HX12)</f>
        <v>4.0000000000000018</v>
      </c>
      <c r="O9" s="282" t="str">
        <f>IF(J9="FAIL","",IF('Statement of Marks'!HO12="","",'Statement of Marks'!HO12))</f>
        <v xml:space="preserve">      </v>
      </c>
      <c r="P9" s="283" t="str">
        <f>IF('Supp. Result Entry'!AQ10="","",'Supp. Result Entry'!AQ10)</f>
        <v/>
      </c>
      <c r="Q9" s="284" t="str">
        <f>IF('Supp. Result Entry'!AR10="","",'Supp. Result Entry'!AR10)</f>
        <v/>
      </c>
      <c r="R9" s="285" t="str">
        <f>IF('Statement of Marks'!IA12="","",'Statement of Marks'!IA12)</f>
        <v/>
      </c>
      <c r="S9" s="286" t="str">
        <f>IF('Statement of Marks'!GL12="","",'Statement of Marks'!GL12)</f>
        <v/>
      </c>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M9" s="287" t="str">
        <f>'Statement of Marks'!F12</f>
        <v>GITA</v>
      </c>
      <c r="BN9" s="288" t="str">
        <f t="shared" si="0"/>
        <v/>
      </c>
      <c r="BO9" s="288" t="str">
        <f t="shared" si="1"/>
        <v/>
      </c>
      <c r="BP9" s="288" t="str">
        <f t="shared" si="2"/>
        <v/>
      </c>
      <c r="BQ9" s="288" t="str">
        <f t="shared" si="3"/>
        <v/>
      </c>
      <c r="BR9" s="288" t="str">
        <f t="shared" si="4"/>
        <v/>
      </c>
      <c r="BS9" s="288" t="str">
        <f t="shared" si="5"/>
        <v>1st</v>
      </c>
      <c r="BT9" s="288" t="str">
        <f t="shared" si="6"/>
        <v/>
      </c>
      <c r="BU9" s="288" t="str">
        <f t="shared" si="7"/>
        <v/>
      </c>
      <c r="BV9" s="288" t="str">
        <f t="shared" si="8"/>
        <v/>
      </c>
      <c r="BW9" s="288" t="str">
        <f t="shared" si="9"/>
        <v/>
      </c>
      <c r="BX9" s="288" t="str">
        <f t="shared" si="10"/>
        <v/>
      </c>
      <c r="BY9" s="288" t="str">
        <f t="shared" si="11"/>
        <v/>
      </c>
      <c r="BZ9" s="289"/>
    </row>
    <row r="10" spans="1:78" ht="14.1" customHeight="1">
      <c r="A10" s="276">
        <f>IF('Statement of Marks'!A13="","",'Statement of Marks'!A13)</f>
        <v>7</v>
      </c>
      <c r="B10" s="277">
        <f>IF('Statement of Marks'!B13="","",'Statement of Marks'!B13)</f>
        <v>907</v>
      </c>
      <c r="C10" s="278" t="str">
        <f>IF('Statement of Marks'!D13="","",'Statement of Marks'!D13)</f>
        <v/>
      </c>
      <c r="D10" s="314">
        <f>IF('Statement of Marks'!E13="","",'Statement of Marks'!E13)</f>
        <v>41317</v>
      </c>
      <c r="E10" s="279" t="str">
        <f>IF('Statement of Marks'!F13="","",'Statement of Marks'!F13)</f>
        <v>MITA</v>
      </c>
      <c r="F10" s="279" t="str">
        <f>IF('Statement of Marks'!G13="","",'Statement of Marks'!G13)</f>
        <v/>
      </c>
      <c r="G10" s="279" t="str">
        <f>IF('Statement of Marks'!H13="","",'Statement of Marks'!H13)</f>
        <v/>
      </c>
      <c r="H10" s="280" t="str">
        <f>IF('Statement of Marks'!I13="","",'Statement of Marks'!I13)</f>
        <v>GEN</v>
      </c>
      <c r="I10" s="280" t="str">
        <f>IF('Statement of Marks'!J13="","",'Statement of Marks'!J13)</f>
        <v>F</v>
      </c>
      <c r="J10" s="827" t="str">
        <f>IF('Statement of Marks'!HS13="","",'Statement of Marks'!HS13)</f>
        <v>SUPPLEMENTARY</v>
      </c>
      <c r="K10" s="281">
        <f>IF('Statement of Marks'!HT13="","",'Statement of Marks'!HT13)</f>
        <v>688</v>
      </c>
      <c r="L10" s="828" t="str">
        <f>IF('Statement of Marks'!HW13="","",'Statement of Marks'!HW13)</f>
        <v/>
      </c>
      <c r="M10" s="281" t="str">
        <f>IF('Statement of Marks'!HV13="","",'Statement of Marks'!HV13)</f>
        <v/>
      </c>
      <c r="N10" s="829" t="str">
        <f>IF('Statement of Marks'!HX13="","",'Statement of Marks'!HX13)</f>
        <v/>
      </c>
      <c r="O10" s="282" t="str">
        <f>IF(J10="FAIL","",IF('Statement of Marks'!HO13="","",'Statement of Marks'!HO13))</f>
        <v xml:space="preserve">   गणित   </v>
      </c>
      <c r="P10" s="283" t="str">
        <f>IF('Supp. Result Entry'!AQ11="","",'Supp. Result Entry'!AQ11)</f>
        <v>PASS</v>
      </c>
      <c r="Q10" s="284">
        <f>IF('Supp. Result Entry'!AR11="","",'Supp. Result Entry'!AR11)</f>
        <v>60.363636363636367</v>
      </c>
      <c r="R10" s="285" t="str">
        <f>IF('Statement of Marks'!IA13="","",'Statement of Marks'!IA13)</f>
        <v>I</v>
      </c>
      <c r="S10" s="286" t="str">
        <f>IF('Statement of Marks'!GL13="","",'Statement of Marks'!GL13)</f>
        <v/>
      </c>
      <c r="BM10" s="287" t="str">
        <f>'Statement of Marks'!F13</f>
        <v>MITA</v>
      </c>
      <c r="BN10" s="288" t="str">
        <f t="shared" si="0"/>
        <v/>
      </c>
      <c r="BO10" s="288" t="str">
        <f t="shared" si="1"/>
        <v/>
      </c>
      <c r="BP10" s="288" t="str">
        <f t="shared" si="2"/>
        <v/>
      </c>
      <c r="BQ10" s="288" t="str">
        <f t="shared" si="3"/>
        <v/>
      </c>
      <c r="BR10" s="288" t="str">
        <f t="shared" si="4"/>
        <v/>
      </c>
      <c r="BS10" s="288" t="str">
        <f t="shared" si="5"/>
        <v/>
      </c>
      <c r="BT10" s="288" t="str">
        <f t="shared" si="6"/>
        <v/>
      </c>
      <c r="BU10" s="288" t="str">
        <f t="shared" si="7"/>
        <v>I</v>
      </c>
      <c r="BV10" s="288" t="str">
        <f t="shared" si="8"/>
        <v/>
      </c>
      <c r="BW10" s="288" t="str">
        <f t="shared" si="9"/>
        <v/>
      </c>
      <c r="BX10" s="288" t="str">
        <f t="shared" si="10"/>
        <v/>
      </c>
      <c r="BY10" s="288" t="str">
        <f t="shared" si="11"/>
        <v/>
      </c>
      <c r="BZ10" s="289"/>
    </row>
    <row r="11" spans="1:78" ht="14.1" customHeight="1">
      <c r="A11" s="276">
        <f>IF('Statement of Marks'!A14="","",'Statement of Marks'!A14)</f>
        <v>8</v>
      </c>
      <c r="B11" s="277">
        <f>IF('Statement of Marks'!B14="","",'Statement of Marks'!B14)</f>
        <v>908</v>
      </c>
      <c r="C11" s="278" t="str">
        <f>IF('Statement of Marks'!D14="","",'Statement of Marks'!D14)</f>
        <v/>
      </c>
      <c r="D11" s="314">
        <f>IF('Statement of Marks'!E14="","",'Statement of Marks'!E14)</f>
        <v>40282</v>
      </c>
      <c r="E11" s="279" t="str">
        <f>IF('Statement of Marks'!F14="","",'Statement of Marks'!F14)</f>
        <v>SITA</v>
      </c>
      <c r="F11" s="279" t="str">
        <f>IF('Statement of Marks'!G14="","",'Statement of Marks'!G14)</f>
        <v/>
      </c>
      <c r="G11" s="279" t="str">
        <f>IF('Statement of Marks'!H14="","",'Statement of Marks'!H14)</f>
        <v/>
      </c>
      <c r="H11" s="280" t="str">
        <f>IF('Statement of Marks'!I14="","",'Statement of Marks'!I14)</f>
        <v>MIN</v>
      </c>
      <c r="I11" s="280" t="str">
        <f>IF('Statement of Marks'!J14="","",'Statement of Marks'!J14)</f>
        <v>F</v>
      </c>
      <c r="J11" s="827" t="str">
        <f>IF('Statement of Marks'!HS14="","",'Statement of Marks'!HS14)</f>
        <v>PASS</v>
      </c>
      <c r="K11" s="281">
        <f>IF('Statement of Marks'!HT14="","",'Statement of Marks'!HT14)</f>
        <v>846</v>
      </c>
      <c r="L11" s="828">
        <f>IF('Statement of Marks'!HW14="","",'Statement of Marks'!HW14)</f>
        <v>70.5</v>
      </c>
      <c r="M11" s="281" t="str">
        <f>IF('Statement of Marks'!HV14="","",'Statement of Marks'!HV14)</f>
        <v>1st</v>
      </c>
      <c r="N11" s="829">
        <f>IF('Statement of Marks'!HX14="","",'Statement of Marks'!HX14)</f>
        <v>3.0000000000000018</v>
      </c>
      <c r="O11" s="282" t="str">
        <f>IF(J11="FAIL","",IF('Statement of Marks'!HO14="","",'Statement of Marks'!HO14))</f>
        <v xml:space="preserve">      </v>
      </c>
      <c r="P11" s="283" t="str">
        <f>IF('Supp. Result Entry'!AQ12="","",'Supp. Result Entry'!AQ12)</f>
        <v/>
      </c>
      <c r="Q11" s="284" t="str">
        <f>IF('Supp. Result Entry'!AR12="","",'Supp. Result Entry'!AR12)</f>
        <v/>
      </c>
      <c r="R11" s="285" t="str">
        <f>IF('Statement of Marks'!IA14="","",'Statement of Marks'!IA14)</f>
        <v/>
      </c>
      <c r="S11" s="286" t="str">
        <f>IF('Statement of Marks'!GL14="","",'Statement of Marks'!GL14)</f>
        <v/>
      </c>
      <c r="BM11" s="287" t="str">
        <f>'Statement of Marks'!F14</f>
        <v>SITA</v>
      </c>
      <c r="BN11" s="288" t="str">
        <f t="shared" si="0"/>
        <v/>
      </c>
      <c r="BO11" s="288" t="str">
        <f t="shared" si="1"/>
        <v/>
      </c>
      <c r="BP11" s="288" t="str">
        <f t="shared" si="2"/>
        <v/>
      </c>
      <c r="BQ11" s="288" t="str">
        <f t="shared" si="3"/>
        <v/>
      </c>
      <c r="BR11" s="288" t="str">
        <f t="shared" si="4"/>
        <v/>
      </c>
      <c r="BS11" s="288" t="str">
        <f t="shared" si="5"/>
        <v/>
      </c>
      <c r="BT11" s="288" t="str">
        <f t="shared" si="6"/>
        <v/>
      </c>
      <c r="BU11" s="288" t="str">
        <f t="shared" si="7"/>
        <v/>
      </c>
      <c r="BV11" s="288" t="str">
        <f t="shared" si="8"/>
        <v/>
      </c>
      <c r="BW11" s="288" t="str">
        <f t="shared" si="9"/>
        <v>1st</v>
      </c>
      <c r="BX11" s="288" t="str">
        <f t="shared" si="10"/>
        <v/>
      </c>
      <c r="BY11" s="288" t="str">
        <f t="shared" si="11"/>
        <v/>
      </c>
      <c r="BZ11" s="289"/>
    </row>
    <row r="12" spans="1:78" ht="14.1" customHeight="1">
      <c r="A12" s="276">
        <f>IF('Statement of Marks'!A15="","",'Statement of Marks'!A15)</f>
        <v>9</v>
      </c>
      <c r="B12" s="277">
        <f>IF('Statement of Marks'!B15="","",'Statement of Marks'!B15)</f>
        <v>909</v>
      </c>
      <c r="C12" s="278" t="str">
        <f>IF('Statement of Marks'!D15="","",'Statement of Marks'!D15)</f>
        <v/>
      </c>
      <c r="D12" s="314">
        <f>IF('Statement of Marks'!E15="","",'Statement of Marks'!E15)</f>
        <v>40065</v>
      </c>
      <c r="E12" s="279" t="str">
        <f>IF('Statement of Marks'!F15="","",'Statement of Marks'!F15)</f>
        <v>RITA</v>
      </c>
      <c r="F12" s="279" t="str">
        <f>IF('Statement of Marks'!G15="","",'Statement of Marks'!G15)</f>
        <v/>
      </c>
      <c r="G12" s="279" t="str">
        <f>IF('Statement of Marks'!H15="","",'Statement of Marks'!H15)</f>
        <v/>
      </c>
      <c r="H12" s="280" t="str">
        <f>IF('Statement of Marks'!I15="","",'Statement of Marks'!I15)</f>
        <v>SBC</v>
      </c>
      <c r="I12" s="280" t="str">
        <f>IF('Statement of Marks'!J15="","",'Statement of Marks'!J15)</f>
        <v>F</v>
      </c>
      <c r="J12" s="827" t="str">
        <f>IF('Statement of Marks'!HS15="","",'Statement of Marks'!HS15)</f>
        <v>PASS</v>
      </c>
      <c r="K12" s="281">
        <f>IF('Statement of Marks'!HT15="","",'Statement of Marks'!HT15)</f>
        <v>724</v>
      </c>
      <c r="L12" s="828">
        <f>IF('Statement of Marks'!HW15="","",'Statement of Marks'!HW15)</f>
        <v>60.333333333333336</v>
      </c>
      <c r="M12" s="281" t="str">
        <f>IF('Statement of Marks'!HV15="","",'Statement of Marks'!HV15)</f>
        <v>1st</v>
      </c>
      <c r="N12" s="829">
        <f>IF('Statement of Marks'!HX15="","",'Statement of Marks'!HX15)</f>
        <v>12.00000000000008</v>
      </c>
      <c r="O12" s="282" t="str">
        <f>IF(J12="FAIL","",IF('Statement of Marks'!HO15="","",'Statement of Marks'!HO15))</f>
        <v xml:space="preserve">      </v>
      </c>
      <c r="P12" s="283" t="str">
        <f>IF('Supp. Result Entry'!AQ13="","",'Supp. Result Entry'!AQ13)</f>
        <v/>
      </c>
      <c r="Q12" s="284" t="str">
        <f>IF('Supp. Result Entry'!AR13="","",'Supp. Result Entry'!AR13)</f>
        <v/>
      </c>
      <c r="R12" s="285" t="str">
        <f>IF('Statement of Marks'!IA15="","",'Statement of Marks'!IA15)</f>
        <v/>
      </c>
      <c r="S12" s="286" t="str">
        <f>IF('Statement of Marks'!GL15="","",'Statement of Marks'!GL15)</f>
        <v/>
      </c>
      <c r="BM12" s="287" t="str">
        <f>'Statement of Marks'!F15</f>
        <v>RITA</v>
      </c>
      <c r="BN12" s="288" t="str">
        <f t="shared" si="0"/>
        <v/>
      </c>
      <c r="BO12" s="288" t="str">
        <f t="shared" si="1"/>
        <v/>
      </c>
      <c r="BP12" s="288" t="str">
        <f t="shared" si="2"/>
        <v/>
      </c>
      <c r="BQ12" s="288" t="str">
        <f t="shared" si="3"/>
        <v/>
      </c>
      <c r="BR12" s="288" t="str">
        <f t="shared" si="4"/>
        <v/>
      </c>
      <c r="BS12" s="288" t="str">
        <f t="shared" si="5"/>
        <v/>
      </c>
      <c r="BT12" s="288" t="str">
        <f t="shared" si="6"/>
        <v/>
      </c>
      <c r="BU12" s="288" t="str">
        <f t="shared" si="7"/>
        <v/>
      </c>
      <c r="BV12" s="288" t="str">
        <f t="shared" si="8"/>
        <v/>
      </c>
      <c r="BW12" s="288" t="str">
        <f t="shared" si="9"/>
        <v/>
      </c>
      <c r="BX12" s="288" t="str">
        <f t="shared" si="10"/>
        <v/>
      </c>
      <c r="BY12" s="288" t="str">
        <f t="shared" si="11"/>
        <v>1st</v>
      </c>
      <c r="BZ12" s="289"/>
    </row>
    <row r="13" spans="1:78" ht="14.1" customHeight="1">
      <c r="A13" s="276">
        <f>IF('Statement of Marks'!A16="","",'Statement of Marks'!A16)</f>
        <v>10</v>
      </c>
      <c r="B13" s="277">
        <f>IF('Statement of Marks'!B16="","",'Statement of Marks'!B16)</f>
        <v>910</v>
      </c>
      <c r="C13" s="278" t="str">
        <f>IF('Statement of Marks'!D16="","",'Statement of Marks'!D16)</f>
        <v/>
      </c>
      <c r="D13" s="314">
        <f>IF('Statement of Marks'!E16="","",'Statement of Marks'!E16)</f>
        <v>40737</v>
      </c>
      <c r="E13" s="279" t="str">
        <f>IF('Statement of Marks'!F16="","",'Statement of Marks'!F16)</f>
        <v>SONU</v>
      </c>
      <c r="F13" s="279" t="str">
        <f>IF('Statement of Marks'!G16="","",'Statement of Marks'!G16)</f>
        <v/>
      </c>
      <c r="G13" s="279" t="str">
        <f>IF('Statement of Marks'!H16="","",'Statement of Marks'!H16)</f>
        <v/>
      </c>
      <c r="H13" s="280" t="str">
        <f>IF('Statement of Marks'!I16="","",'Statement of Marks'!I16)</f>
        <v>ST</v>
      </c>
      <c r="I13" s="280" t="str">
        <f>IF('Statement of Marks'!J16="","",'Statement of Marks'!J16)</f>
        <v>F</v>
      </c>
      <c r="J13" s="827" t="str">
        <f>IF('Statement of Marks'!HS16="","",'Statement of Marks'!HS16)</f>
        <v>BY GRACE PASS</v>
      </c>
      <c r="K13" s="281">
        <f>IF('Statement of Marks'!HT16="","",'Statement of Marks'!HT16)</f>
        <v>633</v>
      </c>
      <c r="L13" s="828">
        <f>IF('Statement of Marks'!HW16="","",'Statement of Marks'!HW16)</f>
        <v>52.75</v>
      </c>
      <c r="M13" s="281" t="str">
        <f>IF('Statement of Marks'!HV16="","",'Statement of Marks'!HV16)</f>
        <v>2nd</v>
      </c>
      <c r="N13" s="829">
        <f>IF('Statement of Marks'!HX16="","",'Statement of Marks'!HX16)</f>
        <v>17.999999999999773</v>
      </c>
      <c r="O13" s="282" t="str">
        <f>IF(J13="FAIL","",IF('Statement of Marks'!HO16="","",'Statement of Marks'!HO16))</f>
        <v xml:space="preserve">      </v>
      </c>
      <c r="P13" s="283" t="str">
        <f>IF('Supp. Result Entry'!AQ14="","",'Supp. Result Entry'!AQ14)</f>
        <v/>
      </c>
      <c r="Q13" s="284" t="str">
        <f>IF('Supp. Result Entry'!AR14="","",'Supp. Result Entry'!AR14)</f>
        <v/>
      </c>
      <c r="R13" s="285" t="str">
        <f>IF('Statement of Marks'!IA16="","",'Statement of Marks'!IA16)</f>
        <v/>
      </c>
      <c r="S13" s="286" t="str">
        <f>IF('Statement of Marks'!GL16="","",'Statement of Marks'!GL16)</f>
        <v/>
      </c>
      <c r="BM13" s="287" t="str">
        <f>'Statement of Marks'!F16</f>
        <v>SONU</v>
      </c>
      <c r="BN13" s="288" t="str">
        <f t="shared" si="0"/>
        <v/>
      </c>
      <c r="BO13" s="288" t="str">
        <f t="shared" si="1"/>
        <v/>
      </c>
      <c r="BP13" s="288" t="str">
        <f t="shared" si="2"/>
        <v/>
      </c>
      <c r="BQ13" s="288" t="str">
        <f t="shared" si="3"/>
        <v>2nd</v>
      </c>
      <c r="BR13" s="288" t="str">
        <f t="shared" si="4"/>
        <v/>
      </c>
      <c r="BS13" s="288" t="str">
        <f t="shared" si="5"/>
        <v/>
      </c>
      <c r="BT13" s="288" t="str">
        <f t="shared" si="6"/>
        <v/>
      </c>
      <c r="BU13" s="288" t="str">
        <f t="shared" si="7"/>
        <v/>
      </c>
      <c r="BV13" s="288" t="str">
        <f t="shared" si="8"/>
        <v/>
      </c>
      <c r="BW13" s="288" t="str">
        <f t="shared" si="9"/>
        <v/>
      </c>
      <c r="BX13" s="288" t="str">
        <f t="shared" si="10"/>
        <v/>
      </c>
      <c r="BY13" s="288" t="str">
        <f t="shared" si="11"/>
        <v/>
      </c>
      <c r="BZ13" s="289"/>
    </row>
    <row r="14" spans="1:78" ht="14.1" customHeight="1">
      <c r="A14" s="276">
        <f>IF('Statement of Marks'!A17="","",'Statement of Marks'!A17)</f>
        <v>11</v>
      </c>
      <c r="B14" s="277">
        <f>IF('Statement of Marks'!B17="","",'Statement of Marks'!B17)</f>
        <v>911</v>
      </c>
      <c r="C14" s="278" t="str">
        <f>IF('Statement of Marks'!D17="","",'Statement of Marks'!D17)</f>
        <v/>
      </c>
      <c r="D14" s="314">
        <f>IF('Statement of Marks'!E17="","",'Statement of Marks'!E17)</f>
        <v>41878</v>
      </c>
      <c r="E14" s="279" t="str">
        <f>IF('Statement of Marks'!F17="","",'Statement of Marks'!F17)</f>
        <v>MONU</v>
      </c>
      <c r="F14" s="279" t="str">
        <f>IF('Statement of Marks'!G17="","",'Statement of Marks'!G17)</f>
        <v/>
      </c>
      <c r="G14" s="279" t="str">
        <f>IF('Statement of Marks'!H17="","",'Statement of Marks'!H17)</f>
        <v/>
      </c>
      <c r="H14" s="280" t="str">
        <f>IF('Statement of Marks'!I17="","",'Statement of Marks'!I17)</f>
        <v>SC</v>
      </c>
      <c r="I14" s="280" t="str">
        <f>IF('Statement of Marks'!J17="","",'Statement of Marks'!J17)</f>
        <v>M</v>
      </c>
      <c r="J14" s="827" t="str">
        <f>IF('Statement of Marks'!HS17="","",'Statement of Marks'!HS17)</f>
        <v>FAIL</v>
      </c>
      <c r="K14" s="281">
        <f>IF('Statement of Marks'!HT17="","",'Statement of Marks'!HT17)</f>
        <v>745</v>
      </c>
      <c r="L14" s="828" t="str">
        <f>IF('Statement of Marks'!HW17="","",'Statement of Marks'!HW17)</f>
        <v/>
      </c>
      <c r="M14" s="281" t="str">
        <f>IF('Statement of Marks'!HV17="","",'Statement of Marks'!HV17)</f>
        <v/>
      </c>
      <c r="N14" s="829" t="str">
        <f>IF('Statement of Marks'!HX17="","",'Statement of Marks'!HX17)</f>
        <v/>
      </c>
      <c r="O14" s="282" t="str">
        <f>IF(J14="FAIL","",IF('Statement of Marks'!HO17="","",'Statement of Marks'!HO17))</f>
        <v/>
      </c>
      <c r="P14" s="283" t="str">
        <f>IF('Supp. Result Entry'!AQ15="","",'Supp. Result Entry'!AQ15)</f>
        <v/>
      </c>
      <c r="Q14" s="284" t="str">
        <f>IF('Supp. Result Entry'!AR15="","",'Supp. Result Entry'!AR15)</f>
        <v/>
      </c>
      <c r="R14" s="285" t="str">
        <f>IF('Statement of Marks'!IA17="","",'Statement of Marks'!IA17)</f>
        <v/>
      </c>
      <c r="S14" s="286" t="str">
        <f>IF('Statement of Marks'!GL17="","",'Statement of Marks'!GL17)</f>
        <v/>
      </c>
      <c r="BM14" s="287" t="str">
        <f>'Statement of Marks'!F17</f>
        <v>MONU</v>
      </c>
      <c r="BN14" s="288" t="str">
        <f t="shared" si="0"/>
        <v>FAIL</v>
      </c>
      <c r="BO14" s="288" t="str">
        <f t="shared" si="1"/>
        <v/>
      </c>
      <c r="BP14" s="288" t="str">
        <f t="shared" si="2"/>
        <v/>
      </c>
      <c r="BQ14" s="288" t="str">
        <f t="shared" si="3"/>
        <v/>
      </c>
      <c r="BR14" s="288" t="str">
        <f t="shared" si="4"/>
        <v/>
      </c>
      <c r="BS14" s="288" t="str">
        <f t="shared" si="5"/>
        <v/>
      </c>
      <c r="BT14" s="288" t="str">
        <f t="shared" si="6"/>
        <v/>
      </c>
      <c r="BU14" s="288" t="str">
        <f t="shared" si="7"/>
        <v/>
      </c>
      <c r="BV14" s="288" t="str">
        <f t="shared" si="8"/>
        <v/>
      </c>
      <c r="BW14" s="288" t="str">
        <f t="shared" si="9"/>
        <v/>
      </c>
      <c r="BX14" s="288" t="str">
        <f t="shared" si="10"/>
        <v/>
      </c>
      <c r="BY14" s="288" t="str">
        <f t="shared" si="11"/>
        <v/>
      </c>
      <c r="BZ14" s="289"/>
    </row>
    <row r="15" spans="1:78" ht="14.1" customHeight="1">
      <c r="A15" s="276">
        <f>IF('Statement of Marks'!A18="","",'Statement of Marks'!A18)</f>
        <v>12</v>
      </c>
      <c r="B15" s="277">
        <f>IF('Statement of Marks'!B18="","",'Statement of Marks'!B18)</f>
        <v>912</v>
      </c>
      <c r="C15" s="278" t="str">
        <f>IF('Statement of Marks'!D18="","",'Statement of Marks'!D18)</f>
        <v/>
      </c>
      <c r="D15" s="314" t="str">
        <f>IF('Statement of Marks'!E18="","",'Statement of Marks'!E18)</f>
        <v/>
      </c>
      <c r="E15" s="279" t="str">
        <f>IF('Statement of Marks'!F18="","",'Statement of Marks'!F18)</f>
        <v>JAY</v>
      </c>
      <c r="F15" s="279" t="str">
        <f>IF('Statement of Marks'!G18="","",'Statement of Marks'!G18)</f>
        <v/>
      </c>
      <c r="G15" s="279" t="str">
        <f>IF('Statement of Marks'!H18="","",'Statement of Marks'!H18)</f>
        <v/>
      </c>
      <c r="H15" s="280" t="str">
        <f>IF('Statement of Marks'!I18="","",'Statement of Marks'!I18)</f>
        <v/>
      </c>
      <c r="I15" s="280" t="str">
        <f>IF('Statement of Marks'!J18="","",'Statement of Marks'!J18)</f>
        <v/>
      </c>
      <c r="J15" s="827" t="str">
        <f>IF('Statement of Marks'!HS18="","",'Statement of Marks'!HS18)</f>
        <v>BY GRACE PASS</v>
      </c>
      <c r="K15" s="281">
        <f>IF('Statement of Marks'!HT18="","",'Statement of Marks'!HT18)</f>
        <v>718</v>
      </c>
      <c r="L15" s="828">
        <f>IF('Statement of Marks'!HW18="","",'Statement of Marks'!HW18)</f>
        <v>59.833333333333336</v>
      </c>
      <c r="M15" s="281" t="str">
        <f>IF('Statement of Marks'!HV18="","",'Statement of Marks'!HV18)</f>
        <v>2nd</v>
      </c>
      <c r="N15" s="829">
        <f>IF('Statement of Marks'!HX18="","",'Statement of Marks'!HX18)</f>
        <v>14.000000000000078</v>
      </c>
      <c r="O15" s="282" t="str">
        <f>IF(J15="FAIL","",IF('Statement of Marks'!HO18="","",'Statement of Marks'!HO18))</f>
        <v xml:space="preserve">      </v>
      </c>
      <c r="P15" s="283" t="str">
        <f>IF('Supp. Result Entry'!AQ16="","",'Supp. Result Entry'!AQ16)</f>
        <v/>
      </c>
      <c r="Q15" s="284" t="str">
        <f>IF('Supp. Result Entry'!AR16="","",'Supp. Result Entry'!AR16)</f>
        <v/>
      </c>
      <c r="R15" s="285" t="str">
        <f>IF('Statement of Marks'!IA18="","",'Statement of Marks'!IA18)</f>
        <v/>
      </c>
      <c r="S15" s="286" t="str">
        <f>IF('Statement of Marks'!GL18="","",'Statement of Marks'!GL18)</f>
        <v/>
      </c>
      <c r="BM15" s="287" t="str">
        <f>'Statement of Marks'!F18</f>
        <v>JAY</v>
      </c>
      <c r="BN15" s="288" t="str">
        <f t="shared" si="0"/>
        <v/>
      </c>
      <c r="BO15" s="288" t="str">
        <f t="shared" si="1"/>
        <v/>
      </c>
      <c r="BP15" s="288" t="str">
        <f t="shared" si="2"/>
        <v/>
      </c>
      <c r="BQ15" s="288" t="str">
        <f t="shared" si="3"/>
        <v/>
      </c>
      <c r="BR15" s="288" t="str">
        <f t="shared" si="4"/>
        <v/>
      </c>
      <c r="BS15" s="288" t="str">
        <f t="shared" si="5"/>
        <v/>
      </c>
      <c r="BT15" s="288" t="str">
        <f t="shared" si="6"/>
        <v/>
      </c>
      <c r="BU15" s="288" t="str">
        <f t="shared" si="7"/>
        <v/>
      </c>
      <c r="BV15" s="288" t="str">
        <f t="shared" si="8"/>
        <v/>
      </c>
      <c r="BW15" s="288" t="str">
        <f t="shared" si="9"/>
        <v/>
      </c>
      <c r="BX15" s="288" t="str">
        <f t="shared" si="10"/>
        <v/>
      </c>
      <c r="BY15" s="288" t="str">
        <f t="shared" si="11"/>
        <v/>
      </c>
      <c r="BZ15" s="289"/>
    </row>
    <row r="16" spans="1:78" ht="14.1" customHeight="1">
      <c r="A16" s="276">
        <f>IF('Statement of Marks'!A19="","",'Statement of Marks'!A19)</f>
        <v>13</v>
      </c>
      <c r="B16" s="277">
        <f>IF('Statement of Marks'!B19="","",'Statement of Marks'!B19)</f>
        <v>913</v>
      </c>
      <c r="C16" s="278" t="str">
        <f>IF('Statement of Marks'!D19="","",'Statement of Marks'!D19)</f>
        <v/>
      </c>
      <c r="D16" s="314" t="str">
        <f>IF('Statement of Marks'!E19="","",'Statement of Marks'!E19)</f>
        <v/>
      </c>
      <c r="E16" s="279" t="str">
        <f>IF('Statement of Marks'!F19="","",'Statement of Marks'!F19)</f>
        <v>VIRU</v>
      </c>
      <c r="F16" s="279" t="str">
        <f>IF('Statement of Marks'!G19="","",'Statement of Marks'!G19)</f>
        <v/>
      </c>
      <c r="G16" s="279" t="str">
        <f>IF('Statement of Marks'!H19="","",'Statement of Marks'!H19)</f>
        <v/>
      </c>
      <c r="H16" s="280" t="str">
        <f>IF('Statement of Marks'!I19="","",'Statement of Marks'!I19)</f>
        <v/>
      </c>
      <c r="I16" s="280" t="str">
        <f>IF('Statement of Marks'!J19="","",'Statement of Marks'!J19)</f>
        <v/>
      </c>
      <c r="J16" s="827" t="str">
        <f>IF('Statement of Marks'!HS19="","",'Statement of Marks'!HS19)</f>
        <v>PASS</v>
      </c>
      <c r="K16" s="281">
        <f>IF('Statement of Marks'!HT19="","",'Statement of Marks'!HT19)</f>
        <v>721</v>
      </c>
      <c r="L16" s="828">
        <f>IF('Statement of Marks'!HW19="","",'Statement of Marks'!HW19)</f>
        <v>60.083333333333336</v>
      </c>
      <c r="M16" s="281" t="str">
        <f>IF('Statement of Marks'!HV19="","",'Statement of Marks'!HV19)</f>
        <v>1st</v>
      </c>
      <c r="N16" s="829">
        <f>IF('Statement of Marks'!HX19="","",'Statement of Marks'!HX19)</f>
        <v>13.000000000000078</v>
      </c>
      <c r="O16" s="282" t="str">
        <f>IF(J16="FAIL","",IF('Statement of Marks'!HO19="","",'Statement of Marks'!HO19))</f>
        <v xml:space="preserve">      </v>
      </c>
      <c r="P16" s="283" t="str">
        <f>IF('Supp. Result Entry'!AQ17="","",'Supp. Result Entry'!AQ17)</f>
        <v/>
      </c>
      <c r="Q16" s="284" t="str">
        <f>IF('Supp. Result Entry'!AR17="","",'Supp. Result Entry'!AR17)</f>
        <v/>
      </c>
      <c r="R16" s="285" t="str">
        <f>IF('Statement of Marks'!IA19="","",'Statement of Marks'!IA19)</f>
        <v/>
      </c>
      <c r="S16" s="286" t="str">
        <f>IF('Statement of Marks'!GL19="","",'Statement of Marks'!GL19)</f>
        <v/>
      </c>
      <c r="BM16" s="287" t="str">
        <f>'Statement of Marks'!F19</f>
        <v>VIRU</v>
      </c>
      <c r="BN16" s="288" t="str">
        <f t="shared" si="0"/>
        <v/>
      </c>
      <c r="BO16" s="288" t="str">
        <f t="shared" si="1"/>
        <v/>
      </c>
      <c r="BP16" s="288" t="str">
        <f t="shared" si="2"/>
        <v/>
      </c>
      <c r="BQ16" s="288" t="str">
        <f t="shared" si="3"/>
        <v/>
      </c>
      <c r="BR16" s="288" t="str">
        <f t="shared" si="4"/>
        <v/>
      </c>
      <c r="BS16" s="288" t="str">
        <f t="shared" si="5"/>
        <v/>
      </c>
      <c r="BT16" s="288" t="str">
        <f t="shared" si="6"/>
        <v/>
      </c>
      <c r="BU16" s="288" t="str">
        <f t="shared" si="7"/>
        <v/>
      </c>
      <c r="BV16" s="288" t="str">
        <f t="shared" si="8"/>
        <v/>
      </c>
      <c r="BW16" s="288" t="str">
        <f t="shared" si="9"/>
        <v/>
      </c>
      <c r="BX16" s="288" t="str">
        <f t="shared" si="10"/>
        <v/>
      </c>
      <c r="BY16" s="288" t="str">
        <f t="shared" si="11"/>
        <v/>
      </c>
      <c r="BZ16" s="289"/>
    </row>
    <row r="17" spans="1:78" ht="14.1" customHeight="1">
      <c r="A17" s="276">
        <f>IF('Statement of Marks'!A20="","",'Statement of Marks'!A20)</f>
        <v>14</v>
      </c>
      <c r="B17" s="277">
        <f>IF('Statement of Marks'!B20="","",'Statement of Marks'!B20)</f>
        <v>914</v>
      </c>
      <c r="C17" s="278" t="str">
        <f>IF('Statement of Marks'!D20="","",'Statement of Marks'!D20)</f>
        <v/>
      </c>
      <c r="D17" s="314" t="str">
        <f>IF('Statement of Marks'!E20="","",'Statement of Marks'!E20)</f>
        <v/>
      </c>
      <c r="E17" s="279" t="str">
        <f>IF('Statement of Marks'!F20="","",'Statement of Marks'!F20)</f>
        <v>ANIL</v>
      </c>
      <c r="F17" s="279" t="str">
        <f>IF('Statement of Marks'!G20="","",'Statement of Marks'!G20)</f>
        <v/>
      </c>
      <c r="G17" s="279" t="str">
        <f>IF('Statement of Marks'!H20="","",'Statement of Marks'!H20)</f>
        <v/>
      </c>
      <c r="H17" s="280" t="str">
        <f>IF('Statement of Marks'!I20="","",'Statement of Marks'!I20)</f>
        <v/>
      </c>
      <c r="I17" s="280" t="str">
        <f>IF('Statement of Marks'!J20="","",'Statement of Marks'!J20)</f>
        <v/>
      </c>
      <c r="J17" s="827" t="str">
        <f>IF('Statement of Marks'!HS20="","",'Statement of Marks'!HS20)</f>
        <v>BY GRACE PASS</v>
      </c>
      <c r="K17" s="281">
        <f>IF('Statement of Marks'!HT20="","",'Statement of Marks'!HT20)</f>
        <v>678</v>
      </c>
      <c r="L17" s="828">
        <f>IF('Statement of Marks'!HW20="","",'Statement of Marks'!HW20)</f>
        <v>56.5</v>
      </c>
      <c r="M17" s="281" t="str">
        <f>IF('Statement of Marks'!HV20="","",'Statement of Marks'!HV20)</f>
        <v>2nd</v>
      </c>
      <c r="N17" s="829">
        <f>IF('Statement of Marks'!HX20="","",'Statement of Marks'!HX20)</f>
        <v>16.999999999999773</v>
      </c>
      <c r="O17" s="282" t="str">
        <f>IF(J17="FAIL","",IF('Statement of Marks'!HO20="","",'Statement of Marks'!HO20))</f>
        <v xml:space="preserve">      </v>
      </c>
      <c r="P17" s="283" t="str">
        <f>IF('Supp. Result Entry'!AQ18="","",'Supp. Result Entry'!AQ18)</f>
        <v/>
      </c>
      <c r="Q17" s="284" t="str">
        <f>IF('Supp. Result Entry'!AR18="","",'Supp. Result Entry'!AR18)</f>
        <v/>
      </c>
      <c r="R17" s="285" t="str">
        <f>IF('Statement of Marks'!IA20="","",'Statement of Marks'!IA20)</f>
        <v/>
      </c>
      <c r="S17" s="286" t="str">
        <f>IF('Statement of Marks'!GL20="","",'Statement of Marks'!GL20)</f>
        <v/>
      </c>
      <c r="BM17" s="287" t="str">
        <f>'Statement of Marks'!F20</f>
        <v>ANIL</v>
      </c>
      <c r="BN17" s="288" t="str">
        <f t="shared" si="0"/>
        <v/>
      </c>
      <c r="BO17" s="288" t="str">
        <f t="shared" si="1"/>
        <v/>
      </c>
      <c r="BP17" s="288" t="str">
        <f t="shared" si="2"/>
        <v/>
      </c>
      <c r="BQ17" s="288" t="str">
        <f t="shared" si="3"/>
        <v/>
      </c>
      <c r="BR17" s="288" t="str">
        <f t="shared" si="4"/>
        <v/>
      </c>
      <c r="BS17" s="288" t="str">
        <f t="shared" si="5"/>
        <v/>
      </c>
      <c r="BT17" s="288" t="str">
        <f t="shared" si="6"/>
        <v/>
      </c>
      <c r="BU17" s="288" t="str">
        <f t="shared" si="7"/>
        <v/>
      </c>
      <c r="BV17" s="288" t="str">
        <f t="shared" si="8"/>
        <v/>
      </c>
      <c r="BW17" s="288" t="str">
        <f t="shared" si="9"/>
        <v/>
      </c>
      <c r="BX17" s="288" t="str">
        <f t="shared" si="10"/>
        <v/>
      </c>
      <c r="BY17" s="288" t="str">
        <f t="shared" si="11"/>
        <v/>
      </c>
      <c r="BZ17" s="289"/>
    </row>
    <row r="18" spans="1:78" ht="14.1" customHeight="1">
      <c r="A18" s="276">
        <f>IF('Statement of Marks'!A21="","",'Statement of Marks'!A21)</f>
        <v>15</v>
      </c>
      <c r="B18" s="277">
        <f>IF('Statement of Marks'!B21="","",'Statement of Marks'!B21)</f>
        <v>915</v>
      </c>
      <c r="C18" s="278" t="str">
        <f>IF('Statement of Marks'!D21="","",'Statement of Marks'!D21)</f>
        <v/>
      </c>
      <c r="D18" s="314" t="str">
        <f>IF('Statement of Marks'!E21="","",'Statement of Marks'!E21)</f>
        <v/>
      </c>
      <c r="E18" s="279" t="str">
        <f>IF('Statement of Marks'!F21="","",'Statement of Marks'!F21)</f>
        <v>RAHIM</v>
      </c>
      <c r="F18" s="279" t="str">
        <f>IF('Statement of Marks'!G21="","",'Statement of Marks'!G21)</f>
        <v/>
      </c>
      <c r="G18" s="279" t="str">
        <f>IF('Statement of Marks'!H21="","",'Statement of Marks'!H21)</f>
        <v/>
      </c>
      <c r="H18" s="280" t="str">
        <f>IF('Statement of Marks'!I21="","",'Statement of Marks'!I21)</f>
        <v/>
      </c>
      <c r="I18" s="280" t="str">
        <f>IF('Statement of Marks'!J21="","",'Statement of Marks'!J21)</f>
        <v/>
      </c>
      <c r="J18" s="827" t="str">
        <f>IF('Statement of Marks'!HS21="","",'Statement of Marks'!HS21)</f>
        <v>PASS</v>
      </c>
      <c r="K18" s="281">
        <f>IF('Statement of Marks'!HT21="","",'Statement of Marks'!HT21)</f>
        <v>687</v>
      </c>
      <c r="L18" s="828">
        <f>IF('Statement of Marks'!HW21="","",'Statement of Marks'!HW21)</f>
        <v>57.25</v>
      </c>
      <c r="M18" s="281" t="str">
        <f>IF('Statement of Marks'!HV21="","",'Statement of Marks'!HV21)</f>
        <v>2nd</v>
      </c>
      <c r="N18" s="829">
        <f>IF('Statement of Marks'!HX21="","",'Statement of Marks'!HX21)</f>
        <v>16.000000000000075</v>
      </c>
      <c r="O18" s="282" t="str">
        <f>IF(J18="FAIL","",IF('Statement of Marks'!HO21="","",'Statement of Marks'!HO21))</f>
        <v xml:space="preserve">      </v>
      </c>
      <c r="P18" s="283" t="str">
        <f>IF('Supp. Result Entry'!AQ19="","",'Supp. Result Entry'!AQ19)</f>
        <v/>
      </c>
      <c r="Q18" s="284" t="str">
        <f>IF('Supp. Result Entry'!AR19="","",'Supp. Result Entry'!AR19)</f>
        <v/>
      </c>
      <c r="R18" s="285" t="str">
        <f>IF('Statement of Marks'!IA21="","",'Statement of Marks'!IA21)</f>
        <v/>
      </c>
      <c r="S18" s="286" t="str">
        <f>IF('Statement of Marks'!GL21="","",'Statement of Marks'!GL21)</f>
        <v/>
      </c>
      <c r="BM18" s="287" t="str">
        <f>'Statement of Marks'!F21</f>
        <v>RAHIM</v>
      </c>
      <c r="BN18" s="288" t="str">
        <f t="shared" si="0"/>
        <v/>
      </c>
      <c r="BO18" s="288" t="str">
        <f t="shared" si="1"/>
        <v/>
      </c>
      <c r="BP18" s="288" t="str">
        <f t="shared" si="2"/>
        <v/>
      </c>
      <c r="BQ18" s="288" t="str">
        <f t="shared" si="3"/>
        <v/>
      </c>
      <c r="BR18" s="288" t="str">
        <f t="shared" si="4"/>
        <v/>
      </c>
      <c r="BS18" s="288" t="str">
        <f t="shared" si="5"/>
        <v/>
      </c>
      <c r="BT18" s="288" t="str">
        <f t="shared" si="6"/>
        <v/>
      </c>
      <c r="BU18" s="288" t="str">
        <f t="shared" si="7"/>
        <v/>
      </c>
      <c r="BV18" s="288" t="str">
        <f t="shared" si="8"/>
        <v/>
      </c>
      <c r="BW18" s="288" t="str">
        <f t="shared" si="9"/>
        <v/>
      </c>
      <c r="BX18" s="288" t="str">
        <f t="shared" si="10"/>
        <v/>
      </c>
      <c r="BY18" s="288" t="str">
        <f t="shared" si="11"/>
        <v/>
      </c>
      <c r="BZ18" s="289"/>
    </row>
    <row r="19" spans="1:78" ht="14.1" customHeight="1">
      <c r="A19" s="276">
        <f>IF('Statement of Marks'!A22="","",'Statement of Marks'!A22)</f>
        <v>16</v>
      </c>
      <c r="B19" s="277">
        <f>IF('Statement of Marks'!B22="","",'Statement of Marks'!B22)</f>
        <v>916</v>
      </c>
      <c r="C19" s="278" t="str">
        <f>IF('Statement of Marks'!D22="","",'Statement of Marks'!D22)</f>
        <v/>
      </c>
      <c r="D19" s="314" t="str">
        <f>IF('Statement of Marks'!E22="","",'Statement of Marks'!E22)</f>
        <v/>
      </c>
      <c r="E19" s="279" t="str">
        <f>IF('Statement of Marks'!F22="","",'Statement of Marks'!F22)</f>
        <v>KARIM</v>
      </c>
      <c r="F19" s="279" t="str">
        <f>IF('Statement of Marks'!G22="","",'Statement of Marks'!G22)</f>
        <v/>
      </c>
      <c r="G19" s="279" t="str">
        <f>IF('Statement of Marks'!H22="","",'Statement of Marks'!H22)</f>
        <v/>
      </c>
      <c r="H19" s="280" t="str">
        <f>IF('Statement of Marks'!I22="","",'Statement of Marks'!I22)</f>
        <v/>
      </c>
      <c r="I19" s="280" t="str">
        <f>IF('Statement of Marks'!J22="","",'Statement of Marks'!J22)</f>
        <v/>
      </c>
      <c r="J19" s="827" t="str">
        <f>IF('Statement of Marks'!HS22="","",'Statement of Marks'!HS22)</f>
        <v>PASS</v>
      </c>
      <c r="K19" s="281">
        <f>IF('Statement of Marks'!HT22="","",'Statement of Marks'!HT22)</f>
        <v>768</v>
      </c>
      <c r="L19" s="828">
        <f>IF('Statement of Marks'!HW22="","",'Statement of Marks'!HW22)</f>
        <v>64</v>
      </c>
      <c r="M19" s="281" t="str">
        <f>IF('Statement of Marks'!HV22="","",'Statement of Marks'!HV22)</f>
        <v>1st</v>
      </c>
      <c r="N19" s="829">
        <f>IF('Statement of Marks'!HX22="","",'Statement of Marks'!HX22)</f>
        <v>6.9999999999999263</v>
      </c>
      <c r="O19" s="282" t="str">
        <f>IF(J19="FAIL","",IF('Statement of Marks'!HO22="","",'Statement of Marks'!HO22))</f>
        <v xml:space="preserve">      </v>
      </c>
      <c r="P19" s="283" t="str">
        <f>IF('Supp. Result Entry'!AQ20="","",'Supp. Result Entry'!AQ20)</f>
        <v/>
      </c>
      <c r="Q19" s="284" t="str">
        <f>IF('Supp. Result Entry'!AR20="","",'Supp. Result Entry'!AR20)</f>
        <v/>
      </c>
      <c r="R19" s="285" t="str">
        <f>IF('Statement of Marks'!IA22="","",'Statement of Marks'!IA22)</f>
        <v/>
      </c>
      <c r="S19" s="286" t="str">
        <f>IF('Statement of Marks'!GL22="","",'Statement of Marks'!GL22)</f>
        <v/>
      </c>
      <c r="BM19" s="287" t="str">
        <f>'Statement of Marks'!F22</f>
        <v>KARIM</v>
      </c>
      <c r="BN19" s="288" t="str">
        <f t="shared" si="0"/>
        <v/>
      </c>
      <c r="BO19" s="288" t="str">
        <f t="shared" si="1"/>
        <v/>
      </c>
      <c r="BP19" s="288" t="str">
        <f t="shared" si="2"/>
        <v/>
      </c>
      <c r="BQ19" s="288" t="str">
        <f t="shared" si="3"/>
        <v/>
      </c>
      <c r="BR19" s="288" t="str">
        <f t="shared" si="4"/>
        <v/>
      </c>
      <c r="BS19" s="288" t="str">
        <f t="shared" si="5"/>
        <v/>
      </c>
      <c r="BT19" s="288" t="str">
        <f t="shared" si="6"/>
        <v/>
      </c>
      <c r="BU19" s="288" t="str">
        <f t="shared" si="7"/>
        <v/>
      </c>
      <c r="BV19" s="288" t="str">
        <f t="shared" si="8"/>
        <v/>
      </c>
      <c r="BW19" s="288" t="str">
        <f t="shared" si="9"/>
        <v/>
      </c>
      <c r="BX19" s="288" t="str">
        <f t="shared" si="10"/>
        <v/>
      </c>
      <c r="BY19" s="288" t="str">
        <f t="shared" si="11"/>
        <v/>
      </c>
      <c r="BZ19" s="289"/>
    </row>
    <row r="20" spans="1:78" ht="14.1" customHeight="1">
      <c r="A20" s="276">
        <f>IF('Statement of Marks'!A23="","",'Statement of Marks'!A23)</f>
        <v>17</v>
      </c>
      <c r="B20" s="277">
        <f>IF('Statement of Marks'!B23="","",'Statement of Marks'!B23)</f>
        <v>917</v>
      </c>
      <c r="C20" s="278" t="str">
        <f>IF('Statement of Marks'!D23="","",'Statement of Marks'!D23)</f>
        <v/>
      </c>
      <c r="D20" s="314" t="str">
        <f>IF('Statement of Marks'!E23="","",'Statement of Marks'!E23)</f>
        <v/>
      </c>
      <c r="E20" s="279" t="str">
        <f>IF('Statement of Marks'!F23="","",'Statement of Marks'!F23)</f>
        <v>FATIMA</v>
      </c>
      <c r="F20" s="279" t="str">
        <f>IF('Statement of Marks'!G23="","",'Statement of Marks'!G23)</f>
        <v/>
      </c>
      <c r="G20" s="279" t="str">
        <f>IF('Statement of Marks'!H23="","",'Statement of Marks'!H23)</f>
        <v/>
      </c>
      <c r="H20" s="280" t="str">
        <f>IF('Statement of Marks'!I23="","",'Statement of Marks'!I23)</f>
        <v/>
      </c>
      <c r="I20" s="280" t="str">
        <f>IF('Statement of Marks'!J23="","",'Statement of Marks'!J23)</f>
        <v/>
      </c>
      <c r="J20" s="827" t="str">
        <f>IF('Statement of Marks'!HS23="","",'Statement of Marks'!HS23)</f>
        <v>PASS</v>
      </c>
      <c r="K20" s="281">
        <f>IF('Statement of Marks'!HT23="","",'Statement of Marks'!HT23)</f>
        <v>769</v>
      </c>
      <c r="L20" s="828">
        <f>IF('Statement of Marks'!HW23="","",'Statement of Marks'!HW23)</f>
        <v>64.083333333333329</v>
      </c>
      <c r="M20" s="281" t="str">
        <f>IF('Statement of Marks'!HV23="","",'Statement of Marks'!HV23)</f>
        <v>1st</v>
      </c>
      <c r="N20" s="829">
        <f>IF('Statement of Marks'!HX23="","",'Statement of Marks'!HX23)</f>
        <v>5.9999999999999263</v>
      </c>
      <c r="O20" s="282" t="str">
        <f>IF(J20="FAIL","",IF('Statement of Marks'!HO23="","",'Statement of Marks'!HO23))</f>
        <v xml:space="preserve">      </v>
      </c>
      <c r="P20" s="283" t="str">
        <f>IF('Supp. Result Entry'!AQ21="","",'Supp. Result Entry'!AQ21)</f>
        <v/>
      </c>
      <c r="Q20" s="284" t="str">
        <f>IF('Supp. Result Entry'!AR21="","",'Supp. Result Entry'!AR21)</f>
        <v/>
      </c>
      <c r="R20" s="285" t="str">
        <f>IF('Statement of Marks'!IA23="","",'Statement of Marks'!IA23)</f>
        <v/>
      </c>
      <c r="S20" s="286" t="str">
        <f>IF('Statement of Marks'!GL23="","",'Statement of Marks'!GL23)</f>
        <v/>
      </c>
      <c r="BM20" s="287" t="str">
        <f>'Statement of Marks'!F23</f>
        <v>FATIMA</v>
      </c>
      <c r="BN20" s="288" t="str">
        <f t="shared" si="0"/>
        <v/>
      </c>
      <c r="BO20" s="288" t="str">
        <f t="shared" si="1"/>
        <v/>
      </c>
      <c r="BP20" s="288" t="str">
        <f t="shared" si="2"/>
        <v/>
      </c>
      <c r="BQ20" s="288" t="str">
        <f t="shared" si="3"/>
        <v/>
      </c>
      <c r="BR20" s="288" t="str">
        <f t="shared" si="4"/>
        <v/>
      </c>
      <c r="BS20" s="288" t="str">
        <f t="shared" si="5"/>
        <v/>
      </c>
      <c r="BT20" s="288" t="str">
        <f t="shared" si="6"/>
        <v/>
      </c>
      <c r="BU20" s="288" t="str">
        <f t="shared" si="7"/>
        <v/>
      </c>
      <c r="BV20" s="288" t="str">
        <f t="shared" si="8"/>
        <v/>
      </c>
      <c r="BW20" s="288" t="str">
        <f t="shared" si="9"/>
        <v/>
      </c>
      <c r="BX20" s="288" t="str">
        <f t="shared" si="10"/>
        <v/>
      </c>
      <c r="BY20" s="288" t="str">
        <f t="shared" si="11"/>
        <v/>
      </c>
      <c r="BZ20" s="289"/>
    </row>
    <row r="21" spans="1:78" ht="14.1" customHeight="1">
      <c r="A21" s="276">
        <f>IF('Statement of Marks'!A24="","",'Statement of Marks'!A24)</f>
        <v>18</v>
      </c>
      <c r="B21" s="277">
        <f>IF('Statement of Marks'!B24="","",'Statement of Marks'!B24)</f>
        <v>918</v>
      </c>
      <c r="C21" s="278" t="str">
        <f>IF('Statement of Marks'!D24="","",'Statement of Marks'!D24)</f>
        <v/>
      </c>
      <c r="D21" s="314" t="str">
        <f>IF('Statement of Marks'!E24="","",'Statement of Marks'!E24)</f>
        <v/>
      </c>
      <c r="E21" s="279" t="str">
        <f>IF('Statement of Marks'!F24="","",'Statement of Marks'!F24)</f>
        <v>LAXMI</v>
      </c>
      <c r="F21" s="279" t="str">
        <f>IF('Statement of Marks'!G24="","",'Statement of Marks'!G24)</f>
        <v/>
      </c>
      <c r="G21" s="279" t="str">
        <f>IF('Statement of Marks'!H24="","",'Statement of Marks'!H24)</f>
        <v/>
      </c>
      <c r="H21" s="280" t="str">
        <f>IF('Statement of Marks'!I24="","",'Statement of Marks'!I24)</f>
        <v/>
      </c>
      <c r="I21" s="280" t="str">
        <f>IF('Statement of Marks'!J24="","",'Statement of Marks'!J24)</f>
        <v/>
      </c>
      <c r="J21" s="827" t="str">
        <f>IF('Statement of Marks'!HS24="","",'Statement of Marks'!HS24)</f>
        <v>PASS</v>
      </c>
      <c r="K21" s="281">
        <f>IF('Statement of Marks'!HT24="","",'Statement of Marks'!HT24)</f>
        <v>768</v>
      </c>
      <c r="L21" s="828">
        <f>IF('Statement of Marks'!HW24="","",'Statement of Marks'!HW24)</f>
        <v>64</v>
      </c>
      <c r="M21" s="281" t="str">
        <f>IF('Statement of Marks'!HV24="","",'Statement of Marks'!HV24)</f>
        <v>1st</v>
      </c>
      <c r="N21" s="829">
        <f>IF('Statement of Marks'!HX24="","",'Statement of Marks'!HX24)</f>
        <v>6.9999999999999263</v>
      </c>
      <c r="O21" s="282" t="str">
        <f>IF(J21="FAIL","",IF('Statement of Marks'!HO24="","",'Statement of Marks'!HO24))</f>
        <v xml:space="preserve">      </v>
      </c>
      <c r="P21" s="283" t="str">
        <f>IF('Supp. Result Entry'!AQ22="","",'Supp. Result Entry'!AQ22)</f>
        <v/>
      </c>
      <c r="Q21" s="284" t="str">
        <f>IF('Supp. Result Entry'!AR22="","",'Supp. Result Entry'!AR22)</f>
        <v/>
      </c>
      <c r="R21" s="285" t="str">
        <f>IF('Statement of Marks'!IA24="","",'Statement of Marks'!IA24)</f>
        <v/>
      </c>
      <c r="S21" s="286" t="str">
        <f>IF('Statement of Marks'!GL24="","",'Statement of Marks'!GL24)</f>
        <v/>
      </c>
      <c r="BM21" s="287" t="str">
        <f>'Statement of Marks'!F24</f>
        <v>LAXMI</v>
      </c>
      <c r="BN21" s="288" t="str">
        <f t="shared" si="0"/>
        <v/>
      </c>
      <c r="BO21" s="288" t="str">
        <f t="shared" si="1"/>
        <v/>
      </c>
      <c r="BP21" s="288" t="str">
        <f t="shared" si="2"/>
        <v/>
      </c>
      <c r="BQ21" s="288" t="str">
        <f t="shared" si="3"/>
        <v/>
      </c>
      <c r="BR21" s="288" t="str">
        <f t="shared" si="4"/>
        <v/>
      </c>
      <c r="BS21" s="288" t="str">
        <f t="shared" si="5"/>
        <v/>
      </c>
      <c r="BT21" s="288" t="str">
        <f t="shared" si="6"/>
        <v/>
      </c>
      <c r="BU21" s="288" t="str">
        <f t="shared" si="7"/>
        <v/>
      </c>
      <c r="BV21" s="288" t="str">
        <f t="shared" si="8"/>
        <v/>
      </c>
      <c r="BW21" s="288" t="str">
        <f t="shared" si="9"/>
        <v/>
      </c>
      <c r="BX21" s="288" t="str">
        <f t="shared" si="10"/>
        <v/>
      </c>
      <c r="BY21" s="288" t="str">
        <f t="shared" si="11"/>
        <v/>
      </c>
      <c r="BZ21" s="289"/>
    </row>
    <row r="22" spans="1:78" ht="14.1" customHeight="1">
      <c r="A22" s="276">
        <f>IF('Statement of Marks'!A25="","",'Statement of Marks'!A25)</f>
        <v>19</v>
      </c>
      <c r="B22" s="277">
        <f>IF('Statement of Marks'!B25="","",'Statement of Marks'!B25)</f>
        <v>919</v>
      </c>
      <c r="C22" s="278" t="str">
        <f>IF('Statement of Marks'!D25="","",'Statement of Marks'!D25)</f>
        <v/>
      </c>
      <c r="D22" s="314" t="str">
        <f>IF('Statement of Marks'!E25="","",'Statement of Marks'!E25)</f>
        <v/>
      </c>
      <c r="E22" s="279" t="str">
        <f>IF('Statement of Marks'!F25="","",'Statement of Marks'!F25)</f>
        <v>RAZA</v>
      </c>
      <c r="F22" s="279" t="str">
        <f>IF('Statement of Marks'!G25="","",'Statement of Marks'!G25)</f>
        <v/>
      </c>
      <c r="G22" s="279" t="str">
        <f>IF('Statement of Marks'!H25="","",'Statement of Marks'!H25)</f>
        <v/>
      </c>
      <c r="H22" s="280" t="str">
        <f>IF('Statement of Marks'!I25="","",'Statement of Marks'!I25)</f>
        <v/>
      </c>
      <c r="I22" s="280" t="str">
        <f>IF('Statement of Marks'!J25="","",'Statement of Marks'!J25)</f>
        <v/>
      </c>
      <c r="J22" s="826" t="str">
        <f>IF('Statement of Marks'!HS25="","",'Statement of Marks'!HS25)</f>
        <v>PASS</v>
      </c>
      <c r="K22" s="281">
        <f>IF('Statement of Marks'!HT25="","",'Statement of Marks'!HT25)</f>
        <v>768</v>
      </c>
      <c r="L22" s="828">
        <f>IF('Statement of Marks'!HW25="","",'Statement of Marks'!HW25)</f>
        <v>64</v>
      </c>
      <c r="M22" s="281" t="str">
        <f>IF('Statement of Marks'!HV25="","",'Statement of Marks'!HV25)</f>
        <v>1st</v>
      </c>
      <c r="N22" s="829">
        <f>IF('Statement of Marks'!HX25="","",'Statement of Marks'!HX25)</f>
        <v>6.9999999999999263</v>
      </c>
      <c r="O22" s="282" t="str">
        <f>IF(J22="FAIL","",IF('Statement of Marks'!HO25="","",'Statement of Marks'!HO25))</f>
        <v xml:space="preserve">      </v>
      </c>
      <c r="P22" s="283" t="str">
        <f>IF('Supp. Result Entry'!AQ23="","",'Supp. Result Entry'!AQ23)</f>
        <v/>
      </c>
      <c r="Q22" s="284" t="str">
        <f>IF('Supp. Result Entry'!AR23="","",'Supp. Result Entry'!AR23)</f>
        <v/>
      </c>
      <c r="R22" s="285" t="str">
        <f>IF('Statement of Marks'!IA25="","",'Statement of Marks'!IA25)</f>
        <v/>
      </c>
      <c r="S22" s="286" t="str">
        <f>IF('Statement of Marks'!GL25="","",'Statement of Marks'!GL25)</f>
        <v/>
      </c>
      <c r="BM22" s="287" t="str">
        <f>'Statement of Marks'!F25</f>
        <v>RAZA</v>
      </c>
      <c r="BN22" s="288" t="str">
        <f t="shared" si="0"/>
        <v/>
      </c>
      <c r="BO22" s="288" t="str">
        <f t="shared" si="1"/>
        <v/>
      </c>
      <c r="BP22" s="288" t="str">
        <f t="shared" si="2"/>
        <v/>
      </c>
      <c r="BQ22" s="288" t="str">
        <f t="shared" si="3"/>
        <v/>
      </c>
      <c r="BR22" s="288" t="str">
        <f t="shared" si="4"/>
        <v/>
      </c>
      <c r="BS22" s="288" t="str">
        <f t="shared" si="5"/>
        <v/>
      </c>
      <c r="BT22" s="288" t="str">
        <f t="shared" si="6"/>
        <v/>
      </c>
      <c r="BU22" s="288" t="str">
        <f t="shared" si="7"/>
        <v/>
      </c>
      <c r="BV22" s="288" t="str">
        <f t="shared" si="8"/>
        <v/>
      </c>
      <c r="BW22" s="288" t="str">
        <f t="shared" si="9"/>
        <v/>
      </c>
      <c r="BX22" s="288" t="str">
        <f t="shared" si="10"/>
        <v/>
      </c>
      <c r="BY22" s="288" t="str">
        <f t="shared" si="11"/>
        <v/>
      </c>
      <c r="BZ22" s="289"/>
    </row>
    <row r="23" spans="1:78" ht="14.1" customHeight="1">
      <c r="A23" s="276">
        <f>IF('Statement of Marks'!A26="","",'Statement of Marks'!A26)</f>
        <v>20</v>
      </c>
      <c r="B23" s="277">
        <f>IF('Statement of Marks'!B26="","",'Statement of Marks'!B26)</f>
        <v>920</v>
      </c>
      <c r="C23" s="278" t="str">
        <f>IF('Statement of Marks'!D26="","",'Statement of Marks'!D26)</f>
        <v/>
      </c>
      <c r="D23" s="314" t="str">
        <f>IF('Statement of Marks'!E26="","",'Statement of Marks'!E26)</f>
        <v/>
      </c>
      <c r="E23" s="279" t="str">
        <f>IF('Statement of Marks'!F26="","",'Statement of Marks'!F26)</f>
        <v>ROZA</v>
      </c>
      <c r="F23" s="279" t="str">
        <f>IF('Statement of Marks'!G26="","",'Statement of Marks'!G26)</f>
        <v/>
      </c>
      <c r="G23" s="279" t="str">
        <f>IF('Statement of Marks'!H26="","",'Statement of Marks'!H26)</f>
        <v/>
      </c>
      <c r="H23" s="280" t="str">
        <f>IF('Statement of Marks'!I26="","",'Statement of Marks'!I26)</f>
        <v/>
      </c>
      <c r="I23" s="280" t="str">
        <f>IF('Statement of Marks'!J26="","",'Statement of Marks'!J26)</f>
        <v/>
      </c>
      <c r="J23" s="827" t="str">
        <f>IF('Statement of Marks'!HS26="","",'Statement of Marks'!HS26)</f>
        <v>PASS</v>
      </c>
      <c r="K23" s="281">
        <f>IF('Statement of Marks'!HT26="","",'Statement of Marks'!HT26)</f>
        <v>768</v>
      </c>
      <c r="L23" s="828">
        <f>IF('Statement of Marks'!HW26="","",'Statement of Marks'!HW26)</f>
        <v>64</v>
      </c>
      <c r="M23" s="281" t="str">
        <f>IF('Statement of Marks'!HV26="","",'Statement of Marks'!HV26)</f>
        <v>1st</v>
      </c>
      <c r="N23" s="829">
        <f>IF('Statement of Marks'!HX26="","",'Statement of Marks'!HX26)</f>
        <v>6.9999999999999263</v>
      </c>
      <c r="O23" s="282" t="str">
        <f>IF(J23="FAIL","",IF('Statement of Marks'!HO26="","",'Statement of Marks'!HO26))</f>
        <v xml:space="preserve">      </v>
      </c>
      <c r="P23" s="283" t="str">
        <f>IF('Supp. Result Entry'!AQ24="","",'Supp. Result Entry'!AQ24)</f>
        <v/>
      </c>
      <c r="Q23" s="284" t="str">
        <f>IF('Supp. Result Entry'!AR24="","",'Supp. Result Entry'!AR24)</f>
        <v/>
      </c>
      <c r="R23" s="285" t="str">
        <f>IF('Statement of Marks'!IA26="","",'Statement of Marks'!IA26)</f>
        <v/>
      </c>
      <c r="S23" s="286" t="str">
        <f>IF('Statement of Marks'!GL26="","",'Statement of Marks'!GL26)</f>
        <v/>
      </c>
      <c r="BM23" s="287" t="str">
        <f>'Statement of Marks'!F26</f>
        <v>ROZA</v>
      </c>
      <c r="BN23" s="288" t="str">
        <f t="shared" si="0"/>
        <v/>
      </c>
      <c r="BO23" s="288" t="str">
        <f t="shared" si="1"/>
        <v/>
      </c>
      <c r="BP23" s="288" t="str">
        <f t="shared" si="2"/>
        <v/>
      </c>
      <c r="BQ23" s="288" t="str">
        <f t="shared" si="3"/>
        <v/>
      </c>
      <c r="BR23" s="288" t="str">
        <f t="shared" si="4"/>
        <v/>
      </c>
      <c r="BS23" s="288" t="str">
        <f t="shared" si="5"/>
        <v/>
      </c>
      <c r="BT23" s="288" t="str">
        <f t="shared" si="6"/>
        <v/>
      </c>
      <c r="BU23" s="288" t="str">
        <f t="shared" si="7"/>
        <v/>
      </c>
      <c r="BV23" s="288" t="str">
        <f t="shared" si="8"/>
        <v/>
      </c>
      <c r="BW23" s="288" t="str">
        <f t="shared" si="9"/>
        <v/>
      </c>
      <c r="BX23" s="288" t="str">
        <f t="shared" si="10"/>
        <v/>
      </c>
      <c r="BY23" s="288" t="str">
        <f t="shared" si="11"/>
        <v/>
      </c>
      <c r="BZ23" s="289"/>
    </row>
    <row r="24" spans="1:78" ht="14.1" customHeight="1">
      <c r="A24" s="276">
        <f>IF('Statement of Marks'!A27="","",'Statement of Marks'!A27)</f>
        <v>21</v>
      </c>
      <c r="B24" s="277">
        <f>IF('Statement of Marks'!B27="","",'Statement of Marks'!B27)</f>
        <v>921</v>
      </c>
      <c r="C24" s="278" t="str">
        <f>IF('Statement of Marks'!D27="","",'Statement of Marks'!D27)</f>
        <v/>
      </c>
      <c r="D24" s="314" t="str">
        <f>IF('Statement of Marks'!E27="","",'Statement of Marks'!E27)</f>
        <v/>
      </c>
      <c r="E24" s="279" t="str">
        <f>IF('Statement of Marks'!F27="","",'Statement of Marks'!F27)</f>
        <v>VILIAM</v>
      </c>
      <c r="F24" s="279" t="str">
        <f>IF('Statement of Marks'!G27="","",'Statement of Marks'!G27)</f>
        <v/>
      </c>
      <c r="G24" s="279" t="str">
        <f>IF('Statement of Marks'!H27="","",'Statement of Marks'!H27)</f>
        <v/>
      </c>
      <c r="H24" s="280" t="str">
        <f>IF('Statement of Marks'!I27="","",'Statement of Marks'!I27)</f>
        <v/>
      </c>
      <c r="I24" s="280" t="str">
        <f>IF('Statement of Marks'!J27="","",'Statement of Marks'!J27)</f>
        <v/>
      </c>
      <c r="J24" s="827" t="str">
        <f>IF('Statement of Marks'!HS27="","",'Statement of Marks'!HS27)</f>
        <v>PASS</v>
      </c>
      <c r="K24" s="281">
        <f>IF('Statement of Marks'!HT27="","",'Statement of Marks'!HT27)</f>
        <v>768</v>
      </c>
      <c r="L24" s="828">
        <f>IF('Statement of Marks'!HW27="","",'Statement of Marks'!HW27)</f>
        <v>64</v>
      </c>
      <c r="M24" s="281" t="str">
        <f>IF('Statement of Marks'!HV27="","",'Statement of Marks'!HV27)</f>
        <v>1st</v>
      </c>
      <c r="N24" s="829">
        <f>IF('Statement of Marks'!HX27="","",'Statement of Marks'!HX27)</f>
        <v>6.9999999999999263</v>
      </c>
      <c r="O24" s="282" t="str">
        <f>IF(J24="FAIL","",IF('Statement of Marks'!HO27="","",'Statement of Marks'!HO27))</f>
        <v xml:space="preserve">      </v>
      </c>
      <c r="P24" s="283" t="str">
        <f>IF('Supp. Result Entry'!AQ25="","",'Supp. Result Entry'!AQ25)</f>
        <v/>
      </c>
      <c r="Q24" s="284" t="str">
        <f>IF('Supp. Result Entry'!AR25="","",'Supp. Result Entry'!AR25)</f>
        <v/>
      </c>
      <c r="R24" s="285" t="str">
        <f>IF('Statement of Marks'!IA27="","",'Statement of Marks'!IA27)</f>
        <v/>
      </c>
      <c r="S24" s="286" t="str">
        <f>IF('Statement of Marks'!GL27="","",'Statement of Marks'!GL27)</f>
        <v/>
      </c>
      <c r="BM24" s="287" t="str">
        <f>'Statement of Marks'!F27</f>
        <v>VILIAM</v>
      </c>
      <c r="BN24" s="288" t="str">
        <f t="shared" si="0"/>
        <v/>
      </c>
      <c r="BO24" s="288" t="str">
        <f t="shared" si="1"/>
        <v/>
      </c>
      <c r="BP24" s="288" t="str">
        <f t="shared" si="2"/>
        <v/>
      </c>
      <c r="BQ24" s="288" t="str">
        <f t="shared" si="3"/>
        <v/>
      </c>
      <c r="BR24" s="288" t="str">
        <f t="shared" si="4"/>
        <v/>
      </c>
      <c r="BS24" s="288" t="str">
        <f t="shared" si="5"/>
        <v/>
      </c>
      <c r="BT24" s="288" t="str">
        <f t="shared" si="6"/>
        <v/>
      </c>
      <c r="BU24" s="288" t="str">
        <f t="shared" si="7"/>
        <v/>
      </c>
      <c r="BV24" s="288" t="str">
        <f t="shared" si="8"/>
        <v/>
      </c>
      <c r="BW24" s="288" t="str">
        <f t="shared" si="9"/>
        <v/>
      </c>
      <c r="BX24" s="288" t="str">
        <f t="shared" si="10"/>
        <v/>
      </c>
      <c r="BY24" s="288" t="str">
        <f t="shared" si="11"/>
        <v/>
      </c>
      <c r="BZ24" s="289"/>
    </row>
    <row r="25" spans="1:78" ht="14.1" customHeight="1">
      <c r="A25" s="276">
        <f>IF('Statement of Marks'!A28="","",'Statement of Marks'!A28)</f>
        <v>22</v>
      </c>
      <c r="B25" s="277">
        <f>IF('Statement of Marks'!B28="","",'Statement of Marks'!B28)</f>
        <v>922</v>
      </c>
      <c r="C25" s="278" t="str">
        <f>IF('Statement of Marks'!D28="","",'Statement of Marks'!D28)</f>
        <v/>
      </c>
      <c r="D25" s="314" t="str">
        <f>IF('Statement of Marks'!E28="","",'Statement of Marks'!E28)</f>
        <v/>
      </c>
      <c r="E25" s="279" t="str">
        <f>IF('Statement of Marks'!F28="","",'Statement of Marks'!F28)</f>
        <v>ROZER</v>
      </c>
      <c r="F25" s="279" t="str">
        <f>IF('Statement of Marks'!G28="","",'Statement of Marks'!G28)</f>
        <v/>
      </c>
      <c r="G25" s="279" t="str">
        <f>IF('Statement of Marks'!H28="","",'Statement of Marks'!H28)</f>
        <v/>
      </c>
      <c r="H25" s="280" t="str">
        <f>IF('Statement of Marks'!I28="","",'Statement of Marks'!I28)</f>
        <v/>
      </c>
      <c r="I25" s="280" t="str">
        <f>IF('Statement of Marks'!J28="","",'Statement of Marks'!J28)</f>
        <v/>
      </c>
      <c r="J25" s="827" t="str">
        <f>IF('Statement of Marks'!HS28="","",'Statement of Marks'!HS28)</f>
        <v>PASS</v>
      </c>
      <c r="K25" s="281">
        <f>IF('Statement of Marks'!HT28="","",'Statement of Marks'!HT28)</f>
        <v>771</v>
      </c>
      <c r="L25" s="828">
        <f>IF('Statement of Marks'!HW28="","",'Statement of Marks'!HW28)</f>
        <v>64.25</v>
      </c>
      <c r="M25" s="281" t="str">
        <f>IF('Statement of Marks'!HV28="","",'Statement of Marks'!HV28)</f>
        <v>1st</v>
      </c>
      <c r="N25" s="829">
        <f>IF('Statement of Marks'!HX28="","",'Statement of Marks'!HX28)</f>
        <v>4.9999999999999263</v>
      </c>
      <c r="O25" s="282" t="str">
        <f>IF(J25="FAIL","",IF('Statement of Marks'!HO28="","",'Statement of Marks'!HO28))</f>
        <v xml:space="preserve">      </v>
      </c>
      <c r="P25" s="283" t="str">
        <f>IF('Supp. Result Entry'!AQ26="","",'Supp. Result Entry'!AQ26)</f>
        <v/>
      </c>
      <c r="Q25" s="284" t="str">
        <f>IF('Supp. Result Entry'!AR26="","",'Supp. Result Entry'!AR26)</f>
        <v/>
      </c>
      <c r="R25" s="285" t="str">
        <f>IF('Statement of Marks'!IA28="","",'Statement of Marks'!IA28)</f>
        <v/>
      </c>
      <c r="S25" s="286" t="str">
        <f>IF('Statement of Marks'!GL28="","",'Statement of Marks'!GL28)</f>
        <v/>
      </c>
      <c r="BM25" s="287" t="str">
        <f>'Statement of Marks'!F28</f>
        <v>ROZER</v>
      </c>
      <c r="BN25" s="288" t="str">
        <f t="shared" si="0"/>
        <v/>
      </c>
      <c r="BO25" s="288" t="str">
        <f t="shared" si="1"/>
        <v/>
      </c>
      <c r="BP25" s="288" t="str">
        <f t="shared" si="2"/>
        <v/>
      </c>
      <c r="BQ25" s="288" t="str">
        <f t="shared" si="3"/>
        <v/>
      </c>
      <c r="BR25" s="288" t="str">
        <f t="shared" si="4"/>
        <v/>
      </c>
      <c r="BS25" s="288" t="str">
        <f t="shared" si="5"/>
        <v/>
      </c>
      <c r="BT25" s="288" t="str">
        <f t="shared" si="6"/>
        <v/>
      </c>
      <c r="BU25" s="288" t="str">
        <f t="shared" si="7"/>
        <v/>
      </c>
      <c r="BV25" s="288" t="str">
        <f t="shared" si="8"/>
        <v/>
      </c>
      <c r="BW25" s="288" t="str">
        <f t="shared" si="9"/>
        <v/>
      </c>
      <c r="BX25" s="288" t="str">
        <f t="shared" si="10"/>
        <v/>
      </c>
      <c r="BY25" s="288" t="str">
        <f t="shared" si="11"/>
        <v/>
      </c>
      <c r="BZ25" s="289"/>
    </row>
    <row r="26" spans="1:78" ht="14.1" customHeight="1">
      <c r="A26" s="276">
        <f>IF('Statement of Marks'!A29="","",'Statement of Marks'!A29)</f>
        <v>23</v>
      </c>
      <c r="B26" s="277">
        <f>IF('Statement of Marks'!B29="","",'Statement of Marks'!B29)</f>
        <v>923</v>
      </c>
      <c r="C26" s="278" t="str">
        <f>IF('Statement of Marks'!D29="","",'Statement of Marks'!D29)</f>
        <v/>
      </c>
      <c r="D26" s="314" t="str">
        <f>IF('Statement of Marks'!E29="","",'Statement of Marks'!E29)</f>
        <v/>
      </c>
      <c r="E26" s="279" t="str">
        <f>IF('Statement of Marks'!F29="","",'Statement of Marks'!F29)</f>
        <v>DINESH</v>
      </c>
      <c r="F26" s="279" t="str">
        <f>IF('Statement of Marks'!G29="","",'Statement of Marks'!G29)</f>
        <v/>
      </c>
      <c r="G26" s="279" t="str">
        <f>IF('Statement of Marks'!H29="","",'Statement of Marks'!H29)</f>
        <v/>
      </c>
      <c r="H26" s="280" t="str">
        <f>IF('Statement of Marks'!I29="","",'Statement of Marks'!I29)</f>
        <v/>
      </c>
      <c r="I26" s="280" t="str">
        <f>IF('Statement of Marks'!J29="","",'Statement of Marks'!J29)</f>
        <v/>
      </c>
      <c r="J26" s="827" t="str">
        <f>IF('Statement of Marks'!HS29="","",'Statement of Marks'!HS29)</f>
        <v>PASS</v>
      </c>
      <c r="K26" s="281">
        <f>IF('Statement of Marks'!HT29="","",'Statement of Marks'!HT29)</f>
        <v>769</v>
      </c>
      <c r="L26" s="828">
        <f>IF('Statement of Marks'!HW29="","",'Statement of Marks'!HW29)</f>
        <v>64.083333333333329</v>
      </c>
      <c r="M26" s="281" t="str">
        <f>IF('Statement of Marks'!HV29="","",'Statement of Marks'!HV29)</f>
        <v>1st</v>
      </c>
      <c r="N26" s="829">
        <f>IF('Statement of Marks'!HX29="","",'Statement of Marks'!HX29)</f>
        <v>5.9999999999999263</v>
      </c>
      <c r="O26" s="282" t="str">
        <f>IF(J26="FAIL","",IF('Statement of Marks'!HO29="","",'Statement of Marks'!HO29))</f>
        <v xml:space="preserve">      </v>
      </c>
      <c r="P26" s="283" t="str">
        <f>IF('Supp. Result Entry'!AQ27="","",'Supp. Result Entry'!AQ27)</f>
        <v/>
      </c>
      <c r="Q26" s="284" t="str">
        <f>IF('Supp. Result Entry'!AR27="","",'Supp. Result Entry'!AR27)</f>
        <v/>
      </c>
      <c r="R26" s="285" t="str">
        <f>IF('Statement of Marks'!IA29="","",'Statement of Marks'!IA29)</f>
        <v/>
      </c>
      <c r="S26" s="286" t="str">
        <f>IF('Statement of Marks'!GL29="","",'Statement of Marks'!GL29)</f>
        <v/>
      </c>
      <c r="BM26" s="287" t="str">
        <f>'Statement of Marks'!F29</f>
        <v>DINESH</v>
      </c>
      <c r="BN26" s="288" t="str">
        <f t="shared" si="0"/>
        <v/>
      </c>
      <c r="BO26" s="288" t="str">
        <f t="shared" si="1"/>
        <v/>
      </c>
      <c r="BP26" s="288" t="str">
        <f t="shared" si="2"/>
        <v/>
      </c>
      <c r="BQ26" s="288" t="str">
        <f t="shared" si="3"/>
        <v/>
      </c>
      <c r="BR26" s="288" t="str">
        <f t="shared" si="4"/>
        <v/>
      </c>
      <c r="BS26" s="288" t="str">
        <f t="shared" si="5"/>
        <v/>
      </c>
      <c r="BT26" s="288" t="str">
        <f t="shared" si="6"/>
        <v/>
      </c>
      <c r="BU26" s="288" t="str">
        <f t="shared" si="7"/>
        <v/>
      </c>
      <c r="BV26" s="288" t="str">
        <f t="shared" si="8"/>
        <v/>
      </c>
      <c r="BW26" s="288" t="str">
        <f t="shared" si="9"/>
        <v/>
      </c>
      <c r="BX26" s="288" t="str">
        <f t="shared" si="10"/>
        <v/>
      </c>
      <c r="BY26" s="288" t="str">
        <f t="shared" si="11"/>
        <v/>
      </c>
      <c r="BZ26" s="289"/>
    </row>
    <row r="27" spans="1:78" ht="14.1" customHeight="1">
      <c r="A27" s="276">
        <f>IF('Statement of Marks'!A30="","",'Statement of Marks'!A30)</f>
        <v>24</v>
      </c>
      <c r="B27" s="277">
        <f>IF('Statement of Marks'!B30="","",'Statement of Marks'!B30)</f>
        <v>924</v>
      </c>
      <c r="C27" s="278" t="str">
        <f>IF('Statement of Marks'!D30="","",'Statement of Marks'!D30)</f>
        <v/>
      </c>
      <c r="D27" s="314" t="str">
        <f>IF('Statement of Marks'!E30="","",'Statement of Marks'!E30)</f>
        <v/>
      </c>
      <c r="E27" s="279" t="str">
        <f>IF('Statement of Marks'!F30="","",'Statement of Marks'!F30)</f>
        <v>MAHESH</v>
      </c>
      <c r="F27" s="279" t="str">
        <f>IF('Statement of Marks'!G30="","",'Statement of Marks'!G30)</f>
        <v/>
      </c>
      <c r="G27" s="279" t="str">
        <f>IF('Statement of Marks'!H30="","",'Statement of Marks'!H30)</f>
        <v/>
      </c>
      <c r="H27" s="280" t="str">
        <f>IF('Statement of Marks'!I30="","",'Statement of Marks'!I30)</f>
        <v/>
      </c>
      <c r="I27" s="280" t="str">
        <f>IF('Statement of Marks'!J30="","",'Statement of Marks'!J30)</f>
        <v/>
      </c>
      <c r="J27" s="827" t="str">
        <f>IF('Statement of Marks'!HS30="","",'Statement of Marks'!HS30)</f>
        <v>PASS</v>
      </c>
      <c r="K27" s="281">
        <f>IF('Statement of Marks'!HT30="","",'Statement of Marks'!HT30)</f>
        <v>768</v>
      </c>
      <c r="L27" s="828">
        <f>IF('Statement of Marks'!HW30="","",'Statement of Marks'!HW30)</f>
        <v>64</v>
      </c>
      <c r="M27" s="281" t="str">
        <f>IF('Statement of Marks'!HV30="","",'Statement of Marks'!HV30)</f>
        <v>1st</v>
      </c>
      <c r="N27" s="829">
        <f>IF('Statement of Marks'!HX30="","",'Statement of Marks'!HX30)</f>
        <v>6.9999999999999263</v>
      </c>
      <c r="O27" s="282" t="str">
        <f>IF(J27="FAIL","",IF('Statement of Marks'!HO30="","",'Statement of Marks'!HO30))</f>
        <v xml:space="preserve">      </v>
      </c>
      <c r="P27" s="283" t="str">
        <f>IF('Supp. Result Entry'!AQ28="","",'Supp. Result Entry'!AQ28)</f>
        <v/>
      </c>
      <c r="Q27" s="284" t="str">
        <f>IF('Supp. Result Entry'!AR28="","",'Supp. Result Entry'!AR28)</f>
        <v/>
      </c>
      <c r="R27" s="285" t="str">
        <f>IF('Statement of Marks'!IA30="","",'Statement of Marks'!IA30)</f>
        <v/>
      </c>
      <c r="S27" s="286" t="str">
        <f>IF('Statement of Marks'!GL30="","",'Statement of Marks'!GL30)</f>
        <v/>
      </c>
      <c r="BM27" s="287" t="str">
        <f>'Statement of Marks'!F30</f>
        <v>MAHESH</v>
      </c>
      <c r="BN27" s="288" t="str">
        <f t="shared" si="0"/>
        <v/>
      </c>
      <c r="BO27" s="288" t="str">
        <f t="shared" si="1"/>
        <v/>
      </c>
      <c r="BP27" s="288" t="str">
        <f t="shared" si="2"/>
        <v/>
      </c>
      <c r="BQ27" s="288" t="str">
        <f t="shared" si="3"/>
        <v/>
      </c>
      <c r="BR27" s="288" t="str">
        <f t="shared" si="4"/>
        <v/>
      </c>
      <c r="BS27" s="288" t="str">
        <f t="shared" si="5"/>
        <v/>
      </c>
      <c r="BT27" s="288" t="str">
        <f t="shared" si="6"/>
        <v/>
      </c>
      <c r="BU27" s="288" t="str">
        <f t="shared" si="7"/>
        <v/>
      </c>
      <c r="BV27" s="288" t="str">
        <f t="shared" si="8"/>
        <v/>
      </c>
      <c r="BW27" s="288" t="str">
        <f t="shared" si="9"/>
        <v/>
      </c>
      <c r="BX27" s="288" t="str">
        <f t="shared" si="10"/>
        <v/>
      </c>
      <c r="BY27" s="288" t="str">
        <f t="shared" si="11"/>
        <v/>
      </c>
      <c r="BZ27" s="289"/>
    </row>
    <row r="28" spans="1:78" ht="14.1" customHeight="1">
      <c r="A28" s="276">
        <f>IF('Statement of Marks'!A31="","",'Statement of Marks'!A31)</f>
        <v>25</v>
      </c>
      <c r="B28" s="277">
        <f>IF('Statement of Marks'!B31="","",'Statement of Marks'!B31)</f>
        <v>925</v>
      </c>
      <c r="C28" s="278" t="str">
        <f>IF('Statement of Marks'!D31="","",'Statement of Marks'!D31)</f>
        <v/>
      </c>
      <c r="D28" s="314" t="str">
        <f>IF('Statement of Marks'!E31="","",'Statement of Marks'!E31)</f>
        <v/>
      </c>
      <c r="E28" s="279" t="str">
        <f>IF('Statement of Marks'!F31="","",'Statement of Marks'!F31)</f>
        <v>RINA</v>
      </c>
      <c r="F28" s="279" t="str">
        <f>IF('Statement of Marks'!G31="","",'Statement of Marks'!G31)</f>
        <v/>
      </c>
      <c r="G28" s="279" t="str">
        <f>IF('Statement of Marks'!H31="","",'Statement of Marks'!H31)</f>
        <v/>
      </c>
      <c r="H28" s="280" t="str">
        <f>IF('Statement of Marks'!I31="","",'Statement of Marks'!I31)</f>
        <v/>
      </c>
      <c r="I28" s="280" t="str">
        <f>IF('Statement of Marks'!J31="","",'Statement of Marks'!J31)</f>
        <v/>
      </c>
      <c r="J28" s="827" t="str">
        <f>IF('Statement of Marks'!HS31="","",'Statement of Marks'!HS31)</f>
        <v>PASS</v>
      </c>
      <c r="K28" s="281">
        <f>IF('Statement of Marks'!HT31="","",'Statement of Marks'!HT31)</f>
        <v>768</v>
      </c>
      <c r="L28" s="828">
        <f>IF('Statement of Marks'!HW31="","",'Statement of Marks'!HW31)</f>
        <v>64</v>
      </c>
      <c r="M28" s="281" t="str">
        <f>IF('Statement of Marks'!HV31="","",'Statement of Marks'!HV31)</f>
        <v>1st</v>
      </c>
      <c r="N28" s="829">
        <f>IF('Statement of Marks'!HX31="","",'Statement of Marks'!HX31)</f>
        <v>6.9999999999999263</v>
      </c>
      <c r="O28" s="282" t="str">
        <f>IF(J28="FAIL","",IF('Statement of Marks'!HO31="","",'Statement of Marks'!HO31))</f>
        <v xml:space="preserve">      </v>
      </c>
      <c r="P28" s="283" t="str">
        <f>IF('Supp. Result Entry'!AQ29="","",'Supp. Result Entry'!AQ29)</f>
        <v/>
      </c>
      <c r="Q28" s="284" t="str">
        <f>IF('Supp. Result Entry'!AR29="","",'Supp. Result Entry'!AR29)</f>
        <v/>
      </c>
      <c r="R28" s="285" t="str">
        <f>IF('Statement of Marks'!IA31="","",'Statement of Marks'!IA31)</f>
        <v/>
      </c>
      <c r="S28" s="286" t="str">
        <f>IF('Statement of Marks'!GL31="","",'Statement of Marks'!GL31)</f>
        <v/>
      </c>
      <c r="BM28" s="287" t="str">
        <f>'Statement of Marks'!F31</f>
        <v>RINA</v>
      </c>
      <c r="BN28" s="288" t="str">
        <f t="shared" si="0"/>
        <v/>
      </c>
      <c r="BO28" s="288" t="str">
        <f t="shared" si="1"/>
        <v/>
      </c>
      <c r="BP28" s="288" t="str">
        <f t="shared" si="2"/>
        <v/>
      </c>
      <c r="BQ28" s="288" t="str">
        <f t="shared" si="3"/>
        <v/>
      </c>
      <c r="BR28" s="288" t="str">
        <f t="shared" si="4"/>
        <v/>
      </c>
      <c r="BS28" s="288" t="str">
        <f t="shared" si="5"/>
        <v/>
      </c>
      <c r="BT28" s="288" t="str">
        <f t="shared" si="6"/>
        <v/>
      </c>
      <c r="BU28" s="288" t="str">
        <f t="shared" si="7"/>
        <v/>
      </c>
      <c r="BV28" s="288" t="str">
        <f t="shared" si="8"/>
        <v/>
      </c>
      <c r="BW28" s="288" t="str">
        <f t="shared" si="9"/>
        <v/>
      </c>
      <c r="BX28" s="288" t="str">
        <f t="shared" si="10"/>
        <v/>
      </c>
      <c r="BY28" s="288" t="str">
        <f t="shared" si="11"/>
        <v/>
      </c>
      <c r="BZ28" s="289"/>
    </row>
    <row r="29" spans="1:78" ht="15.95" customHeight="1">
      <c r="A29" s="276">
        <f>IF('Statement of Marks'!A32="","",'Statement of Marks'!A32)</f>
        <v>26</v>
      </c>
      <c r="B29" s="277">
        <f>IF('Statement of Marks'!B32="","",'Statement of Marks'!B32)</f>
        <v>926</v>
      </c>
      <c r="C29" s="278" t="str">
        <f>IF('Statement of Marks'!D32="","",'Statement of Marks'!D32)</f>
        <v/>
      </c>
      <c r="D29" s="314" t="str">
        <f>IF('Statement of Marks'!E32="","",'Statement of Marks'!E32)</f>
        <v/>
      </c>
      <c r="E29" s="279" t="str">
        <f>IF('Statement of Marks'!F32="","",'Statement of Marks'!F32)</f>
        <v>DIZA</v>
      </c>
      <c r="F29" s="279" t="str">
        <f>IF('Statement of Marks'!G32="","",'Statement of Marks'!G32)</f>
        <v/>
      </c>
      <c r="G29" s="279" t="str">
        <f>IF('Statement of Marks'!H32="","",'Statement of Marks'!H32)</f>
        <v/>
      </c>
      <c r="H29" s="280" t="str">
        <f>IF('Statement of Marks'!I32="","",'Statement of Marks'!I32)</f>
        <v/>
      </c>
      <c r="I29" s="280" t="str">
        <f>IF('Statement of Marks'!J32="","",'Statement of Marks'!J32)</f>
        <v/>
      </c>
      <c r="J29" s="827" t="str">
        <f>IF('Statement of Marks'!HS32="","",'Statement of Marks'!HS32)</f>
        <v>PASS</v>
      </c>
      <c r="K29" s="281">
        <f>IF('Statement of Marks'!HT32="","",'Statement of Marks'!HT32)</f>
        <v>759</v>
      </c>
      <c r="L29" s="828">
        <f>IF('Statement of Marks'!HW32="","",'Statement of Marks'!HW32)</f>
        <v>63.25</v>
      </c>
      <c r="M29" s="281" t="str">
        <f>IF('Statement of Marks'!HV32="","",'Statement of Marks'!HV32)</f>
        <v>1st</v>
      </c>
      <c r="N29" s="829">
        <f>IF('Statement of Marks'!HX32="","",'Statement of Marks'!HX32)</f>
        <v>7.9999999999999289</v>
      </c>
      <c r="O29" s="282" t="str">
        <f>IF(J29="FAIL","",IF('Statement of Marks'!HO32="","",'Statement of Marks'!HO32))</f>
        <v xml:space="preserve">      </v>
      </c>
      <c r="P29" s="283" t="str">
        <f>IF('Supp. Result Entry'!AQ30="","",'Supp. Result Entry'!AQ30)</f>
        <v/>
      </c>
      <c r="Q29" s="284" t="str">
        <f>IF('Supp. Result Entry'!AR30="","",'Supp. Result Entry'!AR30)</f>
        <v/>
      </c>
      <c r="R29" s="285" t="str">
        <f>IF('Statement of Marks'!IA32="","",'Statement of Marks'!IA32)</f>
        <v/>
      </c>
      <c r="S29" s="286" t="str">
        <f>IF('Statement of Marks'!GL32="","",'Statement of Marks'!GL32)</f>
        <v/>
      </c>
      <c r="BM29" s="287" t="str">
        <f>'Statement of Marks'!F32</f>
        <v>DIZA</v>
      </c>
      <c r="BN29" s="288" t="str">
        <f t="shared" si="0"/>
        <v/>
      </c>
      <c r="BO29" s="288" t="str">
        <f t="shared" si="1"/>
        <v/>
      </c>
      <c r="BP29" s="288" t="str">
        <f t="shared" si="2"/>
        <v/>
      </c>
      <c r="BQ29" s="288" t="str">
        <f t="shared" si="3"/>
        <v/>
      </c>
      <c r="BR29" s="288" t="str">
        <f t="shared" si="4"/>
        <v/>
      </c>
      <c r="BS29" s="288" t="str">
        <f t="shared" si="5"/>
        <v/>
      </c>
      <c r="BT29" s="288" t="str">
        <f t="shared" si="6"/>
        <v/>
      </c>
      <c r="BU29" s="288" t="str">
        <f t="shared" si="7"/>
        <v/>
      </c>
      <c r="BV29" s="288" t="str">
        <f t="shared" si="8"/>
        <v/>
      </c>
      <c r="BW29" s="288" t="str">
        <f t="shared" si="9"/>
        <v/>
      </c>
      <c r="BX29" s="288" t="str">
        <f t="shared" si="10"/>
        <v/>
      </c>
      <c r="BY29" s="288" t="str">
        <f t="shared" si="11"/>
        <v/>
      </c>
      <c r="BZ29" s="289"/>
    </row>
    <row r="30" spans="1:78" ht="15.95" customHeight="1">
      <c r="A30" s="276">
        <f>IF('Statement of Marks'!A33="","",'Statement of Marks'!A33)</f>
        <v>27</v>
      </c>
      <c r="B30" s="277">
        <f>IF('Statement of Marks'!B33="","",'Statement of Marks'!B33)</f>
        <v>927</v>
      </c>
      <c r="C30" s="278" t="str">
        <f>IF('Statement of Marks'!D33="","",'Statement of Marks'!D33)</f>
        <v/>
      </c>
      <c r="D30" s="314" t="str">
        <f>IF('Statement of Marks'!E33="","",'Statement of Marks'!E33)</f>
        <v/>
      </c>
      <c r="E30" s="279" t="str">
        <f>IF('Statement of Marks'!F33="","",'Statement of Marks'!F33)</f>
        <v>BIPASA</v>
      </c>
      <c r="F30" s="279" t="str">
        <f>IF('Statement of Marks'!G33="","",'Statement of Marks'!G33)</f>
        <v/>
      </c>
      <c r="G30" s="279" t="str">
        <f>IF('Statement of Marks'!H33="","",'Statement of Marks'!H33)</f>
        <v/>
      </c>
      <c r="H30" s="280" t="str">
        <f>IF('Statement of Marks'!I33="","",'Statement of Marks'!I33)</f>
        <v/>
      </c>
      <c r="I30" s="280" t="str">
        <f>IF('Statement of Marks'!J33="","",'Statement of Marks'!J33)</f>
        <v/>
      </c>
      <c r="J30" s="827" t="str">
        <f>IF('Statement of Marks'!HS33="","",'Statement of Marks'!HS33)</f>
        <v>PASS</v>
      </c>
      <c r="K30" s="281">
        <f>IF('Statement of Marks'!HT33="","",'Statement of Marks'!HT33)</f>
        <v>739</v>
      </c>
      <c r="L30" s="828">
        <f>IF('Statement of Marks'!HW33="","",'Statement of Marks'!HW33)</f>
        <v>61.583333333333336</v>
      </c>
      <c r="M30" s="281" t="str">
        <f>IF('Statement of Marks'!HV33="","",'Statement of Marks'!HV33)</f>
        <v>1st</v>
      </c>
      <c r="N30" s="829">
        <f>IF('Statement of Marks'!HX33="","",'Statement of Marks'!HX33)</f>
        <v>9.0000000000000799</v>
      </c>
      <c r="O30" s="282" t="str">
        <f>IF(J30="FAIL","",IF('Statement of Marks'!HO33="","",'Statement of Marks'!HO33))</f>
        <v xml:space="preserve">      </v>
      </c>
      <c r="P30" s="283" t="str">
        <f>IF('Supp. Result Entry'!AQ31="","",'Supp. Result Entry'!AQ31)</f>
        <v/>
      </c>
      <c r="Q30" s="284" t="str">
        <f>IF('Supp. Result Entry'!AR31="","",'Supp. Result Entry'!AR31)</f>
        <v/>
      </c>
      <c r="R30" s="285" t="str">
        <f>IF('Statement of Marks'!IA33="","",'Statement of Marks'!IA33)</f>
        <v/>
      </c>
      <c r="S30" s="286" t="str">
        <f>IF('Statement of Marks'!GL33="","",'Statement of Marks'!GL33)</f>
        <v/>
      </c>
      <c r="BM30" s="287" t="str">
        <f>'Statement of Marks'!F33</f>
        <v>BIPASA</v>
      </c>
      <c r="BN30" s="288" t="str">
        <f t="shared" si="0"/>
        <v/>
      </c>
      <c r="BO30" s="288" t="str">
        <f t="shared" si="1"/>
        <v/>
      </c>
      <c r="BP30" s="288" t="str">
        <f t="shared" si="2"/>
        <v/>
      </c>
      <c r="BQ30" s="288" t="str">
        <f t="shared" si="3"/>
        <v/>
      </c>
      <c r="BR30" s="288" t="str">
        <f t="shared" si="4"/>
        <v/>
      </c>
      <c r="BS30" s="288" t="str">
        <f t="shared" si="5"/>
        <v/>
      </c>
      <c r="BT30" s="288" t="str">
        <f t="shared" si="6"/>
        <v/>
      </c>
      <c r="BU30" s="288" t="str">
        <f t="shared" si="7"/>
        <v/>
      </c>
      <c r="BV30" s="288" t="str">
        <f t="shared" si="8"/>
        <v/>
      </c>
      <c r="BW30" s="288" t="str">
        <f t="shared" si="9"/>
        <v/>
      </c>
      <c r="BX30" s="288" t="str">
        <f t="shared" si="10"/>
        <v/>
      </c>
      <c r="BY30" s="288" t="str">
        <f t="shared" si="11"/>
        <v/>
      </c>
      <c r="BZ30" s="289"/>
    </row>
    <row r="31" spans="1:78" ht="15.95" customHeight="1">
      <c r="A31" s="276">
        <f>IF('Statement of Marks'!A34="","",'Statement of Marks'!A34)</f>
        <v>28</v>
      </c>
      <c r="B31" s="277">
        <f>IF('Statement of Marks'!B34="","",'Statement of Marks'!B34)</f>
        <v>928</v>
      </c>
      <c r="C31" s="278" t="str">
        <f>IF('Statement of Marks'!D34="","",'Statement of Marks'!D34)</f>
        <v/>
      </c>
      <c r="D31" s="314" t="str">
        <f>IF('Statement of Marks'!E34="","",'Statement of Marks'!E34)</f>
        <v/>
      </c>
      <c r="E31" s="279" t="str">
        <f>IF('Statement of Marks'!F34="","",'Statement of Marks'!F34)</f>
        <v>DIMPLE</v>
      </c>
      <c r="F31" s="279" t="str">
        <f>IF('Statement of Marks'!G34="","",'Statement of Marks'!G34)</f>
        <v/>
      </c>
      <c r="G31" s="279" t="str">
        <f>IF('Statement of Marks'!H34="","",'Statement of Marks'!H34)</f>
        <v/>
      </c>
      <c r="H31" s="280" t="str">
        <f>IF('Statement of Marks'!I34="","",'Statement of Marks'!I34)</f>
        <v/>
      </c>
      <c r="I31" s="280" t="str">
        <f>IF('Statement of Marks'!J34="","",'Statement of Marks'!J34)</f>
        <v/>
      </c>
      <c r="J31" s="827" t="str">
        <f>IF('Statement of Marks'!HS34="","",'Statement of Marks'!HS34)</f>
        <v>PASS</v>
      </c>
      <c r="K31" s="281">
        <f>IF('Statement of Marks'!HT34="","",'Statement of Marks'!HT34)</f>
        <v>738</v>
      </c>
      <c r="L31" s="828">
        <f>IF('Statement of Marks'!HW34="","",'Statement of Marks'!HW34)</f>
        <v>61.5</v>
      </c>
      <c r="M31" s="281" t="str">
        <f>IF('Statement of Marks'!HV34="","",'Statement of Marks'!HV34)</f>
        <v>1st</v>
      </c>
      <c r="N31" s="829">
        <f>IF('Statement of Marks'!HX34="","",'Statement of Marks'!HX34)</f>
        <v>10.00000000000008</v>
      </c>
      <c r="O31" s="282" t="str">
        <f>IF(J31="FAIL","",IF('Statement of Marks'!HO34="","",'Statement of Marks'!HO34))</f>
        <v xml:space="preserve">      </v>
      </c>
      <c r="P31" s="283" t="str">
        <f>IF('Supp. Result Entry'!AQ32="","",'Supp. Result Entry'!AQ32)</f>
        <v/>
      </c>
      <c r="Q31" s="284" t="str">
        <f>IF('Supp. Result Entry'!AR32="","",'Supp. Result Entry'!AR32)</f>
        <v/>
      </c>
      <c r="R31" s="285" t="str">
        <f>IF('Statement of Marks'!IA34="","",'Statement of Marks'!IA34)</f>
        <v/>
      </c>
      <c r="S31" s="286" t="str">
        <f>IF('Statement of Marks'!GL34="","",'Statement of Marks'!GL34)</f>
        <v/>
      </c>
      <c r="BM31" s="287" t="str">
        <f>'Statement of Marks'!F34</f>
        <v>DIMPLE</v>
      </c>
      <c r="BN31" s="288" t="str">
        <f t="shared" si="0"/>
        <v/>
      </c>
      <c r="BO31" s="288" t="str">
        <f t="shared" si="1"/>
        <v/>
      </c>
      <c r="BP31" s="288" t="str">
        <f t="shared" si="2"/>
        <v/>
      </c>
      <c r="BQ31" s="288" t="str">
        <f t="shared" si="3"/>
        <v/>
      </c>
      <c r="BR31" s="288" t="str">
        <f t="shared" si="4"/>
        <v/>
      </c>
      <c r="BS31" s="288" t="str">
        <f t="shared" si="5"/>
        <v/>
      </c>
      <c r="BT31" s="288" t="str">
        <f t="shared" si="6"/>
        <v/>
      </c>
      <c r="BU31" s="288" t="str">
        <f t="shared" si="7"/>
        <v/>
      </c>
      <c r="BV31" s="288" t="str">
        <f t="shared" si="8"/>
        <v/>
      </c>
      <c r="BW31" s="288" t="str">
        <f t="shared" si="9"/>
        <v/>
      </c>
      <c r="BX31" s="288" t="str">
        <f t="shared" si="10"/>
        <v/>
      </c>
      <c r="BY31" s="288" t="str">
        <f t="shared" si="11"/>
        <v/>
      </c>
      <c r="BZ31" s="289"/>
    </row>
    <row r="32" spans="1:78" ht="15.95" customHeight="1">
      <c r="A32" s="276">
        <f>IF('Statement of Marks'!A35="","",'Statement of Marks'!A35)</f>
        <v>29</v>
      </c>
      <c r="B32" s="277">
        <f>IF('Statement of Marks'!B35="","",'Statement of Marks'!B35)</f>
        <v>929</v>
      </c>
      <c r="C32" s="278" t="str">
        <f>IF('Statement of Marks'!D35="","",'Statement of Marks'!D35)</f>
        <v/>
      </c>
      <c r="D32" s="314" t="str">
        <f>IF('Statement of Marks'!E35="","",'Statement of Marks'!E35)</f>
        <v/>
      </c>
      <c r="E32" s="279" t="str">
        <f>IF('Statement of Marks'!F35="","",'Statement of Marks'!F35)</f>
        <v>DIPIKA</v>
      </c>
      <c r="F32" s="279" t="str">
        <f>IF('Statement of Marks'!G35="","",'Statement of Marks'!G35)</f>
        <v/>
      </c>
      <c r="G32" s="279" t="str">
        <f>IF('Statement of Marks'!H35="","",'Statement of Marks'!H35)</f>
        <v/>
      </c>
      <c r="H32" s="280" t="str">
        <f>IF('Statement of Marks'!I35="","",'Statement of Marks'!I35)</f>
        <v/>
      </c>
      <c r="I32" s="280" t="str">
        <f>IF('Statement of Marks'!J35="","",'Statement of Marks'!J35)</f>
        <v/>
      </c>
      <c r="J32" s="827" t="str">
        <f>IF('Statement of Marks'!HS35="","",'Statement of Marks'!HS35)</f>
        <v>PASS</v>
      </c>
      <c r="K32" s="281">
        <f>IF('Statement of Marks'!HT35="","",'Statement of Marks'!HT35)</f>
        <v>738</v>
      </c>
      <c r="L32" s="828">
        <f>IF('Statement of Marks'!HW35="","",'Statement of Marks'!HW35)</f>
        <v>61.5</v>
      </c>
      <c r="M32" s="281" t="str">
        <f>IF('Statement of Marks'!HV35="","",'Statement of Marks'!HV35)</f>
        <v>1st</v>
      </c>
      <c r="N32" s="829">
        <f>IF('Statement of Marks'!HX35="","",'Statement of Marks'!HX35)</f>
        <v>10.00000000000008</v>
      </c>
      <c r="O32" s="282" t="str">
        <f>IF(J32="FAIL","",IF('Statement of Marks'!HO35="","",'Statement of Marks'!HO35))</f>
        <v xml:space="preserve">      </v>
      </c>
      <c r="P32" s="283" t="str">
        <f>IF('Supp. Result Entry'!AQ33="","",'Supp. Result Entry'!AQ33)</f>
        <v/>
      </c>
      <c r="Q32" s="284" t="str">
        <f>IF('Supp. Result Entry'!AR33="","",'Supp. Result Entry'!AR33)</f>
        <v/>
      </c>
      <c r="R32" s="285" t="str">
        <f>IF('Statement of Marks'!IA35="","",'Statement of Marks'!IA35)</f>
        <v/>
      </c>
      <c r="S32" s="286" t="str">
        <f>IF('Statement of Marks'!GL35="","",'Statement of Marks'!GL35)</f>
        <v/>
      </c>
      <c r="BM32" s="287" t="str">
        <f>'Statement of Marks'!F35</f>
        <v>DIPIKA</v>
      </c>
      <c r="BN32" s="288" t="str">
        <f t="shared" si="0"/>
        <v/>
      </c>
      <c r="BO32" s="288" t="str">
        <f t="shared" si="1"/>
        <v/>
      </c>
      <c r="BP32" s="288" t="str">
        <f t="shared" si="2"/>
        <v/>
      </c>
      <c r="BQ32" s="288" t="str">
        <f t="shared" si="3"/>
        <v/>
      </c>
      <c r="BR32" s="288" t="str">
        <f t="shared" si="4"/>
        <v/>
      </c>
      <c r="BS32" s="288" t="str">
        <f t="shared" si="5"/>
        <v/>
      </c>
      <c r="BT32" s="288" t="str">
        <f t="shared" si="6"/>
        <v/>
      </c>
      <c r="BU32" s="288" t="str">
        <f t="shared" si="7"/>
        <v/>
      </c>
      <c r="BV32" s="288" t="str">
        <f t="shared" si="8"/>
        <v/>
      </c>
      <c r="BW32" s="288" t="str">
        <f t="shared" si="9"/>
        <v/>
      </c>
      <c r="BX32" s="288" t="str">
        <f t="shared" si="10"/>
        <v/>
      </c>
      <c r="BY32" s="288" t="str">
        <f t="shared" si="11"/>
        <v/>
      </c>
      <c r="BZ32" s="289"/>
    </row>
    <row r="33" spans="1:78" ht="15.95" customHeight="1">
      <c r="A33" s="276">
        <f>IF('Statement of Marks'!A36="","",'Statement of Marks'!A36)</f>
        <v>30</v>
      </c>
      <c r="B33" s="277">
        <f>IF('Statement of Marks'!B36="","",'Statement of Marks'!B36)</f>
        <v>930</v>
      </c>
      <c r="C33" s="278" t="str">
        <f>IF('Statement of Marks'!D36="","",'Statement of Marks'!D36)</f>
        <v/>
      </c>
      <c r="D33" s="314" t="str">
        <f>IF('Statement of Marks'!E36="","",'Statement of Marks'!E36)</f>
        <v/>
      </c>
      <c r="E33" s="279" t="str">
        <f>IF('Statement of Marks'!F36="","",'Statement of Marks'!F36)</f>
        <v>DEVENDRA</v>
      </c>
      <c r="F33" s="279" t="str">
        <f>IF('Statement of Marks'!G36="","",'Statement of Marks'!G36)</f>
        <v/>
      </c>
      <c r="G33" s="279" t="str">
        <f>IF('Statement of Marks'!H36="","",'Statement of Marks'!H36)</f>
        <v/>
      </c>
      <c r="H33" s="280" t="str">
        <f>IF('Statement of Marks'!I36="","",'Statement of Marks'!I36)</f>
        <v/>
      </c>
      <c r="I33" s="280" t="str">
        <f>IF('Statement of Marks'!J36="","",'Statement of Marks'!J36)</f>
        <v/>
      </c>
      <c r="J33" s="827" t="str">
        <f>IF('Statement of Marks'!HS36="","",'Statement of Marks'!HS36)</f>
        <v>PASS</v>
      </c>
      <c r="K33" s="281">
        <f>IF('Statement of Marks'!HT36="","",'Statement of Marks'!HT36)</f>
        <v>738</v>
      </c>
      <c r="L33" s="828">
        <f>IF('Statement of Marks'!HW36="","",'Statement of Marks'!HW36)</f>
        <v>61.5</v>
      </c>
      <c r="M33" s="281" t="str">
        <f>IF('Statement of Marks'!HV36="","",'Statement of Marks'!HV36)</f>
        <v>1st</v>
      </c>
      <c r="N33" s="829">
        <f>IF('Statement of Marks'!HX36="","",'Statement of Marks'!HX36)</f>
        <v>10.00000000000008</v>
      </c>
      <c r="O33" s="282" t="str">
        <f>IF(J33="FAIL","",IF('Statement of Marks'!HO36="","",'Statement of Marks'!HO36))</f>
        <v xml:space="preserve">      </v>
      </c>
      <c r="P33" s="283" t="str">
        <f>IF('Supp. Result Entry'!AQ34="","",'Supp. Result Entry'!AQ34)</f>
        <v/>
      </c>
      <c r="Q33" s="284" t="str">
        <f>IF('Supp. Result Entry'!AR34="","",'Supp. Result Entry'!AR34)</f>
        <v/>
      </c>
      <c r="R33" s="285" t="str">
        <f>IF('Statement of Marks'!IA36="","",'Statement of Marks'!IA36)</f>
        <v/>
      </c>
      <c r="S33" s="286" t="str">
        <f>IF('Statement of Marks'!GL36="","",'Statement of Marks'!GL36)</f>
        <v/>
      </c>
      <c r="BM33" s="287" t="str">
        <f>'Statement of Marks'!F36</f>
        <v>DEVENDRA</v>
      </c>
      <c r="BN33" s="288" t="str">
        <f t="shared" si="0"/>
        <v/>
      </c>
      <c r="BO33" s="288" t="str">
        <f t="shared" si="1"/>
        <v/>
      </c>
      <c r="BP33" s="288" t="str">
        <f t="shared" si="2"/>
        <v/>
      </c>
      <c r="BQ33" s="288" t="str">
        <f t="shared" si="3"/>
        <v/>
      </c>
      <c r="BR33" s="288" t="str">
        <f t="shared" si="4"/>
        <v/>
      </c>
      <c r="BS33" s="288" t="str">
        <f t="shared" si="5"/>
        <v/>
      </c>
      <c r="BT33" s="288" t="str">
        <f t="shared" si="6"/>
        <v/>
      </c>
      <c r="BU33" s="288" t="str">
        <f t="shared" si="7"/>
        <v/>
      </c>
      <c r="BV33" s="288" t="str">
        <f t="shared" si="8"/>
        <v/>
      </c>
      <c r="BW33" s="288" t="str">
        <f t="shared" si="9"/>
        <v/>
      </c>
      <c r="BX33" s="288" t="str">
        <f t="shared" si="10"/>
        <v/>
      </c>
      <c r="BY33" s="288" t="str">
        <f t="shared" si="11"/>
        <v/>
      </c>
      <c r="BZ33" s="289"/>
    </row>
    <row r="34" spans="1:78" ht="15.95" customHeight="1">
      <c r="A34" s="276">
        <f>IF('Statement of Marks'!A37="","",'Statement of Marks'!A37)</f>
        <v>31</v>
      </c>
      <c r="B34" s="277">
        <f>IF('Statement of Marks'!B37="","",'Statement of Marks'!B37)</f>
        <v>931</v>
      </c>
      <c r="C34" s="278" t="str">
        <f>IF('Statement of Marks'!D37="","",'Statement of Marks'!D37)</f>
        <v/>
      </c>
      <c r="D34" s="314" t="str">
        <f>IF('Statement of Marks'!E37="","",'Statement of Marks'!E37)</f>
        <v/>
      </c>
      <c r="E34" s="279" t="str">
        <f>IF('Statement of Marks'!F37="","",'Statement of Marks'!F37)</f>
        <v>RAVINDRA</v>
      </c>
      <c r="F34" s="279" t="str">
        <f>IF('Statement of Marks'!G37="","",'Statement of Marks'!G37)</f>
        <v/>
      </c>
      <c r="G34" s="279" t="str">
        <f>IF('Statement of Marks'!H37="","",'Statement of Marks'!H37)</f>
        <v/>
      </c>
      <c r="H34" s="280" t="str">
        <f>IF('Statement of Marks'!I37="","",'Statement of Marks'!I37)</f>
        <v/>
      </c>
      <c r="I34" s="280" t="str">
        <f>IF('Statement of Marks'!J37="","",'Statement of Marks'!J37)</f>
        <v/>
      </c>
      <c r="J34" s="827" t="str">
        <f>IF('Statement of Marks'!HS37="","",'Statement of Marks'!HS37)</f>
        <v>PASS</v>
      </c>
      <c r="K34" s="281">
        <f>IF('Statement of Marks'!HT37="","",'Statement of Marks'!HT37)</f>
        <v>739</v>
      </c>
      <c r="L34" s="828">
        <f>IF('Statement of Marks'!HW37="","",'Statement of Marks'!HW37)</f>
        <v>61.583333333333336</v>
      </c>
      <c r="M34" s="281" t="str">
        <f>IF('Statement of Marks'!HV37="","",'Statement of Marks'!HV37)</f>
        <v>1st</v>
      </c>
      <c r="N34" s="829">
        <f>IF('Statement of Marks'!HX37="","",'Statement of Marks'!HX37)</f>
        <v>9.0000000000000799</v>
      </c>
      <c r="O34" s="282" t="str">
        <f>IF(J34="FAIL","",IF('Statement of Marks'!HO37="","",'Statement of Marks'!HO37))</f>
        <v xml:space="preserve">      </v>
      </c>
      <c r="P34" s="283" t="str">
        <f>IF('Supp. Result Entry'!AQ35="","",'Supp. Result Entry'!AQ35)</f>
        <v/>
      </c>
      <c r="Q34" s="284" t="str">
        <f>IF('Supp. Result Entry'!AR35="","",'Supp. Result Entry'!AR35)</f>
        <v/>
      </c>
      <c r="R34" s="285" t="str">
        <f>IF('Statement of Marks'!IA37="","",'Statement of Marks'!IA37)</f>
        <v/>
      </c>
      <c r="S34" s="286" t="str">
        <f>IF('Statement of Marks'!GL37="","",'Statement of Marks'!GL37)</f>
        <v/>
      </c>
      <c r="BM34" s="287" t="str">
        <f>'Statement of Marks'!F37</f>
        <v>RAVINDRA</v>
      </c>
      <c r="BN34" s="288" t="str">
        <f t="shared" si="0"/>
        <v/>
      </c>
      <c r="BO34" s="288" t="str">
        <f t="shared" si="1"/>
        <v/>
      </c>
      <c r="BP34" s="288" t="str">
        <f t="shared" si="2"/>
        <v/>
      </c>
      <c r="BQ34" s="288" t="str">
        <f t="shared" si="3"/>
        <v/>
      </c>
      <c r="BR34" s="288" t="str">
        <f t="shared" si="4"/>
        <v/>
      </c>
      <c r="BS34" s="288" t="str">
        <f t="shared" si="5"/>
        <v/>
      </c>
      <c r="BT34" s="288" t="str">
        <f t="shared" si="6"/>
        <v/>
      </c>
      <c r="BU34" s="288" t="str">
        <f t="shared" si="7"/>
        <v/>
      </c>
      <c r="BV34" s="288" t="str">
        <f t="shared" si="8"/>
        <v/>
      </c>
      <c r="BW34" s="288" t="str">
        <f t="shared" si="9"/>
        <v/>
      </c>
      <c r="BX34" s="288" t="str">
        <f t="shared" si="10"/>
        <v/>
      </c>
      <c r="BY34" s="288" t="str">
        <f t="shared" si="11"/>
        <v/>
      </c>
      <c r="BZ34" s="289"/>
    </row>
    <row r="35" spans="1:78" ht="15.95" customHeight="1">
      <c r="A35" s="276">
        <f>IF('Statement of Marks'!A38="","",'Statement of Marks'!A38)</f>
        <v>32</v>
      </c>
      <c r="B35" s="277" t="str">
        <f>IF('Statement of Marks'!B38="","",'Statement of Marks'!B38)</f>
        <v/>
      </c>
      <c r="C35" s="278" t="str">
        <f>IF('Statement of Marks'!D38="","",'Statement of Marks'!D38)</f>
        <v/>
      </c>
      <c r="D35" s="314" t="str">
        <f>IF('Statement of Marks'!E38="","",'Statement of Marks'!E38)</f>
        <v/>
      </c>
      <c r="E35" s="279" t="str">
        <f>IF('Statement of Marks'!F38="","",'Statement of Marks'!F38)</f>
        <v/>
      </c>
      <c r="F35" s="279" t="str">
        <f>IF('Statement of Marks'!G38="","",'Statement of Marks'!G38)</f>
        <v/>
      </c>
      <c r="G35" s="279" t="str">
        <f>IF('Statement of Marks'!H38="","",'Statement of Marks'!H38)</f>
        <v/>
      </c>
      <c r="H35" s="280" t="str">
        <f>IF('Statement of Marks'!I38="","",'Statement of Marks'!I38)</f>
        <v/>
      </c>
      <c r="I35" s="280" t="str">
        <f>IF('Statement of Marks'!J38="","",'Statement of Marks'!J38)</f>
        <v/>
      </c>
      <c r="J35" s="827" t="str">
        <f>IF('Statement of Marks'!HS38="","",'Statement of Marks'!HS38)</f>
        <v/>
      </c>
      <c r="K35" s="281" t="str">
        <f>IF('Statement of Marks'!HT38="","",'Statement of Marks'!HT38)</f>
        <v/>
      </c>
      <c r="L35" s="828" t="str">
        <f>IF('Statement of Marks'!HW38="","",'Statement of Marks'!HW38)</f>
        <v/>
      </c>
      <c r="M35" s="281" t="str">
        <f>IF('Statement of Marks'!HV38="","",'Statement of Marks'!HV38)</f>
        <v/>
      </c>
      <c r="N35" s="829" t="str">
        <f>IF('Statement of Marks'!HX38="","",'Statement of Marks'!HX38)</f>
        <v/>
      </c>
      <c r="O35" s="282" t="str">
        <f>IF(J35="FAIL","",IF('Statement of Marks'!HO38="","",'Statement of Marks'!HO38))</f>
        <v xml:space="preserve">      </v>
      </c>
      <c r="P35" s="283" t="str">
        <f>IF('Supp. Result Entry'!AQ36="","",'Supp. Result Entry'!AQ36)</f>
        <v/>
      </c>
      <c r="Q35" s="284" t="str">
        <f>IF('Supp. Result Entry'!AR36="","",'Supp. Result Entry'!AR36)</f>
        <v/>
      </c>
      <c r="R35" s="285" t="str">
        <f>IF('Statement of Marks'!IA38="","",'Statement of Marks'!IA38)</f>
        <v/>
      </c>
      <c r="S35" s="286" t="str">
        <f>IF('Statement of Marks'!GL38="","",'Statement of Marks'!GL38)</f>
        <v/>
      </c>
      <c r="BM35" s="287" t="str">
        <f>'Statement of Marks'!F38</f>
        <v/>
      </c>
      <c r="BN35" s="288" t="str">
        <f t="shared" si="0"/>
        <v/>
      </c>
      <c r="BO35" s="288" t="str">
        <f t="shared" si="1"/>
        <v/>
      </c>
      <c r="BP35" s="288" t="str">
        <f t="shared" si="2"/>
        <v/>
      </c>
      <c r="BQ35" s="288" t="str">
        <f t="shared" si="3"/>
        <v/>
      </c>
      <c r="BR35" s="288" t="str">
        <f t="shared" si="4"/>
        <v/>
      </c>
      <c r="BS35" s="288" t="str">
        <f t="shared" si="5"/>
        <v/>
      </c>
      <c r="BT35" s="288" t="str">
        <f t="shared" si="6"/>
        <v/>
      </c>
      <c r="BU35" s="288" t="str">
        <f t="shared" si="7"/>
        <v/>
      </c>
      <c r="BV35" s="288" t="str">
        <f t="shared" si="8"/>
        <v/>
      </c>
      <c r="BW35" s="288" t="str">
        <f t="shared" si="9"/>
        <v/>
      </c>
      <c r="BX35" s="288" t="str">
        <f t="shared" si="10"/>
        <v/>
      </c>
      <c r="BY35" s="288" t="str">
        <f t="shared" si="11"/>
        <v/>
      </c>
      <c r="BZ35" s="289"/>
    </row>
    <row r="36" spans="1:78" ht="15.95" customHeight="1">
      <c r="A36" s="276">
        <f>IF('Statement of Marks'!A39="","",'Statement of Marks'!A39)</f>
        <v>33</v>
      </c>
      <c r="B36" s="277" t="str">
        <f>IF('Statement of Marks'!B39="","",'Statement of Marks'!B39)</f>
        <v/>
      </c>
      <c r="C36" s="278" t="str">
        <f>IF('Statement of Marks'!D39="","",'Statement of Marks'!D39)</f>
        <v/>
      </c>
      <c r="D36" s="314" t="str">
        <f>IF('Statement of Marks'!E39="","",'Statement of Marks'!E39)</f>
        <v/>
      </c>
      <c r="E36" s="279" t="str">
        <f>IF('Statement of Marks'!F39="","",'Statement of Marks'!F39)</f>
        <v/>
      </c>
      <c r="F36" s="279" t="str">
        <f>IF('Statement of Marks'!G39="","",'Statement of Marks'!G39)</f>
        <v/>
      </c>
      <c r="G36" s="279" t="str">
        <f>IF('Statement of Marks'!H39="","",'Statement of Marks'!H39)</f>
        <v/>
      </c>
      <c r="H36" s="280" t="str">
        <f>IF('Statement of Marks'!I39="","",'Statement of Marks'!I39)</f>
        <v/>
      </c>
      <c r="I36" s="280" t="str">
        <f>IF('Statement of Marks'!J39="","",'Statement of Marks'!J39)</f>
        <v/>
      </c>
      <c r="J36" s="827" t="str">
        <f>IF('Statement of Marks'!HS39="","",'Statement of Marks'!HS39)</f>
        <v/>
      </c>
      <c r="K36" s="281" t="str">
        <f>IF('Statement of Marks'!HT39="","",'Statement of Marks'!HT39)</f>
        <v/>
      </c>
      <c r="L36" s="828" t="str">
        <f>IF('Statement of Marks'!HW39="","",'Statement of Marks'!HW39)</f>
        <v/>
      </c>
      <c r="M36" s="281" t="str">
        <f>IF('Statement of Marks'!HV39="","",'Statement of Marks'!HV39)</f>
        <v/>
      </c>
      <c r="N36" s="829" t="str">
        <f>IF('Statement of Marks'!HX39="","",'Statement of Marks'!HX39)</f>
        <v/>
      </c>
      <c r="O36" s="282" t="str">
        <f>IF(J36="FAIL","",IF('Statement of Marks'!HO39="","",'Statement of Marks'!HO39))</f>
        <v xml:space="preserve">      </v>
      </c>
      <c r="P36" s="283" t="str">
        <f>IF('Supp. Result Entry'!AQ37="","",'Supp. Result Entry'!AQ37)</f>
        <v/>
      </c>
      <c r="Q36" s="284" t="str">
        <f>IF('Supp. Result Entry'!AR37="","",'Supp. Result Entry'!AR37)</f>
        <v/>
      </c>
      <c r="R36" s="285" t="str">
        <f>IF('Statement of Marks'!IA39="","",'Statement of Marks'!IA39)</f>
        <v/>
      </c>
      <c r="S36" s="286" t="str">
        <f>IF('Statement of Marks'!GL39="","",'Statement of Marks'!GL39)</f>
        <v/>
      </c>
      <c r="BM36" s="287" t="str">
        <f>'Statement of Marks'!F39</f>
        <v/>
      </c>
      <c r="BN36" s="288" t="str">
        <f t="shared" si="0"/>
        <v/>
      </c>
      <c r="BO36" s="288" t="str">
        <f t="shared" si="1"/>
        <v/>
      </c>
      <c r="BP36" s="288" t="str">
        <f t="shared" si="2"/>
        <v/>
      </c>
      <c r="BQ36" s="288" t="str">
        <f t="shared" si="3"/>
        <v/>
      </c>
      <c r="BR36" s="288" t="str">
        <f t="shared" si="4"/>
        <v/>
      </c>
      <c r="BS36" s="288" t="str">
        <f t="shared" si="5"/>
        <v/>
      </c>
      <c r="BT36" s="288" t="str">
        <f t="shared" si="6"/>
        <v/>
      </c>
      <c r="BU36" s="288" t="str">
        <f t="shared" si="7"/>
        <v/>
      </c>
      <c r="BV36" s="288" t="str">
        <f t="shared" si="8"/>
        <v/>
      </c>
      <c r="BW36" s="288" t="str">
        <f t="shared" si="9"/>
        <v/>
      </c>
      <c r="BX36" s="288" t="str">
        <f t="shared" si="10"/>
        <v/>
      </c>
      <c r="BY36" s="288" t="str">
        <f t="shared" si="11"/>
        <v/>
      </c>
      <c r="BZ36" s="289"/>
    </row>
    <row r="37" spans="1:78" ht="15.95" customHeight="1">
      <c r="A37" s="276">
        <f>IF('Statement of Marks'!A40="","",'Statement of Marks'!A40)</f>
        <v>34</v>
      </c>
      <c r="B37" s="277" t="str">
        <f>IF('Statement of Marks'!B40="","",'Statement of Marks'!B40)</f>
        <v/>
      </c>
      <c r="C37" s="278" t="str">
        <f>IF('Statement of Marks'!D40="","",'Statement of Marks'!D40)</f>
        <v/>
      </c>
      <c r="D37" s="314" t="str">
        <f>IF('Statement of Marks'!E40="","",'Statement of Marks'!E40)</f>
        <v/>
      </c>
      <c r="E37" s="279" t="str">
        <f>IF('Statement of Marks'!F40="","",'Statement of Marks'!F40)</f>
        <v/>
      </c>
      <c r="F37" s="279" t="str">
        <f>IF('Statement of Marks'!G40="","",'Statement of Marks'!G40)</f>
        <v/>
      </c>
      <c r="G37" s="279" t="str">
        <f>IF('Statement of Marks'!H40="","",'Statement of Marks'!H40)</f>
        <v/>
      </c>
      <c r="H37" s="280" t="str">
        <f>IF('Statement of Marks'!I40="","",'Statement of Marks'!I40)</f>
        <v/>
      </c>
      <c r="I37" s="280" t="str">
        <f>IF('Statement of Marks'!J40="","",'Statement of Marks'!J40)</f>
        <v/>
      </c>
      <c r="J37" s="827" t="str">
        <f>IF('Statement of Marks'!HS40="","",'Statement of Marks'!HS40)</f>
        <v/>
      </c>
      <c r="K37" s="281" t="str">
        <f>IF('Statement of Marks'!HT40="","",'Statement of Marks'!HT40)</f>
        <v/>
      </c>
      <c r="L37" s="828" t="str">
        <f>IF('Statement of Marks'!HW40="","",'Statement of Marks'!HW40)</f>
        <v/>
      </c>
      <c r="M37" s="281" t="str">
        <f>IF('Statement of Marks'!HV40="","",'Statement of Marks'!HV40)</f>
        <v/>
      </c>
      <c r="N37" s="829" t="str">
        <f>IF('Statement of Marks'!HX40="","",'Statement of Marks'!HX40)</f>
        <v/>
      </c>
      <c r="O37" s="282" t="str">
        <f>IF(J37="FAIL","",IF('Statement of Marks'!HO40="","",'Statement of Marks'!HO40))</f>
        <v xml:space="preserve">      </v>
      </c>
      <c r="P37" s="283" t="str">
        <f>IF('Supp. Result Entry'!AQ38="","",'Supp. Result Entry'!AQ38)</f>
        <v/>
      </c>
      <c r="Q37" s="284" t="str">
        <f>IF('Supp. Result Entry'!AR38="","",'Supp. Result Entry'!AR38)</f>
        <v/>
      </c>
      <c r="R37" s="285" t="str">
        <f>IF('Statement of Marks'!IA40="","",'Statement of Marks'!IA40)</f>
        <v/>
      </c>
      <c r="S37" s="286" t="str">
        <f>IF('Statement of Marks'!GL40="","",'Statement of Marks'!GL40)</f>
        <v/>
      </c>
      <c r="BM37" s="287" t="str">
        <f>'Statement of Marks'!F40</f>
        <v/>
      </c>
      <c r="BN37" s="288" t="str">
        <f t="shared" si="0"/>
        <v/>
      </c>
      <c r="BO37" s="288" t="str">
        <f t="shared" si="1"/>
        <v/>
      </c>
      <c r="BP37" s="288" t="str">
        <f t="shared" si="2"/>
        <v/>
      </c>
      <c r="BQ37" s="288" t="str">
        <f t="shared" si="3"/>
        <v/>
      </c>
      <c r="BR37" s="288" t="str">
        <f t="shared" si="4"/>
        <v/>
      </c>
      <c r="BS37" s="288" t="str">
        <f t="shared" si="5"/>
        <v/>
      </c>
      <c r="BT37" s="288" t="str">
        <f t="shared" si="6"/>
        <v/>
      </c>
      <c r="BU37" s="288" t="str">
        <f t="shared" si="7"/>
        <v/>
      </c>
      <c r="BV37" s="288" t="str">
        <f t="shared" si="8"/>
        <v/>
      </c>
      <c r="BW37" s="288" t="str">
        <f t="shared" si="9"/>
        <v/>
      </c>
      <c r="BX37" s="288" t="str">
        <f t="shared" si="10"/>
        <v/>
      </c>
      <c r="BY37" s="288" t="str">
        <f t="shared" si="11"/>
        <v/>
      </c>
      <c r="BZ37" s="289"/>
    </row>
    <row r="38" spans="1:78" ht="15.95" customHeight="1">
      <c r="A38" s="276">
        <f>IF('Statement of Marks'!A41="","",'Statement of Marks'!A41)</f>
        <v>35</v>
      </c>
      <c r="B38" s="277" t="str">
        <f>IF('Statement of Marks'!B41="","",'Statement of Marks'!B41)</f>
        <v/>
      </c>
      <c r="C38" s="278" t="str">
        <f>IF('Statement of Marks'!D41="","",'Statement of Marks'!D41)</f>
        <v/>
      </c>
      <c r="D38" s="314" t="str">
        <f>IF('Statement of Marks'!E41="","",'Statement of Marks'!E41)</f>
        <v/>
      </c>
      <c r="E38" s="279" t="str">
        <f>IF('Statement of Marks'!F41="","",'Statement of Marks'!F41)</f>
        <v/>
      </c>
      <c r="F38" s="279" t="str">
        <f>IF('Statement of Marks'!G41="","",'Statement of Marks'!G41)</f>
        <v/>
      </c>
      <c r="G38" s="279" t="str">
        <f>IF('Statement of Marks'!H41="","",'Statement of Marks'!H41)</f>
        <v/>
      </c>
      <c r="H38" s="280" t="str">
        <f>IF('Statement of Marks'!I41="","",'Statement of Marks'!I41)</f>
        <v/>
      </c>
      <c r="I38" s="280" t="str">
        <f>IF('Statement of Marks'!J41="","",'Statement of Marks'!J41)</f>
        <v/>
      </c>
      <c r="J38" s="827" t="str">
        <f>IF('Statement of Marks'!HS41="","",'Statement of Marks'!HS41)</f>
        <v/>
      </c>
      <c r="K38" s="281" t="str">
        <f>IF('Statement of Marks'!HT41="","",'Statement of Marks'!HT41)</f>
        <v/>
      </c>
      <c r="L38" s="828" t="str">
        <f>IF('Statement of Marks'!HW41="","",'Statement of Marks'!HW41)</f>
        <v/>
      </c>
      <c r="M38" s="281" t="str">
        <f>IF('Statement of Marks'!HV41="","",'Statement of Marks'!HV41)</f>
        <v/>
      </c>
      <c r="N38" s="829" t="str">
        <f>IF('Statement of Marks'!HX41="","",'Statement of Marks'!HX41)</f>
        <v/>
      </c>
      <c r="O38" s="282" t="str">
        <f>IF(J38="FAIL","",IF('Statement of Marks'!HO41="","",'Statement of Marks'!HO41))</f>
        <v xml:space="preserve">      </v>
      </c>
      <c r="P38" s="283" t="str">
        <f>IF('Supp. Result Entry'!AQ39="","",'Supp. Result Entry'!AQ39)</f>
        <v/>
      </c>
      <c r="Q38" s="284" t="str">
        <f>IF('Supp. Result Entry'!AR39="","",'Supp. Result Entry'!AR39)</f>
        <v/>
      </c>
      <c r="R38" s="285" t="str">
        <f>IF('Statement of Marks'!IA41="","",'Statement of Marks'!IA41)</f>
        <v/>
      </c>
      <c r="S38" s="286" t="str">
        <f>IF('Statement of Marks'!GL41="","",'Statement of Marks'!GL41)</f>
        <v/>
      </c>
      <c r="BM38" s="287" t="str">
        <f>'Statement of Marks'!F41</f>
        <v/>
      </c>
      <c r="BN38" s="288" t="str">
        <f t="shared" si="0"/>
        <v/>
      </c>
      <c r="BO38" s="288" t="str">
        <f t="shared" si="1"/>
        <v/>
      </c>
      <c r="BP38" s="288" t="str">
        <f t="shared" si="2"/>
        <v/>
      </c>
      <c r="BQ38" s="288" t="str">
        <f t="shared" si="3"/>
        <v/>
      </c>
      <c r="BR38" s="288" t="str">
        <f t="shared" si="4"/>
        <v/>
      </c>
      <c r="BS38" s="288" t="str">
        <f t="shared" si="5"/>
        <v/>
      </c>
      <c r="BT38" s="288" t="str">
        <f t="shared" si="6"/>
        <v/>
      </c>
      <c r="BU38" s="288" t="str">
        <f t="shared" si="7"/>
        <v/>
      </c>
      <c r="BV38" s="288" t="str">
        <f t="shared" si="8"/>
        <v/>
      </c>
      <c r="BW38" s="288" t="str">
        <f t="shared" si="9"/>
        <v/>
      </c>
      <c r="BX38" s="288" t="str">
        <f t="shared" si="10"/>
        <v/>
      </c>
      <c r="BY38" s="288" t="str">
        <f t="shared" si="11"/>
        <v/>
      </c>
      <c r="BZ38" s="289"/>
    </row>
    <row r="39" spans="1:78" ht="15.95" customHeight="1">
      <c r="A39" s="276">
        <f>IF('Statement of Marks'!A42="","",'Statement of Marks'!A42)</f>
        <v>36</v>
      </c>
      <c r="B39" s="277" t="str">
        <f>IF('Statement of Marks'!B42="","",'Statement of Marks'!B42)</f>
        <v/>
      </c>
      <c r="C39" s="278" t="str">
        <f>IF('Statement of Marks'!D42="","",'Statement of Marks'!D42)</f>
        <v/>
      </c>
      <c r="D39" s="314" t="str">
        <f>IF('Statement of Marks'!E42="","",'Statement of Marks'!E42)</f>
        <v/>
      </c>
      <c r="E39" s="279" t="str">
        <f>IF('Statement of Marks'!F42="","",'Statement of Marks'!F42)</f>
        <v/>
      </c>
      <c r="F39" s="279" t="str">
        <f>IF('Statement of Marks'!G42="","",'Statement of Marks'!G42)</f>
        <v/>
      </c>
      <c r="G39" s="279" t="str">
        <f>IF('Statement of Marks'!H42="","",'Statement of Marks'!H42)</f>
        <v/>
      </c>
      <c r="H39" s="280" t="str">
        <f>IF('Statement of Marks'!I42="","",'Statement of Marks'!I42)</f>
        <v/>
      </c>
      <c r="I39" s="280" t="str">
        <f>IF('Statement of Marks'!J42="","",'Statement of Marks'!J42)</f>
        <v/>
      </c>
      <c r="J39" s="827" t="str">
        <f>IF('Statement of Marks'!HS42="","",'Statement of Marks'!HS42)</f>
        <v/>
      </c>
      <c r="K39" s="281" t="str">
        <f>IF('Statement of Marks'!HT42="","",'Statement of Marks'!HT42)</f>
        <v/>
      </c>
      <c r="L39" s="828" t="str">
        <f>IF('Statement of Marks'!HW42="","",'Statement of Marks'!HW42)</f>
        <v/>
      </c>
      <c r="M39" s="281" t="str">
        <f>IF('Statement of Marks'!HV42="","",'Statement of Marks'!HV42)</f>
        <v/>
      </c>
      <c r="N39" s="829" t="str">
        <f>IF('Statement of Marks'!HX42="","",'Statement of Marks'!HX42)</f>
        <v/>
      </c>
      <c r="O39" s="282" t="str">
        <f>IF(J39="FAIL","",IF('Statement of Marks'!HO42="","",'Statement of Marks'!HO42))</f>
        <v xml:space="preserve">      </v>
      </c>
      <c r="P39" s="283" t="str">
        <f>IF('Supp. Result Entry'!AQ40="","",'Supp. Result Entry'!AQ40)</f>
        <v/>
      </c>
      <c r="Q39" s="284" t="str">
        <f>IF('Supp. Result Entry'!AR40="","",'Supp. Result Entry'!AR40)</f>
        <v/>
      </c>
      <c r="R39" s="285" t="str">
        <f>IF('Statement of Marks'!IA42="","",'Statement of Marks'!IA42)</f>
        <v/>
      </c>
      <c r="S39" s="286" t="str">
        <f>IF('Statement of Marks'!GL42="","",'Statement of Marks'!GL42)</f>
        <v/>
      </c>
      <c r="BM39" s="287" t="str">
        <f>'Statement of Marks'!F42</f>
        <v/>
      </c>
      <c r="BN39" s="288" t="str">
        <f t="shared" si="0"/>
        <v/>
      </c>
      <c r="BO39" s="288" t="str">
        <f t="shared" si="1"/>
        <v/>
      </c>
      <c r="BP39" s="288" t="str">
        <f t="shared" si="2"/>
        <v/>
      </c>
      <c r="BQ39" s="288" t="str">
        <f t="shared" si="3"/>
        <v/>
      </c>
      <c r="BR39" s="288" t="str">
        <f t="shared" si="4"/>
        <v/>
      </c>
      <c r="BS39" s="288" t="str">
        <f t="shared" si="5"/>
        <v/>
      </c>
      <c r="BT39" s="288" t="str">
        <f t="shared" si="6"/>
        <v/>
      </c>
      <c r="BU39" s="288" t="str">
        <f t="shared" si="7"/>
        <v/>
      </c>
      <c r="BV39" s="288" t="str">
        <f t="shared" si="8"/>
        <v/>
      </c>
      <c r="BW39" s="288" t="str">
        <f t="shared" si="9"/>
        <v/>
      </c>
      <c r="BX39" s="288" t="str">
        <f t="shared" si="10"/>
        <v/>
      </c>
      <c r="BY39" s="288" t="str">
        <f t="shared" si="11"/>
        <v/>
      </c>
      <c r="BZ39" s="289"/>
    </row>
    <row r="40" spans="1:78" ht="15.95" customHeight="1">
      <c r="A40" s="276">
        <f>IF('Statement of Marks'!A43="","",'Statement of Marks'!A43)</f>
        <v>37</v>
      </c>
      <c r="B40" s="277" t="str">
        <f>IF('Statement of Marks'!B43="","",'Statement of Marks'!B43)</f>
        <v/>
      </c>
      <c r="C40" s="278" t="str">
        <f>IF('Statement of Marks'!D43="","",'Statement of Marks'!D43)</f>
        <v/>
      </c>
      <c r="D40" s="314" t="str">
        <f>IF('Statement of Marks'!E43="","",'Statement of Marks'!E43)</f>
        <v/>
      </c>
      <c r="E40" s="279" t="str">
        <f>IF('Statement of Marks'!F43="","",'Statement of Marks'!F43)</f>
        <v/>
      </c>
      <c r="F40" s="279" t="str">
        <f>IF('Statement of Marks'!G43="","",'Statement of Marks'!G43)</f>
        <v/>
      </c>
      <c r="G40" s="279" t="str">
        <f>IF('Statement of Marks'!H43="","",'Statement of Marks'!H43)</f>
        <v/>
      </c>
      <c r="H40" s="280" t="str">
        <f>IF('Statement of Marks'!I43="","",'Statement of Marks'!I43)</f>
        <v/>
      </c>
      <c r="I40" s="280" t="str">
        <f>IF('Statement of Marks'!J43="","",'Statement of Marks'!J43)</f>
        <v/>
      </c>
      <c r="J40" s="826" t="str">
        <f>IF('Statement of Marks'!HS43="","",'Statement of Marks'!HS43)</f>
        <v/>
      </c>
      <c r="K40" s="281" t="str">
        <f>IF('Statement of Marks'!HT43="","",'Statement of Marks'!HT43)</f>
        <v/>
      </c>
      <c r="L40" s="828" t="str">
        <f>IF('Statement of Marks'!HW43="","",'Statement of Marks'!HW43)</f>
        <v/>
      </c>
      <c r="M40" s="281" t="str">
        <f>IF('Statement of Marks'!HV43="","",'Statement of Marks'!HV43)</f>
        <v/>
      </c>
      <c r="N40" s="829" t="str">
        <f>IF('Statement of Marks'!HX43="","",'Statement of Marks'!HX43)</f>
        <v/>
      </c>
      <c r="O40" s="282" t="str">
        <f>IF(J40="FAIL","",IF('Statement of Marks'!HO43="","",'Statement of Marks'!HO43))</f>
        <v xml:space="preserve">      </v>
      </c>
      <c r="P40" s="283" t="str">
        <f>IF('Supp. Result Entry'!AQ41="","",'Supp. Result Entry'!AQ41)</f>
        <v/>
      </c>
      <c r="Q40" s="284" t="str">
        <f>IF('Supp. Result Entry'!AR41="","",'Supp. Result Entry'!AR41)</f>
        <v/>
      </c>
      <c r="R40" s="285" t="str">
        <f>IF('Statement of Marks'!IA43="","",'Statement of Marks'!IA43)</f>
        <v/>
      </c>
      <c r="S40" s="286" t="str">
        <f>IF('Statement of Marks'!GL43="","",'Statement of Marks'!GL43)</f>
        <v/>
      </c>
      <c r="BM40" s="287" t="str">
        <f>'Statement of Marks'!F43</f>
        <v/>
      </c>
      <c r="BN40" s="288" t="str">
        <f t="shared" si="0"/>
        <v/>
      </c>
      <c r="BO40" s="288" t="str">
        <f t="shared" si="1"/>
        <v/>
      </c>
      <c r="BP40" s="288" t="str">
        <f t="shared" si="2"/>
        <v/>
      </c>
      <c r="BQ40" s="288" t="str">
        <f t="shared" si="3"/>
        <v/>
      </c>
      <c r="BR40" s="288" t="str">
        <f t="shared" si="4"/>
        <v/>
      </c>
      <c r="BS40" s="288" t="str">
        <f t="shared" si="5"/>
        <v/>
      </c>
      <c r="BT40" s="288" t="str">
        <f t="shared" si="6"/>
        <v/>
      </c>
      <c r="BU40" s="288" t="str">
        <f t="shared" si="7"/>
        <v/>
      </c>
      <c r="BV40" s="288" t="str">
        <f t="shared" si="8"/>
        <v/>
      </c>
      <c r="BW40" s="288" t="str">
        <f t="shared" si="9"/>
        <v/>
      </c>
      <c r="BX40" s="288" t="str">
        <f t="shared" si="10"/>
        <v/>
      </c>
      <c r="BY40" s="288" t="str">
        <f t="shared" si="11"/>
        <v/>
      </c>
      <c r="BZ40" s="289"/>
    </row>
    <row r="41" spans="1:78" ht="15.95" customHeight="1">
      <c r="A41" s="276">
        <f>IF('Statement of Marks'!A44="","",'Statement of Marks'!A44)</f>
        <v>38</v>
      </c>
      <c r="B41" s="277" t="str">
        <f>IF('Statement of Marks'!B44="","",'Statement of Marks'!B44)</f>
        <v/>
      </c>
      <c r="C41" s="278" t="str">
        <f>IF('Statement of Marks'!D44="","",'Statement of Marks'!D44)</f>
        <v/>
      </c>
      <c r="D41" s="314" t="str">
        <f>IF('Statement of Marks'!E44="","",'Statement of Marks'!E44)</f>
        <v/>
      </c>
      <c r="E41" s="279" t="str">
        <f>IF('Statement of Marks'!F44="","",'Statement of Marks'!F44)</f>
        <v/>
      </c>
      <c r="F41" s="279" t="str">
        <f>IF('Statement of Marks'!G44="","",'Statement of Marks'!G44)</f>
        <v/>
      </c>
      <c r="G41" s="279" t="str">
        <f>IF('Statement of Marks'!H44="","",'Statement of Marks'!H44)</f>
        <v/>
      </c>
      <c r="H41" s="280" t="str">
        <f>IF('Statement of Marks'!I44="","",'Statement of Marks'!I44)</f>
        <v/>
      </c>
      <c r="I41" s="280" t="str">
        <f>IF('Statement of Marks'!J44="","",'Statement of Marks'!J44)</f>
        <v/>
      </c>
      <c r="J41" s="827" t="str">
        <f>IF('Statement of Marks'!HS44="","",'Statement of Marks'!HS44)</f>
        <v/>
      </c>
      <c r="K41" s="281" t="str">
        <f>IF('Statement of Marks'!HT44="","",'Statement of Marks'!HT44)</f>
        <v/>
      </c>
      <c r="L41" s="828" t="str">
        <f>IF('Statement of Marks'!HW44="","",'Statement of Marks'!HW44)</f>
        <v/>
      </c>
      <c r="M41" s="281" t="str">
        <f>IF('Statement of Marks'!HV44="","",'Statement of Marks'!HV44)</f>
        <v/>
      </c>
      <c r="N41" s="829" t="str">
        <f>IF('Statement of Marks'!HX44="","",'Statement of Marks'!HX44)</f>
        <v/>
      </c>
      <c r="O41" s="282" t="str">
        <f>IF(J41="FAIL","",IF('Statement of Marks'!HO44="","",'Statement of Marks'!HO44))</f>
        <v xml:space="preserve">      </v>
      </c>
      <c r="P41" s="283" t="str">
        <f>IF('Supp. Result Entry'!AQ42="","",'Supp. Result Entry'!AQ42)</f>
        <v/>
      </c>
      <c r="Q41" s="284" t="str">
        <f>IF('Supp. Result Entry'!AR42="","",'Supp. Result Entry'!AR42)</f>
        <v/>
      </c>
      <c r="R41" s="285" t="str">
        <f>IF('Statement of Marks'!IA44="","",'Statement of Marks'!IA44)</f>
        <v/>
      </c>
      <c r="S41" s="286" t="str">
        <f>IF('Statement of Marks'!GL44="","",'Statement of Marks'!GL44)</f>
        <v/>
      </c>
      <c r="BM41" s="287" t="str">
        <f>'Statement of Marks'!F44</f>
        <v/>
      </c>
      <c r="BN41" s="288" t="str">
        <f t="shared" si="0"/>
        <v/>
      </c>
      <c r="BO41" s="288" t="str">
        <f t="shared" si="1"/>
        <v/>
      </c>
      <c r="BP41" s="288" t="str">
        <f t="shared" si="2"/>
        <v/>
      </c>
      <c r="BQ41" s="288" t="str">
        <f t="shared" si="3"/>
        <v/>
      </c>
      <c r="BR41" s="288" t="str">
        <f t="shared" si="4"/>
        <v/>
      </c>
      <c r="BS41" s="288" t="str">
        <f t="shared" si="5"/>
        <v/>
      </c>
      <c r="BT41" s="288" t="str">
        <f t="shared" si="6"/>
        <v/>
      </c>
      <c r="BU41" s="288" t="str">
        <f t="shared" si="7"/>
        <v/>
      </c>
      <c r="BV41" s="288" t="str">
        <f t="shared" si="8"/>
        <v/>
      </c>
      <c r="BW41" s="288" t="str">
        <f t="shared" si="9"/>
        <v/>
      </c>
      <c r="BX41" s="288" t="str">
        <f t="shared" si="10"/>
        <v/>
      </c>
      <c r="BY41" s="288" t="str">
        <f t="shared" si="11"/>
        <v/>
      </c>
      <c r="BZ41" s="289"/>
    </row>
    <row r="42" spans="1:78" ht="15.95" customHeight="1">
      <c r="A42" s="276">
        <f>IF('Statement of Marks'!A45="","",'Statement of Marks'!A45)</f>
        <v>39</v>
      </c>
      <c r="B42" s="277" t="str">
        <f>IF('Statement of Marks'!B45="","",'Statement of Marks'!B45)</f>
        <v/>
      </c>
      <c r="C42" s="278" t="str">
        <f>IF('Statement of Marks'!D45="","",'Statement of Marks'!D45)</f>
        <v/>
      </c>
      <c r="D42" s="314" t="str">
        <f>IF('Statement of Marks'!E45="","",'Statement of Marks'!E45)</f>
        <v/>
      </c>
      <c r="E42" s="279" t="str">
        <f>IF('Statement of Marks'!F45="","",'Statement of Marks'!F45)</f>
        <v/>
      </c>
      <c r="F42" s="279" t="str">
        <f>IF('Statement of Marks'!G45="","",'Statement of Marks'!G45)</f>
        <v/>
      </c>
      <c r="G42" s="279" t="str">
        <f>IF('Statement of Marks'!H45="","",'Statement of Marks'!H45)</f>
        <v/>
      </c>
      <c r="H42" s="280" t="str">
        <f>IF('Statement of Marks'!I45="","",'Statement of Marks'!I45)</f>
        <v/>
      </c>
      <c r="I42" s="280" t="str">
        <f>IF('Statement of Marks'!J45="","",'Statement of Marks'!J45)</f>
        <v/>
      </c>
      <c r="J42" s="827" t="str">
        <f>IF('Statement of Marks'!HS45="","",'Statement of Marks'!HS45)</f>
        <v/>
      </c>
      <c r="K42" s="281" t="str">
        <f>IF('Statement of Marks'!HT45="","",'Statement of Marks'!HT45)</f>
        <v/>
      </c>
      <c r="L42" s="828" t="str">
        <f>IF('Statement of Marks'!HW45="","",'Statement of Marks'!HW45)</f>
        <v/>
      </c>
      <c r="M42" s="281" t="str">
        <f>IF('Statement of Marks'!HV45="","",'Statement of Marks'!HV45)</f>
        <v/>
      </c>
      <c r="N42" s="829" t="str">
        <f>IF('Statement of Marks'!HX45="","",'Statement of Marks'!HX45)</f>
        <v/>
      </c>
      <c r="O42" s="282" t="str">
        <f>IF(J42="FAIL","",IF('Statement of Marks'!HO45="","",'Statement of Marks'!HO45))</f>
        <v xml:space="preserve">      </v>
      </c>
      <c r="P42" s="283" t="str">
        <f>IF('Supp. Result Entry'!AQ43="","",'Supp. Result Entry'!AQ43)</f>
        <v/>
      </c>
      <c r="Q42" s="284" t="str">
        <f>IF('Supp. Result Entry'!AR43="","",'Supp. Result Entry'!AR43)</f>
        <v/>
      </c>
      <c r="R42" s="285" t="str">
        <f>IF('Statement of Marks'!IA45="","",'Statement of Marks'!IA45)</f>
        <v/>
      </c>
      <c r="S42" s="286" t="str">
        <f>IF('Statement of Marks'!GL45="","",'Statement of Marks'!GL45)</f>
        <v/>
      </c>
      <c r="BM42" s="287" t="str">
        <f>'Statement of Marks'!F45</f>
        <v/>
      </c>
      <c r="BN42" s="288" t="str">
        <f t="shared" si="0"/>
        <v/>
      </c>
      <c r="BO42" s="288" t="str">
        <f t="shared" si="1"/>
        <v/>
      </c>
      <c r="BP42" s="288" t="str">
        <f t="shared" si="2"/>
        <v/>
      </c>
      <c r="BQ42" s="288" t="str">
        <f t="shared" si="3"/>
        <v/>
      </c>
      <c r="BR42" s="288" t="str">
        <f t="shared" si="4"/>
        <v/>
      </c>
      <c r="BS42" s="288" t="str">
        <f t="shared" si="5"/>
        <v/>
      </c>
      <c r="BT42" s="288" t="str">
        <f t="shared" si="6"/>
        <v/>
      </c>
      <c r="BU42" s="288" t="str">
        <f t="shared" si="7"/>
        <v/>
      </c>
      <c r="BV42" s="288" t="str">
        <f t="shared" si="8"/>
        <v/>
      </c>
      <c r="BW42" s="288" t="str">
        <f t="shared" si="9"/>
        <v/>
      </c>
      <c r="BX42" s="288" t="str">
        <f t="shared" si="10"/>
        <v/>
      </c>
      <c r="BY42" s="288" t="str">
        <f t="shared" si="11"/>
        <v/>
      </c>
      <c r="BZ42" s="289"/>
    </row>
    <row r="43" spans="1:78" ht="15.95" customHeight="1">
      <c r="A43" s="276">
        <f>IF('Statement of Marks'!A46="","",'Statement of Marks'!A46)</f>
        <v>40</v>
      </c>
      <c r="B43" s="277" t="str">
        <f>IF('Statement of Marks'!B46="","",'Statement of Marks'!B46)</f>
        <v/>
      </c>
      <c r="C43" s="278" t="str">
        <f>IF('Statement of Marks'!D46="","",'Statement of Marks'!D46)</f>
        <v/>
      </c>
      <c r="D43" s="314" t="str">
        <f>IF('Statement of Marks'!E46="","",'Statement of Marks'!E46)</f>
        <v/>
      </c>
      <c r="E43" s="279" t="str">
        <f>IF('Statement of Marks'!F46="","",'Statement of Marks'!F46)</f>
        <v/>
      </c>
      <c r="F43" s="279" t="str">
        <f>IF('Statement of Marks'!G46="","",'Statement of Marks'!G46)</f>
        <v/>
      </c>
      <c r="G43" s="279" t="str">
        <f>IF('Statement of Marks'!H46="","",'Statement of Marks'!H46)</f>
        <v/>
      </c>
      <c r="H43" s="280" t="str">
        <f>IF('Statement of Marks'!I46="","",'Statement of Marks'!I46)</f>
        <v/>
      </c>
      <c r="I43" s="280" t="str">
        <f>IF('Statement of Marks'!J46="","",'Statement of Marks'!J46)</f>
        <v/>
      </c>
      <c r="J43" s="827" t="str">
        <f>IF('Statement of Marks'!HS46="","",'Statement of Marks'!HS46)</f>
        <v/>
      </c>
      <c r="K43" s="281" t="str">
        <f>IF('Statement of Marks'!HT46="","",'Statement of Marks'!HT46)</f>
        <v/>
      </c>
      <c r="L43" s="828" t="str">
        <f>IF('Statement of Marks'!HW46="","",'Statement of Marks'!HW46)</f>
        <v/>
      </c>
      <c r="M43" s="281" t="str">
        <f>IF('Statement of Marks'!HV46="","",'Statement of Marks'!HV46)</f>
        <v/>
      </c>
      <c r="N43" s="829" t="str">
        <f>IF('Statement of Marks'!HX46="","",'Statement of Marks'!HX46)</f>
        <v/>
      </c>
      <c r="O43" s="282" t="str">
        <f>IF(J43="FAIL","",IF('Statement of Marks'!HO46="","",'Statement of Marks'!HO46))</f>
        <v xml:space="preserve">      </v>
      </c>
      <c r="P43" s="283" t="str">
        <f>IF('Supp. Result Entry'!AQ44="","",'Supp. Result Entry'!AQ44)</f>
        <v/>
      </c>
      <c r="Q43" s="284" t="str">
        <f>IF('Supp. Result Entry'!AR44="","",'Supp. Result Entry'!AR44)</f>
        <v/>
      </c>
      <c r="R43" s="285" t="str">
        <f>IF('Statement of Marks'!IA46="","",'Statement of Marks'!IA46)</f>
        <v/>
      </c>
      <c r="S43" s="286" t="str">
        <f>IF('Statement of Marks'!GL46="","",'Statement of Marks'!GL46)</f>
        <v/>
      </c>
      <c r="BM43" s="287" t="str">
        <f>'Statement of Marks'!F46</f>
        <v/>
      </c>
      <c r="BN43" s="288" t="str">
        <f t="shared" si="0"/>
        <v/>
      </c>
      <c r="BO43" s="288" t="str">
        <f t="shared" si="1"/>
        <v/>
      </c>
      <c r="BP43" s="288" t="str">
        <f t="shared" si="2"/>
        <v/>
      </c>
      <c r="BQ43" s="288" t="str">
        <f t="shared" si="3"/>
        <v/>
      </c>
      <c r="BR43" s="288" t="str">
        <f t="shared" si="4"/>
        <v/>
      </c>
      <c r="BS43" s="288" t="str">
        <f t="shared" si="5"/>
        <v/>
      </c>
      <c r="BT43" s="288" t="str">
        <f t="shared" si="6"/>
        <v/>
      </c>
      <c r="BU43" s="288" t="str">
        <f t="shared" si="7"/>
        <v/>
      </c>
      <c r="BV43" s="288" t="str">
        <f t="shared" si="8"/>
        <v/>
      </c>
      <c r="BW43" s="288" t="str">
        <f t="shared" si="9"/>
        <v/>
      </c>
      <c r="BX43" s="288" t="str">
        <f t="shared" si="10"/>
        <v/>
      </c>
      <c r="BY43" s="288" t="str">
        <f t="shared" si="11"/>
        <v/>
      </c>
      <c r="BZ43" s="289"/>
    </row>
    <row r="44" spans="1:78" ht="15.95" customHeight="1">
      <c r="A44" s="276">
        <f>IF('Statement of Marks'!A47="","",'Statement of Marks'!A47)</f>
        <v>41</v>
      </c>
      <c r="B44" s="277" t="str">
        <f>IF('Statement of Marks'!B47="","",'Statement of Marks'!B47)</f>
        <v/>
      </c>
      <c r="C44" s="278" t="str">
        <f>IF('Statement of Marks'!D47="","",'Statement of Marks'!D47)</f>
        <v/>
      </c>
      <c r="D44" s="314" t="str">
        <f>IF('Statement of Marks'!E47="","",'Statement of Marks'!E47)</f>
        <v/>
      </c>
      <c r="E44" s="279" t="str">
        <f>IF('Statement of Marks'!F47="","",'Statement of Marks'!F47)</f>
        <v/>
      </c>
      <c r="F44" s="279" t="str">
        <f>IF('Statement of Marks'!G47="","",'Statement of Marks'!G47)</f>
        <v/>
      </c>
      <c r="G44" s="279" t="str">
        <f>IF('Statement of Marks'!H47="","",'Statement of Marks'!H47)</f>
        <v/>
      </c>
      <c r="H44" s="280" t="str">
        <f>IF('Statement of Marks'!I47="","",'Statement of Marks'!I47)</f>
        <v/>
      </c>
      <c r="I44" s="280" t="str">
        <f>IF('Statement of Marks'!J47="","",'Statement of Marks'!J47)</f>
        <v/>
      </c>
      <c r="J44" s="827" t="str">
        <f>IF('Statement of Marks'!HS47="","",'Statement of Marks'!HS47)</f>
        <v/>
      </c>
      <c r="K44" s="281" t="str">
        <f>IF('Statement of Marks'!HT47="","",'Statement of Marks'!HT47)</f>
        <v/>
      </c>
      <c r="L44" s="828" t="str">
        <f>IF('Statement of Marks'!HW47="","",'Statement of Marks'!HW47)</f>
        <v/>
      </c>
      <c r="M44" s="281" t="str">
        <f>IF('Statement of Marks'!HV47="","",'Statement of Marks'!HV47)</f>
        <v/>
      </c>
      <c r="N44" s="829" t="str">
        <f>IF('Statement of Marks'!HX47="","",'Statement of Marks'!HX47)</f>
        <v/>
      </c>
      <c r="O44" s="282" t="str">
        <f>IF(J44="FAIL","",IF('Statement of Marks'!HO47="","",'Statement of Marks'!HO47))</f>
        <v xml:space="preserve">      </v>
      </c>
      <c r="P44" s="283" t="str">
        <f>IF('Supp. Result Entry'!AQ45="","",'Supp. Result Entry'!AQ45)</f>
        <v/>
      </c>
      <c r="Q44" s="284" t="str">
        <f>IF('Supp. Result Entry'!AR45="","",'Supp. Result Entry'!AR45)</f>
        <v/>
      </c>
      <c r="R44" s="285" t="str">
        <f>IF('Statement of Marks'!IA47="","",'Statement of Marks'!IA47)</f>
        <v/>
      </c>
      <c r="S44" s="286" t="str">
        <f>IF('Statement of Marks'!GL47="","",'Statement of Marks'!GL47)</f>
        <v/>
      </c>
      <c r="BM44" s="287" t="str">
        <f>'Statement of Marks'!F47</f>
        <v/>
      </c>
      <c r="BN44" s="288" t="str">
        <f t="shared" si="0"/>
        <v/>
      </c>
      <c r="BO44" s="288" t="str">
        <f t="shared" si="1"/>
        <v/>
      </c>
      <c r="BP44" s="288" t="str">
        <f t="shared" si="2"/>
        <v/>
      </c>
      <c r="BQ44" s="288" t="str">
        <f t="shared" si="3"/>
        <v/>
      </c>
      <c r="BR44" s="288" t="str">
        <f t="shared" si="4"/>
        <v/>
      </c>
      <c r="BS44" s="288" t="str">
        <f t="shared" si="5"/>
        <v/>
      </c>
      <c r="BT44" s="288" t="str">
        <f t="shared" si="6"/>
        <v/>
      </c>
      <c r="BU44" s="288" t="str">
        <f t="shared" si="7"/>
        <v/>
      </c>
      <c r="BV44" s="288" t="str">
        <f t="shared" si="8"/>
        <v/>
      </c>
      <c r="BW44" s="288" t="str">
        <f t="shared" si="9"/>
        <v/>
      </c>
      <c r="BX44" s="288" t="str">
        <f t="shared" si="10"/>
        <v/>
      </c>
      <c r="BY44" s="288" t="str">
        <f t="shared" si="11"/>
        <v/>
      </c>
      <c r="BZ44" s="289"/>
    </row>
    <row r="45" spans="1:78" ht="15.95" customHeight="1">
      <c r="A45" s="276">
        <f>IF('Statement of Marks'!A48="","",'Statement of Marks'!A48)</f>
        <v>42</v>
      </c>
      <c r="B45" s="277" t="str">
        <f>IF('Statement of Marks'!B48="","",'Statement of Marks'!B48)</f>
        <v/>
      </c>
      <c r="C45" s="278" t="str">
        <f>IF('Statement of Marks'!D48="","",'Statement of Marks'!D48)</f>
        <v/>
      </c>
      <c r="D45" s="314" t="str">
        <f>IF('Statement of Marks'!E48="","",'Statement of Marks'!E48)</f>
        <v/>
      </c>
      <c r="E45" s="279" t="str">
        <f>IF('Statement of Marks'!F48="","",'Statement of Marks'!F48)</f>
        <v/>
      </c>
      <c r="F45" s="279" t="str">
        <f>IF('Statement of Marks'!G48="","",'Statement of Marks'!G48)</f>
        <v/>
      </c>
      <c r="G45" s="279" t="str">
        <f>IF('Statement of Marks'!H48="","",'Statement of Marks'!H48)</f>
        <v/>
      </c>
      <c r="H45" s="280" t="str">
        <f>IF('Statement of Marks'!I48="","",'Statement of Marks'!I48)</f>
        <v/>
      </c>
      <c r="I45" s="280" t="str">
        <f>IF('Statement of Marks'!J48="","",'Statement of Marks'!J48)</f>
        <v/>
      </c>
      <c r="J45" s="827" t="str">
        <f>IF('Statement of Marks'!HS48="","",'Statement of Marks'!HS48)</f>
        <v/>
      </c>
      <c r="K45" s="281" t="str">
        <f>IF('Statement of Marks'!HT48="","",'Statement of Marks'!HT48)</f>
        <v/>
      </c>
      <c r="L45" s="828" t="str">
        <f>IF('Statement of Marks'!HW48="","",'Statement of Marks'!HW48)</f>
        <v/>
      </c>
      <c r="M45" s="281" t="str">
        <f>IF('Statement of Marks'!HV48="","",'Statement of Marks'!HV48)</f>
        <v/>
      </c>
      <c r="N45" s="829" t="str">
        <f>IF('Statement of Marks'!HX48="","",'Statement of Marks'!HX48)</f>
        <v/>
      </c>
      <c r="O45" s="282" t="str">
        <f>IF(J45="FAIL","",IF('Statement of Marks'!HO48="","",'Statement of Marks'!HO48))</f>
        <v xml:space="preserve">      </v>
      </c>
      <c r="P45" s="283" t="str">
        <f>IF('Supp. Result Entry'!AQ46="","",'Supp. Result Entry'!AQ46)</f>
        <v/>
      </c>
      <c r="Q45" s="284" t="str">
        <f>IF('Supp. Result Entry'!AR46="","",'Supp. Result Entry'!AR46)</f>
        <v/>
      </c>
      <c r="R45" s="285" t="str">
        <f>IF('Statement of Marks'!IA48="","",'Statement of Marks'!IA48)</f>
        <v/>
      </c>
      <c r="S45" s="286" t="str">
        <f>IF('Statement of Marks'!GL48="","",'Statement of Marks'!GL48)</f>
        <v/>
      </c>
      <c r="BM45" s="287" t="str">
        <f>'Statement of Marks'!F48</f>
        <v/>
      </c>
      <c r="BN45" s="288" t="str">
        <f t="shared" si="0"/>
        <v/>
      </c>
      <c r="BO45" s="288" t="str">
        <f t="shared" si="1"/>
        <v/>
      </c>
      <c r="BP45" s="288" t="str">
        <f t="shared" si="2"/>
        <v/>
      </c>
      <c r="BQ45" s="288" t="str">
        <f t="shared" si="3"/>
        <v/>
      </c>
      <c r="BR45" s="288" t="str">
        <f t="shared" si="4"/>
        <v/>
      </c>
      <c r="BS45" s="288" t="str">
        <f t="shared" si="5"/>
        <v/>
      </c>
      <c r="BT45" s="288" t="str">
        <f t="shared" si="6"/>
        <v/>
      </c>
      <c r="BU45" s="288" t="str">
        <f t="shared" si="7"/>
        <v/>
      </c>
      <c r="BV45" s="288" t="str">
        <f t="shared" si="8"/>
        <v/>
      </c>
      <c r="BW45" s="288" t="str">
        <f t="shared" si="9"/>
        <v/>
      </c>
      <c r="BX45" s="288" t="str">
        <f t="shared" si="10"/>
        <v/>
      </c>
      <c r="BY45" s="288" t="str">
        <f t="shared" si="11"/>
        <v/>
      </c>
      <c r="BZ45" s="289"/>
    </row>
    <row r="46" spans="1:78" ht="15.95" customHeight="1">
      <c r="A46" s="276">
        <f>IF('Statement of Marks'!A49="","",'Statement of Marks'!A49)</f>
        <v>43</v>
      </c>
      <c r="B46" s="277" t="str">
        <f>IF('Statement of Marks'!B49="","",'Statement of Marks'!B49)</f>
        <v/>
      </c>
      <c r="C46" s="278" t="str">
        <f>IF('Statement of Marks'!D49="","",'Statement of Marks'!D49)</f>
        <v/>
      </c>
      <c r="D46" s="314" t="str">
        <f>IF('Statement of Marks'!E49="","",'Statement of Marks'!E49)</f>
        <v/>
      </c>
      <c r="E46" s="279" t="str">
        <f>IF('Statement of Marks'!F49="","",'Statement of Marks'!F49)</f>
        <v/>
      </c>
      <c r="F46" s="279" t="str">
        <f>IF('Statement of Marks'!G49="","",'Statement of Marks'!G49)</f>
        <v/>
      </c>
      <c r="G46" s="279" t="str">
        <f>IF('Statement of Marks'!H49="","",'Statement of Marks'!H49)</f>
        <v/>
      </c>
      <c r="H46" s="280" t="str">
        <f>IF('Statement of Marks'!I49="","",'Statement of Marks'!I49)</f>
        <v/>
      </c>
      <c r="I46" s="280" t="str">
        <f>IF('Statement of Marks'!J49="","",'Statement of Marks'!J49)</f>
        <v/>
      </c>
      <c r="J46" s="827" t="str">
        <f>IF('Statement of Marks'!HS49="","",'Statement of Marks'!HS49)</f>
        <v/>
      </c>
      <c r="K46" s="281" t="str">
        <f>IF('Statement of Marks'!HT49="","",'Statement of Marks'!HT49)</f>
        <v/>
      </c>
      <c r="L46" s="828" t="str">
        <f>IF('Statement of Marks'!HW49="","",'Statement of Marks'!HW49)</f>
        <v/>
      </c>
      <c r="M46" s="281" t="str">
        <f>IF('Statement of Marks'!HV49="","",'Statement of Marks'!HV49)</f>
        <v/>
      </c>
      <c r="N46" s="829" t="str">
        <f>IF('Statement of Marks'!HX49="","",'Statement of Marks'!HX49)</f>
        <v/>
      </c>
      <c r="O46" s="282" t="str">
        <f>IF(J46="FAIL","",IF('Statement of Marks'!HO49="","",'Statement of Marks'!HO49))</f>
        <v xml:space="preserve">      </v>
      </c>
      <c r="P46" s="283" t="str">
        <f>IF('Supp. Result Entry'!AQ47="","",'Supp. Result Entry'!AQ47)</f>
        <v/>
      </c>
      <c r="Q46" s="284" t="str">
        <f>IF('Supp. Result Entry'!AR47="","",'Supp. Result Entry'!AR47)</f>
        <v/>
      </c>
      <c r="R46" s="285" t="str">
        <f>IF('Statement of Marks'!IA49="","",'Statement of Marks'!IA49)</f>
        <v/>
      </c>
      <c r="S46" s="286" t="str">
        <f>IF('Statement of Marks'!GL49="","",'Statement of Marks'!GL49)</f>
        <v/>
      </c>
      <c r="BM46" s="287" t="str">
        <f>'Statement of Marks'!F49</f>
        <v/>
      </c>
      <c r="BN46" s="288" t="str">
        <f t="shared" si="0"/>
        <v/>
      </c>
      <c r="BO46" s="288" t="str">
        <f t="shared" si="1"/>
        <v/>
      </c>
      <c r="BP46" s="288" t="str">
        <f t="shared" si="2"/>
        <v/>
      </c>
      <c r="BQ46" s="288" t="str">
        <f t="shared" si="3"/>
        <v/>
      </c>
      <c r="BR46" s="288" t="str">
        <f t="shared" si="4"/>
        <v/>
      </c>
      <c r="BS46" s="288" t="str">
        <f t="shared" si="5"/>
        <v/>
      </c>
      <c r="BT46" s="288" t="str">
        <f t="shared" si="6"/>
        <v/>
      </c>
      <c r="BU46" s="288" t="str">
        <f t="shared" si="7"/>
        <v/>
      </c>
      <c r="BV46" s="288" t="str">
        <f t="shared" si="8"/>
        <v/>
      </c>
      <c r="BW46" s="288" t="str">
        <f t="shared" si="9"/>
        <v/>
      </c>
      <c r="BX46" s="288" t="str">
        <f t="shared" si="10"/>
        <v/>
      </c>
      <c r="BY46" s="288" t="str">
        <f t="shared" si="11"/>
        <v/>
      </c>
      <c r="BZ46" s="289"/>
    </row>
    <row r="47" spans="1:78" ht="15.95" customHeight="1">
      <c r="A47" s="276">
        <f>IF('Statement of Marks'!A50="","",'Statement of Marks'!A50)</f>
        <v>44</v>
      </c>
      <c r="B47" s="277" t="str">
        <f>IF('Statement of Marks'!B50="","",'Statement of Marks'!B50)</f>
        <v/>
      </c>
      <c r="C47" s="278" t="str">
        <f>IF('Statement of Marks'!D50="","",'Statement of Marks'!D50)</f>
        <v/>
      </c>
      <c r="D47" s="314" t="str">
        <f>IF('Statement of Marks'!E50="","",'Statement of Marks'!E50)</f>
        <v/>
      </c>
      <c r="E47" s="279" t="str">
        <f>IF('Statement of Marks'!F50="","",'Statement of Marks'!F50)</f>
        <v/>
      </c>
      <c r="F47" s="279" t="str">
        <f>IF('Statement of Marks'!G50="","",'Statement of Marks'!G50)</f>
        <v/>
      </c>
      <c r="G47" s="279" t="str">
        <f>IF('Statement of Marks'!H50="","",'Statement of Marks'!H50)</f>
        <v/>
      </c>
      <c r="H47" s="280" t="str">
        <f>IF('Statement of Marks'!I50="","",'Statement of Marks'!I50)</f>
        <v/>
      </c>
      <c r="I47" s="280" t="str">
        <f>IF('Statement of Marks'!J50="","",'Statement of Marks'!J50)</f>
        <v/>
      </c>
      <c r="J47" s="827" t="str">
        <f>IF('Statement of Marks'!HS50="","",'Statement of Marks'!HS50)</f>
        <v/>
      </c>
      <c r="K47" s="281" t="str">
        <f>IF('Statement of Marks'!HT50="","",'Statement of Marks'!HT50)</f>
        <v/>
      </c>
      <c r="L47" s="828" t="str">
        <f>IF('Statement of Marks'!HW50="","",'Statement of Marks'!HW50)</f>
        <v/>
      </c>
      <c r="M47" s="281" t="str">
        <f>IF('Statement of Marks'!HV50="","",'Statement of Marks'!HV50)</f>
        <v/>
      </c>
      <c r="N47" s="829" t="str">
        <f>IF('Statement of Marks'!HX50="","",'Statement of Marks'!HX50)</f>
        <v/>
      </c>
      <c r="O47" s="282" t="str">
        <f>IF(J47="FAIL","",IF('Statement of Marks'!HO50="","",'Statement of Marks'!HO50))</f>
        <v xml:space="preserve">      </v>
      </c>
      <c r="P47" s="283" t="str">
        <f>IF('Supp. Result Entry'!AQ48="","",'Supp. Result Entry'!AQ48)</f>
        <v/>
      </c>
      <c r="Q47" s="284" t="str">
        <f>IF('Supp. Result Entry'!AR48="","",'Supp. Result Entry'!AR48)</f>
        <v/>
      </c>
      <c r="R47" s="285" t="str">
        <f>IF('Statement of Marks'!IA50="","",'Statement of Marks'!IA50)</f>
        <v/>
      </c>
      <c r="S47" s="286" t="str">
        <f>IF('Statement of Marks'!GL50="","",'Statement of Marks'!GL50)</f>
        <v/>
      </c>
      <c r="BM47" s="287" t="str">
        <f>'Statement of Marks'!F50</f>
        <v/>
      </c>
      <c r="BN47" s="288" t="str">
        <f t="shared" si="0"/>
        <v/>
      </c>
      <c r="BO47" s="288" t="str">
        <f t="shared" si="1"/>
        <v/>
      </c>
      <c r="BP47" s="288" t="str">
        <f t="shared" si="2"/>
        <v/>
      </c>
      <c r="BQ47" s="288" t="str">
        <f t="shared" si="3"/>
        <v/>
      </c>
      <c r="BR47" s="288" t="str">
        <f t="shared" si="4"/>
        <v/>
      </c>
      <c r="BS47" s="288" t="str">
        <f t="shared" si="5"/>
        <v/>
      </c>
      <c r="BT47" s="288" t="str">
        <f t="shared" si="6"/>
        <v/>
      </c>
      <c r="BU47" s="288" t="str">
        <f t="shared" si="7"/>
        <v/>
      </c>
      <c r="BV47" s="288" t="str">
        <f t="shared" si="8"/>
        <v/>
      </c>
      <c r="BW47" s="288" t="str">
        <f t="shared" si="9"/>
        <v/>
      </c>
      <c r="BX47" s="288" t="str">
        <f t="shared" si="10"/>
        <v/>
      </c>
      <c r="BY47" s="288" t="str">
        <f t="shared" si="11"/>
        <v/>
      </c>
      <c r="BZ47" s="289"/>
    </row>
    <row r="48" spans="1:78" ht="15.95" customHeight="1">
      <c r="A48" s="276">
        <f>IF('Statement of Marks'!A51="","",'Statement of Marks'!A51)</f>
        <v>45</v>
      </c>
      <c r="B48" s="277" t="str">
        <f>IF('Statement of Marks'!B51="","",'Statement of Marks'!B51)</f>
        <v/>
      </c>
      <c r="C48" s="278" t="str">
        <f>IF('Statement of Marks'!D51="","",'Statement of Marks'!D51)</f>
        <v/>
      </c>
      <c r="D48" s="314" t="str">
        <f>IF('Statement of Marks'!E51="","",'Statement of Marks'!E51)</f>
        <v/>
      </c>
      <c r="E48" s="279" t="str">
        <f>IF('Statement of Marks'!F51="","",'Statement of Marks'!F51)</f>
        <v/>
      </c>
      <c r="F48" s="279" t="str">
        <f>IF('Statement of Marks'!G51="","",'Statement of Marks'!G51)</f>
        <v/>
      </c>
      <c r="G48" s="279" t="str">
        <f>IF('Statement of Marks'!H51="","",'Statement of Marks'!H51)</f>
        <v/>
      </c>
      <c r="H48" s="280" t="str">
        <f>IF('Statement of Marks'!I51="","",'Statement of Marks'!I51)</f>
        <v/>
      </c>
      <c r="I48" s="280" t="str">
        <f>IF('Statement of Marks'!J51="","",'Statement of Marks'!J51)</f>
        <v/>
      </c>
      <c r="J48" s="827" t="str">
        <f>IF('Statement of Marks'!HS51="","",'Statement of Marks'!HS51)</f>
        <v/>
      </c>
      <c r="K48" s="281" t="str">
        <f>IF('Statement of Marks'!HT51="","",'Statement of Marks'!HT51)</f>
        <v/>
      </c>
      <c r="L48" s="828" t="str">
        <f>IF('Statement of Marks'!HW51="","",'Statement of Marks'!HW51)</f>
        <v/>
      </c>
      <c r="M48" s="281" t="str">
        <f>IF('Statement of Marks'!HV51="","",'Statement of Marks'!HV51)</f>
        <v/>
      </c>
      <c r="N48" s="829" t="str">
        <f>IF('Statement of Marks'!HX51="","",'Statement of Marks'!HX51)</f>
        <v/>
      </c>
      <c r="O48" s="282" t="str">
        <f>IF(J48="FAIL","",IF('Statement of Marks'!HO51="","",'Statement of Marks'!HO51))</f>
        <v xml:space="preserve">      </v>
      </c>
      <c r="P48" s="283" t="str">
        <f>IF('Supp. Result Entry'!AQ49="","",'Supp. Result Entry'!AQ49)</f>
        <v/>
      </c>
      <c r="Q48" s="284" t="str">
        <f>IF('Supp. Result Entry'!AR49="","",'Supp. Result Entry'!AR49)</f>
        <v/>
      </c>
      <c r="R48" s="285" t="str">
        <f>IF('Statement of Marks'!IA51="","",'Statement of Marks'!IA51)</f>
        <v/>
      </c>
      <c r="S48" s="286" t="str">
        <f>IF('Statement of Marks'!GL51="","",'Statement of Marks'!GL51)</f>
        <v/>
      </c>
      <c r="BM48" s="287" t="str">
        <f>'Statement of Marks'!F51</f>
        <v/>
      </c>
      <c r="BN48" s="288" t="str">
        <f t="shared" si="0"/>
        <v/>
      </c>
      <c r="BO48" s="288" t="str">
        <f t="shared" si="1"/>
        <v/>
      </c>
      <c r="BP48" s="288" t="str">
        <f t="shared" si="2"/>
        <v/>
      </c>
      <c r="BQ48" s="288" t="str">
        <f t="shared" si="3"/>
        <v/>
      </c>
      <c r="BR48" s="288" t="str">
        <f t="shared" si="4"/>
        <v/>
      </c>
      <c r="BS48" s="288" t="str">
        <f t="shared" si="5"/>
        <v/>
      </c>
      <c r="BT48" s="288" t="str">
        <f t="shared" si="6"/>
        <v/>
      </c>
      <c r="BU48" s="288" t="str">
        <f t="shared" si="7"/>
        <v/>
      </c>
      <c r="BV48" s="288" t="str">
        <f t="shared" si="8"/>
        <v/>
      </c>
      <c r="BW48" s="288" t="str">
        <f t="shared" si="9"/>
        <v/>
      </c>
      <c r="BX48" s="288" t="str">
        <f t="shared" si="10"/>
        <v/>
      </c>
      <c r="BY48" s="288" t="str">
        <f t="shared" si="11"/>
        <v/>
      </c>
      <c r="BZ48" s="289"/>
    </row>
    <row r="49" spans="1:78" ht="15.95" customHeight="1">
      <c r="A49" s="276">
        <f>IF('Statement of Marks'!A52="","",'Statement of Marks'!A52)</f>
        <v>46</v>
      </c>
      <c r="B49" s="277" t="str">
        <f>IF('Statement of Marks'!B52="","",'Statement of Marks'!B52)</f>
        <v/>
      </c>
      <c r="C49" s="278" t="str">
        <f>IF('Statement of Marks'!D52="","",'Statement of Marks'!D52)</f>
        <v/>
      </c>
      <c r="D49" s="314" t="str">
        <f>IF('Statement of Marks'!E52="","",'Statement of Marks'!E52)</f>
        <v/>
      </c>
      <c r="E49" s="279" t="str">
        <f>IF('Statement of Marks'!F52="","",'Statement of Marks'!F52)</f>
        <v/>
      </c>
      <c r="F49" s="279" t="str">
        <f>IF('Statement of Marks'!G52="","",'Statement of Marks'!G52)</f>
        <v/>
      </c>
      <c r="G49" s="279" t="str">
        <f>IF('Statement of Marks'!H52="","",'Statement of Marks'!H52)</f>
        <v/>
      </c>
      <c r="H49" s="280" t="str">
        <f>IF('Statement of Marks'!I52="","",'Statement of Marks'!I52)</f>
        <v/>
      </c>
      <c r="I49" s="280" t="str">
        <f>IF('Statement of Marks'!J52="","",'Statement of Marks'!J52)</f>
        <v/>
      </c>
      <c r="J49" s="827" t="str">
        <f>IF('Statement of Marks'!HS52="","",'Statement of Marks'!HS52)</f>
        <v/>
      </c>
      <c r="K49" s="281" t="str">
        <f>IF('Statement of Marks'!HT52="","",'Statement of Marks'!HT52)</f>
        <v/>
      </c>
      <c r="L49" s="828" t="str">
        <f>IF('Statement of Marks'!HW52="","",'Statement of Marks'!HW52)</f>
        <v/>
      </c>
      <c r="M49" s="281" t="str">
        <f>IF('Statement of Marks'!HV52="","",'Statement of Marks'!HV52)</f>
        <v/>
      </c>
      <c r="N49" s="829" t="str">
        <f>IF('Statement of Marks'!HX52="","",'Statement of Marks'!HX52)</f>
        <v/>
      </c>
      <c r="O49" s="282" t="str">
        <f>IF(J49="FAIL","",IF('Statement of Marks'!HO52="","",'Statement of Marks'!HO52))</f>
        <v xml:space="preserve">      </v>
      </c>
      <c r="P49" s="283" t="str">
        <f>IF('Supp. Result Entry'!AQ50="","",'Supp. Result Entry'!AQ50)</f>
        <v/>
      </c>
      <c r="Q49" s="284" t="str">
        <f>IF('Supp. Result Entry'!AR50="","",'Supp. Result Entry'!AR50)</f>
        <v/>
      </c>
      <c r="R49" s="285" t="str">
        <f>IF('Statement of Marks'!IA52="","",'Statement of Marks'!IA52)</f>
        <v/>
      </c>
      <c r="S49" s="286" t="str">
        <f>IF('Statement of Marks'!GL52="","",'Statement of Marks'!GL52)</f>
        <v/>
      </c>
      <c r="BM49" s="287" t="str">
        <f>'Statement of Marks'!F52</f>
        <v/>
      </c>
      <c r="BN49" s="288" t="str">
        <f t="shared" si="0"/>
        <v/>
      </c>
      <c r="BO49" s="288" t="str">
        <f t="shared" si="1"/>
        <v/>
      </c>
      <c r="BP49" s="288" t="str">
        <f t="shared" si="2"/>
        <v/>
      </c>
      <c r="BQ49" s="288" t="str">
        <f t="shared" si="3"/>
        <v/>
      </c>
      <c r="BR49" s="288" t="str">
        <f t="shared" si="4"/>
        <v/>
      </c>
      <c r="BS49" s="288" t="str">
        <f t="shared" si="5"/>
        <v/>
      </c>
      <c r="BT49" s="288" t="str">
        <f t="shared" si="6"/>
        <v/>
      </c>
      <c r="BU49" s="288" t="str">
        <f t="shared" si="7"/>
        <v/>
      </c>
      <c r="BV49" s="288" t="str">
        <f t="shared" si="8"/>
        <v/>
      </c>
      <c r="BW49" s="288" t="str">
        <f t="shared" si="9"/>
        <v/>
      </c>
      <c r="BX49" s="288" t="str">
        <f t="shared" si="10"/>
        <v/>
      </c>
      <c r="BY49" s="288" t="str">
        <f t="shared" si="11"/>
        <v/>
      </c>
      <c r="BZ49" s="289"/>
    </row>
    <row r="50" spans="1:78" ht="15.95" customHeight="1">
      <c r="A50" s="276">
        <f>IF('Statement of Marks'!A53="","",'Statement of Marks'!A53)</f>
        <v>47</v>
      </c>
      <c r="B50" s="277" t="str">
        <f>IF('Statement of Marks'!B53="","",'Statement of Marks'!B53)</f>
        <v/>
      </c>
      <c r="C50" s="278" t="str">
        <f>IF('Statement of Marks'!D53="","",'Statement of Marks'!D53)</f>
        <v/>
      </c>
      <c r="D50" s="314" t="str">
        <f>IF('Statement of Marks'!E53="","",'Statement of Marks'!E53)</f>
        <v/>
      </c>
      <c r="E50" s="279" t="str">
        <f>IF('Statement of Marks'!F53="","",'Statement of Marks'!F53)</f>
        <v/>
      </c>
      <c r="F50" s="279" t="str">
        <f>IF('Statement of Marks'!G53="","",'Statement of Marks'!G53)</f>
        <v/>
      </c>
      <c r="G50" s="279" t="str">
        <f>IF('Statement of Marks'!H53="","",'Statement of Marks'!H53)</f>
        <v/>
      </c>
      <c r="H50" s="280" t="str">
        <f>IF('Statement of Marks'!I53="","",'Statement of Marks'!I53)</f>
        <v/>
      </c>
      <c r="I50" s="280" t="str">
        <f>IF('Statement of Marks'!J53="","",'Statement of Marks'!J53)</f>
        <v/>
      </c>
      <c r="J50" s="827" t="str">
        <f>IF('Statement of Marks'!HS53="","",'Statement of Marks'!HS53)</f>
        <v/>
      </c>
      <c r="K50" s="281" t="str">
        <f>IF('Statement of Marks'!HT53="","",'Statement of Marks'!HT53)</f>
        <v/>
      </c>
      <c r="L50" s="828" t="str">
        <f>IF('Statement of Marks'!HW53="","",'Statement of Marks'!HW53)</f>
        <v/>
      </c>
      <c r="M50" s="281" t="str">
        <f>IF('Statement of Marks'!HV53="","",'Statement of Marks'!HV53)</f>
        <v/>
      </c>
      <c r="N50" s="829" t="str">
        <f>IF('Statement of Marks'!HX53="","",'Statement of Marks'!HX53)</f>
        <v/>
      </c>
      <c r="O50" s="282" t="str">
        <f>IF(J50="FAIL","",IF('Statement of Marks'!HO53="","",'Statement of Marks'!HO53))</f>
        <v xml:space="preserve">      </v>
      </c>
      <c r="P50" s="283" t="str">
        <f>IF('Supp. Result Entry'!AQ51="","",'Supp. Result Entry'!AQ51)</f>
        <v/>
      </c>
      <c r="Q50" s="284" t="str">
        <f>IF('Supp. Result Entry'!AR51="","",'Supp. Result Entry'!AR51)</f>
        <v/>
      </c>
      <c r="R50" s="285" t="str">
        <f>IF('Statement of Marks'!IA53="","",'Statement of Marks'!IA53)</f>
        <v/>
      </c>
      <c r="S50" s="286" t="str">
        <f>IF('Statement of Marks'!GL53="","",'Statement of Marks'!GL53)</f>
        <v/>
      </c>
      <c r="BM50" s="287" t="str">
        <f>'Statement of Marks'!F53</f>
        <v/>
      </c>
      <c r="BN50" s="288" t="str">
        <f t="shared" si="0"/>
        <v/>
      </c>
      <c r="BO50" s="288" t="str">
        <f t="shared" si="1"/>
        <v/>
      </c>
      <c r="BP50" s="288" t="str">
        <f t="shared" si="2"/>
        <v/>
      </c>
      <c r="BQ50" s="288" t="str">
        <f t="shared" si="3"/>
        <v/>
      </c>
      <c r="BR50" s="288" t="str">
        <f t="shared" si="4"/>
        <v/>
      </c>
      <c r="BS50" s="288" t="str">
        <f t="shared" si="5"/>
        <v/>
      </c>
      <c r="BT50" s="288" t="str">
        <f t="shared" si="6"/>
        <v/>
      </c>
      <c r="BU50" s="288" t="str">
        <f t="shared" si="7"/>
        <v/>
      </c>
      <c r="BV50" s="288" t="str">
        <f t="shared" si="8"/>
        <v/>
      </c>
      <c r="BW50" s="288" t="str">
        <f t="shared" si="9"/>
        <v/>
      </c>
      <c r="BX50" s="288" t="str">
        <f t="shared" si="10"/>
        <v/>
      </c>
      <c r="BY50" s="288" t="str">
        <f t="shared" si="11"/>
        <v/>
      </c>
      <c r="BZ50" s="289"/>
    </row>
    <row r="51" spans="1:78" ht="15.95" customHeight="1">
      <c r="A51" s="276">
        <f>IF('Statement of Marks'!A54="","",'Statement of Marks'!A54)</f>
        <v>48</v>
      </c>
      <c r="B51" s="277" t="str">
        <f>IF('Statement of Marks'!B54="","",'Statement of Marks'!B54)</f>
        <v/>
      </c>
      <c r="C51" s="278" t="str">
        <f>IF('Statement of Marks'!D54="","",'Statement of Marks'!D54)</f>
        <v/>
      </c>
      <c r="D51" s="314" t="str">
        <f>IF('Statement of Marks'!E54="","",'Statement of Marks'!E54)</f>
        <v/>
      </c>
      <c r="E51" s="279" t="str">
        <f>IF('Statement of Marks'!F54="","",'Statement of Marks'!F54)</f>
        <v/>
      </c>
      <c r="F51" s="279" t="str">
        <f>IF('Statement of Marks'!G54="","",'Statement of Marks'!G54)</f>
        <v/>
      </c>
      <c r="G51" s="279" t="str">
        <f>IF('Statement of Marks'!H54="","",'Statement of Marks'!H54)</f>
        <v/>
      </c>
      <c r="H51" s="280" t="str">
        <f>IF('Statement of Marks'!I54="","",'Statement of Marks'!I54)</f>
        <v/>
      </c>
      <c r="I51" s="280" t="str">
        <f>IF('Statement of Marks'!J54="","",'Statement of Marks'!J54)</f>
        <v/>
      </c>
      <c r="J51" s="827" t="str">
        <f>IF('Statement of Marks'!HS54="","",'Statement of Marks'!HS54)</f>
        <v/>
      </c>
      <c r="K51" s="281" t="str">
        <f>IF('Statement of Marks'!HT54="","",'Statement of Marks'!HT54)</f>
        <v/>
      </c>
      <c r="L51" s="828" t="str">
        <f>IF('Statement of Marks'!HW54="","",'Statement of Marks'!HW54)</f>
        <v/>
      </c>
      <c r="M51" s="281" t="str">
        <f>IF('Statement of Marks'!HV54="","",'Statement of Marks'!HV54)</f>
        <v/>
      </c>
      <c r="N51" s="829" t="str">
        <f>IF('Statement of Marks'!HX54="","",'Statement of Marks'!HX54)</f>
        <v/>
      </c>
      <c r="O51" s="282" t="str">
        <f>IF(J51="FAIL","",IF('Statement of Marks'!HO54="","",'Statement of Marks'!HO54))</f>
        <v xml:space="preserve">      </v>
      </c>
      <c r="P51" s="283" t="str">
        <f>IF('Supp. Result Entry'!AQ52="","",'Supp. Result Entry'!AQ52)</f>
        <v/>
      </c>
      <c r="Q51" s="284" t="str">
        <f>IF('Supp. Result Entry'!AR52="","",'Supp. Result Entry'!AR52)</f>
        <v/>
      </c>
      <c r="R51" s="285" t="str">
        <f>IF('Statement of Marks'!IA54="","",'Statement of Marks'!IA54)</f>
        <v/>
      </c>
      <c r="S51" s="286" t="str">
        <f>IF('Statement of Marks'!GL54="","",'Statement of Marks'!GL54)</f>
        <v/>
      </c>
      <c r="BM51" s="287" t="str">
        <f>'Statement of Marks'!F54</f>
        <v/>
      </c>
      <c r="BN51" s="288" t="str">
        <f t="shared" si="0"/>
        <v/>
      </c>
      <c r="BO51" s="288" t="str">
        <f t="shared" si="1"/>
        <v/>
      </c>
      <c r="BP51" s="288" t="str">
        <f t="shared" si="2"/>
        <v/>
      </c>
      <c r="BQ51" s="288" t="str">
        <f t="shared" si="3"/>
        <v/>
      </c>
      <c r="BR51" s="288" t="str">
        <f t="shared" si="4"/>
        <v/>
      </c>
      <c r="BS51" s="288" t="str">
        <f t="shared" si="5"/>
        <v/>
      </c>
      <c r="BT51" s="288" t="str">
        <f t="shared" si="6"/>
        <v/>
      </c>
      <c r="BU51" s="288" t="str">
        <f t="shared" si="7"/>
        <v/>
      </c>
      <c r="BV51" s="288" t="str">
        <f t="shared" si="8"/>
        <v/>
      </c>
      <c r="BW51" s="288" t="str">
        <f t="shared" si="9"/>
        <v/>
      </c>
      <c r="BX51" s="288" t="str">
        <f t="shared" si="10"/>
        <v/>
      </c>
      <c r="BY51" s="288" t="str">
        <f t="shared" si="11"/>
        <v/>
      </c>
      <c r="BZ51" s="289"/>
    </row>
    <row r="52" spans="1:78" ht="15.95" customHeight="1">
      <c r="A52" s="276">
        <f>IF('Statement of Marks'!A55="","",'Statement of Marks'!A55)</f>
        <v>49</v>
      </c>
      <c r="B52" s="277" t="str">
        <f>IF('Statement of Marks'!B55="","",'Statement of Marks'!B55)</f>
        <v/>
      </c>
      <c r="C52" s="278" t="str">
        <f>IF('Statement of Marks'!D55="","",'Statement of Marks'!D55)</f>
        <v/>
      </c>
      <c r="D52" s="314" t="str">
        <f>IF('Statement of Marks'!E55="","",'Statement of Marks'!E55)</f>
        <v/>
      </c>
      <c r="E52" s="279" t="str">
        <f>IF('Statement of Marks'!F55="","",'Statement of Marks'!F55)</f>
        <v/>
      </c>
      <c r="F52" s="279" t="str">
        <f>IF('Statement of Marks'!G55="","",'Statement of Marks'!G55)</f>
        <v/>
      </c>
      <c r="G52" s="279" t="str">
        <f>IF('Statement of Marks'!H55="","",'Statement of Marks'!H55)</f>
        <v/>
      </c>
      <c r="H52" s="280" t="str">
        <f>IF('Statement of Marks'!I55="","",'Statement of Marks'!I55)</f>
        <v/>
      </c>
      <c r="I52" s="280" t="str">
        <f>IF('Statement of Marks'!J55="","",'Statement of Marks'!J55)</f>
        <v/>
      </c>
      <c r="J52" s="827" t="str">
        <f>IF('Statement of Marks'!HS55="","",'Statement of Marks'!HS55)</f>
        <v/>
      </c>
      <c r="K52" s="281" t="str">
        <f>IF('Statement of Marks'!HT55="","",'Statement of Marks'!HT55)</f>
        <v/>
      </c>
      <c r="L52" s="828" t="str">
        <f>IF('Statement of Marks'!HW55="","",'Statement of Marks'!HW55)</f>
        <v/>
      </c>
      <c r="M52" s="281" t="str">
        <f>IF('Statement of Marks'!HV55="","",'Statement of Marks'!HV55)</f>
        <v/>
      </c>
      <c r="N52" s="829" t="str">
        <f>IF('Statement of Marks'!HX55="","",'Statement of Marks'!HX55)</f>
        <v/>
      </c>
      <c r="O52" s="282" t="str">
        <f>IF(J52="FAIL","",IF('Statement of Marks'!HO55="","",'Statement of Marks'!HO55))</f>
        <v xml:space="preserve">      </v>
      </c>
      <c r="P52" s="283" t="str">
        <f>IF('Supp. Result Entry'!AQ53="","",'Supp. Result Entry'!AQ53)</f>
        <v/>
      </c>
      <c r="Q52" s="284" t="str">
        <f>IF('Supp. Result Entry'!AR53="","",'Supp. Result Entry'!AR53)</f>
        <v/>
      </c>
      <c r="R52" s="285" t="str">
        <f>IF('Statement of Marks'!IA55="","",'Statement of Marks'!IA55)</f>
        <v/>
      </c>
      <c r="S52" s="286" t="str">
        <f>IF('Statement of Marks'!GL55="","",'Statement of Marks'!GL55)</f>
        <v/>
      </c>
      <c r="BM52" s="287" t="str">
        <f>'Statement of Marks'!F55</f>
        <v/>
      </c>
      <c r="BN52" s="288" t="str">
        <f t="shared" si="0"/>
        <v/>
      </c>
      <c r="BO52" s="288" t="str">
        <f t="shared" si="1"/>
        <v/>
      </c>
      <c r="BP52" s="288" t="str">
        <f t="shared" si="2"/>
        <v/>
      </c>
      <c r="BQ52" s="288" t="str">
        <f t="shared" si="3"/>
        <v/>
      </c>
      <c r="BR52" s="288" t="str">
        <f t="shared" si="4"/>
        <v/>
      </c>
      <c r="BS52" s="288" t="str">
        <f t="shared" si="5"/>
        <v/>
      </c>
      <c r="BT52" s="288" t="str">
        <f t="shared" si="6"/>
        <v/>
      </c>
      <c r="BU52" s="288" t="str">
        <f t="shared" si="7"/>
        <v/>
      </c>
      <c r="BV52" s="288" t="str">
        <f t="shared" si="8"/>
        <v/>
      </c>
      <c r="BW52" s="288" t="str">
        <f t="shared" si="9"/>
        <v/>
      </c>
      <c r="BX52" s="288" t="str">
        <f t="shared" si="10"/>
        <v/>
      </c>
      <c r="BY52" s="288" t="str">
        <f t="shared" si="11"/>
        <v/>
      </c>
      <c r="BZ52" s="289"/>
    </row>
    <row r="53" spans="1:78" ht="15.95" customHeight="1">
      <c r="A53" s="276">
        <f>IF('Statement of Marks'!A56="","",'Statement of Marks'!A56)</f>
        <v>50</v>
      </c>
      <c r="B53" s="277" t="str">
        <f>IF('Statement of Marks'!B56="","",'Statement of Marks'!B56)</f>
        <v/>
      </c>
      <c r="C53" s="278" t="str">
        <f>IF('Statement of Marks'!D56="","",'Statement of Marks'!D56)</f>
        <v/>
      </c>
      <c r="D53" s="314" t="str">
        <f>IF('Statement of Marks'!E56="","",'Statement of Marks'!E56)</f>
        <v/>
      </c>
      <c r="E53" s="279" t="str">
        <f>IF('Statement of Marks'!F56="","",'Statement of Marks'!F56)</f>
        <v/>
      </c>
      <c r="F53" s="279" t="str">
        <f>IF('Statement of Marks'!G56="","",'Statement of Marks'!G56)</f>
        <v/>
      </c>
      <c r="G53" s="279" t="str">
        <f>IF('Statement of Marks'!H56="","",'Statement of Marks'!H56)</f>
        <v/>
      </c>
      <c r="H53" s="280" t="str">
        <f>IF('Statement of Marks'!I56="","",'Statement of Marks'!I56)</f>
        <v/>
      </c>
      <c r="I53" s="280" t="str">
        <f>IF('Statement of Marks'!J56="","",'Statement of Marks'!J56)</f>
        <v/>
      </c>
      <c r="J53" s="827" t="str">
        <f>IF('Statement of Marks'!HS56="","",'Statement of Marks'!HS56)</f>
        <v/>
      </c>
      <c r="K53" s="281" t="str">
        <f>IF('Statement of Marks'!HT56="","",'Statement of Marks'!HT56)</f>
        <v/>
      </c>
      <c r="L53" s="828" t="str">
        <f>IF('Statement of Marks'!HW56="","",'Statement of Marks'!HW56)</f>
        <v/>
      </c>
      <c r="M53" s="281" t="str">
        <f>IF('Statement of Marks'!HV56="","",'Statement of Marks'!HV56)</f>
        <v/>
      </c>
      <c r="N53" s="829" t="str">
        <f>IF('Statement of Marks'!HX56="","",'Statement of Marks'!HX56)</f>
        <v/>
      </c>
      <c r="O53" s="282" t="str">
        <f>IF(J53="FAIL","",IF('Statement of Marks'!HO56="","",'Statement of Marks'!HO56))</f>
        <v xml:space="preserve">      </v>
      </c>
      <c r="P53" s="283" t="str">
        <f>IF('Supp. Result Entry'!AQ54="","",'Supp. Result Entry'!AQ54)</f>
        <v/>
      </c>
      <c r="Q53" s="284" t="str">
        <f>IF('Supp. Result Entry'!AR54="","",'Supp. Result Entry'!AR54)</f>
        <v/>
      </c>
      <c r="R53" s="285" t="str">
        <f>IF('Statement of Marks'!IA56="","",'Statement of Marks'!IA56)</f>
        <v/>
      </c>
      <c r="S53" s="286" t="str">
        <f>IF('Statement of Marks'!GL56="","",'Statement of Marks'!GL56)</f>
        <v/>
      </c>
      <c r="BM53" s="287" t="str">
        <f>'Statement of Marks'!F56</f>
        <v/>
      </c>
      <c r="BN53" s="288" t="str">
        <f t="shared" si="0"/>
        <v/>
      </c>
      <c r="BO53" s="288" t="str">
        <f t="shared" si="1"/>
        <v/>
      </c>
      <c r="BP53" s="288" t="str">
        <f t="shared" si="2"/>
        <v/>
      </c>
      <c r="BQ53" s="288" t="str">
        <f t="shared" si="3"/>
        <v/>
      </c>
      <c r="BR53" s="288" t="str">
        <f t="shared" si="4"/>
        <v/>
      </c>
      <c r="BS53" s="288" t="str">
        <f t="shared" si="5"/>
        <v/>
      </c>
      <c r="BT53" s="288" t="str">
        <f t="shared" si="6"/>
        <v/>
      </c>
      <c r="BU53" s="288" t="str">
        <f t="shared" si="7"/>
        <v/>
      </c>
      <c r="BV53" s="288" t="str">
        <f t="shared" si="8"/>
        <v/>
      </c>
      <c r="BW53" s="288" t="str">
        <f t="shared" si="9"/>
        <v/>
      </c>
      <c r="BX53" s="288" t="str">
        <f t="shared" si="10"/>
        <v/>
      </c>
      <c r="BY53" s="288" t="str">
        <f t="shared" si="11"/>
        <v/>
      </c>
      <c r="BZ53" s="289"/>
    </row>
    <row r="54" spans="1:78" ht="15.95" customHeight="1">
      <c r="A54" s="276">
        <f>IF('Statement of Marks'!A57="","",'Statement of Marks'!A57)</f>
        <v>51</v>
      </c>
      <c r="B54" s="277" t="str">
        <f>IF('Statement of Marks'!B57="","",'Statement of Marks'!B57)</f>
        <v/>
      </c>
      <c r="C54" s="278" t="str">
        <f>IF('Statement of Marks'!D57="","",'Statement of Marks'!D57)</f>
        <v/>
      </c>
      <c r="D54" s="314" t="str">
        <f>IF('Statement of Marks'!E57="","",'Statement of Marks'!E57)</f>
        <v/>
      </c>
      <c r="E54" s="279" t="str">
        <f>IF('Statement of Marks'!F57="","",'Statement of Marks'!F57)</f>
        <v/>
      </c>
      <c r="F54" s="279" t="str">
        <f>IF('Statement of Marks'!G57="","",'Statement of Marks'!G57)</f>
        <v/>
      </c>
      <c r="G54" s="279" t="str">
        <f>IF('Statement of Marks'!H57="","",'Statement of Marks'!H57)</f>
        <v/>
      </c>
      <c r="H54" s="280" t="str">
        <f>IF('Statement of Marks'!I57="","",'Statement of Marks'!I57)</f>
        <v/>
      </c>
      <c r="I54" s="280" t="str">
        <f>IF('Statement of Marks'!J57="","",'Statement of Marks'!J57)</f>
        <v/>
      </c>
      <c r="J54" s="827" t="str">
        <f>IF('Statement of Marks'!HS57="","",'Statement of Marks'!HS57)</f>
        <v/>
      </c>
      <c r="K54" s="281" t="str">
        <f>IF('Statement of Marks'!HT57="","",'Statement of Marks'!HT57)</f>
        <v/>
      </c>
      <c r="L54" s="828" t="str">
        <f>IF('Statement of Marks'!HW57="","",'Statement of Marks'!HW57)</f>
        <v/>
      </c>
      <c r="M54" s="281" t="str">
        <f>IF('Statement of Marks'!HV57="","",'Statement of Marks'!HV57)</f>
        <v/>
      </c>
      <c r="N54" s="829" t="str">
        <f>IF('Statement of Marks'!HX57="","",'Statement of Marks'!HX57)</f>
        <v/>
      </c>
      <c r="O54" s="282" t="str">
        <f>IF(J54="FAIL","",IF('Statement of Marks'!HO57="","",'Statement of Marks'!HO57))</f>
        <v xml:space="preserve">      </v>
      </c>
      <c r="P54" s="283" t="str">
        <f>IF('Supp. Result Entry'!AQ55="","",'Supp. Result Entry'!AQ55)</f>
        <v/>
      </c>
      <c r="Q54" s="284" t="str">
        <f>IF('Supp. Result Entry'!AR55="","",'Supp. Result Entry'!AR55)</f>
        <v/>
      </c>
      <c r="R54" s="285" t="str">
        <f>IF('Statement of Marks'!IA57="","",'Statement of Marks'!IA57)</f>
        <v/>
      </c>
      <c r="S54" s="286" t="str">
        <f>IF('Statement of Marks'!GL57="","",'Statement of Marks'!GL57)</f>
        <v/>
      </c>
      <c r="BM54" s="287" t="str">
        <f>'Statement of Marks'!F57</f>
        <v/>
      </c>
      <c r="BN54" s="288" t="str">
        <f t="shared" si="0"/>
        <v/>
      </c>
      <c r="BO54" s="288" t="str">
        <f t="shared" si="1"/>
        <v/>
      </c>
      <c r="BP54" s="288" t="str">
        <f t="shared" si="2"/>
        <v/>
      </c>
      <c r="BQ54" s="288" t="str">
        <f t="shared" si="3"/>
        <v/>
      </c>
      <c r="BR54" s="288" t="str">
        <f t="shared" si="4"/>
        <v/>
      </c>
      <c r="BS54" s="288" t="str">
        <f t="shared" si="5"/>
        <v/>
      </c>
      <c r="BT54" s="288" t="str">
        <f t="shared" si="6"/>
        <v/>
      </c>
      <c r="BU54" s="288" t="str">
        <f t="shared" si="7"/>
        <v/>
      </c>
      <c r="BV54" s="288" t="str">
        <f t="shared" si="8"/>
        <v/>
      </c>
      <c r="BW54" s="288" t="str">
        <f t="shared" si="9"/>
        <v/>
      </c>
      <c r="BX54" s="288" t="str">
        <f t="shared" si="10"/>
        <v/>
      </c>
      <c r="BY54" s="288" t="str">
        <f t="shared" si="11"/>
        <v/>
      </c>
      <c r="BZ54" s="289"/>
    </row>
    <row r="55" spans="1:78" ht="15.95" customHeight="1">
      <c r="A55" s="276">
        <f>IF('Statement of Marks'!A58="","",'Statement of Marks'!A58)</f>
        <v>52</v>
      </c>
      <c r="B55" s="277" t="str">
        <f>IF('Statement of Marks'!B58="","",'Statement of Marks'!B58)</f>
        <v/>
      </c>
      <c r="C55" s="278" t="str">
        <f>IF('Statement of Marks'!D58="","",'Statement of Marks'!D58)</f>
        <v/>
      </c>
      <c r="D55" s="314" t="str">
        <f>IF('Statement of Marks'!E58="","",'Statement of Marks'!E58)</f>
        <v/>
      </c>
      <c r="E55" s="279" t="str">
        <f>IF('Statement of Marks'!F58="","",'Statement of Marks'!F58)</f>
        <v/>
      </c>
      <c r="F55" s="279" t="str">
        <f>IF('Statement of Marks'!G58="","",'Statement of Marks'!G58)</f>
        <v/>
      </c>
      <c r="G55" s="279" t="str">
        <f>IF('Statement of Marks'!H58="","",'Statement of Marks'!H58)</f>
        <v/>
      </c>
      <c r="H55" s="280" t="str">
        <f>IF('Statement of Marks'!I58="","",'Statement of Marks'!I58)</f>
        <v/>
      </c>
      <c r="I55" s="280" t="str">
        <f>IF('Statement of Marks'!J58="","",'Statement of Marks'!J58)</f>
        <v/>
      </c>
      <c r="J55" s="827" t="str">
        <f>IF('Statement of Marks'!HS58="","",'Statement of Marks'!HS58)</f>
        <v/>
      </c>
      <c r="K55" s="281" t="str">
        <f>IF('Statement of Marks'!HT58="","",'Statement of Marks'!HT58)</f>
        <v/>
      </c>
      <c r="L55" s="828" t="str">
        <f>IF('Statement of Marks'!HW58="","",'Statement of Marks'!HW58)</f>
        <v/>
      </c>
      <c r="M55" s="281" t="str">
        <f>IF('Statement of Marks'!HV58="","",'Statement of Marks'!HV58)</f>
        <v/>
      </c>
      <c r="N55" s="829" t="str">
        <f>IF('Statement of Marks'!HX58="","",'Statement of Marks'!HX58)</f>
        <v/>
      </c>
      <c r="O55" s="282" t="str">
        <f>IF(J55="FAIL","",IF('Statement of Marks'!HO58="","",'Statement of Marks'!HO58))</f>
        <v xml:space="preserve">      </v>
      </c>
      <c r="P55" s="283" t="str">
        <f>IF('Supp. Result Entry'!AQ56="","",'Supp. Result Entry'!AQ56)</f>
        <v/>
      </c>
      <c r="Q55" s="284" t="str">
        <f>IF('Supp. Result Entry'!AR56="","",'Supp. Result Entry'!AR56)</f>
        <v/>
      </c>
      <c r="R55" s="285" t="str">
        <f>IF('Statement of Marks'!IA58="","",'Statement of Marks'!IA58)</f>
        <v/>
      </c>
      <c r="S55" s="286" t="str">
        <f>IF('Statement of Marks'!GL58="","",'Statement of Marks'!GL58)</f>
        <v/>
      </c>
      <c r="BM55" s="287" t="str">
        <f>'Statement of Marks'!F58</f>
        <v/>
      </c>
      <c r="BN55" s="288" t="str">
        <f t="shared" si="0"/>
        <v/>
      </c>
      <c r="BO55" s="288" t="str">
        <f t="shared" si="1"/>
        <v/>
      </c>
      <c r="BP55" s="288" t="str">
        <f t="shared" si="2"/>
        <v/>
      </c>
      <c r="BQ55" s="288" t="str">
        <f t="shared" si="3"/>
        <v/>
      </c>
      <c r="BR55" s="288" t="str">
        <f t="shared" si="4"/>
        <v/>
      </c>
      <c r="BS55" s="288" t="str">
        <f t="shared" si="5"/>
        <v/>
      </c>
      <c r="BT55" s="288" t="str">
        <f t="shared" si="6"/>
        <v/>
      </c>
      <c r="BU55" s="288" t="str">
        <f t="shared" si="7"/>
        <v/>
      </c>
      <c r="BV55" s="288" t="str">
        <f t="shared" si="8"/>
        <v/>
      </c>
      <c r="BW55" s="288" t="str">
        <f t="shared" si="9"/>
        <v/>
      </c>
      <c r="BX55" s="288" t="str">
        <f t="shared" si="10"/>
        <v/>
      </c>
      <c r="BY55" s="288" t="str">
        <f t="shared" si="11"/>
        <v/>
      </c>
      <c r="BZ55" s="289"/>
    </row>
    <row r="56" spans="1:78" ht="15.95" customHeight="1">
      <c r="A56" s="276">
        <f>IF('Statement of Marks'!A59="","",'Statement of Marks'!A59)</f>
        <v>53</v>
      </c>
      <c r="B56" s="277" t="str">
        <f>IF('Statement of Marks'!B59="","",'Statement of Marks'!B59)</f>
        <v/>
      </c>
      <c r="C56" s="278" t="str">
        <f>IF('Statement of Marks'!D59="","",'Statement of Marks'!D59)</f>
        <v/>
      </c>
      <c r="D56" s="314" t="str">
        <f>IF('Statement of Marks'!E59="","",'Statement of Marks'!E59)</f>
        <v/>
      </c>
      <c r="E56" s="279" t="str">
        <f>IF('Statement of Marks'!F59="","",'Statement of Marks'!F59)</f>
        <v/>
      </c>
      <c r="F56" s="279" t="str">
        <f>IF('Statement of Marks'!G59="","",'Statement of Marks'!G59)</f>
        <v/>
      </c>
      <c r="G56" s="279" t="str">
        <f>IF('Statement of Marks'!H59="","",'Statement of Marks'!H59)</f>
        <v/>
      </c>
      <c r="H56" s="280" t="str">
        <f>IF('Statement of Marks'!I59="","",'Statement of Marks'!I59)</f>
        <v/>
      </c>
      <c r="I56" s="280" t="str">
        <f>IF('Statement of Marks'!J59="","",'Statement of Marks'!J59)</f>
        <v/>
      </c>
      <c r="J56" s="827" t="str">
        <f>IF('Statement of Marks'!HS59="","",'Statement of Marks'!HS59)</f>
        <v/>
      </c>
      <c r="K56" s="281" t="str">
        <f>IF('Statement of Marks'!HT59="","",'Statement of Marks'!HT59)</f>
        <v/>
      </c>
      <c r="L56" s="828" t="str">
        <f>IF('Statement of Marks'!HW59="","",'Statement of Marks'!HW59)</f>
        <v/>
      </c>
      <c r="M56" s="281" t="str">
        <f>IF('Statement of Marks'!HV59="","",'Statement of Marks'!HV59)</f>
        <v/>
      </c>
      <c r="N56" s="829" t="str">
        <f>IF('Statement of Marks'!HX59="","",'Statement of Marks'!HX59)</f>
        <v/>
      </c>
      <c r="O56" s="282" t="str">
        <f>IF(J56="FAIL","",IF('Statement of Marks'!HO59="","",'Statement of Marks'!HO59))</f>
        <v xml:space="preserve">      </v>
      </c>
      <c r="P56" s="283" t="str">
        <f>IF('Supp. Result Entry'!AQ57="","",'Supp. Result Entry'!AQ57)</f>
        <v/>
      </c>
      <c r="Q56" s="284" t="str">
        <f>IF('Supp. Result Entry'!AR57="","",'Supp. Result Entry'!AR57)</f>
        <v/>
      </c>
      <c r="R56" s="285" t="str">
        <f>IF('Statement of Marks'!IA59="","",'Statement of Marks'!IA59)</f>
        <v/>
      </c>
      <c r="S56" s="286" t="str">
        <f>IF('Statement of Marks'!GL59="","",'Statement of Marks'!GL59)</f>
        <v/>
      </c>
      <c r="BM56" s="287" t="str">
        <f>'Statement of Marks'!F59</f>
        <v/>
      </c>
      <c r="BN56" s="288" t="str">
        <f t="shared" si="0"/>
        <v/>
      </c>
      <c r="BO56" s="288" t="str">
        <f t="shared" si="1"/>
        <v/>
      </c>
      <c r="BP56" s="288" t="str">
        <f t="shared" si="2"/>
        <v/>
      </c>
      <c r="BQ56" s="288" t="str">
        <f t="shared" si="3"/>
        <v/>
      </c>
      <c r="BR56" s="288" t="str">
        <f t="shared" si="4"/>
        <v/>
      </c>
      <c r="BS56" s="288" t="str">
        <f t="shared" si="5"/>
        <v/>
      </c>
      <c r="BT56" s="288" t="str">
        <f t="shared" si="6"/>
        <v/>
      </c>
      <c r="BU56" s="288" t="str">
        <f t="shared" si="7"/>
        <v/>
      </c>
      <c r="BV56" s="288" t="str">
        <f t="shared" si="8"/>
        <v/>
      </c>
      <c r="BW56" s="288" t="str">
        <f t="shared" si="9"/>
        <v/>
      </c>
      <c r="BX56" s="288" t="str">
        <f t="shared" si="10"/>
        <v/>
      </c>
      <c r="BY56" s="288" t="str">
        <f t="shared" si="11"/>
        <v/>
      </c>
      <c r="BZ56" s="289"/>
    </row>
    <row r="57" spans="1:78" ht="15.95" customHeight="1">
      <c r="A57" s="276">
        <f>IF('Statement of Marks'!A60="","",'Statement of Marks'!A60)</f>
        <v>54</v>
      </c>
      <c r="B57" s="277" t="str">
        <f>IF('Statement of Marks'!B60="","",'Statement of Marks'!B60)</f>
        <v/>
      </c>
      <c r="C57" s="278" t="str">
        <f>IF('Statement of Marks'!D60="","",'Statement of Marks'!D60)</f>
        <v/>
      </c>
      <c r="D57" s="314" t="str">
        <f>IF('Statement of Marks'!E60="","",'Statement of Marks'!E60)</f>
        <v/>
      </c>
      <c r="E57" s="279" t="str">
        <f>IF('Statement of Marks'!F60="","",'Statement of Marks'!F60)</f>
        <v/>
      </c>
      <c r="F57" s="279" t="str">
        <f>IF('Statement of Marks'!G60="","",'Statement of Marks'!G60)</f>
        <v/>
      </c>
      <c r="G57" s="279" t="str">
        <f>IF('Statement of Marks'!H60="","",'Statement of Marks'!H60)</f>
        <v/>
      </c>
      <c r="H57" s="280" t="str">
        <f>IF('Statement of Marks'!I60="","",'Statement of Marks'!I60)</f>
        <v/>
      </c>
      <c r="I57" s="280" t="str">
        <f>IF('Statement of Marks'!J60="","",'Statement of Marks'!J60)</f>
        <v/>
      </c>
      <c r="J57" s="827" t="str">
        <f>IF('Statement of Marks'!HS60="","",'Statement of Marks'!HS60)</f>
        <v/>
      </c>
      <c r="K57" s="281" t="str">
        <f>IF('Statement of Marks'!HT60="","",'Statement of Marks'!HT60)</f>
        <v/>
      </c>
      <c r="L57" s="828" t="str">
        <f>IF('Statement of Marks'!HW60="","",'Statement of Marks'!HW60)</f>
        <v/>
      </c>
      <c r="M57" s="281" t="str">
        <f>IF('Statement of Marks'!HV60="","",'Statement of Marks'!HV60)</f>
        <v/>
      </c>
      <c r="N57" s="829" t="str">
        <f>IF('Statement of Marks'!HX60="","",'Statement of Marks'!HX60)</f>
        <v/>
      </c>
      <c r="O57" s="282" t="str">
        <f>IF(J57="FAIL","",IF('Statement of Marks'!HO60="","",'Statement of Marks'!HO60))</f>
        <v xml:space="preserve">      </v>
      </c>
      <c r="P57" s="283" t="str">
        <f>IF('Supp. Result Entry'!AQ58="","",'Supp. Result Entry'!AQ58)</f>
        <v/>
      </c>
      <c r="Q57" s="284" t="str">
        <f>IF('Supp. Result Entry'!AR58="","",'Supp. Result Entry'!AR58)</f>
        <v/>
      </c>
      <c r="R57" s="285" t="str">
        <f>IF('Statement of Marks'!IA60="","",'Statement of Marks'!IA60)</f>
        <v/>
      </c>
      <c r="S57" s="286" t="str">
        <f>IF('Statement of Marks'!GL60="","",'Statement of Marks'!GL60)</f>
        <v/>
      </c>
      <c r="BM57" s="287" t="str">
        <f>'Statement of Marks'!F60</f>
        <v/>
      </c>
      <c r="BN57" s="288" t="str">
        <f t="shared" si="0"/>
        <v/>
      </c>
      <c r="BO57" s="288" t="str">
        <f t="shared" si="1"/>
        <v/>
      </c>
      <c r="BP57" s="288" t="str">
        <f t="shared" si="2"/>
        <v/>
      </c>
      <c r="BQ57" s="288" t="str">
        <f t="shared" si="3"/>
        <v/>
      </c>
      <c r="BR57" s="288" t="str">
        <f t="shared" si="4"/>
        <v/>
      </c>
      <c r="BS57" s="288" t="str">
        <f t="shared" si="5"/>
        <v/>
      </c>
      <c r="BT57" s="288" t="str">
        <f t="shared" si="6"/>
        <v/>
      </c>
      <c r="BU57" s="288" t="str">
        <f t="shared" si="7"/>
        <v/>
      </c>
      <c r="BV57" s="288" t="str">
        <f t="shared" si="8"/>
        <v/>
      </c>
      <c r="BW57" s="288" t="str">
        <f t="shared" si="9"/>
        <v/>
      </c>
      <c r="BX57" s="288" t="str">
        <f t="shared" si="10"/>
        <v/>
      </c>
      <c r="BY57" s="288" t="str">
        <f t="shared" si="11"/>
        <v/>
      </c>
      <c r="BZ57" s="289"/>
    </row>
    <row r="58" spans="1:78" ht="15.95" customHeight="1">
      <c r="A58" s="276">
        <f>IF('Statement of Marks'!A61="","",'Statement of Marks'!A61)</f>
        <v>55</v>
      </c>
      <c r="B58" s="277" t="str">
        <f>IF('Statement of Marks'!B61="","",'Statement of Marks'!B61)</f>
        <v/>
      </c>
      <c r="C58" s="278" t="str">
        <f>IF('Statement of Marks'!D61="","",'Statement of Marks'!D61)</f>
        <v/>
      </c>
      <c r="D58" s="314" t="str">
        <f>IF('Statement of Marks'!E61="","",'Statement of Marks'!E61)</f>
        <v/>
      </c>
      <c r="E58" s="279" t="str">
        <f>IF('Statement of Marks'!F61="","",'Statement of Marks'!F61)</f>
        <v/>
      </c>
      <c r="F58" s="279" t="str">
        <f>IF('Statement of Marks'!G61="","",'Statement of Marks'!G61)</f>
        <v/>
      </c>
      <c r="G58" s="279" t="str">
        <f>IF('Statement of Marks'!H61="","",'Statement of Marks'!H61)</f>
        <v/>
      </c>
      <c r="H58" s="280" t="str">
        <f>IF('Statement of Marks'!I61="","",'Statement of Marks'!I61)</f>
        <v/>
      </c>
      <c r="I58" s="280" t="str">
        <f>IF('Statement of Marks'!J61="","",'Statement of Marks'!J61)</f>
        <v/>
      </c>
      <c r="J58" s="826" t="str">
        <f>IF('Statement of Marks'!HS61="","",'Statement of Marks'!HS61)</f>
        <v/>
      </c>
      <c r="K58" s="281" t="str">
        <f>IF('Statement of Marks'!HT61="","",'Statement of Marks'!HT61)</f>
        <v/>
      </c>
      <c r="L58" s="828" t="str">
        <f>IF('Statement of Marks'!HW61="","",'Statement of Marks'!HW61)</f>
        <v/>
      </c>
      <c r="M58" s="281" t="str">
        <f>IF('Statement of Marks'!HV61="","",'Statement of Marks'!HV61)</f>
        <v/>
      </c>
      <c r="N58" s="829" t="str">
        <f>IF('Statement of Marks'!HX61="","",'Statement of Marks'!HX61)</f>
        <v/>
      </c>
      <c r="O58" s="282" t="str">
        <f>IF(J58="FAIL","",IF('Statement of Marks'!HO61="","",'Statement of Marks'!HO61))</f>
        <v xml:space="preserve">      </v>
      </c>
      <c r="P58" s="283" t="str">
        <f>IF('Supp. Result Entry'!AQ59="","",'Supp. Result Entry'!AQ59)</f>
        <v/>
      </c>
      <c r="Q58" s="284" t="str">
        <f>IF('Supp. Result Entry'!AR59="","",'Supp. Result Entry'!AR59)</f>
        <v/>
      </c>
      <c r="R58" s="285" t="str">
        <f>IF('Statement of Marks'!IA61="","",'Statement of Marks'!IA61)</f>
        <v/>
      </c>
      <c r="S58" s="286" t="str">
        <f>IF('Statement of Marks'!GL61="","",'Statement of Marks'!GL61)</f>
        <v/>
      </c>
      <c r="BM58" s="287" t="str">
        <f>'Statement of Marks'!F61</f>
        <v/>
      </c>
      <c r="BN58" s="288" t="str">
        <f t="shared" si="0"/>
        <v/>
      </c>
      <c r="BO58" s="288" t="str">
        <f t="shared" si="1"/>
        <v/>
      </c>
      <c r="BP58" s="288" t="str">
        <f t="shared" si="2"/>
        <v/>
      </c>
      <c r="BQ58" s="288" t="str">
        <f t="shared" si="3"/>
        <v/>
      </c>
      <c r="BR58" s="288" t="str">
        <f t="shared" si="4"/>
        <v/>
      </c>
      <c r="BS58" s="288" t="str">
        <f t="shared" si="5"/>
        <v/>
      </c>
      <c r="BT58" s="288" t="str">
        <f t="shared" si="6"/>
        <v/>
      </c>
      <c r="BU58" s="288" t="str">
        <f t="shared" si="7"/>
        <v/>
      </c>
      <c r="BV58" s="288" t="str">
        <f t="shared" si="8"/>
        <v/>
      </c>
      <c r="BW58" s="288" t="str">
        <f t="shared" si="9"/>
        <v/>
      </c>
      <c r="BX58" s="288" t="str">
        <f t="shared" si="10"/>
        <v/>
      </c>
      <c r="BY58" s="288" t="str">
        <f t="shared" si="11"/>
        <v/>
      </c>
      <c r="BZ58" s="289"/>
    </row>
    <row r="59" spans="1:78" ht="15.95" customHeight="1">
      <c r="A59" s="276">
        <f>IF('Statement of Marks'!A62="","",'Statement of Marks'!A62)</f>
        <v>56</v>
      </c>
      <c r="B59" s="277" t="str">
        <f>IF('Statement of Marks'!B62="","",'Statement of Marks'!B62)</f>
        <v/>
      </c>
      <c r="C59" s="278" t="str">
        <f>IF('Statement of Marks'!D62="","",'Statement of Marks'!D62)</f>
        <v/>
      </c>
      <c r="D59" s="314" t="str">
        <f>IF('Statement of Marks'!E62="","",'Statement of Marks'!E62)</f>
        <v/>
      </c>
      <c r="E59" s="279" t="str">
        <f>IF('Statement of Marks'!F62="","",'Statement of Marks'!F62)</f>
        <v/>
      </c>
      <c r="F59" s="279" t="str">
        <f>IF('Statement of Marks'!G62="","",'Statement of Marks'!G62)</f>
        <v/>
      </c>
      <c r="G59" s="279" t="str">
        <f>IF('Statement of Marks'!H62="","",'Statement of Marks'!H62)</f>
        <v/>
      </c>
      <c r="H59" s="280" t="str">
        <f>IF('Statement of Marks'!I62="","",'Statement of Marks'!I62)</f>
        <v/>
      </c>
      <c r="I59" s="280" t="str">
        <f>IF('Statement of Marks'!J62="","",'Statement of Marks'!J62)</f>
        <v/>
      </c>
      <c r="J59" s="827" t="str">
        <f>IF('Statement of Marks'!HS62="","",'Statement of Marks'!HS62)</f>
        <v/>
      </c>
      <c r="K59" s="281" t="str">
        <f>IF('Statement of Marks'!HT62="","",'Statement of Marks'!HT62)</f>
        <v/>
      </c>
      <c r="L59" s="828" t="str">
        <f>IF('Statement of Marks'!HW62="","",'Statement of Marks'!HW62)</f>
        <v/>
      </c>
      <c r="M59" s="281" t="str">
        <f>IF('Statement of Marks'!HV62="","",'Statement of Marks'!HV62)</f>
        <v/>
      </c>
      <c r="N59" s="829" t="str">
        <f>IF('Statement of Marks'!HX62="","",'Statement of Marks'!HX62)</f>
        <v/>
      </c>
      <c r="O59" s="282" t="str">
        <f>IF(J59="FAIL","",IF('Statement of Marks'!HO62="","",'Statement of Marks'!HO62))</f>
        <v xml:space="preserve">      </v>
      </c>
      <c r="P59" s="283" t="str">
        <f>IF('Supp. Result Entry'!AQ60="","",'Supp. Result Entry'!AQ60)</f>
        <v/>
      </c>
      <c r="Q59" s="284" t="str">
        <f>IF('Supp. Result Entry'!AR60="","",'Supp. Result Entry'!AR60)</f>
        <v/>
      </c>
      <c r="R59" s="285" t="str">
        <f>IF('Statement of Marks'!IA62="","",'Statement of Marks'!IA62)</f>
        <v/>
      </c>
      <c r="S59" s="286" t="str">
        <f>IF('Statement of Marks'!GL62="","",'Statement of Marks'!GL62)</f>
        <v/>
      </c>
      <c r="BM59" s="287" t="str">
        <f>'Statement of Marks'!F62</f>
        <v/>
      </c>
      <c r="BN59" s="288" t="str">
        <f t="shared" si="0"/>
        <v/>
      </c>
      <c r="BO59" s="288" t="str">
        <f t="shared" si="1"/>
        <v/>
      </c>
      <c r="BP59" s="288" t="str">
        <f t="shared" si="2"/>
        <v/>
      </c>
      <c r="BQ59" s="288" t="str">
        <f t="shared" si="3"/>
        <v/>
      </c>
      <c r="BR59" s="288" t="str">
        <f t="shared" si="4"/>
        <v/>
      </c>
      <c r="BS59" s="288" t="str">
        <f t="shared" si="5"/>
        <v/>
      </c>
      <c r="BT59" s="288" t="str">
        <f t="shared" si="6"/>
        <v/>
      </c>
      <c r="BU59" s="288" t="str">
        <f t="shared" si="7"/>
        <v/>
      </c>
      <c r="BV59" s="288" t="str">
        <f t="shared" si="8"/>
        <v/>
      </c>
      <c r="BW59" s="288" t="str">
        <f t="shared" si="9"/>
        <v/>
      </c>
      <c r="BX59" s="288" t="str">
        <f t="shared" si="10"/>
        <v/>
      </c>
      <c r="BY59" s="288" t="str">
        <f t="shared" si="11"/>
        <v/>
      </c>
      <c r="BZ59" s="289"/>
    </row>
    <row r="60" spans="1:78" ht="15.95" customHeight="1">
      <c r="A60" s="276">
        <f>IF('Statement of Marks'!A63="","",'Statement of Marks'!A63)</f>
        <v>57</v>
      </c>
      <c r="B60" s="277" t="str">
        <f>IF('Statement of Marks'!B63="","",'Statement of Marks'!B63)</f>
        <v/>
      </c>
      <c r="C60" s="278" t="str">
        <f>IF('Statement of Marks'!D63="","",'Statement of Marks'!D63)</f>
        <v/>
      </c>
      <c r="D60" s="314" t="str">
        <f>IF('Statement of Marks'!E63="","",'Statement of Marks'!E63)</f>
        <v/>
      </c>
      <c r="E60" s="279" t="str">
        <f>IF('Statement of Marks'!F63="","",'Statement of Marks'!F63)</f>
        <v/>
      </c>
      <c r="F60" s="279" t="str">
        <f>IF('Statement of Marks'!G63="","",'Statement of Marks'!G63)</f>
        <v/>
      </c>
      <c r="G60" s="279" t="str">
        <f>IF('Statement of Marks'!H63="","",'Statement of Marks'!H63)</f>
        <v/>
      </c>
      <c r="H60" s="280" t="str">
        <f>IF('Statement of Marks'!I63="","",'Statement of Marks'!I63)</f>
        <v/>
      </c>
      <c r="I60" s="280" t="str">
        <f>IF('Statement of Marks'!J63="","",'Statement of Marks'!J63)</f>
        <v/>
      </c>
      <c r="J60" s="827" t="str">
        <f>IF('Statement of Marks'!HS63="","",'Statement of Marks'!HS63)</f>
        <v/>
      </c>
      <c r="K60" s="281" t="str">
        <f>IF('Statement of Marks'!HT63="","",'Statement of Marks'!HT63)</f>
        <v/>
      </c>
      <c r="L60" s="828" t="str">
        <f>IF('Statement of Marks'!HW63="","",'Statement of Marks'!HW63)</f>
        <v/>
      </c>
      <c r="M60" s="281" t="str">
        <f>IF('Statement of Marks'!HV63="","",'Statement of Marks'!HV63)</f>
        <v/>
      </c>
      <c r="N60" s="829" t="str">
        <f>IF('Statement of Marks'!HX63="","",'Statement of Marks'!HX63)</f>
        <v/>
      </c>
      <c r="O60" s="282" t="str">
        <f>IF(J60="FAIL","",IF('Statement of Marks'!HO63="","",'Statement of Marks'!HO63))</f>
        <v xml:space="preserve">      </v>
      </c>
      <c r="P60" s="283" t="str">
        <f>IF('Supp. Result Entry'!AQ61="","",'Supp. Result Entry'!AQ61)</f>
        <v/>
      </c>
      <c r="Q60" s="284" t="str">
        <f>IF('Supp. Result Entry'!AR61="","",'Supp. Result Entry'!AR61)</f>
        <v/>
      </c>
      <c r="R60" s="285" t="str">
        <f>IF('Statement of Marks'!IA63="","",'Statement of Marks'!IA63)</f>
        <v/>
      </c>
      <c r="S60" s="286" t="str">
        <f>IF('Statement of Marks'!GL63="","",'Statement of Marks'!GL63)</f>
        <v/>
      </c>
      <c r="BM60" s="287" t="str">
        <f>'Statement of Marks'!F63</f>
        <v/>
      </c>
      <c r="BN60" s="288" t="str">
        <f t="shared" si="0"/>
        <v/>
      </c>
      <c r="BO60" s="288" t="str">
        <f t="shared" si="1"/>
        <v/>
      </c>
      <c r="BP60" s="288" t="str">
        <f t="shared" si="2"/>
        <v/>
      </c>
      <c r="BQ60" s="288" t="str">
        <f t="shared" si="3"/>
        <v/>
      </c>
      <c r="BR60" s="288" t="str">
        <f t="shared" si="4"/>
        <v/>
      </c>
      <c r="BS60" s="288" t="str">
        <f t="shared" si="5"/>
        <v/>
      </c>
      <c r="BT60" s="288" t="str">
        <f t="shared" si="6"/>
        <v/>
      </c>
      <c r="BU60" s="288" t="str">
        <f t="shared" si="7"/>
        <v/>
      </c>
      <c r="BV60" s="288" t="str">
        <f t="shared" si="8"/>
        <v/>
      </c>
      <c r="BW60" s="288" t="str">
        <f t="shared" si="9"/>
        <v/>
      </c>
      <c r="BX60" s="288" t="str">
        <f t="shared" si="10"/>
        <v/>
      </c>
      <c r="BY60" s="288" t="str">
        <f t="shared" si="11"/>
        <v/>
      </c>
      <c r="BZ60" s="289"/>
    </row>
    <row r="61" spans="1:78" ht="15.95" customHeight="1">
      <c r="A61" s="276">
        <f>IF('Statement of Marks'!A64="","",'Statement of Marks'!A64)</f>
        <v>58</v>
      </c>
      <c r="B61" s="277" t="str">
        <f>IF('Statement of Marks'!B64="","",'Statement of Marks'!B64)</f>
        <v/>
      </c>
      <c r="C61" s="278" t="str">
        <f>IF('Statement of Marks'!D64="","",'Statement of Marks'!D64)</f>
        <v/>
      </c>
      <c r="D61" s="314" t="str">
        <f>IF('Statement of Marks'!E64="","",'Statement of Marks'!E64)</f>
        <v/>
      </c>
      <c r="E61" s="279" t="str">
        <f>IF('Statement of Marks'!F64="","",'Statement of Marks'!F64)</f>
        <v/>
      </c>
      <c r="F61" s="279" t="str">
        <f>IF('Statement of Marks'!G64="","",'Statement of Marks'!G64)</f>
        <v/>
      </c>
      <c r="G61" s="279" t="str">
        <f>IF('Statement of Marks'!H64="","",'Statement of Marks'!H64)</f>
        <v/>
      </c>
      <c r="H61" s="280" t="str">
        <f>IF('Statement of Marks'!I64="","",'Statement of Marks'!I64)</f>
        <v/>
      </c>
      <c r="I61" s="280" t="str">
        <f>IF('Statement of Marks'!J64="","",'Statement of Marks'!J64)</f>
        <v/>
      </c>
      <c r="J61" s="827" t="str">
        <f>IF('Statement of Marks'!HS64="","",'Statement of Marks'!HS64)</f>
        <v/>
      </c>
      <c r="K61" s="281" t="str">
        <f>IF('Statement of Marks'!HT64="","",'Statement of Marks'!HT64)</f>
        <v/>
      </c>
      <c r="L61" s="828" t="str">
        <f>IF('Statement of Marks'!HW64="","",'Statement of Marks'!HW64)</f>
        <v/>
      </c>
      <c r="M61" s="281" t="str">
        <f>IF('Statement of Marks'!HV64="","",'Statement of Marks'!HV64)</f>
        <v/>
      </c>
      <c r="N61" s="829" t="str">
        <f>IF('Statement of Marks'!HX64="","",'Statement of Marks'!HX64)</f>
        <v/>
      </c>
      <c r="O61" s="282" t="str">
        <f>IF(J61="FAIL","",IF('Statement of Marks'!HO64="","",'Statement of Marks'!HO64))</f>
        <v xml:space="preserve">      </v>
      </c>
      <c r="P61" s="283" t="str">
        <f>IF('Supp. Result Entry'!AQ62="","",'Supp. Result Entry'!AQ62)</f>
        <v/>
      </c>
      <c r="Q61" s="284" t="str">
        <f>IF('Supp. Result Entry'!AR62="","",'Supp. Result Entry'!AR62)</f>
        <v/>
      </c>
      <c r="R61" s="285" t="str">
        <f>IF('Statement of Marks'!IA64="","",'Statement of Marks'!IA64)</f>
        <v/>
      </c>
      <c r="S61" s="286" t="str">
        <f>IF('Statement of Marks'!GL64="","",'Statement of Marks'!GL64)</f>
        <v/>
      </c>
      <c r="BM61" s="287" t="str">
        <f>'Statement of Marks'!F64</f>
        <v/>
      </c>
      <c r="BN61" s="288" t="str">
        <f t="shared" si="0"/>
        <v/>
      </c>
      <c r="BO61" s="288" t="str">
        <f t="shared" si="1"/>
        <v/>
      </c>
      <c r="BP61" s="288" t="str">
        <f t="shared" si="2"/>
        <v/>
      </c>
      <c r="BQ61" s="288" t="str">
        <f t="shared" si="3"/>
        <v/>
      </c>
      <c r="BR61" s="288" t="str">
        <f t="shared" si="4"/>
        <v/>
      </c>
      <c r="BS61" s="288" t="str">
        <f t="shared" si="5"/>
        <v/>
      </c>
      <c r="BT61" s="288" t="str">
        <f t="shared" si="6"/>
        <v/>
      </c>
      <c r="BU61" s="288" t="str">
        <f t="shared" si="7"/>
        <v/>
      </c>
      <c r="BV61" s="288" t="str">
        <f t="shared" si="8"/>
        <v/>
      </c>
      <c r="BW61" s="288" t="str">
        <f t="shared" si="9"/>
        <v/>
      </c>
      <c r="BX61" s="288" t="str">
        <f t="shared" si="10"/>
        <v/>
      </c>
      <c r="BY61" s="288" t="str">
        <f t="shared" si="11"/>
        <v/>
      </c>
      <c r="BZ61" s="289"/>
    </row>
    <row r="62" spans="1:78" ht="15.95" customHeight="1">
      <c r="A62" s="276">
        <f>IF('Statement of Marks'!A65="","",'Statement of Marks'!A65)</f>
        <v>59</v>
      </c>
      <c r="B62" s="277" t="str">
        <f>IF('Statement of Marks'!B65="","",'Statement of Marks'!B65)</f>
        <v/>
      </c>
      <c r="C62" s="278" t="str">
        <f>IF('Statement of Marks'!D65="","",'Statement of Marks'!D65)</f>
        <v/>
      </c>
      <c r="D62" s="314" t="str">
        <f>IF('Statement of Marks'!E65="","",'Statement of Marks'!E65)</f>
        <v/>
      </c>
      <c r="E62" s="279" t="str">
        <f>IF('Statement of Marks'!F65="","",'Statement of Marks'!F65)</f>
        <v/>
      </c>
      <c r="F62" s="279" t="str">
        <f>IF('Statement of Marks'!G65="","",'Statement of Marks'!G65)</f>
        <v/>
      </c>
      <c r="G62" s="279" t="str">
        <f>IF('Statement of Marks'!H65="","",'Statement of Marks'!H65)</f>
        <v/>
      </c>
      <c r="H62" s="280" t="str">
        <f>IF('Statement of Marks'!I65="","",'Statement of Marks'!I65)</f>
        <v/>
      </c>
      <c r="I62" s="280" t="str">
        <f>IF('Statement of Marks'!J65="","",'Statement of Marks'!J65)</f>
        <v/>
      </c>
      <c r="J62" s="827" t="str">
        <f>IF('Statement of Marks'!HS65="","",'Statement of Marks'!HS65)</f>
        <v/>
      </c>
      <c r="K62" s="281" t="str">
        <f>IF('Statement of Marks'!HT65="","",'Statement of Marks'!HT65)</f>
        <v/>
      </c>
      <c r="L62" s="828" t="str">
        <f>IF('Statement of Marks'!HW65="","",'Statement of Marks'!HW65)</f>
        <v/>
      </c>
      <c r="M62" s="281" t="str">
        <f>IF('Statement of Marks'!HV65="","",'Statement of Marks'!HV65)</f>
        <v/>
      </c>
      <c r="N62" s="829" t="str">
        <f>IF('Statement of Marks'!HX65="","",'Statement of Marks'!HX65)</f>
        <v/>
      </c>
      <c r="O62" s="282" t="str">
        <f>IF(J62="FAIL","",IF('Statement of Marks'!HO65="","",'Statement of Marks'!HO65))</f>
        <v xml:space="preserve">      </v>
      </c>
      <c r="P62" s="283" t="str">
        <f>IF('Supp. Result Entry'!AQ63="","",'Supp. Result Entry'!AQ63)</f>
        <v/>
      </c>
      <c r="Q62" s="284" t="str">
        <f>IF('Supp. Result Entry'!AR63="","",'Supp. Result Entry'!AR63)</f>
        <v/>
      </c>
      <c r="R62" s="285" t="str">
        <f>IF('Statement of Marks'!IA65="","",'Statement of Marks'!IA65)</f>
        <v/>
      </c>
      <c r="S62" s="286" t="str">
        <f>IF('Statement of Marks'!GL65="","",'Statement of Marks'!GL65)</f>
        <v/>
      </c>
      <c r="BM62" s="287" t="str">
        <f>'Statement of Marks'!F65</f>
        <v/>
      </c>
      <c r="BN62" s="288" t="str">
        <f t="shared" si="0"/>
        <v/>
      </c>
      <c r="BO62" s="288" t="str">
        <f t="shared" si="1"/>
        <v/>
      </c>
      <c r="BP62" s="288" t="str">
        <f t="shared" si="2"/>
        <v/>
      </c>
      <c r="BQ62" s="288" t="str">
        <f t="shared" si="3"/>
        <v/>
      </c>
      <c r="BR62" s="288" t="str">
        <f t="shared" si="4"/>
        <v/>
      </c>
      <c r="BS62" s="288" t="str">
        <f t="shared" si="5"/>
        <v/>
      </c>
      <c r="BT62" s="288" t="str">
        <f t="shared" si="6"/>
        <v/>
      </c>
      <c r="BU62" s="288" t="str">
        <f t="shared" si="7"/>
        <v/>
      </c>
      <c r="BV62" s="288" t="str">
        <f t="shared" si="8"/>
        <v/>
      </c>
      <c r="BW62" s="288" t="str">
        <f t="shared" si="9"/>
        <v/>
      </c>
      <c r="BX62" s="288" t="str">
        <f t="shared" si="10"/>
        <v/>
      </c>
      <c r="BY62" s="288" t="str">
        <f t="shared" si="11"/>
        <v/>
      </c>
      <c r="BZ62" s="289"/>
    </row>
    <row r="63" spans="1:78" ht="15.95" customHeight="1">
      <c r="A63" s="276">
        <f>IF('Statement of Marks'!A66="","",'Statement of Marks'!A66)</f>
        <v>60</v>
      </c>
      <c r="B63" s="277" t="str">
        <f>IF('Statement of Marks'!B66="","",'Statement of Marks'!B66)</f>
        <v/>
      </c>
      <c r="C63" s="278" t="str">
        <f>IF('Statement of Marks'!D66="","",'Statement of Marks'!D66)</f>
        <v/>
      </c>
      <c r="D63" s="314" t="str">
        <f>IF('Statement of Marks'!E66="","",'Statement of Marks'!E66)</f>
        <v/>
      </c>
      <c r="E63" s="279" t="str">
        <f>IF('Statement of Marks'!F66="","",'Statement of Marks'!F66)</f>
        <v/>
      </c>
      <c r="F63" s="279" t="str">
        <f>IF('Statement of Marks'!G66="","",'Statement of Marks'!G66)</f>
        <v/>
      </c>
      <c r="G63" s="279" t="str">
        <f>IF('Statement of Marks'!H66="","",'Statement of Marks'!H66)</f>
        <v/>
      </c>
      <c r="H63" s="280" t="str">
        <f>IF('Statement of Marks'!I66="","",'Statement of Marks'!I66)</f>
        <v/>
      </c>
      <c r="I63" s="280" t="str">
        <f>IF('Statement of Marks'!J66="","",'Statement of Marks'!J66)</f>
        <v/>
      </c>
      <c r="J63" s="827" t="str">
        <f>IF('Statement of Marks'!HS66="","",'Statement of Marks'!HS66)</f>
        <v/>
      </c>
      <c r="K63" s="281" t="str">
        <f>IF('Statement of Marks'!HT66="","",'Statement of Marks'!HT66)</f>
        <v/>
      </c>
      <c r="L63" s="828" t="str">
        <f>IF('Statement of Marks'!HW66="","",'Statement of Marks'!HW66)</f>
        <v/>
      </c>
      <c r="M63" s="281" t="str">
        <f>IF('Statement of Marks'!HV66="","",'Statement of Marks'!HV66)</f>
        <v/>
      </c>
      <c r="N63" s="829" t="str">
        <f>IF('Statement of Marks'!HX66="","",'Statement of Marks'!HX66)</f>
        <v/>
      </c>
      <c r="O63" s="282" t="str">
        <f>IF(J63="FAIL","",IF('Statement of Marks'!HO66="","",'Statement of Marks'!HO66))</f>
        <v xml:space="preserve">      </v>
      </c>
      <c r="P63" s="283" t="str">
        <f>IF('Supp. Result Entry'!AQ64="","",'Supp. Result Entry'!AQ64)</f>
        <v/>
      </c>
      <c r="Q63" s="284" t="str">
        <f>IF('Supp. Result Entry'!AR64="","",'Supp. Result Entry'!AR64)</f>
        <v/>
      </c>
      <c r="R63" s="285" t="str">
        <f>IF('Statement of Marks'!IA66="","",'Statement of Marks'!IA66)</f>
        <v/>
      </c>
      <c r="S63" s="286" t="str">
        <f>IF('Statement of Marks'!GL66="","",'Statement of Marks'!GL66)</f>
        <v/>
      </c>
      <c r="BM63" s="287" t="str">
        <f>'Statement of Marks'!F66</f>
        <v/>
      </c>
      <c r="BN63" s="288" t="str">
        <f t="shared" si="0"/>
        <v/>
      </c>
      <c r="BO63" s="288" t="str">
        <f t="shared" si="1"/>
        <v/>
      </c>
      <c r="BP63" s="288" t="str">
        <f t="shared" si="2"/>
        <v/>
      </c>
      <c r="BQ63" s="288" t="str">
        <f t="shared" si="3"/>
        <v/>
      </c>
      <c r="BR63" s="288" t="str">
        <f t="shared" si="4"/>
        <v/>
      </c>
      <c r="BS63" s="288" t="str">
        <f t="shared" si="5"/>
        <v/>
      </c>
      <c r="BT63" s="288" t="str">
        <f t="shared" si="6"/>
        <v/>
      </c>
      <c r="BU63" s="288" t="str">
        <f t="shared" si="7"/>
        <v/>
      </c>
      <c r="BV63" s="288" t="str">
        <f t="shared" si="8"/>
        <v/>
      </c>
      <c r="BW63" s="288" t="str">
        <f t="shared" si="9"/>
        <v/>
      </c>
      <c r="BX63" s="288" t="str">
        <f t="shared" si="10"/>
        <v/>
      </c>
      <c r="BY63" s="288" t="str">
        <f t="shared" si="11"/>
        <v/>
      </c>
      <c r="BZ63" s="289"/>
    </row>
    <row r="64" spans="1:78" ht="15.95" customHeight="1">
      <c r="A64" s="276">
        <f>IF('Statement of Marks'!A67="","",'Statement of Marks'!A67)</f>
        <v>61</v>
      </c>
      <c r="B64" s="277" t="str">
        <f>IF('Statement of Marks'!B67="","",'Statement of Marks'!B67)</f>
        <v/>
      </c>
      <c r="C64" s="278" t="str">
        <f>IF('Statement of Marks'!D67="","",'Statement of Marks'!D67)</f>
        <v/>
      </c>
      <c r="D64" s="314" t="str">
        <f>IF('Statement of Marks'!E67="","",'Statement of Marks'!E67)</f>
        <v/>
      </c>
      <c r="E64" s="279" t="str">
        <f>IF('Statement of Marks'!F67="","",'Statement of Marks'!F67)</f>
        <v/>
      </c>
      <c r="F64" s="279" t="str">
        <f>IF('Statement of Marks'!G67="","",'Statement of Marks'!G67)</f>
        <v/>
      </c>
      <c r="G64" s="279" t="str">
        <f>IF('Statement of Marks'!H67="","",'Statement of Marks'!H67)</f>
        <v/>
      </c>
      <c r="H64" s="280" t="str">
        <f>IF('Statement of Marks'!I67="","",'Statement of Marks'!I67)</f>
        <v/>
      </c>
      <c r="I64" s="280" t="str">
        <f>IF('Statement of Marks'!J67="","",'Statement of Marks'!J67)</f>
        <v/>
      </c>
      <c r="J64" s="827" t="str">
        <f>IF('Statement of Marks'!HS67="","",'Statement of Marks'!HS67)</f>
        <v/>
      </c>
      <c r="K64" s="281" t="str">
        <f>IF('Statement of Marks'!HT67="","",'Statement of Marks'!HT67)</f>
        <v/>
      </c>
      <c r="L64" s="828" t="str">
        <f>IF('Statement of Marks'!HW67="","",'Statement of Marks'!HW67)</f>
        <v/>
      </c>
      <c r="M64" s="281" t="str">
        <f>IF('Statement of Marks'!HV67="","",'Statement of Marks'!HV67)</f>
        <v/>
      </c>
      <c r="N64" s="829" t="str">
        <f>IF('Statement of Marks'!HX67="","",'Statement of Marks'!HX67)</f>
        <v/>
      </c>
      <c r="O64" s="282" t="str">
        <f>IF(J64="FAIL","",IF('Statement of Marks'!HO67="","",'Statement of Marks'!HO67))</f>
        <v xml:space="preserve">      </v>
      </c>
      <c r="P64" s="283" t="str">
        <f>IF('Supp. Result Entry'!AQ65="","",'Supp. Result Entry'!AQ65)</f>
        <v/>
      </c>
      <c r="Q64" s="284" t="str">
        <f>IF('Supp. Result Entry'!AR65="","",'Supp. Result Entry'!AR65)</f>
        <v/>
      </c>
      <c r="R64" s="285" t="str">
        <f>IF('Statement of Marks'!IA67="","",'Statement of Marks'!IA67)</f>
        <v/>
      </c>
      <c r="S64" s="286" t="str">
        <f>IF('Statement of Marks'!GL67="","",'Statement of Marks'!GL67)</f>
        <v/>
      </c>
      <c r="BM64" s="287" t="str">
        <f>'Statement of Marks'!F67</f>
        <v/>
      </c>
      <c r="BN64" s="288" t="str">
        <f t="shared" si="0"/>
        <v/>
      </c>
      <c r="BO64" s="288" t="str">
        <f t="shared" si="1"/>
        <v/>
      </c>
      <c r="BP64" s="288" t="str">
        <f t="shared" si="2"/>
        <v/>
      </c>
      <c r="BQ64" s="288" t="str">
        <f t="shared" si="3"/>
        <v/>
      </c>
      <c r="BR64" s="288" t="str">
        <f t="shared" si="4"/>
        <v/>
      </c>
      <c r="BS64" s="288" t="str">
        <f t="shared" si="5"/>
        <v/>
      </c>
      <c r="BT64" s="288" t="str">
        <f t="shared" si="6"/>
        <v/>
      </c>
      <c r="BU64" s="288" t="str">
        <f t="shared" si="7"/>
        <v/>
      </c>
      <c r="BV64" s="288" t="str">
        <f t="shared" si="8"/>
        <v/>
      </c>
      <c r="BW64" s="288" t="str">
        <f t="shared" si="9"/>
        <v/>
      </c>
      <c r="BX64" s="288" t="str">
        <f t="shared" si="10"/>
        <v/>
      </c>
      <c r="BY64" s="288" t="str">
        <f t="shared" si="11"/>
        <v/>
      </c>
      <c r="BZ64" s="289"/>
    </row>
    <row r="65" spans="1:78" ht="15.95" customHeight="1">
      <c r="A65" s="276">
        <f>IF('Statement of Marks'!A68="","",'Statement of Marks'!A68)</f>
        <v>62</v>
      </c>
      <c r="B65" s="277" t="str">
        <f>IF('Statement of Marks'!B68="","",'Statement of Marks'!B68)</f>
        <v/>
      </c>
      <c r="C65" s="278" t="str">
        <f>IF('Statement of Marks'!D68="","",'Statement of Marks'!D68)</f>
        <v/>
      </c>
      <c r="D65" s="314" t="str">
        <f>IF('Statement of Marks'!E68="","",'Statement of Marks'!E68)</f>
        <v/>
      </c>
      <c r="E65" s="279" t="str">
        <f>IF('Statement of Marks'!F68="","",'Statement of Marks'!F68)</f>
        <v/>
      </c>
      <c r="F65" s="279" t="str">
        <f>IF('Statement of Marks'!G68="","",'Statement of Marks'!G68)</f>
        <v/>
      </c>
      <c r="G65" s="279" t="str">
        <f>IF('Statement of Marks'!H68="","",'Statement of Marks'!H68)</f>
        <v/>
      </c>
      <c r="H65" s="280" t="str">
        <f>IF('Statement of Marks'!I68="","",'Statement of Marks'!I68)</f>
        <v/>
      </c>
      <c r="I65" s="280" t="str">
        <f>IF('Statement of Marks'!J68="","",'Statement of Marks'!J68)</f>
        <v/>
      </c>
      <c r="J65" s="827" t="str">
        <f>IF('Statement of Marks'!HS68="","",'Statement of Marks'!HS68)</f>
        <v/>
      </c>
      <c r="K65" s="281" t="str">
        <f>IF('Statement of Marks'!HT68="","",'Statement of Marks'!HT68)</f>
        <v/>
      </c>
      <c r="L65" s="828" t="str">
        <f>IF('Statement of Marks'!HW68="","",'Statement of Marks'!HW68)</f>
        <v/>
      </c>
      <c r="M65" s="281" t="str">
        <f>IF('Statement of Marks'!HV68="","",'Statement of Marks'!HV68)</f>
        <v/>
      </c>
      <c r="N65" s="829" t="str">
        <f>IF('Statement of Marks'!HX68="","",'Statement of Marks'!HX68)</f>
        <v/>
      </c>
      <c r="O65" s="282" t="str">
        <f>IF(J65="FAIL","",IF('Statement of Marks'!HO68="","",'Statement of Marks'!HO68))</f>
        <v xml:space="preserve">      </v>
      </c>
      <c r="P65" s="283" t="str">
        <f>IF('Supp. Result Entry'!AQ66="","",'Supp. Result Entry'!AQ66)</f>
        <v/>
      </c>
      <c r="Q65" s="284" t="str">
        <f>IF('Supp. Result Entry'!AR66="","",'Supp. Result Entry'!AR66)</f>
        <v/>
      </c>
      <c r="R65" s="285" t="str">
        <f>IF('Statement of Marks'!IA68="","",'Statement of Marks'!IA68)</f>
        <v/>
      </c>
      <c r="S65" s="286" t="str">
        <f>IF('Statement of Marks'!GL68="","",'Statement of Marks'!GL68)</f>
        <v/>
      </c>
      <c r="BM65" s="287" t="str">
        <f>'Statement of Marks'!F68</f>
        <v/>
      </c>
      <c r="BN65" s="288" t="str">
        <f t="shared" si="0"/>
        <v/>
      </c>
      <c r="BO65" s="288" t="str">
        <f t="shared" si="1"/>
        <v/>
      </c>
      <c r="BP65" s="288" t="str">
        <f t="shared" si="2"/>
        <v/>
      </c>
      <c r="BQ65" s="288" t="str">
        <f t="shared" si="3"/>
        <v/>
      </c>
      <c r="BR65" s="288" t="str">
        <f t="shared" si="4"/>
        <v/>
      </c>
      <c r="BS65" s="288" t="str">
        <f t="shared" si="5"/>
        <v/>
      </c>
      <c r="BT65" s="288" t="str">
        <f t="shared" si="6"/>
        <v/>
      </c>
      <c r="BU65" s="288" t="str">
        <f t="shared" si="7"/>
        <v/>
      </c>
      <c r="BV65" s="288" t="str">
        <f t="shared" si="8"/>
        <v/>
      </c>
      <c r="BW65" s="288" t="str">
        <f t="shared" si="9"/>
        <v/>
      </c>
      <c r="BX65" s="288" t="str">
        <f t="shared" si="10"/>
        <v/>
      </c>
      <c r="BY65" s="288" t="str">
        <f t="shared" si="11"/>
        <v/>
      </c>
      <c r="BZ65" s="289"/>
    </row>
    <row r="66" spans="1:78" ht="15.95" customHeight="1">
      <c r="A66" s="276">
        <f>IF('Statement of Marks'!A69="","",'Statement of Marks'!A69)</f>
        <v>63</v>
      </c>
      <c r="B66" s="277" t="str">
        <f>IF('Statement of Marks'!B69="","",'Statement of Marks'!B69)</f>
        <v/>
      </c>
      <c r="C66" s="278" t="str">
        <f>IF('Statement of Marks'!D69="","",'Statement of Marks'!D69)</f>
        <v/>
      </c>
      <c r="D66" s="314" t="str">
        <f>IF('Statement of Marks'!E69="","",'Statement of Marks'!E69)</f>
        <v/>
      </c>
      <c r="E66" s="279" t="str">
        <f>IF('Statement of Marks'!F69="","",'Statement of Marks'!F69)</f>
        <v/>
      </c>
      <c r="F66" s="279" t="str">
        <f>IF('Statement of Marks'!G69="","",'Statement of Marks'!G69)</f>
        <v/>
      </c>
      <c r="G66" s="279" t="str">
        <f>IF('Statement of Marks'!H69="","",'Statement of Marks'!H69)</f>
        <v/>
      </c>
      <c r="H66" s="280" t="str">
        <f>IF('Statement of Marks'!I69="","",'Statement of Marks'!I69)</f>
        <v/>
      </c>
      <c r="I66" s="280" t="str">
        <f>IF('Statement of Marks'!J69="","",'Statement of Marks'!J69)</f>
        <v/>
      </c>
      <c r="J66" s="827" t="str">
        <f>IF('Statement of Marks'!HS69="","",'Statement of Marks'!HS69)</f>
        <v/>
      </c>
      <c r="K66" s="281" t="str">
        <f>IF('Statement of Marks'!HT69="","",'Statement of Marks'!HT69)</f>
        <v/>
      </c>
      <c r="L66" s="828" t="str">
        <f>IF('Statement of Marks'!HW69="","",'Statement of Marks'!HW69)</f>
        <v/>
      </c>
      <c r="M66" s="281" t="str">
        <f>IF('Statement of Marks'!HV69="","",'Statement of Marks'!HV69)</f>
        <v/>
      </c>
      <c r="N66" s="829" t="str">
        <f>IF('Statement of Marks'!HX69="","",'Statement of Marks'!HX69)</f>
        <v/>
      </c>
      <c r="O66" s="282" t="str">
        <f>IF(J66="FAIL","",IF('Statement of Marks'!HO69="","",'Statement of Marks'!HO69))</f>
        <v xml:space="preserve">      </v>
      </c>
      <c r="P66" s="283" t="str">
        <f>IF('Supp. Result Entry'!AQ67="","",'Supp. Result Entry'!AQ67)</f>
        <v/>
      </c>
      <c r="Q66" s="284" t="str">
        <f>IF('Supp. Result Entry'!AR67="","",'Supp. Result Entry'!AR67)</f>
        <v/>
      </c>
      <c r="R66" s="285" t="str">
        <f>IF('Statement of Marks'!IA69="","",'Statement of Marks'!IA69)</f>
        <v/>
      </c>
      <c r="S66" s="286" t="str">
        <f>IF('Statement of Marks'!GL69="","",'Statement of Marks'!GL69)</f>
        <v/>
      </c>
      <c r="BM66" s="287" t="str">
        <f>'Statement of Marks'!F69</f>
        <v/>
      </c>
      <c r="BN66" s="288" t="str">
        <f t="shared" si="0"/>
        <v/>
      </c>
      <c r="BO66" s="288" t="str">
        <f t="shared" si="1"/>
        <v/>
      </c>
      <c r="BP66" s="288" t="str">
        <f t="shared" si="2"/>
        <v/>
      </c>
      <c r="BQ66" s="288" t="str">
        <f t="shared" si="3"/>
        <v/>
      </c>
      <c r="BR66" s="288" t="str">
        <f t="shared" si="4"/>
        <v/>
      </c>
      <c r="BS66" s="288" t="str">
        <f t="shared" si="5"/>
        <v/>
      </c>
      <c r="BT66" s="288" t="str">
        <f t="shared" si="6"/>
        <v/>
      </c>
      <c r="BU66" s="288" t="str">
        <f t="shared" si="7"/>
        <v/>
      </c>
      <c r="BV66" s="288" t="str">
        <f t="shared" si="8"/>
        <v/>
      </c>
      <c r="BW66" s="288" t="str">
        <f t="shared" si="9"/>
        <v/>
      </c>
      <c r="BX66" s="288" t="str">
        <f t="shared" si="10"/>
        <v/>
      </c>
      <c r="BY66" s="288" t="str">
        <f t="shared" si="11"/>
        <v/>
      </c>
      <c r="BZ66" s="289"/>
    </row>
    <row r="67" spans="1:78" ht="15.95" customHeight="1">
      <c r="A67" s="276">
        <f>IF('Statement of Marks'!A70="","",'Statement of Marks'!A70)</f>
        <v>64</v>
      </c>
      <c r="B67" s="277" t="str">
        <f>IF('Statement of Marks'!B70="","",'Statement of Marks'!B70)</f>
        <v/>
      </c>
      <c r="C67" s="278" t="str">
        <f>IF('Statement of Marks'!D70="","",'Statement of Marks'!D70)</f>
        <v/>
      </c>
      <c r="D67" s="314" t="str">
        <f>IF('Statement of Marks'!E70="","",'Statement of Marks'!E70)</f>
        <v/>
      </c>
      <c r="E67" s="279" t="str">
        <f>IF('Statement of Marks'!F70="","",'Statement of Marks'!F70)</f>
        <v/>
      </c>
      <c r="F67" s="279" t="str">
        <f>IF('Statement of Marks'!G70="","",'Statement of Marks'!G70)</f>
        <v/>
      </c>
      <c r="G67" s="279" t="str">
        <f>IF('Statement of Marks'!H70="","",'Statement of Marks'!H70)</f>
        <v/>
      </c>
      <c r="H67" s="280" t="str">
        <f>IF('Statement of Marks'!I70="","",'Statement of Marks'!I70)</f>
        <v/>
      </c>
      <c r="I67" s="280" t="str">
        <f>IF('Statement of Marks'!J70="","",'Statement of Marks'!J70)</f>
        <v/>
      </c>
      <c r="J67" s="827" t="str">
        <f>IF('Statement of Marks'!HS70="","",'Statement of Marks'!HS70)</f>
        <v/>
      </c>
      <c r="K67" s="281" t="str">
        <f>IF('Statement of Marks'!HT70="","",'Statement of Marks'!HT70)</f>
        <v/>
      </c>
      <c r="L67" s="828" t="str">
        <f>IF('Statement of Marks'!HW70="","",'Statement of Marks'!HW70)</f>
        <v/>
      </c>
      <c r="M67" s="281" t="str">
        <f>IF('Statement of Marks'!HV70="","",'Statement of Marks'!HV70)</f>
        <v/>
      </c>
      <c r="N67" s="829" t="str">
        <f>IF('Statement of Marks'!HX70="","",'Statement of Marks'!HX70)</f>
        <v/>
      </c>
      <c r="O67" s="282" t="str">
        <f>IF(J67="FAIL","",IF('Statement of Marks'!HO70="","",'Statement of Marks'!HO70))</f>
        <v xml:space="preserve">      </v>
      </c>
      <c r="P67" s="283" t="str">
        <f>IF('Supp. Result Entry'!AQ68="","",'Supp. Result Entry'!AQ68)</f>
        <v/>
      </c>
      <c r="Q67" s="284" t="str">
        <f>IF('Supp. Result Entry'!AR68="","",'Supp. Result Entry'!AR68)</f>
        <v/>
      </c>
      <c r="R67" s="285" t="str">
        <f>IF('Statement of Marks'!IA70="","",'Statement of Marks'!IA70)</f>
        <v/>
      </c>
      <c r="S67" s="286" t="str">
        <f>IF('Statement of Marks'!GL70="","",'Statement of Marks'!GL70)</f>
        <v/>
      </c>
      <c r="BM67" s="287" t="str">
        <f>'Statement of Marks'!F70</f>
        <v/>
      </c>
      <c r="BN67" s="288" t="str">
        <f t="shared" si="0"/>
        <v/>
      </c>
      <c r="BO67" s="288" t="str">
        <f t="shared" si="1"/>
        <v/>
      </c>
      <c r="BP67" s="288" t="str">
        <f t="shared" si="2"/>
        <v/>
      </c>
      <c r="BQ67" s="288" t="str">
        <f t="shared" si="3"/>
        <v/>
      </c>
      <c r="BR67" s="288" t="str">
        <f t="shared" si="4"/>
        <v/>
      </c>
      <c r="BS67" s="288" t="str">
        <f t="shared" si="5"/>
        <v/>
      </c>
      <c r="BT67" s="288" t="str">
        <f t="shared" si="6"/>
        <v/>
      </c>
      <c r="BU67" s="288" t="str">
        <f t="shared" si="7"/>
        <v/>
      </c>
      <c r="BV67" s="288" t="str">
        <f t="shared" si="8"/>
        <v/>
      </c>
      <c r="BW67" s="288" t="str">
        <f t="shared" si="9"/>
        <v/>
      </c>
      <c r="BX67" s="288" t="str">
        <f t="shared" si="10"/>
        <v/>
      </c>
      <c r="BY67" s="288" t="str">
        <f t="shared" si="11"/>
        <v/>
      </c>
      <c r="BZ67" s="289"/>
    </row>
    <row r="68" spans="1:78" ht="15.95" customHeight="1">
      <c r="A68" s="276">
        <f>IF('Statement of Marks'!A71="","",'Statement of Marks'!A71)</f>
        <v>65</v>
      </c>
      <c r="B68" s="277" t="str">
        <f>IF('Statement of Marks'!B71="","",'Statement of Marks'!B71)</f>
        <v/>
      </c>
      <c r="C68" s="278" t="str">
        <f>IF('Statement of Marks'!D71="","",'Statement of Marks'!D71)</f>
        <v/>
      </c>
      <c r="D68" s="314" t="str">
        <f>IF('Statement of Marks'!E71="","",'Statement of Marks'!E71)</f>
        <v/>
      </c>
      <c r="E68" s="279" t="str">
        <f>IF('Statement of Marks'!F71="","",'Statement of Marks'!F71)</f>
        <v/>
      </c>
      <c r="F68" s="279" t="str">
        <f>IF('Statement of Marks'!G71="","",'Statement of Marks'!G71)</f>
        <v/>
      </c>
      <c r="G68" s="279" t="str">
        <f>IF('Statement of Marks'!H71="","",'Statement of Marks'!H71)</f>
        <v/>
      </c>
      <c r="H68" s="280" t="str">
        <f>IF('Statement of Marks'!I71="","",'Statement of Marks'!I71)</f>
        <v/>
      </c>
      <c r="I68" s="280" t="str">
        <f>IF('Statement of Marks'!J71="","",'Statement of Marks'!J71)</f>
        <v/>
      </c>
      <c r="J68" s="827" t="str">
        <f>IF('Statement of Marks'!HS71="","",'Statement of Marks'!HS71)</f>
        <v/>
      </c>
      <c r="K68" s="281" t="str">
        <f>IF('Statement of Marks'!HT71="","",'Statement of Marks'!HT71)</f>
        <v/>
      </c>
      <c r="L68" s="828" t="str">
        <f>IF('Statement of Marks'!HW71="","",'Statement of Marks'!HW71)</f>
        <v/>
      </c>
      <c r="M68" s="281" t="str">
        <f>IF('Statement of Marks'!HV71="","",'Statement of Marks'!HV71)</f>
        <v/>
      </c>
      <c r="N68" s="829" t="str">
        <f>IF('Statement of Marks'!HX71="","",'Statement of Marks'!HX71)</f>
        <v/>
      </c>
      <c r="O68" s="282" t="str">
        <f>IF(J68="FAIL","",IF('Statement of Marks'!HO71="","",'Statement of Marks'!HO71))</f>
        <v xml:space="preserve">      </v>
      </c>
      <c r="P68" s="283" t="str">
        <f>IF('Supp. Result Entry'!AQ69="","",'Supp. Result Entry'!AQ69)</f>
        <v/>
      </c>
      <c r="Q68" s="284" t="str">
        <f>IF('Supp. Result Entry'!AR69="","",'Supp. Result Entry'!AR69)</f>
        <v/>
      </c>
      <c r="R68" s="285" t="str">
        <f>IF('Statement of Marks'!IA71="","",'Statement of Marks'!IA71)</f>
        <v/>
      </c>
      <c r="S68" s="286" t="str">
        <f>IF('Statement of Marks'!GL71="","",'Statement of Marks'!GL71)</f>
        <v/>
      </c>
      <c r="BM68" s="287" t="str">
        <f>'Statement of Marks'!F71</f>
        <v/>
      </c>
      <c r="BN68" s="288" t="str">
        <f t="shared" si="0"/>
        <v/>
      </c>
      <c r="BO68" s="288" t="str">
        <f t="shared" si="1"/>
        <v/>
      </c>
      <c r="BP68" s="288" t="str">
        <f t="shared" si="2"/>
        <v/>
      </c>
      <c r="BQ68" s="288" t="str">
        <f t="shared" si="3"/>
        <v/>
      </c>
      <c r="BR68" s="288" t="str">
        <f t="shared" si="4"/>
        <v/>
      </c>
      <c r="BS68" s="288" t="str">
        <f t="shared" si="5"/>
        <v/>
      </c>
      <c r="BT68" s="288" t="str">
        <f t="shared" si="6"/>
        <v/>
      </c>
      <c r="BU68" s="288" t="str">
        <f t="shared" si="7"/>
        <v/>
      </c>
      <c r="BV68" s="288" t="str">
        <f t="shared" si="8"/>
        <v/>
      </c>
      <c r="BW68" s="288" t="str">
        <f t="shared" si="9"/>
        <v/>
      </c>
      <c r="BX68" s="288" t="str">
        <f t="shared" si="10"/>
        <v/>
      </c>
      <c r="BY68" s="288" t="str">
        <f t="shared" si="11"/>
        <v/>
      </c>
      <c r="BZ68" s="289"/>
    </row>
    <row r="69" spans="1:78" ht="15.95" customHeight="1">
      <c r="A69" s="276">
        <f>IF('Statement of Marks'!A72="","",'Statement of Marks'!A72)</f>
        <v>66</v>
      </c>
      <c r="B69" s="277" t="str">
        <f>IF('Statement of Marks'!B72="","",'Statement of Marks'!B72)</f>
        <v/>
      </c>
      <c r="C69" s="278" t="str">
        <f>IF('Statement of Marks'!D72="","",'Statement of Marks'!D72)</f>
        <v/>
      </c>
      <c r="D69" s="314" t="str">
        <f>IF('Statement of Marks'!E72="","",'Statement of Marks'!E72)</f>
        <v/>
      </c>
      <c r="E69" s="279" t="str">
        <f>IF('Statement of Marks'!F72="","",'Statement of Marks'!F72)</f>
        <v/>
      </c>
      <c r="F69" s="279" t="str">
        <f>IF('Statement of Marks'!G72="","",'Statement of Marks'!G72)</f>
        <v/>
      </c>
      <c r="G69" s="279" t="str">
        <f>IF('Statement of Marks'!H72="","",'Statement of Marks'!H72)</f>
        <v/>
      </c>
      <c r="H69" s="280" t="str">
        <f>IF('Statement of Marks'!I72="","",'Statement of Marks'!I72)</f>
        <v/>
      </c>
      <c r="I69" s="280" t="str">
        <f>IF('Statement of Marks'!J72="","",'Statement of Marks'!J72)</f>
        <v/>
      </c>
      <c r="J69" s="827" t="str">
        <f>IF('Statement of Marks'!HS72="","",'Statement of Marks'!HS72)</f>
        <v/>
      </c>
      <c r="K69" s="281" t="str">
        <f>IF('Statement of Marks'!HT72="","",'Statement of Marks'!HT72)</f>
        <v/>
      </c>
      <c r="L69" s="828" t="str">
        <f>IF('Statement of Marks'!HW72="","",'Statement of Marks'!HW72)</f>
        <v/>
      </c>
      <c r="M69" s="281" t="str">
        <f>IF('Statement of Marks'!HV72="","",'Statement of Marks'!HV72)</f>
        <v/>
      </c>
      <c r="N69" s="829" t="str">
        <f>IF('Statement of Marks'!HX72="","",'Statement of Marks'!HX72)</f>
        <v/>
      </c>
      <c r="O69" s="282" t="str">
        <f>IF(J69="FAIL","",IF('Statement of Marks'!HO72="","",'Statement of Marks'!HO72))</f>
        <v xml:space="preserve">      </v>
      </c>
      <c r="P69" s="283" t="str">
        <f>IF('Supp. Result Entry'!AQ70="","",'Supp. Result Entry'!AQ70)</f>
        <v/>
      </c>
      <c r="Q69" s="284" t="str">
        <f>IF('Supp. Result Entry'!AR70="","",'Supp. Result Entry'!AR70)</f>
        <v/>
      </c>
      <c r="R69" s="285" t="str">
        <f>IF('Statement of Marks'!IA72="","",'Statement of Marks'!IA72)</f>
        <v/>
      </c>
      <c r="S69" s="286" t="str">
        <f>IF('Statement of Marks'!GL72="","",'Statement of Marks'!GL72)</f>
        <v/>
      </c>
      <c r="BM69" s="287" t="str">
        <f>'Statement of Marks'!F72</f>
        <v/>
      </c>
      <c r="BN69" s="288" t="str">
        <f t="shared" ref="BN69:BN132" si="12">IFERROR(IF(AND(M69="",R69="",H69="SC",I69="M"),J69,IF(AND(M69="",H69="SC",I69="M"),R69,IF(AND(R69="",H69="SC",I69="M"),M69,""))),"")</f>
        <v/>
      </c>
      <c r="BO69" s="288" t="str">
        <f t="shared" ref="BO69:BO132" si="13">IFERROR(IF(AND(M69="",R69="",H69="SC",I69="F"),J69,IF(AND(M69="",H69="SC",I69="F"),R69,IF(AND(R69="",H69="SC",I69="F"),M69,""))),"")</f>
        <v/>
      </c>
      <c r="BP69" s="288" t="str">
        <f t="shared" ref="BP69:BP132" si="14">IFERROR(IF(AND(M69="",R69="",H69="ST",I69="M"),J69,IF(AND(M69="",H69="ST",I69="M"),R69,IF(AND(R69="",H69="ST",I69="M"),M69,""))),"")</f>
        <v/>
      </c>
      <c r="BQ69" s="288" t="str">
        <f t="shared" ref="BQ69:BQ132" si="15">IFERROR(IF(AND(M69="",R69="",H69="ST",I69="F"),J69,IF(AND(M69="",H69="ST",I69="F"),R69,IF(AND(R69="",H69="ST",I69="F"),M69,""))),"")</f>
        <v/>
      </c>
      <c r="BR69" s="288" t="str">
        <f t="shared" ref="BR69:BR132" si="16">IFERROR(IF(AND(M69="",R69="",H69="OBC",I69="M"),J69,IF(AND(M69="",H69="OBC",I69="M"),R69,IF(AND(R69="",H69="OBC",I69="M"),M69,""))),"")</f>
        <v/>
      </c>
      <c r="BS69" s="288" t="str">
        <f t="shared" ref="BS69:BS132" si="17">IFERROR(IF(AND(M69="",R69="",H69="OBC",I69="F"),J69,IF(AND(M69="",H69="OBC",I69="F"),R69,IF(AND(R69="",H69="OBC",I69="F"),M69,""))),"")</f>
        <v/>
      </c>
      <c r="BT69" s="288" t="str">
        <f t="shared" ref="BT69:BT132" si="18">IFERROR(IF(AND(M69="",R69="",H69="GEN",I69="M"),J69,IF(AND(M69="",H69="GEN",I69="M"),R69,IF(AND(R69="",H69="GEN",I69="M"),M69,""))),"")</f>
        <v/>
      </c>
      <c r="BU69" s="288" t="str">
        <f t="shared" ref="BU69:BU132" si="19">IFERROR(IF(AND(M69="",R69="",H69="GEN",I69="F"),J69,IF(AND(M69="",H69="GEN",I69="F"),R69,IF(AND(R69="",H69="GEN",I69="F"),M69,""))),"")</f>
        <v/>
      </c>
      <c r="BV69" s="288" t="str">
        <f t="shared" ref="BV69:BV132" si="20">IFERROR(IF(AND(M69="",R69="",H69="MIN",I69="M"),J69,IF(AND(M69="",H69="MIN",I69="M"),R69,IF(AND(R69="",H69="MIN",I69="M"),M69,""))),"")</f>
        <v/>
      </c>
      <c r="BW69" s="288" t="str">
        <f t="shared" ref="BW69:BW132" si="21">IFERROR(IF(AND(M69="",R69="",H69="MIN",I69="F"),J69,IF(AND(M69="",H69="MIN",I69="F"),R69,IF(AND(R69="",H69="MIN",I69="F"),M69,""))),"")</f>
        <v/>
      </c>
      <c r="BX69" s="288" t="str">
        <f t="shared" ref="BX69:BX132" si="22">IFERROR(IF(AND(M69="",R69="",H69="SBC",I69="M"),J69,IF(AND(M69="",H69="SBC",I69="M"),R69,IF(AND(R69="",H69="SBC",I69="M"),M69,""))),"")</f>
        <v/>
      </c>
      <c r="BY69" s="288" t="str">
        <f t="shared" ref="BY69:BY132" si="23">IFERROR(IF(AND(M69="",R69="",H69="SBC",I69="F"),J69,IF(AND(M69="",H69="SBC",I69="F"),R69,IF(AND(R69="",H69="SBC",I69="F"),M69,""))),"")</f>
        <v/>
      </c>
      <c r="BZ69" s="289"/>
    </row>
    <row r="70" spans="1:78" ht="15.95" customHeight="1">
      <c r="A70" s="276">
        <f>IF('Statement of Marks'!A73="","",'Statement of Marks'!A73)</f>
        <v>67</v>
      </c>
      <c r="B70" s="277" t="str">
        <f>IF('Statement of Marks'!B73="","",'Statement of Marks'!B73)</f>
        <v/>
      </c>
      <c r="C70" s="278" t="str">
        <f>IF('Statement of Marks'!D73="","",'Statement of Marks'!D73)</f>
        <v/>
      </c>
      <c r="D70" s="314" t="str">
        <f>IF('Statement of Marks'!E73="","",'Statement of Marks'!E73)</f>
        <v/>
      </c>
      <c r="E70" s="279" t="str">
        <f>IF('Statement of Marks'!F73="","",'Statement of Marks'!F73)</f>
        <v/>
      </c>
      <c r="F70" s="279" t="str">
        <f>IF('Statement of Marks'!G73="","",'Statement of Marks'!G73)</f>
        <v/>
      </c>
      <c r="G70" s="279" t="str">
        <f>IF('Statement of Marks'!H73="","",'Statement of Marks'!H73)</f>
        <v/>
      </c>
      <c r="H70" s="280" t="str">
        <f>IF('Statement of Marks'!I73="","",'Statement of Marks'!I73)</f>
        <v/>
      </c>
      <c r="I70" s="280" t="str">
        <f>IF('Statement of Marks'!J73="","",'Statement of Marks'!J73)</f>
        <v/>
      </c>
      <c r="J70" s="827" t="str">
        <f>IF('Statement of Marks'!HS73="","",'Statement of Marks'!HS73)</f>
        <v/>
      </c>
      <c r="K70" s="281" t="str">
        <f>IF('Statement of Marks'!HT73="","",'Statement of Marks'!HT73)</f>
        <v/>
      </c>
      <c r="L70" s="828" t="str">
        <f>IF('Statement of Marks'!HW73="","",'Statement of Marks'!HW73)</f>
        <v/>
      </c>
      <c r="M70" s="281" t="str">
        <f>IF('Statement of Marks'!HV73="","",'Statement of Marks'!HV73)</f>
        <v/>
      </c>
      <c r="N70" s="829" t="str">
        <f>IF('Statement of Marks'!HX73="","",'Statement of Marks'!HX73)</f>
        <v/>
      </c>
      <c r="O70" s="282" t="str">
        <f>IF(J70="FAIL","",IF('Statement of Marks'!HO73="","",'Statement of Marks'!HO73))</f>
        <v xml:space="preserve">      </v>
      </c>
      <c r="P70" s="283" t="str">
        <f>IF('Supp. Result Entry'!AQ71="","",'Supp. Result Entry'!AQ71)</f>
        <v/>
      </c>
      <c r="Q70" s="284" t="str">
        <f>IF('Supp. Result Entry'!AR71="","",'Supp. Result Entry'!AR71)</f>
        <v/>
      </c>
      <c r="R70" s="285" t="str">
        <f>IF('Statement of Marks'!IA73="","",'Statement of Marks'!IA73)</f>
        <v/>
      </c>
      <c r="S70" s="286" t="str">
        <f>IF('Statement of Marks'!GL73="","",'Statement of Marks'!GL73)</f>
        <v/>
      </c>
      <c r="BM70" s="287" t="str">
        <f>'Statement of Marks'!F73</f>
        <v/>
      </c>
      <c r="BN70" s="288" t="str">
        <f t="shared" si="12"/>
        <v/>
      </c>
      <c r="BO70" s="288" t="str">
        <f t="shared" si="13"/>
        <v/>
      </c>
      <c r="BP70" s="288" t="str">
        <f t="shared" si="14"/>
        <v/>
      </c>
      <c r="BQ70" s="288" t="str">
        <f t="shared" si="15"/>
        <v/>
      </c>
      <c r="BR70" s="288" t="str">
        <f t="shared" si="16"/>
        <v/>
      </c>
      <c r="BS70" s="288" t="str">
        <f t="shared" si="17"/>
        <v/>
      </c>
      <c r="BT70" s="288" t="str">
        <f t="shared" si="18"/>
        <v/>
      </c>
      <c r="BU70" s="288" t="str">
        <f t="shared" si="19"/>
        <v/>
      </c>
      <c r="BV70" s="288" t="str">
        <f t="shared" si="20"/>
        <v/>
      </c>
      <c r="BW70" s="288" t="str">
        <f t="shared" si="21"/>
        <v/>
      </c>
      <c r="BX70" s="288" t="str">
        <f t="shared" si="22"/>
        <v/>
      </c>
      <c r="BY70" s="288" t="str">
        <f t="shared" si="23"/>
        <v/>
      </c>
      <c r="BZ70" s="289"/>
    </row>
    <row r="71" spans="1:78" ht="15.95" customHeight="1">
      <c r="A71" s="276">
        <f>IF('Statement of Marks'!A74="","",'Statement of Marks'!A74)</f>
        <v>68</v>
      </c>
      <c r="B71" s="277" t="str">
        <f>IF('Statement of Marks'!B74="","",'Statement of Marks'!B74)</f>
        <v/>
      </c>
      <c r="C71" s="278" t="str">
        <f>IF('Statement of Marks'!D74="","",'Statement of Marks'!D74)</f>
        <v/>
      </c>
      <c r="D71" s="314" t="str">
        <f>IF('Statement of Marks'!E74="","",'Statement of Marks'!E74)</f>
        <v/>
      </c>
      <c r="E71" s="279" t="str">
        <f>IF('Statement of Marks'!F74="","",'Statement of Marks'!F74)</f>
        <v/>
      </c>
      <c r="F71" s="279" t="str">
        <f>IF('Statement of Marks'!G74="","",'Statement of Marks'!G74)</f>
        <v/>
      </c>
      <c r="G71" s="279" t="str">
        <f>IF('Statement of Marks'!H74="","",'Statement of Marks'!H74)</f>
        <v/>
      </c>
      <c r="H71" s="280" t="str">
        <f>IF('Statement of Marks'!I74="","",'Statement of Marks'!I74)</f>
        <v/>
      </c>
      <c r="I71" s="280" t="str">
        <f>IF('Statement of Marks'!J74="","",'Statement of Marks'!J74)</f>
        <v/>
      </c>
      <c r="J71" s="827" t="str">
        <f>IF('Statement of Marks'!HS74="","",'Statement of Marks'!HS74)</f>
        <v/>
      </c>
      <c r="K71" s="281" t="str">
        <f>IF('Statement of Marks'!HT74="","",'Statement of Marks'!HT74)</f>
        <v/>
      </c>
      <c r="L71" s="828" t="str">
        <f>IF('Statement of Marks'!HW74="","",'Statement of Marks'!HW74)</f>
        <v/>
      </c>
      <c r="M71" s="281" t="str">
        <f>IF('Statement of Marks'!HV74="","",'Statement of Marks'!HV74)</f>
        <v/>
      </c>
      <c r="N71" s="829" t="str">
        <f>IF('Statement of Marks'!HX74="","",'Statement of Marks'!HX74)</f>
        <v/>
      </c>
      <c r="O71" s="282" t="str">
        <f>IF(J71="FAIL","",IF('Statement of Marks'!HO74="","",'Statement of Marks'!HO74))</f>
        <v xml:space="preserve">      </v>
      </c>
      <c r="P71" s="283" t="str">
        <f>IF('Supp. Result Entry'!AQ72="","",'Supp. Result Entry'!AQ72)</f>
        <v/>
      </c>
      <c r="Q71" s="284" t="str">
        <f>IF('Supp. Result Entry'!AR72="","",'Supp. Result Entry'!AR72)</f>
        <v/>
      </c>
      <c r="R71" s="285" t="str">
        <f>IF('Statement of Marks'!IA74="","",'Statement of Marks'!IA74)</f>
        <v/>
      </c>
      <c r="S71" s="286" t="str">
        <f>IF('Statement of Marks'!GL74="","",'Statement of Marks'!GL74)</f>
        <v/>
      </c>
      <c r="BM71" s="287" t="str">
        <f>'Statement of Marks'!F74</f>
        <v/>
      </c>
      <c r="BN71" s="288" t="str">
        <f t="shared" si="12"/>
        <v/>
      </c>
      <c r="BO71" s="288" t="str">
        <f t="shared" si="13"/>
        <v/>
      </c>
      <c r="BP71" s="288" t="str">
        <f t="shared" si="14"/>
        <v/>
      </c>
      <c r="BQ71" s="288" t="str">
        <f t="shared" si="15"/>
        <v/>
      </c>
      <c r="BR71" s="288" t="str">
        <f t="shared" si="16"/>
        <v/>
      </c>
      <c r="BS71" s="288" t="str">
        <f t="shared" si="17"/>
        <v/>
      </c>
      <c r="BT71" s="288" t="str">
        <f t="shared" si="18"/>
        <v/>
      </c>
      <c r="BU71" s="288" t="str">
        <f t="shared" si="19"/>
        <v/>
      </c>
      <c r="BV71" s="288" t="str">
        <f t="shared" si="20"/>
        <v/>
      </c>
      <c r="BW71" s="288" t="str">
        <f t="shared" si="21"/>
        <v/>
      </c>
      <c r="BX71" s="288" t="str">
        <f t="shared" si="22"/>
        <v/>
      </c>
      <c r="BY71" s="288" t="str">
        <f t="shared" si="23"/>
        <v/>
      </c>
      <c r="BZ71" s="289"/>
    </row>
    <row r="72" spans="1:78" ht="15.95" customHeight="1">
      <c r="A72" s="276">
        <f>IF('Statement of Marks'!A75="","",'Statement of Marks'!A75)</f>
        <v>69</v>
      </c>
      <c r="B72" s="277" t="str">
        <f>IF('Statement of Marks'!B75="","",'Statement of Marks'!B75)</f>
        <v/>
      </c>
      <c r="C72" s="278" t="str">
        <f>IF('Statement of Marks'!D75="","",'Statement of Marks'!D75)</f>
        <v/>
      </c>
      <c r="D72" s="314" t="str">
        <f>IF('Statement of Marks'!E75="","",'Statement of Marks'!E75)</f>
        <v/>
      </c>
      <c r="E72" s="279" t="str">
        <f>IF('Statement of Marks'!F75="","",'Statement of Marks'!F75)</f>
        <v/>
      </c>
      <c r="F72" s="279" t="str">
        <f>IF('Statement of Marks'!G75="","",'Statement of Marks'!G75)</f>
        <v/>
      </c>
      <c r="G72" s="279" t="str">
        <f>IF('Statement of Marks'!H75="","",'Statement of Marks'!H75)</f>
        <v/>
      </c>
      <c r="H72" s="280" t="str">
        <f>IF('Statement of Marks'!I75="","",'Statement of Marks'!I75)</f>
        <v/>
      </c>
      <c r="I72" s="280" t="str">
        <f>IF('Statement of Marks'!J75="","",'Statement of Marks'!J75)</f>
        <v/>
      </c>
      <c r="J72" s="827" t="str">
        <f>IF('Statement of Marks'!HS75="","",'Statement of Marks'!HS75)</f>
        <v/>
      </c>
      <c r="K72" s="281" t="str">
        <f>IF('Statement of Marks'!HT75="","",'Statement of Marks'!HT75)</f>
        <v/>
      </c>
      <c r="L72" s="828" t="str">
        <f>IF('Statement of Marks'!HW75="","",'Statement of Marks'!HW75)</f>
        <v/>
      </c>
      <c r="M72" s="281" t="str">
        <f>IF('Statement of Marks'!HV75="","",'Statement of Marks'!HV75)</f>
        <v/>
      </c>
      <c r="N72" s="829" t="str">
        <f>IF('Statement of Marks'!HX75="","",'Statement of Marks'!HX75)</f>
        <v/>
      </c>
      <c r="O72" s="282" t="str">
        <f>IF(J72="FAIL","",IF('Statement of Marks'!HO75="","",'Statement of Marks'!HO75))</f>
        <v xml:space="preserve">      </v>
      </c>
      <c r="P72" s="283" t="str">
        <f>IF('Supp. Result Entry'!AQ73="","",'Supp. Result Entry'!AQ73)</f>
        <v/>
      </c>
      <c r="Q72" s="284" t="str">
        <f>IF('Supp. Result Entry'!AR73="","",'Supp. Result Entry'!AR73)</f>
        <v/>
      </c>
      <c r="R72" s="285" t="str">
        <f>IF('Statement of Marks'!IA75="","",'Statement of Marks'!IA75)</f>
        <v/>
      </c>
      <c r="S72" s="286" t="str">
        <f>IF('Statement of Marks'!GL75="","",'Statement of Marks'!GL75)</f>
        <v/>
      </c>
      <c r="BM72" s="287" t="str">
        <f>'Statement of Marks'!F75</f>
        <v/>
      </c>
      <c r="BN72" s="288" t="str">
        <f t="shared" si="12"/>
        <v/>
      </c>
      <c r="BO72" s="288" t="str">
        <f t="shared" si="13"/>
        <v/>
      </c>
      <c r="BP72" s="288" t="str">
        <f t="shared" si="14"/>
        <v/>
      </c>
      <c r="BQ72" s="288" t="str">
        <f t="shared" si="15"/>
        <v/>
      </c>
      <c r="BR72" s="288" t="str">
        <f t="shared" si="16"/>
        <v/>
      </c>
      <c r="BS72" s="288" t="str">
        <f t="shared" si="17"/>
        <v/>
      </c>
      <c r="BT72" s="288" t="str">
        <f t="shared" si="18"/>
        <v/>
      </c>
      <c r="BU72" s="288" t="str">
        <f t="shared" si="19"/>
        <v/>
      </c>
      <c r="BV72" s="288" t="str">
        <f t="shared" si="20"/>
        <v/>
      </c>
      <c r="BW72" s="288" t="str">
        <f t="shared" si="21"/>
        <v/>
      </c>
      <c r="BX72" s="288" t="str">
        <f t="shared" si="22"/>
        <v/>
      </c>
      <c r="BY72" s="288" t="str">
        <f t="shared" si="23"/>
        <v/>
      </c>
      <c r="BZ72" s="289"/>
    </row>
    <row r="73" spans="1:78" ht="15" customHeight="1">
      <c r="A73" s="276">
        <f>IF('Statement of Marks'!A76="","",'Statement of Marks'!A76)</f>
        <v>70</v>
      </c>
      <c r="B73" s="277" t="str">
        <f>IF('Statement of Marks'!B76="","",'Statement of Marks'!B76)</f>
        <v/>
      </c>
      <c r="C73" s="278" t="str">
        <f>IF('Statement of Marks'!D76="","",'Statement of Marks'!D76)</f>
        <v/>
      </c>
      <c r="D73" s="314" t="str">
        <f>IF('Statement of Marks'!E76="","",'Statement of Marks'!E76)</f>
        <v/>
      </c>
      <c r="E73" s="279" t="str">
        <f>IF('Statement of Marks'!F76="","",'Statement of Marks'!F76)</f>
        <v/>
      </c>
      <c r="F73" s="279" t="str">
        <f>IF('Statement of Marks'!G76="","",'Statement of Marks'!G76)</f>
        <v/>
      </c>
      <c r="G73" s="279" t="str">
        <f>IF('Statement of Marks'!H76="","",'Statement of Marks'!H76)</f>
        <v/>
      </c>
      <c r="H73" s="280" t="str">
        <f>IF('Statement of Marks'!I76="","",'Statement of Marks'!I76)</f>
        <v/>
      </c>
      <c r="I73" s="280" t="str">
        <f>IF('Statement of Marks'!J76="","",'Statement of Marks'!J76)</f>
        <v/>
      </c>
      <c r="J73" s="827" t="str">
        <f>IF('Statement of Marks'!HS76="","",'Statement of Marks'!HS76)</f>
        <v/>
      </c>
      <c r="K73" s="281" t="str">
        <f>IF('Statement of Marks'!HT76="","",'Statement of Marks'!HT76)</f>
        <v/>
      </c>
      <c r="L73" s="828" t="str">
        <f>IF('Statement of Marks'!HW76="","",'Statement of Marks'!HW76)</f>
        <v/>
      </c>
      <c r="M73" s="281" t="str">
        <f>IF('Statement of Marks'!HV76="","",'Statement of Marks'!HV76)</f>
        <v/>
      </c>
      <c r="N73" s="829" t="str">
        <f>IF('Statement of Marks'!HX76="","",'Statement of Marks'!HX76)</f>
        <v/>
      </c>
      <c r="O73" s="282" t="str">
        <f>IF(J73="FAIL","",IF('Statement of Marks'!HO76="","",'Statement of Marks'!HO76))</f>
        <v xml:space="preserve">      </v>
      </c>
      <c r="P73" s="283" t="str">
        <f>IF('Supp. Result Entry'!AQ74="","",'Supp. Result Entry'!AQ74)</f>
        <v/>
      </c>
      <c r="Q73" s="284" t="str">
        <f>IF('Supp. Result Entry'!AR74="","",'Supp. Result Entry'!AR74)</f>
        <v/>
      </c>
      <c r="R73" s="285" t="str">
        <f>IF('Statement of Marks'!IA76="","",'Statement of Marks'!IA76)</f>
        <v/>
      </c>
      <c r="S73" s="286" t="str">
        <f>IF('Statement of Marks'!GL76="","",'Statement of Marks'!GL76)</f>
        <v/>
      </c>
      <c r="BM73" s="287" t="str">
        <f>'Statement of Marks'!F76</f>
        <v/>
      </c>
      <c r="BN73" s="288" t="str">
        <f t="shared" si="12"/>
        <v/>
      </c>
      <c r="BO73" s="288" t="str">
        <f t="shared" si="13"/>
        <v/>
      </c>
      <c r="BP73" s="288" t="str">
        <f t="shared" si="14"/>
        <v/>
      </c>
      <c r="BQ73" s="288" t="str">
        <f t="shared" si="15"/>
        <v/>
      </c>
      <c r="BR73" s="288" t="str">
        <f t="shared" si="16"/>
        <v/>
      </c>
      <c r="BS73" s="288" t="str">
        <f t="shared" si="17"/>
        <v/>
      </c>
      <c r="BT73" s="288" t="str">
        <f t="shared" si="18"/>
        <v/>
      </c>
      <c r="BU73" s="288" t="str">
        <f t="shared" si="19"/>
        <v/>
      </c>
      <c r="BV73" s="288" t="str">
        <f t="shared" si="20"/>
        <v/>
      </c>
      <c r="BW73" s="288" t="str">
        <f t="shared" si="21"/>
        <v/>
      </c>
      <c r="BX73" s="288" t="str">
        <f t="shared" si="22"/>
        <v/>
      </c>
      <c r="BY73" s="288" t="str">
        <f t="shared" si="23"/>
        <v/>
      </c>
      <c r="BZ73" s="289"/>
    </row>
    <row r="74" spans="1:78" ht="15" customHeight="1">
      <c r="A74" s="276">
        <f>IF('Statement of Marks'!A77="","",'Statement of Marks'!A77)</f>
        <v>71</v>
      </c>
      <c r="B74" s="277" t="str">
        <f>IF('Statement of Marks'!B77="","",'Statement of Marks'!B77)</f>
        <v/>
      </c>
      <c r="C74" s="278" t="str">
        <f>IF('Statement of Marks'!D77="","",'Statement of Marks'!D77)</f>
        <v/>
      </c>
      <c r="D74" s="314" t="str">
        <f>IF('Statement of Marks'!E77="","",'Statement of Marks'!E77)</f>
        <v/>
      </c>
      <c r="E74" s="279" t="str">
        <f>IF('Statement of Marks'!F77="","",'Statement of Marks'!F77)</f>
        <v/>
      </c>
      <c r="F74" s="279" t="str">
        <f>IF('Statement of Marks'!G77="","",'Statement of Marks'!G77)</f>
        <v/>
      </c>
      <c r="G74" s="279" t="str">
        <f>IF('Statement of Marks'!H77="","",'Statement of Marks'!H77)</f>
        <v/>
      </c>
      <c r="H74" s="280" t="str">
        <f>IF('Statement of Marks'!I77="","",'Statement of Marks'!I77)</f>
        <v/>
      </c>
      <c r="I74" s="280" t="str">
        <f>IF('Statement of Marks'!J77="","",'Statement of Marks'!J77)</f>
        <v/>
      </c>
      <c r="J74" s="827" t="str">
        <f>IF('Statement of Marks'!HS77="","",'Statement of Marks'!HS77)</f>
        <v/>
      </c>
      <c r="K74" s="281" t="str">
        <f>IF('Statement of Marks'!HT77="","",'Statement of Marks'!HT77)</f>
        <v/>
      </c>
      <c r="L74" s="828" t="str">
        <f>IF('Statement of Marks'!HW77="","",'Statement of Marks'!HW77)</f>
        <v/>
      </c>
      <c r="M74" s="281" t="str">
        <f>IF('Statement of Marks'!HV77="","",'Statement of Marks'!HV77)</f>
        <v/>
      </c>
      <c r="N74" s="829" t="str">
        <f>IF('Statement of Marks'!HX77="","",'Statement of Marks'!HX77)</f>
        <v/>
      </c>
      <c r="O74" s="282" t="str">
        <f>IF(J74="FAIL","",IF('Statement of Marks'!HO77="","",'Statement of Marks'!HO77))</f>
        <v xml:space="preserve">      </v>
      </c>
      <c r="P74" s="283" t="str">
        <f>IF('Supp. Result Entry'!AQ75="","",'Supp. Result Entry'!AQ75)</f>
        <v/>
      </c>
      <c r="Q74" s="284" t="str">
        <f>IF('Supp. Result Entry'!AR75="","",'Supp. Result Entry'!AR75)</f>
        <v/>
      </c>
      <c r="R74" s="285" t="str">
        <f>IF('Statement of Marks'!IA77="","",'Statement of Marks'!IA77)</f>
        <v/>
      </c>
      <c r="S74" s="286" t="str">
        <f>IF('Statement of Marks'!GL77="","",'Statement of Marks'!GL77)</f>
        <v/>
      </c>
      <c r="BM74" s="287" t="str">
        <f>'Statement of Marks'!F77</f>
        <v/>
      </c>
      <c r="BN74" s="288" t="str">
        <f t="shared" si="12"/>
        <v/>
      </c>
      <c r="BO74" s="288" t="str">
        <f t="shared" si="13"/>
        <v/>
      </c>
      <c r="BP74" s="288" t="str">
        <f t="shared" si="14"/>
        <v/>
      </c>
      <c r="BQ74" s="288" t="str">
        <f t="shared" si="15"/>
        <v/>
      </c>
      <c r="BR74" s="288" t="str">
        <f t="shared" si="16"/>
        <v/>
      </c>
      <c r="BS74" s="288" t="str">
        <f t="shared" si="17"/>
        <v/>
      </c>
      <c r="BT74" s="288" t="str">
        <f t="shared" si="18"/>
        <v/>
      </c>
      <c r="BU74" s="288" t="str">
        <f t="shared" si="19"/>
        <v/>
      </c>
      <c r="BV74" s="288" t="str">
        <f t="shared" si="20"/>
        <v/>
      </c>
      <c r="BW74" s="288" t="str">
        <f t="shared" si="21"/>
        <v/>
      </c>
      <c r="BX74" s="288" t="str">
        <f t="shared" si="22"/>
        <v/>
      </c>
      <c r="BY74" s="288" t="str">
        <f t="shared" si="23"/>
        <v/>
      </c>
      <c r="BZ74" s="289"/>
    </row>
    <row r="75" spans="1:78" ht="15" customHeight="1">
      <c r="A75" s="276">
        <f>IF('Statement of Marks'!A78="","",'Statement of Marks'!A78)</f>
        <v>72</v>
      </c>
      <c r="B75" s="277" t="str">
        <f>IF('Statement of Marks'!B78="","",'Statement of Marks'!B78)</f>
        <v/>
      </c>
      <c r="C75" s="278" t="str">
        <f>IF('Statement of Marks'!D78="","",'Statement of Marks'!D78)</f>
        <v/>
      </c>
      <c r="D75" s="314" t="str">
        <f>IF('Statement of Marks'!E78="","",'Statement of Marks'!E78)</f>
        <v/>
      </c>
      <c r="E75" s="279" t="str">
        <f>IF('Statement of Marks'!F78="","",'Statement of Marks'!F78)</f>
        <v/>
      </c>
      <c r="F75" s="279" t="str">
        <f>IF('Statement of Marks'!G78="","",'Statement of Marks'!G78)</f>
        <v/>
      </c>
      <c r="G75" s="279" t="str">
        <f>IF('Statement of Marks'!H78="","",'Statement of Marks'!H78)</f>
        <v/>
      </c>
      <c r="H75" s="280" t="str">
        <f>IF('Statement of Marks'!I78="","",'Statement of Marks'!I78)</f>
        <v/>
      </c>
      <c r="I75" s="280" t="str">
        <f>IF('Statement of Marks'!J78="","",'Statement of Marks'!J78)</f>
        <v/>
      </c>
      <c r="J75" s="827" t="str">
        <f>IF('Statement of Marks'!HS78="","",'Statement of Marks'!HS78)</f>
        <v/>
      </c>
      <c r="K75" s="281" t="str">
        <f>IF('Statement of Marks'!HT78="","",'Statement of Marks'!HT78)</f>
        <v/>
      </c>
      <c r="L75" s="828" t="str">
        <f>IF('Statement of Marks'!HW78="","",'Statement of Marks'!HW78)</f>
        <v/>
      </c>
      <c r="M75" s="281" t="str">
        <f>IF('Statement of Marks'!HV78="","",'Statement of Marks'!HV78)</f>
        <v/>
      </c>
      <c r="N75" s="829" t="str">
        <f>IF('Statement of Marks'!HX78="","",'Statement of Marks'!HX78)</f>
        <v/>
      </c>
      <c r="O75" s="282" t="str">
        <f>IF(J75="FAIL","",IF('Statement of Marks'!HO78="","",'Statement of Marks'!HO78))</f>
        <v xml:space="preserve">      </v>
      </c>
      <c r="P75" s="283" t="str">
        <f>IF('Supp. Result Entry'!AQ76="","",'Supp. Result Entry'!AQ76)</f>
        <v/>
      </c>
      <c r="Q75" s="284" t="str">
        <f>IF('Supp. Result Entry'!AR76="","",'Supp. Result Entry'!AR76)</f>
        <v/>
      </c>
      <c r="R75" s="285" t="str">
        <f>IF('Statement of Marks'!IA78="","",'Statement of Marks'!IA78)</f>
        <v/>
      </c>
      <c r="S75" s="286" t="str">
        <f>IF('Statement of Marks'!GL78="","",'Statement of Marks'!GL78)</f>
        <v/>
      </c>
      <c r="BM75" s="287" t="str">
        <f>'Statement of Marks'!F78</f>
        <v/>
      </c>
      <c r="BN75" s="288" t="str">
        <f t="shared" si="12"/>
        <v/>
      </c>
      <c r="BO75" s="288" t="str">
        <f t="shared" si="13"/>
        <v/>
      </c>
      <c r="BP75" s="288" t="str">
        <f t="shared" si="14"/>
        <v/>
      </c>
      <c r="BQ75" s="288" t="str">
        <f t="shared" si="15"/>
        <v/>
      </c>
      <c r="BR75" s="288" t="str">
        <f t="shared" si="16"/>
        <v/>
      </c>
      <c r="BS75" s="288" t="str">
        <f t="shared" si="17"/>
        <v/>
      </c>
      <c r="BT75" s="288" t="str">
        <f t="shared" si="18"/>
        <v/>
      </c>
      <c r="BU75" s="288" t="str">
        <f t="shared" si="19"/>
        <v/>
      </c>
      <c r="BV75" s="288" t="str">
        <f t="shared" si="20"/>
        <v/>
      </c>
      <c r="BW75" s="288" t="str">
        <f t="shared" si="21"/>
        <v/>
      </c>
      <c r="BX75" s="288" t="str">
        <f t="shared" si="22"/>
        <v/>
      </c>
      <c r="BY75" s="288" t="str">
        <f t="shared" si="23"/>
        <v/>
      </c>
      <c r="BZ75" s="289"/>
    </row>
    <row r="76" spans="1:78" ht="15" customHeight="1">
      <c r="A76" s="276">
        <f>IF('Statement of Marks'!A79="","",'Statement of Marks'!A79)</f>
        <v>73</v>
      </c>
      <c r="B76" s="277" t="str">
        <f>IF('Statement of Marks'!B79="","",'Statement of Marks'!B79)</f>
        <v/>
      </c>
      <c r="C76" s="278" t="str">
        <f>IF('Statement of Marks'!D79="","",'Statement of Marks'!D79)</f>
        <v/>
      </c>
      <c r="D76" s="314" t="str">
        <f>IF('Statement of Marks'!E79="","",'Statement of Marks'!E79)</f>
        <v/>
      </c>
      <c r="E76" s="279" t="str">
        <f>IF('Statement of Marks'!F79="","",'Statement of Marks'!F79)</f>
        <v/>
      </c>
      <c r="F76" s="279" t="str">
        <f>IF('Statement of Marks'!G79="","",'Statement of Marks'!G79)</f>
        <v/>
      </c>
      <c r="G76" s="279" t="str">
        <f>IF('Statement of Marks'!H79="","",'Statement of Marks'!H79)</f>
        <v/>
      </c>
      <c r="H76" s="280" t="str">
        <f>IF('Statement of Marks'!I79="","",'Statement of Marks'!I79)</f>
        <v/>
      </c>
      <c r="I76" s="280" t="str">
        <f>IF('Statement of Marks'!J79="","",'Statement of Marks'!J79)</f>
        <v/>
      </c>
      <c r="J76" s="826" t="str">
        <f>IF('Statement of Marks'!HS79="","",'Statement of Marks'!HS79)</f>
        <v/>
      </c>
      <c r="K76" s="281" t="str">
        <f>IF('Statement of Marks'!HT79="","",'Statement of Marks'!HT79)</f>
        <v/>
      </c>
      <c r="L76" s="828" t="str">
        <f>IF('Statement of Marks'!HW79="","",'Statement of Marks'!HW79)</f>
        <v/>
      </c>
      <c r="M76" s="281" t="str">
        <f>IF('Statement of Marks'!HV79="","",'Statement of Marks'!HV79)</f>
        <v/>
      </c>
      <c r="N76" s="829" t="str">
        <f>IF('Statement of Marks'!HX79="","",'Statement of Marks'!HX79)</f>
        <v/>
      </c>
      <c r="O76" s="282" t="str">
        <f>IF(J76="FAIL","",IF('Statement of Marks'!HO79="","",'Statement of Marks'!HO79))</f>
        <v xml:space="preserve">      </v>
      </c>
      <c r="P76" s="283" t="str">
        <f>IF('Supp. Result Entry'!AQ77="","",'Supp. Result Entry'!AQ77)</f>
        <v/>
      </c>
      <c r="Q76" s="284" t="str">
        <f>IF('Supp. Result Entry'!AR77="","",'Supp. Result Entry'!AR77)</f>
        <v/>
      </c>
      <c r="R76" s="285" t="str">
        <f>IF('Statement of Marks'!IA79="","",'Statement of Marks'!IA79)</f>
        <v/>
      </c>
      <c r="S76" s="286" t="str">
        <f>IF('Statement of Marks'!GL79="","",'Statement of Marks'!GL79)</f>
        <v/>
      </c>
      <c r="BM76" s="287" t="str">
        <f>'Statement of Marks'!F79</f>
        <v/>
      </c>
      <c r="BN76" s="288" t="str">
        <f t="shared" si="12"/>
        <v/>
      </c>
      <c r="BO76" s="288" t="str">
        <f t="shared" si="13"/>
        <v/>
      </c>
      <c r="BP76" s="288" t="str">
        <f t="shared" si="14"/>
        <v/>
      </c>
      <c r="BQ76" s="288" t="str">
        <f t="shared" si="15"/>
        <v/>
      </c>
      <c r="BR76" s="288" t="str">
        <f t="shared" si="16"/>
        <v/>
      </c>
      <c r="BS76" s="288" t="str">
        <f t="shared" si="17"/>
        <v/>
      </c>
      <c r="BT76" s="288" t="str">
        <f t="shared" si="18"/>
        <v/>
      </c>
      <c r="BU76" s="288" t="str">
        <f t="shared" si="19"/>
        <v/>
      </c>
      <c r="BV76" s="288" t="str">
        <f t="shared" si="20"/>
        <v/>
      </c>
      <c r="BW76" s="288" t="str">
        <f t="shared" si="21"/>
        <v/>
      </c>
      <c r="BX76" s="288" t="str">
        <f t="shared" si="22"/>
        <v/>
      </c>
      <c r="BY76" s="288" t="str">
        <f t="shared" si="23"/>
        <v/>
      </c>
      <c r="BZ76" s="289"/>
    </row>
    <row r="77" spans="1:78" ht="15" customHeight="1">
      <c r="A77" s="276">
        <f>IF('Statement of Marks'!A80="","",'Statement of Marks'!A80)</f>
        <v>74</v>
      </c>
      <c r="B77" s="277" t="str">
        <f>IF('Statement of Marks'!B80="","",'Statement of Marks'!B80)</f>
        <v/>
      </c>
      <c r="C77" s="278" t="str">
        <f>IF('Statement of Marks'!D80="","",'Statement of Marks'!D80)</f>
        <v/>
      </c>
      <c r="D77" s="314" t="str">
        <f>IF('Statement of Marks'!E80="","",'Statement of Marks'!E80)</f>
        <v/>
      </c>
      <c r="E77" s="279" t="str">
        <f>IF('Statement of Marks'!F80="","",'Statement of Marks'!F80)</f>
        <v/>
      </c>
      <c r="F77" s="279" t="str">
        <f>IF('Statement of Marks'!G80="","",'Statement of Marks'!G80)</f>
        <v/>
      </c>
      <c r="G77" s="279" t="str">
        <f>IF('Statement of Marks'!H80="","",'Statement of Marks'!H80)</f>
        <v/>
      </c>
      <c r="H77" s="280" t="str">
        <f>IF('Statement of Marks'!I80="","",'Statement of Marks'!I80)</f>
        <v/>
      </c>
      <c r="I77" s="280" t="str">
        <f>IF('Statement of Marks'!J80="","",'Statement of Marks'!J80)</f>
        <v/>
      </c>
      <c r="J77" s="827" t="str">
        <f>IF('Statement of Marks'!HS80="","",'Statement of Marks'!HS80)</f>
        <v/>
      </c>
      <c r="K77" s="281" t="str">
        <f>IF('Statement of Marks'!HT80="","",'Statement of Marks'!HT80)</f>
        <v/>
      </c>
      <c r="L77" s="828" t="str">
        <f>IF('Statement of Marks'!HW80="","",'Statement of Marks'!HW80)</f>
        <v/>
      </c>
      <c r="M77" s="281" t="str">
        <f>IF('Statement of Marks'!HV80="","",'Statement of Marks'!HV80)</f>
        <v/>
      </c>
      <c r="N77" s="829" t="str">
        <f>IF('Statement of Marks'!HX80="","",'Statement of Marks'!HX80)</f>
        <v/>
      </c>
      <c r="O77" s="282" t="str">
        <f>IF(J77="FAIL","",IF('Statement of Marks'!HO80="","",'Statement of Marks'!HO80))</f>
        <v xml:space="preserve">      </v>
      </c>
      <c r="P77" s="283" t="str">
        <f>IF('Supp. Result Entry'!AQ78="","",'Supp. Result Entry'!AQ78)</f>
        <v/>
      </c>
      <c r="Q77" s="284" t="str">
        <f>IF('Supp. Result Entry'!AR78="","",'Supp. Result Entry'!AR78)</f>
        <v/>
      </c>
      <c r="R77" s="285" t="str">
        <f>IF('Statement of Marks'!IA80="","",'Statement of Marks'!IA80)</f>
        <v/>
      </c>
      <c r="S77" s="286" t="str">
        <f>IF('Statement of Marks'!GL80="","",'Statement of Marks'!GL80)</f>
        <v/>
      </c>
      <c r="BM77" s="287" t="str">
        <f>'Statement of Marks'!F80</f>
        <v/>
      </c>
      <c r="BN77" s="288" t="str">
        <f t="shared" si="12"/>
        <v/>
      </c>
      <c r="BO77" s="288" t="str">
        <f t="shared" si="13"/>
        <v/>
      </c>
      <c r="BP77" s="288" t="str">
        <f t="shared" si="14"/>
        <v/>
      </c>
      <c r="BQ77" s="288" t="str">
        <f t="shared" si="15"/>
        <v/>
      </c>
      <c r="BR77" s="288" t="str">
        <f t="shared" si="16"/>
        <v/>
      </c>
      <c r="BS77" s="288" t="str">
        <f t="shared" si="17"/>
        <v/>
      </c>
      <c r="BT77" s="288" t="str">
        <f t="shared" si="18"/>
        <v/>
      </c>
      <c r="BU77" s="288" t="str">
        <f t="shared" si="19"/>
        <v/>
      </c>
      <c r="BV77" s="288" t="str">
        <f t="shared" si="20"/>
        <v/>
      </c>
      <c r="BW77" s="288" t="str">
        <f t="shared" si="21"/>
        <v/>
      </c>
      <c r="BX77" s="288" t="str">
        <f t="shared" si="22"/>
        <v/>
      </c>
      <c r="BY77" s="288" t="str">
        <f t="shared" si="23"/>
        <v/>
      </c>
      <c r="BZ77" s="289"/>
    </row>
    <row r="78" spans="1:78" ht="15" customHeight="1">
      <c r="A78" s="276">
        <f>IF('Statement of Marks'!A81="","",'Statement of Marks'!A81)</f>
        <v>75</v>
      </c>
      <c r="B78" s="277" t="str">
        <f>IF('Statement of Marks'!B81="","",'Statement of Marks'!B81)</f>
        <v/>
      </c>
      <c r="C78" s="278" t="str">
        <f>IF('Statement of Marks'!D81="","",'Statement of Marks'!D81)</f>
        <v/>
      </c>
      <c r="D78" s="314" t="str">
        <f>IF('Statement of Marks'!E81="","",'Statement of Marks'!E81)</f>
        <v/>
      </c>
      <c r="E78" s="279" t="str">
        <f>IF('Statement of Marks'!F81="","",'Statement of Marks'!F81)</f>
        <v/>
      </c>
      <c r="F78" s="279" t="str">
        <f>IF('Statement of Marks'!G81="","",'Statement of Marks'!G81)</f>
        <v/>
      </c>
      <c r="G78" s="279" t="str">
        <f>IF('Statement of Marks'!H81="","",'Statement of Marks'!H81)</f>
        <v/>
      </c>
      <c r="H78" s="280" t="str">
        <f>IF('Statement of Marks'!I81="","",'Statement of Marks'!I81)</f>
        <v/>
      </c>
      <c r="I78" s="280" t="str">
        <f>IF('Statement of Marks'!J81="","",'Statement of Marks'!J81)</f>
        <v/>
      </c>
      <c r="J78" s="827" t="str">
        <f>IF('Statement of Marks'!HS81="","",'Statement of Marks'!HS81)</f>
        <v/>
      </c>
      <c r="K78" s="281" t="str">
        <f>IF('Statement of Marks'!HT81="","",'Statement of Marks'!HT81)</f>
        <v/>
      </c>
      <c r="L78" s="828" t="str">
        <f>IF('Statement of Marks'!HW81="","",'Statement of Marks'!HW81)</f>
        <v/>
      </c>
      <c r="M78" s="281" t="str">
        <f>IF('Statement of Marks'!HV81="","",'Statement of Marks'!HV81)</f>
        <v/>
      </c>
      <c r="N78" s="829" t="str">
        <f>IF('Statement of Marks'!HX81="","",'Statement of Marks'!HX81)</f>
        <v/>
      </c>
      <c r="O78" s="282" t="str">
        <f>IF(J78="FAIL","",IF('Statement of Marks'!HO81="","",'Statement of Marks'!HO81))</f>
        <v xml:space="preserve">      </v>
      </c>
      <c r="P78" s="283" t="str">
        <f>IF('Supp. Result Entry'!AQ79="","",'Supp. Result Entry'!AQ79)</f>
        <v/>
      </c>
      <c r="Q78" s="284" t="str">
        <f>IF('Supp. Result Entry'!AR79="","",'Supp. Result Entry'!AR79)</f>
        <v/>
      </c>
      <c r="R78" s="285" t="str">
        <f>IF('Statement of Marks'!IA81="","",'Statement of Marks'!IA81)</f>
        <v/>
      </c>
      <c r="S78" s="286" t="str">
        <f>IF('Statement of Marks'!GL81="","",'Statement of Marks'!GL81)</f>
        <v/>
      </c>
      <c r="BM78" s="287" t="str">
        <f>'Statement of Marks'!F81</f>
        <v/>
      </c>
      <c r="BN78" s="288" t="str">
        <f t="shared" si="12"/>
        <v/>
      </c>
      <c r="BO78" s="288" t="str">
        <f t="shared" si="13"/>
        <v/>
      </c>
      <c r="BP78" s="288" t="str">
        <f t="shared" si="14"/>
        <v/>
      </c>
      <c r="BQ78" s="288" t="str">
        <f t="shared" si="15"/>
        <v/>
      </c>
      <c r="BR78" s="288" t="str">
        <f t="shared" si="16"/>
        <v/>
      </c>
      <c r="BS78" s="288" t="str">
        <f t="shared" si="17"/>
        <v/>
      </c>
      <c r="BT78" s="288" t="str">
        <f t="shared" si="18"/>
        <v/>
      </c>
      <c r="BU78" s="288" t="str">
        <f t="shared" si="19"/>
        <v/>
      </c>
      <c r="BV78" s="288" t="str">
        <f t="shared" si="20"/>
        <v/>
      </c>
      <c r="BW78" s="288" t="str">
        <f t="shared" si="21"/>
        <v/>
      </c>
      <c r="BX78" s="288" t="str">
        <f t="shared" si="22"/>
        <v/>
      </c>
      <c r="BY78" s="288" t="str">
        <f t="shared" si="23"/>
        <v/>
      </c>
      <c r="BZ78" s="289"/>
    </row>
    <row r="79" spans="1:78" ht="15" customHeight="1">
      <c r="A79" s="276">
        <f>IF('Statement of Marks'!A82="","",'Statement of Marks'!A82)</f>
        <v>76</v>
      </c>
      <c r="B79" s="277" t="str">
        <f>IF('Statement of Marks'!B82="","",'Statement of Marks'!B82)</f>
        <v/>
      </c>
      <c r="C79" s="278" t="str">
        <f>IF('Statement of Marks'!D82="","",'Statement of Marks'!D82)</f>
        <v/>
      </c>
      <c r="D79" s="314" t="str">
        <f>IF('Statement of Marks'!E82="","",'Statement of Marks'!E82)</f>
        <v/>
      </c>
      <c r="E79" s="279" t="str">
        <f>IF('Statement of Marks'!F82="","",'Statement of Marks'!F82)</f>
        <v/>
      </c>
      <c r="F79" s="279" t="str">
        <f>IF('Statement of Marks'!G82="","",'Statement of Marks'!G82)</f>
        <v/>
      </c>
      <c r="G79" s="279" t="str">
        <f>IF('Statement of Marks'!H82="","",'Statement of Marks'!H82)</f>
        <v/>
      </c>
      <c r="H79" s="280" t="str">
        <f>IF('Statement of Marks'!I82="","",'Statement of Marks'!I82)</f>
        <v/>
      </c>
      <c r="I79" s="280" t="str">
        <f>IF('Statement of Marks'!J82="","",'Statement of Marks'!J82)</f>
        <v/>
      </c>
      <c r="J79" s="827" t="str">
        <f>IF('Statement of Marks'!HS82="","",'Statement of Marks'!HS82)</f>
        <v/>
      </c>
      <c r="K79" s="281" t="str">
        <f>IF('Statement of Marks'!HT82="","",'Statement of Marks'!HT82)</f>
        <v/>
      </c>
      <c r="L79" s="828" t="str">
        <f>IF('Statement of Marks'!HW82="","",'Statement of Marks'!HW82)</f>
        <v/>
      </c>
      <c r="M79" s="281" t="str">
        <f>IF('Statement of Marks'!HV82="","",'Statement of Marks'!HV82)</f>
        <v/>
      </c>
      <c r="N79" s="829" t="str">
        <f>IF('Statement of Marks'!HX82="","",'Statement of Marks'!HX82)</f>
        <v/>
      </c>
      <c r="O79" s="282" t="str">
        <f>IF(J79="FAIL","",IF('Statement of Marks'!HO82="","",'Statement of Marks'!HO82))</f>
        <v xml:space="preserve">      </v>
      </c>
      <c r="P79" s="283" t="str">
        <f>IF('Supp. Result Entry'!AQ80="","",'Supp. Result Entry'!AQ80)</f>
        <v/>
      </c>
      <c r="Q79" s="284" t="str">
        <f>IF('Supp. Result Entry'!AR80="","",'Supp. Result Entry'!AR80)</f>
        <v/>
      </c>
      <c r="R79" s="285" t="str">
        <f>IF('Statement of Marks'!IA82="","",'Statement of Marks'!IA82)</f>
        <v/>
      </c>
      <c r="S79" s="286" t="str">
        <f>IF('Statement of Marks'!GL82="","",'Statement of Marks'!GL82)</f>
        <v/>
      </c>
      <c r="BM79" s="287" t="str">
        <f>'Statement of Marks'!F82</f>
        <v/>
      </c>
      <c r="BN79" s="288" t="str">
        <f t="shared" si="12"/>
        <v/>
      </c>
      <c r="BO79" s="288" t="str">
        <f t="shared" si="13"/>
        <v/>
      </c>
      <c r="BP79" s="288" t="str">
        <f t="shared" si="14"/>
        <v/>
      </c>
      <c r="BQ79" s="288" t="str">
        <f t="shared" si="15"/>
        <v/>
      </c>
      <c r="BR79" s="288" t="str">
        <f t="shared" si="16"/>
        <v/>
      </c>
      <c r="BS79" s="288" t="str">
        <f t="shared" si="17"/>
        <v/>
      </c>
      <c r="BT79" s="288" t="str">
        <f t="shared" si="18"/>
        <v/>
      </c>
      <c r="BU79" s="288" t="str">
        <f t="shared" si="19"/>
        <v/>
      </c>
      <c r="BV79" s="288" t="str">
        <f t="shared" si="20"/>
        <v/>
      </c>
      <c r="BW79" s="288" t="str">
        <f t="shared" si="21"/>
        <v/>
      </c>
      <c r="BX79" s="288" t="str">
        <f t="shared" si="22"/>
        <v/>
      </c>
      <c r="BY79" s="288" t="str">
        <f t="shared" si="23"/>
        <v/>
      </c>
      <c r="BZ79" s="289"/>
    </row>
    <row r="80" spans="1:78" ht="15" customHeight="1">
      <c r="A80" s="276">
        <f>IF('Statement of Marks'!A83="","",'Statement of Marks'!A83)</f>
        <v>77</v>
      </c>
      <c r="B80" s="277" t="str">
        <f>IF('Statement of Marks'!B83="","",'Statement of Marks'!B83)</f>
        <v/>
      </c>
      <c r="C80" s="278" t="str">
        <f>IF('Statement of Marks'!D83="","",'Statement of Marks'!D83)</f>
        <v/>
      </c>
      <c r="D80" s="314" t="str">
        <f>IF('Statement of Marks'!E83="","",'Statement of Marks'!E83)</f>
        <v/>
      </c>
      <c r="E80" s="279" t="str">
        <f>IF('Statement of Marks'!F83="","",'Statement of Marks'!F83)</f>
        <v/>
      </c>
      <c r="F80" s="279" t="str">
        <f>IF('Statement of Marks'!G83="","",'Statement of Marks'!G83)</f>
        <v/>
      </c>
      <c r="G80" s="279" t="str">
        <f>IF('Statement of Marks'!H83="","",'Statement of Marks'!H83)</f>
        <v/>
      </c>
      <c r="H80" s="280" t="str">
        <f>IF('Statement of Marks'!I83="","",'Statement of Marks'!I83)</f>
        <v/>
      </c>
      <c r="I80" s="280" t="str">
        <f>IF('Statement of Marks'!J83="","",'Statement of Marks'!J83)</f>
        <v/>
      </c>
      <c r="J80" s="827" t="str">
        <f>IF('Statement of Marks'!HS83="","",'Statement of Marks'!HS83)</f>
        <v/>
      </c>
      <c r="K80" s="281" t="str">
        <f>IF('Statement of Marks'!HT83="","",'Statement of Marks'!HT83)</f>
        <v/>
      </c>
      <c r="L80" s="828" t="str">
        <f>IF('Statement of Marks'!HW83="","",'Statement of Marks'!HW83)</f>
        <v/>
      </c>
      <c r="M80" s="281" t="str">
        <f>IF('Statement of Marks'!HV83="","",'Statement of Marks'!HV83)</f>
        <v/>
      </c>
      <c r="N80" s="829" t="str">
        <f>IF('Statement of Marks'!HX83="","",'Statement of Marks'!HX83)</f>
        <v/>
      </c>
      <c r="O80" s="282" t="str">
        <f>IF(J80="FAIL","",IF('Statement of Marks'!HO83="","",'Statement of Marks'!HO83))</f>
        <v xml:space="preserve">      </v>
      </c>
      <c r="P80" s="283" t="str">
        <f>IF('Supp. Result Entry'!AQ81="","",'Supp. Result Entry'!AQ81)</f>
        <v/>
      </c>
      <c r="Q80" s="284" t="str">
        <f>IF('Supp. Result Entry'!AR81="","",'Supp. Result Entry'!AR81)</f>
        <v/>
      </c>
      <c r="R80" s="285" t="str">
        <f>IF('Statement of Marks'!IA83="","",'Statement of Marks'!IA83)</f>
        <v/>
      </c>
      <c r="S80" s="286" t="str">
        <f>IF('Statement of Marks'!GL83="","",'Statement of Marks'!GL83)</f>
        <v/>
      </c>
      <c r="BM80" s="287" t="str">
        <f>'Statement of Marks'!F83</f>
        <v/>
      </c>
      <c r="BN80" s="288" t="str">
        <f t="shared" si="12"/>
        <v/>
      </c>
      <c r="BO80" s="288" t="str">
        <f t="shared" si="13"/>
        <v/>
      </c>
      <c r="BP80" s="288" t="str">
        <f t="shared" si="14"/>
        <v/>
      </c>
      <c r="BQ80" s="288" t="str">
        <f t="shared" si="15"/>
        <v/>
      </c>
      <c r="BR80" s="288" t="str">
        <f t="shared" si="16"/>
        <v/>
      </c>
      <c r="BS80" s="288" t="str">
        <f t="shared" si="17"/>
        <v/>
      </c>
      <c r="BT80" s="288" t="str">
        <f t="shared" si="18"/>
        <v/>
      </c>
      <c r="BU80" s="288" t="str">
        <f t="shared" si="19"/>
        <v/>
      </c>
      <c r="BV80" s="288" t="str">
        <f t="shared" si="20"/>
        <v/>
      </c>
      <c r="BW80" s="288" t="str">
        <f t="shared" si="21"/>
        <v/>
      </c>
      <c r="BX80" s="288" t="str">
        <f t="shared" si="22"/>
        <v/>
      </c>
      <c r="BY80" s="288" t="str">
        <f t="shared" si="23"/>
        <v/>
      </c>
      <c r="BZ80" s="289"/>
    </row>
    <row r="81" spans="1:78" ht="15" customHeight="1">
      <c r="A81" s="276">
        <f>IF('Statement of Marks'!A84="","",'Statement of Marks'!A84)</f>
        <v>78</v>
      </c>
      <c r="B81" s="277" t="str">
        <f>IF('Statement of Marks'!B84="","",'Statement of Marks'!B84)</f>
        <v/>
      </c>
      <c r="C81" s="278" t="str">
        <f>IF('Statement of Marks'!D84="","",'Statement of Marks'!D84)</f>
        <v/>
      </c>
      <c r="D81" s="314" t="str">
        <f>IF('Statement of Marks'!E84="","",'Statement of Marks'!E84)</f>
        <v/>
      </c>
      <c r="E81" s="279" t="str">
        <f>IF('Statement of Marks'!F84="","",'Statement of Marks'!F84)</f>
        <v/>
      </c>
      <c r="F81" s="279" t="str">
        <f>IF('Statement of Marks'!G84="","",'Statement of Marks'!G84)</f>
        <v/>
      </c>
      <c r="G81" s="279" t="str">
        <f>IF('Statement of Marks'!H84="","",'Statement of Marks'!H84)</f>
        <v/>
      </c>
      <c r="H81" s="280" t="str">
        <f>IF('Statement of Marks'!I84="","",'Statement of Marks'!I84)</f>
        <v/>
      </c>
      <c r="I81" s="280" t="str">
        <f>IF('Statement of Marks'!J84="","",'Statement of Marks'!J84)</f>
        <v/>
      </c>
      <c r="J81" s="827" t="str">
        <f>IF('Statement of Marks'!HS84="","",'Statement of Marks'!HS84)</f>
        <v/>
      </c>
      <c r="K81" s="281" t="str">
        <f>IF('Statement of Marks'!HT84="","",'Statement of Marks'!HT84)</f>
        <v/>
      </c>
      <c r="L81" s="828" t="str">
        <f>IF('Statement of Marks'!HW84="","",'Statement of Marks'!HW84)</f>
        <v/>
      </c>
      <c r="M81" s="281" t="str">
        <f>IF('Statement of Marks'!HV84="","",'Statement of Marks'!HV84)</f>
        <v/>
      </c>
      <c r="N81" s="829" t="str">
        <f>IF('Statement of Marks'!HX84="","",'Statement of Marks'!HX84)</f>
        <v/>
      </c>
      <c r="O81" s="282" t="str">
        <f>IF(J81="FAIL","",IF('Statement of Marks'!HO84="","",'Statement of Marks'!HO84))</f>
        <v xml:space="preserve">      </v>
      </c>
      <c r="P81" s="283" t="str">
        <f>IF('Supp. Result Entry'!AQ82="","",'Supp. Result Entry'!AQ82)</f>
        <v/>
      </c>
      <c r="Q81" s="284" t="str">
        <f>IF('Supp. Result Entry'!AR82="","",'Supp. Result Entry'!AR82)</f>
        <v/>
      </c>
      <c r="R81" s="285" t="str">
        <f>IF('Statement of Marks'!IA84="","",'Statement of Marks'!IA84)</f>
        <v/>
      </c>
      <c r="S81" s="286" t="str">
        <f>IF('Statement of Marks'!GL84="","",'Statement of Marks'!GL84)</f>
        <v/>
      </c>
      <c r="BM81" s="287" t="str">
        <f>'Statement of Marks'!F84</f>
        <v/>
      </c>
      <c r="BN81" s="288" t="str">
        <f t="shared" si="12"/>
        <v/>
      </c>
      <c r="BO81" s="288" t="str">
        <f t="shared" si="13"/>
        <v/>
      </c>
      <c r="BP81" s="288" t="str">
        <f t="shared" si="14"/>
        <v/>
      </c>
      <c r="BQ81" s="288" t="str">
        <f t="shared" si="15"/>
        <v/>
      </c>
      <c r="BR81" s="288" t="str">
        <f t="shared" si="16"/>
        <v/>
      </c>
      <c r="BS81" s="288" t="str">
        <f t="shared" si="17"/>
        <v/>
      </c>
      <c r="BT81" s="288" t="str">
        <f t="shared" si="18"/>
        <v/>
      </c>
      <c r="BU81" s="288" t="str">
        <f t="shared" si="19"/>
        <v/>
      </c>
      <c r="BV81" s="288" t="str">
        <f t="shared" si="20"/>
        <v/>
      </c>
      <c r="BW81" s="288" t="str">
        <f t="shared" si="21"/>
        <v/>
      </c>
      <c r="BX81" s="288" t="str">
        <f t="shared" si="22"/>
        <v/>
      </c>
      <c r="BY81" s="288" t="str">
        <f t="shared" si="23"/>
        <v/>
      </c>
      <c r="BZ81" s="289"/>
    </row>
    <row r="82" spans="1:78" ht="15" customHeight="1">
      <c r="A82" s="276">
        <f>IF('Statement of Marks'!A85="","",'Statement of Marks'!A85)</f>
        <v>79</v>
      </c>
      <c r="B82" s="277" t="str">
        <f>IF('Statement of Marks'!B85="","",'Statement of Marks'!B85)</f>
        <v/>
      </c>
      <c r="C82" s="278" t="str">
        <f>IF('Statement of Marks'!D85="","",'Statement of Marks'!D85)</f>
        <v/>
      </c>
      <c r="D82" s="314" t="str">
        <f>IF('Statement of Marks'!E85="","",'Statement of Marks'!E85)</f>
        <v/>
      </c>
      <c r="E82" s="279" t="str">
        <f>IF('Statement of Marks'!F85="","",'Statement of Marks'!F85)</f>
        <v/>
      </c>
      <c r="F82" s="279" t="str">
        <f>IF('Statement of Marks'!G85="","",'Statement of Marks'!G85)</f>
        <v/>
      </c>
      <c r="G82" s="279" t="str">
        <f>IF('Statement of Marks'!H85="","",'Statement of Marks'!H85)</f>
        <v/>
      </c>
      <c r="H82" s="280" t="str">
        <f>IF('Statement of Marks'!I85="","",'Statement of Marks'!I85)</f>
        <v/>
      </c>
      <c r="I82" s="280" t="str">
        <f>IF('Statement of Marks'!J85="","",'Statement of Marks'!J85)</f>
        <v/>
      </c>
      <c r="J82" s="827" t="str">
        <f>IF('Statement of Marks'!HS85="","",'Statement of Marks'!HS85)</f>
        <v/>
      </c>
      <c r="K82" s="281" t="str">
        <f>IF('Statement of Marks'!HT85="","",'Statement of Marks'!HT85)</f>
        <v/>
      </c>
      <c r="L82" s="828" t="str">
        <f>IF('Statement of Marks'!HW85="","",'Statement of Marks'!HW85)</f>
        <v/>
      </c>
      <c r="M82" s="281" t="str">
        <f>IF('Statement of Marks'!HV85="","",'Statement of Marks'!HV85)</f>
        <v/>
      </c>
      <c r="N82" s="829" t="str">
        <f>IF('Statement of Marks'!HX85="","",'Statement of Marks'!HX85)</f>
        <v/>
      </c>
      <c r="O82" s="282" t="str">
        <f>IF(J82="FAIL","",IF('Statement of Marks'!HO85="","",'Statement of Marks'!HO85))</f>
        <v xml:space="preserve">      </v>
      </c>
      <c r="P82" s="283" t="str">
        <f>IF('Supp. Result Entry'!AQ83="","",'Supp. Result Entry'!AQ83)</f>
        <v/>
      </c>
      <c r="Q82" s="284" t="str">
        <f>IF('Supp. Result Entry'!AR83="","",'Supp. Result Entry'!AR83)</f>
        <v/>
      </c>
      <c r="R82" s="285" t="str">
        <f>IF('Statement of Marks'!IA85="","",'Statement of Marks'!IA85)</f>
        <v/>
      </c>
      <c r="S82" s="286" t="str">
        <f>IF('Statement of Marks'!GL85="","",'Statement of Marks'!GL85)</f>
        <v/>
      </c>
      <c r="BM82" s="287" t="str">
        <f>'Statement of Marks'!F85</f>
        <v/>
      </c>
      <c r="BN82" s="288" t="str">
        <f t="shared" si="12"/>
        <v/>
      </c>
      <c r="BO82" s="288" t="str">
        <f t="shared" si="13"/>
        <v/>
      </c>
      <c r="BP82" s="288" t="str">
        <f t="shared" si="14"/>
        <v/>
      </c>
      <c r="BQ82" s="288" t="str">
        <f t="shared" si="15"/>
        <v/>
      </c>
      <c r="BR82" s="288" t="str">
        <f t="shared" si="16"/>
        <v/>
      </c>
      <c r="BS82" s="288" t="str">
        <f t="shared" si="17"/>
        <v/>
      </c>
      <c r="BT82" s="288" t="str">
        <f t="shared" si="18"/>
        <v/>
      </c>
      <c r="BU82" s="288" t="str">
        <f t="shared" si="19"/>
        <v/>
      </c>
      <c r="BV82" s="288" t="str">
        <f t="shared" si="20"/>
        <v/>
      </c>
      <c r="BW82" s="288" t="str">
        <f t="shared" si="21"/>
        <v/>
      </c>
      <c r="BX82" s="288" t="str">
        <f t="shared" si="22"/>
        <v/>
      </c>
      <c r="BY82" s="288" t="str">
        <f t="shared" si="23"/>
        <v/>
      </c>
      <c r="BZ82" s="289"/>
    </row>
    <row r="83" spans="1:78" ht="15" customHeight="1">
      <c r="A83" s="276">
        <f>IF('Statement of Marks'!A86="","",'Statement of Marks'!A86)</f>
        <v>80</v>
      </c>
      <c r="B83" s="277" t="str">
        <f>IF('Statement of Marks'!B86="","",'Statement of Marks'!B86)</f>
        <v/>
      </c>
      <c r="C83" s="278" t="str">
        <f>IF('Statement of Marks'!D86="","",'Statement of Marks'!D86)</f>
        <v/>
      </c>
      <c r="D83" s="314" t="str">
        <f>IF('Statement of Marks'!E86="","",'Statement of Marks'!E86)</f>
        <v/>
      </c>
      <c r="E83" s="279" t="str">
        <f>IF('Statement of Marks'!F86="","",'Statement of Marks'!F86)</f>
        <v/>
      </c>
      <c r="F83" s="279" t="str">
        <f>IF('Statement of Marks'!G86="","",'Statement of Marks'!G86)</f>
        <v/>
      </c>
      <c r="G83" s="279" t="str">
        <f>IF('Statement of Marks'!H86="","",'Statement of Marks'!H86)</f>
        <v/>
      </c>
      <c r="H83" s="280" t="str">
        <f>IF('Statement of Marks'!I86="","",'Statement of Marks'!I86)</f>
        <v/>
      </c>
      <c r="I83" s="280" t="str">
        <f>IF('Statement of Marks'!J86="","",'Statement of Marks'!J86)</f>
        <v/>
      </c>
      <c r="J83" s="827" t="str">
        <f>IF('Statement of Marks'!HS86="","",'Statement of Marks'!HS86)</f>
        <v/>
      </c>
      <c r="K83" s="281" t="str">
        <f>IF('Statement of Marks'!HT86="","",'Statement of Marks'!HT86)</f>
        <v/>
      </c>
      <c r="L83" s="828" t="str">
        <f>IF('Statement of Marks'!HW86="","",'Statement of Marks'!HW86)</f>
        <v/>
      </c>
      <c r="M83" s="281" t="str">
        <f>IF('Statement of Marks'!HV86="","",'Statement of Marks'!HV86)</f>
        <v/>
      </c>
      <c r="N83" s="829" t="str">
        <f>IF('Statement of Marks'!HX86="","",'Statement of Marks'!HX86)</f>
        <v/>
      </c>
      <c r="O83" s="282" t="str">
        <f>IF(J83="FAIL","",IF('Statement of Marks'!HO86="","",'Statement of Marks'!HO86))</f>
        <v xml:space="preserve">      </v>
      </c>
      <c r="P83" s="283" t="str">
        <f>IF('Supp. Result Entry'!AQ84="","",'Supp. Result Entry'!AQ84)</f>
        <v/>
      </c>
      <c r="Q83" s="284" t="str">
        <f>IF('Supp. Result Entry'!AR84="","",'Supp. Result Entry'!AR84)</f>
        <v/>
      </c>
      <c r="R83" s="285" t="str">
        <f>IF('Statement of Marks'!IA86="","",'Statement of Marks'!IA86)</f>
        <v/>
      </c>
      <c r="S83" s="286" t="str">
        <f>IF('Statement of Marks'!GL86="","",'Statement of Marks'!GL86)</f>
        <v/>
      </c>
      <c r="BM83" s="287" t="str">
        <f>'Statement of Marks'!F86</f>
        <v/>
      </c>
      <c r="BN83" s="288" t="str">
        <f t="shared" si="12"/>
        <v/>
      </c>
      <c r="BO83" s="288" t="str">
        <f t="shared" si="13"/>
        <v/>
      </c>
      <c r="BP83" s="288" t="str">
        <f t="shared" si="14"/>
        <v/>
      </c>
      <c r="BQ83" s="288" t="str">
        <f t="shared" si="15"/>
        <v/>
      </c>
      <c r="BR83" s="288" t="str">
        <f t="shared" si="16"/>
        <v/>
      </c>
      <c r="BS83" s="288" t="str">
        <f t="shared" si="17"/>
        <v/>
      </c>
      <c r="BT83" s="288" t="str">
        <f t="shared" si="18"/>
        <v/>
      </c>
      <c r="BU83" s="288" t="str">
        <f t="shared" si="19"/>
        <v/>
      </c>
      <c r="BV83" s="288" t="str">
        <f t="shared" si="20"/>
        <v/>
      </c>
      <c r="BW83" s="288" t="str">
        <f t="shared" si="21"/>
        <v/>
      </c>
      <c r="BX83" s="288" t="str">
        <f t="shared" si="22"/>
        <v/>
      </c>
      <c r="BY83" s="288" t="str">
        <f t="shared" si="23"/>
        <v/>
      </c>
      <c r="BZ83" s="289"/>
    </row>
    <row r="84" spans="1:78" ht="15" customHeight="1">
      <c r="A84" s="276">
        <f>IF('Statement of Marks'!A87="","",'Statement of Marks'!A87)</f>
        <v>81</v>
      </c>
      <c r="B84" s="277" t="str">
        <f>IF('Statement of Marks'!B87="","",'Statement of Marks'!B87)</f>
        <v/>
      </c>
      <c r="C84" s="278" t="str">
        <f>IF('Statement of Marks'!D87="","",'Statement of Marks'!D87)</f>
        <v/>
      </c>
      <c r="D84" s="314" t="str">
        <f>IF('Statement of Marks'!E87="","",'Statement of Marks'!E87)</f>
        <v/>
      </c>
      <c r="E84" s="279" t="str">
        <f>IF('Statement of Marks'!F87="","",'Statement of Marks'!F87)</f>
        <v/>
      </c>
      <c r="F84" s="279" t="str">
        <f>IF('Statement of Marks'!G87="","",'Statement of Marks'!G87)</f>
        <v/>
      </c>
      <c r="G84" s="279" t="str">
        <f>IF('Statement of Marks'!H87="","",'Statement of Marks'!H87)</f>
        <v/>
      </c>
      <c r="H84" s="280" t="str">
        <f>IF('Statement of Marks'!I87="","",'Statement of Marks'!I87)</f>
        <v/>
      </c>
      <c r="I84" s="280" t="str">
        <f>IF('Statement of Marks'!J87="","",'Statement of Marks'!J87)</f>
        <v/>
      </c>
      <c r="J84" s="827" t="str">
        <f>IF('Statement of Marks'!HS87="","",'Statement of Marks'!HS87)</f>
        <v/>
      </c>
      <c r="K84" s="281" t="str">
        <f>IF('Statement of Marks'!HT87="","",'Statement of Marks'!HT87)</f>
        <v/>
      </c>
      <c r="L84" s="828" t="str">
        <f>IF('Statement of Marks'!HW87="","",'Statement of Marks'!HW87)</f>
        <v/>
      </c>
      <c r="M84" s="281" t="str">
        <f>IF('Statement of Marks'!HV87="","",'Statement of Marks'!HV87)</f>
        <v/>
      </c>
      <c r="N84" s="829" t="str">
        <f>IF('Statement of Marks'!HX87="","",'Statement of Marks'!HX87)</f>
        <v/>
      </c>
      <c r="O84" s="282" t="str">
        <f>IF(J84="FAIL","",IF('Statement of Marks'!HO87="","",'Statement of Marks'!HO87))</f>
        <v xml:space="preserve">      </v>
      </c>
      <c r="P84" s="283" t="str">
        <f>IF('Supp. Result Entry'!AQ85="","",'Supp. Result Entry'!AQ85)</f>
        <v/>
      </c>
      <c r="Q84" s="284" t="str">
        <f>IF('Supp. Result Entry'!AR85="","",'Supp. Result Entry'!AR85)</f>
        <v/>
      </c>
      <c r="R84" s="285" t="str">
        <f>IF('Statement of Marks'!IA87="","",'Statement of Marks'!IA87)</f>
        <v/>
      </c>
      <c r="S84" s="286" t="str">
        <f>IF('Statement of Marks'!GL87="","",'Statement of Marks'!GL87)</f>
        <v/>
      </c>
      <c r="BM84" s="287" t="str">
        <f>'Statement of Marks'!F87</f>
        <v/>
      </c>
      <c r="BN84" s="288" t="str">
        <f t="shared" si="12"/>
        <v/>
      </c>
      <c r="BO84" s="288" t="str">
        <f t="shared" si="13"/>
        <v/>
      </c>
      <c r="BP84" s="288" t="str">
        <f t="shared" si="14"/>
        <v/>
      </c>
      <c r="BQ84" s="288" t="str">
        <f t="shared" si="15"/>
        <v/>
      </c>
      <c r="BR84" s="288" t="str">
        <f t="shared" si="16"/>
        <v/>
      </c>
      <c r="BS84" s="288" t="str">
        <f t="shared" si="17"/>
        <v/>
      </c>
      <c r="BT84" s="288" t="str">
        <f t="shared" si="18"/>
        <v/>
      </c>
      <c r="BU84" s="288" t="str">
        <f t="shared" si="19"/>
        <v/>
      </c>
      <c r="BV84" s="288" t="str">
        <f t="shared" si="20"/>
        <v/>
      </c>
      <c r="BW84" s="288" t="str">
        <f t="shared" si="21"/>
        <v/>
      </c>
      <c r="BX84" s="288" t="str">
        <f t="shared" si="22"/>
        <v/>
      </c>
      <c r="BY84" s="288" t="str">
        <f t="shared" si="23"/>
        <v/>
      </c>
      <c r="BZ84" s="289"/>
    </row>
    <row r="85" spans="1:78" ht="15" customHeight="1">
      <c r="A85" s="276">
        <f>IF('Statement of Marks'!A88="","",'Statement of Marks'!A88)</f>
        <v>82</v>
      </c>
      <c r="B85" s="277" t="str">
        <f>IF('Statement of Marks'!B88="","",'Statement of Marks'!B88)</f>
        <v/>
      </c>
      <c r="C85" s="278" t="str">
        <f>IF('Statement of Marks'!D88="","",'Statement of Marks'!D88)</f>
        <v/>
      </c>
      <c r="D85" s="314" t="str">
        <f>IF('Statement of Marks'!E88="","",'Statement of Marks'!E88)</f>
        <v/>
      </c>
      <c r="E85" s="279" t="str">
        <f>IF('Statement of Marks'!F88="","",'Statement of Marks'!F88)</f>
        <v/>
      </c>
      <c r="F85" s="279" t="str">
        <f>IF('Statement of Marks'!G88="","",'Statement of Marks'!G88)</f>
        <v/>
      </c>
      <c r="G85" s="279" t="str">
        <f>IF('Statement of Marks'!H88="","",'Statement of Marks'!H88)</f>
        <v/>
      </c>
      <c r="H85" s="280" t="str">
        <f>IF('Statement of Marks'!I88="","",'Statement of Marks'!I88)</f>
        <v/>
      </c>
      <c r="I85" s="280" t="str">
        <f>IF('Statement of Marks'!J88="","",'Statement of Marks'!J88)</f>
        <v/>
      </c>
      <c r="J85" s="827" t="str">
        <f>IF('Statement of Marks'!HS88="","",'Statement of Marks'!HS88)</f>
        <v/>
      </c>
      <c r="K85" s="281" t="str">
        <f>IF('Statement of Marks'!HT88="","",'Statement of Marks'!HT88)</f>
        <v/>
      </c>
      <c r="L85" s="828" t="str">
        <f>IF('Statement of Marks'!HW88="","",'Statement of Marks'!HW88)</f>
        <v/>
      </c>
      <c r="M85" s="281" t="str">
        <f>IF('Statement of Marks'!HV88="","",'Statement of Marks'!HV88)</f>
        <v/>
      </c>
      <c r="N85" s="829" t="str">
        <f>IF('Statement of Marks'!HX88="","",'Statement of Marks'!HX88)</f>
        <v/>
      </c>
      <c r="O85" s="282" t="str">
        <f>IF(J85="FAIL","",IF('Statement of Marks'!HO88="","",'Statement of Marks'!HO88))</f>
        <v xml:space="preserve">      </v>
      </c>
      <c r="P85" s="283" t="str">
        <f>IF('Supp. Result Entry'!AQ86="","",'Supp. Result Entry'!AQ86)</f>
        <v/>
      </c>
      <c r="Q85" s="284" t="str">
        <f>IF('Supp. Result Entry'!AR86="","",'Supp. Result Entry'!AR86)</f>
        <v/>
      </c>
      <c r="R85" s="285" t="str">
        <f>IF('Statement of Marks'!IA88="","",'Statement of Marks'!IA88)</f>
        <v/>
      </c>
      <c r="S85" s="286" t="str">
        <f>IF('Statement of Marks'!GL88="","",'Statement of Marks'!GL88)</f>
        <v/>
      </c>
      <c r="BM85" s="287" t="str">
        <f>'Statement of Marks'!F88</f>
        <v/>
      </c>
      <c r="BN85" s="288" t="str">
        <f t="shared" si="12"/>
        <v/>
      </c>
      <c r="BO85" s="288" t="str">
        <f t="shared" si="13"/>
        <v/>
      </c>
      <c r="BP85" s="288" t="str">
        <f t="shared" si="14"/>
        <v/>
      </c>
      <c r="BQ85" s="288" t="str">
        <f t="shared" si="15"/>
        <v/>
      </c>
      <c r="BR85" s="288" t="str">
        <f t="shared" si="16"/>
        <v/>
      </c>
      <c r="BS85" s="288" t="str">
        <f t="shared" si="17"/>
        <v/>
      </c>
      <c r="BT85" s="288" t="str">
        <f t="shared" si="18"/>
        <v/>
      </c>
      <c r="BU85" s="288" t="str">
        <f t="shared" si="19"/>
        <v/>
      </c>
      <c r="BV85" s="288" t="str">
        <f t="shared" si="20"/>
        <v/>
      </c>
      <c r="BW85" s="288" t="str">
        <f t="shared" si="21"/>
        <v/>
      </c>
      <c r="BX85" s="288" t="str">
        <f t="shared" si="22"/>
        <v/>
      </c>
      <c r="BY85" s="288" t="str">
        <f t="shared" si="23"/>
        <v/>
      </c>
      <c r="BZ85" s="289"/>
    </row>
    <row r="86" spans="1:78" ht="15" customHeight="1">
      <c r="A86" s="276">
        <f>IF('Statement of Marks'!A89="","",'Statement of Marks'!A89)</f>
        <v>83</v>
      </c>
      <c r="B86" s="277" t="str">
        <f>IF('Statement of Marks'!B89="","",'Statement of Marks'!B89)</f>
        <v/>
      </c>
      <c r="C86" s="278" t="str">
        <f>IF('Statement of Marks'!D89="","",'Statement of Marks'!D89)</f>
        <v/>
      </c>
      <c r="D86" s="314" t="str">
        <f>IF('Statement of Marks'!E89="","",'Statement of Marks'!E89)</f>
        <v/>
      </c>
      <c r="E86" s="279" t="str">
        <f>IF('Statement of Marks'!F89="","",'Statement of Marks'!F89)</f>
        <v/>
      </c>
      <c r="F86" s="279" t="str">
        <f>IF('Statement of Marks'!G89="","",'Statement of Marks'!G89)</f>
        <v/>
      </c>
      <c r="G86" s="279" t="str">
        <f>IF('Statement of Marks'!H89="","",'Statement of Marks'!H89)</f>
        <v/>
      </c>
      <c r="H86" s="280" t="str">
        <f>IF('Statement of Marks'!I89="","",'Statement of Marks'!I89)</f>
        <v/>
      </c>
      <c r="I86" s="280" t="str">
        <f>IF('Statement of Marks'!J89="","",'Statement of Marks'!J89)</f>
        <v/>
      </c>
      <c r="J86" s="827" t="str">
        <f>IF('Statement of Marks'!HS89="","",'Statement of Marks'!HS89)</f>
        <v/>
      </c>
      <c r="K86" s="281" t="str">
        <f>IF('Statement of Marks'!HT89="","",'Statement of Marks'!HT89)</f>
        <v/>
      </c>
      <c r="L86" s="828" t="str">
        <f>IF('Statement of Marks'!HW89="","",'Statement of Marks'!HW89)</f>
        <v/>
      </c>
      <c r="M86" s="281" t="str">
        <f>IF('Statement of Marks'!HV89="","",'Statement of Marks'!HV89)</f>
        <v/>
      </c>
      <c r="N86" s="829" t="str">
        <f>IF('Statement of Marks'!HX89="","",'Statement of Marks'!HX89)</f>
        <v/>
      </c>
      <c r="O86" s="282" t="str">
        <f>IF(J86="FAIL","",IF('Statement of Marks'!HO89="","",'Statement of Marks'!HO89))</f>
        <v xml:space="preserve">      </v>
      </c>
      <c r="P86" s="283" t="str">
        <f>IF('Supp. Result Entry'!AQ87="","",'Supp. Result Entry'!AQ87)</f>
        <v/>
      </c>
      <c r="Q86" s="284" t="str">
        <f>IF('Supp. Result Entry'!AR87="","",'Supp. Result Entry'!AR87)</f>
        <v/>
      </c>
      <c r="R86" s="285" t="str">
        <f>IF('Statement of Marks'!IA89="","",'Statement of Marks'!IA89)</f>
        <v/>
      </c>
      <c r="S86" s="286" t="str">
        <f>IF('Statement of Marks'!GL89="","",'Statement of Marks'!GL89)</f>
        <v/>
      </c>
      <c r="BM86" s="287" t="str">
        <f>'Statement of Marks'!F89</f>
        <v/>
      </c>
      <c r="BN86" s="288" t="str">
        <f t="shared" si="12"/>
        <v/>
      </c>
      <c r="BO86" s="288" t="str">
        <f t="shared" si="13"/>
        <v/>
      </c>
      <c r="BP86" s="288" t="str">
        <f t="shared" si="14"/>
        <v/>
      </c>
      <c r="BQ86" s="288" t="str">
        <f t="shared" si="15"/>
        <v/>
      </c>
      <c r="BR86" s="288" t="str">
        <f t="shared" si="16"/>
        <v/>
      </c>
      <c r="BS86" s="288" t="str">
        <f t="shared" si="17"/>
        <v/>
      </c>
      <c r="BT86" s="288" t="str">
        <f t="shared" si="18"/>
        <v/>
      </c>
      <c r="BU86" s="288" t="str">
        <f t="shared" si="19"/>
        <v/>
      </c>
      <c r="BV86" s="288" t="str">
        <f t="shared" si="20"/>
        <v/>
      </c>
      <c r="BW86" s="288" t="str">
        <f t="shared" si="21"/>
        <v/>
      </c>
      <c r="BX86" s="288" t="str">
        <f t="shared" si="22"/>
        <v/>
      </c>
      <c r="BY86" s="288" t="str">
        <f t="shared" si="23"/>
        <v/>
      </c>
      <c r="BZ86" s="289"/>
    </row>
    <row r="87" spans="1:78" ht="15" customHeight="1">
      <c r="A87" s="276">
        <f>IF('Statement of Marks'!A90="","",'Statement of Marks'!A90)</f>
        <v>84</v>
      </c>
      <c r="B87" s="277" t="str">
        <f>IF('Statement of Marks'!B90="","",'Statement of Marks'!B90)</f>
        <v/>
      </c>
      <c r="C87" s="278" t="str">
        <f>IF('Statement of Marks'!D90="","",'Statement of Marks'!D90)</f>
        <v/>
      </c>
      <c r="D87" s="314" t="str">
        <f>IF('Statement of Marks'!E90="","",'Statement of Marks'!E90)</f>
        <v/>
      </c>
      <c r="E87" s="279" t="str">
        <f>IF('Statement of Marks'!F90="","",'Statement of Marks'!F90)</f>
        <v/>
      </c>
      <c r="F87" s="279" t="str">
        <f>IF('Statement of Marks'!G90="","",'Statement of Marks'!G90)</f>
        <v/>
      </c>
      <c r="G87" s="279" t="str">
        <f>IF('Statement of Marks'!H90="","",'Statement of Marks'!H90)</f>
        <v/>
      </c>
      <c r="H87" s="280" t="str">
        <f>IF('Statement of Marks'!I90="","",'Statement of Marks'!I90)</f>
        <v/>
      </c>
      <c r="I87" s="280" t="str">
        <f>IF('Statement of Marks'!J90="","",'Statement of Marks'!J90)</f>
        <v/>
      </c>
      <c r="J87" s="827" t="str">
        <f>IF('Statement of Marks'!HS90="","",'Statement of Marks'!HS90)</f>
        <v/>
      </c>
      <c r="K87" s="281" t="str">
        <f>IF('Statement of Marks'!HT90="","",'Statement of Marks'!HT90)</f>
        <v/>
      </c>
      <c r="L87" s="828" t="str">
        <f>IF('Statement of Marks'!HW90="","",'Statement of Marks'!HW90)</f>
        <v/>
      </c>
      <c r="M87" s="281" t="str">
        <f>IF('Statement of Marks'!HV90="","",'Statement of Marks'!HV90)</f>
        <v/>
      </c>
      <c r="N87" s="829" t="str">
        <f>IF('Statement of Marks'!HX90="","",'Statement of Marks'!HX90)</f>
        <v/>
      </c>
      <c r="O87" s="282" t="str">
        <f>IF(J87="FAIL","",IF('Statement of Marks'!HO90="","",'Statement of Marks'!HO90))</f>
        <v xml:space="preserve">      </v>
      </c>
      <c r="P87" s="283" t="str">
        <f>IF('Supp. Result Entry'!AQ88="","",'Supp. Result Entry'!AQ88)</f>
        <v/>
      </c>
      <c r="Q87" s="284" t="str">
        <f>IF('Supp. Result Entry'!AR88="","",'Supp. Result Entry'!AR88)</f>
        <v/>
      </c>
      <c r="R87" s="285" t="str">
        <f>IF('Statement of Marks'!IA90="","",'Statement of Marks'!IA90)</f>
        <v/>
      </c>
      <c r="S87" s="286" t="str">
        <f>IF('Statement of Marks'!GL90="","",'Statement of Marks'!GL90)</f>
        <v/>
      </c>
      <c r="BM87" s="287" t="str">
        <f>'Statement of Marks'!F90</f>
        <v/>
      </c>
      <c r="BN87" s="288" t="str">
        <f t="shared" si="12"/>
        <v/>
      </c>
      <c r="BO87" s="288" t="str">
        <f t="shared" si="13"/>
        <v/>
      </c>
      <c r="BP87" s="288" t="str">
        <f t="shared" si="14"/>
        <v/>
      </c>
      <c r="BQ87" s="288" t="str">
        <f t="shared" si="15"/>
        <v/>
      </c>
      <c r="BR87" s="288" t="str">
        <f t="shared" si="16"/>
        <v/>
      </c>
      <c r="BS87" s="288" t="str">
        <f t="shared" si="17"/>
        <v/>
      </c>
      <c r="BT87" s="288" t="str">
        <f t="shared" si="18"/>
        <v/>
      </c>
      <c r="BU87" s="288" t="str">
        <f t="shared" si="19"/>
        <v/>
      </c>
      <c r="BV87" s="288" t="str">
        <f t="shared" si="20"/>
        <v/>
      </c>
      <c r="BW87" s="288" t="str">
        <f t="shared" si="21"/>
        <v/>
      </c>
      <c r="BX87" s="288" t="str">
        <f t="shared" si="22"/>
        <v/>
      </c>
      <c r="BY87" s="288" t="str">
        <f t="shared" si="23"/>
        <v/>
      </c>
      <c r="BZ87" s="289"/>
    </row>
    <row r="88" spans="1:78" ht="15" customHeight="1">
      <c r="A88" s="276">
        <f>IF('Statement of Marks'!A91="","",'Statement of Marks'!A91)</f>
        <v>85</v>
      </c>
      <c r="B88" s="277" t="str">
        <f>IF('Statement of Marks'!B91="","",'Statement of Marks'!B91)</f>
        <v/>
      </c>
      <c r="C88" s="278" t="str">
        <f>IF('Statement of Marks'!D91="","",'Statement of Marks'!D91)</f>
        <v/>
      </c>
      <c r="D88" s="314" t="str">
        <f>IF('Statement of Marks'!E91="","",'Statement of Marks'!E91)</f>
        <v/>
      </c>
      <c r="E88" s="279" t="str">
        <f>IF('Statement of Marks'!F91="","",'Statement of Marks'!F91)</f>
        <v/>
      </c>
      <c r="F88" s="279" t="str">
        <f>IF('Statement of Marks'!G91="","",'Statement of Marks'!G91)</f>
        <v/>
      </c>
      <c r="G88" s="279" t="str">
        <f>IF('Statement of Marks'!H91="","",'Statement of Marks'!H91)</f>
        <v/>
      </c>
      <c r="H88" s="280" t="str">
        <f>IF('Statement of Marks'!I91="","",'Statement of Marks'!I91)</f>
        <v/>
      </c>
      <c r="I88" s="280" t="str">
        <f>IF('Statement of Marks'!J91="","",'Statement of Marks'!J91)</f>
        <v/>
      </c>
      <c r="J88" s="827" t="str">
        <f>IF('Statement of Marks'!HS91="","",'Statement of Marks'!HS91)</f>
        <v/>
      </c>
      <c r="K88" s="281" t="str">
        <f>IF('Statement of Marks'!HT91="","",'Statement of Marks'!HT91)</f>
        <v/>
      </c>
      <c r="L88" s="828" t="str">
        <f>IF('Statement of Marks'!HW91="","",'Statement of Marks'!HW91)</f>
        <v/>
      </c>
      <c r="M88" s="281" t="str">
        <f>IF('Statement of Marks'!HV91="","",'Statement of Marks'!HV91)</f>
        <v/>
      </c>
      <c r="N88" s="829" t="str">
        <f>IF('Statement of Marks'!HX91="","",'Statement of Marks'!HX91)</f>
        <v/>
      </c>
      <c r="O88" s="282" t="str">
        <f>IF(J88="FAIL","",IF('Statement of Marks'!HO91="","",'Statement of Marks'!HO91))</f>
        <v xml:space="preserve">      </v>
      </c>
      <c r="P88" s="283" t="str">
        <f>IF('Supp. Result Entry'!AQ89="","",'Supp. Result Entry'!AQ89)</f>
        <v/>
      </c>
      <c r="Q88" s="284" t="str">
        <f>IF('Supp. Result Entry'!AR89="","",'Supp. Result Entry'!AR89)</f>
        <v/>
      </c>
      <c r="R88" s="285" t="str">
        <f>IF('Statement of Marks'!IA91="","",'Statement of Marks'!IA91)</f>
        <v/>
      </c>
      <c r="S88" s="286" t="str">
        <f>IF('Statement of Marks'!GL91="","",'Statement of Marks'!GL91)</f>
        <v/>
      </c>
      <c r="BM88" s="287" t="str">
        <f>'Statement of Marks'!F91</f>
        <v/>
      </c>
      <c r="BN88" s="288" t="str">
        <f t="shared" si="12"/>
        <v/>
      </c>
      <c r="BO88" s="288" t="str">
        <f t="shared" si="13"/>
        <v/>
      </c>
      <c r="BP88" s="288" t="str">
        <f t="shared" si="14"/>
        <v/>
      </c>
      <c r="BQ88" s="288" t="str">
        <f t="shared" si="15"/>
        <v/>
      </c>
      <c r="BR88" s="288" t="str">
        <f t="shared" si="16"/>
        <v/>
      </c>
      <c r="BS88" s="288" t="str">
        <f t="shared" si="17"/>
        <v/>
      </c>
      <c r="BT88" s="288" t="str">
        <f t="shared" si="18"/>
        <v/>
      </c>
      <c r="BU88" s="288" t="str">
        <f t="shared" si="19"/>
        <v/>
      </c>
      <c r="BV88" s="288" t="str">
        <f t="shared" si="20"/>
        <v/>
      </c>
      <c r="BW88" s="288" t="str">
        <f t="shared" si="21"/>
        <v/>
      </c>
      <c r="BX88" s="288" t="str">
        <f t="shared" si="22"/>
        <v/>
      </c>
      <c r="BY88" s="288" t="str">
        <f t="shared" si="23"/>
        <v/>
      </c>
      <c r="BZ88" s="289"/>
    </row>
    <row r="89" spans="1:78" ht="15" customHeight="1">
      <c r="A89" s="276">
        <f>IF('Statement of Marks'!A92="","",'Statement of Marks'!A92)</f>
        <v>86</v>
      </c>
      <c r="B89" s="277" t="str">
        <f>IF('Statement of Marks'!B92="","",'Statement of Marks'!B92)</f>
        <v/>
      </c>
      <c r="C89" s="278" t="str">
        <f>IF('Statement of Marks'!D92="","",'Statement of Marks'!D92)</f>
        <v/>
      </c>
      <c r="D89" s="314" t="str">
        <f>IF('Statement of Marks'!E92="","",'Statement of Marks'!E92)</f>
        <v/>
      </c>
      <c r="E89" s="279" t="str">
        <f>IF('Statement of Marks'!F92="","",'Statement of Marks'!F92)</f>
        <v/>
      </c>
      <c r="F89" s="279" t="str">
        <f>IF('Statement of Marks'!G92="","",'Statement of Marks'!G92)</f>
        <v/>
      </c>
      <c r="G89" s="279" t="str">
        <f>IF('Statement of Marks'!H92="","",'Statement of Marks'!H92)</f>
        <v/>
      </c>
      <c r="H89" s="280" t="str">
        <f>IF('Statement of Marks'!I92="","",'Statement of Marks'!I92)</f>
        <v/>
      </c>
      <c r="I89" s="280" t="str">
        <f>IF('Statement of Marks'!J92="","",'Statement of Marks'!J92)</f>
        <v/>
      </c>
      <c r="J89" s="827" t="str">
        <f>IF('Statement of Marks'!HS92="","",'Statement of Marks'!HS92)</f>
        <v/>
      </c>
      <c r="K89" s="281" t="str">
        <f>IF('Statement of Marks'!HT92="","",'Statement of Marks'!HT92)</f>
        <v/>
      </c>
      <c r="L89" s="828" t="str">
        <f>IF('Statement of Marks'!HW92="","",'Statement of Marks'!HW92)</f>
        <v/>
      </c>
      <c r="M89" s="281" t="str">
        <f>IF('Statement of Marks'!HV92="","",'Statement of Marks'!HV92)</f>
        <v/>
      </c>
      <c r="N89" s="829" t="str">
        <f>IF('Statement of Marks'!HX92="","",'Statement of Marks'!HX92)</f>
        <v/>
      </c>
      <c r="O89" s="282" t="str">
        <f>IF(J89="FAIL","",IF('Statement of Marks'!HO92="","",'Statement of Marks'!HO92))</f>
        <v xml:space="preserve">      </v>
      </c>
      <c r="P89" s="283" t="str">
        <f>IF('Supp. Result Entry'!AQ90="","",'Supp. Result Entry'!AQ90)</f>
        <v/>
      </c>
      <c r="Q89" s="284" t="str">
        <f>IF('Supp. Result Entry'!AR90="","",'Supp. Result Entry'!AR90)</f>
        <v/>
      </c>
      <c r="R89" s="285" t="str">
        <f>IF('Statement of Marks'!IA92="","",'Statement of Marks'!IA92)</f>
        <v/>
      </c>
      <c r="S89" s="286" t="str">
        <f>IF('Statement of Marks'!GL92="","",'Statement of Marks'!GL92)</f>
        <v/>
      </c>
      <c r="BM89" s="287" t="str">
        <f>'Statement of Marks'!F92</f>
        <v/>
      </c>
      <c r="BN89" s="288" t="str">
        <f t="shared" si="12"/>
        <v/>
      </c>
      <c r="BO89" s="288" t="str">
        <f t="shared" si="13"/>
        <v/>
      </c>
      <c r="BP89" s="288" t="str">
        <f t="shared" si="14"/>
        <v/>
      </c>
      <c r="BQ89" s="288" t="str">
        <f t="shared" si="15"/>
        <v/>
      </c>
      <c r="BR89" s="288" t="str">
        <f t="shared" si="16"/>
        <v/>
      </c>
      <c r="BS89" s="288" t="str">
        <f t="shared" si="17"/>
        <v/>
      </c>
      <c r="BT89" s="288" t="str">
        <f t="shared" si="18"/>
        <v/>
      </c>
      <c r="BU89" s="288" t="str">
        <f t="shared" si="19"/>
        <v/>
      </c>
      <c r="BV89" s="288" t="str">
        <f t="shared" si="20"/>
        <v/>
      </c>
      <c r="BW89" s="288" t="str">
        <f t="shared" si="21"/>
        <v/>
      </c>
      <c r="BX89" s="288" t="str">
        <f t="shared" si="22"/>
        <v/>
      </c>
      <c r="BY89" s="288" t="str">
        <f t="shared" si="23"/>
        <v/>
      </c>
      <c r="BZ89" s="289"/>
    </row>
    <row r="90" spans="1:78" ht="15" customHeight="1">
      <c r="A90" s="276">
        <f>IF('Statement of Marks'!A93="","",'Statement of Marks'!A93)</f>
        <v>87</v>
      </c>
      <c r="B90" s="277" t="str">
        <f>IF('Statement of Marks'!B93="","",'Statement of Marks'!B93)</f>
        <v/>
      </c>
      <c r="C90" s="278" t="str">
        <f>IF('Statement of Marks'!D93="","",'Statement of Marks'!D93)</f>
        <v/>
      </c>
      <c r="D90" s="314" t="str">
        <f>IF('Statement of Marks'!E93="","",'Statement of Marks'!E93)</f>
        <v/>
      </c>
      <c r="E90" s="279" t="str">
        <f>IF('Statement of Marks'!F93="","",'Statement of Marks'!F93)</f>
        <v/>
      </c>
      <c r="F90" s="279" t="str">
        <f>IF('Statement of Marks'!G93="","",'Statement of Marks'!G93)</f>
        <v/>
      </c>
      <c r="G90" s="279" t="str">
        <f>IF('Statement of Marks'!H93="","",'Statement of Marks'!H93)</f>
        <v/>
      </c>
      <c r="H90" s="280" t="str">
        <f>IF('Statement of Marks'!I93="","",'Statement of Marks'!I93)</f>
        <v/>
      </c>
      <c r="I90" s="280" t="str">
        <f>IF('Statement of Marks'!J93="","",'Statement of Marks'!J93)</f>
        <v/>
      </c>
      <c r="J90" s="827" t="str">
        <f>IF('Statement of Marks'!HS93="","",'Statement of Marks'!HS93)</f>
        <v/>
      </c>
      <c r="K90" s="281" t="str">
        <f>IF('Statement of Marks'!HT93="","",'Statement of Marks'!HT93)</f>
        <v/>
      </c>
      <c r="L90" s="828" t="str">
        <f>IF('Statement of Marks'!HW93="","",'Statement of Marks'!HW93)</f>
        <v/>
      </c>
      <c r="M90" s="281" t="str">
        <f>IF('Statement of Marks'!HV93="","",'Statement of Marks'!HV93)</f>
        <v/>
      </c>
      <c r="N90" s="829" t="str">
        <f>IF('Statement of Marks'!HX93="","",'Statement of Marks'!HX93)</f>
        <v/>
      </c>
      <c r="O90" s="282" t="str">
        <f>IF(J90="FAIL","",IF('Statement of Marks'!HO93="","",'Statement of Marks'!HO93))</f>
        <v xml:space="preserve">      </v>
      </c>
      <c r="P90" s="283" t="str">
        <f>IF('Supp. Result Entry'!AQ91="","",'Supp. Result Entry'!AQ91)</f>
        <v/>
      </c>
      <c r="Q90" s="284" t="str">
        <f>IF('Supp. Result Entry'!AR91="","",'Supp. Result Entry'!AR91)</f>
        <v/>
      </c>
      <c r="R90" s="285" t="str">
        <f>IF('Statement of Marks'!IA93="","",'Statement of Marks'!IA93)</f>
        <v/>
      </c>
      <c r="S90" s="286" t="str">
        <f>IF('Statement of Marks'!GL93="","",'Statement of Marks'!GL93)</f>
        <v/>
      </c>
      <c r="BM90" s="287" t="str">
        <f>'Statement of Marks'!F93</f>
        <v/>
      </c>
      <c r="BN90" s="288" t="str">
        <f t="shared" si="12"/>
        <v/>
      </c>
      <c r="BO90" s="288" t="str">
        <f t="shared" si="13"/>
        <v/>
      </c>
      <c r="BP90" s="288" t="str">
        <f t="shared" si="14"/>
        <v/>
      </c>
      <c r="BQ90" s="288" t="str">
        <f t="shared" si="15"/>
        <v/>
      </c>
      <c r="BR90" s="288" t="str">
        <f t="shared" si="16"/>
        <v/>
      </c>
      <c r="BS90" s="288" t="str">
        <f t="shared" si="17"/>
        <v/>
      </c>
      <c r="BT90" s="288" t="str">
        <f t="shared" si="18"/>
        <v/>
      </c>
      <c r="BU90" s="288" t="str">
        <f t="shared" si="19"/>
        <v/>
      </c>
      <c r="BV90" s="288" t="str">
        <f t="shared" si="20"/>
        <v/>
      </c>
      <c r="BW90" s="288" t="str">
        <f t="shared" si="21"/>
        <v/>
      </c>
      <c r="BX90" s="288" t="str">
        <f t="shared" si="22"/>
        <v/>
      </c>
      <c r="BY90" s="288" t="str">
        <f t="shared" si="23"/>
        <v/>
      </c>
      <c r="BZ90" s="289"/>
    </row>
    <row r="91" spans="1:78" ht="15" customHeight="1">
      <c r="A91" s="276">
        <f>IF('Statement of Marks'!A94="","",'Statement of Marks'!A94)</f>
        <v>88</v>
      </c>
      <c r="B91" s="277" t="str">
        <f>IF('Statement of Marks'!B94="","",'Statement of Marks'!B94)</f>
        <v/>
      </c>
      <c r="C91" s="278" t="str">
        <f>IF('Statement of Marks'!D94="","",'Statement of Marks'!D94)</f>
        <v/>
      </c>
      <c r="D91" s="314" t="str">
        <f>IF('Statement of Marks'!E94="","",'Statement of Marks'!E94)</f>
        <v/>
      </c>
      <c r="E91" s="279" t="str">
        <f>IF('Statement of Marks'!F94="","",'Statement of Marks'!F94)</f>
        <v/>
      </c>
      <c r="F91" s="279" t="str">
        <f>IF('Statement of Marks'!G94="","",'Statement of Marks'!G94)</f>
        <v/>
      </c>
      <c r="G91" s="279" t="str">
        <f>IF('Statement of Marks'!H94="","",'Statement of Marks'!H94)</f>
        <v/>
      </c>
      <c r="H91" s="280" t="str">
        <f>IF('Statement of Marks'!I94="","",'Statement of Marks'!I94)</f>
        <v/>
      </c>
      <c r="I91" s="280" t="str">
        <f>IF('Statement of Marks'!J94="","",'Statement of Marks'!J94)</f>
        <v/>
      </c>
      <c r="J91" s="827" t="str">
        <f>IF('Statement of Marks'!HS94="","",'Statement of Marks'!HS94)</f>
        <v/>
      </c>
      <c r="K91" s="281" t="str">
        <f>IF('Statement of Marks'!HT94="","",'Statement of Marks'!HT94)</f>
        <v/>
      </c>
      <c r="L91" s="828" t="str">
        <f>IF('Statement of Marks'!HW94="","",'Statement of Marks'!HW94)</f>
        <v/>
      </c>
      <c r="M91" s="281" t="str">
        <f>IF('Statement of Marks'!HV94="","",'Statement of Marks'!HV94)</f>
        <v/>
      </c>
      <c r="N91" s="829" t="str">
        <f>IF('Statement of Marks'!HX94="","",'Statement of Marks'!HX94)</f>
        <v/>
      </c>
      <c r="O91" s="282" t="str">
        <f>IF(J91="FAIL","",IF('Statement of Marks'!HO94="","",'Statement of Marks'!HO94))</f>
        <v xml:space="preserve">      </v>
      </c>
      <c r="P91" s="283" t="str">
        <f>IF('Supp. Result Entry'!AQ92="","",'Supp. Result Entry'!AQ92)</f>
        <v/>
      </c>
      <c r="Q91" s="284" t="str">
        <f>IF('Supp. Result Entry'!AR92="","",'Supp. Result Entry'!AR92)</f>
        <v/>
      </c>
      <c r="R91" s="285" t="str">
        <f>IF('Statement of Marks'!IA94="","",'Statement of Marks'!IA94)</f>
        <v/>
      </c>
      <c r="S91" s="286" t="str">
        <f>IF('Statement of Marks'!GL94="","",'Statement of Marks'!GL94)</f>
        <v/>
      </c>
      <c r="BM91" s="287" t="str">
        <f>'Statement of Marks'!F94</f>
        <v/>
      </c>
      <c r="BN91" s="288" t="str">
        <f t="shared" si="12"/>
        <v/>
      </c>
      <c r="BO91" s="288" t="str">
        <f t="shared" si="13"/>
        <v/>
      </c>
      <c r="BP91" s="288" t="str">
        <f t="shared" si="14"/>
        <v/>
      </c>
      <c r="BQ91" s="288" t="str">
        <f t="shared" si="15"/>
        <v/>
      </c>
      <c r="BR91" s="288" t="str">
        <f t="shared" si="16"/>
        <v/>
      </c>
      <c r="BS91" s="288" t="str">
        <f t="shared" si="17"/>
        <v/>
      </c>
      <c r="BT91" s="288" t="str">
        <f t="shared" si="18"/>
        <v/>
      </c>
      <c r="BU91" s="288" t="str">
        <f t="shared" si="19"/>
        <v/>
      </c>
      <c r="BV91" s="288" t="str">
        <f t="shared" si="20"/>
        <v/>
      </c>
      <c r="BW91" s="288" t="str">
        <f t="shared" si="21"/>
        <v/>
      </c>
      <c r="BX91" s="288" t="str">
        <f t="shared" si="22"/>
        <v/>
      </c>
      <c r="BY91" s="288" t="str">
        <f t="shared" si="23"/>
        <v/>
      </c>
      <c r="BZ91" s="289"/>
    </row>
    <row r="92" spans="1:78" ht="15" customHeight="1">
      <c r="A92" s="276">
        <f>IF('Statement of Marks'!A95="","",'Statement of Marks'!A95)</f>
        <v>89</v>
      </c>
      <c r="B92" s="277" t="str">
        <f>IF('Statement of Marks'!B95="","",'Statement of Marks'!B95)</f>
        <v/>
      </c>
      <c r="C92" s="278" t="str">
        <f>IF('Statement of Marks'!D95="","",'Statement of Marks'!D95)</f>
        <v/>
      </c>
      <c r="D92" s="314" t="str">
        <f>IF('Statement of Marks'!E95="","",'Statement of Marks'!E95)</f>
        <v/>
      </c>
      <c r="E92" s="279" t="str">
        <f>IF('Statement of Marks'!F95="","",'Statement of Marks'!F95)</f>
        <v/>
      </c>
      <c r="F92" s="279" t="str">
        <f>IF('Statement of Marks'!G95="","",'Statement of Marks'!G95)</f>
        <v/>
      </c>
      <c r="G92" s="279" t="str">
        <f>IF('Statement of Marks'!H95="","",'Statement of Marks'!H95)</f>
        <v/>
      </c>
      <c r="H92" s="280" t="str">
        <f>IF('Statement of Marks'!I95="","",'Statement of Marks'!I95)</f>
        <v/>
      </c>
      <c r="I92" s="280" t="str">
        <f>IF('Statement of Marks'!J95="","",'Statement of Marks'!J95)</f>
        <v/>
      </c>
      <c r="J92" s="827" t="str">
        <f>IF('Statement of Marks'!HS95="","",'Statement of Marks'!HS95)</f>
        <v/>
      </c>
      <c r="K92" s="281" t="str">
        <f>IF('Statement of Marks'!HT95="","",'Statement of Marks'!HT95)</f>
        <v/>
      </c>
      <c r="L92" s="828" t="str">
        <f>IF('Statement of Marks'!HW95="","",'Statement of Marks'!HW95)</f>
        <v/>
      </c>
      <c r="M92" s="281" t="str">
        <f>IF('Statement of Marks'!HV95="","",'Statement of Marks'!HV95)</f>
        <v/>
      </c>
      <c r="N92" s="829" t="str">
        <f>IF('Statement of Marks'!HX95="","",'Statement of Marks'!HX95)</f>
        <v/>
      </c>
      <c r="O92" s="282" t="str">
        <f>IF(J92="FAIL","",IF('Statement of Marks'!HO95="","",'Statement of Marks'!HO95))</f>
        <v xml:space="preserve">      </v>
      </c>
      <c r="P92" s="283" t="str">
        <f>IF('Supp. Result Entry'!AQ93="","",'Supp. Result Entry'!AQ93)</f>
        <v/>
      </c>
      <c r="Q92" s="284" t="str">
        <f>IF('Supp. Result Entry'!AR93="","",'Supp. Result Entry'!AR93)</f>
        <v/>
      </c>
      <c r="R92" s="285" t="str">
        <f>IF('Statement of Marks'!IA95="","",'Statement of Marks'!IA95)</f>
        <v/>
      </c>
      <c r="S92" s="286" t="str">
        <f>IF('Statement of Marks'!GL95="","",'Statement of Marks'!GL95)</f>
        <v/>
      </c>
      <c r="BM92" s="287" t="str">
        <f>'Statement of Marks'!F95</f>
        <v/>
      </c>
      <c r="BN92" s="288" t="str">
        <f t="shared" si="12"/>
        <v/>
      </c>
      <c r="BO92" s="288" t="str">
        <f t="shared" si="13"/>
        <v/>
      </c>
      <c r="BP92" s="288" t="str">
        <f t="shared" si="14"/>
        <v/>
      </c>
      <c r="BQ92" s="288" t="str">
        <f t="shared" si="15"/>
        <v/>
      </c>
      <c r="BR92" s="288" t="str">
        <f t="shared" si="16"/>
        <v/>
      </c>
      <c r="BS92" s="288" t="str">
        <f t="shared" si="17"/>
        <v/>
      </c>
      <c r="BT92" s="288" t="str">
        <f t="shared" si="18"/>
        <v/>
      </c>
      <c r="BU92" s="288" t="str">
        <f t="shared" si="19"/>
        <v/>
      </c>
      <c r="BV92" s="288" t="str">
        <f t="shared" si="20"/>
        <v/>
      </c>
      <c r="BW92" s="288" t="str">
        <f t="shared" si="21"/>
        <v/>
      </c>
      <c r="BX92" s="288" t="str">
        <f t="shared" si="22"/>
        <v/>
      </c>
      <c r="BY92" s="288" t="str">
        <f t="shared" si="23"/>
        <v/>
      </c>
      <c r="BZ92" s="289"/>
    </row>
    <row r="93" spans="1:78" ht="15" customHeight="1">
      <c r="A93" s="276">
        <f>IF('Statement of Marks'!A96="","",'Statement of Marks'!A96)</f>
        <v>90</v>
      </c>
      <c r="B93" s="277" t="str">
        <f>IF('Statement of Marks'!B96="","",'Statement of Marks'!B96)</f>
        <v/>
      </c>
      <c r="C93" s="278" t="str">
        <f>IF('Statement of Marks'!D96="","",'Statement of Marks'!D96)</f>
        <v/>
      </c>
      <c r="D93" s="314" t="str">
        <f>IF('Statement of Marks'!E96="","",'Statement of Marks'!E96)</f>
        <v/>
      </c>
      <c r="E93" s="279" t="str">
        <f>IF('Statement of Marks'!F96="","",'Statement of Marks'!F96)</f>
        <v/>
      </c>
      <c r="F93" s="279" t="str">
        <f>IF('Statement of Marks'!G96="","",'Statement of Marks'!G96)</f>
        <v/>
      </c>
      <c r="G93" s="279" t="str">
        <f>IF('Statement of Marks'!H96="","",'Statement of Marks'!H96)</f>
        <v/>
      </c>
      <c r="H93" s="280" t="str">
        <f>IF('Statement of Marks'!I96="","",'Statement of Marks'!I96)</f>
        <v/>
      </c>
      <c r="I93" s="280" t="str">
        <f>IF('Statement of Marks'!J96="","",'Statement of Marks'!J96)</f>
        <v/>
      </c>
      <c r="J93" s="827" t="str">
        <f>IF('Statement of Marks'!HS96="","",'Statement of Marks'!HS96)</f>
        <v/>
      </c>
      <c r="K93" s="281" t="str">
        <f>IF('Statement of Marks'!HT96="","",'Statement of Marks'!HT96)</f>
        <v/>
      </c>
      <c r="L93" s="828" t="str">
        <f>IF('Statement of Marks'!HW96="","",'Statement of Marks'!HW96)</f>
        <v/>
      </c>
      <c r="M93" s="281" t="str">
        <f>IF('Statement of Marks'!HV96="","",'Statement of Marks'!HV96)</f>
        <v/>
      </c>
      <c r="N93" s="829" t="str">
        <f>IF('Statement of Marks'!HX96="","",'Statement of Marks'!HX96)</f>
        <v/>
      </c>
      <c r="O93" s="282" t="str">
        <f>IF(J93="FAIL","",IF('Statement of Marks'!HO96="","",'Statement of Marks'!HO96))</f>
        <v xml:space="preserve">      </v>
      </c>
      <c r="P93" s="283" t="str">
        <f>IF('Supp. Result Entry'!AQ94="","",'Supp. Result Entry'!AQ94)</f>
        <v/>
      </c>
      <c r="Q93" s="284" t="str">
        <f>IF('Supp. Result Entry'!AR94="","",'Supp. Result Entry'!AR94)</f>
        <v/>
      </c>
      <c r="R93" s="285" t="str">
        <f>IF('Statement of Marks'!IA96="","",'Statement of Marks'!IA96)</f>
        <v/>
      </c>
      <c r="S93" s="286" t="str">
        <f>IF('Statement of Marks'!GL96="","",'Statement of Marks'!GL96)</f>
        <v/>
      </c>
      <c r="BM93" s="287" t="str">
        <f>'Statement of Marks'!F96</f>
        <v/>
      </c>
      <c r="BN93" s="288" t="str">
        <f t="shared" si="12"/>
        <v/>
      </c>
      <c r="BO93" s="288" t="str">
        <f t="shared" si="13"/>
        <v/>
      </c>
      <c r="BP93" s="288" t="str">
        <f t="shared" si="14"/>
        <v/>
      </c>
      <c r="BQ93" s="288" t="str">
        <f t="shared" si="15"/>
        <v/>
      </c>
      <c r="BR93" s="288" t="str">
        <f t="shared" si="16"/>
        <v/>
      </c>
      <c r="BS93" s="288" t="str">
        <f t="shared" si="17"/>
        <v/>
      </c>
      <c r="BT93" s="288" t="str">
        <f t="shared" si="18"/>
        <v/>
      </c>
      <c r="BU93" s="288" t="str">
        <f t="shared" si="19"/>
        <v/>
      </c>
      <c r="BV93" s="288" t="str">
        <f t="shared" si="20"/>
        <v/>
      </c>
      <c r="BW93" s="288" t="str">
        <f t="shared" si="21"/>
        <v/>
      </c>
      <c r="BX93" s="288" t="str">
        <f t="shared" si="22"/>
        <v/>
      </c>
      <c r="BY93" s="288" t="str">
        <f t="shared" si="23"/>
        <v/>
      </c>
      <c r="BZ93" s="289"/>
    </row>
    <row r="94" spans="1:78" ht="15" customHeight="1">
      <c r="A94" s="276">
        <f>IF('Statement of Marks'!A97="","",'Statement of Marks'!A97)</f>
        <v>91</v>
      </c>
      <c r="B94" s="277" t="str">
        <f>IF('Statement of Marks'!B97="","",'Statement of Marks'!B97)</f>
        <v/>
      </c>
      <c r="C94" s="278" t="str">
        <f>IF('Statement of Marks'!D97="","",'Statement of Marks'!D97)</f>
        <v/>
      </c>
      <c r="D94" s="314" t="str">
        <f>IF('Statement of Marks'!E97="","",'Statement of Marks'!E97)</f>
        <v/>
      </c>
      <c r="E94" s="279" t="str">
        <f>IF('Statement of Marks'!F97="","",'Statement of Marks'!F97)</f>
        <v/>
      </c>
      <c r="F94" s="279" t="str">
        <f>IF('Statement of Marks'!G97="","",'Statement of Marks'!G97)</f>
        <v/>
      </c>
      <c r="G94" s="279" t="str">
        <f>IF('Statement of Marks'!H97="","",'Statement of Marks'!H97)</f>
        <v/>
      </c>
      <c r="H94" s="280" t="str">
        <f>IF('Statement of Marks'!I97="","",'Statement of Marks'!I97)</f>
        <v/>
      </c>
      <c r="I94" s="280" t="str">
        <f>IF('Statement of Marks'!J97="","",'Statement of Marks'!J97)</f>
        <v/>
      </c>
      <c r="J94" s="826" t="str">
        <f>IF('Statement of Marks'!HS97="","",'Statement of Marks'!HS97)</f>
        <v/>
      </c>
      <c r="K94" s="281" t="str">
        <f>IF('Statement of Marks'!HT97="","",'Statement of Marks'!HT97)</f>
        <v/>
      </c>
      <c r="L94" s="828" t="str">
        <f>IF('Statement of Marks'!HW97="","",'Statement of Marks'!HW97)</f>
        <v/>
      </c>
      <c r="M94" s="281" t="str">
        <f>IF('Statement of Marks'!HV97="","",'Statement of Marks'!HV97)</f>
        <v/>
      </c>
      <c r="N94" s="829" t="str">
        <f>IF('Statement of Marks'!HX97="","",'Statement of Marks'!HX97)</f>
        <v/>
      </c>
      <c r="O94" s="282" t="str">
        <f>IF(J94="FAIL","",IF('Statement of Marks'!HO97="","",'Statement of Marks'!HO97))</f>
        <v xml:space="preserve">      </v>
      </c>
      <c r="P94" s="283" t="str">
        <f>IF('Supp. Result Entry'!AQ95="","",'Supp. Result Entry'!AQ95)</f>
        <v/>
      </c>
      <c r="Q94" s="284" t="str">
        <f>IF('Supp. Result Entry'!AR95="","",'Supp. Result Entry'!AR95)</f>
        <v/>
      </c>
      <c r="R94" s="285" t="str">
        <f>IF('Statement of Marks'!IA97="","",'Statement of Marks'!IA97)</f>
        <v/>
      </c>
      <c r="S94" s="286" t="str">
        <f>IF('Statement of Marks'!GL97="","",'Statement of Marks'!GL97)</f>
        <v/>
      </c>
      <c r="BM94" s="287" t="str">
        <f>'Statement of Marks'!F97</f>
        <v/>
      </c>
      <c r="BN94" s="288" t="str">
        <f t="shared" si="12"/>
        <v/>
      </c>
      <c r="BO94" s="288" t="str">
        <f t="shared" si="13"/>
        <v/>
      </c>
      <c r="BP94" s="288" t="str">
        <f t="shared" si="14"/>
        <v/>
      </c>
      <c r="BQ94" s="288" t="str">
        <f t="shared" si="15"/>
        <v/>
      </c>
      <c r="BR94" s="288" t="str">
        <f t="shared" si="16"/>
        <v/>
      </c>
      <c r="BS94" s="288" t="str">
        <f t="shared" si="17"/>
        <v/>
      </c>
      <c r="BT94" s="288" t="str">
        <f t="shared" si="18"/>
        <v/>
      </c>
      <c r="BU94" s="288" t="str">
        <f t="shared" si="19"/>
        <v/>
      </c>
      <c r="BV94" s="288" t="str">
        <f t="shared" si="20"/>
        <v/>
      </c>
      <c r="BW94" s="288" t="str">
        <f t="shared" si="21"/>
        <v/>
      </c>
      <c r="BX94" s="288" t="str">
        <f t="shared" si="22"/>
        <v/>
      </c>
      <c r="BY94" s="288" t="str">
        <f t="shared" si="23"/>
        <v/>
      </c>
      <c r="BZ94" s="289"/>
    </row>
    <row r="95" spans="1:78" ht="15" customHeight="1">
      <c r="A95" s="276">
        <f>IF('Statement of Marks'!A98="","",'Statement of Marks'!A98)</f>
        <v>92</v>
      </c>
      <c r="B95" s="277" t="str">
        <f>IF('Statement of Marks'!B98="","",'Statement of Marks'!B98)</f>
        <v/>
      </c>
      <c r="C95" s="278" t="str">
        <f>IF('Statement of Marks'!D98="","",'Statement of Marks'!D98)</f>
        <v/>
      </c>
      <c r="D95" s="314" t="str">
        <f>IF('Statement of Marks'!E98="","",'Statement of Marks'!E98)</f>
        <v/>
      </c>
      <c r="E95" s="279" t="str">
        <f>IF('Statement of Marks'!F98="","",'Statement of Marks'!F98)</f>
        <v/>
      </c>
      <c r="F95" s="279" t="str">
        <f>IF('Statement of Marks'!G98="","",'Statement of Marks'!G98)</f>
        <v/>
      </c>
      <c r="G95" s="279" t="str">
        <f>IF('Statement of Marks'!H98="","",'Statement of Marks'!H98)</f>
        <v/>
      </c>
      <c r="H95" s="280" t="str">
        <f>IF('Statement of Marks'!I98="","",'Statement of Marks'!I98)</f>
        <v/>
      </c>
      <c r="I95" s="280" t="str">
        <f>IF('Statement of Marks'!J98="","",'Statement of Marks'!J98)</f>
        <v/>
      </c>
      <c r="J95" s="827" t="str">
        <f>IF('Statement of Marks'!HS98="","",'Statement of Marks'!HS98)</f>
        <v/>
      </c>
      <c r="K95" s="281" t="str">
        <f>IF('Statement of Marks'!HT98="","",'Statement of Marks'!HT98)</f>
        <v/>
      </c>
      <c r="L95" s="828" t="str">
        <f>IF('Statement of Marks'!HW98="","",'Statement of Marks'!HW98)</f>
        <v/>
      </c>
      <c r="M95" s="281" t="str">
        <f>IF('Statement of Marks'!HV98="","",'Statement of Marks'!HV98)</f>
        <v/>
      </c>
      <c r="N95" s="829" t="str">
        <f>IF('Statement of Marks'!HX98="","",'Statement of Marks'!HX98)</f>
        <v/>
      </c>
      <c r="O95" s="282" t="str">
        <f>IF(J95="FAIL","",IF('Statement of Marks'!HO98="","",'Statement of Marks'!HO98))</f>
        <v xml:space="preserve">      </v>
      </c>
      <c r="P95" s="283" t="str">
        <f>IF('Supp. Result Entry'!AQ96="","",'Supp. Result Entry'!AQ96)</f>
        <v/>
      </c>
      <c r="Q95" s="284" t="str">
        <f>IF('Supp. Result Entry'!AR96="","",'Supp. Result Entry'!AR96)</f>
        <v/>
      </c>
      <c r="R95" s="285" t="str">
        <f>IF('Statement of Marks'!IA98="","",'Statement of Marks'!IA98)</f>
        <v/>
      </c>
      <c r="S95" s="286" t="str">
        <f>IF('Statement of Marks'!GL98="","",'Statement of Marks'!GL98)</f>
        <v/>
      </c>
      <c r="BM95" s="287" t="str">
        <f>'Statement of Marks'!F98</f>
        <v/>
      </c>
      <c r="BN95" s="288" t="str">
        <f t="shared" si="12"/>
        <v/>
      </c>
      <c r="BO95" s="288" t="str">
        <f t="shared" si="13"/>
        <v/>
      </c>
      <c r="BP95" s="288" t="str">
        <f t="shared" si="14"/>
        <v/>
      </c>
      <c r="BQ95" s="288" t="str">
        <f t="shared" si="15"/>
        <v/>
      </c>
      <c r="BR95" s="288" t="str">
        <f t="shared" si="16"/>
        <v/>
      </c>
      <c r="BS95" s="288" t="str">
        <f t="shared" si="17"/>
        <v/>
      </c>
      <c r="BT95" s="288" t="str">
        <f t="shared" si="18"/>
        <v/>
      </c>
      <c r="BU95" s="288" t="str">
        <f t="shared" si="19"/>
        <v/>
      </c>
      <c r="BV95" s="288" t="str">
        <f t="shared" si="20"/>
        <v/>
      </c>
      <c r="BW95" s="288" t="str">
        <f t="shared" si="21"/>
        <v/>
      </c>
      <c r="BX95" s="288" t="str">
        <f t="shared" si="22"/>
        <v/>
      </c>
      <c r="BY95" s="288" t="str">
        <f t="shared" si="23"/>
        <v/>
      </c>
      <c r="BZ95" s="289"/>
    </row>
    <row r="96" spans="1:78" ht="15" customHeight="1">
      <c r="A96" s="276">
        <f>IF('Statement of Marks'!A99="","",'Statement of Marks'!A99)</f>
        <v>93</v>
      </c>
      <c r="B96" s="277" t="str">
        <f>IF('Statement of Marks'!B99="","",'Statement of Marks'!B99)</f>
        <v/>
      </c>
      <c r="C96" s="278" t="str">
        <f>IF('Statement of Marks'!D99="","",'Statement of Marks'!D99)</f>
        <v/>
      </c>
      <c r="D96" s="314" t="str">
        <f>IF('Statement of Marks'!E99="","",'Statement of Marks'!E99)</f>
        <v/>
      </c>
      <c r="E96" s="279" t="str">
        <f>IF('Statement of Marks'!F99="","",'Statement of Marks'!F99)</f>
        <v/>
      </c>
      <c r="F96" s="279" t="str">
        <f>IF('Statement of Marks'!G99="","",'Statement of Marks'!G99)</f>
        <v/>
      </c>
      <c r="G96" s="279" t="str">
        <f>IF('Statement of Marks'!H99="","",'Statement of Marks'!H99)</f>
        <v/>
      </c>
      <c r="H96" s="280" t="str">
        <f>IF('Statement of Marks'!I99="","",'Statement of Marks'!I99)</f>
        <v/>
      </c>
      <c r="I96" s="280" t="str">
        <f>IF('Statement of Marks'!J99="","",'Statement of Marks'!J99)</f>
        <v/>
      </c>
      <c r="J96" s="827" t="str">
        <f>IF('Statement of Marks'!HS99="","",'Statement of Marks'!HS99)</f>
        <v/>
      </c>
      <c r="K96" s="281" t="str">
        <f>IF('Statement of Marks'!HT99="","",'Statement of Marks'!HT99)</f>
        <v/>
      </c>
      <c r="L96" s="828" t="str">
        <f>IF('Statement of Marks'!HW99="","",'Statement of Marks'!HW99)</f>
        <v/>
      </c>
      <c r="M96" s="281" t="str">
        <f>IF('Statement of Marks'!HV99="","",'Statement of Marks'!HV99)</f>
        <v/>
      </c>
      <c r="N96" s="829" t="str">
        <f>IF('Statement of Marks'!HX99="","",'Statement of Marks'!HX99)</f>
        <v/>
      </c>
      <c r="O96" s="282" t="str">
        <f>IF(J96="FAIL","",IF('Statement of Marks'!HO99="","",'Statement of Marks'!HO99))</f>
        <v xml:space="preserve">      </v>
      </c>
      <c r="P96" s="283" t="str">
        <f>IF('Supp. Result Entry'!AQ97="","",'Supp. Result Entry'!AQ97)</f>
        <v/>
      </c>
      <c r="Q96" s="284" t="str">
        <f>IF('Supp. Result Entry'!AR97="","",'Supp. Result Entry'!AR97)</f>
        <v/>
      </c>
      <c r="R96" s="285" t="str">
        <f>IF('Statement of Marks'!IA99="","",'Statement of Marks'!IA99)</f>
        <v/>
      </c>
      <c r="S96" s="286" t="str">
        <f>IF('Statement of Marks'!GL99="","",'Statement of Marks'!GL99)</f>
        <v/>
      </c>
      <c r="BM96" s="287" t="str">
        <f>'Statement of Marks'!F99</f>
        <v/>
      </c>
      <c r="BN96" s="288" t="str">
        <f t="shared" si="12"/>
        <v/>
      </c>
      <c r="BO96" s="288" t="str">
        <f t="shared" si="13"/>
        <v/>
      </c>
      <c r="BP96" s="288" t="str">
        <f t="shared" si="14"/>
        <v/>
      </c>
      <c r="BQ96" s="288" t="str">
        <f t="shared" si="15"/>
        <v/>
      </c>
      <c r="BR96" s="288" t="str">
        <f t="shared" si="16"/>
        <v/>
      </c>
      <c r="BS96" s="288" t="str">
        <f t="shared" si="17"/>
        <v/>
      </c>
      <c r="BT96" s="288" t="str">
        <f t="shared" si="18"/>
        <v/>
      </c>
      <c r="BU96" s="288" t="str">
        <f t="shared" si="19"/>
        <v/>
      </c>
      <c r="BV96" s="288" t="str">
        <f t="shared" si="20"/>
        <v/>
      </c>
      <c r="BW96" s="288" t="str">
        <f t="shared" si="21"/>
        <v/>
      </c>
      <c r="BX96" s="288" t="str">
        <f t="shared" si="22"/>
        <v/>
      </c>
      <c r="BY96" s="288" t="str">
        <f t="shared" si="23"/>
        <v/>
      </c>
      <c r="BZ96" s="289"/>
    </row>
    <row r="97" spans="1:78" ht="15" customHeight="1">
      <c r="A97" s="276">
        <f>IF('Statement of Marks'!A100="","",'Statement of Marks'!A100)</f>
        <v>94</v>
      </c>
      <c r="B97" s="277" t="str">
        <f>IF('Statement of Marks'!B100="","",'Statement of Marks'!B100)</f>
        <v/>
      </c>
      <c r="C97" s="278" t="str">
        <f>IF('Statement of Marks'!D100="","",'Statement of Marks'!D100)</f>
        <v/>
      </c>
      <c r="D97" s="314" t="str">
        <f>IF('Statement of Marks'!E100="","",'Statement of Marks'!E100)</f>
        <v/>
      </c>
      <c r="E97" s="279" t="str">
        <f>IF('Statement of Marks'!F100="","",'Statement of Marks'!F100)</f>
        <v/>
      </c>
      <c r="F97" s="279" t="str">
        <f>IF('Statement of Marks'!G100="","",'Statement of Marks'!G100)</f>
        <v/>
      </c>
      <c r="G97" s="279" t="str">
        <f>IF('Statement of Marks'!H100="","",'Statement of Marks'!H100)</f>
        <v/>
      </c>
      <c r="H97" s="280" t="str">
        <f>IF('Statement of Marks'!I100="","",'Statement of Marks'!I100)</f>
        <v/>
      </c>
      <c r="I97" s="280" t="str">
        <f>IF('Statement of Marks'!J100="","",'Statement of Marks'!J100)</f>
        <v/>
      </c>
      <c r="J97" s="827" t="str">
        <f>IF('Statement of Marks'!HS100="","",'Statement of Marks'!HS100)</f>
        <v/>
      </c>
      <c r="K97" s="281" t="str">
        <f>IF('Statement of Marks'!HT100="","",'Statement of Marks'!HT100)</f>
        <v/>
      </c>
      <c r="L97" s="828" t="str">
        <f>IF('Statement of Marks'!HW100="","",'Statement of Marks'!HW100)</f>
        <v/>
      </c>
      <c r="M97" s="281" t="str">
        <f>IF('Statement of Marks'!HV100="","",'Statement of Marks'!HV100)</f>
        <v/>
      </c>
      <c r="N97" s="829" t="str">
        <f>IF('Statement of Marks'!HX100="","",'Statement of Marks'!HX100)</f>
        <v/>
      </c>
      <c r="O97" s="282" t="str">
        <f>IF(J97="FAIL","",IF('Statement of Marks'!HO100="","",'Statement of Marks'!HO100))</f>
        <v xml:space="preserve">      </v>
      </c>
      <c r="P97" s="283" t="str">
        <f>IF('Supp. Result Entry'!AQ98="","",'Supp. Result Entry'!AQ98)</f>
        <v/>
      </c>
      <c r="Q97" s="284" t="str">
        <f>IF('Supp. Result Entry'!AR98="","",'Supp. Result Entry'!AR98)</f>
        <v/>
      </c>
      <c r="R97" s="285" t="str">
        <f>IF('Statement of Marks'!IA100="","",'Statement of Marks'!IA100)</f>
        <v/>
      </c>
      <c r="S97" s="286" t="str">
        <f>IF('Statement of Marks'!GL100="","",'Statement of Marks'!GL100)</f>
        <v/>
      </c>
      <c r="BM97" s="287" t="str">
        <f>'Statement of Marks'!F100</f>
        <v/>
      </c>
      <c r="BN97" s="288" t="str">
        <f t="shared" si="12"/>
        <v/>
      </c>
      <c r="BO97" s="288" t="str">
        <f t="shared" si="13"/>
        <v/>
      </c>
      <c r="BP97" s="288" t="str">
        <f t="shared" si="14"/>
        <v/>
      </c>
      <c r="BQ97" s="288" t="str">
        <f t="shared" si="15"/>
        <v/>
      </c>
      <c r="BR97" s="288" t="str">
        <f t="shared" si="16"/>
        <v/>
      </c>
      <c r="BS97" s="288" t="str">
        <f t="shared" si="17"/>
        <v/>
      </c>
      <c r="BT97" s="288" t="str">
        <f t="shared" si="18"/>
        <v/>
      </c>
      <c r="BU97" s="288" t="str">
        <f t="shared" si="19"/>
        <v/>
      </c>
      <c r="BV97" s="288" t="str">
        <f t="shared" si="20"/>
        <v/>
      </c>
      <c r="BW97" s="288" t="str">
        <f t="shared" si="21"/>
        <v/>
      </c>
      <c r="BX97" s="288" t="str">
        <f t="shared" si="22"/>
        <v/>
      </c>
      <c r="BY97" s="288" t="str">
        <f t="shared" si="23"/>
        <v/>
      </c>
      <c r="BZ97" s="289"/>
    </row>
    <row r="98" spans="1:78" ht="15" customHeight="1">
      <c r="A98" s="276">
        <f>IF('Statement of Marks'!A101="","",'Statement of Marks'!A101)</f>
        <v>95</v>
      </c>
      <c r="B98" s="277" t="str">
        <f>IF('Statement of Marks'!B101="","",'Statement of Marks'!B101)</f>
        <v/>
      </c>
      <c r="C98" s="278" t="str">
        <f>IF('Statement of Marks'!D101="","",'Statement of Marks'!D101)</f>
        <v/>
      </c>
      <c r="D98" s="314" t="str">
        <f>IF('Statement of Marks'!E101="","",'Statement of Marks'!E101)</f>
        <v/>
      </c>
      <c r="E98" s="279" t="str">
        <f>IF('Statement of Marks'!F101="","",'Statement of Marks'!F101)</f>
        <v/>
      </c>
      <c r="F98" s="279" t="str">
        <f>IF('Statement of Marks'!G101="","",'Statement of Marks'!G101)</f>
        <v/>
      </c>
      <c r="G98" s="279" t="str">
        <f>IF('Statement of Marks'!H101="","",'Statement of Marks'!H101)</f>
        <v/>
      </c>
      <c r="H98" s="280" t="str">
        <f>IF('Statement of Marks'!I101="","",'Statement of Marks'!I101)</f>
        <v/>
      </c>
      <c r="I98" s="280" t="str">
        <f>IF('Statement of Marks'!J101="","",'Statement of Marks'!J101)</f>
        <v/>
      </c>
      <c r="J98" s="827" t="str">
        <f>IF('Statement of Marks'!HS101="","",'Statement of Marks'!HS101)</f>
        <v/>
      </c>
      <c r="K98" s="281" t="str">
        <f>IF('Statement of Marks'!HT101="","",'Statement of Marks'!HT101)</f>
        <v/>
      </c>
      <c r="L98" s="828" t="str">
        <f>IF('Statement of Marks'!HW101="","",'Statement of Marks'!HW101)</f>
        <v/>
      </c>
      <c r="M98" s="281" t="str">
        <f>IF('Statement of Marks'!HV101="","",'Statement of Marks'!HV101)</f>
        <v/>
      </c>
      <c r="N98" s="829" t="str">
        <f>IF('Statement of Marks'!HX101="","",'Statement of Marks'!HX101)</f>
        <v/>
      </c>
      <c r="O98" s="282" t="str">
        <f>IF(J98="FAIL","",IF('Statement of Marks'!HO101="","",'Statement of Marks'!HO101))</f>
        <v xml:space="preserve">      </v>
      </c>
      <c r="P98" s="283" t="str">
        <f>IF('Supp. Result Entry'!AQ99="","",'Supp. Result Entry'!AQ99)</f>
        <v/>
      </c>
      <c r="Q98" s="284" t="str">
        <f>IF('Supp. Result Entry'!AR99="","",'Supp. Result Entry'!AR99)</f>
        <v/>
      </c>
      <c r="R98" s="285" t="str">
        <f>IF('Statement of Marks'!IA101="","",'Statement of Marks'!IA101)</f>
        <v/>
      </c>
      <c r="S98" s="286" t="str">
        <f>IF('Statement of Marks'!GL101="","",'Statement of Marks'!GL101)</f>
        <v/>
      </c>
      <c r="BM98" s="287" t="str">
        <f>'Statement of Marks'!F101</f>
        <v/>
      </c>
      <c r="BN98" s="288" t="str">
        <f t="shared" si="12"/>
        <v/>
      </c>
      <c r="BO98" s="288" t="str">
        <f t="shared" si="13"/>
        <v/>
      </c>
      <c r="BP98" s="288" t="str">
        <f t="shared" si="14"/>
        <v/>
      </c>
      <c r="BQ98" s="288" t="str">
        <f t="shared" si="15"/>
        <v/>
      </c>
      <c r="BR98" s="288" t="str">
        <f t="shared" si="16"/>
        <v/>
      </c>
      <c r="BS98" s="288" t="str">
        <f t="shared" si="17"/>
        <v/>
      </c>
      <c r="BT98" s="288" t="str">
        <f t="shared" si="18"/>
        <v/>
      </c>
      <c r="BU98" s="288" t="str">
        <f t="shared" si="19"/>
        <v/>
      </c>
      <c r="BV98" s="288" t="str">
        <f t="shared" si="20"/>
        <v/>
      </c>
      <c r="BW98" s="288" t="str">
        <f t="shared" si="21"/>
        <v/>
      </c>
      <c r="BX98" s="288" t="str">
        <f t="shared" si="22"/>
        <v/>
      </c>
      <c r="BY98" s="288" t="str">
        <f t="shared" si="23"/>
        <v/>
      </c>
      <c r="BZ98" s="289"/>
    </row>
    <row r="99" spans="1:78" ht="15" customHeight="1">
      <c r="A99" s="276">
        <f>IF('Statement of Marks'!A102="","",'Statement of Marks'!A102)</f>
        <v>96</v>
      </c>
      <c r="B99" s="277" t="str">
        <f>IF('Statement of Marks'!B102="","",'Statement of Marks'!B102)</f>
        <v/>
      </c>
      <c r="C99" s="278" t="str">
        <f>IF('Statement of Marks'!D102="","",'Statement of Marks'!D102)</f>
        <v/>
      </c>
      <c r="D99" s="314" t="str">
        <f>IF('Statement of Marks'!E102="","",'Statement of Marks'!E102)</f>
        <v/>
      </c>
      <c r="E99" s="279" t="str">
        <f>IF('Statement of Marks'!F102="","",'Statement of Marks'!F102)</f>
        <v/>
      </c>
      <c r="F99" s="279" t="str">
        <f>IF('Statement of Marks'!G102="","",'Statement of Marks'!G102)</f>
        <v/>
      </c>
      <c r="G99" s="279" t="str">
        <f>IF('Statement of Marks'!H102="","",'Statement of Marks'!H102)</f>
        <v/>
      </c>
      <c r="H99" s="280" t="str">
        <f>IF('Statement of Marks'!I102="","",'Statement of Marks'!I102)</f>
        <v/>
      </c>
      <c r="I99" s="280" t="str">
        <f>IF('Statement of Marks'!J102="","",'Statement of Marks'!J102)</f>
        <v/>
      </c>
      <c r="J99" s="827" t="str">
        <f>IF('Statement of Marks'!HS102="","",'Statement of Marks'!HS102)</f>
        <v/>
      </c>
      <c r="K99" s="281" t="str">
        <f>IF('Statement of Marks'!HT102="","",'Statement of Marks'!HT102)</f>
        <v/>
      </c>
      <c r="L99" s="828" t="str">
        <f>IF('Statement of Marks'!HW102="","",'Statement of Marks'!HW102)</f>
        <v/>
      </c>
      <c r="M99" s="281" t="str">
        <f>IF('Statement of Marks'!HV102="","",'Statement of Marks'!HV102)</f>
        <v/>
      </c>
      <c r="N99" s="829" t="str">
        <f>IF('Statement of Marks'!HX102="","",'Statement of Marks'!HX102)</f>
        <v/>
      </c>
      <c r="O99" s="282" t="str">
        <f>IF(J99="FAIL","",IF('Statement of Marks'!HO102="","",'Statement of Marks'!HO102))</f>
        <v xml:space="preserve">      </v>
      </c>
      <c r="P99" s="283" t="str">
        <f>IF('Supp. Result Entry'!AQ100="","",'Supp. Result Entry'!AQ100)</f>
        <v/>
      </c>
      <c r="Q99" s="284" t="str">
        <f>IF('Supp. Result Entry'!AR100="","",'Supp. Result Entry'!AR100)</f>
        <v/>
      </c>
      <c r="R99" s="285" t="str">
        <f>IF('Statement of Marks'!IA102="","",'Statement of Marks'!IA102)</f>
        <v/>
      </c>
      <c r="S99" s="286" t="str">
        <f>IF('Statement of Marks'!GL102="","",'Statement of Marks'!GL102)</f>
        <v/>
      </c>
      <c r="BM99" s="287" t="str">
        <f>'Statement of Marks'!F102</f>
        <v/>
      </c>
      <c r="BN99" s="288" t="str">
        <f t="shared" si="12"/>
        <v/>
      </c>
      <c r="BO99" s="288" t="str">
        <f t="shared" si="13"/>
        <v/>
      </c>
      <c r="BP99" s="288" t="str">
        <f t="shared" si="14"/>
        <v/>
      </c>
      <c r="BQ99" s="288" t="str">
        <f t="shared" si="15"/>
        <v/>
      </c>
      <c r="BR99" s="288" t="str">
        <f t="shared" si="16"/>
        <v/>
      </c>
      <c r="BS99" s="288" t="str">
        <f t="shared" si="17"/>
        <v/>
      </c>
      <c r="BT99" s="288" t="str">
        <f t="shared" si="18"/>
        <v/>
      </c>
      <c r="BU99" s="288" t="str">
        <f t="shared" si="19"/>
        <v/>
      </c>
      <c r="BV99" s="288" t="str">
        <f t="shared" si="20"/>
        <v/>
      </c>
      <c r="BW99" s="288" t="str">
        <f t="shared" si="21"/>
        <v/>
      </c>
      <c r="BX99" s="288" t="str">
        <f t="shared" si="22"/>
        <v/>
      </c>
      <c r="BY99" s="288" t="str">
        <f t="shared" si="23"/>
        <v/>
      </c>
      <c r="BZ99" s="289"/>
    </row>
    <row r="100" spans="1:78" ht="15" customHeight="1">
      <c r="A100" s="276">
        <f>IF('Statement of Marks'!A103="","",'Statement of Marks'!A103)</f>
        <v>97</v>
      </c>
      <c r="B100" s="277" t="str">
        <f>IF('Statement of Marks'!B103="","",'Statement of Marks'!B103)</f>
        <v/>
      </c>
      <c r="C100" s="278" t="str">
        <f>IF('Statement of Marks'!D103="","",'Statement of Marks'!D103)</f>
        <v/>
      </c>
      <c r="D100" s="314" t="str">
        <f>IF('Statement of Marks'!E103="","",'Statement of Marks'!E103)</f>
        <v/>
      </c>
      <c r="E100" s="279" t="str">
        <f>IF('Statement of Marks'!F103="","",'Statement of Marks'!F103)</f>
        <v/>
      </c>
      <c r="F100" s="279" t="str">
        <f>IF('Statement of Marks'!G103="","",'Statement of Marks'!G103)</f>
        <v/>
      </c>
      <c r="G100" s="279" t="str">
        <f>IF('Statement of Marks'!H103="","",'Statement of Marks'!H103)</f>
        <v/>
      </c>
      <c r="H100" s="280" t="str">
        <f>IF('Statement of Marks'!I103="","",'Statement of Marks'!I103)</f>
        <v/>
      </c>
      <c r="I100" s="280" t="str">
        <f>IF('Statement of Marks'!J103="","",'Statement of Marks'!J103)</f>
        <v/>
      </c>
      <c r="J100" s="827" t="str">
        <f>IF('Statement of Marks'!HS103="","",'Statement of Marks'!HS103)</f>
        <v/>
      </c>
      <c r="K100" s="281" t="str">
        <f>IF('Statement of Marks'!HT103="","",'Statement of Marks'!HT103)</f>
        <v/>
      </c>
      <c r="L100" s="828" t="str">
        <f>IF('Statement of Marks'!HW103="","",'Statement of Marks'!HW103)</f>
        <v/>
      </c>
      <c r="M100" s="281" t="str">
        <f>IF('Statement of Marks'!HV103="","",'Statement of Marks'!HV103)</f>
        <v/>
      </c>
      <c r="N100" s="829" t="str">
        <f>IF('Statement of Marks'!HX103="","",'Statement of Marks'!HX103)</f>
        <v/>
      </c>
      <c r="O100" s="282" t="str">
        <f>IF(J100="FAIL","",IF('Statement of Marks'!HO103="","",'Statement of Marks'!HO103))</f>
        <v xml:space="preserve">      </v>
      </c>
      <c r="P100" s="283" t="str">
        <f>IF('Supp. Result Entry'!AQ101="","",'Supp. Result Entry'!AQ101)</f>
        <v/>
      </c>
      <c r="Q100" s="284" t="str">
        <f>IF('Supp. Result Entry'!AR101="","",'Supp. Result Entry'!AR101)</f>
        <v/>
      </c>
      <c r="R100" s="285" t="str">
        <f>IF('Statement of Marks'!IA103="","",'Statement of Marks'!IA103)</f>
        <v/>
      </c>
      <c r="S100" s="286" t="str">
        <f>IF('Statement of Marks'!GL103="","",'Statement of Marks'!GL103)</f>
        <v/>
      </c>
      <c r="BM100" s="287" t="str">
        <f>'Statement of Marks'!F103</f>
        <v/>
      </c>
      <c r="BN100" s="288" t="str">
        <f t="shared" si="12"/>
        <v/>
      </c>
      <c r="BO100" s="288" t="str">
        <f t="shared" si="13"/>
        <v/>
      </c>
      <c r="BP100" s="288" t="str">
        <f t="shared" si="14"/>
        <v/>
      </c>
      <c r="BQ100" s="288" t="str">
        <f t="shared" si="15"/>
        <v/>
      </c>
      <c r="BR100" s="288" t="str">
        <f t="shared" si="16"/>
        <v/>
      </c>
      <c r="BS100" s="288" t="str">
        <f t="shared" si="17"/>
        <v/>
      </c>
      <c r="BT100" s="288" t="str">
        <f t="shared" si="18"/>
        <v/>
      </c>
      <c r="BU100" s="288" t="str">
        <f t="shared" si="19"/>
        <v/>
      </c>
      <c r="BV100" s="288" t="str">
        <f t="shared" si="20"/>
        <v/>
      </c>
      <c r="BW100" s="288" t="str">
        <f t="shared" si="21"/>
        <v/>
      </c>
      <c r="BX100" s="288" t="str">
        <f t="shared" si="22"/>
        <v/>
      </c>
      <c r="BY100" s="288" t="str">
        <f t="shared" si="23"/>
        <v/>
      </c>
      <c r="BZ100" s="289"/>
    </row>
    <row r="101" spans="1:78" ht="15" customHeight="1">
      <c r="A101" s="276">
        <f>IF('Statement of Marks'!A104="","",'Statement of Marks'!A104)</f>
        <v>98</v>
      </c>
      <c r="B101" s="277" t="str">
        <f>IF('Statement of Marks'!B104="","",'Statement of Marks'!B104)</f>
        <v/>
      </c>
      <c r="C101" s="278" t="str">
        <f>IF('Statement of Marks'!D104="","",'Statement of Marks'!D104)</f>
        <v/>
      </c>
      <c r="D101" s="314" t="str">
        <f>IF('Statement of Marks'!E104="","",'Statement of Marks'!E104)</f>
        <v/>
      </c>
      <c r="E101" s="279" t="str">
        <f>IF('Statement of Marks'!F104="","",'Statement of Marks'!F104)</f>
        <v/>
      </c>
      <c r="F101" s="279" t="str">
        <f>IF('Statement of Marks'!G104="","",'Statement of Marks'!G104)</f>
        <v/>
      </c>
      <c r="G101" s="279" t="str">
        <f>IF('Statement of Marks'!H104="","",'Statement of Marks'!H104)</f>
        <v/>
      </c>
      <c r="H101" s="280" t="str">
        <f>IF('Statement of Marks'!I104="","",'Statement of Marks'!I104)</f>
        <v/>
      </c>
      <c r="I101" s="280" t="str">
        <f>IF('Statement of Marks'!J104="","",'Statement of Marks'!J104)</f>
        <v/>
      </c>
      <c r="J101" s="827" t="str">
        <f>IF('Statement of Marks'!HS104="","",'Statement of Marks'!HS104)</f>
        <v/>
      </c>
      <c r="K101" s="281" t="str">
        <f>IF('Statement of Marks'!HT104="","",'Statement of Marks'!HT104)</f>
        <v/>
      </c>
      <c r="L101" s="828" t="str">
        <f>IF('Statement of Marks'!HW104="","",'Statement of Marks'!HW104)</f>
        <v/>
      </c>
      <c r="M101" s="281" t="str">
        <f>IF('Statement of Marks'!HV104="","",'Statement of Marks'!HV104)</f>
        <v/>
      </c>
      <c r="N101" s="829" t="str">
        <f>IF('Statement of Marks'!HX104="","",'Statement of Marks'!HX104)</f>
        <v/>
      </c>
      <c r="O101" s="282" t="str">
        <f>IF(J101="FAIL","",IF('Statement of Marks'!HO104="","",'Statement of Marks'!HO104))</f>
        <v xml:space="preserve">      </v>
      </c>
      <c r="P101" s="283" t="str">
        <f>IF('Supp. Result Entry'!AQ102="","",'Supp. Result Entry'!AQ102)</f>
        <v/>
      </c>
      <c r="Q101" s="284" t="str">
        <f>IF('Supp. Result Entry'!AR102="","",'Supp. Result Entry'!AR102)</f>
        <v/>
      </c>
      <c r="R101" s="285" t="str">
        <f>IF('Statement of Marks'!IA104="","",'Statement of Marks'!IA104)</f>
        <v/>
      </c>
      <c r="S101" s="286" t="str">
        <f>IF('Statement of Marks'!GL104="","",'Statement of Marks'!GL104)</f>
        <v/>
      </c>
      <c r="BM101" s="287" t="str">
        <f>'Statement of Marks'!F104</f>
        <v/>
      </c>
      <c r="BN101" s="288" t="str">
        <f t="shared" si="12"/>
        <v/>
      </c>
      <c r="BO101" s="288" t="str">
        <f t="shared" si="13"/>
        <v/>
      </c>
      <c r="BP101" s="288" t="str">
        <f t="shared" si="14"/>
        <v/>
      </c>
      <c r="BQ101" s="288" t="str">
        <f t="shared" si="15"/>
        <v/>
      </c>
      <c r="BR101" s="288" t="str">
        <f t="shared" si="16"/>
        <v/>
      </c>
      <c r="BS101" s="288" t="str">
        <f t="shared" si="17"/>
        <v/>
      </c>
      <c r="BT101" s="288" t="str">
        <f t="shared" si="18"/>
        <v/>
      </c>
      <c r="BU101" s="288" t="str">
        <f t="shared" si="19"/>
        <v/>
      </c>
      <c r="BV101" s="288" t="str">
        <f t="shared" si="20"/>
        <v/>
      </c>
      <c r="BW101" s="288" t="str">
        <f t="shared" si="21"/>
        <v/>
      </c>
      <c r="BX101" s="288" t="str">
        <f t="shared" si="22"/>
        <v/>
      </c>
      <c r="BY101" s="288" t="str">
        <f t="shared" si="23"/>
        <v/>
      </c>
      <c r="BZ101" s="289"/>
    </row>
    <row r="102" spans="1:78" ht="15" customHeight="1">
      <c r="A102" s="276">
        <f>IF('Statement of Marks'!A105="","",'Statement of Marks'!A105)</f>
        <v>99</v>
      </c>
      <c r="B102" s="277" t="str">
        <f>IF('Statement of Marks'!B105="","",'Statement of Marks'!B105)</f>
        <v/>
      </c>
      <c r="C102" s="278" t="str">
        <f>IF('Statement of Marks'!D105="","",'Statement of Marks'!D105)</f>
        <v/>
      </c>
      <c r="D102" s="314" t="str">
        <f>IF('Statement of Marks'!E105="","",'Statement of Marks'!E105)</f>
        <v/>
      </c>
      <c r="E102" s="279" t="str">
        <f>IF('Statement of Marks'!F105="","",'Statement of Marks'!F105)</f>
        <v/>
      </c>
      <c r="F102" s="279" t="str">
        <f>IF('Statement of Marks'!G105="","",'Statement of Marks'!G105)</f>
        <v/>
      </c>
      <c r="G102" s="279" t="str">
        <f>IF('Statement of Marks'!H105="","",'Statement of Marks'!H105)</f>
        <v/>
      </c>
      <c r="H102" s="280" t="str">
        <f>IF('Statement of Marks'!I105="","",'Statement of Marks'!I105)</f>
        <v/>
      </c>
      <c r="I102" s="280" t="str">
        <f>IF('Statement of Marks'!J105="","",'Statement of Marks'!J105)</f>
        <v/>
      </c>
      <c r="J102" s="827" t="str">
        <f>IF('Statement of Marks'!HS105="","",'Statement of Marks'!HS105)</f>
        <v/>
      </c>
      <c r="K102" s="281" t="str">
        <f>IF('Statement of Marks'!HT105="","",'Statement of Marks'!HT105)</f>
        <v/>
      </c>
      <c r="L102" s="828" t="str">
        <f>IF('Statement of Marks'!HW105="","",'Statement of Marks'!HW105)</f>
        <v/>
      </c>
      <c r="M102" s="281" t="str">
        <f>IF('Statement of Marks'!HV105="","",'Statement of Marks'!HV105)</f>
        <v/>
      </c>
      <c r="N102" s="829" t="str">
        <f>IF('Statement of Marks'!HX105="","",'Statement of Marks'!HX105)</f>
        <v/>
      </c>
      <c r="O102" s="282" t="str">
        <f>IF(J102="FAIL","",IF('Statement of Marks'!HO105="","",'Statement of Marks'!HO105))</f>
        <v xml:space="preserve">      </v>
      </c>
      <c r="P102" s="283" t="str">
        <f>IF('Supp. Result Entry'!AQ103="","",'Supp. Result Entry'!AQ103)</f>
        <v/>
      </c>
      <c r="Q102" s="284" t="str">
        <f>IF('Supp. Result Entry'!AR103="","",'Supp. Result Entry'!AR103)</f>
        <v/>
      </c>
      <c r="R102" s="285" t="str">
        <f>IF('Statement of Marks'!IA105="","",'Statement of Marks'!IA105)</f>
        <v/>
      </c>
      <c r="S102" s="286" t="str">
        <f>IF('Statement of Marks'!GL105="","",'Statement of Marks'!GL105)</f>
        <v/>
      </c>
      <c r="BM102" s="287" t="str">
        <f>'Statement of Marks'!F105</f>
        <v/>
      </c>
      <c r="BN102" s="288" t="str">
        <f t="shared" si="12"/>
        <v/>
      </c>
      <c r="BO102" s="288" t="str">
        <f t="shared" si="13"/>
        <v/>
      </c>
      <c r="BP102" s="288" t="str">
        <f t="shared" si="14"/>
        <v/>
      </c>
      <c r="BQ102" s="288" t="str">
        <f t="shared" si="15"/>
        <v/>
      </c>
      <c r="BR102" s="288" t="str">
        <f t="shared" si="16"/>
        <v/>
      </c>
      <c r="BS102" s="288" t="str">
        <f t="shared" si="17"/>
        <v/>
      </c>
      <c r="BT102" s="288" t="str">
        <f t="shared" si="18"/>
        <v/>
      </c>
      <c r="BU102" s="288" t="str">
        <f t="shared" si="19"/>
        <v/>
      </c>
      <c r="BV102" s="288" t="str">
        <f t="shared" si="20"/>
        <v/>
      </c>
      <c r="BW102" s="288" t="str">
        <f t="shared" si="21"/>
        <v/>
      </c>
      <c r="BX102" s="288" t="str">
        <f t="shared" si="22"/>
        <v/>
      </c>
      <c r="BY102" s="288" t="str">
        <f t="shared" si="23"/>
        <v/>
      </c>
      <c r="BZ102" s="289"/>
    </row>
    <row r="103" spans="1:78" ht="15" customHeight="1">
      <c r="A103" s="276">
        <f>IF('Statement of Marks'!A106="","",'Statement of Marks'!A106)</f>
        <v>100</v>
      </c>
      <c r="B103" s="277" t="str">
        <f>IF('Statement of Marks'!B106="","",'Statement of Marks'!B106)</f>
        <v/>
      </c>
      <c r="C103" s="278" t="str">
        <f>IF('Statement of Marks'!D106="","",'Statement of Marks'!D106)</f>
        <v/>
      </c>
      <c r="D103" s="314" t="str">
        <f>IF('Statement of Marks'!E106="","",'Statement of Marks'!E106)</f>
        <v/>
      </c>
      <c r="E103" s="279" t="str">
        <f>IF('Statement of Marks'!F106="","",'Statement of Marks'!F106)</f>
        <v/>
      </c>
      <c r="F103" s="279" t="str">
        <f>IF('Statement of Marks'!G106="","",'Statement of Marks'!G106)</f>
        <v/>
      </c>
      <c r="G103" s="279" t="str">
        <f>IF('Statement of Marks'!H106="","",'Statement of Marks'!H106)</f>
        <v/>
      </c>
      <c r="H103" s="280" t="str">
        <f>IF('Statement of Marks'!I106="","",'Statement of Marks'!I106)</f>
        <v/>
      </c>
      <c r="I103" s="280" t="str">
        <f>IF('Statement of Marks'!J106="","",'Statement of Marks'!J106)</f>
        <v/>
      </c>
      <c r="J103" s="827" t="str">
        <f>IF('Statement of Marks'!HS106="","",'Statement of Marks'!HS106)</f>
        <v/>
      </c>
      <c r="K103" s="281" t="str">
        <f>IF('Statement of Marks'!HT106="","",'Statement of Marks'!HT106)</f>
        <v/>
      </c>
      <c r="L103" s="828" t="str">
        <f>IF('Statement of Marks'!HW106="","",'Statement of Marks'!HW106)</f>
        <v/>
      </c>
      <c r="M103" s="281" t="str">
        <f>IF('Statement of Marks'!HV106="","",'Statement of Marks'!HV106)</f>
        <v/>
      </c>
      <c r="N103" s="829" t="str">
        <f>IF('Statement of Marks'!HX106="","",'Statement of Marks'!HX106)</f>
        <v/>
      </c>
      <c r="O103" s="282" t="str">
        <f>IF(J103="FAIL","",IF('Statement of Marks'!HO106="","",'Statement of Marks'!HO106))</f>
        <v xml:space="preserve">      </v>
      </c>
      <c r="P103" s="283" t="str">
        <f>IF('Supp. Result Entry'!AQ104="","",'Supp. Result Entry'!AQ104)</f>
        <v/>
      </c>
      <c r="Q103" s="284" t="str">
        <f>IF('Supp. Result Entry'!AR104="","",'Supp. Result Entry'!AR104)</f>
        <v/>
      </c>
      <c r="R103" s="285" t="str">
        <f>IF('Statement of Marks'!IA106="","",'Statement of Marks'!IA106)</f>
        <v/>
      </c>
      <c r="S103" s="286" t="str">
        <f>IF('Statement of Marks'!GL106="","",'Statement of Marks'!GL106)</f>
        <v/>
      </c>
      <c r="BM103" s="287" t="str">
        <f>'Statement of Marks'!F106</f>
        <v/>
      </c>
      <c r="BN103" s="288" t="str">
        <f t="shared" si="12"/>
        <v/>
      </c>
      <c r="BO103" s="288" t="str">
        <f t="shared" si="13"/>
        <v/>
      </c>
      <c r="BP103" s="288" t="str">
        <f t="shared" si="14"/>
        <v/>
      </c>
      <c r="BQ103" s="288" t="str">
        <f t="shared" si="15"/>
        <v/>
      </c>
      <c r="BR103" s="288" t="str">
        <f t="shared" si="16"/>
        <v/>
      </c>
      <c r="BS103" s="288" t="str">
        <f t="shared" si="17"/>
        <v/>
      </c>
      <c r="BT103" s="288" t="str">
        <f t="shared" si="18"/>
        <v/>
      </c>
      <c r="BU103" s="288" t="str">
        <f t="shared" si="19"/>
        <v/>
      </c>
      <c r="BV103" s="288" t="str">
        <f t="shared" si="20"/>
        <v/>
      </c>
      <c r="BW103" s="288" t="str">
        <f t="shared" si="21"/>
        <v/>
      </c>
      <c r="BX103" s="288" t="str">
        <f t="shared" si="22"/>
        <v/>
      </c>
      <c r="BY103" s="288" t="str">
        <f t="shared" si="23"/>
        <v/>
      </c>
      <c r="BZ103" s="289"/>
    </row>
    <row r="104" spans="1:78" ht="15" customHeight="1">
      <c r="A104" s="276">
        <f>IF('Statement of Marks'!A107="","",'Statement of Marks'!A107)</f>
        <v>101</v>
      </c>
      <c r="B104" s="277" t="str">
        <f>IF('Statement of Marks'!B107="","",'Statement of Marks'!B107)</f>
        <v/>
      </c>
      <c r="C104" s="278" t="str">
        <f>IF('Statement of Marks'!D107="","",'Statement of Marks'!D107)</f>
        <v/>
      </c>
      <c r="D104" s="314" t="str">
        <f>IF('Statement of Marks'!E107="","",'Statement of Marks'!E107)</f>
        <v/>
      </c>
      <c r="E104" s="279" t="str">
        <f>IF('Statement of Marks'!F107="","",'Statement of Marks'!F107)</f>
        <v/>
      </c>
      <c r="F104" s="279" t="str">
        <f>IF('Statement of Marks'!G107="","",'Statement of Marks'!G107)</f>
        <v/>
      </c>
      <c r="G104" s="279" t="str">
        <f>IF('Statement of Marks'!H107="","",'Statement of Marks'!H107)</f>
        <v/>
      </c>
      <c r="H104" s="280" t="str">
        <f>IF('Statement of Marks'!I107="","",'Statement of Marks'!I107)</f>
        <v/>
      </c>
      <c r="I104" s="280" t="str">
        <f>IF('Statement of Marks'!J107="","",'Statement of Marks'!J107)</f>
        <v/>
      </c>
      <c r="J104" s="827" t="str">
        <f>IF('Statement of Marks'!HS107="","",'Statement of Marks'!HS107)</f>
        <v/>
      </c>
      <c r="K104" s="281" t="str">
        <f>IF('Statement of Marks'!HT107="","",'Statement of Marks'!HT107)</f>
        <v/>
      </c>
      <c r="L104" s="828" t="str">
        <f>IF('Statement of Marks'!HW107="","",'Statement of Marks'!HW107)</f>
        <v/>
      </c>
      <c r="M104" s="281" t="str">
        <f>IF('Statement of Marks'!HV107="","",'Statement of Marks'!HV107)</f>
        <v/>
      </c>
      <c r="N104" s="829" t="str">
        <f>IF('Statement of Marks'!HX107="","",'Statement of Marks'!HX107)</f>
        <v/>
      </c>
      <c r="O104" s="282" t="str">
        <f>IF(J104="FAIL","",IF('Statement of Marks'!HO107="","",'Statement of Marks'!HO107))</f>
        <v xml:space="preserve">      </v>
      </c>
      <c r="P104" s="283" t="str">
        <f>IF('Supp. Result Entry'!AQ105="","",'Supp. Result Entry'!AQ105)</f>
        <v/>
      </c>
      <c r="Q104" s="284" t="str">
        <f>IF('Supp. Result Entry'!AR105="","",'Supp. Result Entry'!AR105)</f>
        <v/>
      </c>
      <c r="R104" s="285" t="str">
        <f>IF('Statement of Marks'!IA107="","",'Statement of Marks'!IA107)</f>
        <v/>
      </c>
      <c r="S104" s="286" t="str">
        <f>IF('Statement of Marks'!GL107="","",'Statement of Marks'!GL107)</f>
        <v/>
      </c>
      <c r="BM104" s="287" t="str">
        <f>'Statement of Marks'!F107</f>
        <v/>
      </c>
      <c r="BN104" s="288" t="str">
        <f t="shared" si="12"/>
        <v/>
      </c>
      <c r="BO104" s="288" t="str">
        <f t="shared" si="13"/>
        <v/>
      </c>
      <c r="BP104" s="288" t="str">
        <f t="shared" si="14"/>
        <v/>
      </c>
      <c r="BQ104" s="288" t="str">
        <f t="shared" si="15"/>
        <v/>
      </c>
      <c r="BR104" s="288" t="str">
        <f t="shared" si="16"/>
        <v/>
      </c>
      <c r="BS104" s="288" t="str">
        <f t="shared" si="17"/>
        <v/>
      </c>
      <c r="BT104" s="288" t="str">
        <f t="shared" si="18"/>
        <v/>
      </c>
      <c r="BU104" s="288" t="str">
        <f t="shared" si="19"/>
        <v/>
      </c>
      <c r="BV104" s="288" t="str">
        <f t="shared" si="20"/>
        <v/>
      </c>
      <c r="BW104" s="288" t="str">
        <f t="shared" si="21"/>
        <v/>
      </c>
      <c r="BX104" s="288" t="str">
        <f t="shared" si="22"/>
        <v/>
      </c>
      <c r="BY104" s="288" t="str">
        <f t="shared" si="23"/>
        <v/>
      </c>
      <c r="BZ104" s="289"/>
    </row>
    <row r="105" spans="1:78" ht="15" customHeight="1">
      <c r="A105" s="276">
        <f>IF('Statement of Marks'!A108="","",'Statement of Marks'!A108)</f>
        <v>102</v>
      </c>
      <c r="B105" s="277" t="str">
        <f>IF('Statement of Marks'!B108="","",'Statement of Marks'!B108)</f>
        <v/>
      </c>
      <c r="C105" s="278" t="str">
        <f>IF('Statement of Marks'!D108="","",'Statement of Marks'!D108)</f>
        <v/>
      </c>
      <c r="D105" s="314" t="str">
        <f>IF('Statement of Marks'!E108="","",'Statement of Marks'!E108)</f>
        <v/>
      </c>
      <c r="E105" s="279" t="str">
        <f>IF('Statement of Marks'!F108="","",'Statement of Marks'!F108)</f>
        <v/>
      </c>
      <c r="F105" s="279" t="str">
        <f>IF('Statement of Marks'!G108="","",'Statement of Marks'!G108)</f>
        <v/>
      </c>
      <c r="G105" s="279" t="str">
        <f>IF('Statement of Marks'!H108="","",'Statement of Marks'!H108)</f>
        <v/>
      </c>
      <c r="H105" s="280" t="str">
        <f>IF('Statement of Marks'!I108="","",'Statement of Marks'!I108)</f>
        <v/>
      </c>
      <c r="I105" s="280" t="str">
        <f>IF('Statement of Marks'!J108="","",'Statement of Marks'!J108)</f>
        <v/>
      </c>
      <c r="J105" s="827" t="str">
        <f>IF('Statement of Marks'!HS108="","",'Statement of Marks'!HS108)</f>
        <v/>
      </c>
      <c r="K105" s="281" t="str">
        <f>IF('Statement of Marks'!HT108="","",'Statement of Marks'!HT108)</f>
        <v/>
      </c>
      <c r="L105" s="828" t="str">
        <f>IF('Statement of Marks'!HW108="","",'Statement of Marks'!HW108)</f>
        <v/>
      </c>
      <c r="M105" s="281" t="str">
        <f>IF('Statement of Marks'!HV108="","",'Statement of Marks'!HV108)</f>
        <v/>
      </c>
      <c r="N105" s="829" t="str">
        <f>IF('Statement of Marks'!HX108="","",'Statement of Marks'!HX108)</f>
        <v/>
      </c>
      <c r="O105" s="282" t="str">
        <f>IF(J105="FAIL","",IF('Statement of Marks'!HO108="","",'Statement of Marks'!HO108))</f>
        <v xml:space="preserve">      </v>
      </c>
      <c r="P105" s="283" t="str">
        <f>IF('Supp. Result Entry'!AQ106="","",'Supp. Result Entry'!AQ106)</f>
        <v/>
      </c>
      <c r="Q105" s="284" t="str">
        <f>IF('Supp. Result Entry'!AR106="","",'Supp. Result Entry'!AR106)</f>
        <v/>
      </c>
      <c r="R105" s="285" t="str">
        <f>IF('Statement of Marks'!IA108="","",'Statement of Marks'!IA108)</f>
        <v/>
      </c>
      <c r="S105" s="286" t="str">
        <f>IF('Statement of Marks'!GL108="","",'Statement of Marks'!GL108)</f>
        <v/>
      </c>
      <c r="BM105" s="287" t="str">
        <f>'Statement of Marks'!F108</f>
        <v/>
      </c>
      <c r="BN105" s="288" t="str">
        <f t="shared" si="12"/>
        <v/>
      </c>
      <c r="BO105" s="288" t="str">
        <f t="shared" si="13"/>
        <v/>
      </c>
      <c r="BP105" s="288" t="str">
        <f t="shared" si="14"/>
        <v/>
      </c>
      <c r="BQ105" s="288" t="str">
        <f t="shared" si="15"/>
        <v/>
      </c>
      <c r="BR105" s="288" t="str">
        <f t="shared" si="16"/>
        <v/>
      </c>
      <c r="BS105" s="288" t="str">
        <f t="shared" si="17"/>
        <v/>
      </c>
      <c r="BT105" s="288" t="str">
        <f t="shared" si="18"/>
        <v/>
      </c>
      <c r="BU105" s="288" t="str">
        <f t="shared" si="19"/>
        <v/>
      </c>
      <c r="BV105" s="288" t="str">
        <f t="shared" si="20"/>
        <v/>
      </c>
      <c r="BW105" s="288" t="str">
        <f t="shared" si="21"/>
        <v/>
      </c>
      <c r="BX105" s="288" t="str">
        <f t="shared" si="22"/>
        <v/>
      </c>
      <c r="BY105" s="288" t="str">
        <f t="shared" si="23"/>
        <v/>
      </c>
      <c r="BZ105" s="289"/>
    </row>
    <row r="106" spans="1:78" ht="15" customHeight="1">
      <c r="A106" s="276">
        <f>IF('Statement of Marks'!A109="","",'Statement of Marks'!A109)</f>
        <v>103</v>
      </c>
      <c r="B106" s="277" t="str">
        <f>IF('Statement of Marks'!B109="","",'Statement of Marks'!B109)</f>
        <v/>
      </c>
      <c r="C106" s="278" t="str">
        <f>IF('Statement of Marks'!D109="","",'Statement of Marks'!D109)</f>
        <v/>
      </c>
      <c r="D106" s="314" t="str">
        <f>IF('Statement of Marks'!E109="","",'Statement of Marks'!E109)</f>
        <v/>
      </c>
      <c r="E106" s="279" t="str">
        <f>IF('Statement of Marks'!F109="","",'Statement of Marks'!F109)</f>
        <v/>
      </c>
      <c r="F106" s="279" t="str">
        <f>IF('Statement of Marks'!G109="","",'Statement of Marks'!G109)</f>
        <v/>
      </c>
      <c r="G106" s="279" t="str">
        <f>IF('Statement of Marks'!H109="","",'Statement of Marks'!H109)</f>
        <v/>
      </c>
      <c r="H106" s="280" t="str">
        <f>IF('Statement of Marks'!I109="","",'Statement of Marks'!I109)</f>
        <v/>
      </c>
      <c r="I106" s="280" t="str">
        <f>IF('Statement of Marks'!J109="","",'Statement of Marks'!J109)</f>
        <v/>
      </c>
      <c r="J106" s="827" t="str">
        <f>IF('Statement of Marks'!HS109="","",'Statement of Marks'!HS109)</f>
        <v/>
      </c>
      <c r="K106" s="281" t="str">
        <f>IF('Statement of Marks'!HT109="","",'Statement of Marks'!HT109)</f>
        <v/>
      </c>
      <c r="L106" s="828" t="str">
        <f>IF('Statement of Marks'!HW109="","",'Statement of Marks'!HW109)</f>
        <v/>
      </c>
      <c r="M106" s="281" t="str">
        <f>IF('Statement of Marks'!HV109="","",'Statement of Marks'!HV109)</f>
        <v/>
      </c>
      <c r="N106" s="829" t="str">
        <f>IF('Statement of Marks'!HX109="","",'Statement of Marks'!HX109)</f>
        <v/>
      </c>
      <c r="O106" s="282" t="str">
        <f>IF(J106="FAIL","",IF('Statement of Marks'!HO109="","",'Statement of Marks'!HO109))</f>
        <v xml:space="preserve">      </v>
      </c>
      <c r="P106" s="283" t="str">
        <f>IF('Supp. Result Entry'!AQ107="","",'Supp. Result Entry'!AQ107)</f>
        <v/>
      </c>
      <c r="Q106" s="284" t="str">
        <f>IF('Supp. Result Entry'!AR107="","",'Supp. Result Entry'!AR107)</f>
        <v/>
      </c>
      <c r="R106" s="285" t="str">
        <f>IF('Statement of Marks'!IA109="","",'Statement of Marks'!IA109)</f>
        <v/>
      </c>
      <c r="S106" s="286" t="str">
        <f>IF('Statement of Marks'!GL109="","",'Statement of Marks'!GL109)</f>
        <v/>
      </c>
      <c r="BM106" s="287" t="str">
        <f>'Statement of Marks'!F109</f>
        <v/>
      </c>
      <c r="BN106" s="288" t="str">
        <f t="shared" si="12"/>
        <v/>
      </c>
      <c r="BO106" s="288" t="str">
        <f t="shared" si="13"/>
        <v/>
      </c>
      <c r="BP106" s="288" t="str">
        <f t="shared" si="14"/>
        <v/>
      </c>
      <c r="BQ106" s="288" t="str">
        <f t="shared" si="15"/>
        <v/>
      </c>
      <c r="BR106" s="288" t="str">
        <f t="shared" si="16"/>
        <v/>
      </c>
      <c r="BS106" s="288" t="str">
        <f t="shared" si="17"/>
        <v/>
      </c>
      <c r="BT106" s="288" t="str">
        <f t="shared" si="18"/>
        <v/>
      </c>
      <c r="BU106" s="288" t="str">
        <f t="shared" si="19"/>
        <v/>
      </c>
      <c r="BV106" s="288" t="str">
        <f t="shared" si="20"/>
        <v/>
      </c>
      <c r="BW106" s="288" t="str">
        <f t="shared" si="21"/>
        <v/>
      </c>
      <c r="BX106" s="288" t="str">
        <f t="shared" si="22"/>
        <v/>
      </c>
      <c r="BY106" s="288" t="str">
        <f t="shared" si="23"/>
        <v/>
      </c>
      <c r="BZ106" s="289"/>
    </row>
    <row r="107" spans="1:78" ht="15" customHeight="1">
      <c r="A107" s="276">
        <f>IF('Statement of Marks'!A110="","",'Statement of Marks'!A110)</f>
        <v>104</v>
      </c>
      <c r="B107" s="277" t="str">
        <f>IF('Statement of Marks'!B110="","",'Statement of Marks'!B110)</f>
        <v/>
      </c>
      <c r="C107" s="278" t="str">
        <f>IF('Statement of Marks'!D110="","",'Statement of Marks'!D110)</f>
        <v/>
      </c>
      <c r="D107" s="314" t="str">
        <f>IF('Statement of Marks'!E110="","",'Statement of Marks'!E110)</f>
        <v/>
      </c>
      <c r="E107" s="279" t="str">
        <f>IF('Statement of Marks'!F110="","",'Statement of Marks'!F110)</f>
        <v/>
      </c>
      <c r="F107" s="279" t="str">
        <f>IF('Statement of Marks'!G110="","",'Statement of Marks'!G110)</f>
        <v/>
      </c>
      <c r="G107" s="279" t="str">
        <f>IF('Statement of Marks'!H110="","",'Statement of Marks'!H110)</f>
        <v/>
      </c>
      <c r="H107" s="280" t="str">
        <f>IF('Statement of Marks'!I110="","",'Statement of Marks'!I110)</f>
        <v/>
      </c>
      <c r="I107" s="280" t="str">
        <f>IF('Statement of Marks'!J110="","",'Statement of Marks'!J110)</f>
        <v/>
      </c>
      <c r="J107" s="827" t="str">
        <f>IF('Statement of Marks'!HS110="","",'Statement of Marks'!HS110)</f>
        <v/>
      </c>
      <c r="K107" s="281" t="str">
        <f>IF('Statement of Marks'!HT110="","",'Statement of Marks'!HT110)</f>
        <v/>
      </c>
      <c r="L107" s="828" t="str">
        <f>IF('Statement of Marks'!HW110="","",'Statement of Marks'!HW110)</f>
        <v/>
      </c>
      <c r="M107" s="281" t="str">
        <f>IF('Statement of Marks'!HV110="","",'Statement of Marks'!HV110)</f>
        <v/>
      </c>
      <c r="N107" s="829" t="str">
        <f>IF('Statement of Marks'!HX110="","",'Statement of Marks'!HX110)</f>
        <v/>
      </c>
      <c r="O107" s="282" t="str">
        <f>IF(J107="FAIL","",IF('Statement of Marks'!HO110="","",'Statement of Marks'!HO110))</f>
        <v xml:space="preserve">      </v>
      </c>
      <c r="P107" s="283" t="str">
        <f>IF('Supp. Result Entry'!AQ108="","",'Supp. Result Entry'!AQ108)</f>
        <v/>
      </c>
      <c r="Q107" s="284" t="str">
        <f>IF('Supp. Result Entry'!AR108="","",'Supp. Result Entry'!AR108)</f>
        <v/>
      </c>
      <c r="R107" s="285" t="str">
        <f>IF('Statement of Marks'!IA110="","",'Statement of Marks'!IA110)</f>
        <v/>
      </c>
      <c r="S107" s="286" t="str">
        <f>IF('Statement of Marks'!GL110="","",'Statement of Marks'!GL110)</f>
        <v/>
      </c>
      <c r="BM107" s="287" t="str">
        <f>'Statement of Marks'!F110</f>
        <v/>
      </c>
      <c r="BN107" s="288" t="str">
        <f t="shared" si="12"/>
        <v/>
      </c>
      <c r="BO107" s="288" t="str">
        <f t="shared" si="13"/>
        <v/>
      </c>
      <c r="BP107" s="288" t="str">
        <f t="shared" si="14"/>
        <v/>
      </c>
      <c r="BQ107" s="288" t="str">
        <f t="shared" si="15"/>
        <v/>
      </c>
      <c r="BR107" s="288" t="str">
        <f t="shared" si="16"/>
        <v/>
      </c>
      <c r="BS107" s="288" t="str">
        <f t="shared" si="17"/>
        <v/>
      </c>
      <c r="BT107" s="288" t="str">
        <f t="shared" si="18"/>
        <v/>
      </c>
      <c r="BU107" s="288" t="str">
        <f t="shared" si="19"/>
        <v/>
      </c>
      <c r="BV107" s="288" t="str">
        <f t="shared" si="20"/>
        <v/>
      </c>
      <c r="BW107" s="288" t="str">
        <f t="shared" si="21"/>
        <v/>
      </c>
      <c r="BX107" s="288" t="str">
        <f t="shared" si="22"/>
        <v/>
      </c>
      <c r="BY107" s="288" t="str">
        <f t="shared" si="23"/>
        <v/>
      </c>
      <c r="BZ107" s="289"/>
    </row>
    <row r="108" spans="1:78" ht="15" customHeight="1">
      <c r="A108" s="276">
        <f>IF('Statement of Marks'!A111="","",'Statement of Marks'!A111)</f>
        <v>105</v>
      </c>
      <c r="B108" s="277" t="str">
        <f>IF('Statement of Marks'!B111="","",'Statement of Marks'!B111)</f>
        <v/>
      </c>
      <c r="C108" s="278" t="str">
        <f>IF('Statement of Marks'!D111="","",'Statement of Marks'!D111)</f>
        <v/>
      </c>
      <c r="D108" s="314" t="str">
        <f>IF('Statement of Marks'!E111="","",'Statement of Marks'!E111)</f>
        <v/>
      </c>
      <c r="E108" s="279" t="str">
        <f>IF('Statement of Marks'!F111="","",'Statement of Marks'!F111)</f>
        <v/>
      </c>
      <c r="F108" s="279" t="str">
        <f>IF('Statement of Marks'!G111="","",'Statement of Marks'!G111)</f>
        <v/>
      </c>
      <c r="G108" s="279" t="str">
        <f>IF('Statement of Marks'!H111="","",'Statement of Marks'!H111)</f>
        <v/>
      </c>
      <c r="H108" s="280" t="str">
        <f>IF('Statement of Marks'!I111="","",'Statement of Marks'!I111)</f>
        <v/>
      </c>
      <c r="I108" s="280" t="str">
        <f>IF('Statement of Marks'!J111="","",'Statement of Marks'!J111)</f>
        <v/>
      </c>
      <c r="J108" s="827" t="str">
        <f>IF('Statement of Marks'!HS111="","",'Statement of Marks'!HS111)</f>
        <v/>
      </c>
      <c r="K108" s="281" t="str">
        <f>IF('Statement of Marks'!HT111="","",'Statement of Marks'!HT111)</f>
        <v/>
      </c>
      <c r="L108" s="828" t="str">
        <f>IF('Statement of Marks'!HW111="","",'Statement of Marks'!HW111)</f>
        <v/>
      </c>
      <c r="M108" s="281" t="str">
        <f>IF('Statement of Marks'!HV111="","",'Statement of Marks'!HV111)</f>
        <v/>
      </c>
      <c r="N108" s="829" t="str">
        <f>IF('Statement of Marks'!HX111="","",'Statement of Marks'!HX111)</f>
        <v/>
      </c>
      <c r="O108" s="282" t="str">
        <f>IF(J108="FAIL","",IF('Statement of Marks'!HO111="","",'Statement of Marks'!HO111))</f>
        <v xml:space="preserve">      </v>
      </c>
      <c r="P108" s="283" t="str">
        <f>IF('Supp. Result Entry'!AQ109="","",'Supp. Result Entry'!AQ109)</f>
        <v/>
      </c>
      <c r="Q108" s="284" t="str">
        <f>IF('Supp. Result Entry'!AR109="","",'Supp. Result Entry'!AR109)</f>
        <v/>
      </c>
      <c r="R108" s="285" t="str">
        <f>IF('Statement of Marks'!IA111="","",'Statement of Marks'!IA111)</f>
        <v/>
      </c>
      <c r="S108" s="286" t="str">
        <f>IF('Statement of Marks'!GL111="","",'Statement of Marks'!GL111)</f>
        <v/>
      </c>
      <c r="BM108" s="287" t="str">
        <f>'Statement of Marks'!F111</f>
        <v/>
      </c>
      <c r="BN108" s="288" t="str">
        <f t="shared" si="12"/>
        <v/>
      </c>
      <c r="BO108" s="288" t="str">
        <f t="shared" si="13"/>
        <v/>
      </c>
      <c r="BP108" s="288" t="str">
        <f t="shared" si="14"/>
        <v/>
      </c>
      <c r="BQ108" s="288" t="str">
        <f t="shared" si="15"/>
        <v/>
      </c>
      <c r="BR108" s="288" t="str">
        <f t="shared" si="16"/>
        <v/>
      </c>
      <c r="BS108" s="288" t="str">
        <f t="shared" si="17"/>
        <v/>
      </c>
      <c r="BT108" s="288" t="str">
        <f t="shared" si="18"/>
        <v/>
      </c>
      <c r="BU108" s="288" t="str">
        <f t="shared" si="19"/>
        <v/>
      </c>
      <c r="BV108" s="288" t="str">
        <f t="shared" si="20"/>
        <v/>
      </c>
      <c r="BW108" s="288" t="str">
        <f t="shared" si="21"/>
        <v/>
      </c>
      <c r="BX108" s="288" t="str">
        <f t="shared" si="22"/>
        <v/>
      </c>
      <c r="BY108" s="288" t="str">
        <f t="shared" si="23"/>
        <v/>
      </c>
      <c r="BZ108" s="289"/>
    </row>
    <row r="109" spans="1:78" ht="15" customHeight="1">
      <c r="A109" s="276">
        <f>IF('Statement of Marks'!A112="","",'Statement of Marks'!A112)</f>
        <v>106</v>
      </c>
      <c r="B109" s="277" t="str">
        <f>IF('Statement of Marks'!B112="","",'Statement of Marks'!B112)</f>
        <v/>
      </c>
      <c r="C109" s="278" t="str">
        <f>IF('Statement of Marks'!D112="","",'Statement of Marks'!D112)</f>
        <v/>
      </c>
      <c r="D109" s="314" t="str">
        <f>IF('Statement of Marks'!E112="","",'Statement of Marks'!E112)</f>
        <v/>
      </c>
      <c r="E109" s="279" t="str">
        <f>IF('Statement of Marks'!F112="","",'Statement of Marks'!F112)</f>
        <v/>
      </c>
      <c r="F109" s="279" t="str">
        <f>IF('Statement of Marks'!G112="","",'Statement of Marks'!G112)</f>
        <v/>
      </c>
      <c r="G109" s="279" t="str">
        <f>IF('Statement of Marks'!H112="","",'Statement of Marks'!H112)</f>
        <v/>
      </c>
      <c r="H109" s="280" t="str">
        <f>IF('Statement of Marks'!I112="","",'Statement of Marks'!I112)</f>
        <v/>
      </c>
      <c r="I109" s="280" t="str">
        <f>IF('Statement of Marks'!J112="","",'Statement of Marks'!J112)</f>
        <v/>
      </c>
      <c r="J109" s="827" t="str">
        <f>IF('Statement of Marks'!HS112="","",'Statement of Marks'!HS112)</f>
        <v/>
      </c>
      <c r="K109" s="281" t="str">
        <f>IF('Statement of Marks'!HT112="","",'Statement of Marks'!HT112)</f>
        <v/>
      </c>
      <c r="L109" s="828" t="str">
        <f>IF('Statement of Marks'!HW112="","",'Statement of Marks'!HW112)</f>
        <v/>
      </c>
      <c r="M109" s="281" t="str">
        <f>IF('Statement of Marks'!HV112="","",'Statement of Marks'!HV112)</f>
        <v/>
      </c>
      <c r="N109" s="829" t="str">
        <f>IF('Statement of Marks'!HX112="","",'Statement of Marks'!HX112)</f>
        <v/>
      </c>
      <c r="O109" s="282" t="str">
        <f>IF(J109="FAIL","",IF('Statement of Marks'!HO112="","",'Statement of Marks'!HO112))</f>
        <v xml:space="preserve">      </v>
      </c>
      <c r="P109" s="283" t="str">
        <f>IF('Supp. Result Entry'!AQ110="","",'Supp. Result Entry'!AQ110)</f>
        <v/>
      </c>
      <c r="Q109" s="284" t="str">
        <f>IF('Supp. Result Entry'!AR110="","",'Supp. Result Entry'!AR110)</f>
        <v/>
      </c>
      <c r="R109" s="285" t="str">
        <f>IF('Statement of Marks'!IA112="","",'Statement of Marks'!IA112)</f>
        <v/>
      </c>
      <c r="S109" s="286" t="str">
        <f>IF('Statement of Marks'!GL112="","",'Statement of Marks'!GL112)</f>
        <v/>
      </c>
      <c r="BM109" s="287" t="str">
        <f>'Statement of Marks'!F112</f>
        <v/>
      </c>
      <c r="BN109" s="288" t="str">
        <f t="shared" si="12"/>
        <v/>
      </c>
      <c r="BO109" s="288" t="str">
        <f t="shared" si="13"/>
        <v/>
      </c>
      <c r="BP109" s="288" t="str">
        <f t="shared" si="14"/>
        <v/>
      </c>
      <c r="BQ109" s="288" t="str">
        <f t="shared" si="15"/>
        <v/>
      </c>
      <c r="BR109" s="288" t="str">
        <f t="shared" si="16"/>
        <v/>
      </c>
      <c r="BS109" s="288" t="str">
        <f t="shared" si="17"/>
        <v/>
      </c>
      <c r="BT109" s="288" t="str">
        <f t="shared" si="18"/>
        <v/>
      </c>
      <c r="BU109" s="288" t="str">
        <f t="shared" si="19"/>
        <v/>
      </c>
      <c r="BV109" s="288" t="str">
        <f t="shared" si="20"/>
        <v/>
      </c>
      <c r="BW109" s="288" t="str">
        <f t="shared" si="21"/>
        <v/>
      </c>
      <c r="BX109" s="288" t="str">
        <f t="shared" si="22"/>
        <v/>
      </c>
      <c r="BY109" s="288" t="str">
        <f t="shared" si="23"/>
        <v/>
      </c>
      <c r="BZ109" s="289"/>
    </row>
    <row r="110" spans="1:78" ht="15" customHeight="1">
      <c r="A110" s="276">
        <f>IF('Statement of Marks'!A113="","",'Statement of Marks'!A113)</f>
        <v>107</v>
      </c>
      <c r="B110" s="277" t="str">
        <f>IF('Statement of Marks'!B113="","",'Statement of Marks'!B113)</f>
        <v/>
      </c>
      <c r="C110" s="278" t="str">
        <f>IF('Statement of Marks'!D113="","",'Statement of Marks'!D113)</f>
        <v/>
      </c>
      <c r="D110" s="314" t="str">
        <f>IF('Statement of Marks'!E113="","",'Statement of Marks'!E113)</f>
        <v/>
      </c>
      <c r="E110" s="279" t="str">
        <f>IF('Statement of Marks'!F113="","",'Statement of Marks'!F113)</f>
        <v/>
      </c>
      <c r="F110" s="279" t="str">
        <f>IF('Statement of Marks'!G113="","",'Statement of Marks'!G113)</f>
        <v/>
      </c>
      <c r="G110" s="279" t="str">
        <f>IF('Statement of Marks'!H113="","",'Statement of Marks'!H113)</f>
        <v/>
      </c>
      <c r="H110" s="280" t="str">
        <f>IF('Statement of Marks'!I113="","",'Statement of Marks'!I113)</f>
        <v/>
      </c>
      <c r="I110" s="280" t="str">
        <f>IF('Statement of Marks'!J113="","",'Statement of Marks'!J113)</f>
        <v/>
      </c>
      <c r="J110" s="827" t="str">
        <f>IF('Statement of Marks'!HS113="","",'Statement of Marks'!HS113)</f>
        <v/>
      </c>
      <c r="K110" s="281" t="str">
        <f>IF('Statement of Marks'!HT113="","",'Statement of Marks'!HT113)</f>
        <v/>
      </c>
      <c r="L110" s="828" t="str">
        <f>IF('Statement of Marks'!HW113="","",'Statement of Marks'!HW113)</f>
        <v/>
      </c>
      <c r="M110" s="281" t="str">
        <f>IF('Statement of Marks'!HV113="","",'Statement of Marks'!HV113)</f>
        <v/>
      </c>
      <c r="N110" s="829" t="str">
        <f>IF('Statement of Marks'!HX113="","",'Statement of Marks'!HX113)</f>
        <v/>
      </c>
      <c r="O110" s="282" t="str">
        <f>IF(J110="FAIL","",IF('Statement of Marks'!HO113="","",'Statement of Marks'!HO113))</f>
        <v xml:space="preserve">      </v>
      </c>
      <c r="P110" s="283" t="str">
        <f>IF('Supp. Result Entry'!AQ111="","",'Supp. Result Entry'!AQ111)</f>
        <v/>
      </c>
      <c r="Q110" s="284" t="str">
        <f>IF('Supp. Result Entry'!AR111="","",'Supp. Result Entry'!AR111)</f>
        <v/>
      </c>
      <c r="R110" s="285" t="str">
        <f>IF('Statement of Marks'!IA113="","",'Statement of Marks'!IA113)</f>
        <v/>
      </c>
      <c r="S110" s="286" t="str">
        <f>IF('Statement of Marks'!GL113="","",'Statement of Marks'!GL113)</f>
        <v/>
      </c>
      <c r="BM110" s="287" t="str">
        <f>'Statement of Marks'!F113</f>
        <v/>
      </c>
      <c r="BN110" s="288" t="str">
        <f t="shared" si="12"/>
        <v/>
      </c>
      <c r="BO110" s="288" t="str">
        <f t="shared" si="13"/>
        <v/>
      </c>
      <c r="BP110" s="288" t="str">
        <f t="shared" si="14"/>
        <v/>
      </c>
      <c r="BQ110" s="288" t="str">
        <f t="shared" si="15"/>
        <v/>
      </c>
      <c r="BR110" s="288" t="str">
        <f t="shared" si="16"/>
        <v/>
      </c>
      <c r="BS110" s="288" t="str">
        <f t="shared" si="17"/>
        <v/>
      </c>
      <c r="BT110" s="288" t="str">
        <f t="shared" si="18"/>
        <v/>
      </c>
      <c r="BU110" s="288" t="str">
        <f t="shared" si="19"/>
        <v/>
      </c>
      <c r="BV110" s="288" t="str">
        <f t="shared" si="20"/>
        <v/>
      </c>
      <c r="BW110" s="288" t="str">
        <f t="shared" si="21"/>
        <v/>
      </c>
      <c r="BX110" s="288" t="str">
        <f t="shared" si="22"/>
        <v/>
      </c>
      <c r="BY110" s="288" t="str">
        <f t="shared" si="23"/>
        <v/>
      </c>
      <c r="BZ110" s="289"/>
    </row>
    <row r="111" spans="1:78" ht="15" customHeight="1">
      <c r="A111" s="276">
        <f>IF('Statement of Marks'!A114="","",'Statement of Marks'!A114)</f>
        <v>108</v>
      </c>
      <c r="B111" s="277" t="str">
        <f>IF('Statement of Marks'!B114="","",'Statement of Marks'!B114)</f>
        <v/>
      </c>
      <c r="C111" s="278" t="str">
        <f>IF('Statement of Marks'!D114="","",'Statement of Marks'!D114)</f>
        <v/>
      </c>
      <c r="D111" s="314" t="str">
        <f>IF('Statement of Marks'!E114="","",'Statement of Marks'!E114)</f>
        <v/>
      </c>
      <c r="E111" s="279" t="str">
        <f>IF('Statement of Marks'!F114="","",'Statement of Marks'!F114)</f>
        <v/>
      </c>
      <c r="F111" s="279" t="str">
        <f>IF('Statement of Marks'!G114="","",'Statement of Marks'!G114)</f>
        <v/>
      </c>
      <c r="G111" s="279" t="str">
        <f>IF('Statement of Marks'!H114="","",'Statement of Marks'!H114)</f>
        <v/>
      </c>
      <c r="H111" s="280" t="str">
        <f>IF('Statement of Marks'!I114="","",'Statement of Marks'!I114)</f>
        <v/>
      </c>
      <c r="I111" s="280" t="str">
        <f>IF('Statement of Marks'!J114="","",'Statement of Marks'!J114)</f>
        <v/>
      </c>
      <c r="J111" s="827" t="str">
        <f>IF('Statement of Marks'!HS114="","",'Statement of Marks'!HS114)</f>
        <v/>
      </c>
      <c r="K111" s="281" t="str">
        <f>IF('Statement of Marks'!HT114="","",'Statement of Marks'!HT114)</f>
        <v/>
      </c>
      <c r="L111" s="828" t="str">
        <f>IF('Statement of Marks'!HW114="","",'Statement of Marks'!HW114)</f>
        <v/>
      </c>
      <c r="M111" s="281" t="str">
        <f>IF('Statement of Marks'!HV114="","",'Statement of Marks'!HV114)</f>
        <v/>
      </c>
      <c r="N111" s="829" t="str">
        <f>IF('Statement of Marks'!HX114="","",'Statement of Marks'!HX114)</f>
        <v/>
      </c>
      <c r="O111" s="282" t="str">
        <f>IF(J111="FAIL","",IF('Statement of Marks'!HO114="","",'Statement of Marks'!HO114))</f>
        <v xml:space="preserve">      </v>
      </c>
      <c r="P111" s="283" t="str">
        <f>IF('Supp. Result Entry'!AQ112="","",'Supp. Result Entry'!AQ112)</f>
        <v/>
      </c>
      <c r="Q111" s="284" t="str">
        <f>IF('Supp. Result Entry'!AR112="","",'Supp. Result Entry'!AR112)</f>
        <v/>
      </c>
      <c r="R111" s="285" t="str">
        <f>IF('Statement of Marks'!IA114="","",'Statement of Marks'!IA114)</f>
        <v/>
      </c>
      <c r="S111" s="286" t="str">
        <f>IF('Statement of Marks'!GL114="","",'Statement of Marks'!GL114)</f>
        <v/>
      </c>
      <c r="BM111" s="287" t="str">
        <f>'Statement of Marks'!F114</f>
        <v/>
      </c>
      <c r="BN111" s="288" t="str">
        <f t="shared" si="12"/>
        <v/>
      </c>
      <c r="BO111" s="288" t="str">
        <f t="shared" si="13"/>
        <v/>
      </c>
      <c r="BP111" s="288" t="str">
        <f t="shared" si="14"/>
        <v/>
      </c>
      <c r="BQ111" s="288" t="str">
        <f t="shared" si="15"/>
        <v/>
      </c>
      <c r="BR111" s="288" t="str">
        <f t="shared" si="16"/>
        <v/>
      </c>
      <c r="BS111" s="288" t="str">
        <f t="shared" si="17"/>
        <v/>
      </c>
      <c r="BT111" s="288" t="str">
        <f t="shared" si="18"/>
        <v/>
      </c>
      <c r="BU111" s="288" t="str">
        <f t="shared" si="19"/>
        <v/>
      </c>
      <c r="BV111" s="288" t="str">
        <f t="shared" si="20"/>
        <v/>
      </c>
      <c r="BW111" s="288" t="str">
        <f t="shared" si="21"/>
        <v/>
      </c>
      <c r="BX111" s="288" t="str">
        <f t="shared" si="22"/>
        <v/>
      </c>
      <c r="BY111" s="288" t="str">
        <f t="shared" si="23"/>
        <v/>
      </c>
      <c r="BZ111" s="289"/>
    </row>
    <row r="112" spans="1:78" ht="15" customHeight="1">
      <c r="A112" s="276">
        <f>IF('Statement of Marks'!A115="","",'Statement of Marks'!A115)</f>
        <v>109</v>
      </c>
      <c r="B112" s="277" t="str">
        <f>IF('Statement of Marks'!B115="","",'Statement of Marks'!B115)</f>
        <v/>
      </c>
      <c r="C112" s="278" t="str">
        <f>IF('Statement of Marks'!D115="","",'Statement of Marks'!D115)</f>
        <v/>
      </c>
      <c r="D112" s="314" t="str">
        <f>IF('Statement of Marks'!E115="","",'Statement of Marks'!E115)</f>
        <v/>
      </c>
      <c r="E112" s="279" t="str">
        <f>IF('Statement of Marks'!F115="","",'Statement of Marks'!F115)</f>
        <v/>
      </c>
      <c r="F112" s="279" t="str">
        <f>IF('Statement of Marks'!G115="","",'Statement of Marks'!G115)</f>
        <v/>
      </c>
      <c r="G112" s="279" t="str">
        <f>IF('Statement of Marks'!H115="","",'Statement of Marks'!H115)</f>
        <v/>
      </c>
      <c r="H112" s="280" t="str">
        <f>IF('Statement of Marks'!I115="","",'Statement of Marks'!I115)</f>
        <v/>
      </c>
      <c r="I112" s="280" t="str">
        <f>IF('Statement of Marks'!J115="","",'Statement of Marks'!J115)</f>
        <v/>
      </c>
      <c r="J112" s="826" t="str">
        <f>IF('Statement of Marks'!HS115="","",'Statement of Marks'!HS115)</f>
        <v/>
      </c>
      <c r="K112" s="281" t="str">
        <f>IF('Statement of Marks'!HT115="","",'Statement of Marks'!HT115)</f>
        <v/>
      </c>
      <c r="L112" s="828" t="str">
        <f>IF('Statement of Marks'!HW115="","",'Statement of Marks'!HW115)</f>
        <v/>
      </c>
      <c r="M112" s="281" t="str">
        <f>IF('Statement of Marks'!HV115="","",'Statement of Marks'!HV115)</f>
        <v/>
      </c>
      <c r="N112" s="829" t="str">
        <f>IF('Statement of Marks'!HX115="","",'Statement of Marks'!HX115)</f>
        <v/>
      </c>
      <c r="O112" s="282" t="str">
        <f>IF(J112="FAIL","",IF('Statement of Marks'!HO115="","",'Statement of Marks'!HO115))</f>
        <v xml:space="preserve">      </v>
      </c>
      <c r="P112" s="283" t="str">
        <f>IF('Supp. Result Entry'!AQ113="","",'Supp. Result Entry'!AQ113)</f>
        <v/>
      </c>
      <c r="Q112" s="284" t="str">
        <f>IF('Supp. Result Entry'!AR113="","",'Supp. Result Entry'!AR113)</f>
        <v/>
      </c>
      <c r="R112" s="285" t="str">
        <f>IF('Statement of Marks'!IA115="","",'Statement of Marks'!IA115)</f>
        <v/>
      </c>
      <c r="S112" s="286" t="str">
        <f>IF('Statement of Marks'!GL115="","",'Statement of Marks'!GL115)</f>
        <v/>
      </c>
      <c r="BM112" s="287" t="str">
        <f>'Statement of Marks'!F115</f>
        <v/>
      </c>
      <c r="BN112" s="288" t="str">
        <f t="shared" si="12"/>
        <v/>
      </c>
      <c r="BO112" s="288" t="str">
        <f t="shared" si="13"/>
        <v/>
      </c>
      <c r="BP112" s="288" t="str">
        <f t="shared" si="14"/>
        <v/>
      </c>
      <c r="BQ112" s="288" t="str">
        <f t="shared" si="15"/>
        <v/>
      </c>
      <c r="BR112" s="288" t="str">
        <f t="shared" si="16"/>
        <v/>
      </c>
      <c r="BS112" s="288" t="str">
        <f t="shared" si="17"/>
        <v/>
      </c>
      <c r="BT112" s="288" t="str">
        <f t="shared" si="18"/>
        <v/>
      </c>
      <c r="BU112" s="288" t="str">
        <f t="shared" si="19"/>
        <v/>
      </c>
      <c r="BV112" s="288" t="str">
        <f t="shared" si="20"/>
        <v/>
      </c>
      <c r="BW112" s="288" t="str">
        <f t="shared" si="21"/>
        <v/>
      </c>
      <c r="BX112" s="288" t="str">
        <f t="shared" si="22"/>
        <v/>
      </c>
      <c r="BY112" s="288" t="str">
        <f t="shared" si="23"/>
        <v/>
      </c>
      <c r="BZ112" s="289"/>
    </row>
    <row r="113" spans="1:78" ht="15" customHeight="1">
      <c r="A113" s="276">
        <f>IF('Statement of Marks'!A116="","",'Statement of Marks'!A116)</f>
        <v>110</v>
      </c>
      <c r="B113" s="277" t="str">
        <f>IF('Statement of Marks'!B116="","",'Statement of Marks'!B116)</f>
        <v/>
      </c>
      <c r="C113" s="278" t="str">
        <f>IF('Statement of Marks'!D116="","",'Statement of Marks'!D116)</f>
        <v/>
      </c>
      <c r="D113" s="314" t="str">
        <f>IF('Statement of Marks'!E116="","",'Statement of Marks'!E116)</f>
        <v/>
      </c>
      <c r="E113" s="279" t="str">
        <f>IF('Statement of Marks'!F116="","",'Statement of Marks'!F116)</f>
        <v/>
      </c>
      <c r="F113" s="279" t="str">
        <f>IF('Statement of Marks'!G116="","",'Statement of Marks'!G116)</f>
        <v/>
      </c>
      <c r="G113" s="279" t="str">
        <f>IF('Statement of Marks'!H116="","",'Statement of Marks'!H116)</f>
        <v/>
      </c>
      <c r="H113" s="280" t="str">
        <f>IF('Statement of Marks'!I116="","",'Statement of Marks'!I116)</f>
        <v/>
      </c>
      <c r="I113" s="280" t="str">
        <f>IF('Statement of Marks'!J116="","",'Statement of Marks'!J116)</f>
        <v/>
      </c>
      <c r="J113" s="827" t="str">
        <f>IF('Statement of Marks'!HS116="","",'Statement of Marks'!HS116)</f>
        <v/>
      </c>
      <c r="K113" s="281" t="str">
        <f>IF('Statement of Marks'!HT116="","",'Statement of Marks'!HT116)</f>
        <v/>
      </c>
      <c r="L113" s="828" t="str">
        <f>IF('Statement of Marks'!HW116="","",'Statement of Marks'!HW116)</f>
        <v/>
      </c>
      <c r="M113" s="281" t="str">
        <f>IF('Statement of Marks'!HV116="","",'Statement of Marks'!HV116)</f>
        <v/>
      </c>
      <c r="N113" s="829" t="str">
        <f>IF('Statement of Marks'!HX116="","",'Statement of Marks'!HX116)</f>
        <v/>
      </c>
      <c r="O113" s="282" t="str">
        <f>IF(J113="FAIL","",IF('Statement of Marks'!HO116="","",'Statement of Marks'!HO116))</f>
        <v xml:space="preserve">      </v>
      </c>
      <c r="P113" s="283" t="str">
        <f>IF('Supp. Result Entry'!AQ114="","",'Supp. Result Entry'!AQ114)</f>
        <v/>
      </c>
      <c r="Q113" s="284" t="str">
        <f>IF('Supp. Result Entry'!AR114="","",'Supp. Result Entry'!AR114)</f>
        <v/>
      </c>
      <c r="R113" s="285" t="str">
        <f>IF('Statement of Marks'!IA116="","",'Statement of Marks'!IA116)</f>
        <v/>
      </c>
      <c r="S113" s="286" t="str">
        <f>IF('Statement of Marks'!GL116="","",'Statement of Marks'!GL116)</f>
        <v/>
      </c>
      <c r="BM113" s="287" t="str">
        <f>'Statement of Marks'!F116</f>
        <v/>
      </c>
      <c r="BN113" s="288" t="str">
        <f t="shared" si="12"/>
        <v/>
      </c>
      <c r="BO113" s="288" t="str">
        <f t="shared" si="13"/>
        <v/>
      </c>
      <c r="BP113" s="288" t="str">
        <f t="shared" si="14"/>
        <v/>
      </c>
      <c r="BQ113" s="288" t="str">
        <f t="shared" si="15"/>
        <v/>
      </c>
      <c r="BR113" s="288" t="str">
        <f t="shared" si="16"/>
        <v/>
      </c>
      <c r="BS113" s="288" t="str">
        <f t="shared" si="17"/>
        <v/>
      </c>
      <c r="BT113" s="288" t="str">
        <f t="shared" si="18"/>
        <v/>
      </c>
      <c r="BU113" s="288" t="str">
        <f t="shared" si="19"/>
        <v/>
      </c>
      <c r="BV113" s="288" t="str">
        <f t="shared" si="20"/>
        <v/>
      </c>
      <c r="BW113" s="288" t="str">
        <f t="shared" si="21"/>
        <v/>
      </c>
      <c r="BX113" s="288" t="str">
        <f t="shared" si="22"/>
        <v/>
      </c>
      <c r="BY113" s="288" t="str">
        <f t="shared" si="23"/>
        <v/>
      </c>
      <c r="BZ113" s="289"/>
    </row>
    <row r="114" spans="1:78" ht="15" customHeight="1">
      <c r="A114" s="276">
        <f>IF('Statement of Marks'!A117="","",'Statement of Marks'!A117)</f>
        <v>111</v>
      </c>
      <c r="B114" s="277" t="str">
        <f>IF('Statement of Marks'!B117="","",'Statement of Marks'!B117)</f>
        <v/>
      </c>
      <c r="C114" s="278" t="str">
        <f>IF('Statement of Marks'!D117="","",'Statement of Marks'!D117)</f>
        <v/>
      </c>
      <c r="D114" s="314" t="str">
        <f>IF('Statement of Marks'!E117="","",'Statement of Marks'!E117)</f>
        <v/>
      </c>
      <c r="E114" s="279" t="str">
        <f>IF('Statement of Marks'!F117="","",'Statement of Marks'!F117)</f>
        <v/>
      </c>
      <c r="F114" s="279" t="str">
        <f>IF('Statement of Marks'!G117="","",'Statement of Marks'!G117)</f>
        <v/>
      </c>
      <c r="G114" s="279" t="str">
        <f>IF('Statement of Marks'!H117="","",'Statement of Marks'!H117)</f>
        <v/>
      </c>
      <c r="H114" s="280" t="str">
        <f>IF('Statement of Marks'!I117="","",'Statement of Marks'!I117)</f>
        <v/>
      </c>
      <c r="I114" s="280" t="str">
        <f>IF('Statement of Marks'!J117="","",'Statement of Marks'!J117)</f>
        <v/>
      </c>
      <c r="J114" s="827" t="str">
        <f>IF('Statement of Marks'!HS117="","",'Statement of Marks'!HS117)</f>
        <v/>
      </c>
      <c r="K114" s="281" t="str">
        <f>IF('Statement of Marks'!HT117="","",'Statement of Marks'!HT117)</f>
        <v/>
      </c>
      <c r="L114" s="828" t="str">
        <f>IF('Statement of Marks'!HW117="","",'Statement of Marks'!HW117)</f>
        <v/>
      </c>
      <c r="M114" s="281" t="str">
        <f>IF('Statement of Marks'!HV117="","",'Statement of Marks'!HV117)</f>
        <v/>
      </c>
      <c r="N114" s="829" t="str">
        <f>IF('Statement of Marks'!HX117="","",'Statement of Marks'!HX117)</f>
        <v/>
      </c>
      <c r="O114" s="282" t="str">
        <f>IF(J114="FAIL","",IF('Statement of Marks'!HO117="","",'Statement of Marks'!HO117))</f>
        <v xml:space="preserve">      </v>
      </c>
      <c r="P114" s="283" t="str">
        <f>IF('Supp. Result Entry'!AQ115="","",'Supp. Result Entry'!AQ115)</f>
        <v/>
      </c>
      <c r="Q114" s="284" t="str">
        <f>IF('Supp. Result Entry'!AR115="","",'Supp. Result Entry'!AR115)</f>
        <v/>
      </c>
      <c r="R114" s="285" t="str">
        <f>IF('Statement of Marks'!IA117="","",'Statement of Marks'!IA117)</f>
        <v/>
      </c>
      <c r="S114" s="286" t="str">
        <f>IF('Statement of Marks'!GL117="","",'Statement of Marks'!GL117)</f>
        <v/>
      </c>
      <c r="BM114" s="287" t="str">
        <f>'Statement of Marks'!F117</f>
        <v/>
      </c>
      <c r="BN114" s="288" t="str">
        <f t="shared" si="12"/>
        <v/>
      </c>
      <c r="BO114" s="288" t="str">
        <f t="shared" si="13"/>
        <v/>
      </c>
      <c r="BP114" s="288" t="str">
        <f t="shared" si="14"/>
        <v/>
      </c>
      <c r="BQ114" s="288" t="str">
        <f t="shared" si="15"/>
        <v/>
      </c>
      <c r="BR114" s="288" t="str">
        <f t="shared" si="16"/>
        <v/>
      </c>
      <c r="BS114" s="288" t="str">
        <f t="shared" si="17"/>
        <v/>
      </c>
      <c r="BT114" s="288" t="str">
        <f t="shared" si="18"/>
        <v/>
      </c>
      <c r="BU114" s="288" t="str">
        <f t="shared" si="19"/>
        <v/>
      </c>
      <c r="BV114" s="288" t="str">
        <f t="shared" si="20"/>
        <v/>
      </c>
      <c r="BW114" s="288" t="str">
        <f t="shared" si="21"/>
        <v/>
      </c>
      <c r="BX114" s="288" t="str">
        <f t="shared" si="22"/>
        <v/>
      </c>
      <c r="BY114" s="288" t="str">
        <f t="shared" si="23"/>
        <v/>
      </c>
      <c r="BZ114" s="289"/>
    </row>
    <row r="115" spans="1:78" ht="15" customHeight="1">
      <c r="A115" s="276">
        <f>IF('Statement of Marks'!A118="","",'Statement of Marks'!A118)</f>
        <v>112</v>
      </c>
      <c r="B115" s="277" t="str">
        <f>IF('Statement of Marks'!B118="","",'Statement of Marks'!B118)</f>
        <v/>
      </c>
      <c r="C115" s="278" t="str">
        <f>IF('Statement of Marks'!D118="","",'Statement of Marks'!D118)</f>
        <v/>
      </c>
      <c r="D115" s="314" t="str">
        <f>IF('Statement of Marks'!E118="","",'Statement of Marks'!E118)</f>
        <v/>
      </c>
      <c r="E115" s="279" t="str">
        <f>IF('Statement of Marks'!F118="","",'Statement of Marks'!F118)</f>
        <v/>
      </c>
      <c r="F115" s="279" t="str">
        <f>IF('Statement of Marks'!G118="","",'Statement of Marks'!G118)</f>
        <v/>
      </c>
      <c r="G115" s="279" t="str">
        <f>IF('Statement of Marks'!H118="","",'Statement of Marks'!H118)</f>
        <v/>
      </c>
      <c r="H115" s="280" t="str">
        <f>IF('Statement of Marks'!I118="","",'Statement of Marks'!I118)</f>
        <v/>
      </c>
      <c r="I115" s="280" t="str">
        <f>IF('Statement of Marks'!J118="","",'Statement of Marks'!J118)</f>
        <v/>
      </c>
      <c r="J115" s="827" t="str">
        <f>IF('Statement of Marks'!HS118="","",'Statement of Marks'!HS118)</f>
        <v/>
      </c>
      <c r="K115" s="281" t="str">
        <f>IF('Statement of Marks'!HT118="","",'Statement of Marks'!HT118)</f>
        <v/>
      </c>
      <c r="L115" s="828" t="str">
        <f>IF('Statement of Marks'!HW118="","",'Statement of Marks'!HW118)</f>
        <v/>
      </c>
      <c r="M115" s="281" t="str">
        <f>IF('Statement of Marks'!HV118="","",'Statement of Marks'!HV118)</f>
        <v/>
      </c>
      <c r="N115" s="829" t="str">
        <f>IF('Statement of Marks'!HX118="","",'Statement of Marks'!HX118)</f>
        <v/>
      </c>
      <c r="O115" s="282" t="str">
        <f>IF(J115="FAIL","",IF('Statement of Marks'!HO118="","",'Statement of Marks'!HO118))</f>
        <v xml:space="preserve">      </v>
      </c>
      <c r="P115" s="283" t="str">
        <f>IF('Supp. Result Entry'!AQ116="","",'Supp. Result Entry'!AQ116)</f>
        <v/>
      </c>
      <c r="Q115" s="284" t="str">
        <f>IF('Supp. Result Entry'!AR116="","",'Supp. Result Entry'!AR116)</f>
        <v/>
      </c>
      <c r="R115" s="285" t="str">
        <f>IF('Statement of Marks'!IA118="","",'Statement of Marks'!IA118)</f>
        <v/>
      </c>
      <c r="S115" s="286" t="str">
        <f>IF('Statement of Marks'!GL118="","",'Statement of Marks'!GL118)</f>
        <v/>
      </c>
      <c r="BM115" s="287" t="str">
        <f>'Statement of Marks'!F118</f>
        <v/>
      </c>
      <c r="BN115" s="288" t="str">
        <f t="shared" si="12"/>
        <v/>
      </c>
      <c r="BO115" s="288" t="str">
        <f t="shared" si="13"/>
        <v/>
      </c>
      <c r="BP115" s="288" t="str">
        <f t="shared" si="14"/>
        <v/>
      </c>
      <c r="BQ115" s="288" t="str">
        <f t="shared" si="15"/>
        <v/>
      </c>
      <c r="BR115" s="288" t="str">
        <f t="shared" si="16"/>
        <v/>
      </c>
      <c r="BS115" s="288" t="str">
        <f t="shared" si="17"/>
        <v/>
      </c>
      <c r="BT115" s="288" t="str">
        <f t="shared" si="18"/>
        <v/>
      </c>
      <c r="BU115" s="288" t="str">
        <f t="shared" si="19"/>
        <v/>
      </c>
      <c r="BV115" s="288" t="str">
        <f t="shared" si="20"/>
        <v/>
      </c>
      <c r="BW115" s="288" t="str">
        <f t="shared" si="21"/>
        <v/>
      </c>
      <c r="BX115" s="288" t="str">
        <f t="shared" si="22"/>
        <v/>
      </c>
      <c r="BY115" s="288" t="str">
        <f t="shared" si="23"/>
        <v/>
      </c>
      <c r="BZ115" s="289"/>
    </row>
    <row r="116" spans="1:78" ht="15" customHeight="1">
      <c r="A116" s="276">
        <f>IF('Statement of Marks'!A119="","",'Statement of Marks'!A119)</f>
        <v>113</v>
      </c>
      <c r="B116" s="277" t="str">
        <f>IF('Statement of Marks'!B119="","",'Statement of Marks'!B119)</f>
        <v/>
      </c>
      <c r="C116" s="278" t="str">
        <f>IF('Statement of Marks'!D119="","",'Statement of Marks'!D119)</f>
        <v/>
      </c>
      <c r="D116" s="314" t="str">
        <f>IF('Statement of Marks'!E119="","",'Statement of Marks'!E119)</f>
        <v/>
      </c>
      <c r="E116" s="279" t="str">
        <f>IF('Statement of Marks'!F119="","",'Statement of Marks'!F119)</f>
        <v/>
      </c>
      <c r="F116" s="279" t="str">
        <f>IF('Statement of Marks'!G119="","",'Statement of Marks'!G119)</f>
        <v/>
      </c>
      <c r="G116" s="279" t="str">
        <f>IF('Statement of Marks'!H119="","",'Statement of Marks'!H119)</f>
        <v/>
      </c>
      <c r="H116" s="280" t="str">
        <f>IF('Statement of Marks'!I119="","",'Statement of Marks'!I119)</f>
        <v/>
      </c>
      <c r="I116" s="280" t="str">
        <f>IF('Statement of Marks'!J119="","",'Statement of Marks'!J119)</f>
        <v/>
      </c>
      <c r="J116" s="827" t="str">
        <f>IF('Statement of Marks'!HS119="","",'Statement of Marks'!HS119)</f>
        <v/>
      </c>
      <c r="K116" s="281" t="str">
        <f>IF('Statement of Marks'!HT119="","",'Statement of Marks'!HT119)</f>
        <v/>
      </c>
      <c r="L116" s="828" t="str">
        <f>IF('Statement of Marks'!HW119="","",'Statement of Marks'!HW119)</f>
        <v/>
      </c>
      <c r="M116" s="281" t="str">
        <f>IF('Statement of Marks'!HV119="","",'Statement of Marks'!HV119)</f>
        <v/>
      </c>
      <c r="N116" s="829" t="str">
        <f>IF('Statement of Marks'!HX119="","",'Statement of Marks'!HX119)</f>
        <v/>
      </c>
      <c r="O116" s="282" t="str">
        <f>IF(J116="FAIL","",IF('Statement of Marks'!HO119="","",'Statement of Marks'!HO119))</f>
        <v xml:space="preserve">      </v>
      </c>
      <c r="P116" s="283" t="str">
        <f>IF('Supp. Result Entry'!AQ117="","",'Supp. Result Entry'!AQ117)</f>
        <v/>
      </c>
      <c r="Q116" s="284" t="str">
        <f>IF('Supp. Result Entry'!AR117="","",'Supp. Result Entry'!AR117)</f>
        <v/>
      </c>
      <c r="R116" s="285" t="str">
        <f>IF('Statement of Marks'!IA119="","",'Statement of Marks'!IA119)</f>
        <v/>
      </c>
      <c r="S116" s="286" t="str">
        <f>IF('Statement of Marks'!GL119="","",'Statement of Marks'!GL119)</f>
        <v/>
      </c>
      <c r="BM116" s="287" t="str">
        <f>'Statement of Marks'!F119</f>
        <v/>
      </c>
      <c r="BN116" s="288" t="str">
        <f t="shared" si="12"/>
        <v/>
      </c>
      <c r="BO116" s="288" t="str">
        <f t="shared" si="13"/>
        <v/>
      </c>
      <c r="BP116" s="288" t="str">
        <f t="shared" si="14"/>
        <v/>
      </c>
      <c r="BQ116" s="288" t="str">
        <f t="shared" si="15"/>
        <v/>
      </c>
      <c r="BR116" s="288" t="str">
        <f t="shared" si="16"/>
        <v/>
      </c>
      <c r="BS116" s="288" t="str">
        <f t="shared" si="17"/>
        <v/>
      </c>
      <c r="BT116" s="288" t="str">
        <f t="shared" si="18"/>
        <v/>
      </c>
      <c r="BU116" s="288" t="str">
        <f t="shared" si="19"/>
        <v/>
      </c>
      <c r="BV116" s="288" t="str">
        <f t="shared" si="20"/>
        <v/>
      </c>
      <c r="BW116" s="288" t="str">
        <f t="shared" si="21"/>
        <v/>
      </c>
      <c r="BX116" s="288" t="str">
        <f t="shared" si="22"/>
        <v/>
      </c>
      <c r="BY116" s="288" t="str">
        <f t="shared" si="23"/>
        <v/>
      </c>
      <c r="BZ116" s="289"/>
    </row>
    <row r="117" spans="1:78" ht="15" customHeight="1">
      <c r="A117" s="276">
        <f>IF('Statement of Marks'!A120="","",'Statement of Marks'!A120)</f>
        <v>114</v>
      </c>
      <c r="B117" s="277" t="str">
        <f>IF('Statement of Marks'!B120="","",'Statement of Marks'!B120)</f>
        <v/>
      </c>
      <c r="C117" s="278" t="str">
        <f>IF('Statement of Marks'!D120="","",'Statement of Marks'!D120)</f>
        <v/>
      </c>
      <c r="D117" s="314" t="str">
        <f>IF('Statement of Marks'!E120="","",'Statement of Marks'!E120)</f>
        <v/>
      </c>
      <c r="E117" s="279" t="str">
        <f>IF('Statement of Marks'!F120="","",'Statement of Marks'!F120)</f>
        <v/>
      </c>
      <c r="F117" s="279" t="str">
        <f>IF('Statement of Marks'!G120="","",'Statement of Marks'!G120)</f>
        <v/>
      </c>
      <c r="G117" s="279" t="str">
        <f>IF('Statement of Marks'!H120="","",'Statement of Marks'!H120)</f>
        <v/>
      </c>
      <c r="H117" s="280" t="str">
        <f>IF('Statement of Marks'!I120="","",'Statement of Marks'!I120)</f>
        <v/>
      </c>
      <c r="I117" s="280" t="str">
        <f>IF('Statement of Marks'!J120="","",'Statement of Marks'!J120)</f>
        <v/>
      </c>
      <c r="J117" s="827" t="str">
        <f>IF('Statement of Marks'!HS120="","",'Statement of Marks'!HS120)</f>
        <v/>
      </c>
      <c r="K117" s="281" t="str">
        <f>IF('Statement of Marks'!HT120="","",'Statement of Marks'!HT120)</f>
        <v/>
      </c>
      <c r="L117" s="828" t="str">
        <f>IF('Statement of Marks'!HW120="","",'Statement of Marks'!HW120)</f>
        <v/>
      </c>
      <c r="M117" s="281" t="str">
        <f>IF('Statement of Marks'!HV120="","",'Statement of Marks'!HV120)</f>
        <v/>
      </c>
      <c r="N117" s="829" t="str">
        <f>IF('Statement of Marks'!HX120="","",'Statement of Marks'!HX120)</f>
        <v/>
      </c>
      <c r="O117" s="282" t="str">
        <f>IF(J117="FAIL","",IF('Statement of Marks'!HO120="","",'Statement of Marks'!HO120))</f>
        <v xml:space="preserve">      </v>
      </c>
      <c r="P117" s="283" t="str">
        <f>IF('Supp. Result Entry'!AQ118="","",'Supp. Result Entry'!AQ118)</f>
        <v/>
      </c>
      <c r="Q117" s="284" t="str">
        <f>IF('Supp. Result Entry'!AR118="","",'Supp. Result Entry'!AR118)</f>
        <v/>
      </c>
      <c r="R117" s="285" t="str">
        <f>IF('Statement of Marks'!IA120="","",'Statement of Marks'!IA120)</f>
        <v/>
      </c>
      <c r="S117" s="286" t="str">
        <f>IF('Statement of Marks'!GL120="","",'Statement of Marks'!GL120)</f>
        <v/>
      </c>
      <c r="BM117" s="287" t="str">
        <f>'Statement of Marks'!F120</f>
        <v/>
      </c>
      <c r="BN117" s="288" t="str">
        <f t="shared" si="12"/>
        <v/>
      </c>
      <c r="BO117" s="288" t="str">
        <f t="shared" si="13"/>
        <v/>
      </c>
      <c r="BP117" s="288" t="str">
        <f t="shared" si="14"/>
        <v/>
      </c>
      <c r="BQ117" s="288" t="str">
        <f t="shared" si="15"/>
        <v/>
      </c>
      <c r="BR117" s="288" t="str">
        <f t="shared" si="16"/>
        <v/>
      </c>
      <c r="BS117" s="288" t="str">
        <f t="shared" si="17"/>
        <v/>
      </c>
      <c r="BT117" s="288" t="str">
        <f t="shared" si="18"/>
        <v/>
      </c>
      <c r="BU117" s="288" t="str">
        <f t="shared" si="19"/>
        <v/>
      </c>
      <c r="BV117" s="288" t="str">
        <f t="shared" si="20"/>
        <v/>
      </c>
      <c r="BW117" s="288" t="str">
        <f t="shared" si="21"/>
        <v/>
      </c>
      <c r="BX117" s="288" t="str">
        <f t="shared" si="22"/>
        <v/>
      </c>
      <c r="BY117" s="288" t="str">
        <f t="shared" si="23"/>
        <v/>
      </c>
      <c r="BZ117" s="289"/>
    </row>
    <row r="118" spans="1:78" ht="15" customHeight="1">
      <c r="A118" s="276">
        <f>IF('Statement of Marks'!A121="","",'Statement of Marks'!A121)</f>
        <v>115</v>
      </c>
      <c r="B118" s="277" t="str">
        <f>IF('Statement of Marks'!B121="","",'Statement of Marks'!B121)</f>
        <v/>
      </c>
      <c r="C118" s="278" t="str">
        <f>IF('Statement of Marks'!D121="","",'Statement of Marks'!D121)</f>
        <v/>
      </c>
      <c r="D118" s="314" t="str">
        <f>IF('Statement of Marks'!E121="","",'Statement of Marks'!E121)</f>
        <v/>
      </c>
      <c r="E118" s="279" t="str">
        <f>IF('Statement of Marks'!F121="","",'Statement of Marks'!F121)</f>
        <v/>
      </c>
      <c r="F118" s="279" t="str">
        <f>IF('Statement of Marks'!G121="","",'Statement of Marks'!G121)</f>
        <v/>
      </c>
      <c r="G118" s="279" t="str">
        <f>IF('Statement of Marks'!H121="","",'Statement of Marks'!H121)</f>
        <v/>
      </c>
      <c r="H118" s="280" t="str">
        <f>IF('Statement of Marks'!I121="","",'Statement of Marks'!I121)</f>
        <v/>
      </c>
      <c r="I118" s="280" t="str">
        <f>IF('Statement of Marks'!J121="","",'Statement of Marks'!J121)</f>
        <v/>
      </c>
      <c r="J118" s="827" t="str">
        <f>IF('Statement of Marks'!HS121="","",'Statement of Marks'!HS121)</f>
        <v/>
      </c>
      <c r="K118" s="281" t="str">
        <f>IF('Statement of Marks'!HT121="","",'Statement of Marks'!HT121)</f>
        <v/>
      </c>
      <c r="L118" s="828" t="str">
        <f>IF('Statement of Marks'!HW121="","",'Statement of Marks'!HW121)</f>
        <v/>
      </c>
      <c r="M118" s="281" t="str">
        <f>IF('Statement of Marks'!HV121="","",'Statement of Marks'!HV121)</f>
        <v/>
      </c>
      <c r="N118" s="829" t="str">
        <f>IF('Statement of Marks'!HX121="","",'Statement of Marks'!HX121)</f>
        <v/>
      </c>
      <c r="O118" s="282" t="str">
        <f>IF(J118="FAIL","",IF('Statement of Marks'!HO121="","",'Statement of Marks'!HO121))</f>
        <v xml:space="preserve">      </v>
      </c>
      <c r="P118" s="283" t="str">
        <f>IF('Supp. Result Entry'!AQ119="","",'Supp. Result Entry'!AQ119)</f>
        <v/>
      </c>
      <c r="Q118" s="284" t="str">
        <f>IF('Supp. Result Entry'!AR119="","",'Supp. Result Entry'!AR119)</f>
        <v/>
      </c>
      <c r="R118" s="285" t="str">
        <f>IF('Statement of Marks'!IA121="","",'Statement of Marks'!IA121)</f>
        <v/>
      </c>
      <c r="S118" s="286" t="str">
        <f>IF('Statement of Marks'!GL121="","",'Statement of Marks'!GL121)</f>
        <v/>
      </c>
      <c r="BM118" s="287" t="str">
        <f>'Statement of Marks'!F121</f>
        <v/>
      </c>
      <c r="BN118" s="288" t="str">
        <f t="shared" si="12"/>
        <v/>
      </c>
      <c r="BO118" s="288" t="str">
        <f t="shared" si="13"/>
        <v/>
      </c>
      <c r="BP118" s="288" t="str">
        <f t="shared" si="14"/>
        <v/>
      </c>
      <c r="BQ118" s="288" t="str">
        <f t="shared" si="15"/>
        <v/>
      </c>
      <c r="BR118" s="288" t="str">
        <f t="shared" si="16"/>
        <v/>
      </c>
      <c r="BS118" s="288" t="str">
        <f t="shared" si="17"/>
        <v/>
      </c>
      <c r="BT118" s="288" t="str">
        <f t="shared" si="18"/>
        <v/>
      </c>
      <c r="BU118" s="288" t="str">
        <f t="shared" si="19"/>
        <v/>
      </c>
      <c r="BV118" s="288" t="str">
        <f t="shared" si="20"/>
        <v/>
      </c>
      <c r="BW118" s="288" t="str">
        <f t="shared" si="21"/>
        <v/>
      </c>
      <c r="BX118" s="288" t="str">
        <f t="shared" si="22"/>
        <v/>
      </c>
      <c r="BY118" s="288" t="str">
        <f t="shared" si="23"/>
        <v/>
      </c>
      <c r="BZ118" s="289"/>
    </row>
    <row r="119" spans="1:78" ht="15" customHeight="1">
      <c r="A119" s="276">
        <f>IF('Statement of Marks'!A122="","",'Statement of Marks'!A122)</f>
        <v>116</v>
      </c>
      <c r="B119" s="277" t="str">
        <f>IF('Statement of Marks'!B122="","",'Statement of Marks'!B122)</f>
        <v/>
      </c>
      <c r="C119" s="278" t="str">
        <f>IF('Statement of Marks'!D122="","",'Statement of Marks'!D122)</f>
        <v/>
      </c>
      <c r="D119" s="314" t="str">
        <f>IF('Statement of Marks'!E122="","",'Statement of Marks'!E122)</f>
        <v/>
      </c>
      <c r="E119" s="279" t="str">
        <f>IF('Statement of Marks'!F122="","",'Statement of Marks'!F122)</f>
        <v/>
      </c>
      <c r="F119" s="279" t="str">
        <f>IF('Statement of Marks'!G122="","",'Statement of Marks'!G122)</f>
        <v/>
      </c>
      <c r="G119" s="279" t="str">
        <f>IF('Statement of Marks'!H122="","",'Statement of Marks'!H122)</f>
        <v/>
      </c>
      <c r="H119" s="280" t="str">
        <f>IF('Statement of Marks'!I122="","",'Statement of Marks'!I122)</f>
        <v/>
      </c>
      <c r="I119" s="280" t="str">
        <f>IF('Statement of Marks'!J122="","",'Statement of Marks'!J122)</f>
        <v/>
      </c>
      <c r="J119" s="827" t="str">
        <f>IF('Statement of Marks'!HS122="","",'Statement of Marks'!HS122)</f>
        <v/>
      </c>
      <c r="K119" s="281" t="str">
        <f>IF('Statement of Marks'!HT122="","",'Statement of Marks'!HT122)</f>
        <v/>
      </c>
      <c r="L119" s="828" t="str">
        <f>IF('Statement of Marks'!HW122="","",'Statement of Marks'!HW122)</f>
        <v/>
      </c>
      <c r="M119" s="281" t="str">
        <f>IF('Statement of Marks'!HV122="","",'Statement of Marks'!HV122)</f>
        <v/>
      </c>
      <c r="N119" s="829" t="str">
        <f>IF('Statement of Marks'!HX122="","",'Statement of Marks'!HX122)</f>
        <v/>
      </c>
      <c r="O119" s="282" t="str">
        <f>IF(J119="FAIL","",IF('Statement of Marks'!HO122="","",'Statement of Marks'!HO122))</f>
        <v xml:space="preserve">      </v>
      </c>
      <c r="P119" s="283" t="str">
        <f>IF('Supp. Result Entry'!AQ120="","",'Supp. Result Entry'!AQ120)</f>
        <v/>
      </c>
      <c r="Q119" s="284" t="str">
        <f>IF('Supp. Result Entry'!AR120="","",'Supp. Result Entry'!AR120)</f>
        <v/>
      </c>
      <c r="R119" s="285" t="str">
        <f>IF('Statement of Marks'!IA122="","",'Statement of Marks'!IA122)</f>
        <v/>
      </c>
      <c r="S119" s="286" t="str">
        <f>IF('Statement of Marks'!GL122="","",'Statement of Marks'!GL122)</f>
        <v/>
      </c>
      <c r="BM119" s="287" t="str">
        <f>'Statement of Marks'!F122</f>
        <v/>
      </c>
      <c r="BN119" s="288" t="str">
        <f t="shared" si="12"/>
        <v/>
      </c>
      <c r="BO119" s="288" t="str">
        <f t="shared" si="13"/>
        <v/>
      </c>
      <c r="BP119" s="288" t="str">
        <f t="shared" si="14"/>
        <v/>
      </c>
      <c r="BQ119" s="288" t="str">
        <f t="shared" si="15"/>
        <v/>
      </c>
      <c r="BR119" s="288" t="str">
        <f t="shared" si="16"/>
        <v/>
      </c>
      <c r="BS119" s="288" t="str">
        <f t="shared" si="17"/>
        <v/>
      </c>
      <c r="BT119" s="288" t="str">
        <f t="shared" si="18"/>
        <v/>
      </c>
      <c r="BU119" s="288" t="str">
        <f t="shared" si="19"/>
        <v/>
      </c>
      <c r="BV119" s="288" t="str">
        <f t="shared" si="20"/>
        <v/>
      </c>
      <c r="BW119" s="288" t="str">
        <f t="shared" si="21"/>
        <v/>
      </c>
      <c r="BX119" s="288" t="str">
        <f t="shared" si="22"/>
        <v/>
      </c>
      <c r="BY119" s="288" t="str">
        <f t="shared" si="23"/>
        <v/>
      </c>
      <c r="BZ119" s="289"/>
    </row>
    <row r="120" spans="1:78" ht="15" customHeight="1">
      <c r="A120" s="276">
        <f>IF('Statement of Marks'!A123="","",'Statement of Marks'!A123)</f>
        <v>117</v>
      </c>
      <c r="B120" s="277" t="str">
        <f>IF('Statement of Marks'!B123="","",'Statement of Marks'!B123)</f>
        <v/>
      </c>
      <c r="C120" s="278" t="str">
        <f>IF('Statement of Marks'!D123="","",'Statement of Marks'!D123)</f>
        <v/>
      </c>
      <c r="D120" s="314" t="str">
        <f>IF('Statement of Marks'!E123="","",'Statement of Marks'!E123)</f>
        <v/>
      </c>
      <c r="E120" s="279" t="str">
        <f>IF('Statement of Marks'!F123="","",'Statement of Marks'!F123)</f>
        <v/>
      </c>
      <c r="F120" s="279" t="str">
        <f>IF('Statement of Marks'!G123="","",'Statement of Marks'!G123)</f>
        <v/>
      </c>
      <c r="G120" s="279" t="str">
        <f>IF('Statement of Marks'!H123="","",'Statement of Marks'!H123)</f>
        <v/>
      </c>
      <c r="H120" s="280" t="str">
        <f>IF('Statement of Marks'!I123="","",'Statement of Marks'!I123)</f>
        <v/>
      </c>
      <c r="I120" s="280" t="str">
        <f>IF('Statement of Marks'!J123="","",'Statement of Marks'!J123)</f>
        <v/>
      </c>
      <c r="J120" s="827" t="str">
        <f>IF('Statement of Marks'!HS123="","",'Statement of Marks'!HS123)</f>
        <v/>
      </c>
      <c r="K120" s="281" t="str">
        <f>IF('Statement of Marks'!HT123="","",'Statement of Marks'!HT123)</f>
        <v/>
      </c>
      <c r="L120" s="828" t="str">
        <f>IF('Statement of Marks'!HW123="","",'Statement of Marks'!HW123)</f>
        <v/>
      </c>
      <c r="M120" s="281" t="str">
        <f>IF('Statement of Marks'!HV123="","",'Statement of Marks'!HV123)</f>
        <v/>
      </c>
      <c r="N120" s="829" t="str">
        <f>IF('Statement of Marks'!HX123="","",'Statement of Marks'!HX123)</f>
        <v/>
      </c>
      <c r="O120" s="282" t="str">
        <f>IF(J120="FAIL","",IF('Statement of Marks'!HO123="","",'Statement of Marks'!HO123))</f>
        <v xml:space="preserve">      </v>
      </c>
      <c r="P120" s="283" t="str">
        <f>IF('Supp. Result Entry'!AQ121="","",'Supp. Result Entry'!AQ121)</f>
        <v/>
      </c>
      <c r="Q120" s="284" t="str">
        <f>IF('Supp. Result Entry'!AR121="","",'Supp. Result Entry'!AR121)</f>
        <v/>
      </c>
      <c r="R120" s="285" t="str">
        <f>IF('Statement of Marks'!IA123="","",'Statement of Marks'!IA123)</f>
        <v/>
      </c>
      <c r="S120" s="286" t="str">
        <f>IF('Statement of Marks'!GL123="","",'Statement of Marks'!GL123)</f>
        <v/>
      </c>
      <c r="BM120" s="287" t="str">
        <f>'Statement of Marks'!F123</f>
        <v/>
      </c>
      <c r="BN120" s="288" t="str">
        <f t="shared" si="12"/>
        <v/>
      </c>
      <c r="BO120" s="288" t="str">
        <f t="shared" si="13"/>
        <v/>
      </c>
      <c r="BP120" s="288" t="str">
        <f t="shared" si="14"/>
        <v/>
      </c>
      <c r="BQ120" s="288" t="str">
        <f t="shared" si="15"/>
        <v/>
      </c>
      <c r="BR120" s="288" t="str">
        <f t="shared" si="16"/>
        <v/>
      </c>
      <c r="BS120" s="288" t="str">
        <f t="shared" si="17"/>
        <v/>
      </c>
      <c r="BT120" s="288" t="str">
        <f t="shared" si="18"/>
        <v/>
      </c>
      <c r="BU120" s="288" t="str">
        <f t="shared" si="19"/>
        <v/>
      </c>
      <c r="BV120" s="288" t="str">
        <f t="shared" si="20"/>
        <v/>
      </c>
      <c r="BW120" s="288" t="str">
        <f t="shared" si="21"/>
        <v/>
      </c>
      <c r="BX120" s="288" t="str">
        <f t="shared" si="22"/>
        <v/>
      </c>
      <c r="BY120" s="288" t="str">
        <f t="shared" si="23"/>
        <v/>
      </c>
      <c r="BZ120" s="289"/>
    </row>
    <row r="121" spans="1:78" ht="15" customHeight="1">
      <c r="A121" s="276">
        <f>IF('Statement of Marks'!A124="","",'Statement of Marks'!A124)</f>
        <v>118</v>
      </c>
      <c r="B121" s="277" t="str">
        <f>IF('Statement of Marks'!B124="","",'Statement of Marks'!B124)</f>
        <v/>
      </c>
      <c r="C121" s="278" t="str">
        <f>IF('Statement of Marks'!D124="","",'Statement of Marks'!D124)</f>
        <v/>
      </c>
      <c r="D121" s="314" t="str">
        <f>IF('Statement of Marks'!E124="","",'Statement of Marks'!E124)</f>
        <v/>
      </c>
      <c r="E121" s="279" t="str">
        <f>IF('Statement of Marks'!F124="","",'Statement of Marks'!F124)</f>
        <v/>
      </c>
      <c r="F121" s="279" t="str">
        <f>IF('Statement of Marks'!G124="","",'Statement of Marks'!G124)</f>
        <v/>
      </c>
      <c r="G121" s="279" t="str">
        <f>IF('Statement of Marks'!H124="","",'Statement of Marks'!H124)</f>
        <v/>
      </c>
      <c r="H121" s="280" t="str">
        <f>IF('Statement of Marks'!I124="","",'Statement of Marks'!I124)</f>
        <v/>
      </c>
      <c r="I121" s="280" t="str">
        <f>IF('Statement of Marks'!J124="","",'Statement of Marks'!J124)</f>
        <v/>
      </c>
      <c r="J121" s="827" t="str">
        <f>IF('Statement of Marks'!HS124="","",'Statement of Marks'!HS124)</f>
        <v/>
      </c>
      <c r="K121" s="281" t="str">
        <f>IF('Statement of Marks'!HT124="","",'Statement of Marks'!HT124)</f>
        <v/>
      </c>
      <c r="L121" s="828" t="str">
        <f>IF('Statement of Marks'!HW124="","",'Statement of Marks'!HW124)</f>
        <v/>
      </c>
      <c r="M121" s="281" t="str">
        <f>IF('Statement of Marks'!HV124="","",'Statement of Marks'!HV124)</f>
        <v/>
      </c>
      <c r="N121" s="829" t="str">
        <f>IF('Statement of Marks'!HX124="","",'Statement of Marks'!HX124)</f>
        <v/>
      </c>
      <c r="O121" s="282" t="str">
        <f>IF(J121="FAIL","",IF('Statement of Marks'!HO124="","",'Statement of Marks'!HO124))</f>
        <v xml:space="preserve">      </v>
      </c>
      <c r="P121" s="283" t="str">
        <f>IF('Supp. Result Entry'!AQ122="","",'Supp. Result Entry'!AQ122)</f>
        <v/>
      </c>
      <c r="Q121" s="284" t="str">
        <f>IF('Supp. Result Entry'!AR122="","",'Supp. Result Entry'!AR122)</f>
        <v/>
      </c>
      <c r="R121" s="285" t="str">
        <f>IF('Statement of Marks'!IA124="","",'Statement of Marks'!IA124)</f>
        <v/>
      </c>
      <c r="S121" s="286" t="str">
        <f>IF('Statement of Marks'!GL124="","",'Statement of Marks'!GL124)</f>
        <v/>
      </c>
      <c r="BM121" s="287" t="str">
        <f>'Statement of Marks'!F124</f>
        <v/>
      </c>
      <c r="BN121" s="288" t="str">
        <f t="shared" si="12"/>
        <v/>
      </c>
      <c r="BO121" s="288" t="str">
        <f t="shared" si="13"/>
        <v/>
      </c>
      <c r="BP121" s="288" t="str">
        <f t="shared" si="14"/>
        <v/>
      </c>
      <c r="BQ121" s="288" t="str">
        <f t="shared" si="15"/>
        <v/>
      </c>
      <c r="BR121" s="288" t="str">
        <f t="shared" si="16"/>
        <v/>
      </c>
      <c r="BS121" s="288" t="str">
        <f t="shared" si="17"/>
        <v/>
      </c>
      <c r="BT121" s="288" t="str">
        <f t="shared" si="18"/>
        <v/>
      </c>
      <c r="BU121" s="288" t="str">
        <f t="shared" si="19"/>
        <v/>
      </c>
      <c r="BV121" s="288" t="str">
        <f t="shared" si="20"/>
        <v/>
      </c>
      <c r="BW121" s="288" t="str">
        <f t="shared" si="21"/>
        <v/>
      </c>
      <c r="BX121" s="288" t="str">
        <f t="shared" si="22"/>
        <v/>
      </c>
      <c r="BY121" s="288" t="str">
        <f t="shared" si="23"/>
        <v/>
      </c>
      <c r="BZ121" s="289"/>
    </row>
    <row r="122" spans="1:78" ht="15" customHeight="1">
      <c r="A122" s="276">
        <f>IF('Statement of Marks'!A125="","",'Statement of Marks'!A125)</f>
        <v>119</v>
      </c>
      <c r="B122" s="277" t="str">
        <f>IF('Statement of Marks'!B125="","",'Statement of Marks'!B125)</f>
        <v/>
      </c>
      <c r="C122" s="278" t="str">
        <f>IF('Statement of Marks'!D125="","",'Statement of Marks'!D125)</f>
        <v/>
      </c>
      <c r="D122" s="314" t="str">
        <f>IF('Statement of Marks'!E125="","",'Statement of Marks'!E125)</f>
        <v/>
      </c>
      <c r="E122" s="279" t="str">
        <f>IF('Statement of Marks'!F125="","",'Statement of Marks'!F125)</f>
        <v/>
      </c>
      <c r="F122" s="279" t="str">
        <f>IF('Statement of Marks'!G125="","",'Statement of Marks'!G125)</f>
        <v/>
      </c>
      <c r="G122" s="279" t="str">
        <f>IF('Statement of Marks'!H125="","",'Statement of Marks'!H125)</f>
        <v/>
      </c>
      <c r="H122" s="280" t="str">
        <f>IF('Statement of Marks'!I125="","",'Statement of Marks'!I125)</f>
        <v/>
      </c>
      <c r="I122" s="280" t="str">
        <f>IF('Statement of Marks'!J125="","",'Statement of Marks'!J125)</f>
        <v/>
      </c>
      <c r="J122" s="827" t="str">
        <f>IF('Statement of Marks'!HS125="","",'Statement of Marks'!HS125)</f>
        <v/>
      </c>
      <c r="K122" s="281" t="str">
        <f>IF('Statement of Marks'!HT125="","",'Statement of Marks'!HT125)</f>
        <v/>
      </c>
      <c r="L122" s="828" t="str">
        <f>IF('Statement of Marks'!HW125="","",'Statement of Marks'!HW125)</f>
        <v/>
      </c>
      <c r="M122" s="281" t="str">
        <f>IF('Statement of Marks'!HV125="","",'Statement of Marks'!HV125)</f>
        <v/>
      </c>
      <c r="N122" s="829" t="str">
        <f>IF('Statement of Marks'!HX125="","",'Statement of Marks'!HX125)</f>
        <v/>
      </c>
      <c r="O122" s="282" t="str">
        <f>IF(J122="FAIL","",IF('Statement of Marks'!HO125="","",'Statement of Marks'!HO125))</f>
        <v xml:space="preserve">      </v>
      </c>
      <c r="P122" s="283" t="str">
        <f>IF('Supp. Result Entry'!AQ123="","",'Supp. Result Entry'!AQ123)</f>
        <v/>
      </c>
      <c r="Q122" s="284" t="str">
        <f>IF('Supp. Result Entry'!AR123="","",'Supp. Result Entry'!AR123)</f>
        <v/>
      </c>
      <c r="R122" s="285" t="str">
        <f>IF('Statement of Marks'!IA125="","",'Statement of Marks'!IA125)</f>
        <v/>
      </c>
      <c r="S122" s="286" t="str">
        <f>IF('Statement of Marks'!GL125="","",'Statement of Marks'!GL125)</f>
        <v/>
      </c>
      <c r="BM122" s="287" t="str">
        <f>'Statement of Marks'!F125</f>
        <v/>
      </c>
      <c r="BN122" s="288" t="str">
        <f t="shared" si="12"/>
        <v/>
      </c>
      <c r="BO122" s="288" t="str">
        <f t="shared" si="13"/>
        <v/>
      </c>
      <c r="BP122" s="288" t="str">
        <f t="shared" si="14"/>
        <v/>
      </c>
      <c r="BQ122" s="288" t="str">
        <f t="shared" si="15"/>
        <v/>
      </c>
      <c r="BR122" s="288" t="str">
        <f t="shared" si="16"/>
        <v/>
      </c>
      <c r="BS122" s="288" t="str">
        <f t="shared" si="17"/>
        <v/>
      </c>
      <c r="BT122" s="288" t="str">
        <f t="shared" si="18"/>
        <v/>
      </c>
      <c r="BU122" s="288" t="str">
        <f t="shared" si="19"/>
        <v/>
      </c>
      <c r="BV122" s="288" t="str">
        <f t="shared" si="20"/>
        <v/>
      </c>
      <c r="BW122" s="288" t="str">
        <f t="shared" si="21"/>
        <v/>
      </c>
      <c r="BX122" s="288" t="str">
        <f t="shared" si="22"/>
        <v/>
      </c>
      <c r="BY122" s="288" t="str">
        <f t="shared" si="23"/>
        <v/>
      </c>
      <c r="BZ122" s="289"/>
    </row>
    <row r="123" spans="1:78" ht="15" customHeight="1">
      <c r="A123" s="276">
        <f>IF('Statement of Marks'!A126="","",'Statement of Marks'!A126)</f>
        <v>120</v>
      </c>
      <c r="B123" s="277" t="str">
        <f>IF('Statement of Marks'!B126="","",'Statement of Marks'!B126)</f>
        <v/>
      </c>
      <c r="C123" s="278" t="str">
        <f>IF('Statement of Marks'!D126="","",'Statement of Marks'!D126)</f>
        <v/>
      </c>
      <c r="D123" s="314" t="str">
        <f>IF('Statement of Marks'!E126="","",'Statement of Marks'!E126)</f>
        <v/>
      </c>
      <c r="E123" s="279" t="str">
        <f>IF('Statement of Marks'!F126="","",'Statement of Marks'!F126)</f>
        <v/>
      </c>
      <c r="F123" s="279" t="str">
        <f>IF('Statement of Marks'!G126="","",'Statement of Marks'!G126)</f>
        <v/>
      </c>
      <c r="G123" s="279" t="str">
        <f>IF('Statement of Marks'!H126="","",'Statement of Marks'!H126)</f>
        <v/>
      </c>
      <c r="H123" s="280" t="str">
        <f>IF('Statement of Marks'!I126="","",'Statement of Marks'!I126)</f>
        <v/>
      </c>
      <c r="I123" s="280" t="str">
        <f>IF('Statement of Marks'!J126="","",'Statement of Marks'!J126)</f>
        <v/>
      </c>
      <c r="J123" s="827" t="str">
        <f>IF('Statement of Marks'!HS126="","",'Statement of Marks'!HS126)</f>
        <v/>
      </c>
      <c r="K123" s="281" t="str">
        <f>IF('Statement of Marks'!HT126="","",'Statement of Marks'!HT126)</f>
        <v/>
      </c>
      <c r="L123" s="828" t="str">
        <f>IF('Statement of Marks'!HW126="","",'Statement of Marks'!HW126)</f>
        <v/>
      </c>
      <c r="M123" s="281" t="str">
        <f>IF('Statement of Marks'!HV126="","",'Statement of Marks'!HV126)</f>
        <v/>
      </c>
      <c r="N123" s="829" t="str">
        <f>IF('Statement of Marks'!HX126="","",'Statement of Marks'!HX126)</f>
        <v/>
      </c>
      <c r="O123" s="282" t="str">
        <f>IF(J123="FAIL","",IF('Statement of Marks'!HO126="","",'Statement of Marks'!HO126))</f>
        <v xml:space="preserve">      </v>
      </c>
      <c r="P123" s="283" t="str">
        <f>IF('Supp. Result Entry'!AQ124="","",'Supp. Result Entry'!AQ124)</f>
        <v/>
      </c>
      <c r="Q123" s="284" t="str">
        <f>IF('Supp. Result Entry'!AR124="","",'Supp. Result Entry'!AR124)</f>
        <v/>
      </c>
      <c r="R123" s="285" t="str">
        <f>IF('Statement of Marks'!IA126="","",'Statement of Marks'!IA126)</f>
        <v/>
      </c>
      <c r="S123" s="286" t="str">
        <f>IF('Statement of Marks'!GL126="","",'Statement of Marks'!GL126)</f>
        <v/>
      </c>
      <c r="BM123" s="287" t="str">
        <f>'Statement of Marks'!F126</f>
        <v/>
      </c>
      <c r="BN123" s="288" t="str">
        <f t="shared" si="12"/>
        <v/>
      </c>
      <c r="BO123" s="288" t="str">
        <f t="shared" si="13"/>
        <v/>
      </c>
      <c r="BP123" s="288" t="str">
        <f t="shared" si="14"/>
        <v/>
      </c>
      <c r="BQ123" s="288" t="str">
        <f t="shared" si="15"/>
        <v/>
      </c>
      <c r="BR123" s="288" t="str">
        <f t="shared" si="16"/>
        <v/>
      </c>
      <c r="BS123" s="288" t="str">
        <f t="shared" si="17"/>
        <v/>
      </c>
      <c r="BT123" s="288" t="str">
        <f t="shared" si="18"/>
        <v/>
      </c>
      <c r="BU123" s="288" t="str">
        <f t="shared" si="19"/>
        <v/>
      </c>
      <c r="BV123" s="288" t="str">
        <f t="shared" si="20"/>
        <v/>
      </c>
      <c r="BW123" s="288" t="str">
        <f t="shared" si="21"/>
        <v/>
      </c>
      <c r="BX123" s="288" t="str">
        <f t="shared" si="22"/>
        <v/>
      </c>
      <c r="BY123" s="288" t="str">
        <f t="shared" si="23"/>
        <v/>
      </c>
      <c r="BZ123" s="289"/>
    </row>
    <row r="124" spans="1:78" ht="15" customHeight="1">
      <c r="A124" s="276">
        <f>IF('Statement of Marks'!A127="","",'Statement of Marks'!A127)</f>
        <v>121</v>
      </c>
      <c r="B124" s="277" t="str">
        <f>IF('Statement of Marks'!B127="","",'Statement of Marks'!B127)</f>
        <v/>
      </c>
      <c r="C124" s="278" t="str">
        <f>IF('Statement of Marks'!D127="","",'Statement of Marks'!D127)</f>
        <v/>
      </c>
      <c r="D124" s="314" t="str">
        <f>IF('Statement of Marks'!E127="","",'Statement of Marks'!E127)</f>
        <v/>
      </c>
      <c r="E124" s="279" t="str">
        <f>IF('Statement of Marks'!F127="","",'Statement of Marks'!F127)</f>
        <v/>
      </c>
      <c r="F124" s="279" t="str">
        <f>IF('Statement of Marks'!G127="","",'Statement of Marks'!G127)</f>
        <v/>
      </c>
      <c r="G124" s="279" t="str">
        <f>IF('Statement of Marks'!H127="","",'Statement of Marks'!H127)</f>
        <v/>
      </c>
      <c r="H124" s="280" t="str">
        <f>IF('Statement of Marks'!I127="","",'Statement of Marks'!I127)</f>
        <v/>
      </c>
      <c r="I124" s="280" t="str">
        <f>IF('Statement of Marks'!J127="","",'Statement of Marks'!J127)</f>
        <v/>
      </c>
      <c r="J124" s="827" t="str">
        <f>IF('Statement of Marks'!HS127="","",'Statement of Marks'!HS127)</f>
        <v/>
      </c>
      <c r="K124" s="281" t="str">
        <f>IF('Statement of Marks'!HT127="","",'Statement of Marks'!HT127)</f>
        <v/>
      </c>
      <c r="L124" s="828" t="str">
        <f>IF('Statement of Marks'!HW127="","",'Statement of Marks'!HW127)</f>
        <v/>
      </c>
      <c r="M124" s="281" t="str">
        <f>IF('Statement of Marks'!HV127="","",'Statement of Marks'!HV127)</f>
        <v/>
      </c>
      <c r="N124" s="829" t="str">
        <f>IF('Statement of Marks'!HX127="","",'Statement of Marks'!HX127)</f>
        <v/>
      </c>
      <c r="O124" s="282" t="str">
        <f>IF(J124="FAIL","",IF('Statement of Marks'!HO127="","",'Statement of Marks'!HO127))</f>
        <v xml:space="preserve">      </v>
      </c>
      <c r="P124" s="283" t="str">
        <f>IF('Supp. Result Entry'!AQ125="","",'Supp. Result Entry'!AQ125)</f>
        <v/>
      </c>
      <c r="Q124" s="284" t="str">
        <f>IF('Supp. Result Entry'!AR125="","",'Supp. Result Entry'!AR125)</f>
        <v/>
      </c>
      <c r="R124" s="285" t="str">
        <f>IF('Statement of Marks'!IA127="","",'Statement of Marks'!IA127)</f>
        <v/>
      </c>
      <c r="S124" s="286" t="str">
        <f>IF('Statement of Marks'!GL127="","",'Statement of Marks'!GL127)</f>
        <v/>
      </c>
      <c r="BM124" s="287" t="str">
        <f>'Statement of Marks'!F127</f>
        <v/>
      </c>
      <c r="BN124" s="288" t="str">
        <f t="shared" si="12"/>
        <v/>
      </c>
      <c r="BO124" s="288" t="str">
        <f t="shared" si="13"/>
        <v/>
      </c>
      <c r="BP124" s="288" t="str">
        <f t="shared" si="14"/>
        <v/>
      </c>
      <c r="BQ124" s="288" t="str">
        <f t="shared" si="15"/>
        <v/>
      </c>
      <c r="BR124" s="288" t="str">
        <f t="shared" si="16"/>
        <v/>
      </c>
      <c r="BS124" s="288" t="str">
        <f t="shared" si="17"/>
        <v/>
      </c>
      <c r="BT124" s="288" t="str">
        <f t="shared" si="18"/>
        <v/>
      </c>
      <c r="BU124" s="288" t="str">
        <f t="shared" si="19"/>
        <v/>
      </c>
      <c r="BV124" s="288" t="str">
        <f t="shared" si="20"/>
        <v/>
      </c>
      <c r="BW124" s="288" t="str">
        <f t="shared" si="21"/>
        <v/>
      </c>
      <c r="BX124" s="288" t="str">
        <f t="shared" si="22"/>
        <v/>
      </c>
      <c r="BY124" s="288" t="str">
        <f t="shared" si="23"/>
        <v/>
      </c>
      <c r="BZ124" s="289"/>
    </row>
    <row r="125" spans="1:78" ht="15" customHeight="1">
      <c r="A125" s="276">
        <f>IF('Statement of Marks'!A128="","",'Statement of Marks'!A128)</f>
        <v>122</v>
      </c>
      <c r="B125" s="277" t="str">
        <f>IF('Statement of Marks'!B128="","",'Statement of Marks'!B128)</f>
        <v/>
      </c>
      <c r="C125" s="278" t="str">
        <f>IF('Statement of Marks'!D128="","",'Statement of Marks'!D128)</f>
        <v/>
      </c>
      <c r="D125" s="314" t="str">
        <f>IF('Statement of Marks'!E128="","",'Statement of Marks'!E128)</f>
        <v/>
      </c>
      <c r="E125" s="279" t="str">
        <f>IF('Statement of Marks'!F128="","",'Statement of Marks'!F128)</f>
        <v/>
      </c>
      <c r="F125" s="279" t="str">
        <f>IF('Statement of Marks'!G128="","",'Statement of Marks'!G128)</f>
        <v/>
      </c>
      <c r="G125" s="279" t="str">
        <f>IF('Statement of Marks'!H128="","",'Statement of Marks'!H128)</f>
        <v/>
      </c>
      <c r="H125" s="280" t="str">
        <f>IF('Statement of Marks'!I128="","",'Statement of Marks'!I128)</f>
        <v/>
      </c>
      <c r="I125" s="280" t="str">
        <f>IF('Statement of Marks'!J128="","",'Statement of Marks'!J128)</f>
        <v/>
      </c>
      <c r="J125" s="827" t="str">
        <f>IF('Statement of Marks'!HS128="","",'Statement of Marks'!HS128)</f>
        <v/>
      </c>
      <c r="K125" s="281" t="str">
        <f>IF('Statement of Marks'!HT128="","",'Statement of Marks'!HT128)</f>
        <v/>
      </c>
      <c r="L125" s="828" t="str">
        <f>IF('Statement of Marks'!HW128="","",'Statement of Marks'!HW128)</f>
        <v/>
      </c>
      <c r="M125" s="281" t="str">
        <f>IF('Statement of Marks'!HV128="","",'Statement of Marks'!HV128)</f>
        <v/>
      </c>
      <c r="N125" s="829" t="str">
        <f>IF('Statement of Marks'!HX128="","",'Statement of Marks'!HX128)</f>
        <v/>
      </c>
      <c r="O125" s="282" t="str">
        <f>IF(J125="FAIL","",IF('Statement of Marks'!HO128="","",'Statement of Marks'!HO128))</f>
        <v xml:space="preserve">      </v>
      </c>
      <c r="P125" s="283" t="str">
        <f>IF('Supp. Result Entry'!AQ126="","",'Supp. Result Entry'!AQ126)</f>
        <v/>
      </c>
      <c r="Q125" s="284" t="str">
        <f>IF('Supp. Result Entry'!AR126="","",'Supp. Result Entry'!AR126)</f>
        <v/>
      </c>
      <c r="R125" s="285" t="str">
        <f>IF('Statement of Marks'!IA128="","",'Statement of Marks'!IA128)</f>
        <v/>
      </c>
      <c r="S125" s="286" t="str">
        <f>IF('Statement of Marks'!GL128="","",'Statement of Marks'!GL128)</f>
        <v/>
      </c>
      <c r="BM125" s="287" t="str">
        <f>'Statement of Marks'!F128</f>
        <v/>
      </c>
      <c r="BN125" s="288" t="str">
        <f t="shared" si="12"/>
        <v/>
      </c>
      <c r="BO125" s="288" t="str">
        <f t="shared" si="13"/>
        <v/>
      </c>
      <c r="BP125" s="288" t="str">
        <f t="shared" si="14"/>
        <v/>
      </c>
      <c r="BQ125" s="288" t="str">
        <f t="shared" si="15"/>
        <v/>
      </c>
      <c r="BR125" s="288" t="str">
        <f t="shared" si="16"/>
        <v/>
      </c>
      <c r="BS125" s="288" t="str">
        <f t="shared" si="17"/>
        <v/>
      </c>
      <c r="BT125" s="288" t="str">
        <f t="shared" si="18"/>
        <v/>
      </c>
      <c r="BU125" s="288" t="str">
        <f t="shared" si="19"/>
        <v/>
      </c>
      <c r="BV125" s="288" t="str">
        <f t="shared" si="20"/>
        <v/>
      </c>
      <c r="BW125" s="288" t="str">
        <f t="shared" si="21"/>
        <v/>
      </c>
      <c r="BX125" s="288" t="str">
        <f t="shared" si="22"/>
        <v/>
      </c>
      <c r="BY125" s="288" t="str">
        <f t="shared" si="23"/>
        <v/>
      </c>
      <c r="BZ125" s="289"/>
    </row>
    <row r="126" spans="1:78" ht="15" customHeight="1">
      <c r="A126" s="276">
        <f>IF('Statement of Marks'!A129="","",'Statement of Marks'!A129)</f>
        <v>123</v>
      </c>
      <c r="B126" s="277" t="str">
        <f>IF('Statement of Marks'!B129="","",'Statement of Marks'!B129)</f>
        <v/>
      </c>
      <c r="C126" s="278" t="str">
        <f>IF('Statement of Marks'!D129="","",'Statement of Marks'!D129)</f>
        <v/>
      </c>
      <c r="D126" s="314" t="str">
        <f>IF('Statement of Marks'!E129="","",'Statement of Marks'!E129)</f>
        <v/>
      </c>
      <c r="E126" s="279" t="str">
        <f>IF('Statement of Marks'!F129="","",'Statement of Marks'!F129)</f>
        <v/>
      </c>
      <c r="F126" s="279" t="str">
        <f>IF('Statement of Marks'!G129="","",'Statement of Marks'!G129)</f>
        <v/>
      </c>
      <c r="G126" s="279" t="str">
        <f>IF('Statement of Marks'!H129="","",'Statement of Marks'!H129)</f>
        <v/>
      </c>
      <c r="H126" s="280" t="str">
        <f>IF('Statement of Marks'!I129="","",'Statement of Marks'!I129)</f>
        <v/>
      </c>
      <c r="I126" s="280" t="str">
        <f>IF('Statement of Marks'!J129="","",'Statement of Marks'!J129)</f>
        <v/>
      </c>
      <c r="J126" s="827" t="str">
        <f>IF('Statement of Marks'!HS129="","",'Statement of Marks'!HS129)</f>
        <v/>
      </c>
      <c r="K126" s="281" t="str">
        <f>IF('Statement of Marks'!HT129="","",'Statement of Marks'!HT129)</f>
        <v/>
      </c>
      <c r="L126" s="828" t="str">
        <f>IF('Statement of Marks'!HW129="","",'Statement of Marks'!HW129)</f>
        <v/>
      </c>
      <c r="M126" s="281" t="str">
        <f>IF('Statement of Marks'!HV129="","",'Statement of Marks'!HV129)</f>
        <v/>
      </c>
      <c r="N126" s="829" t="str">
        <f>IF('Statement of Marks'!HX129="","",'Statement of Marks'!HX129)</f>
        <v/>
      </c>
      <c r="O126" s="282" t="str">
        <f>IF(J126="FAIL","",IF('Statement of Marks'!HO129="","",'Statement of Marks'!HO129))</f>
        <v xml:space="preserve">      </v>
      </c>
      <c r="P126" s="283" t="str">
        <f>IF('Supp. Result Entry'!AQ127="","",'Supp. Result Entry'!AQ127)</f>
        <v/>
      </c>
      <c r="Q126" s="284" t="str">
        <f>IF('Supp. Result Entry'!AR127="","",'Supp. Result Entry'!AR127)</f>
        <v/>
      </c>
      <c r="R126" s="285" t="str">
        <f>IF('Statement of Marks'!IA129="","",'Statement of Marks'!IA129)</f>
        <v/>
      </c>
      <c r="S126" s="286" t="str">
        <f>IF('Statement of Marks'!GL129="","",'Statement of Marks'!GL129)</f>
        <v/>
      </c>
      <c r="BM126" s="287" t="str">
        <f>'Statement of Marks'!F129</f>
        <v/>
      </c>
      <c r="BN126" s="288" t="str">
        <f t="shared" si="12"/>
        <v/>
      </c>
      <c r="BO126" s="288" t="str">
        <f t="shared" si="13"/>
        <v/>
      </c>
      <c r="BP126" s="288" t="str">
        <f t="shared" si="14"/>
        <v/>
      </c>
      <c r="BQ126" s="288" t="str">
        <f t="shared" si="15"/>
        <v/>
      </c>
      <c r="BR126" s="288" t="str">
        <f t="shared" si="16"/>
        <v/>
      </c>
      <c r="BS126" s="288" t="str">
        <f t="shared" si="17"/>
        <v/>
      </c>
      <c r="BT126" s="288" t="str">
        <f t="shared" si="18"/>
        <v/>
      </c>
      <c r="BU126" s="288" t="str">
        <f t="shared" si="19"/>
        <v/>
      </c>
      <c r="BV126" s="288" t="str">
        <f t="shared" si="20"/>
        <v/>
      </c>
      <c r="BW126" s="288" t="str">
        <f t="shared" si="21"/>
        <v/>
      </c>
      <c r="BX126" s="288" t="str">
        <f t="shared" si="22"/>
        <v/>
      </c>
      <c r="BY126" s="288" t="str">
        <f t="shared" si="23"/>
        <v/>
      </c>
      <c r="BZ126" s="289"/>
    </row>
    <row r="127" spans="1:78" ht="15" customHeight="1">
      <c r="A127" s="276">
        <f>IF('Statement of Marks'!A130="","",'Statement of Marks'!A130)</f>
        <v>124</v>
      </c>
      <c r="B127" s="277" t="str">
        <f>IF('Statement of Marks'!B130="","",'Statement of Marks'!B130)</f>
        <v/>
      </c>
      <c r="C127" s="278" t="str">
        <f>IF('Statement of Marks'!D130="","",'Statement of Marks'!D130)</f>
        <v/>
      </c>
      <c r="D127" s="314" t="str">
        <f>IF('Statement of Marks'!E130="","",'Statement of Marks'!E130)</f>
        <v/>
      </c>
      <c r="E127" s="279" t="str">
        <f>IF('Statement of Marks'!F130="","",'Statement of Marks'!F130)</f>
        <v/>
      </c>
      <c r="F127" s="279" t="str">
        <f>IF('Statement of Marks'!G130="","",'Statement of Marks'!G130)</f>
        <v/>
      </c>
      <c r="G127" s="279" t="str">
        <f>IF('Statement of Marks'!H130="","",'Statement of Marks'!H130)</f>
        <v/>
      </c>
      <c r="H127" s="280" t="str">
        <f>IF('Statement of Marks'!I130="","",'Statement of Marks'!I130)</f>
        <v/>
      </c>
      <c r="I127" s="280" t="str">
        <f>IF('Statement of Marks'!J130="","",'Statement of Marks'!J130)</f>
        <v/>
      </c>
      <c r="J127" s="827" t="str">
        <f>IF('Statement of Marks'!HS130="","",'Statement of Marks'!HS130)</f>
        <v/>
      </c>
      <c r="K127" s="281" t="str">
        <f>IF('Statement of Marks'!HT130="","",'Statement of Marks'!HT130)</f>
        <v/>
      </c>
      <c r="L127" s="828" t="str">
        <f>IF('Statement of Marks'!HW130="","",'Statement of Marks'!HW130)</f>
        <v/>
      </c>
      <c r="M127" s="281" t="str">
        <f>IF('Statement of Marks'!HV130="","",'Statement of Marks'!HV130)</f>
        <v/>
      </c>
      <c r="N127" s="829" t="str">
        <f>IF('Statement of Marks'!HX130="","",'Statement of Marks'!HX130)</f>
        <v/>
      </c>
      <c r="O127" s="282" t="str">
        <f>IF(J127="FAIL","",IF('Statement of Marks'!HO130="","",'Statement of Marks'!HO130))</f>
        <v xml:space="preserve">      </v>
      </c>
      <c r="P127" s="283" t="str">
        <f>IF('Supp. Result Entry'!AQ128="","",'Supp. Result Entry'!AQ128)</f>
        <v/>
      </c>
      <c r="Q127" s="284" t="str">
        <f>IF('Supp. Result Entry'!AR128="","",'Supp. Result Entry'!AR128)</f>
        <v/>
      </c>
      <c r="R127" s="285" t="str">
        <f>IF('Statement of Marks'!IA130="","",'Statement of Marks'!IA130)</f>
        <v/>
      </c>
      <c r="S127" s="286" t="str">
        <f>IF('Statement of Marks'!GL130="","",'Statement of Marks'!GL130)</f>
        <v/>
      </c>
      <c r="BM127" s="287" t="str">
        <f>'Statement of Marks'!F130</f>
        <v/>
      </c>
      <c r="BN127" s="288" t="str">
        <f t="shared" si="12"/>
        <v/>
      </c>
      <c r="BO127" s="288" t="str">
        <f t="shared" si="13"/>
        <v/>
      </c>
      <c r="BP127" s="288" t="str">
        <f t="shared" si="14"/>
        <v/>
      </c>
      <c r="BQ127" s="288" t="str">
        <f t="shared" si="15"/>
        <v/>
      </c>
      <c r="BR127" s="288" t="str">
        <f t="shared" si="16"/>
        <v/>
      </c>
      <c r="BS127" s="288" t="str">
        <f t="shared" si="17"/>
        <v/>
      </c>
      <c r="BT127" s="288" t="str">
        <f t="shared" si="18"/>
        <v/>
      </c>
      <c r="BU127" s="288" t="str">
        <f t="shared" si="19"/>
        <v/>
      </c>
      <c r="BV127" s="288" t="str">
        <f t="shared" si="20"/>
        <v/>
      </c>
      <c r="BW127" s="288" t="str">
        <f t="shared" si="21"/>
        <v/>
      </c>
      <c r="BX127" s="288" t="str">
        <f t="shared" si="22"/>
        <v/>
      </c>
      <c r="BY127" s="288" t="str">
        <f t="shared" si="23"/>
        <v/>
      </c>
      <c r="BZ127" s="289"/>
    </row>
    <row r="128" spans="1:78" ht="15" customHeight="1">
      <c r="A128" s="276">
        <f>IF('Statement of Marks'!A131="","",'Statement of Marks'!A131)</f>
        <v>125</v>
      </c>
      <c r="B128" s="277" t="str">
        <f>IF('Statement of Marks'!B131="","",'Statement of Marks'!B131)</f>
        <v/>
      </c>
      <c r="C128" s="278" t="str">
        <f>IF('Statement of Marks'!D131="","",'Statement of Marks'!D131)</f>
        <v/>
      </c>
      <c r="D128" s="314" t="str">
        <f>IF('Statement of Marks'!E131="","",'Statement of Marks'!E131)</f>
        <v/>
      </c>
      <c r="E128" s="279" t="str">
        <f>IF('Statement of Marks'!F131="","",'Statement of Marks'!F131)</f>
        <v/>
      </c>
      <c r="F128" s="279" t="str">
        <f>IF('Statement of Marks'!G131="","",'Statement of Marks'!G131)</f>
        <v/>
      </c>
      <c r="G128" s="279" t="str">
        <f>IF('Statement of Marks'!H131="","",'Statement of Marks'!H131)</f>
        <v/>
      </c>
      <c r="H128" s="280" t="str">
        <f>IF('Statement of Marks'!I131="","",'Statement of Marks'!I131)</f>
        <v/>
      </c>
      <c r="I128" s="280" t="str">
        <f>IF('Statement of Marks'!J131="","",'Statement of Marks'!J131)</f>
        <v/>
      </c>
      <c r="J128" s="827" t="str">
        <f>IF('Statement of Marks'!HS131="","",'Statement of Marks'!HS131)</f>
        <v/>
      </c>
      <c r="K128" s="281" t="str">
        <f>IF('Statement of Marks'!HT131="","",'Statement of Marks'!HT131)</f>
        <v/>
      </c>
      <c r="L128" s="828" t="str">
        <f>IF('Statement of Marks'!HW131="","",'Statement of Marks'!HW131)</f>
        <v/>
      </c>
      <c r="M128" s="281" t="str">
        <f>IF('Statement of Marks'!HV131="","",'Statement of Marks'!HV131)</f>
        <v/>
      </c>
      <c r="N128" s="829" t="str">
        <f>IF('Statement of Marks'!HX131="","",'Statement of Marks'!HX131)</f>
        <v/>
      </c>
      <c r="O128" s="282" t="str">
        <f>IF(J128="FAIL","",IF('Statement of Marks'!HO131="","",'Statement of Marks'!HO131))</f>
        <v xml:space="preserve">      </v>
      </c>
      <c r="P128" s="283" t="str">
        <f>IF('Supp. Result Entry'!AQ129="","",'Supp. Result Entry'!AQ129)</f>
        <v/>
      </c>
      <c r="Q128" s="284" t="str">
        <f>IF('Supp. Result Entry'!AR129="","",'Supp. Result Entry'!AR129)</f>
        <v/>
      </c>
      <c r="R128" s="285" t="str">
        <f>IF('Statement of Marks'!IA131="","",'Statement of Marks'!IA131)</f>
        <v/>
      </c>
      <c r="S128" s="286" t="str">
        <f>IF('Statement of Marks'!GL131="","",'Statement of Marks'!GL131)</f>
        <v/>
      </c>
      <c r="BM128" s="287" t="str">
        <f>'Statement of Marks'!F131</f>
        <v/>
      </c>
      <c r="BN128" s="288" t="str">
        <f t="shared" si="12"/>
        <v/>
      </c>
      <c r="BO128" s="288" t="str">
        <f t="shared" si="13"/>
        <v/>
      </c>
      <c r="BP128" s="288" t="str">
        <f t="shared" si="14"/>
        <v/>
      </c>
      <c r="BQ128" s="288" t="str">
        <f t="shared" si="15"/>
        <v/>
      </c>
      <c r="BR128" s="288" t="str">
        <f t="shared" si="16"/>
        <v/>
      </c>
      <c r="BS128" s="288" t="str">
        <f t="shared" si="17"/>
        <v/>
      </c>
      <c r="BT128" s="288" t="str">
        <f t="shared" si="18"/>
        <v/>
      </c>
      <c r="BU128" s="288" t="str">
        <f t="shared" si="19"/>
        <v/>
      </c>
      <c r="BV128" s="288" t="str">
        <f t="shared" si="20"/>
        <v/>
      </c>
      <c r="BW128" s="288" t="str">
        <f t="shared" si="21"/>
        <v/>
      </c>
      <c r="BX128" s="288" t="str">
        <f t="shared" si="22"/>
        <v/>
      </c>
      <c r="BY128" s="288" t="str">
        <f t="shared" si="23"/>
        <v/>
      </c>
      <c r="BZ128" s="289"/>
    </row>
    <row r="129" spans="1:78" ht="15" customHeight="1">
      <c r="A129" s="276">
        <f>IF('Statement of Marks'!A132="","",'Statement of Marks'!A132)</f>
        <v>126</v>
      </c>
      <c r="B129" s="277" t="str">
        <f>IF('Statement of Marks'!B132="","",'Statement of Marks'!B132)</f>
        <v/>
      </c>
      <c r="C129" s="278" t="str">
        <f>IF('Statement of Marks'!D132="","",'Statement of Marks'!D132)</f>
        <v/>
      </c>
      <c r="D129" s="314" t="str">
        <f>IF('Statement of Marks'!E132="","",'Statement of Marks'!E132)</f>
        <v/>
      </c>
      <c r="E129" s="279" t="str">
        <f>IF('Statement of Marks'!F132="","",'Statement of Marks'!F132)</f>
        <v/>
      </c>
      <c r="F129" s="279" t="str">
        <f>IF('Statement of Marks'!G132="","",'Statement of Marks'!G132)</f>
        <v/>
      </c>
      <c r="G129" s="279" t="str">
        <f>IF('Statement of Marks'!H132="","",'Statement of Marks'!H132)</f>
        <v/>
      </c>
      <c r="H129" s="280" t="str">
        <f>IF('Statement of Marks'!I132="","",'Statement of Marks'!I132)</f>
        <v/>
      </c>
      <c r="I129" s="280" t="str">
        <f>IF('Statement of Marks'!J132="","",'Statement of Marks'!J132)</f>
        <v/>
      </c>
      <c r="J129" s="827" t="str">
        <f>IF('Statement of Marks'!HS132="","",'Statement of Marks'!HS132)</f>
        <v/>
      </c>
      <c r="K129" s="281" t="str">
        <f>IF('Statement of Marks'!HT132="","",'Statement of Marks'!HT132)</f>
        <v/>
      </c>
      <c r="L129" s="828" t="str">
        <f>IF('Statement of Marks'!HW132="","",'Statement of Marks'!HW132)</f>
        <v/>
      </c>
      <c r="M129" s="281" t="str">
        <f>IF('Statement of Marks'!HV132="","",'Statement of Marks'!HV132)</f>
        <v/>
      </c>
      <c r="N129" s="829" t="str">
        <f>IF('Statement of Marks'!HX132="","",'Statement of Marks'!HX132)</f>
        <v/>
      </c>
      <c r="O129" s="282" t="str">
        <f>IF(J129="FAIL","",IF('Statement of Marks'!HO132="","",'Statement of Marks'!HO132))</f>
        <v xml:space="preserve">      </v>
      </c>
      <c r="P129" s="283" t="str">
        <f>IF('Supp. Result Entry'!AQ130="","",'Supp. Result Entry'!AQ130)</f>
        <v/>
      </c>
      <c r="Q129" s="284" t="str">
        <f>IF('Supp. Result Entry'!AR130="","",'Supp. Result Entry'!AR130)</f>
        <v/>
      </c>
      <c r="R129" s="285" t="str">
        <f>IF('Statement of Marks'!IA132="","",'Statement of Marks'!IA132)</f>
        <v/>
      </c>
      <c r="S129" s="286" t="str">
        <f>IF('Statement of Marks'!GL132="","",'Statement of Marks'!GL132)</f>
        <v/>
      </c>
      <c r="BM129" s="287" t="str">
        <f>'Statement of Marks'!F132</f>
        <v/>
      </c>
      <c r="BN129" s="288" t="str">
        <f t="shared" si="12"/>
        <v/>
      </c>
      <c r="BO129" s="288" t="str">
        <f t="shared" si="13"/>
        <v/>
      </c>
      <c r="BP129" s="288" t="str">
        <f t="shared" si="14"/>
        <v/>
      </c>
      <c r="BQ129" s="288" t="str">
        <f t="shared" si="15"/>
        <v/>
      </c>
      <c r="BR129" s="288" t="str">
        <f t="shared" si="16"/>
        <v/>
      </c>
      <c r="BS129" s="288" t="str">
        <f t="shared" si="17"/>
        <v/>
      </c>
      <c r="BT129" s="288" t="str">
        <f t="shared" si="18"/>
        <v/>
      </c>
      <c r="BU129" s="288" t="str">
        <f t="shared" si="19"/>
        <v/>
      </c>
      <c r="BV129" s="288" t="str">
        <f t="shared" si="20"/>
        <v/>
      </c>
      <c r="BW129" s="288" t="str">
        <f t="shared" si="21"/>
        <v/>
      </c>
      <c r="BX129" s="288" t="str">
        <f t="shared" si="22"/>
        <v/>
      </c>
      <c r="BY129" s="288" t="str">
        <f t="shared" si="23"/>
        <v/>
      </c>
      <c r="BZ129" s="289"/>
    </row>
    <row r="130" spans="1:78" ht="15" customHeight="1">
      <c r="A130" s="276">
        <f>IF('Statement of Marks'!A133="","",'Statement of Marks'!A133)</f>
        <v>127</v>
      </c>
      <c r="B130" s="277" t="str">
        <f>IF('Statement of Marks'!B133="","",'Statement of Marks'!B133)</f>
        <v/>
      </c>
      <c r="C130" s="278" t="str">
        <f>IF('Statement of Marks'!D133="","",'Statement of Marks'!D133)</f>
        <v/>
      </c>
      <c r="D130" s="314" t="str">
        <f>IF('Statement of Marks'!E133="","",'Statement of Marks'!E133)</f>
        <v/>
      </c>
      <c r="E130" s="279" t="str">
        <f>IF('Statement of Marks'!F133="","",'Statement of Marks'!F133)</f>
        <v/>
      </c>
      <c r="F130" s="279" t="str">
        <f>IF('Statement of Marks'!G133="","",'Statement of Marks'!G133)</f>
        <v/>
      </c>
      <c r="G130" s="279" t="str">
        <f>IF('Statement of Marks'!H133="","",'Statement of Marks'!H133)</f>
        <v/>
      </c>
      <c r="H130" s="280" t="str">
        <f>IF('Statement of Marks'!I133="","",'Statement of Marks'!I133)</f>
        <v/>
      </c>
      <c r="I130" s="280" t="str">
        <f>IF('Statement of Marks'!J133="","",'Statement of Marks'!J133)</f>
        <v/>
      </c>
      <c r="J130" s="826" t="str">
        <f>IF('Statement of Marks'!HS133="","",'Statement of Marks'!HS133)</f>
        <v/>
      </c>
      <c r="K130" s="281" t="str">
        <f>IF('Statement of Marks'!HT133="","",'Statement of Marks'!HT133)</f>
        <v/>
      </c>
      <c r="L130" s="828" t="str">
        <f>IF('Statement of Marks'!HW133="","",'Statement of Marks'!HW133)</f>
        <v/>
      </c>
      <c r="M130" s="281" t="str">
        <f>IF('Statement of Marks'!HV133="","",'Statement of Marks'!HV133)</f>
        <v/>
      </c>
      <c r="N130" s="829" t="str">
        <f>IF('Statement of Marks'!HX133="","",'Statement of Marks'!HX133)</f>
        <v/>
      </c>
      <c r="O130" s="282" t="str">
        <f>IF(J130="FAIL","",IF('Statement of Marks'!HO133="","",'Statement of Marks'!HO133))</f>
        <v xml:space="preserve">      </v>
      </c>
      <c r="P130" s="283" t="str">
        <f>IF('Supp. Result Entry'!AQ131="","",'Supp. Result Entry'!AQ131)</f>
        <v/>
      </c>
      <c r="Q130" s="284" t="str">
        <f>IF('Supp. Result Entry'!AR131="","",'Supp. Result Entry'!AR131)</f>
        <v/>
      </c>
      <c r="R130" s="285" t="str">
        <f>IF('Statement of Marks'!IA133="","",'Statement of Marks'!IA133)</f>
        <v/>
      </c>
      <c r="S130" s="286" t="str">
        <f>IF('Statement of Marks'!GL133="","",'Statement of Marks'!GL133)</f>
        <v/>
      </c>
      <c r="BM130" s="287" t="str">
        <f>'Statement of Marks'!F133</f>
        <v/>
      </c>
      <c r="BN130" s="288" t="str">
        <f t="shared" si="12"/>
        <v/>
      </c>
      <c r="BO130" s="288" t="str">
        <f t="shared" si="13"/>
        <v/>
      </c>
      <c r="BP130" s="288" t="str">
        <f t="shared" si="14"/>
        <v/>
      </c>
      <c r="BQ130" s="288" t="str">
        <f t="shared" si="15"/>
        <v/>
      </c>
      <c r="BR130" s="288" t="str">
        <f t="shared" si="16"/>
        <v/>
      </c>
      <c r="BS130" s="288" t="str">
        <f t="shared" si="17"/>
        <v/>
      </c>
      <c r="BT130" s="288" t="str">
        <f t="shared" si="18"/>
        <v/>
      </c>
      <c r="BU130" s="288" t="str">
        <f t="shared" si="19"/>
        <v/>
      </c>
      <c r="BV130" s="288" t="str">
        <f t="shared" si="20"/>
        <v/>
      </c>
      <c r="BW130" s="288" t="str">
        <f t="shared" si="21"/>
        <v/>
      </c>
      <c r="BX130" s="288" t="str">
        <f t="shared" si="22"/>
        <v/>
      </c>
      <c r="BY130" s="288" t="str">
        <f t="shared" si="23"/>
        <v/>
      </c>
      <c r="BZ130" s="289"/>
    </row>
    <row r="131" spans="1:78" ht="15" customHeight="1">
      <c r="A131" s="276">
        <f>IF('Statement of Marks'!A134="","",'Statement of Marks'!A134)</f>
        <v>128</v>
      </c>
      <c r="B131" s="277" t="str">
        <f>IF('Statement of Marks'!B134="","",'Statement of Marks'!B134)</f>
        <v/>
      </c>
      <c r="C131" s="278" t="str">
        <f>IF('Statement of Marks'!D134="","",'Statement of Marks'!D134)</f>
        <v/>
      </c>
      <c r="D131" s="314" t="str">
        <f>IF('Statement of Marks'!E134="","",'Statement of Marks'!E134)</f>
        <v/>
      </c>
      <c r="E131" s="279" t="str">
        <f>IF('Statement of Marks'!F134="","",'Statement of Marks'!F134)</f>
        <v/>
      </c>
      <c r="F131" s="279" t="str">
        <f>IF('Statement of Marks'!G134="","",'Statement of Marks'!G134)</f>
        <v/>
      </c>
      <c r="G131" s="279" t="str">
        <f>IF('Statement of Marks'!H134="","",'Statement of Marks'!H134)</f>
        <v/>
      </c>
      <c r="H131" s="280" t="str">
        <f>IF('Statement of Marks'!I134="","",'Statement of Marks'!I134)</f>
        <v/>
      </c>
      <c r="I131" s="280" t="str">
        <f>IF('Statement of Marks'!J134="","",'Statement of Marks'!J134)</f>
        <v/>
      </c>
      <c r="J131" s="827" t="str">
        <f>IF('Statement of Marks'!HS134="","",'Statement of Marks'!HS134)</f>
        <v/>
      </c>
      <c r="K131" s="281" t="str">
        <f>IF('Statement of Marks'!HT134="","",'Statement of Marks'!HT134)</f>
        <v/>
      </c>
      <c r="L131" s="828" t="str">
        <f>IF('Statement of Marks'!HW134="","",'Statement of Marks'!HW134)</f>
        <v/>
      </c>
      <c r="M131" s="281" t="str">
        <f>IF('Statement of Marks'!HV134="","",'Statement of Marks'!HV134)</f>
        <v/>
      </c>
      <c r="N131" s="829" t="str">
        <f>IF('Statement of Marks'!HX134="","",'Statement of Marks'!HX134)</f>
        <v/>
      </c>
      <c r="O131" s="282" t="str">
        <f>IF(J131="FAIL","",IF('Statement of Marks'!HO134="","",'Statement of Marks'!HO134))</f>
        <v xml:space="preserve">      </v>
      </c>
      <c r="P131" s="283" t="str">
        <f>IF('Supp. Result Entry'!AQ132="","",'Supp. Result Entry'!AQ132)</f>
        <v/>
      </c>
      <c r="Q131" s="284" t="str">
        <f>IF('Supp. Result Entry'!AR132="","",'Supp. Result Entry'!AR132)</f>
        <v/>
      </c>
      <c r="R131" s="285" t="str">
        <f>IF('Statement of Marks'!IA134="","",'Statement of Marks'!IA134)</f>
        <v/>
      </c>
      <c r="S131" s="286" t="str">
        <f>IF('Statement of Marks'!GL134="","",'Statement of Marks'!GL134)</f>
        <v/>
      </c>
      <c r="BM131" s="287" t="str">
        <f>'Statement of Marks'!F134</f>
        <v/>
      </c>
      <c r="BN131" s="288" t="str">
        <f t="shared" si="12"/>
        <v/>
      </c>
      <c r="BO131" s="288" t="str">
        <f t="shared" si="13"/>
        <v/>
      </c>
      <c r="BP131" s="288" t="str">
        <f t="shared" si="14"/>
        <v/>
      </c>
      <c r="BQ131" s="288" t="str">
        <f t="shared" si="15"/>
        <v/>
      </c>
      <c r="BR131" s="288" t="str">
        <f t="shared" si="16"/>
        <v/>
      </c>
      <c r="BS131" s="288" t="str">
        <f t="shared" si="17"/>
        <v/>
      </c>
      <c r="BT131" s="288" t="str">
        <f t="shared" si="18"/>
        <v/>
      </c>
      <c r="BU131" s="288" t="str">
        <f t="shared" si="19"/>
        <v/>
      </c>
      <c r="BV131" s="288" t="str">
        <f t="shared" si="20"/>
        <v/>
      </c>
      <c r="BW131" s="288" t="str">
        <f t="shared" si="21"/>
        <v/>
      </c>
      <c r="BX131" s="288" t="str">
        <f t="shared" si="22"/>
        <v/>
      </c>
      <c r="BY131" s="288" t="str">
        <f t="shared" si="23"/>
        <v/>
      </c>
      <c r="BZ131" s="289"/>
    </row>
    <row r="132" spans="1:78" ht="15" customHeight="1">
      <c r="A132" s="276">
        <f>IF('Statement of Marks'!A135="","",'Statement of Marks'!A135)</f>
        <v>129</v>
      </c>
      <c r="B132" s="277" t="str">
        <f>IF('Statement of Marks'!B135="","",'Statement of Marks'!B135)</f>
        <v/>
      </c>
      <c r="C132" s="278" t="str">
        <f>IF('Statement of Marks'!D135="","",'Statement of Marks'!D135)</f>
        <v/>
      </c>
      <c r="D132" s="314" t="str">
        <f>IF('Statement of Marks'!E135="","",'Statement of Marks'!E135)</f>
        <v/>
      </c>
      <c r="E132" s="279" t="str">
        <f>IF('Statement of Marks'!F135="","",'Statement of Marks'!F135)</f>
        <v/>
      </c>
      <c r="F132" s="279" t="str">
        <f>IF('Statement of Marks'!G135="","",'Statement of Marks'!G135)</f>
        <v/>
      </c>
      <c r="G132" s="279" t="str">
        <f>IF('Statement of Marks'!H135="","",'Statement of Marks'!H135)</f>
        <v/>
      </c>
      <c r="H132" s="280" t="str">
        <f>IF('Statement of Marks'!I135="","",'Statement of Marks'!I135)</f>
        <v/>
      </c>
      <c r="I132" s="280" t="str">
        <f>IF('Statement of Marks'!J135="","",'Statement of Marks'!J135)</f>
        <v/>
      </c>
      <c r="J132" s="827" t="str">
        <f>IF('Statement of Marks'!HS135="","",'Statement of Marks'!HS135)</f>
        <v/>
      </c>
      <c r="K132" s="281" t="str">
        <f>IF('Statement of Marks'!HT135="","",'Statement of Marks'!HT135)</f>
        <v/>
      </c>
      <c r="L132" s="828" t="str">
        <f>IF('Statement of Marks'!HW135="","",'Statement of Marks'!HW135)</f>
        <v/>
      </c>
      <c r="M132" s="281" t="str">
        <f>IF('Statement of Marks'!HV135="","",'Statement of Marks'!HV135)</f>
        <v/>
      </c>
      <c r="N132" s="829" t="str">
        <f>IF('Statement of Marks'!HX135="","",'Statement of Marks'!HX135)</f>
        <v/>
      </c>
      <c r="O132" s="282" t="str">
        <f>IF(J132="FAIL","",IF('Statement of Marks'!HO135="","",'Statement of Marks'!HO135))</f>
        <v xml:space="preserve">      </v>
      </c>
      <c r="P132" s="283" t="str">
        <f>IF('Supp. Result Entry'!AQ133="","",'Supp. Result Entry'!AQ133)</f>
        <v/>
      </c>
      <c r="Q132" s="284" t="str">
        <f>IF('Supp. Result Entry'!AR133="","",'Supp. Result Entry'!AR133)</f>
        <v/>
      </c>
      <c r="R132" s="285" t="str">
        <f>IF('Statement of Marks'!IA135="","",'Statement of Marks'!IA135)</f>
        <v/>
      </c>
      <c r="S132" s="286" t="str">
        <f>IF('Statement of Marks'!GL135="","",'Statement of Marks'!GL135)</f>
        <v/>
      </c>
      <c r="BM132" s="287" t="str">
        <f>'Statement of Marks'!F135</f>
        <v/>
      </c>
      <c r="BN132" s="288" t="str">
        <f t="shared" si="12"/>
        <v/>
      </c>
      <c r="BO132" s="288" t="str">
        <f t="shared" si="13"/>
        <v/>
      </c>
      <c r="BP132" s="288" t="str">
        <f t="shared" si="14"/>
        <v/>
      </c>
      <c r="BQ132" s="288" t="str">
        <f t="shared" si="15"/>
        <v/>
      </c>
      <c r="BR132" s="288" t="str">
        <f t="shared" si="16"/>
        <v/>
      </c>
      <c r="BS132" s="288" t="str">
        <f t="shared" si="17"/>
        <v/>
      </c>
      <c r="BT132" s="288" t="str">
        <f t="shared" si="18"/>
        <v/>
      </c>
      <c r="BU132" s="288" t="str">
        <f t="shared" si="19"/>
        <v/>
      </c>
      <c r="BV132" s="288" t="str">
        <f t="shared" si="20"/>
        <v/>
      </c>
      <c r="BW132" s="288" t="str">
        <f t="shared" si="21"/>
        <v/>
      </c>
      <c r="BX132" s="288" t="str">
        <f t="shared" si="22"/>
        <v/>
      </c>
      <c r="BY132" s="288" t="str">
        <f t="shared" si="23"/>
        <v/>
      </c>
      <c r="BZ132" s="289"/>
    </row>
    <row r="133" spans="1:78" ht="15" customHeight="1">
      <c r="A133" s="276">
        <f>IF('Statement of Marks'!A136="","",'Statement of Marks'!A136)</f>
        <v>130</v>
      </c>
      <c r="B133" s="277" t="str">
        <f>IF('Statement of Marks'!B136="","",'Statement of Marks'!B136)</f>
        <v/>
      </c>
      <c r="C133" s="278" t="str">
        <f>IF('Statement of Marks'!D136="","",'Statement of Marks'!D136)</f>
        <v/>
      </c>
      <c r="D133" s="314" t="str">
        <f>IF('Statement of Marks'!E136="","",'Statement of Marks'!E136)</f>
        <v/>
      </c>
      <c r="E133" s="279" t="str">
        <f>IF('Statement of Marks'!F136="","",'Statement of Marks'!F136)</f>
        <v/>
      </c>
      <c r="F133" s="279" t="str">
        <f>IF('Statement of Marks'!G136="","",'Statement of Marks'!G136)</f>
        <v/>
      </c>
      <c r="G133" s="279" t="str">
        <f>IF('Statement of Marks'!H136="","",'Statement of Marks'!H136)</f>
        <v/>
      </c>
      <c r="H133" s="280" t="str">
        <f>IF('Statement of Marks'!I136="","",'Statement of Marks'!I136)</f>
        <v/>
      </c>
      <c r="I133" s="280" t="str">
        <f>IF('Statement of Marks'!J136="","",'Statement of Marks'!J136)</f>
        <v/>
      </c>
      <c r="J133" s="827" t="str">
        <f>IF('Statement of Marks'!HS136="","",'Statement of Marks'!HS136)</f>
        <v/>
      </c>
      <c r="K133" s="281" t="str">
        <f>IF('Statement of Marks'!HT136="","",'Statement of Marks'!HT136)</f>
        <v/>
      </c>
      <c r="L133" s="828" t="str">
        <f>IF('Statement of Marks'!HW136="","",'Statement of Marks'!HW136)</f>
        <v/>
      </c>
      <c r="M133" s="281" t="str">
        <f>IF('Statement of Marks'!HV136="","",'Statement of Marks'!HV136)</f>
        <v/>
      </c>
      <c r="N133" s="829" t="str">
        <f>IF('Statement of Marks'!HX136="","",'Statement of Marks'!HX136)</f>
        <v/>
      </c>
      <c r="O133" s="282" t="str">
        <f>IF(J133="FAIL","",IF('Statement of Marks'!HO136="","",'Statement of Marks'!HO136))</f>
        <v xml:space="preserve">      </v>
      </c>
      <c r="P133" s="283" t="str">
        <f>IF('Supp. Result Entry'!AQ134="","",'Supp. Result Entry'!AQ134)</f>
        <v/>
      </c>
      <c r="Q133" s="284" t="str">
        <f>IF('Supp. Result Entry'!AR134="","",'Supp. Result Entry'!AR134)</f>
        <v/>
      </c>
      <c r="R133" s="285" t="str">
        <f>IF('Statement of Marks'!IA136="","",'Statement of Marks'!IA136)</f>
        <v/>
      </c>
      <c r="S133" s="286" t="str">
        <f>IF('Statement of Marks'!GL136="","",'Statement of Marks'!GL136)</f>
        <v/>
      </c>
      <c r="BM133" s="287" t="str">
        <f>'Statement of Marks'!F136</f>
        <v/>
      </c>
      <c r="BN133" s="288" t="str">
        <f t="shared" ref="BN133:BN196" si="24">IFERROR(IF(AND(M133="",R133="",H133="SC",I133="M"),J133,IF(AND(M133="",H133="SC",I133="M"),R133,IF(AND(R133="",H133="SC",I133="M"),M133,""))),"")</f>
        <v/>
      </c>
      <c r="BO133" s="288" t="str">
        <f t="shared" ref="BO133:BO196" si="25">IFERROR(IF(AND(M133="",R133="",H133="SC",I133="F"),J133,IF(AND(M133="",H133="SC",I133="F"),R133,IF(AND(R133="",H133="SC",I133="F"),M133,""))),"")</f>
        <v/>
      </c>
      <c r="BP133" s="288" t="str">
        <f t="shared" ref="BP133:BP196" si="26">IFERROR(IF(AND(M133="",R133="",H133="ST",I133="M"),J133,IF(AND(M133="",H133="ST",I133="M"),R133,IF(AND(R133="",H133="ST",I133="M"),M133,""))),"")</f>
        <v/>
      </c>
      <c r="BQ133" s="288" t="str">
        <f t="shared" ref="BQ133:BQ196" si="27">IFERROR(IF(AND(M133="",R133="",H133="ST",I133="F"),J133,IF(AND(M133="",H133="ST",I133="F"),R133,IF(AND(R133="",H133="ST",I133="F"),M133,""))),"")</f>
        <v/>
      </c>
      <c r="BR133" s="288" t="str">
        <f t="shared" ref="BR133:BR196" si="28">IFERROR(IF(AND(M133="",R133="",H133="OBC",I133="M"),J133,IF(AND(M133="",H133="OBC",I133="M"),R133,IF(AND(R133="",H133="OBC",I133="M"),M133,""))),"")</f>
        <v/>
      </c>
      <c r="BS133" s="288" t="str">
        <f t="shared" ref="BS133:BS196" si="29">IFERROR(IF(AND(M133="",R133="",H133="OBC",I133="F"),J133,IF(AND(M133="",H133="OBC",I133="F"),R133,IF(AND(R133="",H133="OBC",I133="F"),M133,""))),"")</f>
        <v/>
      </c>
      <c r="BT133" s="288" t="str">
        <f t="shared" ref="BT133:BT196" si="30">IFERROR(IF(AND(M133="",R133="",H133="GEN",I133="M"),J133,IF(AND(M133="",H133="GEN",I133="M"),R133,IF(AND(R133="",H133="GEN",I133="M"),M133,""))),"")</f>
        <v/>
      </c>
      <c r="BU133" s="288" t="str">
        <f t="shared" ref="BU133:BU196" si="31">IFERROR(IF(AND(M133="",R133="",H133="GEN",I133="F"),J133,IF(AND(M133="",H133="GEN",I133="F"),R133,IF(AND(R133="",H133="GEN",I133="F"),M133,""))),"")</f>
        <v/>
      </c>
      <c r="BV133" s="288" t="str">
        <f t="shared" ref="BV133:BV196" si="32">IFERROR(IF(AND(M133="",R133="",H133="MIN",I133="M"),J133,IF(AND(M133="",H133="MIN",I133="M"),R133,IF(AND(R133="",H133="MIN",I133="M"),M133,""))),"")</f>
        <v/>
      </c>
      <c r="BW133" s="288" t="str">
        <f t="shared" ref="BW133:BW196" si="33">IFERROR(IF(AND(M133="",R133="",H133="MIN",I133="F"),J133,IF(AND(M133="",H133="MIN",I133="F"),R133,IF(AND(R133="",H133="MIN",I133="F"),M133,""))),"")</f>
        <v/>
      </c>
      <c r="BX133" s="288" t="str">
        <f t="shared" ref="BX133:BX196" si="34">IFERROR(IF(AND(M133="",R133="",H133="SBC",I133="M"),J133,IF(AND(M133="",H133="SBC",I133="M"),R133,IF(AND(R133="",H133="SBC",I133="M"),M133,""))),"")</f>
        <v/>
      </c>
      <c r="BY133" s="288" t="str">
        <f t="shared" ref="BY133:BY196" si="35">IFERROR(IF(AND(M133="",R133="",H133="SBC",I133="F"),J133,IF(AND(M133="",H133="SBC",I133="F"),R133,IF(AND(R133="",H133="SBC",I133="F"),M133,""))),"")</f>
        <v/>
      </c>
      <c r="BZ133" s="289"/>
    </row>
    <row r="134" spans="1:78" ht="15" customHeight="1">
      <c r="A134" s="276">
        <f>IF('Statement of Marks'!A137="","",'Statement of Marks'!A137)</f>
        <v>131</v>
      </c>
      <c r="B134" s="277" t="str">
        <f>IF('Statement of Marks'!B137="","",'Statement of Marks'!B137)</f>
        <v/>
      </c>
      <c r="C134" s="278" t="str">
        <f>IF('Statement of Marks'!D137="","",'Statement of Marks'!D137)</f>
        <v/>
      </c>
      <c r="D134" s="314" t="str">
        <f>IF('Statement of Marks'!E137="","",'Statement of Marks'!E137)</f>
        <v/>
      </c>
      <c r="E134" s="279" t="str">
        <f>IF('Statement of Marks'!F137="","",'Statement of Marks'!F137)</f>
        <v/>
      </c>
      <c r="F134" s="279" t="str">
        <f>IF('Statement of Marks'!G137="","",'Statement of Marks'!G137)</f>
        <v/>
      </c>
      <c r="G134" s="279" t="str">
        <f>IF('Statement of Marks'!H137="","",'Statement of Marks'!H137)</f>
        <v/>
      </c>
      <c r="H134" s="280" t="str">
        <f>IF('Statement of Marks'!I137="","",'Statement of Marks'!I137)</f>
        <v/>
      </c>
      <c r="I134" s="280" t="str">
        <f>IF('Statement of Marks'!J137="","",'Statement of Marks'!J137)</f>
        <v/>
      </c>
      <c r="J134" s="827" t="str">
        <f>IF('Statement of Marks'!HS137="","",'Statement of Marks'!HS137)</f>
        <v/>
      </c>
      <c r="K134" s="281" t="str">
        <f>IF('Statement of Marks'!HT137="","",'Statement of Marks'!HT137)</f>
        <v/>
      </c>
      <c r="L134" s="828" t="str">
        <f>IF('Statement of Marks'!HW137="","",'Statement of Marks'!HW137)</f>
        <v/>
      </c>
      <c r="M134" s="281" t="str">
        <f>IF('Statement of Marks'!HV137="","",'Statement of Marks'!HV137)</f>
        <v/>
      </c>
      <c r="N134" s="829" t="str">
        <f>IF('Statement of Marks'!HX137="","",'Statement of Marks'!HX137)</f>
        <v/>
      </c>
      <c r="O134" s="282" t="str">
        <f>IF(J134="FAIL","",IF('Statement of Marks'!HO137="","",'Statement of Marks'!HO137))</f>
        <v xml:space="preserve">      </v>
      </c>
      <c r="P134" s="283" t="str">
        <f>IF('Supp. Result Entry'!AQ135="","",'Supp. Result Entry'!AQ135)</f>
        <v/>
      </c>
      <c r="Q134" s="284" t="str">
        <f>IF('Supp. Result Entry'!AR135="","",'Supp. Result Entry'!AR135)</f>
        <v/>
      </c>
      <c r="R134" s="285" t="str">
        <f>IF('Statement of Marks'!IA137="","",'Statement of Marks'!IA137)</f>
        <v/>
      </c>
      <c r="S134" s="286" t="str">
        <f>IF('Statement of Marks'!GL137="","",'Statement of Marks'!GL137)</f>
        <v/>
      </c>
      <c r="BM134" s="287" t="str">
        <f>'Statement of Marks'!F137</f>
        <v/>
      </c>
      <c r="BN134" s="288" t="str">
        <f t="shared" si="24"/>
        <v/>
      </c>
      <c r="BO134" s="288" t="str">
        <f t="shared" si="25"/>
        <v/>
      </c>
      <c r="BP134" s="288" t="str">
        <f t="shared" si="26"/>
        <v/>
      </c>
      <c r="BQ134" s="288" t="str">
        <f t="shared" si="27"/>
        <v/>
      </c>
      <c r="BR134" s="288" t="str">
        <f t="shared" si="28"/>
        <v/>
      </c>
      <c r="BS134" s="288" t="str">
        <f t="shared" si="29"/>
        <v/>
      </c>
      <c r="BT134" s="288" t="str">
        <f t="shared" si="30"/>
        <v/>
      </c>
      <c r="BU134" s="288" t="str">
        <f t="shared" si="31"/>
        <v/>
      </c>
      <c r="BV134" s="288" t="str">
        <f t="shared" si="32"/>
        <v/>
      </c>
      <c r="BW134" s="288" t="str">
        <f t="shared" si="33"/>
        <v/>
      </c>
      <c r="BX134" s="288" t="str">
        <f t="shared" si="34"/>
        <v/>
      </c>
      <c r="BY134" s="288" t="str">
        <f t="shared" si="35"/>
        <v/>
      </c>
      <c r="BZ134" s="289"/>
    </row>
    <row r="135" spans="1:78" ht="15" customHeight="1">
      <c r="A135" s="276">
        <f>IF('Statement of Marks'!A138="","",'Statement of Marks'!A138)</f>
        <v>132</v>
      </c>
      <c r="B135" s="277" t="str">
        <f>IF('Statement of Marks'!B138="","",'Statement of Marks'!B138)</f>
        <v/>
      </c>
      <c r="C135" s="278" t="str">
        <f>IF('Statement of Marks'!D138="","",'Statement of Marks'!D138)</f>
        <v/>
      </c>
      <c r="D135" s="314" t="str">
        <f>IF('Statement of Marks'!E138="","",'Statement of Marks'!E138)</f>
        <v/>
      </c>
      <c r="E135" s="279" t="str">
        <f>IF('Statement of Marks'!F138="","",'Statement of Marks'!F138)</f>
        <v/>
      </c>
      <c r="F135" s="279" t="str">
        <f>IF('Statement of Marks'!G138="","",'Statement of Marks'!G138)</f>
        <v/>
      </c>
      <c r="G135" s="279" t="str">
        <f>IF('Statement of Marks'!H138="","",'Statement of Marks'!H138)</f>
        <v/>
      </c>
      <c r="H135" s="280" t="str">
        <f>IF('Statement of Marks'!I138="","",'Statement of Marks'!I138)</f>
        <v/>
      </c>
      <c r="I135" s="280" t="str">
        <f>IF('Statement of Marks'!J138="","",'Statement of Marks'!J138)</f>
        <v/>
      </c>
      <c r="J135" s="827" t="str">
        <f>IF('Statement of Marks'!HS138="","",'Statement of Marks'!HS138)</f>
        <v/>
      </c>
      <c r="K135" s="281" t="str">
        <f>IF('Statement of Marks'!HT138="","",'Statement of Marks'!HT138)</f>
        <v/>
      </c>
      <c r="L135" s="828" t="str">
        <f>IF('Statement of Marks'!HW138="","",'Statement of Marks'!HW138)</f>
        <v/>
      </c>
      <c r="M135" s="281" t="str">
        <f>IF('Statement of Marks'!HV138="","",'Statement of Marks'!HV138)</f>
        <v/>
      </c>
      <c r="N135" s="829" t="str">
        <f>IF('Statement of Marks'!HX138="","",'Statement of Marks'!HX138)</f>
        <v/>
      </c>
      <c r="O135" s="282" t="str">
        <f>IF(J135="FAIL","",IF('Statement of Marks'!HO138="","",'Statement of Marks'!HO138))</f>
        <v xml:space="preserve">      </v>
      </c>
      <c r="P135" s="283" t="str">
        <f>IF('Supp. Result Entry'!AQ136="","",'Supp. Result Entry'!AQ136)</f>
        <v/>
      </c>
      <c r="Q135" s="284" t="str">
        <f>IF('Supp. Result Entry'!AR136="","",'Supp. Result Entry'!AR136)</f>
        <v/>
      </c>
      <c r="R135" s="285" t="str">
        <f>IF('Statement of Marks'!IA138="","",'Statement of Marks'!IA138)</f>
        <v/>
      </c>
      <c r="S135" s="286" t="str">
        <f>IF('Statement of Marks'!GL138="","",'Statement of Marks'!GL138)</f>
        <v/>
      </c>
      <c r="BM135" s="287" t="str">
        <f>'Statement of Marks'!F138</f>
        <v/>
      </c>
      <c r="BN135" s="288" t="str">
        <f t="shared" si="24"/>
        <v/>
      </c>
      <c r="BO135" s="288" t="str">
        <f t="shared" si="25"/>
        <v/>
      </c>
      <c r="BP135" s="288" t="str">
        <f t="shared" si="26"/>
        <v/>
      </c>
      <c r="BQ135" s="288" t="str">
        <f t="shared" si="27"/>
        <v/>
      </c>
      <c r="BR135" s="288" t="str">
        <f t="shared" si="28"/>
        <v/>
      </c>
      <c r="BS135" s="288" t="str">
        <f t="shared" si="29"/>
        <v/>
      </c>
      <c r="BT135" s="288" t="str">
        <f t="shared" si="30"/>
        <v/>
      </c>
      <c r="BU135" s="288" t="str">
        <f t="shared" si="31"/>
        <v/>
      </c>
      <c r="BV135" s="288" t="str">
        <f t="shared" si="32"/>
        <v/>
      </c>
      <c r="BW135" s="288" t="str">
        <f t="shared" si="33"/>
        <v/>
      </c>
      <c r="BX135" s="288" t="str">
        <f t="shared" si="34"/>
        <v/>
      </c>
      <c r="BY135" s="288" t="str">
        <f t="shared" si="35"/>
        <v/>
      </c>
      <c r="BZ135" s="289"/>
    </row>
    <row r="136" spans="1:78" ht="15" customHeight="1">
      <c r="A136" s="276">
        <f>IF('Statement of Marks'!A139="","",'Statement of Marks'!A139)</f>
        <v>133</v>
      </c>
      <c r="B136" s="277" t="str">
        <f>IF('Statement of Marks'!B139="","",'Statement of Marks'!B139)</f>
        <v/>
      </c>
      <c r="C136" s="278" t="str">
        <f>IF('Statement of Marks'!D139="","",'Statement of Marks'!D139)</f>
        <v/>
      </c>
      <c r="D136" s="314" t="str">
        <f>IF('Statement of Marks'!E139="","",'Statement of Marks'!E139)</f>
        <v/>
      </c>
      <c r="E136" s="279" t="str">
        <f>IF('Statement of Marks'!F139="","",'Statement of Marks'!F139)</f>
        <v/>
      </c>
      <c r="F136" s="279" t="str">
        <f>IF('Statement of Marks'!G139="","",'Statement of Marks'!G139)</f>
        <v/>
      </c>
      <c r="G136" s="279" t="str">
        <f>IF('Statement of Marks'!H139="","",'Statement of Marks'!H139)</f>
        <v/>
      </c>
      <c r="H136" s="280" t="str">
        <f>IF('Statement of Marks'!I139="","",'Statement of Marks'!I139)</f>
        <v/>
      </c>
      <c r="I136" s="280" t="str">
        <f>IF('Statement of Marks'!J139="","",'Statement of Marks'!J139)</f>
        <v/>
      </c>
      <c r="J136" s="827" t="str">
        <f>IF('Statement of Marks'!HS139="","",'Statement of Marks'!HS139)</f>
        <v/>
      </c>
      <c r="K136" s="281" t="str">
        <f>IF('Statement of Marks'!HT139="","",'Statement of Marks'!HT139)</f>
        <v/>
      </c>
      <c r="L136" s="828" t="str">
        <f>IF('Statement of Marks'!HW139="","",'Statement of Marks'!HW139)</f>
        <v/>
      </c>
      <c r="M136" s="281" t="str">
        <f>IF('Statement of Marks'!HV139="","",'Statement of Marks'!HV139)</f>
        <v/>
      </c>
      <c r="N136" s="829" t="str">
        <f>IF('Statement of Marks'!HX139="","",'Statement of Marks'!HX139)</f>
        <v/>
      </c>
      <c r="O136" s="282" t="str">
        <f>IF(J136="FAIL","",IF('Statement of Marks'!HO139="","",'Statement of Marks'!HO139))</f>
        <v xml:space="preserve">      </v>
      </c>
      <c r="P136" s="283" t="str">
        <f>IF('Supp. Result Entry'!AQ137="","",'Supp. Result Entry'!AQ137)</f>
        <v/>
      </c>
      <c r="Q136" s="284" t="str">
        <f>IF('Supp. Result Entry'!AR137="","",'Supp. Result Entry'!AR137)</f>
        <v/>
      </c>
      <c r="R136" s="285" t="str">
        <f>IF('Statement of Marks'!IA139="","",'Statement of Marks'!IA139)</f>
        <v/>
      </c>
      <c r="S136" s="286" t="str">
        <f>IF('Statement of Marks'!GL139="","",'Statement of Marks'!GL139)</f>
        <v/>
      </c>
      <c r="BM136" s="287" t="str">
        <f>'Statement of Marks'!F139</f>
        <v/>
      </c>
      <c r="BN136" s="288" t="str">
        <f t="shared" si="24"/>
        <v/>
      </c>
      <c r="BO136" s="288" t="str">
        <f t="shared" si="25"/>
        <v/>
      </c>
      <c r="BP136" s="288" t="str">
        <f t="shared" si="26"/>
        <v/>
      </c>
      <c r="BQ136" s="288" t="str">
        <f t="shared" si="27"/>
        <v/>
      </c>
      <c r="BR136" s="288" t="str">
        <f t="shared" si="28"/>
        <v/>
      </c>
      <c r="BS136" s="288" t="str">
        <f t="shared" si="29"/>
        <v/>
      </c>
      <c r="BT136" s="288" t="str">
        <f t="shared" si="30"/>
        <v/>
      </c>
      <c r="BU136" s="288" t="str">
        <f t="shared" si="31"/>
        <v/>
      </c>
      <c r="BV136" s="288" t="str">
        <f t="shared" si="32"/>
        <v/>
      </c>
      <c r="BW136" s="288" t="str">
        <f t="shared" si="33"/>
        <v/>
      </c>
      <c r="BX136" s="288" t="str">
        <f t="shared" si="34"/>
        <v/>
      </c>
      <c r="BY136" s="288" t="str">
        <f t="shared" si="35"/>
        <v/>
      </c>
      <c r="BZ136" s="289"/>
    </row>
    <row r="137" spans="1:78" ht="15" customHeight="1">
      <c r="A137" s="276">
        <f>IF('Statement of Marks'!A140="","",'Statement of Marks'!A140)</f>
        <v>134</v>
      </c>
      <c r="B137" s="277" t="str">
        <f>IF('Statement of Marks'!B140="","",'Statement of Marks'!B140)</f>
        <v/>
      </c>
      <c r="C137" s="278" t="str">
        <f>IF('Statement of Marks'!D140="","",'Statement of Marks'!D140)</f>
        <v/>
      </c>
      <c r="D137" s="314" t="str">
        <f>IF('Statement of Marks'!E140="","",'Statement of Marks'!E140)</f>
        <v/>
      </c>
      <c r="E137" s="279" t="str">
        <f>IF('Statement of Marks'!F140="","",'Statement of Marks'!F140)</f>
        <v/>
      </c>
      <c r="F137" s="279" t="str">
        <f>IF('Statement of Marks'!G140="","",'Statement of Marks'!G140)</f>
        <v/>
      </c>
      <c r="G137" s="279" t="str">
        <f>IF('Statement of Marks'!H140="","",'Statement of Marks'!H140)</f>
        <v/>
      </c>
      <c r="H137" s="280" t="str">
        <f>IF('Statement of Marks'!I140="","",'Statement of Marks'!I140)</f>
        <v/>
      </c>
      <c r="I137" s="280" t="str">
        <f>IF('Statement of Marks'!J140="","",'Statement of Marks'!J140)</f>
        <v/>
      </c>
      <c r="J137" s="827" t="str">
        <f>IF('Statement of Marks'!HS140="","",'Statement of Marks'!HS140)</f>
        <v/>
      </c>
      <c r="K137" s="281" t="str">
        <f>IF('Statement of Marks'!HT140="","",'Statement of Marks'!HT140)</f>
        <v/>
      </c>
      <c r="L137" s="828" t="str">
        <f>IF('Statement of Marks'!HW140="","",'Statement of Marks'!HW140)</f>
        <v/>
      </c>
      <c r="M137" s="281" t="str">
        <f>IF('Statement of Marks'!HV140="","",'Statement of Marks'!HV140)</f>
        <v/>
      </c>
      <c r="N137" s="829" t="str">
        <f>IF('Statement of Marks'!HX140="","",'Statement of Marks'!HX140)</f>
        <v/>
      </c>
      <c r="O137" s="282" t="str">
        <f>IF(J137="FAIL","",IF('Statement of Marks'!HO140="","",'Statement of Marks'!HO140))</f>
        <v xml:space="preserve">      </v>
      </c>
      <c r="P137" s="283" t="str">
        <f>IF('Supp. Result Entry'!AQ138="","",'Supp. Result Entry'!AQ138)</f>
        <v/>
      </c>
      <c r="Q137" s="284" t="str">
        <f>IF('Supp. Result Entry'!AR138="","",'Supp. Result Entry'!AR138)</f>
        <v/>
      </c>
      <c r="R137" s="285" t="str">
        <f>IF('Statement of Marks'!IA140="","",'Statement of Marks'!IA140)</f>
        <v/>
      </c>
      <c r="S137" s="286" t="str">
        <f>IF('Statement of Marks'!GL140="","",'Statement of Marks'!GL140)</f>
        <v/>
      </c>
      <c r="BM137" s="287" t="str">
        <f>'Statement of Marks'!F140</f>
        <v/>
      </c>
      <c r="BN137" s="288" t="str">
        <f t="shared" si="24"/>
        <v/>
      </c>
      <c r="BO137" s="288" t="str">
        <f t="shared" si="25"/>
        <v/>
      </c>
      <c r="BP137" s="288" t="str">
        <f t="shared" si="26"/>
        <v/>
      </c>
      <c r="BQ137" s="288" t="str">
        <f t="shared" si="27"/>
        <v/>
      </c>
      <c r="BR137" s="288" t="str">
        <f t="shared" si="28"/>
        <v/>
      </c>
      <c r="BS137" s="288" t="str">
        <f t="shared" si="29"/>
        <v/>
      </c>
      <c r="BT137" s="288" t="str">
        <f t="shared" si="30"/>
        <v/>
      </c>
      <c r="BU137" s="288" t="str">
        <f t="shared" si="31"/>
        <v/>
      </c>
      <c r="BV137" s="288" t="str">
        <f t="shared" si="32"/>
        <v/>
      </c>
      <c r="BW137" s="288" t="str">
        <f t="shared" si="33"/>
        <v/>
      </c>
      <c r="BX137" s="288" t="str">
        <f t="shared" si="34"/>
        <v/>
      </c>
      <c r="BY137" s="288" t="str">
        <f t="shared" si="35"/>
        <v/>
      </c>
      <c r="BZ137" s="289"/>
    </row>
    <row r="138" spans="1:78" ht="15" customHeight="1">
      <c r="A138" s="276">
        <f>IF('Statement of Marks'!A141="","",'Statement of Marks'!A141)</f>
        <v>135</v>
      </c>
      <c r="B138" s="277" t="str">
        <f>IF('Statement of Marks'!B141="","",'Statement of Marks'!B141)</f>
        <v/>
      </c>
      <c r="C138" s="278" t="str">
        <f>IF('Statement of Marks'!D141="","",'Statement of Marks'!D141)</f>
        <v/>
      </c>
      <c r="D138" s="314" t="str">
        <f>IF('Statement of Marks'!E141="","",'Statement of Marks'!E141)</f>
        <v/>
      </c>
      <c r="E138" s="279" t="str">
        <f>IF('Statement of Marks'!F141="","",'Statement of Marks'!F141)</f>
        <v/>
      </c>
      <c r="F138" s="279" t="str">
        <f>IF('Statement of Marks'!G141="","",'Statement of Marks'!G141)</f>
        <v/>
      </c>
      <c r="G138" s="279" t="str">
        <f>IF('Statement of Marks'!H141="","",'Statement of Marks'!H141)</f>
        <v/>
      </c>
      <c r="H138" s="280" t="str">
        <f>IF('Statement of Marks'!I141="","",'Statement of Marks'!I141)</f>
        <v/>
      </c>
      <c r="I138" s="280" t="str">
        <f>IF('Statement of Marks'!J141="","",'Statement of Marks'!J141)</f>
        <v/>
      </c>
      <c r="J138" s="827" t="str">
        <f>IF('Statement of Marks'!HS141="","",'Statement of Marks'!HS141)</f>
        <v/>
      </c>
      <c r="K138" s="281" t="str">
        <f>IF('Statement of Marks'!HT141="","",'Statement of Marks'!HT141)</f>
        <v/>
      </c>
      <c r="L138" s="828" t="str">
        <f>IF('Statement of Marks'!HW141="","",'Statement of Marks'!HW141)</f>
        <v/>
      </c>
      <c r="M138" s="281" t="str">
        <f>IF('Statement of Marks'!HV141="","",'Statement of Marks'!HV141)</f>
        <v/>
      </c>
      <c r="N138" s="829" t="str">
        <f>IF('Statement of Marks'!HX141="","",'Statement of Marks'!HX141)</f>
        <v/>
      </c>
      <c r="O138" s="282" t="str">
        <f>IF(J138="FAIL","",IF('Statement of Marks'!HO141="","",'Statement of Marks'!HO141))</f>
        <v xml:space="preserve">      </v>
      </c>
      <c r="P138" s="283" t="str">
        <f>IF('Supp. Result Entry'!AQ139="","",'Supp. Result Entry'!AQ139)</f>
        <v/>
      </c>
      <c r="Q138" s="284" t="str">
        <f>IF('Supp. Result Entry'!AR139="","",'Supp. Result Entry'!AR139)</f>
        <v/>
      </c>
      <c r="R138" s="285" t="str">
        <f>IF('Statement of Marks'!IA141="","",'Statement of Marks'!IA141)</f>
        <v/>
      </c>
      <c r="S138" s="286" t="str">
        <f>IF('Statement of Marks'!GL141="","",'Statement of Marks'!GL141)</f>
        <v/>
      </c>
      <c r="BM138" s="287" t="str">
        <f>'Statement of Marks'!F141</f>
        <v/>
      </c>
      <c r="BN138" s="288" t="str">
        <f t="shared" si="24"/>
        <v/>
      </c>
      <c r="BO138" s="288" t="str">
        <f t="shared" si="25"/>
        <v/>
      </c>
      <c r="BP138" s="288" t="str">
        <f t="shared" si="26"/>
        <v/>
      </c>
      <c r="BQ138" s="288" t="str">
        <f t="shared" si="27"/>
        <v/>
      </c>
      <c r="BR138" s="288" t="str">
        <f t="shared" si="28"/>
        <v/>
      </c>
      <c r="BS138" s="288" t="str">
        <f t="shared" si="29"/>
        <v/>
      </c>
      <c r="BT138" s="288" t="str">
        <f t="shared" si="30"/>
        <v/>
      </c>
      <c r="BU138" s="288" t="str">
        <f t="shared" si="31"/>
        <v/>
      </c>
      <c r="BV138" s="288" t="str">
        <f t="shared" si="32"/>
        <v/>
      </c>
      <c r="BW138" s="288" t="str">
        <f t="shared" si="33"/>
        <v/>
      </c>
      <c r="BX138" s="288" t="str">
        <f t="shared" si="34"/>
        <v/>
      </c>
      <c r="BY138" s="288" t="str">
        <f t="shared" si="35"/>
        <v/>
      </c>
      <c r="BZ138" s="289"/>
    </row>
    <row r="139" spans="1:78" ht="15" customHeight="1">
      <c r="A139" s="276">
        <f>IF('Statement of Marks'!A142="","",'Statement of Marks'!A142)</f>
        <v>136</v>
      </c>
      <c r="B139" s="277" t="str">
        <f>IF('Statement of Marks'!B142="","",'Statement of Marks'!B142)</f>
        <v/>
      </c>
      <c r="C139" s="278" t="str">
        <f>IF('Statement of Marks'!D142="","",'Statement of Marks'!D142)</f>
        <v/>
      </c>
      <c r="D139" s="314" t="str">
        <f>IF('Statement of Marks'!E142="","",'Statement of Marks'!E142)</f>
        <v/>
      </c>
      <c r="E139" s="279" t="str">
        <f>IF('Statement of Marks'!F142="","",'Statement of Marks'!F142)</f>
        <v/>
      </c>
      <c r="F139" s="279" t="str">
        <f>IF('Statement of Marks'!G142="","",'Statement of Marks'!G142)</f>
        <v/>
      </c>
      <c r="G139" s="279" t="str">
        <f>IF('Statement of Marks'!H142="","",'Statement of Marks'!H142)</f>
        <v/>
      </c>
      <c r="H139" s="280" t="str">
        <f>IF('Statement of Marks'!I142="","",'Statement of Marks'!I142)</f>
        <v/>
      </c>
      <c r="I139" s="280" t="str">
        <f>IF('Statement of Marks'!J142="","",'Statement of Marks'!J142)</f>
        <v/>
      </c>
      <c r="J139" s="827" t="str">
        <f>IF('Statement of Marks'!HS142="","",'Statement of Marks'!HS142)</f>
        <v/>
      </c>
      <c r="K139" s="281" t="str">
        <f>IF('Statement of Marks'!HT142="","",'Statement of Marks'!HT142)</f>
        <v/>
      </c>
      <c r="L139" s="828" t="str">
        <f>IF('Statement of Marks'!HW142="","",'Statement of Marks'!HW142)</f>
        <v/>
      </c>
      <c r="M139" s="281" t="str">
        <f>IF('Statement of Marks'!HV142="","",'Statement of Marks'!HV142)</f>
        <v/>
      </c>
      <c r="N139" s="829" t="str">
        <f>IF('Statement of Marks'!HX142="","",'Statement of Marks'!HX142)</f>
        <v/>
      </c>
      <c r="O139" s="282" t="str">
        <f>IF(J139="FAIL","",IF('Statement of Marks'!HO142="","",'Statement of Marks'!HO142))</f>
        <v xml:space="preserve">      </v>
      </c>
      <c r="P139" s="283" t="str">
        <f>IF('Supp. Result Entry'!AQ140="","",'Supp. Result Entry'!AQ140)</f>
        <v/>
      </c>
      <c r="Q139" s="284" t="str">
        <f>IF('Supp. Result Entry'!AR140="","",'Supp. Result Entry'!AR140)</f>
        <v/>
      </c>
      <c r="R139" s="285" t="str">
        <f>IF('Statement of Marks'!IA142="","",'Statement of Marks'!IA142)</f>
        <v/>
      </c>
      <c r="S139" s="286" t="str">
        <f>IF('Statement of Marks'!GL142="","",'Statement of Marks'!GL142)</f>
        <v/>
      </c>
      <c r="BM139" s="287" t="str">
        <f>'Statement of Marks'!F142</f>
        <v/>
      </c>
      <c r="BN139" s="288" t="str">
        <f t="shared" si="24"/>
        <v/>
      </c>
      <c r="BO139" s="288" t="str">
        <f t="shared" si="25"/>
        <v/>
      </c>
      <c r="BP139" s="288" t="str">
        <f t="shared" si="26"/>
        <v/>
      </c>
      <c r="BQ139" s="288" t="str">
        <f t="shared" si="27"/>
        <v/>
      </c>
      <c r="BR139" s="288" t="str">
        <f t="shared" si="28"/>
        <v/>
      </c>
      <c r="BS139" s="288" t="str">
        <f t="shared" si="29"/>
        <v/>
      </c>
      <c r="BT139" s="288" t="str">
        <f t="shared" si="30"/>
        <v/>
      </c>
      <c r="BU139" s="288" t="str">
        <f t="shared" si="31"/>
        <v/>
      </c>
      <c r="BV139" s="288" t="str">
        <f t="shared" si="32"/>
        <v/>
      </c>
      <c r="BW139" s="288" t="str">
        <f t="shared" si="33"/>
        <v/>
      </c>
      <c r="BX139" s="288" t="str">
        <f t="shared" si="34"/>
        <v/>
      </c>
      <c r="BY139" s="288" t="str">
        <f t="shared" si="35"/>
        <v/>
      </c>
      <c r="BZ139" s="289"/>
    </row>
    <row r="140" spans="1:78" ht="15" customHeight="1">
      <c r="A140" s="276">
        <f>IF('Statement of Marks'!A143="","",'Statement of Marks'!A143)</f>
        <v>137</v>
      </c>
      <c r="B140" s="277" t="str">
        <f>IF('Statement of Marks'!B143="","",'Statement of Marks'!B143)</f>
        <v/>
      </c>
      <c r="C140" s="278" t="str">
        <f>IF('Statement of Marks'!D143="","",'Statement of Marks'!D143)</f>
        <v/>
      </c>
      <c r="D140" s="314" t="str">
        <f>IF('Statement of Marks'!E143="","",'Statement of Marks'!E143)</f>
        <v/>
      </c>
      <c r="E140" s="279" t="str">
        <f>IF('Statement of Marks'!F143="","",'Statement of Marks'!F143)</f>
        <v/>
      </c>
      <c r="F140" s="279" t="str">
        <f>IF('Statement of Marks'!G143="","",'Statement of Marks'!G143)</f>
        <v/>
      </c>
      <c r="G140" s="279" t="str">
        <f>IF('Statement of Marks'!H143="","",'Statement of Marks'!H143)</f>
        <v/>
      </c>
      <c r="H140" s="280" t="str">
        <f>IF('Statement of Marks'!I143="","",'Statement of Marks'!I143)</f>
        <v/>
      </c>
      <c r="I140" s="280" t="str">
        <f>IF('Statement of Marks'!J143="","",'Statement of Marks'!J143)</f>
        <v/>
      </c>
      <c r="J140" s="827" t="str">
        <f>IF('Statement of Marks'!HS143="","",'Statement of Marks'!HS143)</f>
        <v/>
      </c>
      <c r="K140" s="281" t="str">
        <f>IF('Statement of Marks'!HT143="","",'Statement of Marks'!HT143)</f>
        <v/>
      </c>
      <c r="L140" s="828" t="str">
        <f>IF('Statement of Marks'!HW143="","",'Statement of Marks'!HW143)</f>
        <v/>
      </c>
      <c r="M140" s="281" t="str">
        <f>IF('Statement of Marks'!HV143="","",'Statement of Marks'!HV143)</f>
        <v/>
      </c>
      <c r="N140" s="829" t="str">
        <f>IF('Statement of Marks'!HX143="","",'Statement of Marks'!HX143)</f>
        <v/>
      </c>
      <c r="O140" s="282" t="str">
        <f>IF(J140="FAIL","",IF('Statement of Marks'!HO143="","",'Statement of Marks'!HO143))</f>
        <v xml:space="preserve">      </v>
      </c>
      <c r="P140" s="283" t="str">
        <f>IF('Supp. Result Entry'!AQ141="","",'Supp. Result Entry'!AQ141)</f>
        <v/>
      </c>
      <c r="Q140" s="284" t="str">
        <f>IF('Supp. Result Entry'!AR141="","",'Supp. Result Entry'!AR141)</f>
        <v/>
      </c>
      <c r="R140" s="285" t="str">
        <f>IF('Statement of Marks'!IA143="","",'Statement of Marks'!IA143)</f>
        <v/>
      </c>
      <c r="S140" s="286" t="str">
        <f>IF('Statement of Marks'!GL143="","",'Statement of Marks'!GL143)</f>
        <v/>
      </c>
      <c r="BM140" s="287" t="str">
        <f>'Statement of Marks'!F143</f>
        <v/>
      </c>
      <c r="BN140" s="288" t="str">
        <f t="shared" si="24"/>
        <v/>
      </c>
      <c r="BO140" s="288" t="str">
        <f t="shared" si="25"/>
        <v/>
      </c>
      <c r="BP140" s="288" t="str">
        <f t="shared" si="26"/>
        <v/>
      </c>
      <c r="BQ140" s="288" t="str">
        <f t="shared" si="27"/>
        <v/>
      </c>
      <c r="BR140" s="288" t="str">
        <f t="shared" si="28"/>
        <v/>
      </c>
      <c r="BS140" s="288" t="str">
        <f t="shared" si="29"/>
        <v/>
      </c>
      <c r="BT140" s="288" t="str">
        <f t="shared" si="30"/>
        <v/>
      </c>
      <c r="BU140" s="288" t="str">
        <f t="shared" si="31"/>
        <v/>
      </c>
      <c r="BV140" s="288" t="str">
        <f t="shared" si="32"/>
        <v/>
      </c>
      <c r="BW140" s="288" t="str">
        <f t="shared" si="33"/>
        <v/>
      </c>
      <c r="BX140" s="288" t="str">
        <f t="shared" si="34"/>
        <v/>
      </c>
      <c r="BY140" s="288" t="str">
        <f t="shared" si="35"/>
        <v/>
      </c>
      <c r="BZ140" s="289"/>
    </row>
    <row r="141" spans="1:78" ht="15" customHeight="1">
      <c r="A141" s="276">
        <f>IF('Statement of Marks'!A144="","",'Statement of Marks'!A144)</f>
        <v>138</v>
      </c>
      <c r="B141" s="277" t="str">
        <f>IF('Statement of Marks'!B144="","",'Statement of Marks'!B144)</f>
        <v/>
      </c>
      <c r="C141" s="278" t="str">
        <f>IF('Statement of Marks'!D144="","",'Statement of Marks'!D144)</f>
        <v/>
      </c>
      <c r="D141" s="314" t="str">
        <f>IF('Statement of Marks'!E144="","",'Statement of Marks'!E144)</f>
        <v/>
      </c>
      <c r="E141" s="279" t="str">
        <f>IF('Statement of Marks'!F144="","",'Statement of Marks'!F144)</f>
        <v/>
      </c>
      <c r="F141" s="279" t="str">
        <f>IF('Statement of Marks'!G144="","",'Statement of Marks'!G144)</f>
        <v/>
      </c>
      <c r="G141" s="279" t="str">
        <f>IF('Statement of Marks'!H144="","",'Statement of Marks'!H144)</f>
        <v/>
      </c>
      <c r="H141" s="280" t="str">
        <f>IF('Statement of Marks'!I144="","",'Statement of Marks'!I144)</f>
        <v/>
      </c>
      <c r="I141" s="280" t="str">
        <f>IF('Statement of Marks'!J144="","",'Statement of Marks'!J144)</f>
        <v/>
      </c>
      <c r="J141" s="827" t="str">
        <f>IF('Statement of Marks'!HS144="","",'Statement of Marks'!HS144)</f>
        <v/>
      </c>
      <c r="K141" s="281" t="str">
        <f>IF('Statement of Marks'!HT144="","",'Statement of Marks'!HT144)</f>
        <v/>
      </c>
      <c r="L141" s="828" t="str">
        <f>IF('Statement of Marks'!HW144="","",'Statement of Marks'!HW144)</f>
        <v/>
      </c>
      <c r="M141" s="281" t="str">
        <f>IF('Statement of Marks'!HV144="","",'Statement of Marks'!HV144)</f>
        <v/>
      </c>
      <c r="N141" s="829" t="str">
        <f>IF('Statement of Marks'!HX144="","",'Statement of Marks'!HX144)</f>
        <v/>
      </c>
      <c r="O141" s="282" t="str">
        <f>IF(J141="FAIL","",IF('Statement of Marks'!HO144="","",'Statement of Marks'!HO144))</f>
        <v xml:space="preserve">      </v>
      </c>
      <c r="P141" s="283" t="str">
        <f>IF('Supp. Result Entry'!AQ142="","",'Supp. Result Entry'!AQ142)</f>
        <v/>
      </c>
      <c r="Q141" s="284" t="str">
        <f>IF('Supp. Result Entry'!AR142="","",'Supp. Result Entry'!AR142)</f>
        <v/>
      </c>
      <c r="R141" s="285" t="str">
        <f>IF('Statement of Marks'!IA144="","",'Statement of Marks'!IA144)</f>
        <v/>
      </c>
      <c r="S141" s="286" t="str">
        <f>IF('Statement of Marks'!GL144="","",'Statement of Marks'!GL144)</f>
        <v/>
      </c>
      <c r="BM141" s="287" t="str">
        <f>'Statement of Marks'!F144</f>
        <v/>
      </c>
      <c r="BN141" s="288" t="str">
        <f t="shared" si="24"/>
        <v/>
      </c>
      <c r="BO141" s="288" t="str">
        <f t="shared" si="25"/>
        <v/>
      </c>
      <c r="BP141" s="288" t="str">
        <f t="shared" si="26"/>
        <v/>
      </c>
      <c r="BQ141" s="288" t="str">
        <f t="shared" si="27"/>
        <v/>
      </c>
      <c r="BR141" s="288" t="str">
        <f t="shared" si="28"/>
        <v/>
      </c>
      <c r="BS141" s="288" t="str">
        <f t="shared" si="29"/>
        <v/>
      </c>
      <c r="BT141" s="288" t="str">
        <f t="shared" si="30"/>
        <v/>
      </c>
      <c r="BU141" s="288" t="str">
        <f t="shared" si="31"/>
        <v/>
      </c>
      <c r="BV141" s="288" t="str">
        <f t="shared" si="32"/>
        <v/>
      </c>
      <c r="BW141" s="288" t="str">
        <f t="shared" si="33"/>
        <v/>
      </c>
      <c r="BX141" s="288" t="str">
        <f t="shared" si="34"/>
        <v/>
      </c>
      <c r="BY141" s="288" t="str">
        <f t="shared" si="35"/>
        <v/>
      </c>
      <c r="BZ141" s="289"/>
    </row>
    <row r="142" spans="1:78" ht="15" customHeight="1">
      <c r="A142" s="276">
        <f>IF('Statement of Marks'!A145="","",'Statement of Marks'!A145)</f>
        <v>139</v>
      </c>
      <c r="B142" s="277" t="str">
        <f>IF('Statement of Marks'!B145="","",'Statement of Marks'!B145)</f>
        <v/>
      </c>
      <c r="C142" s="278" t="str">
        <f>IF('Statement of Marks'!D145="","",'Statement of Marks'!D145)</f>
        <v/>
      </c>
      <c r="D142" s="314" t="str">
        <f>IF('Statement of Marks'!E145="","",'Statement of Marks'!E145)</f>
        <v/>
      </c>
      <c r="E142" s="279" t="str">
        <f>IF('Statement of Marks'!F145="","",'Statement of Marks'!F145)</f>
        <v/>
      </c>
      <c r="F142" s="279" t="str">
        <f>IF('Statement of Marks'!G145="","",'Statement of Marks'!G145)</f>
        <v/>
      </c>
      <c r="G142" s="279" t="str">
        <f>IF('Statement of Marks'!H145="","",'Statement of Marks'!H145)</f>
        <v/>
      </c>
      <c r="H142" s="280" t="str">
        <f>IF('Statement of Marks'!I145="","",'Statement of Marks'!I145)</f>
        <v/>
      </c>
      <c r="I142" s="280" t="str">
        <f>IF('Statement of Marks'!J145="","",'Statement of Marks'!J145)</f>
        <v/>
      </c>
      <c r="J142" s="827" t="str">
        <f>IF('Statement of Marks'!HS145="","",'Statement of Marks'!HS145)</f>
        <v/>
      </c>
      <c r="K142" s="281" t="str">
        <f>IF('Statement of Marks'!HT145="","",'Statement of Marks'!HT145)</f>
        <v/>
      </c>
      <c r="L142" s="828" t="str">
        <f>IF('Statement of Marks'!HW145="","",'Statement of Marks'!HW145)</f>
        <v/>
      </c>
      <c r="M142" s="281" t="str">
        <f>IF('Statement of Marks'!HV145="","",'Statement of Marks'!HV145)</f>
        <v/>
      </c>
      <c r="N142" s="829" t="str">
        <f>IF('Statement of Marks'!HX145="","",'Statement of Marks'!HX145)</f>
        <v/>
      </c>
      <c r="O142" s="282" t="str">
        <f>IF(J142="FAIL","",IF('Statement of Marks'!HO145="","",'Statement of Marks'!HO145))</f>
        <v xml:space="preserve">      </v>
      </c>
      <c r="P142" s="283" t="str">
        <f>IF('Supp. Result Entry'!AQ143="","",'Supp. Result Entry'!AQ143)</f>
        <v/>
      </c>
      <c r="Q142" s="284" t="str">
        <f>IF('Supp. Result Entry'!AR143="","",'Supp. Result Entry'!AR143)</f>
        <v/>
      </c>
      <c r="R142" s="285" t="str">
        <f>IF('Statement of Marks'!IA145="","",'Statement of Marks'!IA145)</f>
        <v/>
      </c>
      <c r="S142" s="286" t="str">
        <f>IF('Statement of Marks'!GL145="","",'Statement of Marks'!GL145)</f>
        <v/>
      </c>
      <c r="BM142" s="287" t="str">
        <f>'Statement of Marks'!F145</f>
        <v/>
      </c>
      <c r="BN142" s="288" t="str">
        <f t="shared" si="24"/>
        <v/>
      </c>
      <c r="BO142" s="288" t="str">
        <f t="shared" si="25"/>
        <v/>
      </c>
      <c r="BP142" s="288" t="str">
        <f t="shared" si="26"/>
        <v/>
      </c>
      <c r="BQ142" s="288" t="str">
        <f t="shared" si="27"/>
        <v/>
      </c>
      <c r="BR142" s="288" t="str">
        <f t="shared" si="28"/>
        <v/>
      </c>
      <c r="BS142" s="288" t="str">
        <f t="shared" si="29"/>
        <v/>
      </c>
      <c r="BT142" s="288" t="str">
        <f t="shared" si="30"/>
        <v/>
      </c>
      <c r="BU142" s="288" t="str">
        <f t="shared" si="31"/>
        <v/>
      </c>
      <c r="BV142" s="288" t="str">
        <f t="shared" si="32"/>
        <v/>
      </c>
      <c r="BW142" s="288" t="str">
        <f t="shared" si="33"/>
        <v/>
      </c>
      <c r="BX142" s="288" t="str">
        <f t="shared" si="34"/>
        <v/>
      </c>
      <c r="BY142" s="288" t="str">
        <f t="shared" si="35"/>
        <v/>
      </c>
      <c r="BZ142" s="289"/>
    </row>
    <row r="143" spans="1:78" ht="15" customHeight="1">
      <c r="A143" s="276">
        <f>IF('Statement of Marks'!A146="","",'Statement of Marks'!A146)</f>
        <v>140</v>
      </c>
      <c r="B143" s="277" t="str">
        <f>IF('Statement of Marks'!B146="","",'Statement of Marks'!B146)</f>
        <v/>
      </c>
      <c r="C143" s="278" t="str">
        <f>IF('Statement of Marks'!D146="","",'Statement of Marks'!D146)</f>
        <v/>
      </c>
      <c r="D143" s="314" t="str">
        <f>IF('Statement of Marks'!E146="","",'Statement of Marks'!E146)</f>
        <v/>
      </c>
      <c r="E143" s="279" t="str">
        <f>IF('Statement of Marks'!F146="","",'Statement of Marks'!F146)</f>
        <v/>
      </c>
      <c r="F143" s="279" t="str">
        <f>IF('Statement of Marks'!G146="","",'Statement of Marks'!G146)</f>
        <v/>
      </c>
      <c r="G143" s="279" t="str">
        <f>IF('Statement of Marks'!H146="","",'Statement of Marks'!H146)</f>
        <v/>
      </c>
      <c r="H143" s="280" t="str">
        <f>IF('Statement of Marks'!I146="","",'Statement of Marks'!I146)</f>
        <v/>
      </c>
      <c r="I143" s="280" t="str">
        <f>IF('Statement of Marks'!J146="","",'Statement of Marks'!J146)</f>
        <v/>
      </c>
      <c r="J143" s="827" t="str">
        <f>IF('Statement of Marks'!HS146="","",'Statement of Marks'!HS146)</f>
        <v/>
      </c>
      <c r="K143" s="281" t="str">
        <f>IF('Statement of Marks'!HT146="","",'Statement of Marks'!HT146)</f>
        <v/>
      </c>
      <c r="L143" s="828" t="str">
        <f>IF('Statement of Marks'!HW146="","",'Statement of Marks'!HW146)</f>
        <v/>
      </c>
      <c r="M143" s="281" t="str">
        <f>IF('Statement of Marks'!HV146="","",'Statement of Marks'!HV146)</f>
        <v/>
      </c>
      <c r="N143" s="829" t="str">
        <f>IF('Statement of Marks'!HX146="","",'Statement of Marks'!HX146)</f>
        <v/>
      </c>
      <c r="O143" s="282" t="str">
        <f>IF(J143="FAIL","",IF('Statement of Marks'!HO146="","",'Statement of Marks'!HO146))</f>
        <v xml:space="preserve">      </v>
      </c>
      <c r="P143" s="283" t="str">
        <f>IF('Supp. Result Entry'!AQ144="","",'Supp. Result Entry'!AQ144)</f>
        <v/>
      </c>
      <c r="Q143" s="284" t="str">
        <f>IF('Supp. Result Entry'!AR144="","",'Supp. Result Entry'!AR144)</f>
        <v/>
      </c>
      <c r="R143" s="285" t="str">
        <f>IF('Statement of Marks'!IA146="","",'Statement of Marks'!IA146)</f>
        <v/>
      </c>
      <c r="S143" s="286" t="str">
        <f>IF('Statement of Marks'!GL146="","",'Statement of Marks'!GL146)</f>
        <v/>
      </c>
      <c r="BM143" s="287" t="str">
        <f>'Statement of Marks'!F146</f>
        <v/>
      </c>
      <c r="BN143" s="288" t="str">
        <f t="shared" si="24"/>
        <v/>
      </c>
      <c r="BO143" s="288" t="str">
        <f t="shared" si="25"/>
        <v/>
      </c>
      <c r="BP143" s="288" t="str">
        <f t="shared" si="26"/>
        <v/>
      </c>
      <c r="BQ143" s="288" t="str">
        <f t="shared" si="27"/>
        <v/>
      </c>
      <c r="BR143" s="288" t="str">
        <f t="shared" si="28"/>
        <v/>
      </c>
      <c r="BS143" s="288" t="str">
        <f t="shared" si="29"/>
        <v/>
      </c>
      <c r="BT143" s="288" t="str">
        <f t="shared" si="30"/>
        <v/>
      </c>
      <c r="BU143" s="288" t="str">
        <f t="shared" si="31"/>
        <v/>
      </c>
      <c r="BV143" s="288" t="str">
        <f t="shared" si="32"/>
        <v/>
      </c>
      <c r="BW143" s="288" t="str">
        <f t="shared" si="33"/>
        <v/>
      </c>
      <c r="BX143" s="288" t="str">
        <f t="shared" si="34"/>
        <v/>
      </c>
      <c r="BY143" s="288" t="str">
        <f t="shared" si="35"/>
        <v/>
      </c>
      <c r="BZ143" s="289"/>
    </row>
    <row r="144" spans="1:78" ht="15" customHeight="1">
      <c r="A144" s="276">
        <f>IF('Statement of Marks'!A147="","",'Statement of Marks'!A147)</f>
        <v>141</v>
      </c>
      <c r="B144" s="277" t="str">
        <f>IF('Statement of Marks'!B147="","",'Statement of Marks'!B147)</f>
        <v/>
      </c>
      <c r="C144" s="278" t="str">
        <f>IF('Statement of Marks'!D147="","",'Statement of Marks'!D147)</f>
        <v/>
      </c>
      <c r="D144" s="314" t="str">
        <f>IF('Statement of Marks'!E147="","",'Statement of Marks'!E147)</f>
        <v/>
      </c>
      <c r="E144" s="279" t="str">
        <f>IF('Statement of Marks'!F147="","",'Statement of Marks'!F147)</f>
        <v/>
      </c>
      <c r="F144" s="279" t="str">
        <f>IF('Statement of Marks'!G147="","",'Statement of Marks'!G147)</f>
        <v/>
      </c>
      <c r="G144" s="279" t="str">
        <f>IF('Statement of Marks'!H147="","",'Statement of Marks'!H147)</f>
        <v/>
      </c>
      <c r="H144" s="280" t="str">
        <f>IF('Statement of Marks'!I147="","",'Statement of Marks'!I147)</f>
        <v/>
      </c>
      <c r="I144" s="280" t="str">
        <f>IF('Statement of Marks'!J147="","",'Statement of Marks'!J147)</f>
        <v/>
      </c>
      <c r="J144" s="827" t="str">
        <f>IF('Statement of Marks'!HS147="","",'Statement of Marks'!HS147)</f>
        <v/>
      </c>
      <c r="K144" s="281" t="str">
        <f>IF('Statement of Marks'!HT147="","",'Statement of Marks'!HT147)</f>
        <v/>
      </c>
      <c r="L144" s="828" t="str">
        <f>IF('Statement of Marks'!HW147="","",'Statement of Marks'!HW147)</f>
        <v/>
      </c>
      <c r="M144" s="281" t="str">
        <f>IF('Statement of Marks'!HV147="","",'Statement of Marks'!HV147)</f>
        <v/>
      </c>
      <c r="N144" s="829" t="str">
        <f>IF('Statement of Marks'!HX147="","",'Statement of Marks'!HX147)</f>
        <v/>
      </c>
      <c r="O144" s="282" t="str">
        <f>IF(J144="FAIL","",IF('Statement of Marks'!HO147="","",'Statement of Marks'!HO147))</f>
        <v xml:space="preserve">      </v>
      </c>
      <c r="P144" s="283" t="str">
        <f>IF('Supp. Result Entry'!AQ145="","",'Supp. Result Entry'!AQ145)</f>
        <v/>
      </c>
      <c r="Q144" s="284" t="str">
        <f>IF('Supp. Result Entry'!AR145="","",'Supp. Result Entry'!AR145)</f>
        <v/>
      </c>
      <c r="R144" s="285" t="str">
        <f>IF('Statement of Marks'!IA147="","",'Statement of Marks'!IA147)</f>
        <v/>
      </c>
      <c r="S144" s="286" t="str">
        <f>IF('Statement of Marks'!GL147="","",'Statement of Marks'!GL147)</f>
        <v/>
      </c>
      <c r="BM144" s="287" t="str">
        <f>'Statement of Marks'!F147</f>
        <v/>
      </c>
      <c r="BN144" s="288" t="str">
        <f t="shared" si="24"/>
        <v/>
      </c>
      <c r="BO144" s="288" t="str">
        <f t="shared" si="25"/>
        <v/>
      </c>
      <c r="BP144" s="288" t="str">
        <f t="shared" si="26"/>
        <v/>
      </c>
      <c r="BQ144" s="288" t="str">
        <f t="shared" si="27"/>
        <v/>
      </c>
      <c r="BR144" s="288" t="str">
        <f t="shared" si="28"/>
        <v/>
      </c>
      <c r="BS144" s="288" t="str">
        <f t="shared" si="29"/>
        <v/>
      </c>
      <c r="BT144" s="288" t="str">
        <f t="shared" si="30"/>
        <v/>
      </c>
      <c r="BU144" s="288" t="str">
        <f t="shared" si="31"/>
        <v/>
      </c>
      <c r="BV144" s="288" t="str">
        <f t="shared" si="32"/>
        <v/>
      </c>
      <c r="BW144" s="288" t="str">
        <f t="shared" si="33"/>
        <v/>
      </c>
      <c r="BX144" s="288" t="str">
        <f t="shared" si="34"/>
        <v/>
      </c>
      <c r="BY144" s="288" t="str">
        <f t="shared" si="35"/>
        <v/>
      </c>
      <c r="BZ144" s="289"/>
    </row>
    <row r="145" spans="1:78" ht="15" customHeight="1">
      <c r="A145" s="276">
        <f>IF('Statement of Marks'!A148="","",'Statement of Marks'!A148)</f>
        <v>142</v>
      </c>
      <c r="B145" s="277" t="str">
        <f>IF('Statement of Marks'!B148="","",'Statement of Marks'!B148)</f>
        <v/>
      </c>
      <c r="C145" s="278" t="str">
        <f>IF('Statement of Marks'!D148="","",'Statement of Marks'!D148)</f>
        <v/>
      </c>
      <c r="D145" s="314" t="str">
        <f>IF('Statement of Marks'!E148="","",'Statement of Marks'!E148)</f>
        <v/>
      </c>
      <c r="E145" s="279" t="str">
        <f>IF('Statement of Marks'!F148="","",'Statement of Marks'!F148)</f>
        <v/>
      </c>
      <c r="F145" s="279" t="str">
        <f>IF('Statement of Marks'!G148="","",'Statement of Marks'!G148)</f>
        <v/>
      </c>
      <c r="G145" s="279" t="str">
        <f>IF('Statement of Marks'!H148="","",'Statement of Marks'!H148)</f>
        <v/>
      </c>
      <c r="H145" s="280" t="str">
        <f>IF('Statement of Marks'!I148="","",'Statement of Marks'!I148)</f>
        <v/>
      </c>
      <c r="I145" s="280" t="str">
        <f>IF('Statement of Marks'!J148="","",'Statement of Marks'!J148)</f>
        <v/>
      </c>
      <c r="J145" s="827" t="str">
        <f>IF('Statement of Marks'!HS148="","",'Statement of Marks'!HS148)</f>
        <v/>
      </c>
      <c r="K145" s="281" t="str">
        <f>IF('Statement of Marks'!HT148="","",'Statement of Marks'!HT148)</f>
        <v/>
      </c>
      <c r="L145" s="828" t="str">
        <f>IF('Statement of Marks'!HW148="","",'Statement of Marks'!HW148)</f>
        <v/>
      </c>
      <c r="M145" s="281" t="str">
        <f>IF('Statement of Marks'!HV148="","",'Statement of Marks'!HV148)</f>
        <v/>
      </c>
      <c r="N145" s="829" t="str">
        <f>IF('Statement of Marks'!HX148="","",'Statement of Marks'!HX148)</f>
        <v/>
      </c>
      <c r="O145" s="282" t="str">
        <f>IF(J145="FAIL","",IF('Statement of Marks'!HO148="","",'Statement of Marks'!HO148))</f>
        <v xml:space="preserve">      </v>
      </c>
      <c r="P145" s="283" t="str">
        <f>IF('Supp. Result Entry'!AQ146="","",'Supp. Result Entry'!AQ146)</f>
        <v/>
      </c>
      <c r="Q145" s="284" t="str">
        <f>IF('Supp. Result Entry'!AR146="","",'Supp. Result Entry'!AR146)</f>
        <v/>
      </c>
      <c r="R145" s="285" t="str">
        <f>IF('Statement of Marks'!IA148="","",'Statement of Marks'!IA148)</f>
        <v/>
      </c>
      <c r="S145" s="286" t="str">
        <f>IF('Statement of Marks'!GL148="","",'Statement of Marks'!GL148)</f>
        <v/>
      </c>
      <c r="BM145" s="287" t="str">
        <f>'Statement of Marks'!F148</f>
        <v/>
      </c>
      <c r="BN145" s="288" t="str">
        <f t="shared" si="24"/>
        <v/>
      </c>
      <c r="BO145" s="288" t="str">
        <f t="shared" si="25"/>
        <v/>
      </c>
      <c r="BP145" s="288" t="str">
        <f t="shared" si="26"/>
        <v/>
      </c>
      <c r="BQ145" s="288" t="str">
        <f t="shared" si="27"/>
        <v/>
      </c>
      <c r="BR145" s="288" t="str">
        <f t="shared" si="28"/>
        <v/>
      </c>
      <c r="BS145" s="288" t="str">
        <f t="shared" si="29"/>
        <v/>
      </c>
      <c r="BT145" s="288" t="str">
        <f t="shared" si="30"/>
        <v/>
      </c>
      <c r="BU145" s="288" t="str">
        <f t="shared" si="31"/>
        <v/>
      </c>
      <c r="BV145" s="288" t="str">
        <f t="shared" si="32"/>
        <v/>
      </c>
      <c r="BW145" s="288" t="str">
        <f t="shared" si="33"/>
        <v/>
      </c>
      <c r="BX145" s="288" t="str">
        <f t="shared" si="34"/>
        <v/>
      </c>
      <c r="BY145" s="288" t="str">
        <f t="shared" si="35"/>
        <v/>
      </c>
      <c r="BZ145" s="289"/>
    </row>
    <row r="146" spans="1:78" ht="15" customHeight="1">
      <c r="A146" s="276">
        <f>IF('Statement of Marks'!A149="","",'Statement of Marks'!A149)</f>
        <v>143</v>
      </c>
      <c r="B146" s="277" t="str">
        <f>IF('Statement of Marks'!B149="","",'Statement of Marks'!B149)</f>
        <v/>
      </c>
      <c r="C146" s="278" t="str">
        <f>IF('Statement of Marks'!D149="","",'Statement of Marks'!D149)</f>
        <v/>
      </c>
      <c r="D146" s="314" t="str">
        <f>IF('Statement of Marks'!E149="","",'Statement of Marks'!E149)</f>
        <v/>
      </c>
      <c r="E146" s="279" t="str">
        <f>IF('Statement of Marks'!F149="","",'Statement of Marks'!F149)</f>
        <v/>
      </c>
      <c r="F146" s="279" t="str">
        <f>IF('Statement of Marks'!G149="","",'Statement of Marks'!G149)</f>
        <v/>
      </c>
      <c r="G146" s="279" t="str">
        <f>IF('Statement of Marks'!H149="","",'Statement of Marks'!H149)</f>
        <v/>
      </c>
      <c r="H146" s="280" t="str">
        <f>IF('Statement of Marks'!I149="","",'Statement of Marks'!I149)</f>
        <v/>
      </c>
      <c r="I146" s="280" t="str">
        <f>IF('Statement of Marks'!J149="","",'Statement of Marks'!J149)</f>
        <v/>
      </c>
      <c r="J146" s="827" t="str">
        <f>IF('Statement of Marks'!HS149="","",'Statement of Marks'!HS149)</f>
        <v/>
      </c>
      <c r="K146" s="281" t="str">
        <f>IF('Statement of Marks'!HT149="","",'Statement of Marks'!HT149)</f>
        <v/>
      </c>
      <c r="L146" s="828" t="str">
        <f>IF('Statement of Marks'!HW149="","",'Statement of Marks'!HW149)</f>
        <v/>
      </c>
      <c r="M146" s="281" t="str">
        <f>IF('Statement of Marks'!HV149="","",'Statement of Marks'!HV149)</f>
        <v/>
      </c>
      <c r="N146" s="829" t="str">
        <f>IF('Statement of Marks'!HX149="","",'Statement of Marks'!HX149)</f>
        <v/>
      </c>
      <c r="O146" s="282" t="str">
        <f>IF(J146="FAIL","",IF('Statement of Marks'!HO149="","",'Statement of Marks'!HO149))</f>
        <v xml:space="preserve">      </v>
      </c>
      <c r="P146" s="283" t="str">
        <f>IF('Supp. Result Entry'!AQ147="","",'Supp. Result Entry'!AQ147)</f>
        <v/>
      </c>
      <c r="Q146" s="284" t="str">
        <f>IF('Supp. Result Entry'!AR147="","",'Supp. Result Entry'!AR147)</f>
        <v/>
      </c>
      <c r="R146" s="285" t="str">
        <f>IF('Statement of Marks'!IA149="","",'Statement of Marks'!IA149)</f>
        <v/>
      </c>
      <c r="S146" s="286" t="str">
        <f>IF('Statement of Marks'!GL149="","",'Statement of Marks'!GL149)</f>
        <v/>
      </c>
      <c r="BM146" s="287" t="str">
        <f>'Statement of Marks'!F149</f>
        <v/>
      </c>
      <c r="BN146" s="288" t="str">
        <f t="shared" si="24"/>
        <v/>
      </c>
      <c r="BO146" s="288" t="str">
        <f t="shared" si="25"/>
        <v/>
      </c>
      <c r="BP146" s="288" t="str">
        <f t="shared" si="26"/>
        <v/>
      </c>
      <c r="BQ146" s="288" t="str">
        <f t="shared" si="27"/>
        <v/>
      </c>
      <c r="BR146" s="288" t="str">
        <f t="shared" si="28"/>
        <v/>
      </c>
      <c r="BS146" s="288" t="str">
        <f t="shared" si="29"/>
        <v/>
      </c>
      <c r="BT146" s="288" t="str">
        <f t="shared" si="30"/>
        <v/>
      </c>
      <c r="BU146" s="288" t="str">
        <f t="shared" si="31"/>
        <v/>
      </c>
      <c r="BV146" s="288" t="str">
        <f t="shared" si="32"/>
        <v/>
      </c>
      <c r="BW146" s="288" t="str">
        <f t="shared" si="33"/>
        <v/>
      </c>
      <c r="BX146" s="288" t="str">
        <f t="shared" si="34"/>
        <v/>
      </c>
      <c r="BY146" s="288" t="str">
        <f t="shared" si="35"/>
        <v/>
      </c>
      <c r="BZ146" s="289"/>
    </row>
    <row r="147" spans="1:78" ht="15" customHeight="1">
      <c r="A147" s="276">
        <f>IF('Statement of Marks'!A150="","",'Statement of Marks'!A150)</f>
        <v>144</v>
      </c>
      <c r="B147" s="277" t="str">
        <f>IF('Statement of Marks'!B150="","",'Statement of Marks'!B150)</f>
        <v/>
      </c>
      <c r="C147" s="278" t="str">
        <f>IF('Statement of Marks'!D150="","",'Statement of Marks'!D150)</f>
        <v/>
      </c>
      <c r="D147" s="314" t="str">
        <f>IF('Statement of Marks'!E150="","",'Statement of Marks'!E150)</f>
        <v/>
      </c>
      <c r="E147" s="279" t="str">
        <f>IF('Statement of Marks'!F150="","",'Statement of Marks'!F150)</f>
        <v/>
      </c>
      <c r="F147" s="279" t="str">
        <f>IF('Statement of Marks'!G150="","",'Statement of Marks'!G150)</f>
        <v/>
      </c>
      <c r="G147" s="279" t="str">
        <f>IF('Statement of Marks'!H150="","",'Statement of Marks'!H150)</f>
        <v/>
      </c>
      <c r="H147" s="280" t="str">
        <f>IF('Statement of Marks'!I150="","",'Statement of Marks'!I150)</f>
        <v/>
      </c>
      <c r="I147" s="280" t="str">
        <f>IF('Statement of Marks'!J150="","",'Statement of Marks'!J150)</f>
        <v/>
      </c>
      <c r="J147" s="827" t="str">
        <f>IF('Statement of Marks'!HS150="","",'Statement of Marks'!HS150)</f>
        <v/>
      </c>
      <c r="K147" s="281" t="str">
        <f>IF('Statement of Marks'!HT150="","",'Statement of Marks'!HT150)</f>
        <v/>
      </c>
      <c r="L147" s="828" t="str">
        <f>IF('Statement of Marks'!HW150="","",'Statement of Marks'!HW150)</f>
        <v/>
      </c>
      <c r="M147" s="281" t="str">
        <f>IF('Statement of Marks'!HV150="","",'Statement of Marks'!HV150)</f>
        <v/>
      </c>
      <c r="N147" s="829" t="str">
        <f>IF('Statement of Marks'!HX150="","",'Statement of Marks'!HX150)</f>
        <v/>
      </c>
      <c r="O147" s="282" t="str">
        <f>IF(J147="FAIL","",IF('Statement of Marks'!HO150="","",'Statement of Marks'!HO150))</f>
        <v xml:space="preserve">      </v>
      </c>
      <c r="P147" s="283" t="str">
        <f>IF('Supp. Result Entry'!AQ148="","",'Supp. Result Entry'!AQ148)</f>
        <v/>
      </c>
      <c r="Q147" s="284" t="str">
        <f>IF('Supp. Result Entry'!AR148="","",'Supp. Result Entry'!AR148)</f>
        <v/>
      </c>
      <c r="R147" s="285" t="str">
        <f>IF('Statement of Marks'!IA150="","",'Statement of Marks'!IA150)</f>
        <v/>
      </c>
      <c r="S147" s="286" t="str">
        <f>IF('Statement of Marks'!GL150="","",'Statement of Marks'!GL150)</f>
        <v/>
      </c>
      <c r="BM147" s="287" t="str">
        <f>'Statement of Marks'!F150</f>
        <v/>
      </c>
      <c r="BN147" s="288" t="str">
        <f t="shared" si="24"/>
        <v/>
      </c>
      <c r="BO147" s="288" t="str">
        <f t="shared" si="25"/>
        <v/>
      </c>
      <c r="BP147" s="288" t="str">
        <f t="shared" si="26"/>
        <v/>
      </c>
      <c r="BQ147" s="288" t="str">
        <f t="shared" si="27"/>
        <v/>
      </c>
      <c r="BR147" s="288" t="str">
        <f t="shared" si="28"/>
        <v/>
      </c>
      <c r="BS147" s="288" t="str">
        <f t="shared" si="29"/>
        <v/>
      </c>
      <c r="BT147" s="288" t="str">
        <f t="shared" si="30"/>
        <v/>
      </c>
      <c r="BU147" s="288" t="str">
        <f t="shared" si="31"/>
        <v/>
      </c>
      <c r="BV147" s="288" t="str">
        <f t="shared" si="32"/>
        <v/>
      </c>
      <c r="BW147" s="288" t="str">
        <f t="shared" si="33"/>
        <v/>
      </c>
      <c r="BX147" s="288" t="str">
        <f t="shared" si="34"/>
        <v/>
      </c>
      <c r="BY147" s="288" t="str">
        <f t="shared" si="35"/>
        <v/>
      </c>
      <c r="BZ147" s="289"/>
    </row>
    <row r="148" spans="1:78" ht="15" customHeight="1">
      <c r="A148" s="276">
        <f>IF('Statement of Marks'!A151="","",'Statement of Marks'!A151)</f>
        <v>145</v>
      </c>
      <c r="B148" s="277" t="str">
        <f>IF('Statement of Marks'!B151="","",'Statement of Marks'!B151)</f>
        <v/>
      </c>
      <c r="C148" s="278" t="str">
        <f>IF('Statement of Marks'!D151="","",'Statement of Marks'!D151)</f>
        <v/>
      </c>
      <c r="D148" s="314" t="str">
        <f>IF('Statement of Marks'!E151="","",'Statement of Marks'!E151)</f>
        <v/>
      </c>
      <c r="E148" s="279" t="str">
        <f>IF('Statement of Marks'!F151="","",'Statement of Marks'!F151)</f>
        <v/>
      </c>
      <c r="F148" s="279" t="str">
        <f>IF('Statement of Marks'!G151="","",'Statement of Marks'!G151)</f>
        <v/>
      </c>
      <c r="G148" s="279" t="str">
        <f>IF('Statement of Marks'!H151="","",'Statement of Marks'!H151)</f>
        <v/>
      </c>
      <c r="H148" s="280" t="str">
        <f>IF('Statement of Marks'!I151="","",'Statement of Marks'!I151)</f>
        <v/>
      </c>
      <c r="I148" s="280" t="str">
        <f>IF('Statement of Marks'!J151="","",'Statement of Marks'!J151)</f>
        <v/>
      </c>
      <c r="J148" s="826" t="str">
        <f>IF('Statement of Marks'!HS151="","",'Statement of Marks'!HS151)</f>
        <v/>
      </c>
      <c r="K148" s="281" t="str">
        <f>IF('Statement of Marks'!HT151="","",'Statement of Marks'!HT151)</f>
        <v/>
      </c>
      <c r="L148" s="828" t="str">
        <f>IF('Statement of Marks'!HW151="","",'Statement of Marks'!HW151)</f>
        <v/>
      </c>
      <c r="M148" s="281" t="str">
        <f>IF('Statement of Marks'!HV151="","",'Statement of Marks'!HV151)</f>
        <v/>
      </c>
      <c r="N148" s="829" t="str">
        <f>IF('Statement of Marks'!HX151="","",'Statement of Marks'!HX151)</f>
        <v/>
      </c>
      <c r="O148" s="282" t="str">
        <f>IF(J148="FAIL","",IF('Statement of Marks'!HO151="","",'Statement of Marks'!HO151))</f>
        <v xml:space="preserve">      </v>
      </c>
      <c r="P148" s="283" t="str">
        <f>IF('Supp. Result Entry'!AQ149="","",'Supp. Result Entry'!AQ149)</f>
        <v/>
      </c>
      <c r="Q148" s="284" t="str">
        <f>IF('Supp. Result Entry'!AR149="","",'Supp. Result Entry'!AR149)</f>
        <v/>
      </c>
      <c r="R148" s="285" t="str">
        <f>IF('Statement of Marks'!IA151="","",'Statement of Marks'!IA151)</f>
        <v/>
      </c>
      <c r="S148" s="286" t="str">
        <f>IF('Statement of Marks'!GL151="","",'Statement of Marks'!GL151)</f>
        <v/>
      </c>
      <c r="BM148" s="287" t="str">
        <f>'Statement of Marks'!F151</f>
        <v/>
      </c>
      <c r="BN148" s="288" t="str">
        <f t="shared" si="24"/>
        <v/>
      </c>
      <c r="BO148" s="288" t="str">
        <f t="shared" si="25"/>
        <v/>
      </c>
      <c r="BP148" s="288" t="str">
        <f t="shared" si="26"/>
        <v/>
      </c>
      <c r="BQ148" s="288" t="str">
        <f t="shared" si="27"/>
        <v/>
      </c>
      <c r="BR148" s="288" t="str">
        <f t="shared" si="28"/>
        <v/>
      </c>
      <c r="BS148" s="288" t="str">
        <f t="shared" si="29"/>
        <v/>
      </c>
      <c r="BT148" s="288" t="str">
        <f t="shared" si="30"/>
        <v/>
      </c>
      <c r="BU148" s="288" t="str">
        <f t="shared" si="31"/>
        <v/>
      </c>
      <c r="BV148" s="288" t="str">
        <f t="shared" si="32"/>
        <v/>
      </c>
      <c r="BW148" s="288" t="str">
        <f t="shared" si="33"/>
        <v/>
      </c>
      <c r="BX148" s="288" t="str">
        <f t="shared" si="34"/>
        <v/>
      </c>
      <c r="BY148" s="288" t="str">
        <f t="shared" si="35"/>
        <v/>
      </c>
      <c r="BZ148" s="289"/>
    </row>
    <row r="149" spans="1:78" ht="15" customHeight="1">
      <c r="A149" s="276">
        <f>IF('Statement of Marks'!A152="","",'Statement of Marks'!A152)</f>
        <v>146</v>
      </c>
      <c r="B149" s="277" t="str">
        <f>IF('Statement of Marks'!B152="","",'Statement of Marks'!B152)</f>
        <v/>
      </c>
      <c r="C149" s="278" t="str">
        <f>IF('Statement of Marks'!D152="","",'Statement of Marks'!D152)</f>
        <v/>
      </c>
      <c r="D149" s="314" t="str">
        <f>IF('Statement of Marks'!E152="","",'Statement of Marks'!E152)</f>
        <v/>
      </c>
      <c r="E149" s="279" t="str">
        <f>IF('Statement of Marks'!F152="","",'Statement of Marks'!F152)</f>
        <v/>
      </c>
      <c r="F149" s="279" t="str">
        <f>IF('Statement of Marks'!G152="","",'Statement of Marks'!G152)</f>
        <v/>
      </c>
      <c r="G149" s="279" t="str">
        <f>IF('Statement of Marks'!H152="","",'Statement of Marks'!H152)</f>
        <v/>
      </c>
      <c r="H149" s="280" t="str">
        <f>IF('Statement of Marks'!I152="","",'Statement of Marks'!I152)</f>
        <v/>
      </c>
      <c r="I149" s="280" t="str">
        <f>IF('Statement of Marks'!J152="","",'Statement of Marks'!J152)</f>
        <v/>
      </c>
      <c r="J149" s="827" t="str">
        <f>IF('Statement of Marks'!HS152="","",'Statement of Marks'!HS152)</f>
        <v/>
      </c>
      <c r="K149" s="281" t="str">
        <f>IF('Statement of Marks'!HT152="","",'Statement of Marks'!HT152)</f>
        <v/>
      </c>
      <c r="L149" s="828" t="str">
        <f>IF('Statement of Marks'!HW152="","",'Statement of Marks'!HW152)</f>
        <v/>
      </c>
      <c r="M149" s="281" t="str">
        <f>IF('Statement of Marks'!HV152="","",'Statement of Marks'!HV152)</f>
        <v/>
      </c>
      <c r="N149" s="829" t="str">
        <f>IF('Statement of Marks'!HX152="","",'Statement of Marks'!HX152)</f>
        <v/>
      </c>
      <c r="O149" s="282" t="str">
        <f>IF(J149="FAIL","",IF('Statement of Marks'!HO152="","",'Statement of Marks'!HO152))</f>
        <v xml:space="preserve">      </v>
      </c>
      <c r="P149" s="283" t="str">
        <f>IF('Supp. Result Entry'!AQ150="","",'Supp. Result Entry'!AQ150)</f>
        <v/>
      </c>
      <c r="Q149" s="284" t="str">
        <f>IF('Supp. Result Entry'!AR150="","",'Supp. Result Entry'!AR150)</f>
        <v/>
      </c>
      <c r="R149" s="285" t="str">
        <f>IF('Statement of Marks'!IA152="","",'Statement of Marks'!IA152)</f>
        <v/>
      </c>
      <c r="S149" s="286" t="str">
        <f>IF('Statement of Marks'!GL152="","",'Statement of Marks'!GL152)</f>
        <v/>
      </c>
      <c r="BM149" s="287" t="str">
        <f>'Statement of Marks'!F152</f>
        <v/>
      </c>
      <c r="BN149" s="288" t="str">
        <f t="shared" si="24"/>
        <v/>
      </c>
      <c r="BO149" s="288" t="str">
        <f t="shared" si="25"/>
        <v/>
      </c>
      <c r="BP149" s="288" t="str">
        <f t="shared" si="26"/>
        <v/>
      </c>
      <c r="BQ149" s="288" t="str">
        <f t="shared" si="27"/>
        <v/>
      </c>
      <c r="BR149" s="288" t="str">
        <f t="shared" si="28"/>
        <v/>
      </c>
      <c r="BS149" s="288" t="str">
        <f t="shared" si="29"/>
        <v/>
      </c>
      <c r="BT149" s="288" t="str">
        <f t="shared" si="30"/>
        <v/>
      </c>
      <c r="BU149" s="288" t="str">
        <f t="shared" si="31"/>
        <v/>
      </c>
      <c r="BV149" s="288" t="str">
        <f t="shared" si="32"/>
        <v/>
      </c>
      <c r="BW149" s="288" t="str">
        <f t="shared" si="33"/>
        <v/>
      </c>
      <c r="BX149" s="288" t="str">
        <f t="shared" si="34"/>
        <v/>
      </c>
      <c r="BY149" s="288" t="str">
        <f t="shared" si="35"/>
        <v/>
      </c>
      <c r="BZ149" s="289"/>
    </row>
    <row r="150" spans="1:78" ht="15" customHeight="1">
      <c r="A150" s="276">
        <f>IF('Statement of Marks'!A153="","",'Statement of Marks'!A153)</f>
        <v>147</v>
      </c>
      <c r="B150" s="277" t="str">
        <f>IF('Statement of Marks'!B153="","",'Statement of Marks'!B153)</f>
        <v/>
      </c>
      <c r="C150" s="278" t="str">
        <f>IF('Statement of Marks'!D153="","",'Statement of Marks'!D153)</f>
        <v/>
      </c>
      <c r="D150" s="314" t="str">
        <f>IF('Statement of Marks'!E153="","",'Statement of Marks'!E153)</f>
        <v/>
      </c>
      <c r="E150" s="279" t="str">
        <f>IF('Statement of Marks'!F153="","",'Statement of Marks'!F153)</f>
        <v/>
      </c>
      <c r="F150" s="279" t="str">
        <f>IF('Statement of Marks'!G153="","",'Statement of Marks'!G153)</f>
        <v/>
      </c>
      <c r="G150" s="279" t="str">
        <f>IF('Statement of Marks'!H153="","",'Statement of Marks'!H153)</f>
        <v/>
      </c>
      <c r="H150" s="280" t="str">
        <f>IF('Statement of Marks'!I153="","",'Statement of Marks'!I153)</f>
        <v/>
      </c>
      <c r="I150" s="280" t="str">
        <f>IF('Statement of Marks'!J153="","",'Statement of Marks'!J153)</f>
        <v/>
      </c>
      <c r="J150" s="827" t="str">
        <f>IF('Statement of Marks'!HS153="","",'Statement of Marks'!HS153)</f>
        <v/>
      </c>
      <c r="K150" s="281" t="str">
        <f>IF('Statement of Marks'!HT153="","",'Statement of Marks'!HT153)</f>
        <v/>
      </c>
      <c r="L150" s="828" t="str">
        <f>IF('Statement of Marks'!HW153="","",'Statement of Marks'!HW153)</f>
        <v/>
      </c>
      <c r="M150" s="281" t="str">
        <f>IF('Statement of Marks'!HV153="","",'Statement of Marks'!HV153)</f>
        <v/>
      </c>
      <c r="N150" s="829" t="str">
        <f>IF('Statement of Marks'!HX153="","",'Statement of Marks'!HX153)</f>
        <v/>
      </c>
      <c r="O150" s="282" t="str">
        <f>IF(J150="FAIL","",IF('Statement of Marks'!HO153="","",'Statement of Marks'!HO153))</f>
        <v xml:space="preserve">      </v>
      </c>
      <c r="P150" s="283" t="str">
        <f>IF('Supp. Result Entry'!AQ151="","",'Supp. Result Entry'!AQ151)</f>
        <v/>
      </c>
      <c r="Q150" s="284" t="str">
        <f>IF('Supp. Result Entry'!AR151="","",'Supp. Result Entry'!AR151)</f>
        <v/>
      </c>
      <c r="R150" s="285" t="str">
        <f>IF('Statement of Marks'!IA153="","",'Statement of Marks'!IA153)</f>
        <v/>
      </c>
      <c r="S150" s="286" t="str">
        <f>IF('Statement of Marks'!GL153="","",'Statement of Marks'!GL153)</f>
        <v/>
      </c>
      <c r="BM150" s="287" t="str">
        <f>'Statement of Marks'!F153</f>
        <v/>
      </c>
      <c r="BN150" s="288" t="str">
        <f t="shared" si="24"/>
        <v/>
      </c>
      <c r="BO150" s="288" t="str">
        <f t="shared" si="25"/>
        <v/>
      </c>
      <c r="BP150" s="288" t="str">
        <f t="shared" si="26"/>
        <v/>
      </c>
      <c r="BQ150" s="288" t="str">
        <f t="shared" si="27"/>
        <v/>
      </c>
      <c r="BR150" s="288" t="str">
        <f t="shared" si="28"/>
        <v/>
      </c>
      <c r="BS150" s="288" t="str">
        <f t="shared" si="29"/>
        <v/>
      </c>
      <c r="BT150" s="288" t="str">
        <f t="shared" si="30"/>
        <v/>
      </c>
      <c r="BU150" s="288" t="str">
        <f t="shared" si="31"/>
        <v/>
      </c>
      <c r="BV150" s="288" t="str">
        <f t="shared" si="32"/>
        <v/>
      </c>
      <c r="BW150" s="288" t="str">
        <f t="shared" si="33"/>
        <v/>
      </c>
      <c r="BX150" s="288" t="str">
        <f t="shared" si="34"/>
        <v/>
      </c>
      <c r="BY150" s="288" t="str">
        <f t="shared" si="35"/>
        <v/>
      </c>
      <c r="BZ150" s="289"/>
    </row>
    <row r="151" spans="1:78" ht="15" customHeight="1">
      <c r="A151" s="276">
        <f>IF('Statement of Marks'!A154="","",'Statement of Marks'!A154)</f>
        <v>148</v>
      </c>
      <c r="B151" s="277" t="str">
        <f>IF('Statement of Marks'!B154="","",'Statement of Marks'!B154)</f>
        <v/>
      </c>
      <c r="C151" s="278" t="str">
        <f>IF('Statement of Marks'!D154="","",'Statement of Marks'!D154)</f>
        <v/>
      </c>
      <c r="D151" s="314" t="str">
        <f>IF('Statement of Marks'!E154="","",'Statement of Marks'!E154)</f>
        <v/>
      </c>
      <c r="E151" s="279" t="str">
        <f>IF('Statement of Marks'!F154="","",'Statement of Marks'!F154)</f>
        <v/>
      </c>
      <c r="F151" s="279" t="str">
        <f>IF('Statement of Marks'!G154="","",'Statement of Marks'!G154)</f>
        <v/>
      </c>
      <c r="G151" s="279" t="str">
        <f>IF('Statement of Marks'!H154="","",'Statement of Marks'!H154)</f>
        <v/>
      </c>
      <c r="H151" s="280" t="str">
        <f>IF('Statement of Marks'!I154="","",'Statement of Marks'!I154)</f>
        <v/>
      </c>
      <c r="I151" s="280" t="str">
        <f>IF('Statement of Marks'!J154="","",'Statement of Marks'!J154)</f>
        <v/>
      </c>
      <c r="J151" s="827" t="str">
        <f>IF('Statement of Marks'!HS154="","",'Statement of Marks'!HS154)</f>
        <v/>
      </c>
      <c r="K151" s="281" t="str">
        <f>IF('Statement of Marks'!HT154="","",'Statement of Marks'!HT154)</f>
        <v/>
      </c>
      <c r="L151" s="828" t="str">
        <f>IF('Statement of Marks'!HW154="","",'Statement of Marks'!HW154)</f>
        <v/>
      </c>
      <c r="M151" s="281" t="str">
        <f>IF('Statement of Marks'!HV154="","",'Statement of Marks'!HV154)</f>
        <v/>
      </c>
      <c r="N151" s="829" t="str">
        <f>IF('Statement of Marks'!HX154="","",'Statement of Marks'!HX154)</f>
        <v/>
      </c>
      <c r="O151" s="282" t="str">
        <f>IF(J151="FAIL","",IF('Statement of Marks'!HO154="","",'Statement of Marks'!HO154))</f>
        <v xml:space="preserve">      </v>
      </c>
      <c r="P151" s="283" t="str">
        <f>IF('Supp. Result Entry'!AQ152="","",'Supp. Result Entry'!AQ152)</f>
        <v/>
      </c>
      <c r="Q151" s="284" t="str">
        <f>IF('Supp. Result Entry'!AR152="","",'Supp. Result Entry'!AR152)</f>
        <v/>
      </c>
      <c r="R151" s="285" t="str">
        <f>IF('Statement of Marks'!IA154="","",'Statement of Marks'!IA154)</f>
        <v/>
      </c>
      <c r="S151" s="286" t="str">
        <f>IF('Statement of Marks'!GL154="","",'Statement of Marks'!GL154)</f>
        <v/>
      </c>
      <c r="BM151" s="287" t="str">
        <f>'Statement of Marks'!F154</f>
        <v/>
      </c>
      <c r="BN151" s="288" t="str">
        <f t="shared" si="24"/>
        <v/>
      </c>
      <c r="BO151" s="288" t="str">
        <f t="shared" si="25"/>
        <v/>
      </c>
      <c r="BP151" s="288" t="str">
        <f t="shared" si="26"/>
        <v/>
      </c>
      <c r="BQ151" s="288" t="str">
        <f t="shared" si="27"/>
        <v/>
      </c>
      <c r="BR151" s="288" t="str">
        <f t="shared" si="28"/>
        <v/>
      </c>
      <c r="BS151" s="288" t="str">
        <f t="shared" si="29"/>
        <v/>
      </c>
      <c r="BT151" s="288" t="str">
        <f t="shared" si="30"/>
        <v/>
      </c>
      <c r="BU151" s="288" t="str">
        <f t="shared" si="31"/>
        <v/>
      </c>
      <c r="BV151" s="288" t="str">
        <f t="shared" si="32"/>
        <v/>
      </c>
      <c r="BW151" s="288" t="str">
        <f t="shared" si="33"/>
        <v/>
      </c>
      <c r="BX151" s="288" t="str">
        <f t="shared" si="34"/>
        <v/>
      </c>
      <c r="BY151" s="288" t="str">
        <f t="shared" si="35"/>
        <v/>
      </c>
      <c r="BZ151" s="289"/>
    </row>
    <row r="152" spans="1:78" ht="15" customHeight="1">
      <c r="A152" s="276">
        <f>IF('Statement of Marks'!A155="","",'Statement of Marks'!A155)</f>
        <v>149</v>
      </c>
      <c r="B152" s="277" t="str">
        <f>IF('Statement of Marks'!B155="","",'Statement of Marks'!B155)</f>
        <v/>
      </c>
      <c r="C152" s="278" t="str">
        <f>IF('Statement of Marks'!D155="","",'Statement of Marks'!D155)</f>
        <v/>
      </c>
      <c r="D152" s="314" t="str">
        <f>IF('Statement of Marks'!E155="","",'Statement of Marks'!E155)</f>
        <v/>
      </c>
      <c r="E152" s="279" t="str">
        <f>IF('Statement of Marks'!F155="","",'Statement of Marks'!F155)</f>
        <v/>
      </c>
      <c r="F152" s="279" t="str">
        <f>IF('Statement of Marks'!G155="","",'Statement of Marks'!G155)</f>
        <v/>
      </c>
      <c r="G152" s="279" t="str">
        <f>IF('Statement of Marks'!H155="","",'Statement of Marks'!H155)</f>
        <v/>
      </c>
      <c r="H152" s="280" t="str">
        <f>IF('Statement of Marks'!I155="","",'Statement of Marks'!I155)</f>
        <v/>
      </c>
      <c r="I152" s="280" t="str">
        <f>IF('Statement of Marks'!J155="","",'Statement of Marks'!J155)</f>
        <v/>
      </c>
      <c r="J152" s="827" t="str">
        <f>IF('Statement of Marks'!HS155="","",'Statement of Marks'!HS155)</f>
        <v/>
      </c>
      <c r="K152" s="281" t="str">
        <f>IF('Statement of Marks'!HT155="","",'Statement of Marks'!HT155)</f>
        <v/>
      </c>
      <c r="L152" s="828" t="str">
        <f>IF('Statement of Marks'!HW155="","",'Statement of Marks'!HW155)</f>
        <v/>
      </c>
      <c r="M152" s="281" t="str">
        <f>IF('Statement of Marks'!HV155="","",'Statement of Marks'!HV155)</f>
        <v/>
      </c>
      <c r="N152" s="829" t="str">
        <f>IF('Statement of Marks'!HX155="","",'Statement of Marks'!HX155)</f>
        <v/>
      </c>
      <c r="O152" s="282" t="str">
        <f>IF(J152="FAIL","",IF('Statement of Marks'!HO155="","",'Statement of Marks'!HO155))</f>
        <v xml:space="preserve">      </v>
      </c>
      <c r="P152" s="283" t="str">
        <f>IF('Supp. Result Entry'!AQ153="","",'Supp. Result Entry'!AQ153)</f>
        <v/>
      </c>
      <c r="Q152" s="284" t="str">
        <f>IF('Supp. Result Entry'!AR153="","",'Supp. Result Entry'!AR153)</f>
        <v/>
      </c>
      <c r="R152" s="285" t="str">
        <f>IF('Statement of Marks'!IA155="","",'Statement of Marks'!IA155)</f>
        <v/>
      </c>
      <c r="S152" s="286" t="str">
        <f>IF('Statement of Marks'!GL155="","",'Statement of Marks'!GL155)</f>
        <v/>
      </c>
      <c r="BM152" s="287" t="str">
        <f>'Statement of Marks'!F155</f>
        <v/>
      </c>
      <c r="BN152" s="288" t="str">
        <f t="shared" si="24"/>
        <v/>
      </c>
      <c r="BO152" s="288" t="str">
        <f t="shared" si="25"/>
        <v/>
      </c>
      <c r="BP152" s="288" t="str">
        <f t="shared" si="26"/>
        <v/>
      </c>
      <c r="BQ152" s="288" t="str">
        <f t="shared" si="27"/>
        <v/>
      </c>
      <c r="BR152" s="288" t="str">
        <f t="shared" si="28"/>
        <v/>
      </c>
      <c r="BS152" s="288" t="str">
        <f t="shared" si="29"/>
        <v/>
      </c>
      <c r="BT152" s="288" t="str">
        <f t="shared" si="30"/>
        <v/>
      </c>
      <c r="BU152" s="288" t="str">
        <f t="shared" si="31"/>
        <v/>
      </c>
      <c r="BV152" s="288" t="str">
        <f t="shared" si="32"/>
        <v/>
      </c>
      <c r="BW152" s="288" t="str">
        <f t="shared" si="33"/>
        <v/>
      </c>
      <c r="BX152" s="288" t="str">
        <f t="shared" si="34"/>
        <v/>
      </c>
      <c r="BY152" s="288" t="str">
        <f t="shared" si="35"/>
        <v/>
      </c>
      <c r="BZ152" s="289"/>
    </row>
    <row r="153" spans="1:78" ht="15" customHeight="1">
      <c r="A153" s="276">
        <f>IF('Statement of Marks'!A156="","",'Statement of Marks'!A156)</f>
        <v>150</v>
      </c>
      <c r="B153" s="277" t="str">
        <f>IF('Statement of Marks'!B156="","",'Statement of Marks'!B156)</f>
        <v/>
      </c>
      <c r="C153" s="278" t="str">
        <f>IF('Statement of Marks'!D156="","",'Statement of Marks'!D156)</f>
        <v/>
      </c>
      <c r="D153" s="314" t="str">
        <f>IF('Statement of Marks'!E156="","",'Statement of Marks'!E156)</f>
        <v/>
      </c>
      <c r="E153" s="279" t="str">
        <f>IF('Statement of Marks'!F156="","",'Statement of Marks'!F156)</f>
        <v/>
      </c>
      <c r="F153" s="279" t="str">
        <f>IF('Statement of Marks'!G156="","",'Statement of Marks'!G156)</f>
        <v/>
      </c>
      <c r="G153" s="279" t="str">
        <f>IF('Statement of Marks'!H156="","",'Statement of Marks'!H156)</f>
        <v/>
      </c>
      <c r="H153" s="280" t="str">
        <f>IF('Statement of Marks'!I156="","",'Statement of Marks'!I156)</f>
        <v/>
      </c>
      <c r="I153" s="280" t="str">
        <f>IF('Statement of Marks'!J156="","",'Statement of Marks'!J156)</f>
        <v/>
      </c>
      <c r="J153" s="827" t="str">
        <f>IF('Statement of Marks'!HS156="","",'Statement of Marks'!HS156)</f>
        <v/>
      </c>
      <c r="K153" s="281" t="str">
        <f>IF('Statement of Marks'!HT156="","",'Statement of Marks'!HT156)</f>
        <v/>
      </c>
      <c r="L153" s="828" t="str">
        <f>IF('Statement of Marks'!HW156="","",'Statement of Marks'!HW156)</f>
        <v/>
      </c>
      <c r="M153" s="281" t="str">
        <f>IF('Statement of Marks'!HV156="","",'Statement of Marks'!HV156)</f>
        <v/>
      </c>
      <c r="N153" s="829" t="str">
        <f>IF('Statement of Marks'!HX156="","",'Statement of Marks'!HX156)</f>
        <v/>
      </c>
      <c r="O153" s="282" t="str">
        <f>IF(J153="FAIL","",IF('Statement of Marks'!HO156="","",'Statement of Marks'!HO156))</f>
        <v xml:space="preserve">      </v>
      </c>
      <c r="P153" s="283" t="str">
        <f>IF('Supp. Result Entry'!AQ154="","",'Supp. Result Entry'!AQ154)</f>
        <v/>
      </c>
      <c r="Q153" s="284" t="str">
        <f>IF('Supp. Result Entry'!AR154="","",'Supp. Result Entry'!AR154)</f>
        <v/>
      </c>
      <c r="R153" s="285" t="str">
        <f>IF('Statement of Marks'!IA156="","",'Statement of Marks'!IA156)</f>
        <v/>
      </c>
      <c r="S153" s="286" t="str">
        <f>IF('Statement of Marks'!GL156="","",'Statement of Marks'!GL156)</f>
        <v/>
      </c>
      <c r="BM153" s="287" t="str">
        <f>'Statement of Marks'!F156</f>
        <v/>
      </c>
      <c r="BN153" s="288" t="str">
        <f t="shared" si="24"/>
        <v/>
      </c>
      <c r="BO153" s="288" t="str">
        <f t="shared" si="25"/>
        <v/>
      </c>
      <c r="BP153" s="288" t="str">
        <f t="shared" si="26"/>
        <v/>
      </c>
      <c r="BQ153" s="288" t="str">
        <f t="shared" si="27"/>
        <v/>
      </c>
      <c r="BR153" s="288" t="str">
        <f t="shared" si="28"/>
        <v/>
      </c>
      <c r="BS153" s="288" t="str">
        <f t="shared" si="29"/>
        <v/>
      </c>
      <c r="BT153" s="288" t="str">
        <f t="shared" si="30"/>
        <v/>
      </c>
      <c r="BU153" s="288" t="str">
        <f t="shared" si="31"/>
        <v/>
      </c>
      <c r="BV153" s="288" t="str">
        <f t="shared" si="32"/>
        <v/>
      </c>
      <c r="BW153" s="288" t="str">
        <f t="shared" si="33"/>
        <v/>
      </c>
      <c r="BX153" s="288" t="str">
        <f t="shared" si="34"/>
        <v/>
      </c>
      <c r="BY153" s="288" t="str">
        <f t="shared" si="35"/>
        <v/>
      </c>
      <c r="BZ153" s="289"/>
    </row>
    <row r="154" spans="1:78" ht="15" customHeight="1">
      <c r="A154" s="276">
        <f>IF('Statement of Marks'!A157="","",'Statement of Marks'!A157)</f>
        <v>151</v>
      </c>
      <c r="B154" s="277" t="str">
        <f>IF('Statement of Marks'!B157="","",'Statement of Marks'!B157)</f>
        <v/>
      </c>
      <c r="C154" s="278" t="str">
        <f>IF('Statement of Marks'!D157="","",'Statement of Marks'!D157)</f>
        <v/>
      </c>
      <c r="D154" s="314" t="str">
        <f>IF('Statement of Marks'!E157="","",'Statement of Marks'!E157)</f>
        <v/>
      </c>
      <c r="E154" s="279" t="str">
        <f>IF('Statement of Marks'!F157="","",'Statement of Marks'!F157)</f>
        <v/>
      </c>
      <c r="F154" s="279" t="str">
        <f>IF('Statement of Marks'!G157="","",'Statement of Marks'!G157)</f>
        <v/>
      </c>
      <c r="G154" s="279" t="str">
        <f>IF('Statement of Marks'!H157="","",'Statement of Marks'!H157)</f>
        <v/>
      </c>
      <c r="H154" s="280" t="str">
        <f>IF('Statement of Marks'!I157="","",'Statement of Marks'!I157)</f>
        <v/>
      </c>
      <c r="I154" s="280" t="str">
        <f>IF('Statement of Marks'!J157="","",'Statement of Marks'!J157)</f>
        <v/>
      </c>
      <c r="J154" s="827" t="str">
        <f>IF('Statement of Marks'!HS157="","",'Statement of Marks'!HS157)</f>
        <v/>
      </c>
      <c r="K154" s="281" t="str">
        <f>IF('Statement of Marks'!HT157="","",'Statement of Marks'!HT157)</f>
        <v/>
      </c>
      <c r="L154" s="828" t="str">
        <f>IF('Statement of Marks'!HW157="","",'Statement of Marks'!HW157)</f>
        <v/>
      </c>
      <c r="M154" s="281" t="str">
        <f>IF('Statement of Marks'!HV157="","",'Statement of Marks'!HV157)</f>
        <v/>
      </c>
      <c r="N154" s="829" t="str">
        <f>IF('Statement of Marks'!HX157="","",'Statement of Marks'!HX157)</f>
        <v/>
      </c>
      <c r="O154" s="282" t="str">
        <f>IF(J154="FAIL","",IF('Statement of Marks'!HO157="","",'Statement of Marks'!HO157))</f>
        <v xml:space="preserve">      </v>
      </c>
      <c r="P154" s="283" t="str">
        <f>IF('Supp. Result Entry'!AQ155="","",'Supp. Result Entry'!AQ155)</f>
        <v/>
      </c>
      <c r="Q154" s="284" t="str">
        <f>IF('Supp. Result Entry'!AR155="","",'Supp. Result Entry'!AR155)</f>
        <v/>
      </c>
      <c r="R154" s="285" t="str">
        <f>IF('Statement of Marks'!IA157="","",'Statement of Marks'!IA157)</f>
        <v/>
      </c>
      <c r="S154" s="286" t="str">
        <f>IF('Statement of Marks'!GL157="","",'Statement of Marks'!GL157)</f>
        <v/>
      </c>
      <c r="BM154" s="287" t="str">
        <f>'Statement of Marks'!F157</f>
        <v/>
      </c>
      <c r="BN154" s="288" t="str">
        <f t="shared" si="24"/>
        <v/>
      </c>
      <c r="BO154" s="288" t="str">
        <f t="shared" si="25"/>
        <v/>
      </c>
      <c r="BP154" s="288" t="str">
        <f t="shared" si="26"/>
        <v/>
      </c>
      <c r="BQ154" s="288" t="str">
        <f t="shared" si="27"/>
        <v/>
      </c>
      <c r="BR154" s="288" t="str">
        <f t="shared" si="28"/>
        <v/>
      </c>
      <c r="BS154" s="288" t="str">
        <f t="shared" si="29"/>
        <v/>
      </c>
      <c r="BT154" s="288" t="str">
        <f t="shared" si="30"/>
        <v/>
      </c>
      <c r="BU154" s="288" t="str">
        <f t="shared" si="31"/>
        <v/>
      </c>
      <c r="BV154" s="288" t="str">
        <f t="shared" si="32"/>
        <v/>
      </c>
      <c r="BW154" s="288" t="str">
        <f t="shared" si="33"/>
        <v/>
      </c>
      <c r="BX154" s="288" t="str">
        <f t="shared" si="34"/>
        <v/>
      </c>
      <c r="BY154" s="288" t="str">
        <f t="shared" si="35"/>
        <v/>
      </c>
      <c r="BZ154" s="289"/>
    </row>
    <row r="155" spans="1:78" ht="15" customHeight="1">
      <c r="A155" s="276">
        <f>IF('Statement of Marks'!A158="","",'Statement of Marks'!A158)</f>
        <v>152</v>
      </c>
      <c r="B155" s="277" t="str">
        <f>IF('Statement of Marks'!B158="","",'Statement of Marks'!B158)</f>
        <v/>
      </c>
      <c r="C155" s="278" t="str">
        <f>IF('Statement of Marks'!D158="","",'Statement of Marks'!D158)</f>
        <v/>
      </c>
      <c r="D155" s="314" t="str">
        <f>IF('Statement of Marks'!E158="","",'Statement of Marks'!E158)</f>
        <v/>
      </c>
      <c r="E155" s="279" t="str">
        <f>IF('Statement of Marks'!F158="","",'Statement of Marks'!F158)</f>
        <v/>
      </c>
      <c r="F155" s="279" t="str">
        <f>IF('Statement of Marks'!G158="","",'Statement of Marks'!G158)</f>
        <v/>
      </c>
      <c r="G155" s="279" t="str">
        <f>IF('Statement of Marks'!H158="","",'Statement of Marks'!H158)</f>
        <v/>
      </c>
      <c r="H155" s="280" t="str">
        <f>IF('Statement of Marks'!I158="","",'Statement of Marks'!I158)</f>
        <v/>
      </c>
      <c r="I155" s="280" t="str">
        <f>IF('Statement of Marks'!J158="","",'Statement of Marks'!J158)</f>
        <v/>
      </c>
      <c r="J155" s="827" t="str">
        <f>IF('Statement of Marks'!HS158="","",'Statement of Marks'!HS158)</f>
        <v/>
      </c>
      <c r="K155" s="281" t="str">
        <f>IF('Statement of Marks'!HT158="","",'Statement of Marks'!HT158)</f>
        <v/>
      </c>
      <c r="L155" s="828" t="str">
        <f>IF('Statement of Marks'!HW158="","",'Statement of Marks'!HW158)</f>
        <v/>
      </c>
      <c r="M155" s="281" t="str">
        <f>IF('Statement of Marks'!HV158="","",'Statement of Marks'!HV158)</f>
        <v/>
      </c>
      <c r="N155" s="829" t="str">
        <f>IF('Statement of Marks'!HX158="","",'Statement of Marks'!HX158)</f>
        <v/>
      </c>
      <c r="O155" s="282" t="str">
        <f>IF(J155="FAIL","",IF('Statement of Marks'!HO158="","",'Statement of Marks'!HO158))</f>
        <v xml:space="preserve">      </v>
      </c>
      <c r="P155" s="283" t="str">
        <f>IF('Supp. Result Entry'!AQ156="","",'Supp. Result Entry'!AQ156)</f>
        <v/>
      </c>
      <c r="Q155" s="284" t="str">
        <f>IF('Supp. Result Entry'!AR156="","",'Supp. Result Entry'!AR156)</f>
        <v/>
      </c>
      <c r="R155" s="285" t="str">
        <f>IF('Statement of Marks'!IA158="","",'Statement of Marks'!IA158)</f>
        <v/>
      </c>
      <c r="S155" s="286" t="str">
        <f>IF('Statement of Marks'!GL158="","",'Statement of Marks'!GL158)</f>
        <v/>
      </c>
      <c r="BM155" s="287" t="str">
        <f>'Statement of Marks'!F158</f>
        <v/>
      </c>
      <c r="BN155" s="288" t="str">
        <f t="shared" si="24"/>
        <v/>
      </c>
      <c r="BO155" s="288" t="str">
        <f t="shared" si="25"/>
        <v/>
      </c>
      <c r="BP155" s="288" t="str">
        <f t="shared" si="26"/>
        <v/>
      </c>
      <c r="BQ155" s="288" t="str">
        <f t="shared" si="27"/>
        <v/>
      </c>
      <c r="BR155" s="288" t="str">
        <f t="shared" si="28"/>
        <v/>
      </c>
      <c r="BS155" s="288" t="str">
        <f t="shared" si="29"/>
        <v/>
      </c>
      <c r="BT155" s="288" t="str">
        <f t="shared" si="30"/>
        <v/>
      </c>
      <c r="BU155" s="288" t="str">
        <f t="shared" si="31"/>
        <v/>
      </c>
      <c r="BV155" s="288" t="str">
        <f t="shared" si="32"/>
        <v/>
      </c>
      <c r="BW155" s="288" t="str">
        <f t="shared" si="33"/>
        <v/>
      </c>
      <c r="BX155" s="288" t="str">
        <f t="shared" si="34"/>
        <v/>
      </c>
      <c r="BY155" s="288" t="str">
        <f t="shared" si="35"/>
        <v/>
      </c>
      <c r="BZ155" s="289"/>
    </row>
    <row r="156" spans="1:78" ht="15" customHeight="1">
      <c r="A156" s="276">
        <f>IF('Statement of Marks'!A159="","",'Statement of Marks'!A159)</f>
        <v>153</v>
      </c>
      <c r="B156" s="277" t="str">
        <f>IF('Statement of Marks'!B159="","",'Statement of Marks'!B159)</f>
        <v/>
      </c>
      <c r="C156" s="278" t="str">
        <f>IF('Statement of Marks'!D159="","",'Statement of Marks'!D159)</f>
        <v/>
      </c>
      <c r="D156" s="314" t="str">
        <f>IF('Statement of Marks'!E159="","",'Statement of Marks'!E159)</f>
        <v/>
      </c>
      <c r="E156" s="279" t="str">
        <f>IF('Statement of Marks'!F159="","",'Statement of Marks'!F159)</f>
        <v/>
      </c>
      <c r="F156" s="279" t="str">
        <f>IF('Statement of Marks'!G159="","",'Statement of Marks'!G159)</f>
        <v/>
      </c>
      <c r="G156" s="279" t="str">
        <f>IF('Statement of Marks'!H159="","",'Statement of Marks'!H159)</f>
        <v/>
      </c>
      <c r="H156" s="280" t="str">
        <f>IF('Statement of Marks'!I159="","",'Statement of Marks'!I159)</f>
        <v/>
      </c>
      <c r="I156" s="280" t="str">
        <f>IF('Statement of Marks'!J159="","",'Statement of Marks'!J159)</f>
        <v/>
      </c>
      <c r="J156" s="827" t="str">
        <f>IF('Statement of Marks'!HS159="","",'Statement of Marks'!HS159)</f>
        <v/>
      </c>
      <c r="K156" s="281" t="str">
        <f>IF('Statement of Marks'!HT159="","",'Statement of Marks'!HT159)</f>
        <v/>
      </c>
      <c r="L156" s="828" t="str">
        <f>IF('Statement of Marks'!HW159="","",'Statement of Marks'!HW159)</f>
        <v/>
      </c>
      <c r="M156" s="281" t="str">
        <f>IF('Statement of Marks'!HV159="","",'Statement of Marks'!HV159)</f>
        <v/>
      </c>
      <c r="N156" s="829" t="str">
        <f>IF('Statement of Marks'!HX159="","",'Statement of Marks'!HX159)</f>
        <v/>
      </c>
      <c r="O156" s="282" t="str">
        <f>IF(J156="FAIL","",IF('Statement of Marks'!HO159="","",'Statement of Marks'!HO159))</f>
        <v xml:space="preserve">      </v>
      </c>
      <c r="P156" s="283" t="str">
        <f>IF('Supp. Result Entry'!AQ157="","",'Supp. Result Entry'!AQ157)</f>
        <v/>
      </c>
      <c r="Q156" s="284" t="str">
        <f>IF('Supp. Result Entry'!AR157="","",'Supp. Result Entry'!AR157)</f>
        <v/>
      </c>
      <c r="R156" s="285" t="str">
        <f>IF('Statement of Marks'!IA159="","",'Statement of Marks'!IA159)</f>
        <v/>
      </c>
      <c r="S156" s="286" t="str">
        <f>IF('Statement of Marks'!GL159="","",'Statement of Marks'!GL159)</f>
        <v/>
      </c>
      <c r="BM156" s="287" t="str">
        <f>'Statement of Marks'!F159</f>
        <v/>
      </c>
      <c r="BN156" s="288" t="str">
        <f t="shared" si="24"/>
        <v/>
      </c>
      <c r="BO156" s="288" t="str">
        <f t="shared" si="25"/>
        <v/>
      </c>
      <c r="BP156" s="288" t="str">
        <f t="shared" si="26"/>
        <v/>
      </c>
      <c r="BQ156" s="288" t="str">
        <f t="shared" si="27"/>
        <v/>
      </c>
      <c r="BR156" s="288" t="str">
        <f t="shared" si="28"/>
        <v/>
      </c>
      <c r="BS156" s="288" t="str">
        <f t="shared" si="29"/>
        <v/>
      </c>
      <c r="BT156" s="288" t="str">
        <f t="shared" si="30"/>
        <v/>
      </c>
      <c r="BU156" s="288" t="str">
        <f t="shared" si="31"/>
        <v/>
      </c>
      <c r="BV156" s="288" t="str">
        <f t="shared" si="32"/>
        <v/>
      </c>
      <c r="BW156" s="288" t="str">
        <f t="shared" si="33"/>
        <v/>
      </c>
      <c r="BX156" s="288" t="str">
        <f t="shared" si="34"/>
        <v/>
      </c>
      <c r="BY156" s="288" t="str">
        <f t="shared" si="35"/>
        <v/>
      </c>
      <c r="BZ156" s="289"/>
    </row>
    <row r="157" spans="1:78" ht="15" customHeight="1">
      <c r="A157" s="276">
        <f>IF('Statement of Marks'!A160="","",'Statement of Marks'!A160)</f>
        <v>154</v>
      </c>
      <c r="B157" s="277" t="str">
        <f>IF('Statement of Marks'!B160="","",'Statement of Marks'!B160)</f>
        <v/>
      </c>
      <c r="C157" s="278" t="str">
        <f>IF('Statement of Marks'!D160="","",'Statement of Marks'!D160)</f>
        <v/>
      </c>
      <c r="D157" s="314" t="str">
        <f>IF('Statement of Marks'!E160="","",'Statement of Marks'!E160)</f>
        <v/>
      </c>
      <c r="E157" s="279" t="str">
        <f>IF('Statement of Marks'!F160="","",'Statement of Marks'!F160)</f>
        <v/>
      </c>
      <c r="F157" s="279" t="str">
        <f>IF('Statement of Marks'!G160="","",'Statement of Marks'!G160)</f>
        <v/>
      </c>
      <c r="G157" s="279" t="str">
        <f>IF('Statement of Marks'!H160="","",'Statement of Marks'!H160)</f>
        <v/>
      </c>
      <c r="H157" s="280" t="str">
        <f>IF('Statement of Marks'!I160="","",'Statement of Marks'!I160)</f>
        <v/>
      </c>
      <c r="I157" s="280" t="str">
        <f>IF('Statement of Marks'!J160="","",'Statement of Marks'!J160)</f>
        <v/>
      </c>
      <c r="J157" s="827" t="str">
        <f>IF('Statement of Marks'!HS160="","",'Statement of Marks'!HS160)</f>
        <v/>
      </c>
      <c r="K157" s="281" t="str">
        <f>IF('Statement of Marks'!HT160="","",'Statement of Marks'!HT160)</f>
        <v/>
      </c>
      <c r="L157" s="828" t="str">
        <f>IF('Statement of Marks'!HW160="","",'Statement of Marks'!HW160)</f>
        <v/>
      </c>
      <c r="M157" s="281" t="str">
        <f>IF('Statement of Marks'!HV160="","",'Statement of Marks'!HV160)</f>
        <v/>
      </c>
      <c r="N157" s="829" t="str">
        <f>IF('Statement of Marks'!HX160="","",'Statement of Marks'!HX160)</f>
        <v/>
      </c>
      <c r="O157" s="282" t="str">
        <f>IF(J157="FAIL","",IF('Statement of Marks'!HO160="","",'Statement of Marks'!HO160))</f>
        <v xml:space="preserve">      </v>
      </c>
      <c r="P157" s="283" t="str">
        <f>IF('Supp. Result Entry'!AQ158="","",'Supp. Result Entry'!AQ158)</f>
        <v/>
      </c>
      <c r="Q157" s="284" t="str">
        <f>IF('Supp. Result Entry'!AR158="","",'Supp. Result Entry'!AR158)</f>
        <v/>
      </c>
      <c r="R157" s="285" t="str">
        <f>IF('Statement of Marks'!IA160="","",'Statement of Marks'!IA160)</f>
        <v/>
      </c>
      <c r="S157" s="286" t="str">
        <f>IF('Statement of Marks'!GL160="","",'Statement of Marks'!GL160)</f>
        <v/>
      </c>
      <c r="BM157" s="287" t="str">
        <f>'Statement of Marks'!F160</f>
        <v/>
      </c>
      <c r="BN157" s="288" t="str">
        <f t="shared" si="24"/>
        <v/>
      </c>
      <c r="BO157" s="288" t="str">
        <f t="shared" si="25"/>
        <v/>
      </c>
      <c r="BP157" s="288" t="str">
        <f t="shared" si="26"/>
        <v/>
      </c>
      <c r="BQ157" s="288" t="str">
        <f t="shared" si="27"/>
        <v/>
      </c>
      <c r="BR157" s="288" t="str">
        <f t="shared" si="28"/>
        <v/>
      </c>
      <c r="BS157" s="288" t="str">
        <f t="shared" si="29"/>
        <v/>
      </c>
      <c r="BT157" s="288" t="str">
        <f t="shared" si="30"/>
        <v/>
      </c>
      <c r="BU157" s="288" t="str">
        <f t="shared" si="31"/>
        <v/>
      </c>
      <c r="BV157" s="288" t="str">
        <f t="shared" si="32"/>
        <v/>
      </c>
      <c r="BW157" s="288" t="str">
        <f t="shared" si="33"/>
        <v/>
      </c>
      <c r="BX157" s="288" t="str">
        <f t="shared" si="34"/>
        <v/>
      </c>
      <c r="BY157" s="288" t="str">
        <f t="shared" si="35"/>
        <v/>
      </c>
      <c r="BZ157" s="289"/>
    </row>
    <row r="158" spans="1:78" ht="15" customHeight="1">
      <c r="A158" s="276">
        <f>IF('Statement of Marks'!A161="","",'Statement of Marks'!A161)</f>
        <v>155</v>
      </c>
      <c r="B158" s="277" t="str">
        <f>IF('Statement of Marks'!B161="","",'Statement of Marks'!B161)</f>
        <v/>
      </c>
      <c r="C158" s="278" t="str">
        <f>IF('Statement of Marks'!D161="","",'Statement of Marks'!D161)</f>
        <v/>
      </c>
      <c r="D158" s="314" t="str">
        <f>IF('Statement of Marks'!E161="","",'Statement of Marks'!E161)</f>
        <v/>
      </c>
      <c r="E158" s="279" t="str">
        <f>IF('Statement of Marks'!F161="","",'Statement of Marks'!F161)</f>
        <v/>
      </c>
      <c r="F158" s="279" t="str">
        <f>IF('Statement of Marks'!G161="","",'Statement of Marks'!G161)</f>
        <v/>
      </c>
      <c r="G158" s="279" t="str">
        <f>IF('Statement of Marks'!H161="","",'Statement of Marks'!H161)</f>
        <v/>
      </c>
      <c r="H158" s="280" t="str">
        <f>IF('Statement of Marks'!I161="","",'Statement of Marks'!I161)</f>
        <v/>
      </c>
      <c r="I158" s="280" t="str">
        <f>IF('Statement of Marks'!J161="","",'Statement of Marks'!J161)</f>
        <v/>
      </c>
      <c r="J158" s="827" t="str">
        <f>IF('Statement of Marks'!HS161="","",'Statement of Marks'!HS161)</f>
        <v/>
      </c>
      <c r="K158" s="281" t="str">
        <f>IF('Statement of Marks'!HT161="","",'Statement of Marks'!HT161)</f>
        <v/>
      </c>
      <c r="L158" s="828" t="str">
        <f>IF('Statement of Marks'!HW161="","",'Statement of Marks'!HW161)</f>
        <v/>
      </c>
      <c r="M158" s="281" t="str">
        <f>IF('Statement of Marks'!HV161="","",'Statement of Marks'!HV161)</f>
        <v/>
      </c>
      <c r="N158" s="829" t="str">
        <f>IF('Statement of Marks'!HX161="","",'Statement of Marks'!HX161)</f>
        <v/>
      </c>
      <c r="O158" s="282" t="str">
        <f>IF(J158="FAIL","",IF('Statement of Marks'!HO161="","",'Statement of Marks'!HO161))</f>
        <v xml:space="preserve">      </v>
      </c>
      <c r="P158" s="283" t="str">
        <f>IF('Supp. Result Entry'!AQ159="","",'Supp. Result Entry'!AQ159)</f>
        <v/>
      </c>
      <c r="Q158" s="284" t="str">
        <f>IF('Supp. Result Entry'!AR159="","",'Supp. Result Entry'!AR159)</f>
        <v/>
      </c>
      <c r="R158" s="285" t="str">
        <f>IF('Statement of Marks'!IA161="","",'Statement of Marks'!IA161)</f>
        <v/>
      </c>
      <c r="S158" s="286" t="str">
        <f>IF('Statement of Marks'!GL161="","",'Statement of Marks'!GL161)</f>
        <v/>
      </c>
      <c r="BM158" s="287" t="str">
        <f>'Statement of Marks'!F161</f>
        <v/>
      </c>
      <c r="BN158" s="288" t="str">
        <f t="shared" si="24"/>
        <v/>
      </c>
      <c r="BO158" s="288" t="str">
        <f t="shared" si="25"/>
        <v/>
      </c>
      <c r="BP158" s="288" t="str">
        <f t="shared" si="26"/>
        <v/>
      </c>
      <c r="BQ158" s="288" t="str">
        <f t="shared" si="27"/>
        <v/>
      </c>
      <c r="BR158" s="288" t="str">
        <f t="shared" si="28"/>
        <v/>
      </c>
      <c r="BS158" s="288" t="str">
        <f t="shared" si="29"/>
        <v/>
      </c>
      <c r="BT158" s="288" t="str">
        <f t="shared" si="30"/>
        <v/>
      </c>
      <c r="BU158" s="288" t="str">
        <f t="shared" si="31"/>
        <v/>
      </c>
      <c r="BV158" s="288" t="str">
        <f t="shared" si="32"/>
        <v/>
      </c>
      <c r="BW158" s="288" t="str">
        <f t="shared" si="33"/>
        <v/>
      </c>
      <c r="BX158" s="288" t="str">
        <f t="shared" si="34"/>
        <v/>
      </c>
      <c r="BY158" s="288" t="str">
        <f t="shared" si="35"/>
        <v/>
      </c>
      <c r="BZ158" s="289"/>
    </row>
    <row r="159" spans="1:78" ht="15" customHeight="1">
      <c r="A159" s="276">
        <f>IF('Statement of Marks'!A162="","",'Statement of Marks'!A162)</f>
        <v>156</v>
      </c>
      <c r="B159" s="277" t="str">
        <f>IF('Statement of Marks'!B162="","",'Statement of Marks'!B162)</f>
        <v/>
      </c>
      <c r="C159" s="278" t="str">
        <f>IF('Statement of Marks'!D162="","",'Statement of Marks'!D162)</f>
        <v/>
      </c>
      <c r="D159" s="314" t="str">
        <f>IF('Statement of Marks'!E162="","",'Statement of Marks'!E162)</f>
        <v/>
      </c>
      <c r="E159" s="279" t="str">
        <f>IF('Statement of Marks'!F162="","",'Statement of Marks'!F162)</f>
        <v/>
      </c>
      <c r="F159" s="279" t="str">
        <f>IF('Statement of Marks'!G162="","",'Statement of Marks'!G162)</f>
        <v/>
      </c>
      <c r="G159" s="279" t="str">
        <f>IF('Statement of Marks'!H162="","",'Statement of Marks'!H162)</f>
        <v/>
      </c>
      <c r="H159" s="280" t="str">
        <f>IF('Statement of Marks'!I162="","",'Statement of Marks'!I162)</f>
        <v/>
      </c>
      <c r="I159" s="280" t="str">
        <f>IF('Statement of Marks'!J162="","",'Statement of Marks'!J162)</f>
        <v/>
      </c>
      <c r="J159" s="827" t="str">
        <f>IF('Statement of Marks'!HS162="","",'Statement of Marks'!HS162)</f>
        <v/>
      </c>
      <c r="K159" s="281" t="str">
        <f>IF('Statement of Marks'!HT162="","",'Statement of Marks'!HT162)</f>
        <v/>
      </c>
      <c r="L159" s="828" t="str">
        <f>IF('Statement of Marks'!HW162="","",'Statement of Marks'!HW162)</f>
        <v/>
      </c>
      <c r="M159" s="281" t="str">
        <f>IF('Statement of Marks'!HV162="","",'Statement of Marks'!HV162)</f>
        <v/>
      </c>
      <c r="N159" s="829" t="str">
        <f>IF('Statement of Marks'!HX162="","",'Statement of Marks'!HX162)</f>
        <v/>
      </c>
      <c r="O159" s="282" t="str">
        <f>IF(J159="FAIL","",IF('Statement of Marks'!HO162="","",'Statement of Marks'!HO162))</f>
        <v xml:space="preserve">      </v>
      </c>
      <c r="P159" s="283" t="str">
        <f>IF('Supp. Result Entry'!AQ160="","",'Supp. Result Entry'!AQ160)</f>
        <v/>
      </c>
      <c r="Q159" s="284" t="str">
        <f>IF('Supp. Result Entry'!AR160="","",'Supp. Result Entry'!AR160)</f>
        <v/>
      </c>
      <c r="R159" s="285" t="str">
        <f>IF('Statement of Marks'!IA162="","",'Statement of Marks'!IA162)</f>
        <v/>
      </c>
      <c r="S159" s="286" t="str">
        <f>IF('Statement of Marks'!GL162="","",'Statement of Marks'!GL162)</f>
        <v/>
      </c>
      <c r="BM159" s="287" t="str">
        <f>'Statement of Marks'!F162</f>
        <v/>
      </c>
      <c r="BN159" s="288" t="str">
        <f t="shared" si="24"/>
        <v/>
      </c>
      <c r="BO159" s="288" t="str">
        <f t="shared" si="25"/>
        <v/>
      </c>
      <c r="BP159" s="288" t="str">
        <f t="shared" si="26"/>
        <v/>
      </c>
      <c r="BQ159" s="288" t="str">
        <f t="shared" si="27"/>
        <v/>
      </c>
      <c r="BR159" s="288" t="str">
        <f t="shared" si="28"/>
        <v/>
      </c>
      <c r="BS159" s="288" t="str">
        <f t="shared" si="29"/>
        <v/>
      </c>
      <c r="BT159" s="288" t="str">
        <f t="shared" si="30"/>
        <v/>
      </c>
      <c r="BU159" s="288" t="str">
        <f t="shared" si="31"/>
        <v/>
      </c>
      <c r="BV159" s="288" t="str">
        <f t="shared" si="32"/>
        <v/>
      </c>
      <c r="BW159" s="288" t="str">
        <f t="shared" si="33"/>
        <v/>
      </c>
      <c r="BX159" s="288" t="str">
        <f t="shared" si="34"/>
        <v/>
      </c>
      <c r="BY159" s="288" t="str">
        <f t="shared" si="35"/>
        <v/>
      </c>
      <c r="BZ159" s="289"/>
    </row>
    <row r="160" spans="1:78" ht="15" customHeight="1">
      <c r="A160" s="276">
        <f>IF('Statement of Marks'!A163="","",'Statement of Marks'!A163)</f>
        <v>157</v>
      </c>
      <c r="B160" s="277" t="str">
        <f>IF('Statement of Marks'!B163="","",'Statement of Marks'!B163)</f>
        <v/>
      </c>
      <c r="C160" s="278" t="str">
        <f>IF('Statement of Marks'!D163="","",'Statement of Marks'!D163)</f>
        <v/>
      </c>
      <c r="D160" s="314" t="str">
        <f>IF('Statement of Marks'!E163="","",'Statement of Marks'!E163)</f>
        <v/>
      </c>
      <c r="E160" s="279" t="str">
        <f>IF('Statement of Marks'!F163="","",'Statement of Marks'!F163)</f>
        <v/>
      </c>
      <c r="F160" s="279" t="str">
        <f>IF('Statement of Marks'!G163="","",'Statement of Marks'!G163)</f>
        <v/>
      </c>
      <c r="G160" s="279" t="str">
        <f>IF('Statement of Marks'!H163="","",'Statement of Marks'!H163)</f>
        <v/>
      </c>
      <c r="H160" s="280" t="str">
        <f>IF('Statement of Marks'!I163="","",'Statement of Marks'!I163)</f>
        <v/>
      </c>
      <c r="I160" s="280" t="str">
        <f>IF('Statement of Marks'!J163="","",'Statement of Marks'!J163)</f>
        <v/>
      </c>
      <c r="J160" s="827" t="str">
        <f>IF('Statement of Marks'!HS163="","",'Statement of Marks'!HS163)</f>
        <v/>
      </c>
      <c r="K160" s="281" t="str">
        <f>IF('Statement of Marks'!HT163="","",'Statement of Marks'!HT163)</f>
        <v/>
      </c>
      <c r="L160" s="828" t="str">
        <f>IF('Statement of Marks'!HW163="","",'Statement of Marks'!HW163)</f>
        <v/>
      </c>
      <c r="M160" s="281" t="str">
        <f>IF('Statement of Marks'!HV163="","",'Statement of Marks'!HV163)</f>
        <v/>
      </c>
      <c r="N160" s="829" t="str">
        <f>IF('Statement of Marks'!HX163="","",'Statement of Marks'!HX163)</f>
        <v/>
      </c>
      <c r="O160" s="282" t="str">
        <f>IF(J160="FAIL","",IF('Statement of Marks'!HO163="","",'Statement of Marks'!HO163))</f>
        <v xml:space="preserve">      </v>
      </c>
      <c r="P160" s="283" t="str">
        <f>IF('Supp. Result Entry'!AQ161="","",'Supp. Result Entry'!AQ161)</f>
        <v/>
      </c>
      <c r="Q160" s="284" t="str">
        <f>IF('Supp. Result Entry'!AR161="","",'Supp. Result Entry'!AR161)</f>
        <v/>
      </c>
      <c r="R160" s="285" t="str">
        <f>IF('Statement of Marks'!IA163="","",'Statement of Marks'!IA163)</f>
        <v/>
      </c>
      <c r="S160" s="286" t="str">
        <f>IF('Statement of Marks'!GL163="","",'Statement of Marks'!GL163)</f>
        <v/>
      </c>
      <c r="BM160" s="287" t="str">
        <f>'Statement of Marks'!F163</f>
        <v/>
      </c>
      <c r="BN160" s="288" t="str">
        <f t="shared" si="24"/>
        <v/>
      </c>
      <c r="BO160" s="288" t="str">
        <f t="shared" si="25"/>
        <v/>
      </c>
      <c r="BP160" s="288" t="str">
        <f t="shared" si="26"/>
        <v/>
      </c>
      <c r="BQ160" s="288" t="str">
        <f t="shared" si="27"/>
        <v/>
      </c>
      <c r="BR160" s="288" t="str">
        <f t="shared" si="28"/>
        <v/>
      </c>
      <c r="BS160" s="288" t="str">
        <f t="shared" si="29"/>
        <v/>
      </c>
      <c r="BT160" s="288" t="str">
        <f t="shared" si="30"/>
        <v/>
      </c>
      <c r="BU160" s="288" t="str">
        <f t="shared" si="31"/>
        <v/>
      </c>
      <c r="BV160" s="288" t="str">
        <f t="shared" si="32"/>
        <v/>
      </c>
      <c r="BW160" s="288" t="str">
        <f t="shared" si="33"/>
        <v/>
      </c>
      <c r="BX160" s="288" t="str">
        <f t="shared" si="34"/>
        <v/>
      </c>
      <c r="BY160" s="288" t="str">
        <f t="shared" si="35"/>
        <v/>
      </c>
      <c r="BZ160" s="289"/>
    </row>
    <row r="161" spans="1:78" ht="15" customHeight="1">
      <c r="A161" s="276">
        <f>IF('Statement of Marks'!A164="","",'Statement of Marks'!A164)</f>
        <v>158</v>
      </c>
      <c r="B161" s="277" t="str">
        <f>IF('Statement of Marks'!B164="","",'Statement of Marks'!B164)</f>
        <v/>
      </c>
      <c r="C161" s="278" t="str">
        <f>IF('Statement of Marks'!D164="","",'Statement of Marks'!D164)</f>
        <v/>
      </c>
      <c r="D161" s="314" t="str">
        <f>IF('Statement of Marks'!E164="","",'Statement of Marks'!E164)</f>
        <v/>
      </c>
      <c r="E161" s="279" t="str">
        <f>IF('Statement of Marks'!F164="","",'Statement of Marks'!F164)</f>
        <v/>
      </c>
      <c r="F161" s="279" t="str">
        <f>IF('Statement of Marks'!G164="","",'Statement of Marks'!G164)</f>
        <v/>
      </c>
      <c r="G161" s="279" t="str">
        <f>IF('Statement of Marks'!H164="","",'Statement of Marks'!H164)</f>
        <v/>
      </c>
      <c r="H161" s="280" t="str">
        <f>IF('Statement of Marks'!I164="","",'Statement of Marks'!I164)</f>
        <v/>
      </c>
      <c r="I161" s="280" t="str">
        <f>IF('Statement of Marks'!J164="","",'Statement of Marks'!J164)</f>
        <v/>
      </c>
      <c r="J161" s="827" t="str">
        <f>IF('Statement of Marks'!HS164="","",'Statement of Marks'!HS164)</f>
        <v/>
      </c>
      <c r="K161" s="281" t="str">
        <f>IF('Statement of Marks'!HT164="","",'Statement of Marks'!HT164)</f>
        <v/>
      </c>
      <c r="L161" s="828" t="str">
        <f>IF('Statement of Marks'!HW164="","",'Statement of Marks'!HW164)</f>
        <v/>
      </c>
      <c r="M161" s="281" t="str">
        <f>IF('Statement of Marks'!HV164="","",'Statement of Marks'!HV164)</f>
        <v/>
      </c>
      <c r="N161" s="829" t="str">
        <f>IF('Statement of Marks'!HX164="","",'Statement of Marks'!HX164)</f>
        <v/>
      </c>
      <c r="O161" s="282" t="str">
        <f>IF(J161="FAIL","",IF('Statement of Marks'!HO164="","",'Statement of Marks'!HO164))</f>
        <v xml:space="preserve">      </v>
      </c>
      <c r="P161" s="283" t="str">
        <f>IF('Supp. Result Entry'!AQ162="","",'Supp. Result Entry'!AQ162)</f>
        <v/>
      </c>
      <c r="Q161" s="284" t="str">
        <f>IF('Supp. Result Entry'!AR162="","",'Supp. Result Entry'!AR162)</f>
        <v/>
      </c>
      <c r="R161" s="285" t="str">
        <f>IF('Statement of Marks'!IA164="","",'Statement of Marks'!IA164)</f>
        <v/>
      </c>
      <c r="S161" s="286" t="str">
        <f>IF('Statement of Marks'!GL164="","",'Statement of Marks'!GL164)</f>
        <v/>
      </c>
      <c r="BM161" s="287" t="str">
        <f>'Statement of Marks'!F164</f>
        <v/>
      </c>
      <c r="BN161" s="288" t="str">
        <f t="shared" si="24"/>
        <v/>
      </c>
      <c r="BO161" s="288" t="str">
        <f t="shared" si="25"/>
        <v/>
      </c>
      <c r="BP161" s="288" t="str">
        <f t="shared" si="26"/>
        <v/>
      </c>
      <c r="BQ161" s="288" t="str">
        <f t="shared" si="27"/>
        <v/>
      </c>
      <c r="BR161" s="288" t="str">
        <f t="shared" si="28"/>
        <v/>
      </c>
      <c r="BS161" s="288" t="str">
        <f t="shared" si="29"/>
        <v/>
      </c>
      <c r="BT161" s="288" t="str">
        <f t="shared" si="30"/>
        <v/>
      </c>
      <c r="BU161" s="288" t="str">
        <f t="shared" si="31"/>
        <v/>
      </c>
      <c r="BV161" s="288" t="str">
        <f t="shared" si="32"/>
        <v/>
      </c>
      <c r="BW161" s="288" t="str">
        <f t="shared" si="33"/>
        <v/>
      </c>
      <c r="BX161" s="288" t="str">
        <f t="shared" si="34"/>
        <v/>
      </c>
      <c r="BY161" s="288" t="str">
        <f t="shared" si="35"/>
        <v/>
      </c>
      <c r="BZ161" s="289"/>
    </row>
    <row r="162" spans="1:78" ht="15" customHeight="1">
      <c r="A162" s="276">
        <f>IF('Statement of Marks'!A165="","",'Statement of Marks'!A165)</f>
        <v>159</v>
      </c>
      <c r="B162" s="277" t="str">
        <f>IF('Statement of Marks'!B165="","",'Statement of Marks'!B165)</f>
        <v/>
      </c>
      <c r="C162" s="278" t="str">
        <f>IF('Statement of Marks'!D165="","",'Statement of Marks'!D165)</f>
        <v/>
      </c>
      <c r="D162" s="314" t="str">
        <f>IF('Statement of Marks'!E165="","",'Statement of Marks'!E165)</f>
        <v/>
      </c>
      <c r="E162" s="279" t="str">
        <f>IF('Statement of Marks'!F165="","",'Statement of Marks'!F165)</f>
        <v/>
      </c>
      <c r="F162" s="279" t="str">
        <f>IF('Statement of Marks'!G165="","",'Statement of Marks'!G165)</f>
        <v/>
      </c>
      <c r="G162" s="279" t="str">
        <f>IF('Statement of Marks'!H165="","",'Statement of Marks'!H165)</f>
        <v/>
      </c>
      <c r="H162" s="280" t="str">
        <f>IF('Statement of Marks'!I165="","",'Statement of Marks'!I165)</f>
        <v/>
      </c>
      <c r="I162" s="280" t="str">
        <f>IF('Statement of Marks'!J165="","",'Statement of Marks'!J165)</f>
        <v/>
      </c>
      <c r="J162" s="827" t="str">
        <f>IF('Statement of Marks'!HS165="","",'Statement of Marks'!HS165)</f>
        <v/>
      </c>
      <c r="K162" s="281" t="str">
        <f>IF('Statement of Marks'!HT165="","",'Statement of Marks'!HT165)</f>
        <v/>
      </c>
      <c r="L162" s="828" t="str">
        <f>IF('Statement of Marks'!HW165="","",'Statement of Marks'!HW165)</f>
        <v/>
      </c>
      <c r="M162" s="281" t="str">
        <f>IF('Statement of Marks'!HV165="","",'Statement of Marks'!HV165)</f>
        <v/>
      </c>
      <c r="N162" s="829" t="str">
        <f>IF('Statement of Marks'!HX165="","",'Statement of Marks'!HX165)</f>
        <v/>
      </c>
      <c r="O162" s="282" t="str">
        <f>IF(J162="FAIL","",IF('Statement of Marks'!HO165="","",'Statement of Marks'!HO165))</f>
        <v xml:space="preserve">      </v>
      </c>
      <c r="P162" s="283" t="str">
        <f>IF('Supp. Result Entry'!AQ163="","",'Supp. Result Entry'!AQ163)</f>
        <v/>
      </c>
      <c r="Q162" s="284" t="str">
        <f>IF('Supp. Result Entry'!AR163="","",'Supp. Result Entry'!AR163)</f>
        <v/>
      </c>
      <c r="R162" s="285" t="str">
        <f>IF('Statement of Marks'!IA165="","",'Statement of Marks'!IA165)</f>
        <v/>
      </c>
      <c r="S162" s="286" t="str">
        <f>IF('Statement of Marks'!GL165="","",'Statement of Marks'!GL165)</f>
        <v/>
      </c>
      <c r="BM162" s="287" t="str">
        <f>'Statement of Marks'!F165</f>
        <v/>
      </c>
      <c r="BN162" s="288" t="str">
        <f t="shared" si="24"/>
        <v/>
      </c>
      <c r="BO162" s="288" t="str">
        <f t="shared" si="25"/>
        <v/>
      </c>
      <c r="BP162" s="288" t="str">
        <f t="shared" si="26"/>
        <v/>
      </c>
      <c r="BQ162" s="288" t="str">
        <f t="shared" si="27"/>
        <v/>
      </c>
      <c r="BR162" s="288" t="str">
        <f t="shared" si="28"/>
        <v/>
      </c>
      <c r="BS162" s="288" t="str">
        <f t="shared" si="29"/>
        <v/>
      </c>
      <c r="BT162" s="288" t="str">
        <f t="shared" si="30"/>
        <v/>
      </c>
      <c r="BU162" s="288" t="str">
        <f t="shared" si="31"/>
        <v/>
      </c>
      <c r="BV162" s="288" t="str">
        <f t="shared" si="32"/>
        <v/>
      </c>
      <c r="BW162" s="288" t="str">
        <f t="shared" si="33"/>
        <v/>
      </c>
      <c r="BX162" s="288" t="str">
        <f t="shared" si="34"/>
        <v/>
      </c>
      <c r="BY162" s="288" t="str">
        <f t="shared" si="35"/>
        <v/>
      </c>
      <c r="BZ162" s="289"/>
    </row>
    <row r="163" spans="1:78" ht="15" customHeight="1">
      <c r="A163" s="276">
        <f>IF('Statement of Marks'!A166="","",'Statement of Marks'!A166)</f>
        <v>160</v>
      </c>
      <c r="B163" s="277" t="str">
        <f>IF('Statement of Marks'!B166="","",'Statement of Marks'!B166)</f>
        <v/>
      </c>
      <c r="C163" s="278" t="str">
        <f>IF('Statement of Marks'!D166="","",'Statement of Marks'!D166)</f>
        <v/>
      </c>
      <c r="D163" s="314" t="str">
        <f>IF('Statement of Marks'!E166="","",'Statement of Marks'!E166)</f>
        <v/>
      </c>
      <c r="E163" s="279" t="str">
        <f>IF('Statement of Marks'!F166="","",'Statement of Marks'!F166)</f>
        <v/>
      </c>
      <c r="F163" s="279" t="str">
        <f>IF('Statement of Marks'!G166="","",'Statement of Marks'!G166)</f>
        <v/>
      </c>
      <c r="G163" s="279" t="str">
        <f>IF('Statement of Marks'!H166="","",'Statement of Marks'!H166)</f>
        <v/>
      </c>
      <c r="H163" s="280" t="str">
        <f>IF('Statement of Marks'!I166="","",'Statement of Marks'!I166)</f>
        <v/>
      </c>
      <c r="I163" s="280" t="str">
        <f>IF('Statement of Marks'!J166="","",'Statement of Marks'!J166)</f>
        <v/>
      </c>
      <c r="J163" s="827" t="str">
        <f>IF('Statement of Marks'!HS166="","",'Statement of Marks'!HS166)</f>
        <v/>
      </c>
      <c r="K163" s="281" t="str">
        <f>IF('Statement of Marks'!HT166="","",'Statement of Marks'!HT166)</f>
        <v/>
      </c>
      <c r="L163" s="828" t="str">
        <f>IF('Statement of Marks'!HW166="","",'Statement of Marks'!HW166)</f>
        <v/>
      </c>
      <c r="M163" s="281" t="str">
        <f>IF('Statement of Marks'!HV166="","",'Statement of Marks'!HV166)</f>
        <v/>
      </c>
      <c r="N163" s="829" t="str">
        <f>IF('Statement of Marks'!HX166="","",'Statement of Marks'!HX166)</f>
        <v/>
      </c>
      <c r="O163" s="282" t="str">
        <f>IF(J163="FAIL","",IF('Statement of Marks'!HO166="","",'Statement of Marks'!HO166))</f>
        <v xml:space="preserve">      </v>
      </c>
      <c r="P163" s="283" t="str">
        <f>IF('Supp. Result Entry'!AQ164="","",'Supp. Result Entry'!AQ164)</f>
        <v/>
      </c>
      <c r="Q163" s="284" t="str">
        <f>IF('Supp. Result Entry'!AR164="","",'Supp. Result Entry'!AR164)</f>
        <v/>
      </c>
      <c r="R163" s="285" t="str">
        <f>IF('Statement of Marks'!IA166="","",'Statement of Marks'!IA166)</f>
        <v/>
      </c>
      <c r="S163" s="286" t="str">
        <f>IF('Statement of Marks'!GL166="","",'Statement of Marks'!GL166)</f>
        <v/>
      </c>
      <c r="BM163" s="287" t="str">
        <f>'Statement of Marks'!F166</f>
        <v/>
      </c>
      <c r="BN163" s="288" t="str">
        <f t="shared" si="24"/>
        <v/>
      </c>
      <c r="BO163" s="288" t="str">
        <f t="shared" si="25"/>
        <v/>
      </c>
      <c r="BP163" s="288" t="str">
        <f t="shared" si="26"/>
        <v/>
      </c>
      <c r="BQ163" s="288" t="str">
        <f t="shared" si="27"/>
        <v/>
      </c>
      <c r="BR163" s="288" t="str">
        <f t="shared" si="28"/>
        <v/>
      </c>
      <c r="BS163" s="288" t="str">
        <f t="shared" si="29"/>
        <v/>
      </c>
      <c r="BT163" s="288" t="str">
        <f t="shared" si="30"/>
        <v/>
      </c>
      <c r="BU163" s="288" t="str">
        <f t="shared" si="31"/>
        <v/>
      </c>
      <c r="BV163" s="288" t="str">
        <f t="shared" si="32"/>
        <v/>
      </c>
      <c r="BW163" s="288" t="str">
        <f t="shared" si="33"/>
        <v/>
      </c>
      <c r="BX163" s="288" t="str">
        <f t="shared" si="34"/>
        <v/>
      </c>
      <c r="BY163" s="288" t="str">
        <f t="shared" si="35"/>
        <v/>
      </c>
      <c r="BZ163" s="289"/>
    </row>
    <row r="164" spans="1:78" ht="15" customHeight="1">
      <c r="A164" s="276">
        <f>IF('Statement of Marks'!A167="","",'Statement of Marks'!A167)</f>
        <v>161</v>
      </c>
      <c r="B164" s="277" t="str">
        <f>IF('Statement of Marks'!B167="","",'Statement of Marks'!B167)</f>
        <v/>
      </c>
      <c r="C164" s="278" t="str">
        <f>IF('Statement of Marks'!D167="","",'Statement of Marks'!D167)</f>
        <v/>
      </c>
      <c r="D164" s="314" t="str">
        <f>IF('Statement of Marks'!E167="","",'Statement of Marks'!E167)</f>
        <v/>
      </c>
      <c r="E164" s="279" t="str">
        <f>IF('Statement of Marks'!F167="","",'Statement of Marks'!F167)</f>
        <v/>
      </c>
      <c r="F164" s="279" t="str">
        <f>IF('Statement of Marks'!G167="","",'Statement of Marks'!G167)</f>
        <v/>
      </c>
      <c r="G164" s="279" t="str">
        <f>IF('Statement of Marks'!H167="","",'Statement of Marks'!H167)</f>
        <v/>
      </c>
      <c r="H164" s="280" t="str">
        <f>IF('Statement of Marks'!I167="","",'Statement of Marks'!I167)</f>
        <v/>
      </c>
      <c r="I164" s="280" t="str">
        <f>IF('Statement of Marks'!J167="","",'Statement of Marks'!J167)</f>
        <v/>
      </c>
      <c r="J164" s="827" t="str">
        <f>IF('Statement of Marks'!HS167="","",'Statement of Marks'!HS167)</f>
        <v/>
      </c>
      <c r="K164" s="281" t="str">
        <f>IF('Statement of Marks'!HT167="","",'Statement of Marks'!HT167)</f>
        <v/>
      </c>
      <c r="L164" s="828" t="str">
        <f>IF('Statement of Marks'!HW167="","",'Statement of Marks'!HW167)</f>
        <v/>
      </c>
      <c r="M164" s="281" t="str">
        <f>IF('Statement of Marks'!HV167="","",'Statement of Marks'!HV167)</f>
        <v/>
      </c>
      <c r="N164" s="829" t="str">
        <f>IF('Statement of Marks'!HX167="","",'Statement of Marks'!HX167)</f>
        <v/>
      </c>
      <c r="O164" s="282" t="str">
        <f>IF(J164="FAIL","",IF('Statement of Marks'!HO167="","",'Statement of Marks'!HO167))</f>
        <v xml:space="preserve">      </v>
      </c>
      <c r="P164" s="283" t="str">
        <f>IF('Supp. Result Entry'!AQ165="","",'Supp. Result Entry'!AQ165)</f>
        <v/>
      </c>
      <c r="Q164" s="284" t="str">
        <f>IF('Supp. Result Entry'!AR165="","",'Supp. Result Entry'!AR165)</f>
        <v/>
      </c>
      <c r="R164" s="285" t="str">
        <f>IF('Statement of Marks'!IA167="","",'Statement of Marks'!IA167)</f>
        <v/>
      </c>
      <c r="S164" s="286" t="str">
        <f>IF('Statement of Marks'!GL167="","",'Statement of Marks'!GL167)</f>
        <v/>
      </c>
      <c r="BM164" s="287" t="str">
        <f>'Statement of Marks'!F167</f>
        <v/>
      </c>
      <c r="BN164" s="288" t="str">
        <f t="shared" si="24"/>
        <v/>
      </c>
      <c r="BO164" s="288" t="str">
        <f t="shared" si="25"/>
        <v/>
      </c>
      <c r="BP164" s="288" t="str">
        <f t="shared" si="26"/>
        <v/>
      </c>
      <c r="BQ164" s="288" t="str">
        <f t="shared" si="27"/>
        <v/>
      </c>
      <c r="BR164" s="288" t="str">
        <f t="shared" si="28"/>
        <v/>
      </c>
      <c r="BS164" s="288" t="str">
        <f t="shared" si="29"/>
        <v/>
      </c>
      <c r="BT164" s="288" t="str">
        <f t="shared" si="30"/>
        <v/>
      </c>
      <c r="BU164" s="288" t="str">
        <f t="shared" si="31"/>
        <v/>
      </c>
      <c r="BV164" s="288" t="str">
        <f t="shared" si="32"/>
        <v/>
      </c>
      <c r="BW164" s="288" t="str">
        <f t="shared" si="33"/>
        <v/>
      </c>
      <c r="BX164" s="288" t="str">
        <f t="shared" si="34"/>
        <v/>
      </c>
      <c r="BY164" s="288" t="str">
        <f t="shared" si="35"/>
        <v/>
      </c>
      <c r="BZ164" s="289"/>
    </row>
    <row r="165" spans="1:78" ht="15" customHeight="1">
      <c r="A165" s="276">
        <f>IF('Statement of Marks'!A168="","",'Statement of Marks'!A168)</f>
        <v>162</v>
      </c>
      <c r="B165" s="277" t="str">
        <f>IF('Statement of Marks'!B168="","",'Statement of Marks'!B168)</f>
        <v/>
      </c>
      <c r="C165" s="278" t="str">
        <f>IF('Statement of Marks'!D168="","",'Statement of Marks'!D168)</f>
        <v/>
      </c>
      <c r="D165" s="314" t="str">
        <f>IF('Statement of Marks'!E168="","",'Statement of Marks'!E168)</f>
        <v/>
      </c>
      <c r="E165" s="279" t="str">
        <f>IF('Statement of Marks'!F168="","",'Statement of Marks'!F168)</f>
        <v/>
      </c>
      <c r="F165" s="279" t="str">
        <f>IF('Statement of Marks'!G168="","",'Statement of Marks'!G168)</f>
        <v/>
      </c>
      <c r="G165" s="279" t="str">
        <f>IF('Statement of Marks'!H168="","",'Statement of Marks'!H168)</f>
        <v/>
      </c>
      <c r="H165" s="280" t="str">
        <f>IF('Statement of Marks'!I168="","",'Statement of Marks'!I168)</f>
        <v/>
      </c>
      <c r="I165" s="280" t="str">
        <f>IF('Statement of Marks'!J168="","",'Statement of Marks'!J168)</f>
        <v/>
      </c>
      <c r="J165" s="827" t="str">
        <f>IF('Statement of Marks'!HS168="","",'Statement of Marks'!HS168)</f>
        <v/>
      </c>
      <c r="K165" s="281" t="str">
        <f>IF('Statement of Marks'!HT168="","",'Statement of Marks'!HT168)</f>
        <v/>
      </c>
      <c r="L165" s="828" t="str">
        <f>IF('Statement of Marks'!HW168="","",'Statement of Marks'!HW168)</f>
        <v/>
      </c>
      <c r="M165" s="281" t="str">
        <f>IF('Statement of Marks'!HV168="","",'Statement of Marks'!HV168)</f>
        <v/>
      </c>
      <c r="N165" s="829" t="str">
        <f>IF('Statement of Marks'!HX168="","",'Statement of Marks'!HX168)</f>
        <v/>
      </c>
      <c r="O165" s="282" t="str">
        <f>IF(J165="FAIL","",IF('Statement of Marks'!HO168="","",'Statement of Marks'!HO168))</f>
        <v xml:space="preserve">      </v>
      </c>
      <c r="P165" s="283" t="str">
        <f>IF('Supp. Result Entry'!AQ166="","",'Supp. Result Entry'!AQ166)</f>
        <v/>
      </c>
      <c r="Q165" s="284" t="str">
        <f>IF('Supp. Result Entry'!AR166="","",'Supp. Result Entry'!AR166)</f>
        <v/>
      </c>
      <c r="R165" s="285" t="str">
        <f>IF('Statement of Marks'!IA168="","",'Statement of Marks'!IA168)</f>
        <v/>
      </c>
      <c r="S165" s="286" t="str">
        <f>IF('Statement of Marks'!GL168="","",'Statement of Marks'!GL168)</f>
        <v/>
      </c>
      <c r="BM165" s="287" t="str">
        <f>'Statement of Marks'!F168</f>
        <v/>
      </c>
      <c r="BN165" s="288" t="str">
        <f t="shared" si="24"/>
        <v/>
      </c>
      <c r="BO165" s="288" t="str">
        <f t="shared" si="25"/>
        <v/>
      </c>
      <c r="BP165" s="288" t="str">
        <f t="shared" si="26"/>
        <v/>
      </c>
      <c r="BQ165" s="288" t="str">
        <f t="shared" si="27"/>
        <v/>
      </c>
      <c r="BR165" s="288" t="str">
        <f t="shared" si="28"/>
        <v/>
      </c>
      <c r="BS165" s="288" t="str">
        <f t="shared" si="29"/>
        <v/>
      </c>
      <c r="BT165" s="288" t="str">
        <f t="shared" si="30"/>
        <v/>
      </c>
      <c r="BU165" s="288" t="str">
        <f t="shared" si="31"/>
        <v/>
      </c>
      <c r="BV165" s="288" t="str">
        <f t="shared" si="32"/>
        <v/>
      </c>
      <c r="BW165" s="288" t="str">
        <f t="shared" si="33"/>
        <v/>
      </c>
      <c r="BX165" s="288" t="str">
        <f t="shared" si="34"/>
        <v/>
      </c>
      <c r="BY165" s="288" t="str">
        <f t="shared" si="35"/>
        <v/>
      </c>
      <c r="BZ165" s="289"/>
    </row>
    <row r="166" spans="1:78" ht="15" customHeight="1">
      <c r="A166" s="276">
        <f>IF('Statement of Marks'!A169="","",'Statement of Marks'!A169)</f>
        <v>163</v>
      </c>
      <c r="B166" s="277" t="str">
        <f>IF('Statement of Marks'!B169="","",'Statement of Marks'!B169)</f>
        <v/>
      </c>
      <c r="C166" s="278" t="str">
        <f>IF('Statement of Marks'!D169="","",'Statement of Marks'!D169)</f>
        <v/>
      </c>
      <c r="D166" s="314" t="str">
        <f>IF('Statement of Marks'!E169="","",'Statement of Marks'!E169)</f>
        <v/>
      </c>
      <c r="E166" s="279" t="str">
        <f>IF('Statement of Marks'!F169="","",'Statement of Marks'!F169)</f>
        <v/>
      </c>
      <c r="F166" s="279" t="str">
        <f>IF('Statement of Marks'!G169="","",'Statement of Marks'!G169)</f>
        <v/>
      </c>
      <c r="G166" s="279" t="str">
        <f>IF('Statement of Marks'!H169="","",'Statement of Marks'!H169)</f>
        <v/>
      </c>
      <c r="H166" s="280" t="str">
        <f>IF('Statement of Marks'!I169="","",'Statement of Marks'!I169)</f>
        <v/>
      </c>
      <c r="I166" s="280" t="str">
        <f>IF('Statement of Marks'!J169="","",'Statement of Marks'!J169)</f>
        <v/>
      </c>
      <c r="J166" s="826" t="str">
        <f>IF('Statement of Marks'!HS169="","",'Statement of Marks'!HS169)</f>
        <v/>
      </c>
      <c r="K166" s="281" t="str">
        <f>IF('Statement of Marks'!HT169="","",'Statement of Marks'!HT169)</f>
        <v/>
      </c>
      <c r="L166" s="828" t="str">
        <f>IF('Statement of Marks'!HW169="","",'Statement of Marks'!HW169)</f>
        <v/>
      </c>
      <c r="M166" s="281" t="str">
        <f>IF('Statement of Marks'!HV169="","",'Statement of Marks'!HV169)</f>
        <v/>
      </c>
      <c r="N166" s="829" t="str">
        <f>IF('Statement of Marks'!HX169="","",'Statement of Marks'!HX169)</f>
        <v/>
      </c>
      <c r="O166" s="282" t="str">
        <f>IF(J166="FAIL","",IF('Statement of Marks'!HO169="","",'Statement of Marks'!HO169))</f>
        <v xml:space="preserve">      </v>
      </c>
      <c r="P166" s="283" t="str">
        <f>IF('Supp. Result Entry'!AQ167="","",'Supp. Result Entry'!AQ167)</f>
        <v/>
      </c>
      <c r="Q166" s="284" t="str">
        <f>IF('Supp. Result Entry'!AR167="","",'Supp. Result Entry'!AR167)</f>
        <v/>
      </c>
      <c r="R166" s="285" t="str">
        <f>IF('Statement of Marks'!IA169="","",'Statement of Marks'!IA169)</f>
        <v/>
      </c>
      <c r="S166" s="286" t="str">
        <f>IF('Statement of Marks'!GL169="","",'Statement of Marks'!GL169)</f>
        <v/>
      </c>
      <c r="BM166" s="287" t="str">
        <f>'Statement of Marks'!F169</f>
        <v/>
      </c>
      <c r="BN166" s="288" t="str">
        <f t="shared" si="24"/>
        <v/>
      </c>
      <c r="BO166" s="288" t="str">
        <f t="shared" si="25"/>
        <v/>
      </c>
      <c r="BP166" s="288" t="str">
        <f t="shared" si="26"/>
        <v/>
      </c>
      <c r="BQ166" s="288" t="str">
        <f t="shared" si="27"/>
        <v/>
      </c>
      <c r="BR166" s="288" t="str">
        <f t="shared" si="28"/>
        <v/>
      </c>
      <c r="BS166" s="288" t="str">
        <f t="shared" si="29"/>
        <v/>
      </c>
      <c r="BT166" s="288" t="str">
        <f t="shared" si="30"/>
        <v/>
      </c>
      <c r="BU166" s="288" t="str">
        <f t="shared" si="31"/>
        <v/>
      </c>
      <c r="BV166" s="288" t="str">
        <f t="shared" si="32"/>
        <v/>
      </c>
      <c r="BW166" s="288" t="str">
        <f t="shared" si="33"/>
        <v/>
      </c>
      <c r="BX166" s="288" t="str">
        <f t="shared" si="34"/>
        <v/>
      </c>
      <c r="BY166" s="288" t="str">
        <f t="shared" si="35"/>
        <v/>
      </c>
      <c r="BZ166" s="289"/>
    </row>
    <row r="167" spans="1:78" ht="15" customHeight="1">
      <c r="A167" s="276">
        <f>IF('Statement of Marks'!A170="","",'Statement of Marks'!A170)</f>
        <v>164</v>
      </c>
      <c r="B167" s="277" t="str">
        <f>IF('Statement of Marks'!B170="","",'Statement of Marks'!B170)</f>
        <v/>
      </c>
      <c r="C167" s="278" t="str">
        <f>IF('Statement of Marks'!D170="","",'Statement of Marks'!D170)</f>
        <v/>
      </c>
      <c r="D167" s="314" t="str">
        <f>IF('Statement of Marks'!E170="","",'Statement of Marks'!E170)</f>
        <v/>
      </c>
      <c r="E167" s="279" t="str">
        <f>IF('Statement of Marks'!F170="","",'Statement of Marks'!F170)</f>
        <v/>
      </c>
      <c r="F167" s="279" t="str">
        <f>IF('Statement of Marks'!G170="","",'Statement of Marks'!G170)</f>
        <v/>
      </c>
      <c r="G167" s="279" t="str">
        <f>IF('Statement of Marks'!H170="","",'Statement of Marks'!H170)</f>
        <v/>
      </c>
      <c r="H167" s="280" t="str">
        <f>IF('Statement of Marks'!I170="","",'Statement of Marks'!I170)</f>
        <v/>
      </c>
      <c r="I167" s="280" t="str">
        <f>IF('Statement of Marks'!J170="","",'Statement of Marks'!J170)</f>
        <v/>
      </c>
      <c r="J167" s="827" t="str">
        <f>IF('Statement of Marks'!HS170="","",'Statement of Marks'!HS170)</f>
        <v/>
      </c>
      <c r="K167" s="281" t="str">
        <f>IF('Statement of Marks'!HT170="","",'Statement of Marks'!HT170)</f>
        <v/>
      </c>
      <c r="L167" s="828" t="str">
        <f>IF('Statement of Marks'!HW170="","",'Statement of Marks'!HW170)</f>
        <v/>
      </c>
      <c r="M167" s="281" t="str">
        <f>IF('Statement of Marks'!HV170="","",'Statement of Marks'!HV170)</f>
        <v/>
      </c>
      <c r="N167" s="829" t="str">
        <f>IF('Statement of Marks'!HX170="","",'Statement of Marks'!HX170)</f>
        <v/>
      </c>
      <c r="O167" s="282" t="str">
        <f>IF(J167="FAIL","",IF('Statement of Marks'!HO170="","",'Statement of Marks'!HO170))</f>
        <v xml:space="preserve">      </v>
      </c>
      <c r="P167" s="283" t="str">
        <f>IF('Supp. Result Entry'!AQ168="","",'Supp. Result Entry'!AQ168)</f>
        <v/>
      </c>
      <c r="Q167" s="284" t="str">
        <f>IF('Supp. Result Entry'!AR168="","",'Supp. Result Entry'!AR168)</f>
        <v/>
      </c>
      <c r="R167" s="285" t="str">
        <f>IF('Statement of Marks'!IA170="","",'Statement of Marks'!IA170)</f>
        <v/>
      </c>
      <c r="S167" s="286" t="str">
        <f>IF('Statement of Marks'!GL170="","",'Statement of Marks'!GL170)</f>
        <v/>
      </c>
      <c r="BM167" s="287" t="str">
        <f>'Statement of Marks'!F170</f>
        <v/>
      </c>
      <c r="BN167" s="288" t="str">
        <f t="shared" si="24"/>
        <v/>
      </c>
      <c r="BO167" s="288" t="str">
        <f t="shared" si="25"/>
        <v/>
      </c>
      <c r="BP167" s="288" t="str">
        <f t="shared" si="26"/>
        <v/>
      </c>
      <c r="BQ167" s="288" t="str">
        <f t="shared" si="27"/>
        <v/>
      </c>
      <c r="BR167" s="288" t="str">
        <f t="shared" si="28"/>
        <v/>
      </c>
      <c r="BS167" s="288" t="str">
        <f t="shared" si="29"/>
        <v/>
      </c>
      <c r="BT167" s="288" t="str">
        <f t="shared" si="30"/>
        <v/>
      </c>
      <c r="BU167" s="288" t="str">
        <f t="shared" si="31"/>
        <v/>
      </c>
      <c r="BV167" s="288" t="str">
        <f t="shared" si="32"/>
        <v/>
      </c>
      <c r="BW167" s="288" t="str">
        <f t="shared" si="33"/>
        <v/>
      </c>
      <c r="BX167" s="288" t="str">
        <f t="shared" si="34"/>
        <v/>
      </c>
      <c r="BY167" s="288" t="str">
        <f t="shared" si="35"/>
        <v/>
      </c>
      <c r="BZ167" s="289"/>
    </row>
    <row r="168" spans="1:78" ht="15" customHeight="1">
      <c r="A168" s="276">
        <f>IF('Statement of Marks'!A171="","",'Statement of Marks'!A171)</f>
        <v>165</v>
      </c>
      <c r="B168" s="277" t="str">
        <f>IF('Statement of Marks'!B171="","",'Statement of Marks'!B171)</f>
        <v/>
      </c>
      <c r="C168" s="278" t="str">
        <f>IF('Statement of Marks'!D171="","",'Statement of Marks'!D171)</f>
        <v/>
      </c>
      <c r="D168" s="314" t="str">
        <f>IF('Statement of Marks'!E171="","",'Statement of Marks'!E171)</f>
        <v/>
      </c>
      <c r="E168" s="279" t="str">
        <f>IF('Statement of Marks'!F171="","",'Statement of Marks'!F171)</f>
        <v/>
      </c>
      <c r="F168" s="279" t="str">
        <f>IF('Statement of Marks'!G171="","",'Statement of Marks'!G171)</f>
        <v/>
      </c>
      <c r="G168" s="279" t="str">
        <f>IF('Statement of Marks'!H171="","",'Statement of Marks'!H171)</f>
        <v/>
      </c>
      <c r="H168" s="280" t="str">
        <f>IF('Statement of Marks'!I171="","",'Statement of Marks'!I171)</f>
        <v/>
      </c>
      <c r="I168" s="280" t="str">
        <f>IF('Statement of Marks'!J171="","",'Statement of Marks'!J171)</f>
        <v/>
      </c>
      <c r="J168" s="827" t="str">
        <f>IF('Statement of Marks'!HS171="","",'Statement of Marks'!HS171)</f>
        <v/>
      </c>
      <c r="K168" s="281" t="str">
        <f>IF('Statement of Marks'!HT171="","",'Statement of Marks'!HT171)</f>
        <v/>
      </c>
      <c r="L168" s="828" t="str">
        <f>IF('Statement of Marks'!HW171="","",'Statement of Marks'!HW171)</f>
        <v/>
      </c>
      <c r="M168" s="281" t="str">
        <f>IF('Statement of Marks'!HV171="","",'Statement of Marks'!HV171)</f>
        <v/>
      </c>
      <c r="N168" s="829" t="str">
        <f>IF('Statement of Marks'!HX171="","",'Statement of Marks'!HX171)</f>
        <v/>
      </c>
      <c r="O168" s="282" t="str">
        <f>IF(J168="FAIL","",IF('Statement of Marks'!HO171="","",'Statement of Marks'!HO171))</f>
        <v xml:space="preserve">      </v>
      </c>
      <c r="P168" s="283" t="str">
        <f>IF('Supp. Result Entry'!AQ169="","",'Supp. Result Entry'!AQ169)</f>
        <v/>
      </c>
      <c r="Q168" s="284" t="str">
        <f>IF('Supp. Result Entry'!AR169="","",'Supp. Result Entry'!AR169)</f>
        <v/>
      </c>
      <c r="R168" s="285" t="str">
        <f>IF('Statement of Marks'!IA171="","",'Statement of Marks'!IA171)</f>
        <v/>
      </c>
      <c r="S168" s="286" t="str">
        <f>IF('Statement of Marks'!GL171="","",'Statement of Marks'!GL171)</f>
        <v/>
      </c>
      <c r="BM168" s="287" t="str">
        <f>'Statement of Marks'!F171</f>
        <v/>
      </c>
      <c r="BN168" s="288" t="str">
        <f t="shared" si="24"/>
        <v/>
      </c>
      <c r="BO168" s="288" t="str">
        <f t="shared" si="25"/>
        <v/>
      </c>
      <c r="BP168" s="288" t="str">
        <f t="shared" si="26"/>
        <v/>
      </c>
      <c r="BQ168" s="288" t="str">
        <f t="shared" si="27"/>
        <v/>
      </c>
      <c r="BR168" s="288" t="str">
        <f t="shared" si="28"/>
        <v/>
      </c>
      <c r="BS168" s="288" t="str">
        <f t="shared" si="29"/>
        <v/>
      </c>
      <c r="BT168" s="288" t="str">
        <f t="shared" si="30"/>
        <v/>
      </c>
      <c r="BU168" s="288" t="str">
        <f t="shared" si="31"/>
        <v/>
      </c>
      <c r="BV168" s="288" t="str">
        <f t="shared" si="32"/>
        <v/>
      </c>
      <c r="BW168" s="288" t="str">
        <f t="shared" si="33"/>
        <v/>
      </c>
      <c r="BX168" s="288" t="str">
        <f t="shared" si="34"/>
        <v/>
      </c>
      <c r="BY168" s="288" t="str">
        <f t="shared" si="35"/>
        <v/>
      </c>
      <c r="BZ168" s="289"/>
    </row>
    <row r="169" spans="1:78" ht="15" customHeight="1">
      <c r="A169" s="276">
        <f>IF('Statement of Marks'!A172="","",'Statement of Marks'!A172)</f>
        <v>166</v>
      </c>
      <c r="B169" s="277" t="str">
        <f>IF('Statement of Marks'!B172="","",'Statement of Marks'!B172)</f>
        <v/>
      </c>
      <c r="C169" s="278" t="str">
        <f>IF('Statement of Marks'!D172="","",'Statement of Marks'!D172)</f>
        <v/>
      </c>
      <c r="D169" s="314" t="str">
        <f>IF('Statement of Marks'!E172="","",'Statement of Marks'!E172)</f>
        <v/>
      </c>
      <c r="E169" s="279" t="str">
        <f>IF('Statement of Marks'!F172="","",'Statement of Marks'!F172)</f>
        <v/>
      </c>
      <c r="F169" s="279" t="str">
        <f>IF('Statement of Marks'!G172="","",'Statement of Marks'!G172)</f>
        <v/>
      </c>
      <c r="G169" s="279" t="str">
        <f>IF('Statement of Marks'!H172="","",'Statement of Marks'!H172)</f>
        <v/>
      </c>
      <c r="H169" s="280" t="str">
        <f>IF('Statement of Marks'!I172="","",'Statement of Marks'!I172)</f>
        <v/>
      </c>
      <c r="I169" s="280" t="str">
        <f>IF('Statement of Marks'!J172="","",'Statement of Marks'!J172)</f>
        <v/>
      </c>
      <c r="J169" s="827" t="str">
        <f>IF('Statement of Marks'!HS172="","",'Statement of Marks'!HS172)</f>
        <v/>
      </c>
      <c r="K169" s="281" t="str">
        <f>IF('Statement of Marks'!HT172="","",'Statement of Marks'!HT172)</f>
        <v/>
      </c>
      <c r="L169" s="828" t="str">
        <f>IF('Statement of Marks'!HW172="","",'Statement of Marks'!HW172)</f>
        <v/>
      </c>
      <c r="M169" s="281" t="str">
        <f>IF('Statement of Marks'!HV172="","",'Statement of Marks'!HV172)</f>
        <v/>
      </c>
      <c r="N169" s="829" t="str">
        <f>IF('Statement of Marks'!HX172="","",'Statement of Marks'!HX172)</f>
        <v/>
      </c>
      <c r="O169" s="282" t="str">
        <f>IF(J169="FAIL","",IF('Statement of Marks'!HO172="","",'Statement of Marks'!HO172))</f>
        <v xml:space="preserve">      </v>
      </c>
      <c r="P169" s="283" t="str">
        <f>IF('Supp. Result Entry'!AQ170="","",'Supp. Result Entry'!AQ170)</f>
        <v/>
      </c>
      <c r="Q169" s="284" t="str">
        <f>IF('Supp. Result Entry'!AR170="","",'Supp. Result Entry'!AR170)</f>
        <v/>
      </c>
      <c r="R169" s="285" t="str">
        <f>IF('Statement of Marks'!IA172="","",'Statement of Marks'!IA172)</f>
        <v/>
      </c>
      <c r="S169" s="286" t="str">
        <f>IF('Statement of Marks'!GL172="","",'Statement of Marks'!GL172)</f>
        <v/>
      </c>
      <c r="BM169" s="287" t="str">
        <f>'Statement of Marks'!F172</f>
        <v/>
      </c>
      <c r="BN169" s="288" t="str">
        <f t="shared" si="24"/>
        <v/>
      </c>
      <c r="BO169" s="288" t="str">
        <f t="shared" si="25"/>
        <v/>
      </c>
      <c r="BP169" s="288" t="str">
        <f t="shared" si="26"/>
        <v/>
      </c>
      <c r="BQ169" s="288" t="str">
        <f t="shared" si="27"/>
        <v/>
      </c>
      <c r="BR169" s="288" t="str">
        <f t="shared" si="28"/>
        <v/>
      </c>
      <c r="BS169" s="288" t="str">
        <f t="shared" si="29"/>
        <v/>
      </c>
      <c r="BT169" s="288" t="str">
        <f t="shared" si="30"/>
        <v/>
      </c>
      <c r="BU169" s="288" t="str">
        <f t="shared" si="31"/>
        <v/>
      </c>
      <c r="BV169" s="288" t="str">
        <f t="shared" si="32"/>
        <v/>
      </c>
      <c r="BW169" s="288" t="str">
        <f t="shared" si="33"/>
        <v/>
      </c>
      <c r="BX169" s="288" t="str">
        <f t="shared" si="34"/>
        <v/>
      </c>
      <c r="BY169" s="288" t="str">
        <f t="shared" si="35"/>
        <v/>
      </c>
      <c r="BZ169" s="289"/>
    </row>
    <row r="170" spans="1:78" ht="15" customHeight="1">
      <c r="A170" s="276">
        <f>IF('Statement of Marks'!A173="","",'Statement of Marks'!A173)</f>
        <v>167</v>
      </c>
      <c r="B170" s="277" t="str">
        <f>IF('Statement of Marks'!B173="","",'Statement of Marks'!B173)</f>
        <v/>
      </c>
      <c r="C170" s="278" t="str">
        <f>IF('Statement of Marks'!D173="","",'Statement of Marks'!D173)</f>
        <v/>
      </c>
      <c r="D170" s="314" t="str">
        <f>IF('Statement of Marks'!E173="","",'Statement of Marks'!E173)</f>
        <v/>
      </c>
      <c r="E170" s="279" t="str">
        <f>IF('Statement of Marks'!F173="","",'Statement of Marks'!F173)</f>
        <v/>
      </c>
      <c r="F170" s="279" t="str">
        <f>IF('Statement of Marks'!G173="","",'Statement of Marks'!G173)</f>
        <v/>
      </c>
      <c r="G170" s="279" t="str">
        <f>IF('Statement of Marks'!H173="","",'Statement of Marks'!H173)</f>
        <v/>
      </c>
      <c r="H170" s="280" t="str">
        <f>IF('Statement of Marks'!I173="","",'Statement of Marks'!I173)</f>
        <v/>
      </c>
      <c r="I170" s="280" t="str">
        <f>IF('Statement of Marks'!J173="","",'Statement of Marks'!J173)</f>
        <v/>
      </c>
      <c r="J170" s="827" t="str">
        <f>IF('Statement of Marks'!HS173="","",'Statement of Marks'!HS173)</f>
        <v/>
      </c>
      <c r="K170" s="281" t="str">
        <f>IF('Statement of Marks'!HT173="","",'Statement of Marks'!HT173)</f>
        <v/>
      </c>
      <c r="L170" s="828" t="str">
        <f>IF('Statement of Marks'!HW173="","",'Statement of Marks'!HW173)</f>
        <v/>
      </c>
      <c r="M170" s="281" t="str">
        <f>IF('Statement of Marks'!HV173="","",'Statement of Marks'!HV173)</f>
        <v/>
      </c>
      <c r="N170" s="829" t="str">
        <f>IF('Statement of Marks'!HX173="","",'Statement of Marks'!HX173)</f>
        <v/>
      </c>
      <c r="O170" s="282" t="str">
        <f>IF(J170="FAIL","",IF('Statement of Marks'!HO173="","",'Statement of Marks'!HO173))</f>
        <v xml:space="preserve">      </v>
      </c>
      <c r="P170" s="283" t="str">
        <f>IF('Supp. Result Entry'!AQ171="","",'Supp. Result Entry'!AQ171)</f>
        <v/>
      </c>
      <c r="Q170" s="284" t="str">
        <f>IF('Supp. Result Entry'!AR171="","",'Supp. Result Entry'!AR171)</f>
        <v/>
      </c>
      <c r="R170" s="285" t="str">
        <f>IF('Statement of Marks'!IA173="","",'Statement of Marks'!IA173)</f>
        <v/>
      </c>
      <c r="S170" s="286" t="str">
        <f>IF('Statement of Marks'!GL173="","",'Statement of Marks'!GL173)</f>
        <v/>
      </c>
      <c r="BM170" s="287" t="str">
        <f>'Statement of Marks'!F173</f>
        <v/>
      </c>
      <c r="BN170" s="288" t="str">
        <f t="shared" si="24"/>
        <v/>
      </c>
      <c r="BO170" s="288" t="str">
        <f t="shared" si="25"/>
        <v/>
      </c>
      <c r="BP170" s="288" t="str">
        <f t="shared" si="26"/>
        <v/>
      </c>
      <c r="BQ170" s="288" t="str">
        <f t="shared" si="27"/>
        <v/>
      </c>
      <c r="BR170" s="288" t="str">
        <f t="shared" si="28"/>
        <v/>
      </c>
      <c r="BS170" s="288" t="str">
        <f t="shared" si="29"/>
        <v/>
      </c>
      <c r="BT170" s="288" t="str">
        <f t="shared" si="30"/>
        <v/>
      </c>
      <c r="BU170" s="288" t="str">
        <f t="shared" si="31"/>
        <v/>
      </c>
      <c r="BV170" s="288" t="str">
        <f t="shared" si="32"/>
        <v/>
      </c>
      <c r="BW170" s="288" t="str">
        <f t="shared" si="33"/>
        <v/>
      </c>
      <c r="BX170" s="288" t="str">
        <f t="shared" si="34"/>
        <v/>
      </c>
      <c r="BY170" s="288" t="str">
        <f t="shared" si="35"/>
        <v/>
      </c>
      <c r="BZ170" s="289"/>
    </row>
    <row r="171" spans="1:78" ht="15" customHeight="1">
      <c r="A171" s="276">
        <f>IF('Statement of Marks'!A174="","",'Statement of Marks'!A174)</f>
        <v>168</v>
      </c>
      <c r="B171" s="277" t="str">
        <f>IF('Statement of Marks'!B174="","",'Statement of Marks'!B174)</f>
        <v/>
      </c>
      <c r="C171" s="278" t="str">
        <f>IF('Statement of Marks'!D174="","",'Statement of Marks'!D174)</f>
        <v/>
      </c>
      <c r="D171" s="314" t="str">
        <f>IF('Statement of Marks'!E174="","",'Statement of Marks'!E174)</f>
        <v/>
      </c>
      <c r="E171" s="279" t="str">
        <f>IF('Statement of Marks'!F174="","",'Statement of Marks'!F174)</f>
        <v/>
      </c>
      <c r="F171" s="279" t="str">
        <f>IF('Statement of Marks'!G174="","",'Statement of Marks'!G174)</f>
        <v/>
      </c>
      <c r="G171" s="279" t="str">
        <f>IF('Statement of Marks'!H174="","",'Statement of Marks'!H174)</f>
        <v/>
      </c>
      <c r="H171" s="280" t="str">
        <f>IF('Statement of Marks'!I174="","",'Statement of Marks'!I174)</f>
        <v/>
      </c>
      <c r="I171" s="280" t="str">
        <f>IF('Statement of Marks'!J174="","",'Statement of Marks'!J174)</f>
        <v/>
      </c>
      <c r="J171" s="827" t="str">
        <f>IF('Statement of Marks'!HS174="","",'Statement of Marks'!HS174)</f>
        <v/>
      </c>
      <c r="K171" s="281" t="str">
        <f>IF('Statement of Marks'!HT174="","",'Statement of Marks'!HT174)</f>
        <v/>
      </c>
      <c r="L171" s="828" t="str">
        <f>IF('Statement of Marks'!HW174="","",'Statement of Marks'!HW174)</f>
        <v/>
      </c>
      <c r="M171" s="281" t="str">
        <f>IF('Statement of Marks'!HV174="","",'Statement of Marks'!HV174)</f>
        <v/>
      </c>
      <c r="N171" s="829" t="str">
        <f>IF('Statement of Marks'!HX174="","",'Statement of Marks'!HX174)</f>
        <v/>
      </c>
      <c r="O171" s="282" t="str">
        <f>IF(J171="FAIL","",IF('Statement of Marks'!HO174="","",'Statement of Marks'!HO174))</f>
        <v xml:space="preserve">      </v>
      </c>
      <c r="P171" s="283" t="str">
        <f>IF('Supp. Result Entry'!AQ172="","",'Supp. Result Entry'!AQ172)</f>
        <v/>
      </c>
      <c r="Q171" s="284" t="str">
        <f>IF('Supp. Result Entry'!AR172="","",'Supp. Result Entry'!AR172)</f>
        <v/>
      </c>
      <c r="R171" s="285" t="str">
        <f>IF('Statement of Marks'!IA174="","",'Statement of Marks'!IA174)</f>
        <v/>
      </c>
      <c r="S171" s="286" t="str">
        <f>IF('Statement of Marks'!GL174="","",'Statement of Marks'!GL174)</f>
        <v/>
      </c>
      <c r="BM171" s="287" t="str">
        <f>'Statement of Marks'!F174</f>
        <v/>
      </c>
      <c r="BN171" s="288" t="str">
        <f t="shared" si="24"/>
        <v/>
      </c>
      <c r="BO171" s="288" t="str">
        <f t="shared" si="25"/>
        <v/>
      </c>
      <c r="BP171" s="288" t="str">
        <f t="shared" si="26"/>
        <v/>
      </c>
      <c r="BQ171" s="288" t="str">
        <f t="shared" si="27"/>
        <v/>
      </c>
      <c r="BR171" s="288" t="str">
        <f t="shared" si="28"/>
        <v/>
      </c>
      <c r="BS171" s="288" t="str">
        <f t="shared" si="29"/>
        <v/>
      </c>
      <c r="BT171" s="288" t="str">
        <f t="shared" si="30"/>
        <v/>
      </c>
      <c r="BU171" s="288" t="str">
        <f t="shared" si="31"/>
        <v/>
      </c>
      <c r="BV171" s="288" t="str">
        <f t="shared" si="32"/>
        <v/>
      </c>
      <c r="BW171" s="288" t="str">
        <f t="shared" si="33"/>
        <v/>
      </c>
      <c r="BX171" s="288" t="str">
        <f t="shared" si="34"/>
        <v/>
      </c>
      <c r="BY171" s="288" t="str">
        <f t="shared" si="35"/>
        <v/>
      </c>
      <c r="BZ171" s="289"/>
    </row>
    <row r="172" spans="1:78" ht="15" customHeight="1">
      <c r="A172" s="276">
        <f>IF('Statement of Marks'!A175="","",'Statement of Marks'!A175)</f>
        <v>169</v>
      </c>
      <c r="B172" s="277" t="str">
        <f>IF('Statement of Marks'!B175="","",'Statement of Marks'!B175)</f>
        <v/>
      </c>
      <c r="C172" s="278" t="str">
        <f>IF('Statement of Marks'!D175="","",'Statement of Marks'!D175)</f>
        <v/>
      </c>
      <c r="D172" s="314" t="str">
        <f>IF('Statement of Marks'!E175="","",'Statement of Marks'!E175)</f>
        <v/>
      </c>
      <c r="E172" s="279" t="str">
        <f>IF('Statement of Marks'!F175="","",'Statement of Marks'!F175)</f>
        <v/>
      </c>
      <c r="F172" s="279" t="str">
        <f>IF('Statement of Marks'!G175="","",'Statement of Marks'!G175)</f>
        <v/>
      </c>
      <c r="G172" s="279" t="str">
        <f>IF('Statement of Marks'!H175="","",'Statement of Marks'!H175)</f>
        <v/>
      </c>
      <c r="H172" s="280" t="str">
        <f>IF('Statement of Marks'!I175="","",'Statement of Marks'!I175)</f>
        <v/>
      </c>
      <c r="I172" s="280" t="str">
        <f>IF('Statement of Marks'!J175="","",'Statement of Marks'!J175)</f>
        <v/>
      </c>
      <c r="J172" s="827" t="str">
        <f>IF('Statement of Marks'!HS175="","",'Statement of Marks'!HS175)</f>
        <v/>
      </c>
      <c r="K172" s="281" t="str">
        <f>IF('Statement of Marks'!HT175="","",'Statement of Marks'!HT175)</f>
        <v/>
      </c>
      <c r="L172" s="828" t="str">
        <f>IF('Statement of Marks'!HW175="","",'Statement of Marks'!HW175)</f>
        <v/>
      </c>
      <c r="M172" s="281" t="str">
        <f>IF('Statement of Marks'!HV175="","",'Statement of Marks'!HV175)</f>
        <v/>
      </c>
      <c r="N172" s="829" t="str">
        <f>IF('Statement of Marks'!HX175="","",'Statement of Marks'!HX175)</f>
        <v/>
      </c>
      <c r="O172" s="282" t="str">
        <f>IF(J172="FAIL","",IF('Statement of Marks'!HO175="","",'Statement of Marks'!HO175))</f>
        <v xml:space="preserve">      </v>
      </c>
      <c r="P172" s="283" t="str">
        <f>IF('Supp. Result Entry'!AQ173="","",'Supp. Result Entry'!AQ173)</f>
        <v/>
      </c>
      <c r="Q172" s="284" t="str">
        <f>IF('Supp. Result Entry'!AR173="","",'Supp. Result Entry'!AR173)</f>
        <v/>
      </c>
      <c r="R172" s="285" t="str">
        <f>IF('Statement of Marks'!IA175="","",'Statement of Marks'!IA175)</f>
        <v/>
      </c>
      <c r="S172" s="286" t="str">
        <f>IF('Statement of Marks'!GL175="","",'Statement of Marks'!GL175)</f>
        <v/>
      </c>
      <c r="BM172" s="287" t="str">
        <f>'Statement of Marks'!F175</f>
        <v/>
      </c>
      <c r="BN172" s="288" t="str">
        <f t="shared" si="24"/>
        <v/>
      </c>
      <c r="BO172" s="288" t="str">
        <f t="shared" si="25"/>
        <v/>
      </c>
      <c r="BP172" s="288" t="str">
        <f t="shared" si="26"/>
        <v/>
      </c>
      <c r="BQ172" s="288" t="str">
        <f t="shared" si="27"/>
        <v/>
      </c>
      <c r="BR172" s="288" t="str">
        <f t="shared" si="28"/>
        <v/>
      </c>
      <c r="BS172" s="288" t="str">
        <f t="shared" si="29"/>
        <v/>
      </c>
      <c r="BT172" s="288" t="str">
        <f t="shared" si="30"/>
        <v/>
      </c>
      <c r="BU172" s="288" t="str">
        <f t="shared" si="31"/>
        <v/>
      </c>
      <c r="BV172" s="288" t="str">
        <f t="shared" si="32"/>
        <v/>
      </c>
      <c r="BW172" s="288" t="str">
        <f t="shared" si="33"/>
        <v/>
      </c>
      <c r="BX172" s="288" t="str">
        <f t="shared" si="34"/>
        <v/>
      </c>
      <c r="BY172" s="288" t="str">
        <f t="shared" si="35"/>
        <v/>
      </c>
      <c r="BZ172" s="289"/>
    </row>
    <row r="173" spans="1:78" ht="15" customHeight="1">
      <c r="A173" s="276">
        <f>IF('Statement of Marks'!A176="","",'Statement of Marks'!A176)</f>
        <v>170</v>
      </c>
      <c r="B173" s="277" t="str">
        <f>IF('Statement of Marks'!B176="","",'Statement of Marks'!B176)</f>
        <v/>
      </c>
      <c r="C173" s="278" t="str">
        <f>IF('Statement of Marks'!D176="","",'Statement of Marks'!D176)</f>
        <v/>
      </c>
      <c r="D173" s="314" t="str">
        <f>IF('Statement of Marks'!E176="","",'Statement of Marks'!E176)</f>
        <v/>
      </c>
      <c r="E173" s="279" t="str">
        <f>IF('Statement of Marks'!F176="","",'Statement of Marks'!F176)</f>
        <v/>
      </c>
      <c r="F173" s="279" t="str">
        <f>IF('Statement of Marks'!G176="","",'Statement of Marks'!G176)</f>
        <v/>
      </c>
      <c r="G173" s="279" t="str">
        <f>IF('Statement of Marks'!H176="","",'Statement of Marks'!H176)</f>
        <v/>
      </c>
      <c r="H173" s="280" t="str">
        <f>IF('Statement of Marks'!I176="","",'Statement of Marks'!I176)</f>
        <v/>
      </c>
      <c r="I173" s="280" t="str">
        <f>IF('Statement of Marks'!J176="","",'Statement of Marks'!J176)</f>
        <v/>
      </c>
      <c r="J173" s="827" t="str">
        <f>IF('Statement of Marks'!HS176="","",'Statement of Marks'!HS176)</f>
        <v/>
      </c>
      <c r="K173" s="281" t="str">
        <f>IF('Statement of Marks'!HT176="","",'Statement of Marks'!HT176)</f>
        <v/>
      </c>
      <c r="L173" s="828" t="str">
        <f>IF('Statement of Marks'!HW176="","",'Statement of Marks'!HW176)</f>
        <v/>
      </c>
      <c r="M173" s="281" t="str">
        <f>IF('Statement of Marks'!HV176="","",'Statement of Marks'!HV176)</f>
        <v/>
      </c>
      <c r="N173" s="829" t="str">
        <f>IF('Statement of Marks'!HX176="","",'Statement of Marks'!HX176)</f>
        <v/>
      </c>
      <c r="O173" s="282" t="str">
        <f>IF(J173="FAIL","",IF('Statement of Marks'!HO176="","",'Statement of Marks'!HO176))</f>
        <v xml:space="preserve">      </v>
      </c>
      <c r="P173" s="283" t="str">
        <f>IF('Supp. Result Entry'!AQ174="","",'Supp. Result Entry'!AQ174)</f>
        <v/>
      </c>
      <c r="Q173" s="284" t="str">
        <f>IF('Supp. Result Entry'!AR174="","",'Supp. Result Entry'!AR174)</f>
        <v/>
      </c>
      <c r="R173" s="285" t="str">
        <f>IF('Statement of Marks'!IA176="","",'Statement of Marks'!IA176)</f>
        <v/>
      </c>
      <c r="S173" s="286" t="str">
        <f>IF('Statement of Marks'!GL176="","",'Statement of Marks'!GL176)</f>
        <v/>
      </c>
      <c r="BM173" s="287" t="str">
        <f>'Statement of Marks'!F176</f>
        <v/>
      </c>
      <c r="BN173" s="288" t="str">
        <f t="shared" si="24"/>
        <v/>
      </c>
      <c r="BO173" s="288" t="str">
        <f t="shared" si="25"/>
        <v/>
      </c>
      <c r="BP173" s="288" t="str">
        <f t="shared" si="26"/>
        <v/>
      </c>
      <c r="BQ173" s="288" t="str">
        <f t="shared" si="27"/>
        <v/>
      </c>
      <c r="BR173" s="288" t="str">
        <f t="shared" si="28"/>
        <v/>
      </c>
      <c r="BS173" s="288" t="str">
        <f t="shared" si="29"/>
        <v/>
      </c>
      <c r="BT173" s="288" t="str">
        <f t="shared" si="30"/>
        <v/>
      </c>
      <c r="BU173" s="288" t="str">
        <f t="shared" si="31"/>
        <v/>
      </c>
      <c r="BV173" s="288" t="str">
        <f t="shared" si="32"/>
        <v/>
      </c>
      <c r="BW173" s="288" t="str">
        <f t="shared" si="33"/>
        <v/>
      </c>
      <c r="BX173" s="288" t="str">
        <f t="shared" si="34"/>
        <v/>
      </c>
      <c r="BY173" s="288" t="str">
        <f t="shared" si="35"/>
        <v/>
      </c>
      <c r="BZ173" s="289"/>
    </row>
    <row r="174" spans="1:78" ht="15" customHeight="1">
      <c r="A174" s="276">
        <f>IF('Statement of Marks'!A177="","",'Statement of Marks'!A177)</f>
        <v>171</v>
      </c>
      <c r="B174" s="277" t="str">
        <f>IF('Statement of Marks'!B177="","",'Statement of Marks'!B177)</f>
        <v/>
      </c>
      <c r="C174" s="278" t="str">
        <f>IF('Statement of Marks'!D177="","",'Statement of Marks'!D177)</f>
        <v/>
      </c>
      <c r="D174" s="314" t="str">
        <f>IF('Statement of Marks'!E177="","",'Statement of Marks'!E177)</f>
        <v/>
      </c>
      <c r="E174" s="279" t="str">
        <f>IF('Statement of Marks'!F177="","",'Statement of Marks'!F177)</f>
        <v/>
      </c>
      <c r="F174" s="279" t="str">
        <f>IF('Statement of Marks'!G177="","",'Statement of Marks'!G177)</f>
        <v/>
      </c>
      <c r="G174" s="279" t="str">
        <f>IF('Statement of Marks'!H177="","",'Statement of Marks'!H177)</f>
        <v/>
      </c>
      <c r="H174" s="280" t="str">
        <f>IF('Statement of Marks'!I177="","",'Statement of Marks'!I177)</f>
        <v/>
      </c>
      <c r="I174" s="280" t="str">
        <f>IF('Statement of Marks'!J177="","",'Statement of Marks'!J177)</f>
        <v/>
      </c>
      <c r="J174" s="827" t="str">
        <f>IF('Statement of Marks'!HS177="","",'Statement of Marks'!HS177)</f>
        <v/>
      </c>
      <c r="K174" s="281" t="str">
        <f>IF('Statement of Marks'!HT177="","",'Statement of Marks'!HT177)</f>
        <v/>
      </c>
      <c r="L174" s="828" t="str">
        <f>IF('Statement of Marks'!HW177="","",'Statement of Marks'!HW177)</f>
        <v/>
      </c>
      <c r="M174" s="281" t="str">
        <f>IF('Statement of Marks'!HV177="","",'Statement of Marks'!HV177)</f>
        <v/>
      </c>
      <c r="N174" s="829" t="str">
        <f>IF('Statement of Marks'!HX177="","",'Statement of Marks'!HX177)</f>
        <v/>
      </c>
      <c r="O174" s="282" t="str">
        <f>IF(J174="FAIL","",IF('Statement of Marks'!HO177="","",'Statement of Marks'!HO177))</f>
        <v xml:space="preserve">      </v>
      </c>
      <c r="P174" s="283" t="str">
        <f>IF('Supp. Result Entry'!AQ175="","",'Supp. Result Entry'!AQ175)</f>
        <v/>
      </c>
      <c r="Q174" s="284" t="str">
        <f>IF('Supp. Result Entry'!AR175="","",'Supp. Result Entry'!AR175)</f>
        <v/>
      </c>
      <c r="R174" s="285" t="str">
        <f>IF('Statement of Marks'!IA177="","",'Statement of Marks'!IA177)</f>
        <v/>
      </c>
      <c r="S174" s="286" t="str">
        <f>IF('Statement of Marks'!GL177="","",'Statement of Marks'!GL177)</f>
        <v/>
      </c>
      <c r="BM174" s="287" t="str">
        <f>'Statement of Marks'!F177</f>
        <v/>
      </c>
      <c r="BN174" s="288" t="str">
        <f t="shared" si="24"/>
        <v/>
      </c>
      <c r="BO174" s="288" t="str">
        <f t="shared" si="25"/>
        <v/>
      </c>
      <c r="BP174" s="288" t="str">
        <f t="shared" si="26"/>
        <v/>
      </c>
      <c r="BQ174" s="288" t="str">
        <f t="shared" si="27"/>
        <v/>
      </c>
      <c r="BR174" s="288" t="str">
        <f t="shared" si="28"/>
        <v/>
      </c>
      <c r="BS174" s="288" t="str">
        <f t="shared" si="29"/>
        <v/>
      </c>
      <c r="BT174" s="288" t="str">
        <f t="shared" si="30"/>
        <v/>
      </c>
      <c r="BU174" s="288" t="str">
        <f t="shared" si="31"/>
        <v/>
      </c>
      <c r="BV174" s="288" t="str">
        <f t="shared" si="32"/>
        <v/>
      </c>
      <c r="BW174" s="288" t="str">
        <f t="shared" si="33"/>
        <v/>
      </c>
      <c r="BX174" s="288" t="str">
        <f t="shared" si="34"/>
        <v/>
      </c>
      <c r="BY174" s="288" t="str">
        <f t="shared" si="35"/>
        <v/>
      </c>
      <c r="BZ174" s="289"/>
    </row>
    <row r="175" spans="1:78" ht="15" customHeight="1">
      <c r="A175" s="276">
        <f>IF('Statement of Marks'!A178="","",'Statement of Marks'!A178)</f>
        <v>172</v>
      </c>
      <c r="B175" s="277" t="str">
        <f>IF('Statement of Marks'!B178="","",'Statement of Marks'!B178)</f>
        <v/>
      </c>
      <c r="C175" s="278" t="str">
        <f>IF('Statement of Marks'!D178="","",'Statement of Marks'!D178)</f>
        <v/>
      </c>
      <c r="D175" s="314" t="str">
        <f>IF('Statement of Marks'!E178="","",'Statement of Marks'!E178)</f>
        <v/>
      </c>
      <c r="E175" s="279" t="str">
        <f>IF('Statement of Marks'!F178="","",'Statement of Marks'!F178)</f>
        <v/>
      </c>
      <c r="F175" s="279" t="str">
        <f>IF('Statement of Marks'!G178="","",'Statement of Marks'!G178)</f>
        <v/>
      </c>
      <c r="G175" s="279" t="str">
        <f>IF('Statement of Marks'!H178="","",'Statement of Marks'!H178)</f>
        <v/>
      </c>
      <c r="H175" s="280" t="str">
        <f>IF('Statement of Marks'!I178="","",'Statement of Marks'!I178)</f>
        <v/>
      </c>
      <c r="I175" s="280" t="str">
        <f>IF('Statement of Marks'!J178="","",'Statement of Marks'!J178)</f>
        <v/>
      </c>
      <c r="J175" s="827" t="str">
        <f>IF('Statement of Marks'!HS178="","",'Statement of Marks'!HS178)</f>
        <v/>
      </c>
      <c r="K175" s="281" t="str">
        <f>IF('Statement of Marks'!HT178="","",'Statement of Marks'!HT178)</f>
        <v/>
      </c>
      <c r="L175" s="828" t="str">
        <f>IF('Statement of Marks'!HW178="","",'Statement of Marks'!HW178)</f>
        <v/>
      </c>
      <c r="M175" s="281" t="str">
        <f>IF('Statement of Marks'!HV178="","",'Statement of Marks'!HV178)</f>
        <v/>
      </c>
      <c r="N175" s="829" t="str">
        <f>IF('Statement of Marks'!HX178="","",'Statement of Marks'!HX178)</f>
        <v/>
      </c>
      <c r="O175" s="282" t="str">
        <f>IF(J175="FAIL","",IF('Statement of Marks'!HO178="","",'Statement of Marks'!HO178))</f>
        <v xml:space="preserve">      </v>
      </c>
      <c r="P175" s="283" t="str">
        <f>IF('Supp. Result Entry'!AQ176="","",'Supp. Result Entry'!AQ176)</f>
        <v/>
      </c>
      <c r="Q175" s="284" t="str">
        <f>IF('Supp. Result Entry'!AR176="","",'Supp. Result Entry'!AR176)</f>
        <v/>
      </c>
      <c r="R175" s="285" t="str">
        <f>IF('Statement of Marks'!IA178="","",'Statement of Marks'!IA178)</f>
        <v/>
      </c>
      <c r="S175" s="286" t="str">
        <f>IF('Statement of Marks'!GL178="","",'Statement of Marks'!GL178)</f>
        <v/>
      </c>
      <c r="BM175" s="287" t="str">
        <f>'Statement of Marks'!F178</f>
        <v/>
      </c>
      <c r="BN175" s="288" t="str">
        <f t="shared" si="24"/>
        <v/>
      </c>
      <c r="BO175" s="288" t="str">
        <f t="shared" si="25"/>
        <v/>
      </c>
      <c r="BP175" s="288" t="str">
        <f t="shared" si="26"/>
        <v/>
      </c>
      <c r="BQ175" s="288" t="str">
        <f t="shared" si="27"/>
        <v/>
      </c>
      <c r="BR175" s="288" t="str">
        <f t="shared" si="28"/>
        <v/>
      </c>
      <c r="BS175" s="288" t="str">
        <f t="shared" si="29"/>
        <v/>
      </c>
      <c r="BT175" s="288" t="str">
        <f t="shared" si="30"/>
        <v/>
      </c>
      <c r="BU175" s="288" t="str">
        <f t="shared" si="31"/>
        <v/>
      </c>
      <c r="BV175" s="288" t="str">
        <f t="shared" si="32"/>
        <v/>
      </c>
      <c r="BW175" s="288" t="str">
        <f t="shared" si="33"/>
        <v/>
      </c>
      <c r="BX175" s="288" t="str">
        <f t="shared" si="34"/>
        <v/>
      </c>
      <c r="BY175" s="288" t="str">
        <f t="shared" si="35"/>
        <v/>
      </c>
      <c r="BZ175" s="289"/>
    </row>
    <row r="176" spans="1:78" ht="15" customHeight="1">
      <c r="A176" s="276">
        <f>IF('Statement of Marks'!A179="","",'Statement of Marks'!A179)</f>
        <v>173</v>
      </c>
      <c r="B176" s="277" t="str">
        <f>IF('Statement of Marks'!B179="","",'Statement of Marks'!B179)</f>
        <v/>
      </c>
      <c r="C176" s="278" t="str">
        <f>IF('Statement of Marks'!D179="","",'Statement of Marks'!D179)</f>
        <v/>
      </c>
      <c r="D176" s="314" t="str">
        <f>IF('Statement of Marks'!E179="","",'Statement of Marks'!E179)</f>
        <v/>
      </c>
      <c r="E176" s="279" t="str">
        <f>IF('Statement of Marks'!F179="","",'Statement of Marks'!F179)</f>
        <v/>
      </c>
      <c r="F176" s="279" t="str">
        <f>IF('Statement of Marks'!G179="","",'Statement of Marks'!G179)</f>
        <v/>
      </c>
      <c r="G176" s="279" t="str">
        <f>IF('Statement of Marks'!H179="","",'Statement of Marks'!H179)</f>
        <v/>
      </c>
      <c r="H176" s="280" t="str">
        <f>IF('Statement of Marks'!I179="","",'Statement of Marks'!I179)</f>
        <v/>
      </c>
      <c r="I176" s="280" t="str">
        <f>IF('Statement of Marks'!J179="","",'Statement of Marks'!J179)</f>
        <v/>
      </c>
      <c r="J176" s="827" t="str">
        <f>IF('Statement of Marks'!HS179="","",'Statement of Marks'!HS179)</f>
        <v/>
      </c>
      <c r="K176" s="281" t="str">
        <f>IF('Statement of Marks'!HT179="","",'Statement of Marks'!HT179)</f>
        <v/>
      </c>
      <c r="L176" s="828" t="str">
        <f>IF('Statement of Marks'!HW179="","",'Statement of Marks'!HW179)</f>
        <v/>
      </c>
      <c r="M176" s="281" t="str">
        <f>IF('Statement of Marks'!HV179="","",'Statement of Marks'!HV179)</f>
        <v/>
      </c>
      <c r="N176" s="829" t="str">
        <f>IF('Statement of Marks'!HX179="","",'Statement of Marks'!HX179)</f>
        <v/>
      </c>
      <c r="O176" s="282" t="str">
        <f>IF(J176="FAIL","",IF('Statement of Marks'!HO179="","",'Statement of Marks'!HO179))</f>
        <v xml:space="preserve">      </v>
      </c>
      <c r="P176" s="283" t="str">
        <f>IF('Supp. Result Entry'!AQ177="","",'Supp. Result Entry'!AQ177)</f>
        <v/>
      </c>
      <c r="Q176" s="284" t="str">
        <f>IF('Supp. Result Entry'!AR177="","",'Supp. Result Entry'!AR177)</f>
        <v/>
      </c>
      <c r="R176" s="285" t="str">
        <f>IF('Statement of Marks'!IA179="","",'Statement of Marks'!IA179)</f>
        <v/>
      </c>
      <c r="S176" s="286" t="str">
        <f>IF('Statement of Marks'!GL179="","",'Statement of Marks'!GL179)</f>
        <v/>
      </c>
      <c r="BM176" s="287" t="str">
        <f>'Statement of Marks'!F179</f>
        <v/>
      </c>
      <c r="BN176" s="288" t="str">
        <f t="shared" si="24"/>
        <v/>
      </c>
      <c r="BO176" s="288" t="str">
        <f t="shared" si="25"/>
        <v/>
      </c>
      <c r="BP176" s="288" t="str">
        <f t="shared" si="26"/>
        <v/>
      </c>
      <c r="BQ176" s="288" t="str">
        <f t="shared" si="27"/>
        <v/>
      </c>
      <c r="BR176" s="288" t="str">
        <f t="shared" si="28"/>
        <v/>
      </c>
      <c r="BS176" s="288" t="str">
        <f t="shared" si="29"/>
        <v/>
      </c>
      <c r="BT176" s="288" t="str">
        <f t="shared" si="30"/>
        <v/>
      </c>
      <c r="BU176" s="288" t="str">
        <f t="shared" si="31"/>
        <v/>
      </c>
      <c r="BV176" s="288" t="str">
        <f t="shared" si="32"/>
        <v/>
      </c>
      <c r="BW176" s="288" t="str">
        <f t="shared" si="33"/>
        <v/>
      </c>
      <c r="BX176" s="288" t="str">
        <f t="shared" si="34"/>
        <v/>
      </c>
      <c r="BY176" s="288" t="str">
        <f t="shared" si="35"/>
        <v/>
      </c>
      <c r="BZ176" s="289"/>
    </row>
    <row r="177" spans="1:78" ht="15" customHeight="1">
      <c r="A177" s="276">
        <f>IF('Statement of Marks'!A180="","",'Statement of Marks'!A180)</f>
        <v>174</v>
      </c>
      <c r="B177" s="277" t="str">
        <f>IF('Statement of Marks'!B180="","",'Statement of Marks'!B180)</f>
        <v/>
      </c>
      <c r="C177" s="278" t="str">
        <f>IF('Statement of Marks'!D180="","",'Statement of Marks'!D180)</f>
        <v/>
      </c>
      <c r="D177" s="314" t="str">
        <f>IF('Statement of Marks'!E180="","",'Statement of Marks'!E180)</f>
        <v/>
      </c>
      <c r="E177" s="279" t="str">
        <f>IF('Statement of Marks'!F180="","",'Statement of Marks'!F180)</f>
        <v/>
      </c>
      <c r="F177" s="279" t="str">
        <f>IF('Statement of Marks'!G180="","",'Statement of Marks'!G180)</f>
        <v/>
      </c>
      <c r="G177" s="279" t="str">
        <f>IF('Statement of Marks'!H180="","",'Statement of Marks'!H180)</f>
        <v/>
      </c>
      <c r="H177" s="280" t="str">
        <f>IF('Statement of Marks'!I180="","",'Statement of Marks'!I180)</f>
        <v/>
      </c>
      <c r="I177" s="280" t="str">
        <f>IF('Statement of Marks'!J180="","",'Statement of Marks'!J180)</f>
        <v/>
      </c>
      <c r="J177" s="827" t="str">
        <f>IF('Statement of Marks'!HS180="","",'Statement of Marks'!HS180)</f>
        <v/>
      </c>
      <c r="K177" s="281" t="str">
        <f>IF('Statement of Marks'!HT180="","",'Statement of Marks'!HT180)</f>
        <v/>
      </c>
      <c r="L177" s="828" t="str">
        <f>IF('Statement of Marks'!HW180="","",'Statement of Marks'!HW180)</f>
        <v/>
      </c>
      <c r="M177" s="281" t="str">
        <f>IF('Statement of Marks'!HV180="","",'Statement of Marks'!HV180)</f>
        <v/>
      </c>
      <c r="N177" s="829" t="str">
        <f>IF('Statement of Marks'!HX180="","",'Statement of Marks'!HX180)</f>
        <v/>
      </c>
      <c r="O177" s="282" t="str">
        <f>IF(J177="FAIL","",IF('Statement of Marks'!HO180="","",'Statement of Marks'!HO180))</f>
        <v xml:space="preserve">      </v>
      </c>
      <c r="P177" s="283" t="str">
        <f>IF('Supp. Result Entry'!AQ178="","",'Supp. Result Entry'!AQ178)</f>
        <v/>
      </c>
      <c r="Q177" s="284" t="str">
        <f>IF('Supp. Result Entry'!AR178="","",'Supp. Result Entry'!AR178)</f>
        <v/>
      </c>
      <c r="R177" s="285" t="str">
        <f>IF('Statement of Marks'!IA180="","",'Statement of Marks'!IA180)</f>
        <v/>
      </c>
      <c r="S177" s="286" t="str">
        <f>IF('Statement of Marks'!GL180="","",'Statement of Marks'!GL180)</f>
        <v/>
      </c>
      <c r="BM177" s="287" t="str">
        <f>'Statement of Marks'!F180</f>
        <v/>
      </c>
      <c r="BN177" s="288" t="str">
        <f t="shared" si="24"/>
        <v/>
      </c>
      <c r="BO177" s="288" t="str">
        <f t="shared" si="25"/>
        <v/>
      </c>
      <c r="BP177" s="288" t="str">
        <f t="shared" si="26"/>
        <v/>
      </c>
      <c r="BQ177" s="288" t="str">
        <f t="shared" si="27"/>
        <v/>
      </c>
      <c r="BR177" s="288" t="str">
        <f t="shared" si="28"/>
        <v/>
      </c>
      <c r="BS177" s="288" t="str">
        <f t="shared" si="29"/>
        <v/>
      </c>
      <c r="BT177" s="288" t="str">
        <f t="shared" si="30"/>
        <v/>
      </c>
      <c r="BU177" s="288" t="str">
        <f t="shared" si="31"/>
        <v/>
      </c>
      <c r="BV177" s="288" t="str">
        <f t="shared" si="32"/>
        <v/>
      </c>
      <c r="BW177" s="288" t="str">
        <f t="shared" si="33"/>
        <v/>
      </c>
      <c r="BX177" s="288" t="str">
        <f t="shared" si="34"/>
        <v/>
      </c>
      <c r="BY177" s="288" t="str">
        <f t="shared" si="35"/>
        <v/>
      </c>
      <c r="BZ177" s="289"/>
    </row>
    <row r="178" spans="1:78" ht="15" customHeight="1">
      <c r="A178" s="276">
        <f>IF('Statement of Marks'!A181="","",'Statement of Marks'!A181)</f>
        <v>175</v>
      </c>
      <c r="B178" s="277" t="str">
        <f>IF('Statement of Marks'!B181="","",'Statement of Marks'!B181)</f>
        <v/>
      </c>
      <c r="C178" s="278" t="str">
        <f>IF('Statement of Marks'!D181="","",'Statement of Marks'!D181)</f>
        <v/>
      </c>
      <c r="D178" s="314" t="str">
        <f>IF('Statement of Marks'!E181="","",'Statement of Marks'!E181)</f>
        <v/>
      </c>
      <c r="E178" s="279" t="str">
        <f>IF('Statement of Marks'!F181="","",'Statement of Marks'!F181)</f>
        <v/>
      </c>
      <c r="F178" s="279" t="str">
        <f>IF('Statement of Marks'!G181="","",'Statement of Marks'!G181)</f>
        <v/>
      </c>
      <c r="G178" s="279" t="str">
        <f>IF('Statement of Marks'!H181="","",'Statement of Marks'!H181)</f>
        <v/>
      </c>
      <c r="H178" s="280" t="str">
        <f>IF('Statement of Marks'!I181="","",'Statement of Marks'!I181)</f>
        <v/>
      </c>
      <c r="I178" s="280" t="str">
        <f>IF('Statement of Marks'!J181="","",'Statement of Marks'!J181)</f>
        <v/>
      </c>
      <c r="J178" s="827" t="str">
        <f>IF('Statement of Marks'!HS181="","",'Statement of Marks'!HS181)</f>
        <v/>
      </c>
      <c r="K178" s="281" t="str">
        <f>IF('Statement of Marks'!HT181="","",'Statement of Marks'!HT181)</f>
        <v/>
      </c>
      <c r="L178" s="828" t="str">
        <f>IF('Statement of Marks'!HW181="","",'Statement of Marks'!HW181)</f>
        <v/>
      </c>
      <c r="M178" s="281" t="str">
        <f>IF('Statement of Marks'!HV181="","",'Statement of Marks'!HV181)</f>
        <v/>
      </c>
      <c r="N178" s="829" t="str">
        <f>IF('Statement of Marks'!HX181="","",'Statement of Marks'!HX181)</f>
        <v/>
      </c>
      <c r="O178" s="282" t="str">
        <f>IF(J178="FAIL","",IF('Statement of Marks'!HO181="","",'Statement of Marks'!HO181))</f>
        <v xml:space="preserve">      </v>
      </c>
      <c r="P178" s="283" t="str">
        <f>IF('Supp. Result Entry'!AQ179="","",'Supp. Result Entry'!AQ179)</f>
        <v/>
      </c>
      <c r="Q178" s="284" t="str">
        <f>IF('Supp. Result Entry'!AR179="","",'Supp. Result Entry'!AR179)</f>
        <v/>
      </c>
      <c r="R178" s="285" t="str">
        <f>IF('Statement of Marks'!IA181="","",'Statement of Marks'!IA181)</f>
        <v/>
      </c>
      <c r="S178" s="286" t="str">
        <f>IF('Statement of Marks'!GL181="","",'Statement of Marks'!GL181)</f>
        <v/>
      </c>
      <c r="BM178" s="287" t="str">
        <f>'Statement of Marks'!F181</f>
        <v/>
      </c>
      <c r="BN178" s="288" t="str">
        <f t="shared" si="24"/>
        <v/>
      </c>
      <c r="BO178" s="288" t="str">
        <f t="shared" si="25"/>
        <v/>
      </c>
      <c r="BP178" s="288" t="str">
        <f t="shared" si="26"/>
        <v/>
      </c>
      <c r="BQ178" s="288" t="str">
        <f t="shared" si="27"/>
        <v/>
      </c>
      <c r="BR178" s="288" t="str">
        <f t="shared" si="28"/>
        <v/>
      </c>
      <c r="BS178" s="288" t="str">
        <f t="shared" si="29"/>
        <v/>
      </c>
      <c r="BT178" s="288" t="str">
        <f t="shared" si="30"/>
        <v/>
      </c>
      <c r="BU178" s="288" t="str">
        <f t="shared" si="31"/>
        <v/>
      </c>
      <c r="BV178" s="288" t="str">
        <f t="shared" si="32"/>
        <v/>
      </c>
      <c r="BW178" s="288" t="str">
        <f t="shared" si="33"/>
        <v/>
      </c>
      <c r="BX178" s="288" t="str">
        <f t="shared" si="34"/>
        <v/>
      </c>
      <c r="BY178" s="288" t="str">
        <f t="shared" si="35"/>
        <v/>
      </c>
      <c r="BZ178" s="289"/>
    </row>
    <row r="179" spans="1:78" ht="15" customHeight="1">
      <c r="A179" s="276">
        <f>IF('Statement of Marks'!A182="","",'Statement of Marks'!A182)</f>
        <v>176</v>
      </c>
      <c r="B179" s="277" t="str">
        <f>IF('Statement of Marks'!B182="","",'Statement of Marks'!B182)</f>
        <v/>
      </c>
      <c r="C179" s="278" t="str">
        <f>IF('Statement of Marks'!D182="","",'Statement of Marks'!D182)</f>
        <v/>
      </c>
      <c r="D179" s="314" t="str">
        <f>IF('Statement of Marks'!E182="","",'Statement of Marks'!E182)</f>
        <v/>
      </c>
      <c r="E179" s="279" t="str">
        <f>IF('Statement of Marks'!F182="","",'Statement of Marks'!F182)</f>
        <v/>
      </c>
      <c r="F179" s="279" t="str">
        <f>IF('Statement of Marks'!G182="","",'Statement of Marks'!G182)</f>
        <v/>
      </c>
      <c r="G179" s="279" t="str">
        <f>IF('Statement of Marks'!H182="","",'Statement of Marks'!H182)</f>
        <v/>
      </c>
      <c r="H179" s="280" t="str">
        <f>IF('Statement of Marks'!I182="","",'Statement of Marks'!I182)</f>
        <v/>
      </c>
      <c r="I179" s="280" t="str">
        <f>IF('Statement of Marks'!J182="","",'Statement of Marks'!J182)</f>
        <v/>
      </c>
      <c r="J179" s="827" t="str">
        <f>IF('Statement of Marks'!HS182="","",'Statement of Marks'!HS182)</f>
        <v/>
      </c>
      <c r="K179" s="281" t="str">
        <f>IF('Statement of Marks'!HT182="","",'Statement of Marks'!HT182)</f>
        <v/>
      </c>
      <c r="L179" s="828" t="str">
        <f>IF('Statement of Marks'!HW182="","",'Statement of Marks'!HW182)</f>
        <v/>
      </c>
      <c r="M179" s="281" t="str">
        <f>IF('Statement of Marks'!HV182="","",'Statement of Marks'!HV182)</f>
        <v/>
      </c>
      <c r="N179" s="829" t="str">
        <f>IF('Statement of Marks'!HX182="","",'Statement of Marks'!HX182)</f>
        <v/>
      </c>
      <c r="O179" s="282" t="str">
        <f>IF(J179="FAIL","",IF('Statement of Marks'!HO182="","",'Statement of Marks'!HO182))</f>
        <v xml:space="preserve">      </v>
      </c>
      <c r="P179" s="283" t="str">
        <f>IF('Supp. Result Entry'!AQ180="","",'Supp. Result Entry'!AQ180)</f>
        <v/>
      </c>
      <c r="Q179" s="284" t="str">
        <f>IF('Supp. Result Entry'!AR180="","",'Supp. Result Entry'!AR180)</f>
        <v/>
      </c>
      <c r="R179" s="285" t="str">
        <f>IF('Statement of Marks'!IA182="","",'Statement of Marks'!IA182)</f>
        <v/>
      </c>
      <c r="S179" s="286" t="str">
        <f>IF('Statement of Marks'!GL182="","",'Statement of Marks'!GL182)</f>
        <v/>
      </c>
      <c r="BM179" s="287" t="str">
        <f>'Statement of Marks'!F182</f>
        <v/>
      </c>
      <c r="BN179" s="288" t="str">
        <f t="shared" si="24"/>
        <v/>
      </c>
      <c r="BO179" s="288" t="str">
        <f t="shared" si="25"/>
        <v/>
      </c>
      <c r="BP179" s="288" t="str">
        <f t="shared" si="26"/>
        <v/>
      </c>
      <c r="BQ179" s="288" t="str">
        <f t="shared" si="27"/>
        <v/>
      </c>
      <c r="BR179" s="288" t="str">
        <f t="shared" si="28"/>
        <v/>
      </c>
      <c r="BS179" s="288" t="str">
        <f t="shared" si="29"/>
        <v/>
      </c>
      <c r="BT179" s="288" t="str">
        <f t="shared" si="30"/>
        <v/>
      </c>
      <c r="BU179" s="288" t="str">
        <f t="shared" si="31"/>
        <v/>
      </c>
      <c r="BV179" s="288" t="str">
        <f t="shared" si="32"/>
        <v/>
      </c>
      <c r="BW179" s="288" t="str">
        <f t="shared" si="33"/>
        <v/>
      </c>
      <c r="BX179" s="288" t="str">
        <f t="shared" si="34"/>
        <v/>
      </c>
      <c r="BY179" s="288" t="str">
        <f t="shared" si="35"/>
        <v/>
      </c>
      <c r="BZ179" s="289"/>
    </row>
    <row r="180" spans="1:78" ht="15" customHeight="1">
      <c r="A180" s="276">
        <f>IF('Statement of Marks'!A183="","",'Statement of Marks'!A183)</f>
        <v>177</v>
      </c>
      <c r="B180" s="277" t="str">
        <f>IF('Statement of Marks'!B183="","",'Statement of Marks'!B183)</f>
        <v/>
      </c>
      <c r="C180" s="278" t="str">
        <f>IF('Statement of Marks'!D183="","",'Statement of Marks'!D183)</f>
        <v/>
      </c>
      <c r="D180" s="314" t="str">
        <f>IF('Statement of Marks'!E183="","",'Statement of Marks'!E183)</f>
        <v/>
      </c>
      <c r="E180" s="279" t="str">
        <f>IF('Statement of Marks'!F183="","",'Statement of Marks'!F183)</f>
        <v/>
      </c>
      <c r="F180" s="279" t="str">
        <f>IF('Statement of Marks'!G183="","",'Statement of Marks'!G183)</f>
        <v/>
      </c>
      <c r="G180" s="279" t="str">
        <f>IF('Statement of Marks'!H183="","",'Statement of Marks'!H183)</f>
        <v/>
      </c>
      <c r="H180" s="280" t="str">
        <f>IF('Statement of Marks'!I183="","",'Statement of Marks'!I183)</f>
        <v/>
      </c>
      <c r="I180" s="280" t="str">
        <f>IF('Statement of Marks'!J183="","",'Statement of Marks'!J183)</f>
        <v/>
      </c>
      <c r="J180" s="827" t="str">
        <f>IF('Statement of Marks'!HS183="","",'Statement of Marks'!HS183)</f>
        <v/>
      </c>
      <c r="K180" s="281" t="str">
        <f>IF('Statement of Marks'!HT183="","",'Statement of Marks'!HT183)</f>
        <v/>
      </c>
      <c r="L180" s="828" t="str">
        <f>IF('Statement of Marks'!HW183="","",'Statement of Marks'!HW183)</f>
        <v/>
      </c>
      <c r="M180" s="281" t="str">
        <f>IF('Statement of Marks'!HV183="","",'Statement of Marks'!HV183)</f>
        <v/>
      </c>
      <c r="N180" s="829" t="str">
        <f>IF('Statement of Marks'!HX183="","",'Statement of Marks'!HX183)</f>
        <v/>
      </c>
      <c r="O180" s="282" t="str">
        <f>IF(J180="FAIL","",IF('Statement of Marks'!HO183="","",'Statement of Marks'!HO183))</f>
        <v xml:space="preserve">      </v>
      </c>
      <c r="P180" s="283" t="str">
        <f>IF('Supp. Result Entry'!AQ181="","",'Supp. Result Entry'!AQ181)</f>
        <v/>
      </c>
      <c r="Q180" s="284" t="str">
        <f>IF('Supp. Result Entry'!AR181="","",'Supp. Result Entry'!AR181)</f>
        <v/>
      </c>
      <c r="R180" s="285" t="str">
        <f>IF('Statement of Marks'!IA183="","",'Statement of Marks'!IA183)</f>
        <v/>
      </c>
      <c r="S180" s="286" t="str">
        <f>IF('Statement of Marks'!GL183="","",'Statement of Marks'!GL183)</f>
        <v/>
      </c>
      <c r="BM180" s="287" t="str">
        <f>'Statement of Marks'!F183</f>
        <v/>
      </c>
      <c r="BN180" s="288" t="str">
        <f t="shared" si="24"/>
        <v/>
      </c>
      <c r="BO180" s="288" t="str">
        <f t="shared" si="25"/>
        <v/>
      </c>
      <c r="BP180" s="288" t="str">
        <f t="shared" si="26"/>
        <v/>
      </c>
      <c r="BQ180" s="288" t="str">
        <f t="shared" si="27"/>
        <v/>
      </c>
      <c r="BR180" s="288" t="str">
        <f t="shared" si="28"/>
        <v/>
      </c>
      <c r="BS180" s="288" t="str">
        <f t="shared" si="29"/>
        <v/>
      </c>
      <c r="BT180" s="288" t="str">
        <f t="shared" si="30"/>
        <v/>
      </c>
      <c r="BU180" s="288" t="str">
        <f t="shared" si="31"/>
        <v/>
      </c>
      <c r="BV180" s="288" t="str">
        <f t="shared" si="32"/>
        <v/>
      </c>
      <c r="BW180" s="288" t="str">
        <f t="shared" si="33"/>
        <v/>
      </c>
      <c r="BX180" s="288" t="str">
        <f t="shared" si="34"/>
        <v/>
      </c>
      <c r="BY180" s="288" t="str">
        <f t="shared" si="35"/>
        <v/>
      </c>
      <c r="BZ180" s="289"/>
    </row>
    <row r="181" spans="1:78" ht="15" customHeight="1">
      <c r="A181" s="276">
        <f>IF('Statement of Marks'!A184="","",'Statement of Marks'!A184)</f>
        <v>178</v>
      </c>
      <c r="B181" s="277" t="str">
        <f>IF('Statement of Marks'!B184="","",'Statement of Marks'!B184)</f>
        <v/>
      </c>
      <c r="C181" s="278" t="str">
        <f>IF('Statement of Marks'!D184="","",'Statement of Marks'!D184)</f>
        <v/>
      </c>
      <c r="D181" s="314" t="str">
        <f>IF('Statement of Marks'!E184="","",'Statement of Marks'!E184)</f>
        <v/>
      </c>
      <c r="E181" s="279" t="str">
        <f>IF('Statement of Marks'!F184="","",'Statement of Marks'!F184)</f>
        <v/>
      </c>
      <c r="F181" s="279" t="str">
        <f>IF('Statement of Marks'!G184="","",'Statement of Marks'!G184)</f>
        <v/>
      </c>
      <c r="G181" s="279" t="str">
        <f>IF('Statement of Marks'!H184="","",'Statement of Marks'!H184)</f>
        <v/>
      </c>
      <c r="H181" s="280" t="str">
        <f>IF('Statement of Marks'!I184="","",'Statement of Marks'!I184)</f>
        <v/>
      </c>
      <c r="I181" s="280" t="str">
        <f>IF('Statement of Marks'!J184="","",'Statement of Marks'!J184)</f>
        <v/>
      </c>
      <c r="J181" s="827" t="str">
        <f>IF('Statement of Marks'!HS184="","",'Statement of Marks'!HS184)</f>
        <v/>
      </c>
      <c r="K181" s="281" t="str">
        <f>IF('Statement of Marks'!HT184="","",'Statement of Marks'!HT184)</f>
        <v/>
      </c>
      <c r="L181" s="828" t="str">
        <f>IF('Statement of Marks'!HW184="","",'Statement of Marks'!HW184)</f>
        <v/>
      </c>
      <c r="M181" s="281" t="str">
        <f>IF('Statement of Marks'!HV184="","",'Statement of Marks'!HV184)</f>
        <v/>
      </c>
      <c r="N181" s="829" t="str">
        <f>IF('Statement of Marks'!HX184="","",'Statement of Marks'!HX184)</f>
        <v/>
      </c>
      <c r="O181" s="282" t="str">
        <f>IF(J181="FAIL","",IF('Statement of Marks'!HO184="","",'Statement of Marks'!HO184))</f>
        <v xml:space="preserve">      </v>
      </c>
      <c r="P181" s="283" t="str">
        <f>IF('Supp. Result Entry'!AQ182="","",'Supp. Result Entry'!AQ182)</f>
        <v/>
      </c>
      <c r="Q181" s="284" t="str">
        <f>IF('Supp. Result Entry'!AR182="","",'Supp. Result Entry'!AR182)</f>
        <v/>
      </c>
      <c r="R181" s="285" t="str">
        <f>IF('Statement of Marks'!IA184="","",'Statement of Marks'!IA184)</f>
        <v/>
      </c>
      <c r="S181" s="286" t="str">
        <f>IF('Statement of Marks'!GL184="","",'Statement of Marks'!GL184)</f>
        <v/>
      </c>
      <c r="BM181" s="287" t="str">
        <f>'Statement of Marks'!F184</f>
        <v/>
      </c>
      <c r="BN181" s="288" t="str">
        <f t="shared" si="24"/>
        <v/>
      </c>
      <c r="BO181" s="288" t="str">
        <f t="shared" si="25"/>
        <v/>
      </c>
      <c r="BP181" s="288" t="str">
        <f t="shared" si="26"/>
        <v/>
      </c>
      <c r="BQ181" s="288" t="str">
        <f t="shared" si="27"/>
        <v/>
      </c>
      <c r="BR181" s="288" t="str">
        <f t="shared" si="28"/>
        <v/>
      </c>
      <c r="BS181" s="288" t="str">
        <f t="shared" si="29"/>
        <v/>
      </c>
      <c r="BT181" s="288" t="str">
        <f t="shared" si="30"/>
        <v/>
      </c>
      <c r="BU181" s="288" t="str">
        <f t="shared" si="31"/>
        <v/>
      </c>
      <c r="BV181" s="288" t="str">
        <f t="shared" si="32"/>
        <v/>
      </c>
      <c r="BW181" s="288" t="str">
        <f t="shared" si="33"/>
        <v/>
      </c>
      <c r="BX181" s="288" t="str">
        <f t="shared" si="34"/>
        <v/>
      </c>
      <c r="BY181" s="288" t="str">
        <f t="shared" si="35"/>
        <v/>
      </c>
      <c r="BZ181" s="289"/>
    </row>
    <row r="182" spans="1:78" ht="15" customHeight="1">
      <c r="A182" s="276">
        <f>IF('Statement of Marks'!A185="","",'Statement of Marks'!A185)</f>
        <v>179</v>
      </c>
      <c r="B182" s="277" t="str">
        <f>IF('Statement of Marks'!B185="","",'Statement of Marks'!B185)</f>
        <v/>
      </c>
      <c r="C182" s="278" t="str">
        <f>IF('Statement of Marks'!D185="","",'Statement of Marks'!D185)</f>
        <v/>
      </c>
      <c r="D182" s="314" t="str">
        <f>IF('Statement of Marks'!E185="","",'Statement of Marks'!E185)</f>
        <v/>
      </c>
      <c r="E182" s="279" t="str">
        <f>IF('Statement of Marks'!F185="","",'Statement of Marks'!F185)</f>
        <v/>
      </c>
      <c r="F182" s="279" t="str">
        <f>IF('Statement of Marks'!G185="","",'Statement of Marks'!G185)</f>
        <v/>
      </c>
      <c r="G182" s="279" t="str">
        <f>IF('Statement of Marks'!H185="","",'Statement of Marks'!H185)</f>
        <v/>
      </c>
      <c r="H182" s="280" t="str">
        <f>IF('Statement of Marks'!I185="","",'Statement of Marks'!I185)</f>
        <v/>
      </c>
      <c r="I182" s="280" t="str">
        <f>IF('Statement of Marks'!J185="","",'Statement of Marks'!J185)</f>
        <v/>
      </c>
      <c r="J182" s="827" t="str">
        <f>IF('Statement of Marks'!HS185="","",'Statement of Marks'!HS185)</f>
        <v/>
      </c>
      <c r="K182" s="281" t="str">
        <f>IF('Statement of Marks'!HT185="","",'Statement of Marks'!HT185)</f>
        <v/>
      </c>
      <c r="L182" s="828" t="str">
        <f>IF('Statement of Marks'!HW185="","",'Statement of Marks'!HW185)</f>
        <v/>
      </c>
      <c r="M182" s="281" t="str">
        <f>IF('Statement of Marks'!HV185="","",'Statement of Marks'!HV185)</f>
        <v/>
      </c>
      <c r="N182" s="829" t="str">
        <f>IF('Statement of Marks'!HX185="","",'Statement of Marks'!HX185)</f>
        <v/>
      </c>
      <c r="O182" s="282" t="str">
        <f>IF(J182="FAIL","",IF('Statement of Marks'!HO185="","",'Statement of Marks'!HO185))</f>
        <v xml:space="preserve">      </v>
      </c>
      <c r="P182" s="283" t="str">
        <f>IF('Supp. Result Entry'!AQ183="","",'Supp. Result Entry'!AQ183)</f>
        <v/>
      </c>
      <c r="Q182" s="284" t="str">
        <f>IF('Supp. Result Entry'!AR183="","",'Supp. Result Entry'!AR183)</f>
        <v/>
      </c>
      <c r="R182" s="285" t="str">
        <f>IF('Statement of Marks'!IA185="","",'Statement of Marks'!IA185)</f>
        <v/>
      </c>
      <c r="S182" s="286" t="str">
        <f>IF('Statement of Marks'!GL185="","",'Statement of Marks'!GL185)</f>
        <v/>
      </c>
      <c r="BM182" s="287" t="str">
        <f>'Statement of Marks'!F185</f>
        <v/>
      </c>
      <c r="BN182" s="288" t="str">
        <f t="shared" si="24"/>
        <v/>
      </c>
      <c r="BO182" s="288" t="str">
        <f t="shared" si="25"/>
        <v/>
      </c>
      <c r="BP182" s="288" t="str">
        <f t="shared" si="26"/>
        <v/>
      </c>
      <c r="BQ182" s="288" t="str">
        <f t="shared" si="27"/>
        <v/>
      </c>
      <c r="BR182" s="288" t="str">
        <f t="shared" si="28"/>
        <v/>
      </c>
      <c r="BS182" s="288" t="str">
        <f t="shared" si="29"/>
        <v/>
      </c>
      <c r="BT182" s="288" t="str">
        <f t="shared" si="30"/>
        <v/>
      </c>
      <c r="BU182" s="288" t="str">
        <f t="shared" si="31"/>
        <v/>
      </c>
      <c r="BV182" s="288" t="str">
        <f t="shared" si="32"/>
        <v/>
      </c>
      <c r="BW182" s="288" t="str">
        <f t="shared" si="33"/>
        <v/>
      </c>
      <c r="BX182" s="288" t="str">
        <f t="shared" si="34"/>
        <v/>
      </c>
      <c r="BY182" s="288" t="str">
        <f t="shared" si="35"/>
        <v/>
      </c>
      <c r="BZ182" s="289"/>
    </row>
    <row r="183" spans="1:78" ht="15" customHeight="1">
      <c r="A183" s="276">
        <f>IF('Statement of Marks'!A186="","",'Statement of Marks'!A186)</f>
        <v>180</v>
      </c>
      <c r="B183" s="277" t="str">
        <f>IF('Statement of Marks'!B186="","",'Statement of Marks'!B186)</f>
        <v/>
      </c>
      <c r="C183" s="278" t="str">
        <f>IF('Statement of Marks'!D186="","",'Statement of Marks'!D186)</f>
        <v/>
      </c>
      <c r="D183" s="314" t="str">
        <f>IF('Statement of Marks'!E186="","",'Statement of Marks'!E186)</f>
        <v/>
      </c>
      <c r="E183" s="279" t="str">
        <f>IF('Statement of Marks'!F186="","",'Statement of Marks'!F186)</f>
        <v/>
      </c>
      <c r="F183" s="279" t="str">
        <f>IF('Statement of Marks'!G186="","",'Statement of Marks'!G186)</f>
        <v/>
      </c>
      <c r="G183" s="279" t="str">
        <f>IF('Statement of Marks'!H186="","",'Statement of Marks'!H186)</f>
        <v/>
      </c>
      <c r="H183" s="280" t="str">
        <f>IF('Statement of Marks'!I186="","",'Statement of Marks'!I186)</f>
        <v/>
      </c>
      <c r="I183" s="280" t="str">
        <f>IF('Statement of Marks'!J186="","",'Statement of Marks'!J186)</f>
        <v/>
      </c>
      <c r="J183" s="827" t="str">
        <f>IF('Statement of Marks'!HS186="","",'Statement of Marks'!HS186)</f>
        <v/>
      </c>
      <c r="K183" s="281" t="str">
        <f>IF('Statement of Marks'!HT186="","",'Statement of Marks'!HT186)</f>
        <v/>
      </c>
      <c r="L183" s="828" t="str">
        <f>IF('Statement of Marks'!HW186="","",'Statement of Marks'!HW186)</f>
        <v/>
      </c>
      <c r="M183" s="281" t="str">
        <f>IF('Statement of Marks'!HV186="","",'Statement of Marks'!HV186)</f>
        <v/>
      </c>
      <c r="N183" s="829" t="str">
        <f>IF('Statement of Marks'!HX186="","",'Statement of Marks'!HX186)</f>
        <v/>
      </c>
      <c r="O183" s="282" t="str">
        <f>IF(J183="FAIL","",IF('Statement of Marks'!HO186="","",'Statement of Marks'!HO186))</f>
        <v xml:space="preserve">      </v>
      </c>
      <c r="P183" s="283" t="str">
        <f>IF('Supp. Result Entry'!AQ184="","",'Supp. Result Entry'!AQ184)</f>
        <v/>
      </c>
      <c r="Q183" s="284" t="str">
        <f>IF('Supp. Result Entry'!AR184="","",'Supp. Result Entry'!AR184)</f>
        <v/>
      </c>
      <c r="R183" s="285" t="str">
        <f>IF('Statement of Marks'!IA186="","",'Statement of Marks'!IA186)</f>
        <v/>
      </c>
      <c r="S183" s="286" t="str">
        <f>IF('Statement of Marks'!GL186="","",'Statement of Marks'!GL186)</f>
        <v/>
      </c>
      <c r="BM183" s="287" t="str">
        <f>'Statement of Marks'!F186</f>
        <v/>
      </c>
      <c r="BN183" s="288" t="str">
        <f t="shared" si="24"/>
        <v/>
      </c>
      <c r="BO183" s="288" t="str">
        <f t="shared" si="25"/>
        <v/>
      </c>
      <c r="BP183" s="288" t="str">
        <f t="shared" si="26"/>
        <v/>
      </c>
      <c r="BQ183" s="288" t="str">
        <f t="shared" si="27"/>
        <v/>
      </c>
      <c r="BR183" s="288" t="str">
        <f t="shared" si="28"/>
        <v/>
      </c>
      <c r="BS183" s="288" t="str">
        <f t="shared" si="29"/>
        <v/>
      </c>
      <c r="BT183" s="288" t="str">
        <f t="shared" si="30"/>
        <v/>
      </c>
      <c r="BU183" s="288" t="str">
        <f t="shared" si="31"/>
        <v/>
      </c>
      <c r="BV183" s="288" t="str">
        <f t="shared" si="32"/>
        <v/>
      </c>
      <c r="BW183" s="288" t="str">
        <f t="shared" si="33"/>
        <v/>
      </c>
      <c r="BX183" s="288" t="str">
        <f t="shared" si="34"/>
        <v/>
      </c>
      <c r="BY183" s="288" t="str">
        <f t="shared" si="35"/>
        <v/>
      </c>
      <c r="BZ183" s="289"/>
    </row>
    <row r="184" spans="1:78" ht="15" customHeight="1">
      <c r="A184" s="276">
        <f>IF('Statement of Marks'!A187="","",'Statement of Marks'!A187)</f>
        <v>181</v>
      </c>
      <c r="B184" s="277" t="str">
        <f>IF('Statement of Marks'!B187="","",'Statement of Marks'!B187)</f>
        <v/>
      </c>
      <c r="C184" s="278" t="str">
        <f>IF('Statement of Marks'!D187="","",'Statement of Marks'!D187)</f>
        <v/>
      </c>
      <c r="D184" s="314" t="str">
        <f>IF('Statement of Marks'!E187="","",'Statement of Marks'!E187)</f>
        <v/>
      </c>
      <c r="E184" s="279" t="str">
        <f>IF('Statement of Marks'!F187="","",'Statement of Marks'!F187)</f>
        <v/>
      </c>
      <c r="F184" s="279" t="str">
        <f>IF('Statement of Marks'!G187="","",'Statement of Marks'!G187)</f>
        <v/>
      </c>
      <c r="G184" s="279" t="str">
        <f>IF('Statement of Marks'!H187="","",'Statement of Marks'!H187)</f>
        <v/>
      </c>
      <c r="H184" s="280" t="str">
        <f>IF('Statement of Marks'!I187="","",'Statement of Marks'!I187)</f>
        <v/>
      </c>
      <c r="I184" s="280" t="str">
        <f>IF('Statement of Marks'!J187="","",'Statement of Marks'!J187)</f>
        <v/>
      </c>
      <c r="J184" s="826" t="str">
        <f>IF('Statement of Marks'!HS187="","",'Statement of Marks'!HS187)</f>
        <v/>
      </c>
      <c r="K184" s="281" t="str">
        <f>IF('Statement of Marks'!HT187="","",'Statement of Marks'!HT187)</f>
        <v/>
      </c>
      <c r="L184" s="828" t="str">
        <f>IF('Statement of Marks'!HW187="","",'Statement of Marks'!HW187)</f>
        <v/>
      </c>
      <c r="M184" s="281" t="str">
        <f>IF('Statement of Marks'!HV187="","",'Statement of Marks'!HV187)</f>
        <v/>
      </c>
      <c r="N184" s="829" t="str">
        <f>IF('Statement of Marks'!HX187="","",'Statement of Marks'!HX187)</f>
        <v/>
      </c>
      <c r="O184" s="282" t="str">
        <f>IF(J184="FAIL","",IF('Statement of Marks'!HO187="","",'Statement of Marks'!HO187))</f>
        <v xml:space="preserve">      </v>
      </c>
      <c r="P184" s="283" t="str">
        <f>IF('Supp. Result Entry'!AQ185="","",'Supp. Result Entry'!AQ185)</f>
        <v/>
      </c>
      <c r="Q184" s="284" t="str">
        <f>IF('Supp. Result Entry'!AR185="","",'Supp. Result Entry'!AR185)</f>
        <v/>
      </c>
      <c r="R184" s="285" t="str">
        <f>IF('Statement of Marks'!IA187="","",'Statement of Marks'!IA187)</f>
        <v/>
      </c>
      <c r="S184" s="286" t="str">
        <f>IF('Statement of Marks'!GL187="","",'Statement of Marks'!GL187)</f>
        <v/>
      </c>
      <c r="BM184" s="287" t="str">
        <f>'Statement of Marks'!F187</f>
        <v/>
      </c>
      <c r="BN184" s="288" t="str">
        <f t="shared" si="24"/>
        <v/>
      </c>
      <c r="BO184" s="288" t="str">
        <f t="shared" si="25"/>
        <v/>
      </c>
      <c r="BP184" s="288" t="str">
        <f t="shared" si="26"/>
        <v/>
      </c>
      <c r="BQ184" s="288" t="str">
        <f t="shared" si="27"/>
        <v/>
      </c>
      <c r="BR184" s="288" t="str">
        <f t="shared" si="28"/>
        <v/>
      </c>
      <c r="BS184" s="288" t="str">
        <f t="shared" si="29"/>
        <v/>
      </c>
      <c r="BT184" s="288" t="str">
        <f t="shared" si="30"/>
        <v/>
      </c>
      <c r="BU184" s="288" t="str">
        <f t="shared" si="31"/>
        <v/>
      </c>
      <c r="BV184" s="288" t="str">
        <f t="shared" si="32"/>
        <v/>
      </c>
      <c r="BW184" s="288" t="str">
        <f t="shared" si="33"/>
        <v/>
      </c>
      <c r="BX184" s="288" t="str">
        <f t="shared" si="34"/>
        <v/>
      </c>
      <c r="BY184" s="288" t="str">
        <f t="shared" si="35"/>
        <v/>
      </c>
      <c r="BZ184" s="289"/>
    </row>
    <row r="185" spans="1:78" ht="15" customHeight="1">
      <c r="A185" s="276">
        <f>IF('Statement of Marks'!A188="","",'Statement of Marks'!A188)</f>
        <v>182</v>
      </c>
      <c r="B185" s="277" t="str">
        <f>IF('Statement of Marks'!B188="","",'Statement of Marks'!B188)</f>
        <v/>
      </c>
      <c r="C185" s="278" t="str">
        <f>IF('Statement of Marks'!D188="","",'Statement of Marks'!D188)</f>
        <v/>
      </c>
      <c r="D185" s="314" t="str">
        <f>IF('Statement of Marks'!E188="","",'Statement of Marks'!E188)</f>
        <v/>
      </c>
      <c r="E185" s="279" t="str">
        <f>IF('Statement of Marks'!F188="","",'Statement of Marks'!F188)</f>
        <v/>
      </c>
      <c r="F185" s="279" t="str">
        <f>IF('Statement of Marks'!G188="","",'Statement of Marks'!G188)</f>
        <v/>
      </c>
      <c r="G185" s="279" t="str">
        <f>IF('Statement of Marks'!H188="","",'Statement of Marks'!H188)</f>
        <v/>
      </c>
      <c r="H185" s="280" t="str">
        <f>IF('Statement of Marks'!I188="","",'Statement of Marks'!I188)</f>
        <v/>
      </c>
      <c r="I185" s="280" t="str">
        <f>IF('Statement of Marks'!J188="","",'Statement of Marks'!J188)</f>
        <v/>
      </c>
      <c r="J185" s="827" t="str">
        <f>IF('Statement of Marks'!HS188="","",'Statement of Marks'!HS188)</f>
        <v/>
      </c>
      <c r="K185" s="281" t="str">
        <f>IF('Statement of Marks'!HT188="","",'Statement of Marks'!HT188)</f>
        <v/>
      </c>
      <c r="L185" s="828" t="str">
        <f>IF('Statement of Marks'!HW188="","",'Statement of Marks'!HW188)</f>
        <v/>
      </c>
      <c r="M185" s="281" t="str">
        <f>IF('Statement of Marks'!HV188="","",'Statement of Marks'!HV188)</f>
        <v/>
      </c>
      <c r="N185" s="829" t="str">
        <f>IF('Statement of Marks'!HX188="","",'Statement of Marks'!HX188)</f>
        <v/>
      </c>
      <c r="O185" s="282" t="str">
        <f>IF(J185="FAIL","",IF('Statement of Marks'!HO188="","",'Statement of Marks'!HO188))</f>
        <v xml:space="preserve">      </v>
      </c>
      <c r="P185" s="283" t="str">
        <f>IF('Supp. Result Entry'!AQ186="","",'Supp. Result Entry'!AQ186)</f>
        <v/>
      </c>
      <c r="Q185" s="284" t="str">
        <f>IF('Supp. Result Entry'!AR186="","",'Supp. Result Entry'!AR186)</f>
        <v/>
      </c>
      <c r="R185" s="285" t="str">
        <f>IF('Statement of Marks'!IA188="","",'Statement of Marks'!IA188)</f>
        <v/>
      </c>
      <c r="S185" s="286" t="str">
        <f>IF('Statement of Marks'!GL188="","",'Statement of Marks'!GL188)</f>
        <v/>
      </c>
      <c r="BM185" s="287" t="str">
        <f>'Statement of Marks'!F188</f>
        <v/>
      </c>
      <c r="BN185" s="288" t="str">
        <f t="shared" si="24"/>
        <v/>
      </c>
      <c r="BO185" s="288" t="str">
        <f t="shared" si="25"/>
        <v/>
      </c>
      <c r="BP185" s="288" t="str">
        <f t="shared" si="26"/>
        <v/>
      </c>
      <c r="BQ185" s="288" t="str">
        <f t="shared" si="27"/>
        <v/>
      </c>
      <c r="BR185" s="288" t="str">
        <f t="shared" si="28"/>
        <v/>
      </c>
      <c r="BS185" s="288" t="str">
        <f t="shared" si="29"/>
        <v/>
      </c>
      <c r="BT185" s="288" t="str">
        <f t="shared" si="30"/>
        <v/>
      </c>
      <c r="BU185" s="288" t="str">
        <f t="shared" si="31"/>
        <v/>
      </c>
      <c r="BV185" s="288" t="str">
        <f t="shared" si="32"/>
        <v/>
      </c>
      <c r="BW185" s="288" t="str">
        <f t="shared" si="33"/>
        <v/>
      </c>
      <c r="BX185" s="288" t="str">
        <f t="shared" si="34"/>
        <v/>
      </c>
      <c r="BY185" s="288" t="str">
        <f t="shared" si="35"/>
        <v/>
      </c>
      <c r="BZ185" s="289"/>
    </row>
    <row r="186" spans="1:78" ht="15" customHeight="1">
      <c r="A186" s="276">
        <f>IF('Statement of Marks'!A189="","",'Statement of Marks'!A189)</f>
        <v>183</v>
      </c>
      <c r="B186" s="277" t="str">
        <f>IF('Statement of Marks'!B189="","",'Statement of Marks'!B189)</f>
        <v/>
      </c>
      <c r="C186" s="278" t="str">
        <f>IF('Statement of Marks'!D189="","",'Statement of Marks'!D189)</f>
        <v/>
      </c>
      <c r="D186" s="314" t="str">
        <f>IF('Statement of Marks'!E189="","",'Statement of Marks'!E189)</f>
        <v/>
      </c>
      <c r="E186" s="279" t="str">
        <f>IF('Statement of Marks'!F189="","",'Statement of Marks'!F189)</f>
        <v/>
      </c>
      <c r="F186" s="279" t="str">
        <f>IF('Statement of Marks'!G189="","",'Statement of Marks'!G189)</f>
        <v/>
      </c>
      <c r="G186" s="279" t="str">
        <f>IF('Statement of Marks'!H189="","",'Statement of Marks'!H189)</f>
        <v/>
      </c>
      <c r="H186" s="280" t="str">
        <f>IF('Statement of Marks'!I189="","",'Statement of Marks'!I189)</f>
        <v/>
      </c>
      <c r="I186" s="280" t="str">
        <f>IF('Statement of Marks'!J189="","",'Statement of Marks'!J189)</f>
        <v/>
      </c>
      <c r="J186" s="827" t="str">
        <f>IF('Statement of Marks'!HS189="","",'Statement of Marks'!HS189)</f>
        <v/>
      </c>
      <c r="K186" s="281" t="str">
        <f>IF('Statement of Marks'!HT189="","",'Statement of Marks'!HT189)</f>
        <v/>
      </c>
      <c r="L186" s="828" t="str">
        <f>IF('Statement of Marks'!HW189="","",'Statement of Marks'!HW189)</f>
        <v/>
      </c>
      <c r="M186" s="281" t="str">
        <f>IF('Statement of Marks'!HV189="","",'Statement of Marks'!HV189)</f>
        <v/>
      </c>
      <c r="N186" s="829" t="str">
        <f>IF('Statement of Marks'!HX189="","",'Statement of Marks'!HX189)</f>
        <v/>
      </c>
      <c r="O186" s="282" t="str">
        <f>IF(J186="FAIL","",IF('Statement of Marks'!HO189="","",'Statement of Marks'!HO189))</f>
        <v xml:space="preserve">      </v>
      </c>
      <c r="P186" s="283" t="str">
        <f>IF('Supp. Result Entry'!AQ187="","",'Supp. Result Entry'!AQ187)</f>
        <v/>
      </c>
      <c r="Q186" s="284" t="str">
        <f>IF('Supp. Result Entry'!AR187="","",'Supp. Result Entry'!AR187)</f>
        <v/>
      </c>
      <c r="R186" s="285" t="str">
        <f>IF('Statement of Marks'!IA189="","",'Statement of Marks'!IA189)</f>
        <v/>
      </c>
      <c r="S186" s="286" t="str">
        <f>IF('Statement of Marks'!GL189="","",'Statement of Marks'!GL189)</f>
        <v/>
      </c>
      <c r="BM186" s="287" t="str">
        <f>'Statement of Marks'!F189</f>
        <v/>
      </c>
      <c r="BN186" s="288" t="str">
        <f t="shared" si="24"/>
        <v/>
      </c>
      <c r="BO186" s="288" t="str">
        <f t="shared" si="25"/>
        <v/>
      </c>
      <c r="BP186" s="288" t="str">
        <f t="shared" si="26"/>
        <v/>
      </c>
      <c r="BQ186" s="288" t="str">
        <f t="shared" si="27"/>
        <v/>
      </c>
      <c r="BR186" s="288" t="str">
        <f t="shared" si="28"/>
        <v/>
      </c>
      <c r="BS186" s="288" t="str">
        <f t="shared" si="29"/>
        <v/>
      </c>
      <c r="BT186" s="288" t="str">
        <f t="shared" si="30"/>
        <v/>
      </c>
      <c r="BU186" s="288" t="str">
        <f t="shared" si="31"/>
        <v/>
      </c>
      <c r="BV186" s="288" t="str">
        <f t="shared" si="32"/>
        <v/>
      </c>
      <c r="BW186" s="288" t="str">
        <f t="shared" si="33"/>
        <v/>
      </c>
      <c r="BX186" s="288" t="str">
        <f t="shared" si="34"/>
        <v/>
      </c>
      <c r="BY186" s="288" t="str">
        <f t="shared" si="35"/>
        <v/>
      </c>
      <c r="BZ186" s="289"/>
    </row>
    <row r="187" spans="1:78" ht="15" customHeight="1">
      <c r="A187" s="276">
        <f>IF('Statement of Marks'!A190="","",'Statement of Marks'!A190)</f>
        <v>184</v>
      </c>
      <c r="B187" s="277" t="str">
        <f>IF('Statement of Marks'!B190="","",'Statement of Marks'!B190)</f>
        <v/>
      </c>
      <c r="C187" s="278" t="str">
        <f>IF('Statement of Marks'!D190="","",'Statement of Marks'!D190)</f>
        <v/>
      </c>
      <c r="D187" s="314" t="str">
        <f>IF('Statement of Marks'!E190="","",'Statement of Marks'!E190)</f>
        <v/>
      </c>
      <c r="E187" s="279" t="str">
        <f>IF('Statement of Marks'!F190="","",'Statement of Marks'!F190)</f>
        <v/>
      </c>
      <c r="F187" s="279" t="str">
        <f>IF('Statement of Marks'!G190="","",'Statement of Marks'!G190)</f>
        <v/>
      </c>
      <c r="G187" s="279" t="str">
        <f>IF('Statement of Marks'!H190="","",'Statement of Marks'!H190)</f>
        <v/>
      </c>
      <c r="H187" s="280" t="str">
        <f>IF('Statement of Marks'!I190="","",'Statement of Marks'!I190)</f>
        <v/>
      </c>
      <c r="I187" s="280" t="str">
        <f>IF('Statement of Marks'!J190="","",'Statement of Marks'!J190)</f>
        <v/>
      </c>
      <c r="J187" s="827" t="str">
        <f>IF('Statement of Marks'!HS190="","",'Statement of Marks'!HS190)</f>
        <v/>
      </c>
      <c r="K187" s="281" t="str">
        <f>IF('Statement of Marks'!HT190="","",'Statement of Marks'!HT190)</f>
        <v/>
      </c>
      <c r="L187" s="828" t="str">
        <f>IF('Statement of Marks'!HW190="","",'Statement of Marks'!HW190)</f>
        <v/>
      </c>
      <c r="M187" s="281" t="str">
        <f>IF('Statement of Marks'!HV190="","",'Statement of Marks'!HV190)</f>
        <v/>
      </c>
      <c r="N187" s="829" t="str">
        <f>IF('Statement of Marks'!HX190="","",'Statement of Marks'!HX190)</f>
        <v/>
      </c>
      <c r="O187" s="282" t="str">
        <f>IF(J187="FAIL","",IF('Statement of Marks'!HO190="","",'Statement of Marks'!HO190))</f>
        <v xml:space="preserve">      </v>
      </c>
      <c r="P187" s="283" t="str">
        <f>IF('Supp. Result Entry'!AQ188="","",'Supp. Result Entry'!AQ188)</f>
        <v/>
      </c>
      <c r="Q187" s="284" t="str">
        <f>IF('Supp. Result Entry'!AR188="","",'Supp. Result Entry'!AR188)</f>
        <v/>
      </c>
      <c r="R187" s="285" t="str">
        <f>IF('Statement of Marks'!IA190="","",'Statement of Marks'!IA190)</f>
        <v/>
      </c>
      <c r="S187" s="286" t="str">
        <f>IF('Statement of Marks'!GL190="","",'Statement of Marks'!GL190)</f>
        <v/>
      </c>
      <c r="BM187" s="287" t="str">
        <f>'Statement of Marks'!F190</f>
        <v/>
      </c>
      <c r="BN187" s="288" t="str">
        <f t="shared" si="24"/>
        <v/>
      </c>
      <c r="BO187" s="288" t="str">
        <f t="shared" si="25"/>
        <v/>
      </c>
      <c r="BP187" s="288" t="str">
        <f t="shared" si="26"/>
        <v/>
      </c>
      <c r="BQ187" s="288" t="str">
        <f t="shared" si="27"/>
        <v/>
      </c>
      <c r="BR187" s="288" t="str">
        <f t="shared" si="28"/>
        <v/>
      </c>
      <c r="BS187" s="288" t="str">
        <f t="shared" si="29"/>
        <v/>
      </c>
      <c r="BT187" s="288" t="str">
        <f t="shared" si="30"/>
        <v/>
      </c>
      <c r="BU187" s="288" t="str">
        <f t="shared" si="31"/>
        <v/>
      </c>
      <c r="BV187" s="288" t="str">
        <f t="shared" si="32"/>
        <v/>
      </c>
      <c r="BW187" s="288" t="str">
        <f t="shared" si="33"/>
        <v/>
      </c>
      <c r="BX187" s="288" t="str">
        <f t="shared" si="34"/>
        <v/>
      </c>
      <c r="BY187" s="288" t="str">
        <f t="shared" si="35"/>
        <v/>
      </c>
      <c r="BZ187" s="289"/>
    </row>
    <row r="188" spans="1:78" ht="15" customHeight="1">
      <c r="A188" s="276">
        <f>IF('Statement of Marks'!A191="","",'Statement of Marks'!A191)</f>
        <v>185</v>
      </c>
      <c r="B188" s="277" t="str">
        <f>IF('Statement of Marks'!B191="","",'Statement of Marks'!B191)</f>
        <v/>
      </c>
      <c r="C188" s="278" t="str">
        <f>IF('Statement of Marks'!D191="","",'Statement of Marks'!D191)</f>
        <v/>
      </c>
      <c r="D188" s="314" t="str">
        <f>IF('Statement of Marks'!E191="","",'Statement of Marks'!E191)</f>
        <v/>
      </c>
      <c r="E188" s="279" t="str">
        <f>IF('Statement of Marks'!F191="","",'Statement of Marks'!F191)</f>
        <v/>
      </c>
      <c r="F188" s="279" t="str">
        <f>IF('Statement of Marks'!G191="","",'Statement of Marks'!G191)</f>
        <v/>
      </c>
      <c r="G188" s="279" t="str">
        <f>IF('Statement of Marks'!H191="","",'Statement of Marks'!H191)</f>
        <v/>
      </c>
      <c r="H188" s="280" t="str">
        <f>IF('Statement of Marks'!I191="","",'Statement of Marks'!I191)</f>
        <v/>
      </c>
      <c r="I188" s="280" t="str">
        <f>IF('Statement of Marks'!J191="","",'Statement of Marks'!J191)</f>
        <v/>
      </c>
      <c r="J188" s="827" t="str">
        <f>IF('Statement of Marks'!HS191="","",'Statement of Marks'!HS191)</f>
        <v/>
      </c>
      <c r="K188" s="281" t="str">
        <f>IF('Statement of Marks'!HT191="","",'Statement of Marks'!HT191)</f>
        <v/>
      </c>
      <c r="L188" s="828" t="str">
        <f>IF('Statement of Marks'!HW191="","",'Statement of Marks'!HW191)</f>
        <v/>
      </c>
      <c r="M188" s="281" t="str">
        <f>IF('Statement of Marks'!HV191="","",'Statement of Marks'!HV191)</f>
        <v/>
      </c>
      <c r="N188" s="829" t="str">
        <f>IF('Statement of Marks'!HX191="","",'Statement of Marks'!HX191)</f>
        <v/>
      </c>
      <c r="O188" s="282" t="str">
        <f>IF(J188="FAIL","",IF('Statement of Marks'!HO191="","",'Statement of Marks'!HO191))</f>
        <v xml:space="preserve">      </v>
      </c>
      <c r="P188" s="283" t="str">
        <f>IF('Supp. Result Entry'!AQ189="","",'Supp. Result Entry'!AQ189)</f>
        <v/>
      </c>
      <c r="Q188" s="284" t="str">
        <f>IF('Supp. Result Entry'!AR189="","",'Supp. Result Entry'!AR189)</f>
        <v/>
      </c>
      <c r="R188" s="285" t="str">
        <f>IF('Statement of Marks'!IA191="","",'Statement of Marks'!IA191)</f>
        <v/>
      </c>
      <c r="S188" s="286" t="str">
        <f>IF('Statement of Marks'!GL191="","",'Statement of Marks'!GL191)</f>
        <v/>
      </c>
      <c r="BM188" s="287" t="str">
        <f>'Statement of Marks'!F191</f>
        <v/>
      </c>
      <c r="BN188" s="288" t="str">
        <f t="shared" si="24"/>
        <v/>
      </c>
      <c r="BO188" s="288" t="str">
        <f t="shared" si="25"/>
        <v/>
      </c>
      <c r="BP188" s="288" t="str">
        <f t="shared" si="26"/>
        <v/>
      </c>
      <c r="BQ188" s="288" t="str">
        <f t="shared" si="27"/>
        <v/>
      </c>
      <c r="BR188" s="288" t="str">
        <f t="shared" si="28"/>
        <v/>
      </c>
      <c r="BS188" s="288" t="str">
        <f t="shared" si="29"/>
        <v/>
      </c>
      <c r="BT188" s="288" t="str">
        <f t="shared" si="30"/>
        <v/>
      </c>
      <c r="BU188" s="288" t="str">
        <f t="shared" si="31"/>
        <v/>
      </c>
      <c r="BV188" s="288" t="str">
        <f t="shared" si="32"/>
        <v/>
      </c>
      <c r="BW188" s="288" t="str">
        <f t="shared" si="33"/>
        <v/>
      </c>
      <c r="BX188" s="288" t="str">
        <f t="shared" si="34"/>
        <v/>
      </c>
      <c r="BY188" s="288" t="str">
        <f t="shared" si="35"/>
        <v/>
      </c>
      <c r="BZ188" s="289"/>
    </row>
    <row r="189" spans="1:78" ht="15" customHeight="1">
      <c r="A189" s="276">
        <f>IF('Statement of Marks'!A192="","",'Statement of Marks'!A192)</f>
        <v>186</v>
      </c>
      <c r="B189" s="277" t="str">
        <f>IF('Statement of Marks'!B192="","",'Statement of Marks'!B192)</f>
        <v/>
      </c>
      <c r="C189" s="278" t="str">
        <f>IF('Statement of Marks'!D192="","",'Statement of Marks'!D192)</f>
        <v/>
      </c>
      <c r="D189" s="314" t="str">
        <f>IF('Statement of Marks'!E192="","",'Statement of Marks'!E192)</f>
        <v/>
      </c>
      <c r="E189" s="279" t="str">
        <f>IF('Statement of Marks'!F192="","",'Statement of Marks'!F192)</f>
        <v/>
      </c>
      <c r="F189" s="279" t="str">
        <f>IF('Statement of Marks'!G192="","",'Statement of Marks'!G192)</f>
        <v/>
      </c>
      <c r="G189" s="279" t="str">
        <f>IF('Statement of Marks'!H192="","",'Statement of Marks'!H192)</f>
        <v/>
      </c>
      <c r="H189" s="280" t="str">
        <f>IF('Statement of Marks'!I192="","",'Statement of Marks'!I192)</f>
        <v/>
      </c>
      <c r="I189" s="280" t="str">
        <f>IF('Statement of Marks'!J192="","",'Statement of Marks'!J192)</f>
        <v/>
      </c>
      <c r="J189" s="827" t="str">
        <f>IF('Statement of Marks'!HS192="","",'Statement of Marks'!HS192)</f>
        <v/>
      </c>
      <c r="K189" s="281" t="str">
        <f>IF('Statement of Marks'!HT192="","",'Statement of Marks'!HT192)</f>
        <v/>
      </c>
      <c r="L189" s="828" t="str">
        <f>IF('Statement of Marks'!HW192="","",'Statement of Marks'!HW192)</f>
        <v/>
      </c>
      <c r="M189" s="281" t="str">
        <f>IF('Statement of Marks'!HV192="","",'Statement of Marks'!HV192)</f>
        <v/>
      </c>
      <c r="N189" s="829" t="str">
        <f>IF('Statement of Marks'!HX192="","",'Statement of Marks'!HX192)</f>
        <v/>
      </c>
      <c r="O189" s="282" t="str">
        <f>IF(J189="FAIL","",IF('Statement of Marks'!HO192="","",'Statement of Marks'!HO192))</f>
        <v xml:space="preserve">      </v>
      </c>
      <c r="P189" s="283" t="str">
        <f>IF('Supp. Result Entry'!AQ190="","",'Supp. Result Entry'!AQ190)</f>
        <v/>
      </c>
      <c r="Q189" s="284" t="str">
        <f>IF('Supp. Result Entry'!AR190="","",'Supp. Result Entry'!AR190)</f>
        <v/>
      </c>
      <c r="R189" s="285" t="str">
        <f>IF('Statement of Marks'!IA192="","",'Statement of Marks'!IA192)</f>
        <v/>
      </c>
      <c r="S189" s="286" t="str">
        <f>IF('Statement of Marks'!GL192="","",'Statement of Marks'!GL192)</f>
        <v/>
      </c>
      <c r="BM189" s="287" t="str">
        <f>'Statement of Marks'!F192</f>
        <v/>
      </c>
      <c r="BN189" s="288" t="str">
        <f t="shared" si="24"/>
        <v/>
      </c>
      <c r="BO189" s="288" t="str">
        <f t="shared" si="25"/>
        <v/>
      </c>
      <c r="BP189" s="288" t="str">
        <f t="shared" si="26"/>
        <v/>
      </c>
      <c r="BQ189" s="288" t="str">
        <f t="shared" si="27"/>
        <v/>
      </c>
      <c r="BR189" s="288" t="str">
        <f t="shared" si="28"/>
        <v/>
      </c>
      <c r="BS189" s="288" t="str">
        <f t="shared" si="29"/>
        <v/>
      </c>
      <c r="BT189" s="288" t="str">
        <f t="shared" si="30"/>
        <v/>
      </c>
      <c r="BU189" s="288" t="str">
        <f t="shared" si="31"/>
        <v/>
      </c>
      <c r="BV189" s="288" t="str">
        <f t="shared" si="32"/>
        <v/>
      </c>
      <c r="BW189" s="288" t="str">
        <f t="shared" si="33"/>
        <v/>
      </c>
      <c r="BX189" s="288" t="str">
        <f t="shared" si="34"/>
        <v/>
      </c>
      <c r="BY189" s="288" t="str">
        <f t="shared" si="35"/>
        <v/>
      </c>
      <c r="BZ189" s="289"/>
    </row>
    <row r="190" spans="1:78" ht="15" customHeight="1">
      <c r="A190" s="276">
        <f>IF('Statement of Marks'!A193="","",'Statement of Marks'!A193)</f>
        <v>187</v>
      </c>
      <c r="B190" s="277" t="str">
        <f>IF('Statement of Marks'!B193="","",'Statement of Marks'!B193)</f>
        <v/>
      </c>
      <c r="C190" s="278" t="str">
        <f>IF('Statement of Marks'!D193="","",'Statement of Marks'!D193)</f>
        <v/>
      </c>
      <c r="D190" s="314" t="str">
        <f>IF('Statement of Marks'!E193="","",'Statement of Marks'!E193)</f>
        <v/>
      </c>
      <c r="E190" s="279" t="str">
        <f>IF('Statement of Marks'!F193="","",'Statement of Marks'!F193)</f>
        <v/>
      </c>
      <c r="F190" s="279" t="str">
        <f>IF('Statement of Marks'!G193="","",'Statement of Marks'!G193)</f>
        <v/>
      </c>
      <c r="G190" s="279" t="str">
        <f>IF('Statement of Marks'!H193="","",'Statement of Marks'!H193)</f>
        <v/>
      </c>
      <c r="H190" s="280" t="str">
        <f>IF('Statement of Marks'!I193="","",'Statement of Marks'!I193)</f>
        <v/>
      </c>
      <c r="I190" s="280" t="str">
        <f>IF('Statement of Marks'!J193="","",'Statement of Marks'!J193)</f>
        <v/>
      </c>
      <c r="J190" s="827" t="str">
        <f>IF('Statement of Marks'!HS193="","",'Statement of Marks'!HS193)</f>
        <v/>
      </c>
      <c r="K190" s="281" t="str">
        <f>IF('Statement of Marks'!HT193="","",'Statement of Marks'!HT193)</f>
        <v/>
      </c>
      <c r="L190" s="828" t="str">
        <f>IF('Statement of Marks'!HW193="","",'Statement of Marks'!HW193)</f>
        <v/>
      </c>
      <c r="M190" s="281" t="str">
        <f>IF('Statement of Marks'!HV193="","",'Statement of Marks'!HV193)</f>
        <v/>
      </c>
      <c r="N190" s="829" t="str">
        <f>IF('Statement of Marks'!HX193="","",'Statement of Marks'!HX193)</f>
        <v/>
      </c>
      <c r="O190" s="282" t="str">
        <f>IF(J190="FAIL","",IF('Statement of Marks'!HO193="","",'Statement of Marks'!HO193))</f>
        <v xml:space="preserve">      </v>
      </c>
      <c r="P190" s="283" t="str">
        <f>IF('Supp. Result Entry'!AQ191="","",'Supp. Result Entry'!AQ191)</f>
        <v/>
      </c>
      <c r="Q190" s="284" t="str">
        <f>IF('Supp. Result Entry'!AR191="","",'Supp. Result Entry'!AR191)</f>
        <v/>
      </c>
      <c r="R190" s="285" t="str">
        <f>IF('Statement of Marks'!IA193="","",'Statement of Marks'!IA193)</f>
        <v/>
      </c>
      <c r="S190" s="286" t="str">
        <f>IF('Statement of Marks'!GL193="","",'Statement of Marks'!GL193)</f>
        <v/>
      </c>
      <c r="BM190" s="287" t="str">
        <f>'Statement of Marks'!F193</f>
        <v/>
      </c>
      <c r="BN190" s="288" t="str">
        <f t="shared" si="24"/>
        <v/>
      </c>
      <c r="BO190" s="288" t="str">
        <f t="shared" si="25"/>
        <v/>
      </c>
      <c r="BP190" s="288" t="str">
        <f t="shared" si="26"/>
        <v/>
      </c>
      <c r="BQ190" s="288" t="str">
        <f t="shared" si="27"/>
        <v/>
      </c>
      <c r="BR190" s="288" t="str">
        <f t="shared" si="28"/>
        <v/>
      </c>
      <c r="BS190" s="288" t="str">
        <f t="shared" si="29"/>
        <v/>
      </c>
      <c r="BT190" s="288" t="str">
        <f t="shared" si="30"/>
        <v/>
      </c>
      <c r="BU190" s="288" t="str">
        <f t="shared" si="31"/>
        <v/>
      </c>
      <c r="BV190" s="288" t="str">
        <f t="shared" si="32"/>
        <v/>
      </c>
      <c r="BW190" s="288" t="str">
        <f t="shared" si="33"/>
        <v/>
      </c>
      <c r="BX190" s="288" t="str">
        <f t="shared" si="34"/>
        <v/>
      </c>
      <c r="BY190" s="288" t="str">
        <f t="shared" si="35"/>
        <v/>
      </c>
      <c r="BZ190" s="289"/>
    </row>
    <row r="191" spans="1:78" ht="15" customHeight="1">
      <c r="A191" s="276">
        <f>IF('Statement of Marks'!A194="","",'Statement of Marks'!A194)</f>
        <v>188</v>
      </c>
      <c r="B191" s="277" t="str">
        <f>IF('Statement of Marks'!B194="","",'Statement of Marks'!B194)</f>
        <v/>
      </c>
      <c r="C191" s="278" t="str">
        <f>IF('Statement of Marks'!D194="","",'Statement of Marks'!D194)</f>
        <v/>
      </c>
      <c r="D191" s="314" t="str">
        <f>IF('Statement of Marks'!E194="","",'Statement of Marks'!E194)</f>
        <v/>
      </c>
      <c r="E191" s="279" t="str">
        <f>IF('Statement of Marks'!F194="","",'Statement of Marks'!F194)</f>
        <v/>
      </c>
      <c r="F191" s="279" t="str">
        <f>IF('Statement of Marks'!G194="","",'Statement of Marks'!G194)</f>
        <v/>
      </c>
      <c r="G191" s="279" t="str">
        <f>IF('Statement of Marks'!H194="","",'Statement of Marks'!H194)</f>
        <v/>
      </c>
      <c r="H191" s="280" t="str">
        <f>IF('Statement of Marks'!I194="","",'Statement of Marks'!I194)</f>
        <v/>
      </c>
      <c r="I191" s="280" t="str">
        <f>IF('Statement of Marks'!J194="","",'Statement of Marks'!J194)</f>
        <v/>
      </c>
      <c r="J191" s="827" t="str">
        <f>IF('Statement of Marks'!HS194="","",'Statement of Marks'!HS194)</f>
        <v/>
      </c>
      <c r="K191" s="281" t="str">
        <f>IF('Statement of Marks'!HT194="","",'Statement of Marks'!HT194)</f>
        <v/>
      </c>
      <c r="L191" s="828" t="str">
        <f>IF('Statement of Marks'!HW194="","",'Statement of Marks'!HW194)</f>
        <v/>
      </c>
      <c r="M191" s="281" t="str">
        <f>IF('Statement of Marks'!HV194="","",'Statement of Marks'!HV194)</f>
        <v/>
      </c>
      <c r="N191" s="829" t="str">
        <f>IF('Statement of Marks'!HX194="","",'Statement of Marks'!HX194)</f>
        <v/>
      </c>
      <c r="O191" s="282" t="str">
        <f>IF(J191="FAIL","",IF('Statement of Marks'!HO194="","",'Statement of Marks'!HO194))</f>
        <v xml:space="preserve">      </v>
      </c>
      <c r="P191" s="283" t="str">
        <f>IF('Supp. Result Entry'!AQ192="","",'Supp. Result Entry'!AQ192)</f>
        <v/>
      </c>
      <c r="Q191" s="284" t="str">
        <f>IF('Supp. Result Entry'!AR192="","",'Supp. Result Entry'!AR192)</f>
        <v/>
      </c>
      <c r="R191" s="285" t="str">
        <f>IF('Statement of Marks'!IA194="","",'Statement of Marks'!IA194)</f>
        <v/>
      </c>
      <c r="S191" s="286" t="str">
        <f>IF('Statement of Marks'!GL194="","",'Statement of Marks'!GL194)</f>
        <v/>
      </c>
      <c r="BM191" s="287" t="str">
        <f>'Statement of Marks'!F194</f>
        <v/>
      </c>
      <c r="BN191" s="288" t="str">
        <f t="shared" si="24"/>
        <v/>
      </c>
      <c r="BO191" s="288" t="str">
        <f t="shared" si="25"/>
        <v/>
      </c>
      <c r="BP191" s="288" t="str">
        <f t="shared" si="26"/>
        <v/>
      </c>
      <c r="BQ191" s="288" t="str">
        <f t="shared" si="27"/>
        <v/>
      </c>
      <c r="BR191" s="288" t="str">
        <f t="shared" si="28"/>
        <v/>
      </c>
      <c r="BS191" s="288" t="str">
        <f t="shared" si="29"/>
        <v/>
      </c>
      <c r="BT191" s="288" t="str">
        <f t="shared" si="30"/>
        <v/>
      </c>
      <c r="BU191" s="288" t="str">
        <f t="shared" si="31"/>
        <v/>
      </c>
      <c r="BV191" s="288" t="str">
        <f t="shared" si="32"/>
        <v/>
      </c>
      <c r="BW191" s="288" t="str">
        <f t="shared" si="33"/>
        <v/>
      </c>
      <c r="BX191" s="288" t="str">
        <f t="shared" si="34"/>
        <v/>
      </c>
      <c r="BY191" s="288" t="str">
        <f t="shared" si="35"/>
        <v/>
      </c>
      <c r="BZ191" s="289"/>
    </row>
    <row r="192" spans="1:78" ht="15" customHeight="1">
      <c r="A192" s="276">
        <f>IF('Statement of Marks'!A195="","",'Statement of Marks'!A195)</f>
        <v>189</v>
      </c>
      <c r="B192" s="277" t="str">
        <f>IF('Statement of Marks'!B195="","",'Statement of Marks'!B195)</f>
        <v/>
      </c>
      <c r="C192" s="278" t="str">
        <f>IF('Statement of Marks'!D195="","",'Statement of Marks'!D195)</f>
        <v/>
      </c>
      <c r="D192" s="314" t="str">
        <f>IF('Statement of Marks'!E195="","",'Statement of Marks'!E195)</f>
        <v/>
      </c>
      <c r="E192" s="279" t="str">
        <f>IF('Statement of Marks'!F195="","",'Statement of Marks'!F195)</f>
        <v/>
      </c>
      <c r="F192" s="279" t="str">
        <f>IF('Statement of Marks'!G195="","",'Statement of Marks'!G195)</f>
        <v/>
      </c>
      <c r="G192" s="279" t="str">
        <f>IF('Statement of Marks'!H195="","",'Statement of Marks'!H195)</f>
        <v/>
      </c>
      <c r="H192" s="280" t="str">
        <f>IF('Statement of Marks'!I195="","",'Statement of Marks'!I195)</f>
        <v/>
      </c>
      <c r="I192" s="280" t="str">
        <f>IF('Statement of Marks'!J195="","",'Statement of Marks'!J195)</f>
        <v/>
      </c>
      <c r="J192" s="827" t="str">
        <f>IF('Statement of Marks'!HS195="","",'Statement of Marks'!HS195)</f>
        <v/>
      </c>
      <c r="K192" s="281" t="str">
        <f>IF('Statement of Marks'!HT195="","",'Statement of Marks'!HT195)</f>
        <v/>
      </c>
      <c r="L192" s="828" t="str">
        <f>IF('Statement of Marks'!HW195="","",'Statement of Marks'!HW195)</f>
        <v/>
      </c>
      <c r="M192" s="281" t="str">
        <f>IF('Statement of Marks'!HV195="","",'Statement of Marks'!HV195)</f>
        <v/>
      </c>
      <c r="N192" s="829" t="str">
        <f>IF('Statement of Marks'!HX195="","",'Statement of Marks'!HX195)</f>
        <v/>
      </c>
      <c r="O192" s="282" t="str">
        <f>IF(J192="FAIL","",IF('Statement of Marks'!HO195="","",'Statement of Marks'!HO195))</f>
        <v xml:space="preserve">      </v>
      </c>
      <c r="P192" s="283" t="str">
        <f>IF('Supp. Result Entry'!AQ193="","",'Supp. Result Entry'!AQ193)</f>
        <v/>
      </c>
      <c r="Q192" s="284" t="str">
        <f>IF('Supp. Result Entry'!AR193="","",'Supp. Result Entry'!AR193)</f>
        <v/>
      </c>
      <c r="R192" s="285" t="str">
        <f>IF('Statement of Marks'!IA195="","",'Statement of Marks'!IA195)</f>
        <v/>
      </c>
      <c r="S192" s="286" t="str">
        <f>IF('Statement of Marks'!GL195="","",'Statement of Marks'!GL195)</f>
        <v/>
      </c>
      <c r="BM192" s="287" t="str">
        <f>'Statement of Marks'!F195</f>
        <v/>
      </c>
      <c r="BN192" s="288" t="str">
        <f t="shared" si="24"/>
        <v/>
      </c>
      <c r="BO192" s="288" t="str">
        <f t="shared" si="25"/>
        <v/>
      </c>
      <c r="BP192" s="288" t="str">
        <f t="shared" si="26"/>
        <v/>
      </c>
      <c r="BQ192" s="288" t="str">
        <f t="shared" si="27"/>
        <v/>
      </c>
      <c r="BR192" s="288" t="str">
        <f t="shared" si="28"/>
        <v/>
      </c>
      <c r="BS192" s="288" t="str">
        <f t="shared" si="29"/>
        <v/>
      </c>
      <c r="BT192" s="288" t="str">
        <f t="shared" si="30"/>
        <v/>
      </c>
      <c r="BU192" s="288" t="str">
        <f t="shared" si="31"/>
        <v/>
      </c>
      <c r="BV192" s="288" t="str">
        <f t="shared" si="32"/>
        <v/>
      </c>
      <c r="BW192" s="288" t="str">
        <f t="shared" si="33"/>
        <v/>
      </c>
      <c r="BX192" s="288" t="str">
        <f t="shared" si="34"/>
        <v/>
      </c>
      <c r="BY192" s="288" t="str">
        <f t="shared" si="35"/>
        <v/>
      </c>
      <c r="BZ192" s="289"/>
    </row>
    <row r="193" spans="1:78" ht="15" customHeight="1">
      <c r="A193" s="276">
        <f>IF('Statement of Marks'!A196="","",'Statement of Marks'!A196)</f>
        <v>190</v>
      </c>
      <c r="B193" s="277" t="str">
        <f>IF('Statement of Marks'!B196="","",'Statement of Marks'!B196)</f>
        <v/>
      </c>
      <c r="C193" s="278" t="str">
        <f>IF('Statement of Marks'!D196="","",'Statement of Marks'!D196)</f>
        <v/>
      </c>
      <c r="D193" s="314" t="str">
        <f>IF('Statement of Marks'!E196="","",'Statement of Marks'!E196)</f>
        <v/>
      </c>
      <c r="E193" s="279" t="str">
        <f>IF('Statement of Marks'!F196="","",'Statement of Marks'!F196)</f>
        <v/>
      </c>
      <c r="F193" s="279" t="str">
        <f>IF('Statement of Marks'!G196="","",'Statement of Marks'!G196)</f>
        <v/>
      </c>
      <c r="G193" s="279" t="str">
        <f>IF('Statement of Marks'!H196="","",'Statement of Marks'!H196)</f>
        <v/>
      </c>
      <c r="H193" s="280" t="str">
        <f>IF('Statement of Marks'!I196="","",'Statement of Marks'!I196)</f>
        <v/>
      </c>
      <c r="I193" s="280" t="str">
        <f>IF('Statement of Marks'!J196="","",'Statement of Marks'!J196)</f>
        <v/>
      </c>
      <c r="J193" s="827" t="str">
        <f>IF('Statement of Marks'!HS196="","",'Statement of Marks'!HS196)</f>
        <v/>
      </c>
      <c r="K193" s="281" t="str">
        <f>IF('Statement of Marks'!HT196="","",'Statement of Marks'!HT196)</f>
        <v/>
      </c>
      <c r="L193" s="828" t="str">
        <f>IF('Statement of Marks'!HW196="","",'Statement of Marks'!HW196)</f>
        <v/>
      </c>
      <c r="M193" s="281" t="str">
        <f>IF('Statement of Marks'!HV196="","",'Statement of Marks'!HV196)</f>
        <v/>
      </c>
      <c r="N193" s="829" t="str">
        <f>IF('Statement of Marks'!HX196="","",'Statement of Marks'!HX196)</f>
        <v/>
      </c>
      <c r="O193" s="282" t="str">
        <f>IF(J193="FAIL","",IF('Statement of Marks'!HO196="","",'Statement of Marks'!HO196))</f>
        <v xml:space="preserve">      </v>
      </c>
      <c r="P193" s="283" t="str">
        <f>IF('Supp. Result Entry'!AQ194="","",'Supp. Result Entry'!AQ194)</f>
        <v/>
      </c>
      <c r="Q193" s="284" t="str">
        <f>IF('Supp. Result Entry'!AR194="","",'Supp. Result Entry'!AR194)</f>
        <v/>
      </c>
      <c r="R193" s="285" t="str">
        <f>IF('Statement of Marks'!IA196="","",'Statement of Marks'!IA196)</f>
        <v/>
      </c>
      <c r="S193" s="286" t="str">
        <f>IF('Statement of Marks'!GL196="","",'Statement of Marks'!GL196)</f>
        <v/>
      </c>
      <c r="BM193" s="287" t="str">
        <f>'Statement of Marks'!F196</f>
        <v/>
      </c>
      <c r="BN193" s="288" t="str">
        <f t="shared" si="24"/>
        <v/>
      </c>
      <c r="BO193" s="288" t="str">
        <f t="shared" si="25"/>
        <v/>
      </c>
      <c r="BP193" s="288" t="str">
        <f t="shared" si="26"/>
        <v/>
      </c>
      <c r="BQ193" s="288" t="str">
        <f t="shared" si="27"/>
        <v/>
      </c>
      <c r="BR193" s="288" t="str">
        <f t="shared" si="28"/>
        <v/>
      </c>
      <c r="BS193" s="288" t="str">
        <f t="shared" si="29"/>
        <v/>
      </c>
      <c r="BT193" s="288" t="str">
        <f t="shared" si="30"/>
        <v/>
      </c>
      <c r="BU193" s="288" t="str">
        <f t="shared" si="31"/>
        <v/>
      </c>
      <c r="BV193" s="288" t="str">
        <f t="shared" si="32"/>
        <v/>
      </c>
      <c r="BW193" s="288" t="str">
        <f t="shared" si="33"/>
        <v/>
      </c>
      <c r="BX193" s="288" t="str">
        <f t="shared" si="34"/>
        <v/>
      </c>
      <c r="BY193" s="288" t="str">
        <f t="shared" si="35"/>
        <v/>
      </c>
      <c r="BZ193" s="289"/>
    </row>
    <row r="194" spans="1:78" ht="15" customHeight="1">
      <c r="A194" s="276">
        <f>IF('Statement of Marks'!A197="","",'Statement of Marks'!A197)</f>
        <v>191</v>
      </c>
      <c r="B194" s="277" t="str">
        <f>IF('Statement of Marks'!B197="","",'Statement of Marks'!B197)</f>
        <v/>
      </c>
      <c r="C194" s="278" t="str">
        <f>IF('Statement of Marks'!D197="","",'Statement of Marks'!D197)</f>
        <v/>
      </c>
      <c r="D194" s="314" t="str">
        <f>IF('Statement of Marks'!E197="","",'Statement of Marks'!E197)</f>
        <v/>
      </c>
      <c r="E194" s="279" t="str">
        <f>IF('Statement of Marks'!F197="","",'Statement of Marks'!F197)</f>
        <v/>
      </c>
      <c r="F194" s="279" t="str">
        <f>IF('Statement of Marks'!G197="","",'Statement of Marks'!G197)</f>
        <v/>
      </c>
      <c r="G194" s="279" t="str">
        <f>IF('Statement of Marks'!H197="","",'Statement of Marks'!H197)</f>
        <v/>
      </c>
      <c r="H194" s="280" t="str">
        <f>IF('Statement of Marks'!I197="","",'Statement of Marks'!I197)</f>
        <v/>
      </c>
      <c r="I194" s="280" t="str">
        <f>IF('Statement of Marks'!J197="","",'Statement of Marks'!J197)</f>
        <v/>
      </c>
      <c r="J194" s="827" t="str">
        <f>IF('Statement of Marks'!HS197="","",'Statement of Marks'!HS197)</f>
        <v/>
      </c>
      <c r="K194" s="281" t="str">
        <f>IF('Statement of Marks'!HT197="","",'Statement of Marks'!HT197)</f>
        <v/>
      </c>
      <c r="L194" s="828" t="str">
        <f>IF('Statement of Marks'!HW197="","",'Statement of Marks'!HW197)</f>
        <v/>
      </c>
      <c r="M194" s="281" t="str">
        <f>IF('Statement of Marks'!HV197="","",'Statement of Marks'!HV197)</f>
        <v/>
      </c>
      <c r="N194" s="829" t="str">
        <f>IF('Statement of Marks'!HX197="","",'Statement of Marks'!HX197)</f>
        <v/>
      </c>
      <c r="O194" s="282" t="str">
        <f>IF(J194="FAIL","",IF('Statement of Marks'!HO197="","",'Statement of Marks'!HO197))</f>
        <v xml:space="preserve">      </v>
      </c>
      <c r="P194" s="283" t="str">
        <f>IF('Supp. Result Entry'!AQ195="","",'Supp. Result Entry'!AQ195)</f>
        <v/>
      </c>
      <c r="Q194" s="284" t="str">
        <f>IF('Supp. Result Entry'!AR195="","",'Supp. Result Entry'!AR195)</f>
        <v/>
      </c>
      <c r="R194" s="285" t="str">
        <f>IF('Statement of Marks'!IA197="","",'Statement of Marks'!IA197)</f>
        <v/>
      </c>
      <c r="S194" s="286" t="str">
        <f>IF('Statement of Marks'!GL197="","",'Statement of Marks'!GL197)</f>
        <v/>
      </c>
      <c r="BM194" s="287" t="str">
        <f>'Statement of Marks'!F197</f>
        <v/>
      </c>
      <c r="BN194" s="288" t="str">
        <f t="shared" si="24"/>
        <v/>
      </c>
      <c r="BO194" s="288" t="str">
        <f t="shared" si="25"/>
        <v/>
      </c>
      <c r="BP194" s="288" t="str">
        <f t="shared" si="26"/>
        <v/>
      </c>
      <c r="BQ194" s="288" t="str">
        <f t="shared" si="27"/>
        <v/>
      </c>
      <c r="BR194" s="288" t="str">
        <f t="shared" si="28"/>
        <v/>
      </c>
      <c r="BS194" s="288" t="str">
        <f t="shared" si="29"/>
        <v/>
      </c>
      <c r="BT194" s="288" t="str">
        <f t="shared" si="30"/>
        <v/>
      </c>
      <c r="BU194" s="288" t="str">
        <f t="shared" si="31"/>
        <v/>
      </c>
      <c r="BV194" s="288" t="str">
        <f t="shared" si="32"/>
        <v/>
      </c>
      <c r="BW194" s="288" t="str">
        <f t="shared" si="33"/>
        <v/>
      </c>
      <c r="BX194" s="288" t="str">
        <f t="shared" si="34"/>
        <v/>
      </c>
      <c r="BY194" s="288" t="str">
        <f t="shared" si="35"/>
        <v/>
      </c>
      <c r="BZ194" s="289"/>
    </row>
    <row r="195" spans="1:78" ht="15" customHeight="1">
      <c r="A195" s="276">
        <f>IF('Statement of Marks'!A198="","",'Statement of Marks'!A198)</f>
        <v>192</v>
      </c>
      <c r="B195" s="277" t="str">
        <f>IF('Statement of Marks'!B198="","",'Statement of Marks'!B198)</f>
        <v/>
      </c>
      <c r="C195" s="278" t="str">
        <f>IF('Statement of Marks'!D198="","",'Statement of Marks'!D198)</f>
        <v/>
      </c>
      <c r="D195" s="314" t="str">
        <f>IF('Statement of Marks'!E198="","",'Statement of Marks'!E198)</f>
        <v/>
      </c>
      <c r="E195" s="279" t="str">
        <f>IF('Statement of Marks'!F198="","",'Statement of Marks'!F198)</f>
        <v/>
      </c>
      <c r="F195" s="279" t="str">
        <f>IF('Statement of Marks'!G198="","",'Statement of Marks'!G198)</f>
        <v/>
      </c>
      <c r="G195" s="279" t="str">
        <f>IF('Statement of Marks'!H198="","",'Statement of Marks'!H198)</f>
        <v/>
      </c>
      <c r="H195" s="280" t="str">
        <f>IF('Statement of Marks'!I198="","",'Statement of Marks'!I198)</f>
        <v/>
      </c>
      <c r="I195" s="280" t="str">
        <f>IF('Statement of Marks'!J198="","",'Statement of Marks'!J198)</f>
        <v/>
      </c>
      <c r="J195" s="827" t="str">
        <f>IF('Statement of Marks'!HS198="","",'Statement of Marks'!HS198)</f>
        <v/>
      </c>
      <c r="K195" s="281" t="str">
        <f>IF('Statement of Marks'!HT198="","",'Statement of Marks'!HT198)</f>
        <v/>
      </c>
      <c r="L195" s="828" t="str">
        <f>IF('Statement of Marks'!HW198="","",'Statement of Marks'!HW198)</f>
        <v/>
      </c>
      <c r="M195" s="281" t="str">
        <f>IF('Statement of Marks'!HV198="","",'Statement of Marks'!HV198)</f>
        <v/>
      </c>
      <c r="N195" s="829" t="str">
        <f>IF('Statement of Marks'!HX198="","",'Statement of Marks'!HX198)</f>
        <v/>
      </c>
      <c r="O195" s="282" t="str">
        <f>IF(J195="FAIL","",IF('Statement of Marks'!HO198="","",'Statement of Marks'!HO198))</f>
        <v xml:space="preserve">      </v>
      </c>
      <c r="P195" s="283" t="str">
        <f>IF('Supp. Result Entry'!AQ196="","",'Supp. Result Entry'!AQ196)</f>
        <v/>
      </c>
      <c r="Q195" s="284" t="str">
        <f>IF('Supp. Result Entry'!AR196="","",'Supp. Result Entry'!AR196)</f>
        <v/>
      </c>
      <c r="R195" s="285" t="str">
        <f>IF('Statement of Marks'!IA198="","",'Statement of Marks'!IA198)</f>
        <v/>
      </c>
      <c r="S195" s="286" t="str">
        <f>IF('Statement of Marks'!GL198="","",'Statement of Marks'!GL198)</f>
        <v/>
      </c>
      <c r="BM195" s="287" t="str">
        <f>'Statement of Marks'!F198</f>
        <v/>
      </c>
      <c r="BN195" s="288" t="str">
        <f t="shared" si="24"/>
        <v/>
      </c>
      <c r="BO195" s="288" t="str">
        <f t="shared" si="25"/>
        <v/>
      </c>
      <c r="BP195" s="288" t="str">
        <f t="shared" si="26"/>
        <v/>
      </c>
      <c r="BQ195" s="288" t="str">
        <f t="shared" si="27"/>
        <v/>
      </c>
      <c r="BR195" s="288" t="str">
        <f t="shared" si="28"/>
        <v/>
      </c>
      <c r="BS195" s="288" t="str">
        <f t="shared" si="29"/>
        <v/>
      </c>
      <c r="BT195" s="288" t="str">
        <f t="shared" si="30"/>
        <v/>
      </c>
      <c r="BU195" s="288" t="str">
        <f t="shared" si="31"/>
        <v/>
      </c>
      <c r="BV195" s="288" t="str">
        <f t="shared" si="32"/>
        <v/>
      </c>
      <c r="BW195" s="288" t="str">
        <f t="shared" si="33"/>
        <v/>
      </c>
      <c r="BX195" s="288" t="str">
        <f t="shared" si="34"/>
        <v/>
      </c>
      <c r="BY195" s="288" t="str">
        <f t="shared" si="35"/>
        <v/>
      </c>
      <c r="BZ195" s="289"/>
    </row>
    <row r="196" spans="1:78" ht="15" customHeight="1">
      <c r="A196" s="276">
        <f>IF('Statement of Marks'!A199="","",'Statement of Marks'!A199)</f>
        <v>193</v>
      </c>
      <c r="B196" s="277" t="str">
        <f>IF('Statement of Marks'!B199="","",'Statement of Marks'!B199)</f>
        <v/>
      </c>
      <c r="C196" s="278" t="str">
        <f>IF('Statement of Marks'!D199="","",'Statement of Marks'!D199)</f>
        <v/>
      </c>
      <c r="D196" s="314" t="str">
        <f>IF('Statement of Marks'!E199="","",'Statement of Marks'!E199)</f>
        <v/>
      </c>
      <c r="E196" s="279" t="str">
        <f>IF('Statement of Marks'!F199="","",'Statement of Marks'!F199)</f>
        <v/>
      </c>
      <c r="F196" s="279" t="str">
        <f>IF('Statement of Marks'!G199="","",'Statement of Marks'!G199)</f>
        <v/>
      </c>
      <c r="G196" s="279" t="str">
        <f>IF('Statement of Marks'!H199="","",'Statement of Marks'!H199)</f>
        <v/>
      </c>
      <c r="H196" s="280" t="str">
        <f>IF('Statement of Marks'!I199="","",'Statement of Marks'!I199)</f>
        <v/>
      </c>
      <c r="I196" s="280" t="str">
        <f>IF('Statement of Marks'!J199="","",'Statement of Marks'!J199)</f>
        <v/>
      </c>
      <c r="J196" s="827" t="str">
        <f>IF('Statement of Marks'!HS199="","",'Statement of Marks'!HS199)</f>
        <v/>
      </c>
      <c r="K196" s="281" t="str">
        <f>IF('Statement of Marks'!HT199="","",'Statement of Marks'!HT199)</f>
        <v/>
      </c>
      <c r="L196" s="828" t="str">
        <f>IF('Statement of Marks'!HW199="","",'Statement of Marks'!HW199)</f>
        <v/>
      </c>
      <c r="M196" s="281" t="str">
        <f>IF('Statement of Marks'!HV199="","",'Statement of Marks'!HV199)</f>
        <v/>
      </c>
      <c r="N196" s="829" t="str">
        <f>IF('Statement of Marks'!HX199="","",'Statement of Marks'!HX199)</f>
        <v/>
      </c>
      <c r="O196" s="282" t="str">
        <f>IF(J196="FAIL","",IF('Statement of Marks'!HO199="","",'Statement of Marks'!HO199))</f>
        <v xml:space="preserve">      </v>
      </c>
      <c r="P196" s="283" t="str">
        <f>IF('Supp. Result Entry'!AQ197="","",'Supp. Result Entry'!AQ197)</f>
        <v/>
      </c>
      <c r="Q196" s="284" t="str">
        <f>IF('Supp. Result Entry'!AR197="","",'Supp. Result Entry'!AR197)</f>
        <v/>
      </c>
      <c r="R196" s="285" t="str">
        <f>IF('Statement of Marks'!IA199="","",'Statement of Marks'!IA199)</f>
        <v/>
      </c>
      <c r="S196" s="286" t="str">
        <f>IF('Statement of Marks'!GL199="","",'Statement of Marks'!GL199)</f>
        <v/>
      </c>
      <c r="BM196" s="287" t="str">
        <f>'Statement of Marks'!F199</f>
        <v/>
      </c>
      <c r="BN196" s="288" t="str">
        <f t="shared" si="24"/>
        <v/>
      </c>
      <c r="BO196" s="288" t="str">
        <f t="shared" si="25"/>
        <v/>
      </c>
      <c r="BP196" s="288" t="str">
        <f t="shared" si="26"/>
        <v/>
      </c>
      <c r="BQ196" s="288" t="str">
        <f t="shared" si="27"/>
        <v/>
      </c>
      <c r="BR196" s="288" t="str">
        <f t="shared" si="28"/>
        <v/>
      </c>
      <c r="BS196" s="288" t="str">
        <f t="shared" si="29"/>
        <v/>
      </c>
      <c r="BT196" s="288" t="str">
        <f t="shared" si="30"/>
        <v/>
      </c>
      <c r="BU196" s="288" t="str">
        <f t="shared" si="31"/>
        <v/>
      </c>
      <c r="BV196" s="288" t="str">
        <f t="shared" si="32"/>
        <v/>
      </c>
      <c r="BW196" s="288" t="str">
        <f t="shared" si="33"/>
        <v/>
      </c>
      <c r="BX196" s="288" t="str">
        <f t="shared" si="34"/>
        <v/>
      </c>
      <c r="BY196" s="288" t="str">
        <f t="shared" si="35"/>
        <v/>
      </c>
      <c r="BZ196" s="289"/>
    </row>
    <row r="197" spans="1:78" ht="15" customHeight="1">
      <c r="A197" s="276">
        <f>IF('Statement of Marks'!A200="","",'Statement of Marks'!A200)</f>
        <v>194</v>
      </c>
      <c r="B197" s="277" t="str">
        <f>IF('Statement of Marks'!B200="","",'Statement of Marks'!B200)</f>
        <v/>
      </c>
      <c r="C197" s="278" t="str">
        <f>IF('Statement of Marks'!D200="","",'Statement of Marks'!D200)</f>
        <v/>
      </c>
      <c r="D197" s="314" t="str">
        <f>IF('Statement of Marks'!E200="","",'Statement of Marks'!E200)</f>
        <v/>
      </c>
      <c r="E197" s="279" t="str">
        <f>IF('Statement of Marks'!F200="","",'Statement of Marks'!F200)</f>
        <v/>
      </c>
      <c r="F197" s="279" t="str">
        <f>IF('Statement of Marks'!G200="","",'Statement of Marks'!G200)</f>
        <v/>
      </c>
      <c r="G197" s="279" t="str">
        <f>IF('Statement of Marks'!H200="","",'Statement of Marks'!H200)</f>
        <v/>
      </c>
      <c r="H197" s="280" t="str">
        <f>IF('Statement of Marks'!I200="","",'Statement of Marks'!I200)</f>
        <v/>
      </c>
      <c r="I197" s="280" t="str">
        <f>IF('Statement of Marks'!J200="","",'Statement of Marks'!J200)</f>
        <v/>
      </c>
      <c r="J197" s="827" t="str">
        <f>IF('Statement of Marks'!HS200="","",'Statement of Marks'!HS200)</f>
        <v/>
      </c>
      <c r="K197" s="281" t="str">
        <f>IF('Statement of Marks'!HT200="","",'Statement of Marks'!HT200)</f>
        <v/>
      </c>
      <c r="L197" s="828" t="str">
        <f>IF('Statement of Marks'!HW200="","",'Statement of Marks'!HW200)</f>
        <v/>
      </c>
      <c r="M197" s="281" t="str">
        <f>IF('Statement of Marks'!HV200="","",'Statement of Marks'!HV200)</f>
        <v/>
      </c>
      <c r="N197" s="829" t="str">
        <f>IF('Statement of Marks'!HX200="","",'Statement of Marks'!HX200)</f>
        <v/>
      </c>
      <c r="O197" s="282" t="str">
        <f>IF(J197="FAIL","",IF('Statement of Marks'!HO200="","",'Statement of Marks'!HO200))</f>
        <v xml:space="preserve">      </v>
      </c>
      <c r="P197" s="283" t="str">
        <f>IF('Supp. Result Entry'!AQ198="","",'Supp. Result Entry'!AQ198)</f>
        <v/>
      </c>
      <c r="Q197" s="284" t="str">
        <f>IF('Supp. Result Entry'!AR198="","",'Supp. Result Entry'!AR198)</f>
        <v/>
      </c>
      <c r="R197" s="285" t="str">
        <f>IF('Statement of Marks'!IA200="","",'Statement of Marks'!IA200)</f>
        <v/>
      </c>
      <c r="S197" s="286" t="str">
        <f>IF('Statement of Marks'!GL200="","",'Statement of Marks'!GL200)</f>
        <v/>
      </c>
      <c r="BM197" s="287" t="str">
        <f>'Statement of Marks'!F200</f>
        <v/>
      </c>
      <c r="BN197" s="288" t="str">
        <f t="shared" ref="BN197:BN203" si="36">IFERROR(IF(AND(M197="",R197="",H197="SC",I197="M"),J197,IF(AND(M197="",H197="SC",I197="M"),R197,IF(AND(R197="",H197="SC",I197="M"),M197,""))),"")</f>
        <v/>
      </c>
      <c r="BO197" s="288" t="str">
        <f t="shared" ref="BO197:BO203" si="37">IFERROR(IF(AND(M197="",R197="",H197="SC",I197="F"),J197,IF(AND(M197="",H197="SC",I197="F"),R197,IF(AND(R197="",H197="SC",I197="F"),M197,""))),"")</f>
        <v/>
      </c>
      <c r="BP197" s="288" t="str">
        <f t="shared" ref="BP197:BP203" si="38">IFERROR(IF(AND(M197="",R197="",H197="ST",I197="M"),J197,IF(AND(M197="",H197="ST",I197="M"),R197,IF(AND(R197="",H197="ST",I197="M"),M197,""))),"")</f>
        <v/>
      </c>
      <c r="BQ197" s="288" t="str">
        <f t="shared" ref="BQ197:BQ203" si="39">IFERROR(IF(AND(M197="",R197="",H197="ST",I197="F"),J197,IF(AND(M197="",H197="ST",I197="F"),R197,IF(AND(R197="",H197="ST",I197="F"),M197,""))),"")</f>
        <v/>
      </c>
      <c r="BR197" s="288" t="str">
        <f t="shared" ref="BR197:BR203" si="40">IFERROR(IF(AND(M197="",R197="",H197="OBC",I197="M"),J197,IF(AND(M197="",H197="OBC",I197="M"),R197,IF(AND(R197="",H197="OBC",I197="M"),M197,""))),"")</f>
        <v/>
      </c>
      <c r="BS197" s="288" t="str">
        <f t="shared" ref="BS197:BS203" si="41">IFERROR(IF(AND(M197="",R197="",H197="OBC",I197="F"),J197,IF(AND(M197="",H197="OBC",I197="F"),R197,IF(AND(R197="",H197="OBC",I197="F"),M197,""))),"")</f>
        <v/>
      </c>
      <c r="BT197" s="288" t="str">
        <f t="shared" ref="BT197:BT203" si="42">IFERROR(IF(AND(M197="",R197="",H197="GEN",I197="M"),J197,IF(AND(M197="",H197="GEN",I197="M"),R197,IF(AND(R197="",H197="GEN",I197="M"),M197,""))),"")</f>
        <v/>
      </c>
      <c r="BU197" s="288" t="str">
        <f t="shared" ref="BU197:BU203" si="43">IFERROR(IF(AND(M197="",R197="",H197="GEN",I197="F"),J197,IF(AND(M197="",H197="GEN",I197="F"),R197,IF(AND(R197="",H197="GEN",I197="F"),M197,""))),"")</f>
        <v/>
      </c>
      <c r="BV197" s="288" t="str">
        <f t="shared" ref="BV197:BV203" si="44">IFERROR(IF(AND(M197="",R197="",H197="MIN",I197="M"),J197,IF(AND(M197="",H197="MIN",I197="M"),R197,IF(AND(R197="",H197="MIN",I197="M"),M197,""))),"")</f>
        <v/>
      </c>
      <c r="BW197" s="288" t="str">
        <f t="shared" ref="BW197:BW203" si="45">IFERROR(IF(AND(M197="",R197="",H197="MIN",I197="F"),J197,IF(AND(M197="",H197="MIN",I197="F"),R197,IF(AND(R197="",H197="MIN",I197="F"),M197,""))),"")</f>
        <v/>
      </c>
      <c r="BX197" s="288" t="str">
        <f t="shared" ref="BX197:BX203" si="46">IFERROR(IF(AND(M197="",R197="",H197="SBC",I197="M"),J197,IF(AND(M197="",H197="SBC",I197="M"),R197,IF(AND(R197="",H197="SBC",I197="M"),M197,""))),"")</f>
        <v/>
      </c>
      <c r="BY197" s="288" t="str">
        <f t="shared" ref="BY197:BY203" si="47">IFERROR(IF(AND(M197="",R197="",H197="SBC",I197="F"),J197,IF(AND(M197="",H197="SBC",I197="F"),R197,IF(AND(R197="",H197="SBC",I197="F"),M197,""))),"")</f>
        <v/>
      </c>
      <c r="BZ197" s="289"/>
    </row>
    <row r="198" spans="1:78" ht="15" customHeight="1">
      <c r="A198" s="276">
        <f>IF('Statement of Marks'!A201="","",'Statement of Marks'!A201)</f>
        <v>195</v>
      </c>
      <c r="B198" s="277" t="str">
        <f>IF('Statement of Marks'!B201="","",'Statement of Marks'!B201)</f>
        <v/>
      </c>
      <c r="C198" s="278" t="str">
        <f>IF('Statement of Marks'!D201="","",'Statement of Marks'!D201)</f>
        <v/>
      </c>
      <c r="D198" s="314" t="str">
        <f>IF('Statement of Marks'!E201="","",'Statement of Marks'!E201)</f>
        <v/>
      </c>
      <c r="E198" s="279" t="str">
        <f>IF('Statement of Marks'!F201="","",'Statement of Marks'!F201)</f>
        <v/>
      </c>
      <c r="F198" s="279" t="str">
        <f>IF('Statement of Marks'!G201="","",'Statement of Marks'!G201)</f>
        <v/>
      </c>
      <c r="G198" s="279" t="str">
        <f>IF('Statement of Marks'!H201="","",'Statement of Marks'!H201)</f>
        <v/>
      </c>
      <c r="H198" s="280" t="str">
        <f>IF('Statement of Marks'!I201="","",'Statement of Marks'!I201)</f>
        <v/>
      </c>
      <c r="I198" s="280" t="str">
        <f>IF('Statement of Marks'!J201="","",'Statement of Marks'!J201)</f>
        <v/>
      </c>
      <c r="J198" s="827" t="str">
        <f>IF('Statement of Marks'!HS201="","",'Statement of Marks'!HS201)</f>
        <v/>
      </c>
      <c r="K198" s="281" t="str">
        <f>IF('Statement of Marks'!HT201="","",'Statement of Marks'!HT201)</f>
        <v/>
      </c>
      <c r="L198" s="828" t="str">
        <f>IF('Statement of Marks'!HW201="","",'Statement of Marks'!HW201)</f>
        <v/>
      </c>
      <c r="M198" s="281" t="str">
        <f>IF('Statement of Marks'!HV201="","",'Statement of Marks'!HV201)</f>
        <v/>
      </c>
      <c r="N198" s="829" t="str">
        <f>IF('Statement of Marks'!HX201="","",'Statement of Marks'!HX201)</f>
        <v/>
      </c>
      <c r="O198" s="282" t="str">
        <f>IF(J198="FAIL","",IF('Statement of Marks'!HO201="","",'Statement of Marks'!HO201))</f>
        <v xml:space="preserve">      </v>
      </c>
      <c r="P198" s="283" t="str">
        <f>IF('Supp. Result Entry'!AQ199="","",'Supp. Result Entry'!AQ199)</f>
        <v/>
      </c>
      <c r="Q198" s="284" t="str">
        <f>IF('Supp. Result Entry'!AR199="","",'Supp. Result Entry'!AR199)</f>
        <v/>
      </c>
      <c r="R198" s="285" t="str">
        <f>IF('Statement of Marks'!IA201="","",'Statement of Marks'!IA201)</f>
        <v/>
      </c>
      <c r="S198" s="286" t="str">
        <f>IF('Statement of Marks'!GL201="","",'Statement of Marks'!GL201)</f>
        <v/>
      </c>
      <c r="BM198" s="287" t="str">
        <f>'Statement of Marks'!F201</f>
        <v/>
      </c>
      <c r="BN198" s="288" t="str">
        <f t="shared" si="36"/>
        <v/>
      </c>
      <c r="BO198" s="288" t="str">
        <f t="shared" si="37"/>
        <v/>
      </c>
      <c r="BP198" s="288" t="str">
        <f t="shared" si="38"/>
        <v/>
      </c>
      <c r="BQ198" s="288" t="str">
        <f t="shared" si="39"/>
        <v/>
      </c>
      <c r="BR198" s="288" t="str">
        <f t="shared" si="40"/>
        <v/>
      </c>
      <c r="BS198" s="288" t="str">
        <f t="shared" si="41"/>
        <v/>
      </c>
      <c r="BT198" s="288" t="str">
        <f t="shared" si="42"/>
        <v/>
      </c>
      <c r="BU198" s="288" t="str">
        <f t="shared" si="43"/>
        <v/>
      </c>
      <c r="BV198" s="288" t="str">
        <f t="shared" si="44"/>
        <v/>
      </c>
      <c r="BW198" s="288" t="str">
        <f t="shared" si="45"/>
        <v/>
      </c>
      <c r="BX198" s="288" t="str">
        <f t="shared" si="46"/>
        <v/>
      </c>
      <c r="BY198" s="288" t="str">
        <f t="shared" si="47"/>
        <v/>
      </c>
      <c r="BZ198" s="289"/>
    </row>
    <row r="199" spans="1:78" ht="15" customHeight="1">
      <c r="A199" s="276">
        <f>IF('Statement of Marks'!A202="","",'Statement of Marks'!A202)</f>
        <v>196</v>
      </c>
      <c r="B199" s="277" t="str">
        <f>IF('Statement of Marks'!B202="","",'Statement of Marks'!B202)</f>
        <v/>
      </c>
      <c r="C199" s="278" t="str">
        <f>IF('Statement of Marks'!D202="","",'Statement of Marks'!D202)</f>
        <v/>
      </c>
      <c r="D199" s="314" t="str">
        <f>IF('Statement of Marks'!E202="","",'Statement of Marks'!E202)</f>
        <v/>
      </c>
      <c r="E199" s="279" t="str">
        <f>IF('Statement of Marks'!F202="","",'Statement of Marks'!F202)</f>
        <v/>
      </c>
      <c r="F199" s="279" t="str">
        <f>IF('Statement of Marks'!G202="","",'Statement of Marks'!G202)</f>
        <v/>
      </c>
      <c r="G199" s="279" t="str">
        <f>IF('Statement of Marks'!H202="","",'Statement of Marks'!H202)</f>
        <v/>
      </c>
      <c r="H199" s="280" t="str">
        <f>IF('Statement of Marks'!I202="","",'Statement of Marks'!I202)</f>
        <v/>
      </c>
      <c r="I199" s="280" t="str">
        <f>IF('Statement of Marks'!J202="","",'Statement of Marks'!J202)</f>
        <v/>
      </c>
      <c r="J199" s="827" t="str">
        <f>IF('Statement of Marks'!HS202="","",'Statement of Marks'!HS202)</f>
        <v/>
      </c>
      <c r="K199" s="281" t="str">
        <f>IF('Statement of Marks'!HT202="","",'Statement of Marks'!HT202)</f>
        <v/>
      </c>
      <c r="L199" s="828" t="str">
        <f>IF('Statement of Marks'!HW202="","",'Statement of Marks'!HW202)</f>
        <v/>
      </c>
      <c r="M199" s="281" t="str">
        <f>IF('Statement of Marks'!HV202="","",'Statement of Marks'!HV202)</f>
        <v/>
      </c>
      <c r="N199" s="829" t="str">
        <f>IF('Statement of Marks'!HX202="","",'Statement of Marks'!HX202)</f>
        <v/>
      </c>
      <c r="O199" s="282" t="str">
        <f>IF(J199="FAIL","",IF('Statement of Marks'!HO202="","",'Statement of Marks'!HO202))</f>
        <v xml:space="preserve">      </v>
      </c>
      <c r="P199" s="283" t="str">
        <f>IF('Supp. Result Entry'!AQ200="","",'Supp. Result Entry'!AQ200)</f>
        <v/>
      </c>
      <c r="Q199" s="284" t="str">
        <f>IF('Supp. Result Entry'!AR200="","",'Supp. Result Entry'!AR200)</f>
        <v/>
      </c>
      <c r="R199" s="285" t="str">
        <f>IF('Statement of Marks'!IA202="","",'Statement of Marks'!IA202)</f>
        <v/>
      </c>
      <c r="S199" s="286" t="str">
        <f>IF('Statement of Marks'!GL202="","",'Statement of Marks'!GL202)</f>
        <v/>
      </c>
      <c r="BM199" s="287" t="str">
        <f>'Statement of Marks'!F202</f>
        <v/>
      </c>
      <c r="BN199" s="288" t="str">
        <f t="shared" si="36"/>
        <v/>
      </c>
      <c r="BO199" s="288" t="str">
        <f t="shared" si="37"/>
        <v/>
      </c>
      <c r="BP199" s="288" t="str">
        <f t="shared" si="38"/>
        <v/>
      </c>
      <c r="BQ199" s="288" t="str">
        <f t="shared" si="39"/>
        <v/>
      </c>
      <c r="BR199" s="288" t="str">
        <f t="shared" si="40"/>
        <v/>
      </c>
      <c r="BS199" s="288" t="str">
        <f t="shared" si="41"/>
        <v/>
      </c>
      <c r="BT199" s="288" t="str">
        <f t="shared" si="42"/>
        <v/>
      </c>
      <c r="BU199" s="288" t="str">
        <f t="shared" si="43"/>
        <v/>
      </c>
      <c r="BV199" s="288" t="str">
        <f t="shared" si="44"/>
        <v/>
      </c>
      <c r="BW199" s="288" t="str">
        <f t="shared" si="45"/>
        <v/>
      </c>
      <c r="BX199" s="288" t="str">
        <f t="shared" si="46"/>
        <v/>
      </c>
      <c r="BY199" s="288" t="str">
        <f t="shared" si="47"/>
        <v/>
      </c>
      <c r="BZ199" s="289"/>
    </row>
    <row r="200" spans="1:78" ht="15" customHeight="1">
      <c r="A200" s="276">
        <f>IF('Statement of Marks'!A203="","",'Statement of Marks'!A203)</f>
        <v>197</v>
      </c>
      <c r="B200" s="277" t="str">
        <f>IF('Statement of Marks'!B203="","",'Statement of Marks'!B203)</f>
        <v/>
      </c>
      <c r="C200" s="278" t="str">
        <f>IF('Statement of Marks'!D203="","",'Statement of Marks'!D203)</f>
        <v/>
      </c>
      <c r="D200" s="314" t="str">
        <f>IF('Statement of Marks'!E203="","",'Statement of Marks'!E203)</f>
        <v/>
      </c>
      <c r="E200" s="279" t="str">
        <f>IF('Statement of Marks'!F203="","",'Statement of Marks'!F203)</f>
        <v/>
      </c>
      <c r="F200" s="279" t="str">
        <f>IF('Statement of Marks'!G203="","",'Statement of Marks'!G203)</f>
        <v/>
      </c>
      <c r="G200" s="279" t="str">
        <f>IF('Statement of Marks'!H203="","",'Statement of Marks'!H203)</f>
        <v/>
      </c>
      <c r="H200" s="280" t="str">
        <f>IF('Statement of Marks'!I203="","",'Statement of Marks'!I203)</f>
        <v/>
      </c>
      <c r="I200" s="280" t="str">
        <f>IF('Statement of Marks'!J203="","",'Statement of Marks'!J203)</f>
        <v/>
      </c>
      <c r="J200" s="827" t="str">
        <f>IF('Statement of Marks'!HS203="","",'Statement of Marks'!HS203)</f>
        <v/>
      </c>
      <c r="K200" s="281" t="str">
        <f>IF('Statement of Marks'!HT203="","",'Statement of Marks'!HT203)</f>
        <v/>
      </c>
      <c r="L200" s="828" t="str">
        <f>IF('Statement of Marks'!HW203="","",'Statement of Marks'!HW203)</f>
        <v/>
      </c>
      <c r="M200" s="281" t="str">
        <f>IF('Statement of Marks'!HV203="","",'Statement of Marks'!HV203)</f>
        <v/>
      </c>
      <c r="N200" s="829" t="str">
        <f>IF('Statement of Marks'!HX203="","",'Statement of Marks'!HX203)</f>
        <v/>
      </c>
      <c r="O200" s="282" t="str">
        <f>IF(J200="FAIL","",IF('Statement of Marks'!HO203="","",'Statement of Marks'!HO203))</f>
        <v xml:space="preserve">      </v>
      </c>
      <c r="P200" s="283" t="str">
        <f>IF('Supp. Result Entry'!AQ201="","",'Supp. Result Entry'!AQ201)</f>
        <v/>
      </c>
      <c r="Q200" s="284" t="str">
        <f>IF('Supp. Result Entry'!AR201="","",'Supp. Result Entry'!AR201)</f>
        <v/>
      </c>
      <c r="R200" s="285" t="str">
        <f>IF('Statement of Marks'!IA203="","",'Statement of Marks'!IA203)</f>
        <v/>
      </c>
      <c r="S200" s="286" t="str">
        <f>IF('Statement of Marks'!GL203="","",'Statement of Marks'!GL203)</f>
        <v/>
      </c>
      <c r="BM200" s="287" t="str">
        <f>'Statement of Marks'!F203</f>
        <v/>
      </c>
      <c r="BN200" s="288" t="str">
        <f t="shared" si="36"/>
        <v/>
      </c>
      <c r="BO200" s="288" t="str">
        <f t="shared" si="37"/>
        <v/>
      </c>
      <c r="BP200" s="288" t="str">
        <f t="shared" si="38"/>
        <v/>
      </c>
      <c r="BQ200" s="288" t="str">
        <f t="shared" si="39"/>
        <v/>
      </c>
      <c r="BR200" s="288" t="str">
        <f t="shared" si="40"/>
        <v/>
      </c>
      <c r="BS200" s="288" t="str">
        <f t="shared" si="41"/>
        <v/>
      </c>
      <c r="BT200" s="288" t="str">
        <f t="shared" si="42"/>
        <v/>
      </c>
      <c r="BU200" s="288" t="str">
        <f t="shared" si="43"/>
        <v/>
      </c>
      <c r="BV200" s="288" t="str">
        <f t="shared" si="44"/>
        <v/>
      </c>
      <c r="BW200" s="288" t="str">
        <f t="shared" si="45"/>
        <v/>
      </c>
      <c r="BX200" s="288" t="str">
        <f t="shared" si="46"/>
        <v/>
      </c>
      <c r="BY200" s="288" t="str">
        <f t="shared" si="47"/>
        <v/>
      </c>
      <c r="BZ200" s="289"/>
    </row>
    <row r="201" spans="1:78" ht="15" customHeight="1">
      <c r="A201" s="276">
        <f>IF('Statement of Marks'!A204="","",'Statement of Marks'!A204)</f>
        <v>198</v>
      </c>
      <c r="B201" s="277" t="str">
        <f>IF('Statement of Marks'!B204="","",'Statement of Marks'!B204)</f>
        <v/>
      </c>
      <c r="C201" s="278" t="str">
        <f>IF('Statement of Marks'!D204="","",'Statement of Marks'!D204)</f>
        <v/>
      </c>
      <c r="D201" s="314" t="str">
        <f>IF('Statement of Marks'!E204="","",'Statement of Marks'!E204)</f>
        <v/>
      </c>
      <c r="E201" s="279" t="str">
        <f>IF('Statement of Marks'!F204="","",'Statement of Marks'!F204)</f>
        <v/>
      </c>
      <c r="F201" s="279" t="str">
        <f>IF('Statement of Marks'!G204="","",'Statement of Marks'!G204)</f>
        <v/>
      </c>
      <c r="G201" s="279" t="str">
        <f>IF('Statement of Marks'!H204="","",'Statement of Marks'!H204)</f>
        <v/>
      </c>
      <c r="H201" s="280" t="str">
        <f>IF('Statement of Marks'!I204="","",'Statement of Marks'!I204)</f>
        <v/>
      </c>
      <c r="I201" s="280" t="str">
        <f>IF('Statement of Marks'!J204="","",'Statement of Marks'!J204)</f>
        <v/>
      </c>
      <c r="J201" s="827" t="str">
        <f>IF('Statement of Marks'!HS204="","",'Statement of Marks'!HS204)</f>
        <v/>
      </c>
      <c r="K201" s="281" t="str">
        <f>IF('Statement of Marks'!HT204="","",'Statement of Marks'!HT204)</f>
        <v/>
      </c>
      <c r="L201" s="828" t="str">
        <f>IF('Statement of Marks'!HW204="","",'Statement of Marks'!HW204)</f>
        <v/>
      </c>
      <c r="M201" s="281" t="str">
        <f>IF('Statement of Marks'!HV204="","",'Statement of Marks'!HV204)</f>
        <v/>
      </c>
      <c r="N201" s="829" t="str">
        <f>IF('Statement of Marks'!HX204="","",'Statement of Marks'!HX204)</f>
        <v/>
      </c>
      <c r="O201" s="282" t="str">
        <f>IF(J201="FAIL","",IF('Statement of Marks'!HO204="","",'Statement of Marks'!HO204))</f>
        <v xml:space="preserve">      </v>
      </c>
      <c r="P201" s="283" t="str">
        <f>IF('Supp. Result Entry'!AQ202="","",'Supp. Result Entry'!AQ202)</f>
        <v/>
      </c>
      <c r="Q201" s="284" t="str">
        <f>IF('Supp. Result Entry'!AR202="","",'Supp. Result Entry'!AR202)</f>
        <v/>
      </c>
      <c r="R201" s="285" t="str">
        <f>IF('Statement of Marks'!IA204="","",'Statement of Marks'!IA204)</f>
        <v/>
      </c>
      <c r="S201" s="286" t="str">
        <f>IF('Statement of Marks'!GL204="","",'Statement of Marks'!GL204)</f>
        <v/>
      </c>
      <c r="BM201" s="287" t="str">
        <f>'Statement of Marks'!F204</f>
        <v/>
      </c>
      <c r="BN201" s="288" t="str">
        <f t="shared" si="36"/>
        <v/>
      </c>
      <c r="BO201" s="288" t="str">
        <f t="shared" si="37"/>
        <v/>
      </c>
      <c r="BP201" s="288" t="str">
        <f t="shared" si="38"/>
        <v/>
      </c>
      <c r="BQ201" s="288" t="str">
        <f t="shared" si="39"/>
        <v/>
      </c>
      <c r="BR201" s="288" t="str">
        <f t="shared" si="40"/>
        <v/>
      </c>
      <c r="BS201" s="288" t="str">
        <f t="shared" si="41"/>
        <v/>
      </c>
      <c r="BT201" s="288" t="str">
        <f t="shared" si="42"/>
        <v/>
      </c>
      <c r="BU201" s="288" t="str">
        <f t="shared" si="43"/>
        <v/>
      </c>
      <c r="BV201" s="288" t="str">
        <f t="shared" si="44"/>
        <v/>
      </c>
      <c r="BW201" s="288" t="str">
        <f t="shared" si="45"/>
        <v/>
      </c>
      <c r="BX201" s="288" t="str">
        <f t="shared" si="46"/>
        <v/>
      </c>
      <c r="BY201" s="288" t="str">
        <f t="shared" si="47"/>
        <v/>
      </c>
      <c r="BZ201" s="289"/>
    </row>
    <row r="202" spans="1:78" ht="15" customHeight="1">
      <c r="A202" s="276">
        <f>IF('Statement of Marks'!A205="","",'Statement of Marks'!A205)</f>
        <v>199</v>
      </c>
      <c r="B202" s="277" t="str">
        <f>IF('Statement of Marks'!B205="","",'Statement of Marks'!B205)</f>
        <v/>
      </c>
      <c r="C202" s="278" t="str">
        <f>IF('Statement of Marks'!D205="","",'Statement of Marks'!D205)</f>
        <v/>
      </c>
      <c r="D202" s="314" t="str">
        <f>IF('Statement of Marks'!E205="","",'Statement of Marks'!E205)</f>
        <v/>
      </c>
      <c r="E202" s="279" t="str">
        <f>IF('Statement of Marks'!F205="","",'Statement of Marks'!F205)</f>
        <v/>
      </c>
      <c r="F202" s="279" t="str">
        <f>IF('Statement of Marks'!G205="","",'Statement of Marks'!G205)</f>
        <v/>
      </c>
      <c r="G202" s="279" t="str">
        <f>IF('Statement of Marks'!H205="","",'Statement of Marks'!H205)</f>
        <v/>
      </c>
      <c r="H202" s="280" t="str">
        <f>IF('Statement of Marks'!I205="","",'Statement of Marks'!I205)</f>
        <v/>
      </c>
      <c r="I202" s="280" t="str">
        <f>IF('Statement of Marks'!J205="","",'Statement of Marks'!J205)</f>
        <v/>
      </c>
      <c r="J202" s="826" t="str">
        <f>IF('Statement of Marks'!HS205="","",'Statement of Marks'!HS205)</f>
        <v/>
      </c>
      <c r="K202" s="281" t="str">
        <f>IF('Statement of Marks'!HT205="","",'Statement of Marks'!HT205)</f>
        <v/>
      </c>
      <c r="L202" s="828" t="str">
        <f>IF('Statement of Marks'!HW205="","",'Statement of Marks'!HW205)</f>
        <v/>
      </c>
      <c r="M202" s="281" t="str">
        <f>IF('Statement of Marks'!HV205="","",'Statement of Marks'!HV205)</f>
        <v/>
      </c>
      <c r="N202" s="829" t="str">
        <f>IF('Statement of Marks'!HX205="","",'Statement of Marks'!HX205)</f>
        <v/>
      </c>
      <c r="O202" s="282" t="str">
        <f>IF(J202="FAIL","",IF('Statement of Marks'!HO205="","",'Statement of Marks'!HO205))</f>
        <v xml:space="preserve">      </v>
      </c>
      <c r="P202" s="283" t="str">
        <f>IF('Supp. Result Entry'!AQ203="","",'Supp. Result Entry'!AQ203)</f>
        <v/>
      </c>
      <c r="Q202" s="284" t="str">
        <f>IF('Supp. Result Entry'!AR203="","",'Supp. Result Entry'!AR203)</f>
        <v/>
      </c>
      <c r="R202" s="285" t="str">
        <f>IF('Statement of Marks'!IA205="","",'Statement of Marks'!IA205)</f>
        <v/>
      </c>
      <c r="S202" s="286" t="str">
        <f>IF('Statement of Marks'!GL205="","",'Statement of Marks'!GL205)</f>
        <v/>
      </c>
      <c r="BM202" s="287" t="str">
        <f>'Statement of Marks'!F205</f>
        <v/>
      </c>
      <c r="BN202" s="288" t="str">
        <f t="shared" si="36"/>
        <v/>
      </c>
      <c r="BO202" s="288" t="str">
        <f t="shared" si="37"/>
        <v/>
      </c>
      <c r="BP202" s="288" t="str">
        <f t="shared" si="38"/>
        <v/>
      </c>
      <c r="BQ202" s="288" t="str">
        <f t="shared" si="39"/>
        <v/>
      </c>
      <c r="BR202" s="288" t="str">
        <f t="shared" si="40"/>
        <v/>
      </c>
      <c r="BS202" s="288" t="str">
        <f t="shared" si="41"/>
        <v/>
      </c>
      <c r="BT202" s="288" t="str">
        <f t="shared" si="42"/>
        <v/>
      </c>
      <c r="BU202" s="288" t="str">
        <f t="shared" si="43"/>
        <v/>
      </c>
      <c r="BV202" s="288" t="str">
        <f t="shared" si="44"/>
        <v/>
      </c>
      <c r="BW202" s="288" t="str">
        <f t="shared" si="45"/>
        <v/>
      </c>
      <c r="BX202" s="288" t="str">
        <f t="shared" si="46"/>
        <v/>
      </c>
      <c r="BY202" s="288" t="str">
        <f t="shared" si="47"/>
        <v/>
      </c>
      <c r="BZ202" s="289"/>
    </row>
    <row r="203" spans="1:78" ht="15" customHeight="1">
      <c r="A203" s="276">
        <f>IF('Statement of Marks'!A206="","",'Statement of Marks'!A206)</f>
        <v>200</v>
      </c>
      <c r="B203" s="277" t="str">
        <f>IF('Statement of Marks'!B206="","",'Statement of Marks'!B206)</f>
        <v/>
      </c>
      <c r="C203" s="278" t="str">
        <f>IF('Statement of Marks'!D206="","",'Statement of Marks'!D206)</f>
        <v/>
      </c>
      <c r="D203" s="314" t="str">
        <f>IF('Statement of Marks'!E206="","",'Statement of Marks'!E206)</f>
        <v/>
      </c>
      <c r="E203" s="279" t="str">
        <f>IF('Statement of Marks'!F206="","",'Statement of Marks'!F206)</f>
        <v/>
      </c>
      <c r="F203" s="279" t="str">
        <f>IF('Statement of Marks'!G206="","",'Statement of Marks'!G206)</f>
        <v/>
      </c>
      <c r="G203" s="279" t="str">
        <f>IF('Statement of Marks'!H206="","",'Statement of Marks'!H206)</f>
        <v/>
      </c>
      <c r="H203" s="280" t="str">
        <f>IF('Statement of Marks'!I206="","",'Statement of Marks'!I206)</f>
        <v/>
      </c>
      <c r="I203" s="280" t="str">
        <f>IF('Statement of Marks'!J206="","",'Statement of Marks'!J206)</f>
        <v/>
      </c>
      <c r="J203" s="827" t="str">
        <f>IF('Statement of Marks'!HS206="","",'Statement of Marks'!HS206)</f>
        <v/>
      </c>
      <c r="K203" s="281" t="str">
        <f>IF('Statement of Marks'!HT206="","",'Statement of Marks'!HT206)</f>
        <v/>
      </c>
      <c r="L203" s="828" t="str">
        <f>IF('Statement of Marks'!HW206="","",'Statement of Marks'!HW206)</f>
        <v/>
      </c>
      <c r="M203" s="281" t="str">
        <f>IF('Statement of Marks'!HV206="","",'Statement of Marks'!HV206)</f>
        <v/>
      </c>
      <c r="N203" s="829" t="str">
        <f>IF('Statement of Marks'!HX206="","",'Statement of Marks'!HX206)</f>
        <v/>
      </c>
      <c r="O203" s="282" t="str">
        <f>IF(J203="FAIL","",IF('Statement of Marks'!HO206="","",'Statement of Marks'!HO206))</f>
        <v xml:space="preserve">      </v>
      </c>
      <c r="P203" s="283" t="str">
        <f>IF('Supp. Result Entry'!AQ204="","",'Supp. Result Entry'!AQ204)</f>
        <v/>
      </c>
      <c r="Q203" s="284" t="str">
        <f>IF('Supp. Result Entry'!AR204="","",'Supp. Result Entry'!AR204)</f>
        <v/>
      </c>
      <c r="R203" s="285" t="str">
        <f>IF('Statement of Marks'!IA206="","",'Statement of Marks'!IA206)</f>
        <v/>
      </c>
      <c r="S203" s="286" t="str">
        <f>IF('Statement of Marks'!GL206="","",'Statement of Marks'!GL206)</f>
        <v/>
      </c>
      <c r="BM203" s="287" t="str">
        <f>'Statement of Marks'!F206</f>
        <v/>
      </c>
      <c r="BN203" s="288" t="str">
        <f t="shared" si="36"/>
        <v/>
      </c>
      <c r="BO203" s="288" t="str">
        <f t="shared" si="37"/>
        <v/>
      </c>
      <c r="BP203" s="288" t="str">
        <f t="shared" si="38"/>
        <v/>
      </c>
      <c r="BQ203" s="288" t="str">
        <f t="shared" si="39"/>
        <v/>
      </c>
      <c r="BR203" s="288" t="str">
        <f t="shared" si="40"/>
        <v/>
      </c>
      <c r="BS203" s="288" t="str">
        <f t="shared" si="41"/>
        <v/>
      </c>
      <c r="BT203" s="288" t="str">
        <f t="shared" si="42"/>
        <v/>
      </c>
      <c r="BU203" s="288" t="str">
        <f t="shared" si="43"/>
        <v/>
      </c>
      <c r="BV203" s="288" t="str">
        <f t="shared" si="44"/>
        <v/>
      </c>
      <c r="BW203" s="288" t="str">
        <f t="shared" si="45"/>
        <v/>
      </c>
      <c r="BX203" s="288" t="str">
        <f t="shared" si="46"/>
        <v/>
      </c>
      <c r="BY203" s="288" t="str">
        <f t="shared" si="47"/>
        <v/>
      </c>
      <c r="BZ203" s="289"/>
    </row>
    <row r="204" spans="1:78" ht="8.25" customHeight="1" thickBot="1">
      <c r="A204" s="1443"/>
      <c r="B204" s="1444"/>
      <c r="C204" s="1444"/>
      <c r="D204" s="1444"/>
      <c r="E204" s="1444"/>
      <c r="F204" s="1444"/>
      <c r="G204" s="1444"/>
      <c r="H204" s="1444"/>
      <c r="I204" s="1444"/>
      <c r="J204" s="1444"/>
      <c r="K204" s="1444"/>
      <c r="L204" s="1444"/>
      <c r="M204" s="1444"/>
      <c r="N204" s="1444"/>
      <c r="O204" s="1444"/>
      <c r="P204" s="1444"/>
      <c r="Q204" s="1444"/>
      <c r="R204" s="1444"/>
      <c r="S204" s="1445"/>
      <c r="BM204" s="1429"/>
      <c r="BN204" s="1430"/>
      <c r="BO204" s="1430"/>
      <c r="BP204" s="1430"/>
      <c r="BQ204" s="1430"/>
      <c r="BR204" s="1430"/>
      <c r="BS204" s="1430"/>
      <c r="BT204" s="1430"/>
      <c r="BU204" s="1430"/>
      <c r="BV204" s="1430"/>
      <c r="BW204" s="1430"/>
      <c r="BX204" s="1430"/>
      <c r="BY204" s="1430"/>
      <c r="BZ204" s="1431"/>
    </row>
    <row r="205" spans="1:78" ht="15" customHeight="1" thickTop="1">
      <c r="A205" s="291"/>
      <c r="B205" s="292" t="s">
        <v>56</v>
      </c>
      <c r="C205" s="292"/>
      <c r="D205" s="1432" t="s">
        <v>136</v>
      </c>
      <c r="E205" s="1432"/>
      <c r="F205" s="724" t="s">
        <v>138</v>
      </c>
      <c r="G205" s="724" t="s">
        <v>139</v>
      </c>
      <c r="H205" s="1433" t="s">
        <v>14</v>
      </c>
      <c r="I205" s="1434"/>
      <c r="J205" s="1435" t="str">
        <f>IF('School Profile'!D12="Hindi","परिणाम तैयारकर्ता","Signature of the maker")</f>
        <v>परिणाम तैयारकर्ता</v>
      </c>
      <c r="K205" s="1435"/>
      <c r="L205" s="1435"/>
      <c r="M205" s="1441" t="str">
        <f>CONCATENATE("( ",UPPER('School Profile'!D17)," )")</f>
        <v>( SURESH KUMAR )</v>
      </c>
      <c r="N205" s="1441"/>
      <c r="O205" s="1442"/>
      <c r="P205" s="1452" t="str">
        <f>CONCATENATE("( ",UPPER('School Profile'!D14)," )")</f>
        <v>( DEWANAND )</v>
      </c>
      <c r="Q205" s="1453"/>
      <c r="R205" s="1453"/>
      <c r="S205" s="1454"/>
      <c r="BM205" s="293"/>
      <c r="BN205" s="1436" t="str">
        <f>BM1</f>
        <v>tkfrokj ifj.kke</v>
      </c>
      <c r="BO205" s="1436"/>
      <c r="BP205" s="1436"/>
      <c r="BQ205" s="1436"/>
      <c r="BR205" s="1436"/>
      <c r="BS205" s="1436"/>
      <c r="BT205" s="1436"/>
      <c r="BU205" s="1436"/>
      <c r="BV205" s="1436"/>
      <c r="BW205" s="1436"/>
      <c r="BX205" s="1436"/>
      <c r="BY205" s="1436"/>
      <c r="BZ205" s="1437"/>
    </row>
    <row r="206" spans="1:78" ht="15" customHeight="1">
      <c r="A206" s="291"/>
      <c r="B206" s="292" t="s">
        <v>56</v>
      </c>
      <c r="C206" s="292"/>
      <c r="D206" s="1438" t="str">
        <f>IF('School Profile'!$D$12="Hindi","कुल प्रविष्ट","Total appeared")</f>
        <v>कुल प्रविष्ट</v>
      </c>
      <c r="E206" s="1438"/>
      <c r="F206" s="725">
        <f>COUNTA(B4:B203)-COUNTIF(B4:B203,"nso")-COUNTBLANK(B4:B203)</f>
        <v>31</v>
      </c>
      <c r="G206" s="294">
        <f>COUNTIF(J4:J203,"SUPPLEMENTARY")</f>
        <v>1</v>
      </c>
      <c r="H206" s="1439">
        <f>F206</f>
        <v>31</v>
      </c>
      <c r="I206" s="1440"/>
      <c r="J206" s="1435"/>
      <c r="K206" s="1435"/>
      <c r="L206" s="1435"/>
      <c r="M206" s="1441"/>
      <c r="N206" s="1441"/>
      <c r="O206" s="1442"/>
      <c r="P206" s="1455"/>
      <c r="Q206" s="1456"/>
      <c r="R206" s="1456"/>
      <c r="S206" s="1457"/>
      <c r="BM206" s="295"/>
      <c r="BN206" s="296" t="str">
        <f t="shared" ref="BN206:BY206" si="48">BN3</f>
        <v>SC BOYS</v>
      </c>
      <c r="BO206" s="296" t="str">
        <f t="shared" si="48"/>
        <v>SC GIRLS</v>
      </c>
      <c r="BP206" s="296" t="str">
        <f t="shared" si="48"/>
        <v>ST BOYS</v>
      </c>
      <c r="BQ206" s="296" t="str">
        <f t="shared" si="48"/>
        <v>ST GIRLS</v>
      </c>
      <c r="BR206" s="296" t="str">
        <f t="shared" si="48"/>
        <v>OBC BOYS</v>
      </c>
      <c r="BS206" s="296" t="str">
        <f t="shared" si="48"/>
        <v>OBC GIRLS</v>
      </c>
      <c r="BT206" s="296" t="str">
        <f t="shared" si="48"/>
        <v>GEN BOYS</v>
      </c>
      <c r="BU206" s="296" t="str">
        <f t="shared" si="48"/>
        <v>GEN GIRLS</v>
      </c>
      <c r="BV206" s="296" t="str">
        <f t="shared" si="48"/>
        <v>MIN BOYS</v>
      </c>
      <c r="BW206" s="296" t="str">
        <f t="shared" si="48"/>
        <v>MIN GIRLS</v>
      </c>
      <c r="BX206" s="296" t="str">
        <f t="shared" si="48"/>
        <v>SBC BOYS</v>
      </c>
      <c r="BY206" s="296" t="str">
        <f t="shared" si="48"/>
        <v>SBC GIRLS</v>
      </c>
      <c r="BZ206" s="297" t="s">
        <v>55</v>
      </c>
    </row>
    <row r="207" spans="1:78" ht="15" customHeight="1">
      <c r="A207" s="291"/>
      <c r="B207" s="292" t="s">
        <v>56</v>
      </c>
      <c r="C207" s="292"/>
      <c r="D207" s="1461" t="str">
        <f>IF('School Profile'!$D$12="Hindi","प्रथम श्रेणी","1st Div.")</f>
        <v>प्रथम श्रेणी</v>
      </c>
      <c r="E207" s="1461"/>
      <c r="F207" s="298">
        <f>COUNTIF(M4:M203,"1st")</f>
        <v>23</v>
      </c>
      <c r="G207" s="298">
        <f>COUNTIF(R4:R203,"I")</f>
        <v>1</v>
      </c>
      <c r="H207" s="1462">
        <f>F207+G207</f>
        <v>24</v>
      </c>
      <c r="I207" s="1440"/>
      <c r="J207" s="1435" t="str">
        <f>IF('School Profile'!D12="Hindi","हस्ताक्षर कक्षाध्यापक","Signature of the class teacher")</f>
        <v>हस्ताक्षर कक्षाध्यापक</v>
      </c>
      <c r="K207" s="1435"/>
      <c r="L207" s="1435"/>
      <c r="M207" s="1441" t="str">
        <f>CONCATENATE("( ",UPPER('School Profile'!D18)," )")</f>
        <v>( YOGESH )</v>
      </c>
      <c r="N207" s="1441"/>
      <c r="O207" s="1442"/>
      <c r="P207" s="1455"/>
      <c r="Q207" s="1456"/>
      <c r="R207" s="1456"/>
      <c r="S207" s="1457"/>
      <c r="BM207" s="627" t="str">
        <f>IF('School Profile'!$D$12="Hindi","प्रथम श्रेणी","1st Div.")</f>
        <v>प्रथम श्रेणी</v>
      </c>
      <c r="BN207" s="299">
        <f>COUNTIF(BN4:BN203,"I")+COUNTIF(BN4:BN203,"1st")</f>
        <v>1</v>
      </c>
      <c r="BO207" s="299">
        <f t="shared" ref="BO207:BY207" si="49">COUNTIF(BO4:BO203,"I")+COUNTIF(BO4:BO203,"1st")</f>
        <v>0</v>
      </c>
      <c r="BP207" s="299">
        <f t="shared" si="49"/>
        <v>0</v>
      </c>
      <c r="BQ207" s="299">
        <f t="shared" si="49"/>
        <v>0</v>
      </c>
      <c r="BR207" s="299">
        <f t="shared" si="49"/>
        <v>2</v>
      </c>
      <c r="BS207" s="299">
        <f t="shared" si="49"/>
        <v>1</v>
      </c>
      <c r="BT207" s="299">
        <f t="shared" si="49"/>
        <v>0</v>
      </c>
      <c r="BU207" s="299">
        <f t="shared" si="49"/>
        <v>1</v>
      </c>
      <c r="BV207" s="299">
        <f t="shared" si="49"/>
        <v>0</v>
      </c>
      <c r="BW207" s="299">
        <f t="shared" si="49"/>
        <v>1</v>
      </c>
      <c r="BX207" s="299">
        <f t="shared" si="49"/>
        <v>0</v>
      </c>
      <c r="BY207" s="299">
        <f t="shared" si="49"/>
        <v>1</v>
      </c>
      <c r="BZ207" s="300">
        <f>SUM(BN207:BY207)</f>
        <v>7</v>
      </c>
    </row>
    <row r="208" spans="1:78" ht="15" customHeight="1">
      <c r="A208" s="291"/>
      <c r="B208" s="292" t="s">
        <v>56</v>
      </c>
      <c r="C208" s="292"/>
      <c r="D208" s="1461" t="str">
        <f>IF('School Profile'!$D$12="Hindi","द्वितीय श्रेणी","2nd Div.")</f>
        <v>द्वितीय श्रेणी</v>
      </c>
      <c r="E208" s="1461"/>
      <c r="F208" s="301">
        <f>COUNTIF(M4:M203,"2nd")</f>
        <v>5</v>
      </c>
      <c r="G208" s="301">
        <f>COUNTIF(R4:R203,"II")</f>
        <v>0</v>
      </c>
      <c r="H208" s="1462">
        <f>F208+G208</f>
        <v>5</v>
      </c>
      <c r="I208" s="1440"/>
      <c r="J208" s="1435"/>
      <c r="K208" s="1435"/>
      <c r="L208" s="1435"/>
      <c r="M208" s="1441"/>
      <c r="N208" s="1441"/>
      <c r="O208" s="1442"/>
      <c r="P208" s="1455"/>
      <c r="Q208" s="1456"/>
      <c r="R208" s="1456"/>
      <c r="S208" s="1457"/>
      <c r="BM208" s="627" t="str">
        <f>IF('School Profile'!$D$12="Hindi","द्वितीय श्रेणी","2nd Div.")</f>
        <v>द्वितीय श्रेणी</v>
      </c>
      <c r="BN208" s="299">
        <f>COUNTIF(BN4:BN203,"II")+COUNTIF(BN4:BN203,"2nd")</f>
        <v>0</v>
      </c>
      <c r="BO208" s="299">
        <f t="shared" ref="BO208:BY208" si="50">COUNTIF(BO4:BO203,"II")+COUNTIF(BO4:BO203,"2nd")</f>
        <v>0</v>
      </c>
      <c r="BP208" s="299">
        <f t="shared" si="50"/>
        <v>0</v>
      </c>
      <c r="BQ208" s="299">
        <f t="shared" si="50"/>
        <v>1</v>
      </c>
      <c r="BR208" s="299">
        <f t="shared" si="50"/>
        <v>0</v>
      </c>
      <c r="BS208" s="299">
        <f t="shared" si="50"/>
        <v>0</v>
      </c>
      <c r="BT208" s="299">
        <f t="shared" si="50"/>
        <v>0</v>
      </c>
      <c r="BU208" s="299">
        <f t="shared" si="50"/>
        <v>0</v>
      </c>
      <c r="BV208" s="299">
        <f t="shared" si="50"/>
        <v>0</v>
      </c>
      <c r="BW208" s="299">
        <f t="shared" si="50"/>
        <v>0</v>
      </c>
      <c r="BX208" s="299">
        <f t="shared" si="50"/>
        <v>1</v>
      </c>
      <c r="BY208" s="299">
        <f t="shared" si="50"/>
        <v>0</v>
      </c>
      <c r="BZ208" s="300">
        <f t="shared" ref="BZ208:BZ214" si="51">SUM(BN208:BY208)</f>
        <v>2</v>
      </c>
    </row>
    <row r="209" spans="1:78" ht="15" customHeight="1">
      <c r="A209" s="291"/>
      <c r="B209" s="292" t="s">
        <v>56</v>
      </c>
      <c r="C209" s="292"/>
      <c r="D209" s="1461" t="str">
        <f>IF('School Profile'!$D$12="Hindi","तृतीय श्रेणी","3rd Div.")</f>
        <v>तृतीय श्रेणी</v>
      </c>
      <c r="E209" s="1461"/>
      <c r="F209" s="294">
        <f>COUNTIF(M4:M203,"3rd")</f>
        <v>0</v>
      </c>
      <c r="G209" s="298">
        <f>COUNTIF(R4:R203,"III")</f>
        <v>0</v>
      </c>
      <c r="H209" s="1465">
        <f>F209+G209</f>
        <v>0</v>
      </c>
      <c r="I209" s="1466"/>
      <c r="J209" s="1435" t="str">
        <f>IF('School Profile'!D12="Hindi","हस्ताक्षर जांचकर्ता","Signature of the checker")</f>
        <v>हस्ताक्षर जांचकर्ता</v>
      </c>
      <c r="K209" s="1435"/>
      <c r="L209" s="1435"/>
      <c r="M209" s="1441" t="str">
        <f>CONCATENATE("( ",UPPER('School Profile'!D16)," )")</f>
        <v>( RAKESH KUMAR )</v>
      </c>
      <c r="N209" s="1441"/>
      <c r="O209" s="1442"/>
      <c r="P209" s="1455"/>
      <c r="Q209" s="1456"/>
      <c r="R209" s="1456"/>
      <c r="S209" s="1457"/>
      <c r="BM209" s="627" t="str">
        <f>IF('School Profile'!$D$12="Hindi","तृतीय श्रेणी","3rd Div.")</f>
        <v>तृतीय श्रेणी</v>
      </c>
      <c r="BN209" s="299">
        <f>COUNTIF(BN4:BN203,"III")+COUNTIF(BN4:BN203,"3rd")</f>
        <v>0</v>
      </c>
      <c r="BO209" s="299">
        <f t="shared" ref="BO209:BY209" si="52">COUNTIF(BO4:BO203,"III")+COUNTIF(BO4:BO203,"3rd")</f>
        <v>0</v>
      </c>
      <c r="BP209" s="299">
        <f t="shared" si="52"/>
        <v>0</v>
      </c>
      <c r="BQ209" s="299">
        <f t="shared" si="52"/>
        <v>0</v>
      </c>
      <c r="BR209" s="299">
        <f t="shared" si="52"/>
        <v>0</v>
      </c>
      <c r="BS209" s="299">
        <f t="shared" si="52"/>
        <v>0</v>
      </c>
      <c r="BT209" s="299">
        <f t="shared" si="52"/>
        <v>0</v>
      </c>
      <c r="BU209" s="299">
        <f t="shared" si="52"/>
        <v>0</v>
      </c>
      <c r="BV209" s="299">
        <f t="shared" si="52"/>
        <v>0</v>
      </c>
      <c r="BW209" s="299">
        <f t="shared" si="52"/>
        <v>0</v>
      </c>
      <c r="BX209" s="299">
        <f t="shared" si="52"/>
        <v>0</v>
      </c>
      <c r="BY209" s="299">
        <f t="shared" si="52"/>
        <v>0</v>
      </c>
      <c r="BZ209" s="300">
        <f t="shared" si="51"/>
        <v>0</v>
      </c>
    </row>
    <row r="210" spans="1:78" ht="15" customHeight="1">
      <c r="A210" s="291"/>
      <c r="B210" s="292" t="s">
        <v>56</v>
      </c>
      <c r="C210" s="292"/>
      <c r="D210" s="1438" t="str">
        <f>IF('School Profile'!D12="Hindi","कुल उत्तीर्ण","Total Pass")</f>
        <v>कुल उत्तीर्ण</v>
      </c>
      <c r="E210" s="1438"/>
      <c r="F210" s="725">
        <f>COUNTIF(J4:J203,"PASS")+COUNTIF(J4:J203,"BY GRACE PASS")</f>
        <v>28</v>
      </c>
      <c r="G210" s="302">
        <f>COUNTIF(P4:P203,"PASS")</f>
        <v>1</v>
      </c>
      <c r="H210" s="1439">
        <f>F210+G210</f>
        <v>29</v>
      </c>
      <c r="I210" s="1440"/>
      <c r="J210" s="1435"/>
      <c r="K210" s="1435"/>
      <c r="L210" s="1435"/>
      <c r="M210" s="1441"/>
      <c r="N210" s="1441"/>
      <c r="O210" s="1442"/>
      <c r="P210" s="1458"/>
      <c r="Q210" s="1459"/>
      <c r="R210" s="1459"/>
      <c r="S210" s="1460"/>
      <c r="BM210" s="627" t="str">
        <f>IF('School Profile'!$D$12="Hindi","कुल उत्तीर्ण","Total Pass")</f>
        <v>कुल उत्तीर्ण</v>
      </c>
      <c r="BN210" s="299">
        <f>SUM(BN207,BN208,BN209)</f>
        <v>1</v>
      </c>
      <c r="BO210" s="299">
        <f>SUM(BO207,BO208,BO209)</f>
        <v>0</v>
      </c>
      <c r="BP210" s="299">
        <f t="shared" ref="BP210:BY210" si="53">SUM(BP207,BP208,BP209)</f>
        <v>0</v>
      </c>
      <c r="BQ210" s="299">
        <f t="shared" si="53"/>
        <v>1</v>
      </c>
      <c r="BR210" s="299">
        <f t="shared" si="53"/>
        <v>2</v>
      </c>
      <c r="BS210" s="299">
        <f t="shared" si="53"/>
        <v>1</v>
      </c>
      <c r="BT210" s="299">
        <f t="shared" si="53"/>
        <v>0</v>
      </c>
      <c r="BU210" s="299">
        <f t="shared" si="53"/>
        <v>1</v>
      </c>
      <c r="BV210" s="299">
        <f t="shared" si="53"/>
        <v>0</v>
      </c>
      <c r="BW210" s="299">
        <f t="shared" si="53"/>
        <v>1</v>
      </c>
      <c r="BX210" s="299">
        <f t="shared" si="53"/>
        <v>1</v>
      </c>
      <c r="BY210" s="299">
        <f t="shared" si="53"/>
        <v>1</v>
      </c>
      <c r="BZ210" s="300">
        <f t="shared" si="51"/>
        <v>9</v>
      </c>
    </row>
    <row r="211" spans="1:78" ht="15" customHeight="1">
      <c r="A211" s="303"/>
      <c r="B211" s="304" t="s">
        <v>56</v>
      </c>
      <c r="C211" s="304"/>
      <c r="D211" s="1438" t="str">
        <f>IF('School Profile'!$D$12="Hindi","उतीर्ण प्रतिशत","Pass %")</f>
        <v>उतीर्ण प्रतिशत</v>
      </c>
      <c r="E211" s="1438"/>
      <c r="F211" s="726">
        <f>IF(F206=0,"",F210/F206*100)</f>
        <v>90.322580645161281</v>
      </c>
      <c r="G211" s="305">
        <f>IF(G206=0,"",G210/G206*100)</f>
        <v>100</v>
      </c>
      <c r="H211" s="1463">
        <f>IF(H206=0,"",H210/H206*100)</f>
        <v>93.548387096774192</v>
      </c>
      <c r="I211" s="1464"/>
      <c r="J211" s="1435" t="str">
        <f>IF('School Profile'!D12="Hindi","हस्ताक्षर परीक्षा प्रभारी","Signature of the exam. Incharge")</f>
        <v>हस्ताक्षर परीक्षा प्रभारी</v>
      </c>
      <c r="K211" s="1435"/>
      <c r="L211" s="1435"/>
      <c r="M211" s="1441" t="str">
        <f>CONCATENATE("( ",UPPER('School Profile'!D15)," )")</f>
        <v>( HEERALAL JAT )</v>
      </c>
      <c r="N211" s="1441"/>
      <c r="O211" s="1442"/>
      <c r="P211" s="1448" t="str">
        <f>IF('School Profile'!D12="Hindi","हस्ताक्षर मय सील मोहर संस्था प्रधान","Signature &amp; Seal of the Head of the Institution")</f>
        <v>हस्ताक्षर मय सील मोहर संस्था प्रधान</v>
      </c>
      <c r="Q211" s="1448"/>
      <c r="R211" s="1448"/>
      <c r="S211" s="1449"/>
      <c r="BM211" s="627" t="str">
        <f>IF('School Profile'!$D$12="Hindi","पूरक","Supp.")</f>
        <v>पूरक</v>
      </c>
      <c r="BN211" s="299">
        <f>COUNTIF(BN4:BN203,"SUPPLEMENTARY")</f>
        <v>0</v>
      </c>
      <c r="BO211" s="299">
        <f t="shared" ref="BO211:BY211" si="54">COUNTIF(BO4:BO203,"SUPPLEMENTARY")</f>
        <v>0</v>
      </c>
      <c r="BP211" s="299">
        <f t="shared" si="54"/>
        <v>0</v>
      </c>
      <c r="BQ211" s="299">
        <f t="shared" si="54"/>
        <v>0</v>
      </c>
      <c r="BR211" s="299">
        <f t="shared" si="54"/>
        <v>0</v>
      </c>
      <c r="BS211" s="299">
        <f t="shared" si="54"/>
        <v>0</v>
      </c>
      <c r="BT211" s="299">
        <f t="shared" si="54"/>
        <v>0</v>
      </c>
      <c r="BU211" s="299">
        <f t="shared" si="54"/>
        <v>0</v>
      </c>
      <c r="BV211" s="299">
        <f t="shared" si="54"/>
        <v>0</v>
      </c>
      <c r="BW211" s="299">
        <f t="shared" si="54"/>
        <v>0</v>
      </c>
      <c r="BX211" s="299">
        <f t="shared" si="54"/>
        <v>0</v>
      </c>
      <c r="BY211" s="299">
        <f t="shared" si="54"/>
        <v>0</v>
      </c>
      <c r="BZ211" s="300">
        <f>SUM(BN211:BY211)</f>
        <v>0</v>
      </c>
    </row>
    <row r="212" spans="1:78" ht="15" customHeight="1" thickBot="1">
      <c r="A212" s="291"/>
      <c r="B212" s="292" t="s">
        <v>56</v>
      </c>
      <c r="C212" s="292"/>
      <c r="D212" s="1438" t="str">
        <f>IF('School Profile'!$D$12="Hindi","अनुतीर्ण","Failed")</f>
        <v>अनुतीर्ण</v>
      </c>
      <c r="E212" s="1438"/>
      <c r="F212" s="294">
        <f>COUNTIF(J4:J203,"FAIL")</f>
        <v>2</v>
      </c>
      <c r="G212" s="294">
        <f>COUNTIF(P4:P203,"FAIL")</f>
        <v>0</v>
      </c>
      <c r="H212" s="1439">
        <f>SUM(F212,G212)</f>
        <v>2</v>
      </c>
      <c r="I212" s="1440"/>
      <c r="J212" s="1435"/>
      <c r="K212" s="1435"/>
      <c r="L212" s="1435"/>
      <c r="M212" s="1441"/>
      <c r="N212" s="1441"/>
      <c r="O212" s="1442"/>
      <c r="P212" s="1450"/>
      <c r="Q212" s="1450"/>
      <c r="R212" s="1450"/>
      <c r="S212" s="1451"/>
      <c r="BM212" s="627" t="str">
        <f>IF('School Profile'!$D$12="Hindi","पुनः परीक्षा","Re-Exam")</f>
        <v>पुनः परीक्षा</v>
      </c>
      <c r="BN212" s="306">
        <f>COUNTIF(BN4:BN203,"RE-EXAM")</f>
        <v>0</v>
      </c>
      <c r="BO212" s="306">
        <f t="shared" ref="BO212:BY212" si="55">COUNTIF(BO4:BO203,"RE-EXAM")</f>
        <v>0</v>
      </c>
      <c r="BP212" s="306">
        <f t="shared" si="55"/>
        <v>0</v>
      </c>
      <c r="BQ212" s="306">
        <f t="shared" si="55"/>
        <v>0</v>
      </c>
      <c r="BR212" s="306">
        <f t="shared" si="55"/>
        <v>0</v>
      </c>
      <c r="BS212" s="306">
        <f t="shared" si="55"/>
        <v>0</v>
      </c>
      <c r="BT212" s="306">
        <f t="shared" si="55"/>
        <v>0</v>
      </c>
      <c r="BU212" s="306">
        <f t="shared" si="55"/>
        <v>0</v>
      </c>
      <c r="BV212" s="306">
        <f t="shared" si="55"/>
        <v>0</v>
      </c>
      <c r="BW212" s="306">
        <f t="shared" si="55"/>
        <v>0</v>
      </c>
      <c r="BX212" s="306">
        <f t="shared" si="55"/>
        <v>0</v>
      </c>
      <c r="BY212" s="306">
        <f t="shared" si="55"/>
        <v>0</v>
      </c>
      <c r="BZ212" s="300">
        <f t="shared" si="51"/>
        <v>0</v>
      </c>
    </row>
    <row r="213" spans="1:78" ht="17.100000000000001" customHeight="1" thickTop="1">
      <c r="BM213" s="627" t="str">
        <f>IF('School Profile'!$D$12="Hindi","अनुतीर्ण","Failed")</f>
        <v>अनुतीर्ण</v>
      </c>
      <c r="BN213" s="299">
        <f>COUNTIF(BN4:BN203,"FAIL")</f>
        <v>1</v>
      </c>
      <c r="BO213" s="299">
        <f t="shared" ref="BO213:BY213" si="56">COUNTIF(BO4:BO203,"FAIL")</f>
        <v>0</v>
      </c>
      <c r="BP213" s="299">
        <f t="shared" si="56"/>
        <v>0</v>
      </c>
      <c r="BQ213" s="299">
        <f t="shared" si="56"/>
        <v>0</v>
      </c>
      <c r="BR213" s="299">
        <f t="shared" si="56"/>
        <v>0</v>
      </c>
      <c r="BS213" s="299">
        <f t="shared" si="56"/>
        <v>0</v>
      </c>
      <c r="BT213" s="299">
        <f t="shared" si="56"/>
        <v>1</v>
      </c>
      <c r="BU213" s="299">
        <f t="shared" si="56"/>
        <v>0</v>
      </c>
      <c r="BV213" s="299">
        <f t="shared" si="56"/>
        <v>0</v>
      </c>
      <c r="BW213" s="299">
        <f t="shared" si="56"/>
        <v>0</v>
      </c>
      <c r="BX213" s="299">
        <f t="shared" si="56"/>
        <v>0</v>
      </c>
      <c r="BY213" s="299">
        <f t="shared" si="56"/>
        <v>0</v>
      </c>
      <c r="BZ213" s="300">
        <f>SUM(BN213:BY213)</f>
        <v>2</v>
      </c>
    </row>
    <row r="214" spans="1:78" ht="15">
      <c r="BM214" s="627" t="str">
        <f>IF('School Profile'!$D$12="Hindi","प्रविष्ठ कुल विद्यार्थी","No. of students appeared")</f>
        <v>प्रविष्ठ कुल विद्यार्थी</v>
      </c>
      <c r="BN214" s="299">
        <f>SUM(BN210:BN213)</f>
        <v>2</v>
      </c>
      <c r="BO214" s="299">
        <f>SUM(BO210:BO213)</f>
        <v>0</v>
      </c>
      <c r="BP214" s="299">
        <f t="shared" ref="BP214:BY214" si="57">SUM(BP210:BP213)</f>
        <v>0</v>
      </c>
      <c r="BQ214" s="299">
        <f t="shared" si="57"/>
        <v>1</v>
      </c>
      <c r="BR214" s="299">
        <f t="shared" si="57"/>
        <v>2</v>
      </c>
      <c r="BS214" s="299">
        <f t="shared" si="57"/>
        <v>1</v>
      </c>
      <c r="BT214" s="299">
        <f t="shared" si="57"/>
        <v>1</v>
      </c>
      <c r="BU214" s="299">
        <f t="shared" si="57"/>
        <v>1</v>
      </c>
      <c r="BV214" s="299">
        <f t="shared" si="57"/>
        <v>0</v>
      </c>
      <c r="BW214" s="299">
        <f t="shared" si="57"/>
        <v>1</v>
      </c>
      <c r="BX214" s="299">
        <f t="shared" si="57"/>
        <v>1</v>
      </c>
      <c r="BY214" s="299">
        <f t="shared" si="57"/>
        <v>1</v>
      </c>
      <c r="BZ214" s="300">
        <f t="shared" si="51"/>
        <v>11</v>
      </c>
    </row>
    <row r="215" spans="1:78" ht="15">
      <c r="BM215" s="627" t="str">
        <f>IF('School Profile'!$D$12="Hindi","उत्तीर्ण प्रतिशत","Pass percentage")</f>
        <v>उत्तीर्ण प्रतिशत</v>
      </c>
      <c r="BN215" s="310">
        <f>IF(BN214=0,"",BN210/BN214*100)</f>
        <v>50</v>
      </c>
      <c r="BO215" s="310" t="str">
        <f>IF(BO214=0,"",BO210/BO214*100)</f>
        <v/>
      </c>
      <c r="BP215" s="310" t="str">
        <f t="shared" ref="BP215:BY215" si="58">IF(BP214=0,"",BP210/BP214*100)</f>
        <v/>
      </c>
      <c r="BQ215" s="310">
        <f t="shared" si="58"/>
        <v>100</v>
      </c>
      <c r="BR215" s="310">
        <f t="shared" si="58"/>
        <v>100</v>
      </c>
      <c r="BS215" s="310">
        <f t="shared" si="58"/>
        <v>100</v>
      </c>
      <c r="BT215" s="310">
        <f>IF(BT214=0,"",BT210/BT214*100)</f>
        <v>0</v>
      </c>
      <c r="BU215" s="310">
        <f t="shared" si="58"/>
        <v>100</v>
      </c>
      <c r="BV215" s="310" t="str">
        <f t="shared" si="58"/>
        <v/>
      </c>
      <c r="BW215" s="310">
        <f t="shared" si="58"/>
        <v>100</v>
      </c>
      <c r="BX215" s="310">
        <f t="shared" si="58"/>
        <v>100</v>
      </c>
      <c r="BY215" s="310">
        <f t="shared" si="58"/>
        <v>100</v>
      </c>
      <c r="BZ215" s="311">
        <f>IF(BZ214=0,"",BZ210/BZ214*100)</f>
        <v>81.818181818181827</v>
      </c>
    </row>
    <row r="216" spans="1:78" ht="16.5" customHeight="1" thickBot="1">
      <c r="BM216" s="628" t="str">
        <f>IF('School Profile'!$D$12="Hindi","नाम पृथक","NSO")</f>
        <v>नाम पृथक</v>
      </c>
      <c r="BN216" s="312">
        <f>COUNTIF(BN4:BN203,"NSO")</f>
        <v>0</v>
      </c>
      <c r="BO216" s="312">
        <f t="shared" ref="BO216:BY216" si="59">COUNTIF(BO4:BO203,"NSO")</f>
        <v>0</v>
      </c>
      <c r="BP216" s="312">
        <f t="shared" si="59"/>
        <v>0</v>
      </c>
      <c r="BQ216" s="312">
        <f t="shared" si="59"/>
        <v>0</v>
      </c>
      <c r="BR216" s="312">
        <f t="shared" si="59"/>
        <v>0</v>
      </c>
      <c r="BS216" s="312">
        <f t="shared" si="59"/>
        <v>0</v>
      </c>
      <c r="BT216" s="312">
        <f t="shared" si="59"/>
        <v>0</v>
      </c>
      <c r="BU216" s="312">
        <f t="shared" si="59"/>
        <v>0</v>
      </c>
      <c r="BV216" s="312">
        <f t="shared" si="59"/>
        <v>0</v>
      </c>
      <c r="BW216" s="312">
        <f t="shared" si="59"/>
        <v>0</v>
      </c>
      <c r="BX216" s="312">
        <f t="shared" si="59"/>
        <v>0</v>
      </c>
      <c r="BY216" s="312">
        <f t="shared" si="59"/>
        <v>0</v>
      </c>
      <c r="BZ216" s="313">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5A2" sheet="1" objects="1" scenarios="1" formatColumns="0" formatRows="0"/>
  <mergeCells count="47">
    <mergeCell ref="M209:O210"/>
    <mergeCell ref="D209:E209"/>
    <mergeCell ref="H209:I209"/>
    <mergeCell ref="J209:L210"/>
    <mergeCell ref="D210:E210"/>
    <mergeCell ref="H210:I210"/>
    <mergeCell ref="D2:D3"/>
    <mergeCell ref="N2:N3"/>
    <mergeCell ref="P211:S212"/>
    <mergeCell ref="M211:O212"/>
    <mergeCell ref="P205:S210"/>
    <mergeCell ref="D208:E208"/>
    <mergeCell ref="H208:I208"/>
    <mergeCell ref="M207:O208"/>
    <mergeCell ref="D211:E211"/>
    <mergeCell ref="H211:I211"/>
    <mergeCell ref="J211:L212"/>
    <mergeCell ref="D207:E207"/>
    <mergeCell ref="H207:I207"/>
    <mergeCell ref="J207:L208"/>
    <mergeCell ref="D212:E212"/>
    <mergeCell ref="H212:I212"/>
    <mergeCell ref="BM204:BZ204"/>
    <mergeCell ref="D205:E205"/>
    <mergeCell ref="H205:I205"/>
    <mergeCell ref="J205:L206"/>
    <mergeCell ref="BN205:BZ205"/>
    <mergeCell ref="D206:E206"/>
    <mergeCell ref="H206:I206"/>
    <mergeCell ref="M205:O206"/>
    <mergeCell ref="A204:S204"/>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s>
  <conditionalFormatting sqref="H206:J206 H205:I205 F205 J208:J211 BN205:BZ206 BZ216 BZ207:BZ214 BM1:BM216 I3 BN1:BZ3 B2 J2 A203:B203 H207:I208 H210:I212 D2:H2 A2:A204 C4:I203 S4:S203 O4:O203 B3:C203">
    <cfRule type="cellIs" dxfId="150" priority="163" stopIfTrue="1" operator="equal">
      <formula>0</formula>
    </cfRule>
  </conditionalFormatting>
  <conditionalFormatting sqref="J213:J217 H205:I205 F205 J206:J211 J2">
    <cfRule type="containsText" dxfId="149" priority="162" stopIfTrue="1" operator="containsText" text="iwjd">
      <formula>NOT(ISERROR(SEARCH("iwjd",F2)))</formula>
    </cfRule>
  </conditionalFormatting>
  <conditionalFormatting sqref="J4:J203">
    <cfRule type="containsText" dxfId="148" priority="161" stopIfTrue="1" operator="containsText" text="iwjd">
      <formula>NOT(ISERROR(SEARCH("iwjd",J4)))</formula>
    </cfRule>
  </conditionalFormatting>
  <conditionalFormatting sqref="H2:H3 I3">
    <cfRule type="containsText" dxfId="147" priority="159" stopIfTrue="1" operator="containsText" text="ST">
      <formula>NOT(ISERROR(SEARCH("ST",H2)))</formula>
    </cfRule>
    <cfRule type="containsText" dxfId="146" priority="160" stopIfTrue="1" operator="containsText" text="SC">
      <formula>NOT(ISERROR(SEARCH("SC",H2)))</formula>
    </cfRule>
  </conditionalFormatting>
  <conditionalFormatting sqref="H4:I203">
    <cfRule type="containsText" dxfId="145" priority="156" stopIfTrue="1" operator="containsText" text="OBC">
      <formula>NOT(ISERROR(SEARCH("OBC",H4)))</formula>
    </cfRule>
    <cfRule type="containsText" dxfId="144" priority="157" stopIfTrue="1" operator="containsText" text="ST">
      <formula>NOT(ISERROR(SEARCH("ST",H4)))</formula>
    </cfRule>
    <cfRule type="containsText" dxfId="143" priority="158" stopIfTrue="1" operator="containsText" text="SC">
      <formula>NOT(ISERROR(SEARCH("SC",H4)))</formula>
    </cfRule>
  </conditionalFormatting>
  <conditionalFormatting sqref="BN4:BZ203 P4:R203">
    <cfRule type="containsText" dxfId="142" priority="154" stopIfTrue="1" operator="containsText" text="mRrh.kZ">
      <formula>NOT(ISERROR(SEARCH("mRrh.kZ",P4)))</formula>
    </cfRule>
    <cfRule type="containsText" dxfId="141" priority="155" stopIfTrue="1" operator="containsText" text="vuqRrh.kZ">
      <formula>NOT(ISERROR(SEARCH("vuqRrh.kZ",P4)))</formula>
    </cfRule>
  </conditionalFormatting>
  <conditionalFormatting sqref="BN207:BZ216">
    <cfRule type="cellIs" dxfId="140" priority="149" operator="equal">
      <formula>0</formula>
    </cfRule>
  </conditionalFormatting>
  <conditionalFormatting sqref="BN4:BZ203 R4:R203">
    <cfRule type="containsText" dxfId="139" priority="145" operator="containsText" text="iwjd">
      <formula>NOT(ISERROR(SEARCH("iwjd",R4)))</formula>
    </cfRule>
    <cfRule type="containsText" dxfId="138" priority="146" operator="containsText" text="uke i`Fkd">
      <formula>NOT(ISERROR(SEARCH("uke i`Fkd",R4)))</formula>
    </cfRule>
    <cfRule type="containsText" dxfId="137" priority="147" operator="containsText" text="iqu% ijh{k">
      <formula>NOT(ISERROR(SEARCH("iqu% ijh{k",R4)))</formula>
    </cfRule>
    <cfRule type="containsText" dxfId="136" priority="148" operator="containsText" text="vuqRrh.kZ">
      <formula>NOT(ISERROR(SEARCH("vuqRrh.kZ",R4)))</formula>
    </cfRule>
  </conditionalFormatting>
  <conditionalFormatting sqref="I3 J2 A2:B3 C3 D2:H2">
    <cfRule type="cellIs" dxfId="135" priority="66" stopIfTrue="1" operator="equal">
      <formula>0</formula>
    </cfRule>
  </conditionalFormatting>
  <conditionalFormatting sqref="J2">
    <cfRule type="containsText" dxfId="134" priority="65" stopIfTrue="1" operator="containsText" text="iwjd">
      <formula>NOT(ISERROR(SEARCH("iwjd",J2)))</formula>
    </cfRule>
  </conditionalFormatting>
  <conditionalFormatting sqref="H2:H3 I3">
    <cfRule type="containsText" dxfId="133" priority="63" stopIfTrue="1" operator="containsText" text="ST">
      <formula>NOT(ISERROR(SEARCH("ST",H2)))</formula>
    </cfRule>
    <cfRule type="containsText" dxfId="132" priority="64" stopIfTrue="1" operator="containsText" text="SC">
      <formula>NOT(ISERROR(SEARCH("SC",H2)))</formula>
    </cfRule>
  </conditionalFormatting>
  <conditionalFormatting sqref="H2:H3 I3">
    <cfRule type="containsText" dxfId="131" priority="61" stopIfTrue="1" operator="containsText" text="ST">
      <formula>NOT(ISERROR(SEARCH("ST",H2)))</formula>
    </cfRule>
    <cfRule type="containsText" dxfId="130" priority="62" stopIfTrue="1" operator="containsText" text="SC">
      <formula>NOT(ISERROR(SEARCH("SC",H2)))</formula>
    </cfRule>
  </conditionalFormatting>
  <conditionalFormatting sqref="O1">
    <cfRule type="cellIs" dxfId="129" priority="60" stopIfTrue="1" operator="equal">
      <formula>0</formula>
    </cfRule>
  </conditionalFormatting>
  <conditionalFormatting sqref="F205">
    <cfRule type="cellIs" dxfId="128" priority="59" stopIfTrue="1" operator="equal">
      <formula>0</formula>
    </cfRule>
  </conditionalFormatting>
  <conditionalFormatting sqref="F205">
    <cfRule type="containsText" dxfId="127" priority="58" stopIfTrue="1" operator="containsText" text="iwjd">
      <formula>NOT(ISERROR(SEARCH("iwjd",F205)))</formula>
    </cfRule>
  </conditionalFormatting>
  <conditionalFormatting sqref="G205">
    <cfRule type="cellIs" dxfId="126" priority="57" stopIfTrue="1" operator="equal">
      <formula>0</formula>
    </cfRule>
  </conditionalFormatting>
  <conditionalFormatting sqref="G205">
    <cfRule type="containsText" dxfId="125" priority="56" stopIfTrue="1" operator="containsText" text="iwjd">
      <formula>NOT(ISERROR(SEARCH("iwjd",G205)))</formula>
    </cfRule>
  </conditionalFormatting>
  <conditionalFormatting sqref="G205">
    <cfRule type="cellIs" dxfId="124" priority="55" stopIfTrue="1" operator="equal">
      <formula>0</formula>
    </cfRule>
  </conditionalFormatting>
  <conditionalFormatting sqref="G205">
    <cfRule type="containsText" dxfId="123" priority="54" stopIfTrue="1" operator="containsText" text="iwjd">
      <formula>NOT(ISERROR(SEARCH("iwjd",G205)))</formula>
    </cfRule>
  </conditionalFormatting>
  <conditionalFormatting sqref="H205:I205">
    <cfRule type="cellIs" dxfId="122" priority="53" stopIfTrue="1" operator="equal">
      <formula>0</formula>
    </cfRule>
  </conditionalFormatting>
  <conditionalFormatting sqref="H205:I205">
    <cfRule type="containsText" dxfId="121" priority="52" stopIfTrue="1" operator="containsText" text="iwjd">
      <formula>NOT(ISERROR(SEARCH("iwjd",H205)))</formula>
    </cfRule>
  </conditionalFormatting>
  <conditionalFormatting sqref="H205:I205">
    <cfRule type="cellIs" dxfId="120" priority="51" stopIfTrue="1" operator="equal">
      <formula>0</formula>
    </cfRule>
  </conditionalFormatting>
  <conditionalFormatting sqref="H205:I205">
    <cfRule type="containsText" dxfId="119" priority="50" stopIfTrue="1" operator="containsText" text="iwjd">
      <formula>NOT(ISERROR(SEARCH("iwjd",H205)))</formula>
    </cfRule>
  </conditionalFormatting>
  <conditionalFormatting sqref="J206 J208:J211">
    <cfRule type="cellIs" dxfId="118" priority="49" stopIfTrue="1" operator="equal">
      <formula>0</formula>
    </cfRule>
  </conditionalFormatting>
  <conditionalFormatting sqref="J206:J211">
    <cfRule type="containsText" dxfId="117" priority="48" stopIfTrue="1" operator="containsText" text="iwjd">
      <formula>NOT(ISERROR(SEARCH("iwjd",J206)))</formula>
    </cfRule>
  </conditionalFormatting>
  <conditionalFormatting sqref="J206 J208:J211">
    <cfRule type="cellIs" dxfId="116" priority="47" stopIfTrue="1" operator="equal">
      <formula>0</formula>
    </cfRule>
  </conditionalFormatting>
  <conditionalFormatting sqref="J206:J211">
    <cfRule type="containsText" dxfId="115" priority="46" stopIfTrue="1" operator="containsText" text="iwjd">
      <formula>NOT(ISERROR(SEARCH("iwjd",J206)))</formula>
    </cfRule>
  </conditionalFormatting>
  <conditionalFormatting sqref="J206 J208:J211">
    <cfRule type="cellIs" dxfId="114" priority="45" stopIfTrue="1" operator="equal">
      <formula>0</formula>
    </cfRule>
  </conditionalFormatting>
  <conditionalFormatting sqref="J206:J211">
    <cfRule type="containsText" dxfId="113" priority="44" stopIfTrue="1" operator="containsText" text="iwjd">
      <formula>NOT(ISERROR(SEARCH("iwjd",J206)))</formula>
    </cfRule>
  </conditionalFormatting>
  <conditionalFormatting sqref="P211">
    <cfRule type="cellIs" dxfId="112" priority="43" stopIfTrue="1" operator="equal">
      <formula>0</formula>
    </cfRule>
  </conditionalFormatting>
  <conditionalFormatting sqref="P211">
    <cfRule type="containsText" dxfId="111" priority="42" stopIfTrue="1" operator="containsText" text="iwjd">
      <formula>NOT(ISERROR(SEARCH("iwjd",P211)))</formula>
    </cfRule>
  </conditionalFormatting>
  <conditionalFormatting sqref="I4:I203">
    <cfRule type="expression" dxfId="110" priority="40">
      <formula>I4="F"</formula>
    </cfRule>
    <cfRule type="expression" dxfId="109" priority="41">
      <formula>I4="M"</formula>
    </cfRule>
  </conditionalFormatting>
  <conditionalFormatting sqref="L4:L203">
    <cfRule type="expression" dxfId="108" priority="36">
      <formula>L4=""</formula>
    </cfRule>
    <cfRule type="top10" dxfId="107" priority="38" rank="3"/>
    <cfRule type="top10" dxfId="106" priority="39" percent="1" rank="3"/>
  </conditionalFormatting>
  <conditionalFormatting sqref="J206 J208:J211">
    <cfRule type="cellIs" dxfId="105" priority="35" stopIfTrue="1" operator="equal">
      <formula>0</formula>
    </cfRule>
  </conditionalFormatting>
  <conditionalFormatting sqref="J206:J211">
    <cfRule type="containsText" dxfId="104" priority="34" stopIfTrue="1" operator="containsText" text="iwjd">
      <formula>NOT(ISERROR(SEARCH("iwjd",J206)))</formula>
    </cfRule>
  </conditionalFormatting>
  <conditionalFormatting sqref="J4:J203">
    <cfRule type="containsText" dxfId="103" priority="33" stopIfTrue="1" operator="containsText" text="iwjd">
      <formula>NOT(ISERROR(SEARCH("iwjd",J4)))</formula>
    </cfRule>
  </conditionalFormatting>
  <conditionalFormatting sqref="J4:J203">
    <cfRule type="containsText" dxfId="102" priority="28" stopIfTrue="1" operator="containsText" text="G1">
      <formula>NOT(ISERROR(SEARCH("G1",J4)))</formula>
    </cfRule>
    <cfRule type="containsText" dxfId="101" priority="29" stopIfTrue="1" operator="containsText" text="G2">
      <formula>NOT(ISERROR(SEARCH("G2",J4)))</formula>
    </cfRule>
    <cfRule type="containsText" dxfId="100" priority="30" stopIfTrue="1" operator="containsText" text="G1">
      <formula>NOT(ISERROR(SEARCH("G1",J4)))</formula>
    </cfRule>
    <cfRule type="containsText" dxfId="99" priority="31" stopIfTrue="1" operator="containsText" text="S">
      <formula>NOT(ISERROR(SEARCH("S",J4)))</formula>
    </cfRule>
    <cfRule type="containsText" dxfId="98" priority="32" stopIfTrue="1" operator="containsText" text="F">
      <formula>NOT(ISERROR(SEARCH("F",J4)))</formula>
    </cfRule>
  </conditionalFormatting>
  <conditionalFormatting sqref="J4:J203">
    <cfRule type="containsText" dxfId="97" priority="25" stopIfTrue="1" operator="containsText" text="RA">
      <formula>NOT(ISERROR(SEARCH("RA",J4)))</formula>
    </cfRule>
    <cfRule type="containsText" dxfId="96" priority="26" stopIfTrue="1" operator="containsText" text="ML">
      <formula>NOT(ISERROR(SEARCH("ML",J4)))</formula>
    </cfRule>
    <cfRule type="containsText" dxfId="95" priority="27" stopIfTrue="1" operator="containsText" text="ML">
      <formula>NOT(ISERROR(SEARCH("ML",J4)))</formula>
    </cfRule>
  </conditionalFormatting>
  <conditionalFormatting sqref="J4:J203">
    <cfRule type="containsText" dxfId="94" priority="24" stopIfTrue="1" operator="containsText" text="S">
      <formula>NOT(ISERROR(SEARCH("S",J4)))</formula>
    </cfRule>
  </conditionalFormatting>
  <conditionalFormatting sqref="J4:J203">
    <cfRule type="containsText" dxfId="93" priority="23" stopIfTrue="1" operator="containsText" text="G1">
      <formula>NOT(ISERROR(SEARCH("G1",J4)))</formula>
    </cfRule>
  </conditionalFormatting>
  <conditionalFormatting sqref="J4:J203">
    <cfRule type="containsText" dxfId="92" priority="22" stopIfTrue="1" operator="containsText" text="NA">
      <formula>NOT(ISERROR(SEARCH("NA",J4)))</formula>
    </cfRule>
  </conditionalFormatting>
  <conditionalFormatting sqref="J4:J203">
    <cfRule type="containsText" dxfId="91" priority="21" operator="containsText" text="D">
      <formula>NOT(ISERROR(SEARCH("D",J4)))</formula>
    </cfRule>
  </conditionalFormatting>
  <conditionalFormatting sqref="J4:J203">
    <cfRule type="cellIs" dxfId="90" priority="19" stopIfTrue="1" operator="equal">
      <formula>0</formula>
    </cfRule>
    <cfRule type="cellIs" dxfId="89" priority="20" stopIfTrue="1" operator="equal">
      <formula>0</formula>
    </cfRule>
  </conditionalFormatting>
  <conditionalFormatting sqref="J4:J203">
    <cfRule type="containsText" dxfId="88" priority="15" stopIfTrue="1" operator="containsText" text="G2">
      <formula>NOT(ISERROR(SEARCH("G2",J4)))</formula>
    </cfRule>
    <cfRule type="containsText" dxfId="87" priority="16" stopIfTrue="1" operator="containsText" text="G1">
      <formula>NOT(ISERROR(SEARCH("G1",J4)))</formula>
    </cfRule>
    <cfRule type="containsText" dxfId="86" priority="17" stopIfTrue="1" operator="containsText" text="S">
      <formula>NOT(ISERROR(SEARCH("S",J4)))</formula>
    </cfRule>
    <cfRule type="containsText" dxfId="85" priority="18" stopIfTrue="1" operator="containsText" text="F">
      <formula>NOT(ISERROR(SEARCH("F",J4)))</formula>
    </cfRule>
  </conditionalFormatting>
  <conditionalFormatting sqref="J4:J203">
    <cfRule type="containsText" dxfId="84" priority="14" stopIfTrue="1" operator="containsText" text="NA">
      <formula>NOT(ISERROR(SEARCH("NA",J4)))</formula>
    </cfRule>
  </conditionalFormatting>
  <conditionalFormatting sqref="J4:J203">
    <cfRule type="containsText" dxfId="83" priority="12" stopIfTrue="1" operator="containsText" text="NA">
      <formula>NOT(ISERROR(SEARCH("NA",J4)))</formula>
    </cfRule>
    <cfRule type="containsText" dxfId="82" priority="13" stopIfTrue="1" operator="containsText" text="ML">
      <formula>NOT(ISERROR(SEARCH("ML",J4)))</formula>
    </cfRule>
  </conditionalFormatting>
  <conditionalFormatting sqref="J4:J203">
    <cfRule type="containsText" dxfId="81" priority="10" stopIfTrue="1" operator="containsText" text="vuqRrh.kZ">
      <formula>NOT(ISERROR(SEARCH("vuqRrh.kZ",J4)))</formula>
    </cfRule>
    <cfRule type="containsText" dxfId="80" priority="11" stopIfTrue="1" operator="containsText" text="lk- mRrh.kZ">
      <formula>NOT(ISERROR(SEARCH("lk- mRrh.kZ",J4)))</formula>
    </cfRule>
  </conditionalFormatting>
  <conditionalFormatting sqref="J4:J203">
    <cfRule type="containsText" dxfId="79" priority="9" stopIfTrue="1" operator="containsText" text="iwjd">
      <formula>NOT(ISERROR(SEARCH("iwjd",J4)))</formula>
    </cfRule>
  </conditionalFormatting>
  <conditionalFormatting sqref="J4:J203">
    <cfRule type="expression" dxfId="78" priority="4" stopIfTrue="1">
      <formula>$J4="SUPPLEMENTARY"</formula>
    </cfRule>
    <cfRule type="expression" dxfId="77" priority="5" stopIfTrue="1">
      <formula>J4="NSO"</formula>
    </cfRule>
    <cfRule type="containsText" dxfId="76" priority="6" stopIfTrue="1" operator="containsText" text="iwjd">
      <formula>NOT(ISERROR(SEARCH("iwjd",J4)))</formula>
    </cfRule>
    <cfRule type="containsText" dxfId="75" priority="7" stopIfTrue="1" operator="containsText" text="vuRrh.kZ">
      <formula>NOT(ISERROR(SEARCH("vuRrh.kZ",J4)))</formula>
    </cfRule>
    <cfRule type="containsText" dxfId="74" priority="8" stopIfTrue="1" operator="containsText" text="mRrh.kZ">
      <formula>NOT(ISERROR(SEARCH("mRrh.kZ",J4)))</formula>
    </cfRule>
  </conditionalFormatting>
  <conditionalFormatting sqref="J4:J203">
    <cfRule type="containsText" dxfId="73" priority="3" stopIfTrue="1" operator="containsText" text="iu% ijh{kk">
      <formula>NOT(ISERROR(SEARCH("iu% ijh{kk",J4)))</formula>
    </cfRule>
  </conditionalFormatting>
  <conditionalFormatting sqref="J4:J203">
    <cfRule type="containsText" dxfId="72" priority="2" stopIfTrue="1" operator="containsText" text="iqu% ijh{kk">
      <formula>NOT(ISERROR(SEARCH("iqu% ijh{kk",J4)))</formula>
    </cfRule>
  </conditionalFormatting>
  <conditionalFormatting sqref="N4:N203">
    <cfRule type="top10" dxfId="71" priority="1" stopIfTrue="1" bottom="1" rank="3"/>
  </conditionalFormatting>
  <pageMargins left="0.45" right="0.2" top="0.5" bottom="0.25" header="0.3" footer="0.3"/>
  <pageSetup paperSize="9" scale="92"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instruction</vt:lpstr>
      <vt:lpstr>School Profile</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 With Photo</vt:lpstr>
      <vt:lpstr>Simple Marksheet</vt:lpstr>
      <vt:lpstr>Marksheet After Supp. Result</vt:lpstr>
      <vt:lpstr>'Green Sheet'!Print_Area</vt:lpstr>
      <vt:lpstr>'Marksheet After Supp. Result'!Print_Area</vt:lpstr>
      <vt:lpstr>'Marksheet With Photo'!Print_Area</vt:lpstr>
      <vt:lpstr>'Result Subject-wise'!Print_Area</vt:lpstr>
      <vt:lpstr>'Simple Marksheet'!Print_Area</vt:lpstr>
      <vt:lpstr>'Statement of Marks'!Print_Area</vt:lpstr>
      <vt:lpstr>'Teacher &amp; Cat. Wise Result'!Print_Area</vt:lpstr>
      <vt:lpstr>rolln</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2024-04-01T02:03:04Z</cp:lastPrinted>
  <dcterms:created xsi:type="dcterms:W3CDTF">2017-08-30T13:27:31Z</dcterms:created>
  <dcterms:modified xsi:type="dcterms:W3CDTF">2026-03-02T05:13:09Z</dcterms:modified>
</cp:coreProperties>
</file>